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420" tabRatio="950" activeTab="2"/>
  </bookViews>
  <sheets>
    <sheet name="说明" sheetId="1" r:id="rId1"/>
    <sheet name="Summary" sheetId="64" r:id="rId2"/>
    <sheet name="竞争者-202402" sheetId="132" r:id="rId3"/>
    <sheet name="竞争者-202401" sheetId="143" r:id="rId4"/>
    <sheet name="竞争者-202312" sheetId="142" r:id="rId5"/>
    <sheet name="竞争者-202311" sheetId="141" r:id="rId6"/>
    <sheet name="竞争者-202310" sheetId="140" r:id="rId7"/>
    <sheet name="竞争者-202309" sheetId="139" r:id="rId8"/>
    <sheet name="竞争者-202308" sheetId="138" r:id="rId9"/>
    <sheet name="竞争者-202307" sheetId="137" r:id="rId10"/>
    <sheet name="竞争者-202306" sheetId="136" r:id="rId11"/>
    <sheet name="竞争者-202305" sheetId="133" state="hidden" r:id="rId12"/>
    <sheet name="竞争者-202304" sheetId="129" state="hidden" r:id="rId13"/>
    <sheet name="竞争者-202303" sheetId="131" state="hidden" r:id="rId14"/>
    <sheet name="竞争者-202302" sheetId="130" state="hidden" r:id="rId15"/>
    <sheet name="竞争者-202301" sheetId="123" state="hidden" r:id="rId16"/>
    <sheet name="竞争者-202212" sheetId="128" state="hidden" r:id="rId17"/>
    <sheet name="竞争者-202211" sheetId="127" state="hidden" r:id="rId18"/>
    <sheet name="竞争者-202210" sheetId="126" state="hidden" r:id="rId19"/>
    <sheet name="正厂竞争者数据汇总" sheetId="41" r:id="rId20"/>
    <sheet name="Price &amp; Shipping" sheetId="70" state="hidden" r:id="rId21"/>
    <sheet name="副厂竞争者数据汇总" sheetId="111" r:id="rId22"/>
    <sheet name="正厂（网址失效）" sheetId="134" r:id="rId23"/>
    <sheet name="副厂（网址失效）" sheetId="135" r:id="rId24"/>
    <sheet name="Mid" sheetId="114" state="hidden" r:id="rId25"/>
    <sheet name="Forum Link" sheetId="69" state="hidden" r:id="rId26"/>
    <sheet name="19-10月" sheetId="83" state="hidden" r:id="rId27"/>
    <sheet name="Sheet4" sheetId="89" state="hidden" r:id="rId28"/>
    <sheet name="Sheet2" sheetId="87" state="hidden" r:id="rId29"/>
    <sheet name=" 9月" sheetId="82" state="hidden" r:id="rId30"/>
    <sheet name="8月 " sheetId="81" state="hidden" r:id="rId31"/>
    <sheet name="7月  " sheetId="80" state="hidden" r:id="rId32"/>
    <sheet name="6月 " sheetId="79" state="hidden" r:id="rId33"/>
    <sheet name="5月 " sheetId="78" state="hidden" r:id="rId34"/>
    <sheet name="副厂&amp;Multi-OEM " sheetId="65" state="hidden" r:id="rId35"/>
    <sheet name="Competitive Matrix" sheetId="54" state="hidden" r:id="rId36"/>
    <sheet name="Chevy(No-use)" sheetId="15" state="hidden" r:id="rId37"/>
  </sheets>
  <externalReferences>
    <externalReference r:id="rId38"/>
    <externalReference r:id="rId39"/>
  </externalReferences>
  <definedNames>
    <definedName name="_xlnm._FilterDatabase" localSheetId="5" hidden="1">'竞争者-202311'!$C$1:$C$246</definedName>
    <definedName name="_xlnm._FilterDatabase" localSheetId="6" hidden="1">'竞争者-202310'!$C$1:$C$247</definedName>
    <definedName name="_xlnm._FilterDatabase" localSheetId="7" hidden="1">'竞争者-202309'!$C$1:$C$243</definedName>
    <definedName name="_xlnm._FilterDatabase" localSheetId="8" hidden="1">'竞争者-202308'!$C$1:$C$246</definedName>
    <definedName name="_xlnm._FilterDatabase" localSheetId="9" hidden="1">'竞争者-202307'!$C$1:$C$242</definedName>
    <definedName name="_xlnm._FilterDatabase" localSheetId="10" hidden="1">'竞争者-202306'!$C$1:$C$233</definedName>
    <definedName name="_xlnm._FilterDatabase" localSheetId="11" hidden="1">'竞争者-202305'!$C$1:$C$233</definedName>
    <definedName name="_xlnm._FilterDatabase" localSheetId="12" hidden="1">'竞争者-202304'!$C$1:$C$231</definedName>
    <definedName name="_xlnm._FilterDatabase" localSheetId="13" hidden="1">'竞争者-202303'!$C$1:$C$230</definedName>
    <definedName name="_xlnm._FilterDatabase" localSheetId="14" hidden="1">'竞争者-202302'!$C$1:$C$229</definedName>
    <definedName name="_xlnm._FilterDatabase" localSheetId="15" hidden="1">'竞争者-202301'!$C$1:$C$229</definedName>
    <definedName name="_xlnm._FilterDatabase" localSheetId="19" hidden="1">正厂竞争者数据汇总!$A$1:$CN$448</definedName>
    <definedName name="_xlnm._FilterDatabase" localSheetId="21" hidden="1">副厂竞争者数据汇总!$A$1:$DC$182</definedName>
    <definedName name="_xlnm._FilterDatabase" localSheetId="22" hidden="1">'正厂（网址失效）'!$A$8:$AA$32</definedName>
    <definedName name="_xlnm._FilterDatabase" localSheetId="23" hidden="1">'副厂（网址失效）'!$A$12:$K$15</definedName>
    <definedName name="_xlnm._FilterDatabase" localSheetId="34" hidden="1">'副厂&amp;Multi-OEM '!$A$1:$O$32</definedName>
    <definedName name="_xlnm._FilterDatabase" localSheetId="36" hidden="1">'Chevy(No-use)'!$A$2:$AE$57</definedName>
    <definedName name="_xlnm._FilterDatabase" localSheetId="2" hidden="1">'竞争者-202402'!#REF!</definedName>
    <definedName name="_xlnm._FilterDatabase" localSheetId="29" hidden="1">' 9月'!$A$2:$P$12</definedName>
    <definedName name="_xlnm._FilterDatabase" localSheetId="26" hidden="1">'19-10月'!$A$2:$P$12</definedName>
    <definedName name="_xlnm._FilterDatabase" localSheetId="33" hidden="1">'5月 '!$A$2:$P$12</definedName>
    <definedName name="_xlnm._FilterDatabase" localSheetId="32" hidden="1">'6月 '!$A$2:$P$12</definedName>
    <definedName name="_xlnm._FilterDatabase" localSheetId="31" hidden="1">'7月  '!$A$2:$P$12</definedName>
    <definedName name="_xlnm._FilterDatabase" localSheetId="30" hidden="1">'8月 '!$A$2:$P$12</definedName>
    <definedName name="_xlnm._FilterDatabase" localSheetId="20" hidden="1">'Price &amp; Shipping'!$A$2:$HE$11</definedName>
    <definedName name="Total" localSheetId="29">[1]Summary!$B$14</definedName>
    <definedName name="Total" localSheetId="26">[1]Summary!$B$14</definedName>
    <definedName name="Total" localSheetId="31">[1]Summary!$B$14</definedName>
    <definedName name="Total" localSheetId="30">[1]Summary!$B$14</definedName>
    <definedName name="Total" localSheetId="1">Summary!$D$15</definedName>
    <definedName name="Total">[1]Summary!$B$14</definedName>
    <definedName name="TotalOct" localSheetId="29">[2]SummaryOct!$B$14</definedName>
    <definedName name="TotalOct" localSheetId="26">[2]SummaryOct!$B$14</definedName>
    <definedName name="TotalOct" localSheetId="31">[2]SummaryOct!$B$14</definedName>
    <definedName name="TotalOct" localSheetId="30">[2]SummaryOct!$B$14</definedName>
    <definedName name="TotalOct">[2]SummaryOct!$B$14</definedName>
    <definedName name="_xlnm._FilterDatabase" localSheetId="4" hidden="1">'竞争者-202312'!$AF$1:$AI$229</definedName>
    <definedName name="_xlnm._FilterDatabase" localSheetId="3" hidden="1">'竞争者-202401'!#REF!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<sst xmlns="http://schemas.openxmlformats.org/spreadsheetml/2006/main" count="43762" uniqueCount="6424">
  <si>
    <t>说明</t>
  </si>
  <si>
    <t>备注</t>
  </si>
  <si>
    <t>流量指标</t>
  </si>
  <si>
    <t>1. SEMRush Oganic Search</t>
  </si>
  <si>
    <t>SEMRush.Com的Oganic Search指标</t>
  </si>
  <si>
    <t>https://www.semrush.com/info/gmpartsgiant.com</t>
  </si>
  <si>
    <t xml:space="preserve">最新账号
kangbengling@163.com
kji58632frr
</t>
  </si>
  <si>
    <t>2. Alexa Traffic Rank</t>
  </si>
  <si>
    <t>Alexa近3个月平均流量排名</t>
  </si>
  <si>
    <t>www.alexa.com/siteinfo</t>
  </si>
  <si>
    <r>
      <rPr>
        <b/>
        <sz val="11"/>
        <color theme="1"/>
        <rFont val="Arial"/>
        <charset val="134"/>
      </rPr>
      <t>3. Similarweb Traffic</t>
    </r>
    <r>
      <rPr>
        <b/>
        <sz val="11"/>
        <color theme="1"/>
        <rFont val="宋体"/>
        <charset val="134"/>
      </rPr>
      <t>近</t>
    </r>
    <r>
      <rPr>
        <b/>
        <sz val="11"/>
        <color theme="1"/>
        <rFont val="Arial"/>
        <charset val="134"/>
      </rPr>
      <t>3</t>
    </r>
    <r>
      <rPr>
        <b/>
        <sz val="11"/>
        <color theme="1"/>
        <rFont val="宋体"/>
        <charset val="134"/>
      </rPr>
      <t>个月均值</t>
    </r>
    <r>
      <rPr>
        <b/>
        <sz val="11"/>
        <color theme="1"/>
        <rFont val="Arial"/>
        <charset val="134"/>
      </rPr>
      <t xml:space="preserve"> - </t>
    </r>
    <r>
      <rPr>
        <b/>
        <sz val="11"/>
        <color theme="1"/>
        <rFont val="宋体"/>
        <charset val="134"/>
      </rPr>
      <t>加权</t>
    </r>
  </si>
  <si>
    <t>Similarweb的流量指标，相对数据相对靠谱一点。
表内数字表示最近3个月数据的加权平均，公式为：
 ( 3* This month
 + 2* One month before
 + 1* Two month before)
/6</t>
  </si>
  <si>
    <t>www.similarweb.com/website/estore.honda.com</t>
  </si>
  <si>
    <t>3.1Marketing Share</t>
  </si>
  <si>
    <t>Similarweb流量指标数字，各竞争者网站的占比。
一般统计近两个月的百分比，方便对比</t>
  </si>
  <si>
    <r>
      <rPr>
        <sz val="11"/>
        <rFont val="宋体"/>
        <charset val="134"/>
      </rPr>
      <t xml:space="preserve">Marketing Share
=各网站流量数值/流量总和
</t>
    </r>
    <r>
      <rPr>
        <b/>
        <sz val="11"/>
        <rFont val="宋体"/>
        <charset val="134"/>
      </rPr>
      <t>流量总和</t>
    </r>
    <r>
      <rPr>
        <b/>
        <sz val="11"/>
        <color rgb="FFFF0000"/>
        <rFont val="宋体"/>
        <charset val="134"/>
      </rPr>
      <t>需排除官网流量和Acc网站的流量，</t>
    </r>
    <r>
      <rPr>
        <b/>
        <sz val="11"/>
        <rFont val="宋体"/>
        <charset val="134"/>
      </rPr>
      <t>仅对我们竞争对手加和。</t>
    </r>
  </si>
  <si>
    <r>
      <rPr>
        <b/>
        <sz val="11"/>
        <color theme="1"/>
        <rFont val="Arial"/>
        <charset val="134"/>
      </rPr>
      <t>4. CA</t>
    </r>
    <r>
      <rPr>
        <b/>
        <sz val="11"/>
        <color theme="1"/>
        <rFont val="宋体"/>
        <charset val="134"/>
      </rPr>
      <t>折算</t>
    </r>
  </si>
  <si>
    <t>我们在CA的公司迁到Nevada后，运费和税方面会比CA更有竞争优势，能从竞争者那里抢占不少流量。
此列即计算的是，若该Brand的我们网站从CA迁至NV，从竞争者那里抢占流量后，大约能提升我们网站流量的百分之几。
此列主要为公司地址迁移的优先级提供参考。</t>
  </si>
  <si>
    <t>CA折算
=竞争者折算流量*0.5
/我们网站流量
流量均对应“3. Similarweb Traffic近3个月均值 - 加权”中的值。</t>
  </si>
  <si>
    <r>
      <rPr>
        <sz val="11"/>
        <color theme="1"/>
        <rFont val="Arial"/>
        <charset val="134"/>
      </rPr>
      <t xml:space="preserve">5. </t>
    </r>
    <r>
      <rPr>
        <sz val="11"/>
        <color theme="1"/>
        <rFont val="宋体"/>
        <charset val="134"/>
      </rPr>
      <t>竞争者折算流量</t>
    </r>
    <r>
      <rPr>
        <sz val="11"/>
        <color theme="1"/>
        <rFont val="Arial"/>
        <charset val="134"/>
      </rPr>
      <t>(</t>
    </r>
    <r>
      <rPr>
        <sz val="11"/>
        <color theme="1"/>
        <rFont val="宋体"/>
        <charset val="134"/>
      </rPr>
      <t>隐藏</t>
    </r>
    <r>
      <rPr>
        <sz val="11"/>
        <color theme="1"/>
        <rFont val="Arial"/>
        <charset val="134"/>
      </rPr>
      <t>)</t>
    </r>
  </si>
  <si>
    <t>计算“4.CA折算百分比”一列的中间变量，即“我们网站从CA迁至NV，从竞争者那里抢占的流量”</t>
  </si>
  <si>
    <r>
      <rPr>
        <sz val="11"/>
        <color theme="1"/>
        <rFont val="宋体"/>
        <charset val="134"/>
        <scheme val="minor"/>
      </rPr>
      <t xml:space="preserve">竞争者折算流量
=范围内的竞争者的Similarweb加权流量
*其所在州对应的折算系数
折算系数见本表底部。
</t>
    </r>
    <r>
      <rPr>
        <b/>
        <sz val="11"/>
        <color theme="1"/>
        <rFont val="宋体"/>
        <charset val="134"/>
        <scheme val="minor"/>
      </rPr>
      <t>未在表内的州则不算在计算范围。</t>
    </r>
  </si>
  <si>
    <t>已废弃的旧指标</t>
  </si>
  <si>
    <t>核心词排名(bySEMRush)</t>
  </si>
  <si>
    <t>honda parts</t>
  </si>
  <si>
    <t>Google Landing Page</t>
  </si>
  <si>
    <t>页面规模</t>
  </si>
  <si>
    <r>
      <rPr>
        <sz val="11"/>
        <color theme="1"/>
        <rFont val="Arial"/>
        <charset val="134"/>
      </rPr>
      <t xml:space="preserve">Google </t>
    </r>
    <r>
      <rPr>
        <sz val="11"/>
        <color indexed="8"/>
        <rFont val="Arial "/>
        <charset val="134"/>
      </rPr>
      <t>收录数</t>
    </r>
  </si>
  <si>
    <r>
      <rPr>
        <sz val="11"/>
        <color theme="1"/>
        <rFont val="Arial"/>
        <charset val="134"/>
      </rPr>
      <t xml:space="preserve">Bing </t>
    </r>
    <r>
      <rPr>
        <sz val="11"/>
        <color theme="1"/>
        <rFont val="Arial "/>
        <charset val="134"/>
      </rPr>
      <t>收录数</t>
    </r>
  </si>
  <si>
    <t>运营</t>
  </si>
  <si>
    <t>3rd Party Ratings</t>
  </si>
  <si>
    <t>Google Trusted Stores</t>
  </si>
  <si>
    <t>FB likes</t>
  </si>
  <si>
    <t>Google+</t>
  </si>
  <si>
    <t>网站权重背景</t>
  </si>
  <si>
    <t>Domain PR</t>
  </si>
  <si>
    <r>
      <rPr>
        <sz val="11"/>
        <color theme="1"/>
        <rFont val="Arial"/>
        <charset val="134"/>
      </rPr>
      <t xml:space="preserve">Whois
</t>
    </r>
    <r>
      <rPr>
        <sz val="11"/>
        <color theme="1"/>
        <rFont val="宋体"/>
        <charset val="134"/>
      </rPr>
      <t>网站上线日期</t>
    </r>
  </si>
  <si>
    <t>DMOZ收录</t>
  </si>
  <si>
    <r>
      <rPr>
        <sz val="12"/>
        <color theme="1"/>
        <rFont val="Arial Narrow"/>
        <charset val="134"/>
      </rPr>
      <t>Yahoo directory</t>
    </r>
    <r>
      <rPr>
        <sz val="12"/>
        <color theme="1"/>
        <rFont val="宋体"/>
        <charset val="134"/>
      </rPr>
      <t>收录</t>
    </r>
  </si>
  <si>
    <t>Alexa Linking in</t>
  </si>
  <si>
    <r>
      <rPr>
        <sz val="11"/>
        <color theme="1"/>
        <rFont val="宋体"/>
        <charset val="134"/>
        <scheme val="minor"/>
      </rPr>
      <t>Google Blog</t>
    </r>
    <r>
      <rPr>
        <b/>
        <sz val="10"/>
        <color indexed="8"/>
        <rFont val="宋体"/>
        <charset val="134"/>
      </rPr>
      <t>搜索结果数</t>
    </r>
    <r>
      <rPr>
        <b/>
        <sz val="10"/>
        <color indexed="8"/>
        <rFont val="Arial"/>
        <charset val="134"/>
      </rPr>
      <t xml:space="preserve"> </t>
    </r>
  </si>
  <si>
    <r>
      <rPr>
        <sz val="11"/>
        <color theme="1"/>
        <rFont val="宋体"/>
        <charset val="134"/>
        <scheme val="minor"/>
      </rPr>
      <t>Google Blog</t>
    </r>
    <r>
      <rPr>
        <sz val="10"/>
        <color indexed="8"/>
        <rFont val="宋体"/>
        <charset val="134"/>
      </rPr>
      <t>搜索域名的结果数量。例如搜索“</t>
    </r>
    <r>
      <rPr>
        <sz val="10"/>
        <color indexed="8"/>
        <rFont val="Arial"/>
        <charset val="134"/>
      </rPr>
      <t>hondapartsnow.com”</t>
    </r>
  </si>
  <si>
    <r>
      <rPr>
        <sz val="11"/>
        <color theme="1"/>
        <rFont val="宋体"/>
        <charset val="134"/>
        <scheme val="minor"/>
      </rPr>
      <t>Google Discussions</t>
    </r>
    <r>
      <rPr>
        <b/>
        <sz val="10"/>
        <color indexed="8"/>
        <rFont val="宋体"/>
        <charset val="134"/>
      </rPr>
      <t>搜索结果数</t>
    </r>
  </si>
  <si>
    <r>
      <rPr>
        <sz val="11"/>
        <color theme="1"/>
        <rFont val="宋体"/>
        <charset val="134"/>
        <scheme val="minor"/>
      </rPr>
      <t>Google Discussions</t>
    </r>
    <r>
      <rPr>
        <sz val="10"/>
        <color indexed="8"/>
        <rFont val="宋体"/>
        <charset val="134"/>
      </rPr>
      <t>搜索域名的结果数量。例如搜索</t>
    </r>
    <r>
      <rPr>
        <sz val="10"/>
        <color indexed="8"/>
        <rFont val="Arial"/>
        <charset val="134"/>
      </rPr>
      <t>hondapartsnow.com</t>
    </r>
  </si>
  <si>
    <t>Google Rank with:</t>
  </si>
  <si>
    <t>各关键字倒数的加和，评价网站热门词排名效果的一个指标</t>
  </si>
  <si>
    <t>Compete UV</t>
  </si>
  <si>
    <t>CA折算列，州名及其系数</t>
  </si>
  <si>
    <t>（后面公式用到，勿删）：</t>
  </si>
  <si>
    <t>CA</t>
  </si>
  <si>
    <t>WA</t>
  </si>
  <si>
    <t>MT</t>
  </si>
  <si>
    <t>OR</t>
  </si>
  <si>
    <t>ID</t>
  </si>
  <si>
    <t>WY</t>
  </si>
  <si>
    <t>NV</t>
  </si>
  <si>
    <t>UT</t>
  </si>
  <si>
    <t>CO</t>
  </si>
  <si>
    <t>AZ</t>
  </si>
  <si>
    <t>NM</t>
  </si>
  <si>
    <t>TX</t>
  </si>
  <si>
    <r>
      <rPr>
        <sz val="11"/>
        <color theme="1"/>
        <rFont val="宋体"/>
        <charset val="134"/>
        <scheme val="minor"/>
      </rPr>
      <t>F</t>
    </r>
    <r>
      <rPr>
        <sz val="11"/>
        <color theme="1"/>
        <rFont val="宋体"/>
        <charset val="134"/>
        <scheme val="minor"/>
      </rPr>
      <t>orum Link</t>
    </r>
  </si>
  <si>
    <t>数据取自semrush的Bulk Backlink Analysis的所有外链域名记录</t>
  </si>
  <si>
    <t>Brands</t>
  </si>
  <si>
    <t>GPG</t>
  </si>
  <si>
    <t>Motor</t>
  </si>
  <si>
    <t>Brand Traffic</t>
  </si>
  <si>
    <t>Brand
Traffic%</t>
  </si>
  <si>
    <t>GPG - 2
Traffic</t>
  </si>
  <si>
    <t>GPG - 1
Traffic</t>
  </si>
  <si>
    <t>GPG - 12
Traffic</t>
  </si>
  <si>
    <t>GPG - 11
Traffic</t>
  </si>
  <si>
    <t>GPG - 10
Traffic</t>
  </si>
  <si>
    <t>GPG - 09
Traffic</t>
  </si>
  <si>
    <t>GPG - 08
Traffic</t>
  </si>
  <si>
    <t>GPG - 07
Traffic</t>
  </si>
  <si>
    <t>GPG - 06
Traffic</t>
  </si>
  <si>
    <t>GPG - 05
Traffic</t>
  </si>
  <si>
    <t>GPG - 04
Traffic</t>
  </si>
  <si>
    <t>GPG - 03
Traffic</t>
  </si>
  <si>
    <t>GPG - 02
Traffic</t>
  </si>
  <si>
    <t>GPG - 01
Traffic</t>
  </si>
  <si>
    <t>GPG - 04 Traffic</t>
  </si>
  <si>
    <t>02月 Traffic</t>
  </si>
  <si>
    <t>Motor Traffic</t>
  </si>
  <si>
    <t>Share% Feb 2024</t>
  </si>
  <si>
    <t>Share% Jar 2024</t>
  </si>
  <si>
    <t>Share% Dec 2023</t>
  </si>
  <si>
    <t>Share% Nov 2023</t>
  </si>
  <si>
    <t>Share% Oct 2023</t>
  </si>
  <si>
    <t>Share% Sep 2023</t>
  </si>
  <si>
    <t>Share% Aug 2023</t>
  </si>
  <si>
    <t>Share% July 2023</t>
  </si>
  <si>
    <t>Share% June 2023</t>
  </si>
  <si>
    <t>Share% May 2023</t>
  </si>
  <si>
    <t>Share% Apr 2023</t>
  </si>
  <si>
    <t>Share% Mar 2023</t>
  </si>
  <si>
    <t>Share% Feb 2023</t>
  </si>
  <si>
    <t>Share% Jan 2023</t>
  </si>
  <si>
    <t>Share% Dec 2022</t>
  </si>
  <si>
    <t>Share% Nov 2022</t>
  </si>
  <si>
    <t>Share% Oct 2022</t>
  </si>
  <si>
    <t>Share% Sep 2022</t>
  </si>
  <si>
    <t>Share% Aug 2022</t>
  </si>
  <si>
    <t>Share% Jul 2022</t>
  </si>
  <si>
    <t>Share% Jun 2022</t>
  </si>
  <si>
    <t>Share% May 2022</t>
  </si>
  <si>
    <t>Share%  Apr 2022</t>
  </si>
  <si>
    <t>Share%  Mar 2022</t>
  </si>
  <si>
    <t>Share%  Feb 2022</t>
  </si>
  <si>
    <t>Share%  Jan 2022</t>
  </si>
  <si>
    <t>Share%  Dec 2021</t>
  </si>
  <si>
    <t>Share%  Nov 2021</t>
  </si>
  <si>
    <t>Share%  Oct 2021</t>
  </si>
  <si>
    <t>Share%  Sep 2021</t>
  </si>
  <si>
    <t>Share%  Aug 2021</t>
  </si>
  <si>
    <t>Share%  July 2021</t>
  </si>
  <si>
    <t>Share%  Jun 2021</t>
  </si>
  <si>
    <t>Share%  May 2021</t>
  </si>
  <si>
    <t>Share%  Apr 2021</t>
  </si>
  <si>
    <t>Share%  Mar 2021</t>
  </si>
  <si>
    <t>Share%  Feb 2021</t>
  </si>
  <si>
    <t>Share%  Jan 2021</t>
  </si>
  <si>
    <t>Share%  Dec 2020</t>
  </si>
  <si>
    <t>Share%  Nov 2020</t>
  </si>
  <si>
    <t>Share%  Oct 2020</t>
  </si>
  <si>
    <t>Share%  Sep 2020</t>
  </si>
  <si>
    <t>Share%  Aug 2020</t>
  </si>
  <si>
    <t>Share%  Jul 2020</t>
  </si>
  <si>
    <t>Share%  Jun 2020</t>
  </si>
  <si>
    <t>Share%  May 2020</t>
  </si>
  <si>
    <t>Share%  April 2020</t>
  </si>
  <si>
    <t>Share%  March 2020</t>
  </si>
  <si>
    <t>Share% Dec2019</t>
  </si>
  <si>
    <t>Share%
Dec2018</t>
  </si>
  <si>
    <t>Share Change</t>
  </si>
  <si>
    <t>Traffic Change</t>
  </si>
  <si>
    <t>Notes</t>
  </si>
  <si>
    <t>Honda</t>
  </si>
  <si>
    <t>hondapartsnow.com</t>
  </si>
  <si>
    <t>Honda MarketingShare 下降1.1%，HPN零件价格排在第一到五名。</t>
  </si>
  <si>
    <t>Toyota</t>
  </si>
  <si>
    <t>toyotapartsdeal.com</t>
  </si>
  <si>
    <t>www.toyotapartsprime.com</t>
  </si>
  <si>
    <t>Toyota MarketingShare 上涨1.0%，TPD零件价格排在三至六名。</t>
  </si>
  <si>
    <t>GM</t>
  </si>
  <si>
    <t>gmpartsgiant.com</t>
  </si>
  <si>
    <t>www.gmpartsprime.com</t>
  </si>
  <si>
    <t>GM MarketingShare 上涨1.3%，GPG零件价格排在第二至五名。</t>
  </si>
  <si>
    <t>Mopar</t>
  </si>
  <si>
    <t>moparpartsgiant.com</t>
  </si>
  <si>
    <t>Mopar MarketingShare 上涨 2.9%，MPG零件价格排在第二名到八名。</t>
  </si>
  <si>
    <t>Ford</t>
  </si>
  <si>
    <t>fordpartsgiant.com</t>
  </si>
  <si>
    <t>www.fordpartsprime.com</t>
  </si>
  <si>
    <t>Ford MarketingShare 下降 1.0%，FPG零件价格排在第二至四名。</t>
  </si>
  <si>
    <t>Hyundai</t>
  </si>
  <si>
    <t>hyundaipartsdeal.com</t>
  </si>
  <si>
    <t>Hyundai MarketingShare 上升0.8%，HPD零件价格排在第二至三名。</t>
  </si>
  <si>
    <t>Nissan</t>
  </si>
  <si>
    <t>nissanpartsdeal.com</t>
  </si>
  <si>
    <t>Nissan MarketingShare 下降 4.1%，NPD零件价格排在第三名。
竞品 nissanparts.cc 因流量大于 Brand Traffic 5%, 加入 MS 监控。</t>
  </si>
  <si>
    <t>Kia</t>
  </si>
  <si>
    <t>kiapartsnow.com</t>
  </si>
  <si>
    <t>Kia MarketingShare 下降7.7%，KPN零件价格排在七至九名。</t>
  </si>
  <si>
    <t>Subaru</t>
  </si>
  <si>
    <t>subarupartsdeal.com</t>
  </si>
  <si>
    <t>Subaru MarketingShare上涨 3.1 %，SPD零件价格总体排在第五名。</t>
  </si>
  <si>
    <t>Lexus</t>
  </si>
  <si>
    <t>lexuspartsnow.com</t>
  </si>
  <si>
    <t>Lexus MarketingShare 下降0.4%，LPN的价格位于第六至八名。</t>
  </si>
  <si>
    <t>BMW</t>
  </si>
  <si>
    <t>BMWPartsDeal.com</t>
  </si>
  <si>
    <t>BMW MarketingShare 下降 0.6%，BPD零件价格排在第二至五名。
竞品 parts.bmwmonterey.com 因连续半年市场份额低于5%。移除 MS 监控。
竞品 bmwdirectparts.com 因流量大于 Brand Traffic 5%，加入 MS 监控。</t>
  </si>
  <si>
    <t>Acura</t>
  </si>
  <si>
    <t>acurapartswarehouse.com</t>
  </si>
  <si>
    <t>Acura MarketingShare 上涨0.9%，APW零件价格排在第二至四名。</t>
  </si>
  <si>
    <t>Infiniti</t>
  </si>
  <si>
    <t>infinitipartsdeal.com</t>
  </si>
  <si>
    <t>Infiniti MarketingShare 下降0.7%，IPD零件价格排在第二名到第五名。</t>
  </si>
  <si>
    <t/>
  </si>
  <si>
    <t>GPG Traffic Total Share%</t>
  </si>
  <si>
    <t>BrandTraffic</t>
  </si>
  <si>
    <t>BrandTraffic%</t>
  </si>
  <si>
    <t>BrandTraffic Change%</t>
  </si>
  <si>
    <t>Mazda</t>
  </si>
  <si>
    <t>Brand Traffic 下降4.5%</t>
  </si>
  <si>
    <t>Mercedes Benz</t>
  </si>
  <si>
    <t>Brand Traffic 下降1.9%</t>
  </si>
  <si>
    <t>Volkswagen</t>
  </si>
  <si>
    <t>Brand Traffic 下降17.5%</t>
  </si>
  <si>
    <t>Volvo</t>
  </si>
  <si>
    <t>Brand Traffic 下降12.5%</t>
  </si>
  <si>
    <t>Audi</t>
  </si>
  <si>
    <t>Brand Traffic 下降6.7%</t>
  </si>
  <si>
    <t>Mitsubishi</t>
  </si>
  <si>
    <t>Brand Traffic 上涨5.2%</t>
  </si>
  <si>
    <t>Not Considering</t>
  </si>
  <si>
    <t>Jaguar</t>
  </si>
  <si>
    <t>Porsche</t>
  </si>
  <si>
    <t>LandRover</t>
  </si>
  <si>
    <t>Brands Total</t>
  </si>
  <si>
    <r>
      <rPr>
        <b/>
        <sz val="12"/>
        <rFont val="微软雅黑"/>
        <charset val="134"/>
      </rPr>
      <t>流量指标</t>
    </r>
  </si>
  <si>
    <t>Sites</t>
  </si>
  <si>
    <t>Backlinks</t>
  </si>
  <si>
    <t>Domains</t>
  </si>
  <si>
    <r>
      <rPr>
        <b/>
        <sz val="12"/>
        <rFont val="Calibri"/>
        <charset val="134"/>
      </rPr>
      <t>Catalog</t>
    </r>
    <r>
      <rPr>
        <b/>
        <sz val="12"/>
        <rFont val="微软雅黑"/>
        <charset val="134"/>
      </rPr>
      <t>品牌</t>
    </r>
  </si>
  <si>
    <t>Competitors</t>
  </si>
  <si>
    <r>
      <rPr>
        <b/>
        <sz val="12"/>
        <rFont val="微软雅黑"/>
        <charset val="134"/>
      </rPr>
      <t>目录类型</t>
    </r>
  </si>
  <si>
    <t>States</t>
  </si>
  <si>
    <t>Alexa Traffic Rank</t>
  </si>
  <si>
    <t>Avg. Traffic  (SEMRush+SimilarWeb加权) - 2月</t>
  </si>
  <si>
    <r>
      <rPr>
        <b/>
        <sz val="12"/>
        <rFont val="Calibri"/>
        <charset val="134"/>
      </rPr>
      <t>Avg. Traffic  (SEMRush+SimilarWeb</t>
    </r>
    <r>
      <rPr>
        <b/>
        <sz val="12"/>
        <rFont val="微软雅黑"/>
        <charset val="134"/>
      </rPr>
      <t>加权</t>
    </r>
    <r>
      <rPr>
        <b/>
        <sz val="12"/>
        <rFont val="Calibri"/>
        <charset val="134"/>
      </rPr>
      <t>) - 12</t>
    </r>
    <r>
      <rPr>
        <b/>
        <sz val="12"/>
        <rFont val="微软雅黑"/>
        <charset val="134"/>
      </rPr>
      <t>月</t>
    </r>
  </si>
  <si>
    <t>Avg. Traffic  (SEMRush+SimilarWeb加权) - 12月</t>
  </si>
  <si>
    <r>
      <rPr>
        <b/>
        <sz val="12"/>
        <rFont val="微软雅黑"/>
        <charset val="134"/>
      </rPr>
      <t>流量变化情况</t>
    </r>
    <r>
      <rPr>
        <b/>
        <sz val="12"/>
        <rFont val="Calibri"/>
        <charset val="134"/>
      </rPr>
      <t xml:space="preserve"> -1</t>
    </r>
    <r>
      <rPr>
        <b/>
        <sz val="12"/>
        <rFont val="微软雅黑"/>
        <charset val="134"/>
      </rPr>
      <t>月</t>
    </r>
  </si>
  <si>
    <t>Marketing share-2月</t>
  </si>
  <si>
    <t>Marketing share-1月</t>
  </si>
  <si>
    <t>Marketing share-12月</t>
  </si>
  <si>
    <r>
      <rPr>
        <b/>
        <sz val="12"/>
        <rFont val="Calibri"/>
        <charset val="134"/>
      </rPr>
      <t>Marketing share</t>
    </r>
    <r>
      <rPr>
        <b/>
        <sz val="12"/>
        <rFont val="微软雅黑"/>
        <charset val="134"/>
      </rPr>
      <t>变化情况</t>
    </r>
    <r>
      <rPr>
        <b/>
        <sz val="12"/>
        <rFont val="Calibri"/>
        <charset val="134"/>
      </rPr>
      <t xml:space="preserve"> -1 </t>
    </r>
    <r>
      <rPr>
        <b/>
        <sz val="12"/>
        <rFont val="微软雅黑"/>
        <charset val="134"/>
      </rPr>
      <t>月</t>
    </r>
  </si>
  <si>
    <r>
      <rPr>
        <b/>
        <sz val="12"/>
        <rFont val="Calibri"/>
        <charset val="134"/>
      </rPr>
      <t>CA</t>
    </r>
    <r>
      <rPr>
        <b/>
        <sz val="12"/>
        <rFont val="微软雅黑"/>
        <charset val="134"/>
      </rPr>
      <t>折算</t>
    </r>
  </si>
  <si>
    <r>
      <rPr>
        <b/>
        <sz val="12"/>
        <rFont val="微软雅黑"/>
        <charset val="134"/>
      </rPr>
      <t>竞争者折算流量</t>
    </r>
  </si>
  <si>
    <r>
      <rPr>
        <b/>
        <sz val="12"/>
        <rFont val="微软雅黑"/>
        <charset val="134"/>
      </rPr>
      <t>说明</t>
    </r>
  </si>
  <si>
    <t>Percentage</t>
  </si>
  <si>
    <t>Catalog Update</t>
  </si>
  <si>
    <t>Forum Link</t>
  </si>
  <si>
    <t>Price Comment——Recent</t>
  </si>
  <si>
    <t>Shipping Comment</t>
  </si>
  <si>
    <t>Autobest</t>
  </si>
  <si>
    <r>
      <rPr>
        <sz val="12"/>
        <color rgb="FFFF0000"/>
        <rFont val="Calibri"/>
        <charset val="134"/>
      </rPr>
      <t xml:space="preserve">L:82% N:39% D:78% </t>
    </r>
    <r>
      <rPr>
        <sz val="12"/>
        <color rgb="FFFF0000"/>
        <rFont val="微软雅黑"/>
        <charset val="134"/>
      </rPr>
      <t>有销售</t>
    </r>
    <r>
      <rPr>
        <sz val="12"/>
        <color rgb="FFFF0000"/>
        <rFont val="Calibri"/>
        <charset val="134"/>
      </rPr>
      <t>:82%</t>
    </r>
  </si>
  <si>
    <t>2020 on 202011</t>
  </si>
  <si>
    <t>Revolution</t>
  </si>
  <si>
    <t>hondapartsonline.net</t>
  </si>
  <si>
    <t>honda.oempartsonline.com</t>
  </si>
  <si>
    <t>Motor目录</t>
  </si>
  <si>
    <t>-</t>
  </si>
  <si>
    <t>hondafactoryparts.com</t>
  </si>
  <si>
    <t>hondapartsconnection.com</t>
  </si>
  <si>
    <t>hondaautomotiveparts.com</t>
  </si>
  <si>
    <t>Bernardi</t>
  </si>
  <si>
    <t>bernardiparts.com</t>
  </si>
  <si>
    <t>x</t>
  </si>
  <si>
    <r>
      <rPr>
        <sz val="12"/>
        <color rgb="FFFF0000"/>
        <rFont val="Calibri"/>
        <charset val="134"/>
      </rPr>
      <t xml:space="preserve">L:92% N:66% D:96% </t>
    </r>
    <r>
      <rPr>
        <sz val="12"/>
        <color rgb="FFFF0000"/>
        <rFont val="微软雅黑"/>
        <charset val="134"/>
      </rPr>
      <t>有销售</t>
    </r>
    <r>
      <rPr>
        <sz val="12"/>
        <color rgb="FFFF0000"/>
        <rFont val="Calibri"/>
        <charset val="134"/>
      </rPr>
      <t>:90%</t>
    </r>
  </si>
  <si>
    <t>parts.olathetoyota.com</t>
  </si>
  <si>
    <t>SimplePart</t>
  </si>
  <si>
    <t>parts.lakelandtoyota.com</t>
  </si>
  <si>
    <t>oemgenuineparts.com</t>
  </si>
  <si>
    <t>parts.longotoyota.com</t>
  </si>
  <si>
    <r>
      <rPr>
        <sz val="12"/>
        <rFont val="Calibri"/>
        <charset val="134"/>
      </rPr>
      <t>Motor</t>
    </r>
    <r>
      <rPr>
        <sz val="12"/>
        <rFont val="微软雅黑"/>
        <charset val="134"/>
      </rPr>
      <t>目录</t>
    </r>
  </si>
  <si>
    <t>toyotaparts.ourismantoyotaofrichmond.com</t>
  </si>
  <si>
    <t>toyotaparts.bochtoyotasouth.com</t>
  </si>
  <si>
    <t>MA</t>
  </si>
  <si>
    <t>gmpartsdirect.com</t>
  </si>
  <si>
    <t>gmpartscenter.net</t>
  </si>
  <si>
    <t>autopartsexpress.net</t>
  </si>
  <si>
    <r>
      <rPr>
        <sz val="12"/>
        <color rgb="FFFF0000"/>
        <rFont val="Calibri"/>
        <charset val="134"/>
      </rPr>
      <t xml:space="preserve">L:78% N:49% D:82% </t>
    </r>
    <r>
      <rPr>
        <sz val="12"/>
        <color rgb="FFFF0000"/>
        <rFont val="微软雅黑"/>
        <charset val="134"/>
      </rPr>
      <t>有销售</t>
    </r>
    <r>
      <rPr>
        <sz val="12"/>
        <color rgb="FFFF0000"/>
        <rFont val="Calibri"/>
        <charset val="134"/>
      </rPr>
      <t>:81%</t>
    </r>
  </si>
  <si>
    <t>tascaparts.com</t>
  </si>
  <si>
    <t>wholesalegmpartsonline.com</t>
  </si>
  <si>
    <t>L:70% N:20%</t>
  </si>
  <si>
    <t>gmpartsstore.com</t>
  </si>
  <si>
    <r>
      <rPr>
        <sz val="12"/>
        <color rgb="FFFF0000"/>
        <rFont val="Calibri"/>
        <charset val="134"/>
      </rPr>
      <t xml:space="preserve">L:77% N:26% D:70% </t>
    </r>
    <r>
      <rPr>
        <sz val="12"/>
        <color rgb="FFFF0000"/>
        <rFont val="微软雅黑"/>
        <charset val="134"/>
      </rPr>
      <t>有销售</t>
    </r>
    <r>
      <rPr>
        <sz val="12"/>
        <color rgb="FFFF0000"/>
        <rFont val="Calibri"/>
        <charset val="134"/>
      </rPr>
      <t>:80%</t>
    </r>
  </si>
  <si>
    <t>mymoparparts.com</t>
  </si>
  <si>
    <t>moparfactoryparts.com</t>
  </si>
  <si>
    <t>factorychryslerparts.com</t>
  </si>
  <si>
    <t>mopar.oempartsonline.com</t>
  </si>
  <si>
    <t>parts.chryslerjeepdodgecityofmckinney.com</t>
  </si>
  <si>
    <t>moparpartsoverstock.com</t>
  </si>
  <si>
    <t>FL</t>
  </si>
  <si>
    <t>moparwholesaleparts.com</t>
  </si>
  <si>
    <r>
      <rPr>
        <sz val="12"/>
        <color rgb="FFFF0000"/>
        <rFont val="Calibri"/>
        <charset val="134"/>
      </rPr>
      <t xml:space="preserve">L:71% N:44% D:79% </t>
    </r>
    <r>
      <rPr>
        <sz val="12"/>
        <color rgb="FFFF0000"/>
        <rFont val="微软雅黑"/>
        <charset val="134"/>
      </rPr>
      <t>有销售</t>
    </r>
    <r>
      <rPr>
        <sz val="12"/>
        <color rgb="FFFF0000"/>
        <rFont val="Calibri"/>
        <charset val="134"/>
      </rPr>
      <t>:87%</t>
    </r>
  </si>
  <si>
    <t>ford.oempartsonline.com</t>
  </si>
  <si>
    <t>parts.lakelandford.com</t>
  </si>
  <si>
    <t>oemfordpartsdirect.com</t>
  </si>
  <si>
    <t>MO</t>
  </si>
  <si>
    <t>oemfordpart.com</t>
  </si>
  <si>
    <t>hyundai</t>
  </si>
  <si>
    <r>
      <rPr>
        <sz val="12"/>
        <color rgb="FFFF0000"/>
        <rFont val="Calibri"/>
        <charset val="134"/>
      </rPr>
      <t xml:space="preserve">L:80% N:53% D:69% </t>
    </r>
    <r>
      <rPr>
        <sz val="12"/>
        <color rgb="FFFF0000"/>
        <rFont val="微软雅黑"/>
        <charset val="134"/>
      </rPr>
      <t>有销售</t>
    </r>
    <r>
      <rPr>
        <sz val="12"/>
        <color rgb="FFFF0000"/>
        <rFont val="Calibri"/>
        <charset val="134"/>
      </rPr>
      <t>:88%</t>
    </r>
  </si>
  <si>
    <t>hyundai.oempartsonline.com</t>
  </si>
  <si>
    <t>wholesalehyundaiparts.com</t>
  </si>
  <si>
    <t>hyundaioempartsdirect.com</t>
  </si>
  <si>
    <t>hyundai.worldoemparts.com</t>
  </si>
  <si>
    <r>
      <rPr>
        <sz val="12"/>
        <color rgb="FFFF0000"/>
        <rFont val="Calibri"/>
        <charset val="134"/>
      </rPr>
      <t xml:space="preserve">L:77% N:44% D:85% </t>
    </r>
    <r>
      <rPr>
        <sz val="12"/>
        <color rgb="FFFF0000"/>
        <rFont val="微软雅黑"/>
        <charset val="134"/>
      </rPr>
      <t>有销售</t>
    </r>
    <r>
      <rPr>
        <sz val="12"/>
        <color rgb="FFFF0000"/>
        <rFont val="Calibri"/>
        <charset val="134"/>
      </rPr>
      <t>:91%</t>
    </r>
  </si>
  <si>
    <t>nissan.oempartsonline.com</t>
  </si>
  <si>
    <t>nissanpartsplus.com</t>
  </si>
  <si>
    <t>nissanparts.cc</t>
  </si>
  <si>
    <r>
      <rPr>
        <sz val="12"/>
        <color rgb="FFFF0000"/>
        <rFont val="Calibri"/>
        <charset val="134"/>
      </rPr>
      <t xml:space="preserve">L:64% N:23% D:82% </t>
    </r>
    <r>
      <rPr>
        <sz val="12"/>
        <color rgb="FFFF0000"/>
        <rFont val="微软雅黑"/>
        <charset val="134"/>
      </rPr>
      <t>有销售</t>
    </r>
    <r>
      <rPr>
        <sz val="12"/>
        <color rgb="FFFF0000"/>
        <rFont val="Calibri"/>
        <charset val="134"/>
      </rPr>
      <t>:80%</t>
    </r>
  </si>
  <si>
    <t>kia.parts</t>
  </si>
  <si>
    <t>kia.oempartsonline.com</t>
  </si>
  <si>
    <t>kiacheapparts.com</t>
  </si>
  <si>
    <t>mykiaparts.com</t>
  </si>
  <si>
    <t>kiaparts.com</t>
  </si>
  <si>
    <t>kiaparts.penceauto.com</t>
  </si>
  <si>
    <t>VA</t>
  </si>
  <si>
    <t>quirkparts.com</t>
  </si>
  <si>
    <t>subaruparts.com</t>
  </si>
  <si>
    <t>subarupartsplus.com</t>
  </si>
  <si>
    <t>parts.subaruonlineparts.com</t>
  </si>
  <si>
    <t>parts.subarupartspros.com</t>
  </si>
  <si>
    <t>estore.subarupartswarehouse.com</t>
  </si>
  <si>
    <t>subarupartwholesale.com</t>
  </si>
  <si>
    <r>
      <rPr>
        <sz val="12"/>
        <color rgb="FFFF0000"/>
        <rFont val="Calibri"/>
        <charset val="134"/>
      </rPr>
      <t xml:space="preserve">L:86% N:59% D:87% </t>
    </r>
    <r>
      <rPr>
        <sz val="12"/>
        <color rgb="FFFF0000"/>
        <rFont val="微软雅黑"/>
        <charset val="134"/>
      </rPr>
      <t>有销售</t>
    </r>
    <r>
      <rPr>
        <sz val="12"/>
        <color rgb="FFFF0000"/>
        <rFont val="Calibri"/>
        <charset val="134"/>
      </rPr>
      <t>:92%</t>
    </r>
  </si>
  <si>
    <t>parts.belllexusnorthscottsdale.com</t>
  </si>
  <si>
    <r>
      <rPr>
        <sz val="12"/>
        <rFont val="微软雅黑"/>
        <charset val="134"/>
      </rPr>
      <t>原厂目录</t>
    </r>
  </si>
  <si>
    <t>TN</t>
  </si>
  <si>
    <t>parts.prestigelexus.com</t>
  </si>
  <si>
    <t>parts.longolexus.com</t>
  </si>
  <si>
    <t>revolution</t>
  </si>
  <si>
    <t>mylparts.com</t>
  </si>
  <si>
    <t>parts.lexusstevenscreek.com</t>
  </si>
  <si>
    <t>lexusoeparts.com</t>
  </si>
  <si>
    <t>discountpartsmonster.com</t>
  </si>
  <si>
    <t>getbmwparts.com</t>
  </si>
  <si>
    <t>parts.bmwofsouthatlanta.com</t>
  </si>
  <si>
    <t>bmwpartsdeal.com</t>
  </si>
  <si>
    <t>N:22.7% L:20%</t>
  </si>
  <si>
    <t>parts.bmwnorthwest.com</t>
  </si>
  <si>
    <t>bmwpartsnow.com</t>
  </si>
  <si>
    <t>bmwdirectparts.com</t>
  </si>
  <si>
    <t>bmwpartshub.com</t>
  </si>
  <si>
    <r>
      <rPr>
        <sz val="12"/>
        <color rgb="FFFF0000"/>
        <rFont val="Calibri"/>
        <charset val="134"/>
      </rPr>
      <t xml:space="preserve">L:70% N:33% D:52% </t>
    </r>
    <r>
      <rPr>
        <sz val="12"/>
        <color rgb="FFFF0000"/>
        <rFont val="微软雅黑"/>
        <charset val="134"/>
      </rPr>
      <t>有销售</t>
    </r>
    <r>
      <rPr>
        <sz val="12"/>
        <color rgb="FFFF0000"/>
        <rFont val="Calibri"/>
        <charset val="134"/>
      </rPr>
      <t>:72%</t>
    </r>
  </si>
  <si>
    <t>acura.oempartsonline.com</t>
  </si>
  <si>
    <t>oemacuraparts.com</t>
  </si>
  <si>
    <t>alldiscountparts.com</t>
  </si>
  <si>
    <t>acura.bernardiparts.com</t>
  </si>
  <si>
    <t>acurapartsforless.com</t>
  </si>
  <si>
    <r>
      <rPr>
        <sz val="12"/>
        <color rgb="FFFF0000"/>
        <rFont val="Calibri"/>
        <charset val="134"/>
      </rPr>
      <t xml:space="preserve">L:74% N:44% D:100% </t>
    </r>
    <r>
      <rPr>
        <sz val="12"/>
        <color rgb="FFFF0000"/>
        <rFont val="微软雅黑"/>
        <charset val="134"/>
      </rPr>
      <t>有销售</t>
    </r>
    <r>
      <rPr>
        <sz val="12"/>
        <color rgb="FFFF0000"/>
        <rFont val="Calibri"/>
        <charset val="134"/>
      </rPr>
      <t>:100%</t>
    </r>
  </si>
  <si>
    <t>Simplepart</t>
  </si>
  <si>
    <t>infinitioforlandparkparts.com</t>
  </si>
  <si>
    <t>infiniti.oempartsonline.com</t>
  </si>
  <si>
    <t>infinitipartsnet.com</t>
  </si>
  <si>
    <t>infinitipartsonline.com</t>
  </si>
  <si>
    <t>realmazdaparts.com</t>
  </si>
  <si>
    <t>jimellismazdaparts.com</t>
  </si>
  <si>
    <t>Mazda Stuff</t>
  </si>
  <si>
    <t>mazdastuff.com</t>
  </si>
  <si>
    <t>mazda-parts.com</t>
  </si>
  <si>
    <t>mazdapartsfactor.com</t>
  </si>
  <si>
    <t>mazdaswag.com</t>
  </si>
  <si>
    <t>mazdaparts.org</t>
  </si>
  <si>
    <t>parts.rentonmazda.com</t>
  </si>
  <si>
    <t>mazdacarpartsonline.com</t>
  </si>
  <si>
    <t>onlinemazdaparts.com</t>
  </si>
  <si>
    <t>mboemparts.com</t>
  </si>
  <si>
    <t>mbdirectparts.com</t>
  </si>
  <si>
    <t>mbpartsource.com</t>
  </si>
  <si>
    <t>mbonlineparts.com</t>
  </si>
  <si>
    <t>mercedesbenzpartsstore.com</t>
  </si>
  <si>
    <t>mbpartscenter.com</t>
  </si>
  <si>
    <t>mercedespartscenter.com</t>
  </si>
  <si>
    <t>mercedesbenz.parts</t>
  </si>
  <si>
    <t>mercedesbenzstarparts.com</t>
  </si>
  <si>
    <t>mbpartsstore.com</t>
  </si>
  <si>
    <r>
      <rPr>
        <sz val="11"/>
        <color theme="1"/>
        <rFont val="Calibri"/>
        <charset val="134"/>
      </rPr>
      <t>Motor</t>
    </r>
    <r>
      <rPr>
        <sz val="11"/>
        <color theme="1"/>
        <rFont val="微软雅黑"/>
        <charset val="134"/>
      </rPr>
      <t>目录</t>
    </r>
  </si>
  <si>
    <t>vw.oempartsonline.com</t>
  </si>
  <si>
    <t>myvwpart.com</t>
  </si>
  <si>
    <t>vwpartsvortex.com</t>
  </si>
  <si>
    <t>jimellisvwparts.com</t>
  </si>
  <si>
    <t>vwpartscenter.net</t>
  </si>
  <si>
    <t>volvopartswebstore.com</t>
  </si>
  <si>
    <t>volvopartscounter.com</t>
  </si>
  <si>
    <t>volvodealerparts.com</t>
  </si>
  <si>
    <t>myswedishparts.com</t>
  </si>
  <si>
    <t>motor目录</t>
  </si>
  <si>
    <t>volvowholesalepartsdirect.com</t>
  </si>
  <si>
    <t>parts.volvocarsannapolis.com</t>
  </si>
  <si>
    <t>volvowholesaleparts.com</t>
  </si>
  <si>
    <t>audiusaparts.com</t>
  </si>
  <si>
    <t>audipartsstore.com</t>
  </si>
  <si>
    <t>Trademotion</t>
  </si>
  <si>
    <t>genuineaudiparts.com</t>
  </si>
  <si>
    <t>jimellisaudiparts.com</t>
  </si>
  <si>
    <t>getaudiparts.com</t>
  </si>
  <si>
    <t>MD</t>
  </si>
  <si>
    <t>audioemparts.com</t>
  </si>
  <si>
    <t>audi.bernardiparts.com</t>
  </si>
  <si>
    <t>europarts4less.com</t>
  </si>
  <si>
    <t>German Auto Parts</t>
  </si>
  <si>
    <t>germanautoparts.com</t>
  </si>
  <si>
    <t>europeanoempartsdirect.com</t>
  </si>
  <si>
    <t>mitsubishipartswarehouse.com</t>
  </si>
  <si>
    <t>mitsubishipartsnow.com</t>
  </si>
  <si>
    <t>mitsubishidirectparts.com</t>
  </si>
  <si>
    <t>factorymitsubishiparts.com</t>
  </si>
  <si>
    <t>mitsubishiparts.com</t>
  </si>
  <si>
    <t>parts.puentehillsmitsubishi.com</t>
  </si>
  <si>
    <t>wholesalemitsubishiparts.com</t>
  </si>
  <si>
    <t>Avg. Traffic  (SEMRush+SimilarWeb加权) - 1月</t>
  </si>
  <si>
    <t>流量变化情况 -1月</t>
  </si>
  <si>
    <t>Marketing share-11月</t>
  </si>
  <si>
    <t>parts.bmwmonterey.com</t>
  </si>
  <si>
    <r>
      <rPr>
        <sz val="11"/>
        <color theme="1"/>
        <rFont val="微软雅黑"/>
        <charset val="134"/>
      </rPr>
      <t>原厂目录</t>
    </r>
  </si>
  <si>
    <t>Marketing share-10月</t>
  </si>
  <si>
    <t>SimpleParts</t>
  </si>
  <si>
    <t>bmwpartswholesale.com</t>
  </si>
  <si>
    <t>genuinebmwminiparts.com</t>
  </si>
  <si>
    <t>discountinfinitiparts.com</t>
  </si>
  <si>
    <t>rentonmazda.com</t>
  </si>
  <si>
    <t>Avg. Traffic  (SEMRush+SimilarWeb加权) - 11月</t>
  </si>
  <si>
    <r>
      <rPr>
        <b/>
        <sz val="12"/>
        <rFont val="Calibri"/>
        <charset val="134"/>
      </rPr>
      <t>Avg. Traffic  (SEMRush+SimilarWeb</t>
    </r>
    <r>
      <rPr>
        <b/>
        <sz val="12"/>
        <rFont val="微软雅黑"/>
        <charset val="134"/>
      </rPr>
      <t>加权</t>
    </r>
    <r>
      <rPr>
        <b/>
        <sz val="12"/>
        <rFont val="Calibri"/>
        <charset val="134"/>
      </rPr>
      <t>) - 11</t>
    </r>
    <r>
      <rPr>
        <b/>
        <sz val="12"/>
        <rFont val="微软雅黑"/>
        <charset val="134"/>
      </rPr>
      <t>月</t>
    </r>
  </si>
  <si>
    <r>
      <rPr>
        <b/>
        <sz val="12"/>
        <rFont val="Calibri"/>
        <charset val="134"/>
      </rPr>
      <t>Marketing share-10</t>
    </r>
    <r>
      <rPr>
        <b/>
        <sz val="12"/>
        <rFont val="微软雅黑"/>
        <charset val="134"/>
      </rPr>
      <t>月</t>
    </r>
  </si>
  <si>
    <r>
      <rPr>
        <b/>
        <sz val="12"/>
        <rFont val="Calibri"/>
        <charset val="134"/>
      </rPr>
      <t>Marketing share-9</t>
    </r>
    <r>
      <rPr>
        <b/>
        <sz val="12"/>
        <rFont val="微软雅黑"/>
        <charset val="134"/>
      </rPr>
      <t>月</t>
    </r>
  </si>
  <si>
    <t>bluespringsfordparts.com</t>
  </si>
  <si>
    <t>nissanpartsoverstock.com</t>
  </si>
  <si>
    <r>
      <rPr>
        <b/>
        <sz val="12"/>
        <rFont val="Calibri"/>
        <charset val="134"/>
      </rPr>
      <t>Avg. Traffic  (SEMRush+SimilarWeb</t>
    </r>
    <r>
      <rPr>
        <b/>
        <sz val="12"/>
        <rFont val="微软雅黑"/>
        <charset val="134"/>
      </rPr>
      <t>加权</t>
    </r>
    <r>
      <rPr>
        <b/>
        <sz val="12"/>
        <rFont val="Calibri"/>
        <charset val="134"/>
      </rPr>
      <t>) - 10</t>
    </r>
    <r>
      <rPr>
        <b/>
        <sz val="12"/>
        <rFont val="微软雅黑"/>
        <charset val="134"/>
      </rPr>
      <t>月</t>
    </r>
  </si>
  <si>
    <r>
      <rPr>
        <b/>
        <sz val="12"/>
        <rFont val="Calibri"/>
        <charset val="134"/>
      </rPr>
      <t>Marketing share-8</t>
    </r>
    <r>
      <rPr>
        <b/>
        <sz val="12"/>
        <rFont val="微软雅黑"/>
        <charset val="134"/>
      </rPr>
      <t>月</t>
    </r>
  </si>
  <si>
    <r>
      <rPr>
        <sz val="12"/>
        <color rgb="FFFF0000"/>
        <rFont val="Calibri"/>
        <charset val="134"/>
      </rPr>
      <t>2023/9/23</t>
    </r>
    <r>
      <rPr>
        <sz val="12"/>
        <color rgb="FFFF0000"/>
        <rFont val="宋体"/>
        <charset val="134"/>
      </rPr>
      <t>上调TPD总价</t>
    </r>
  </si>
  <si>
    <r>
      <rPr>
        <sz val="12"/>
        <color rgb="FFFF0000"/>
        <rFont val="Calibri"/>
        <charset val="134"/>
      </rPr>
      <t>10.22</t>
    </r>
    <r>
      <rPr>
        <sz val="12"/>
        <color rgb="FFFF0000"/>
        <rFont val="微软雅黑"/>
        <charset val="134"/>
      </rPr>
      <t>低中档零件涨价</t>
    </r>
    <r>
      <rPr>
        <sz val="12"/>
        <color rgb="FFFF0000"/>
        <rFont val="Calibri"/>
        <charset val="134"/>
      </rPr>
      <t>0.5~0.7</t>
    </r>
    <r>
      <rPr>
        <sz val="12"/>
        <color rgb="FFFF0000"/>
        <rFont val="微软雅黑"/>
        <charset val="134"/>
      </rPr>
      <t>个点</t>
    </r>
  </si>
  <si>
    <t>subaruwarehousedirect.com</t>
  </si>
  <si>
    <t>infinitiwholesaledirect.com</t>
  </si>
  <si>
    <r>
      <rPr>
        <b/>
        <sz val="12"/>
        <rFont val="Calibri"/>
        <charset val="134"/>
      </rPr>
      <t>Avg. Traffic  (SEMRush+SimilarWeb</t>
    </r>
    <r>
      <rPr>
        <b/>
        <sz val="12"/>
        <rFont val="微软雅黑"/>
        <charset val="134"/>
      </rPr>
      <t>加权</t>
    </r>
    <r>
      <rPr>
        <b/>
        <sz val="12"/>
        <rFont val="Calibri"/>
        <charset val="134"/>
      </rPr>
      <t>) - 9</t>
    </r>
    <r>
      <rPr>
        <b/>
        <sz val="12"/>
        <rFont val="微软雅黑"/>
        <charset val="134"/>
      </rPr>
      <t>月</t>
    </r>
  </si>
  <si>
    <r>
      <rPr>
        <b/>
        <sz val="12"/>
        <rFont val="Calibri"/>
        <charset val="134"/>
      </rPr>
      <t>Marketing share-7</t>
    </r>
    <r>
      <rPr>
        <b/>
        <sz val="12"/>
        <rFont val="微软雅黑"/>
        <charset val="134"/>
      </rPr>
      <t>月</t>
    </r>
  </si>
  <si>
    <r>
      <rPr>
        <sz val="12"/>
        <color rgb="FFFF0000"/>
        <rFont val="微软雅黑"/>
        <charset val="134"/>
      </rPr>
      <t>原厂目录</t>
    </r>
  </si>
  <si>
    <t>NJ</t>
  </si>
  <si>
    <t>AL</t>
  </si>
  <si>
    <r>
      <rPr>
        <sz val="12"/>
        <rFont val="微软雅黑"/>
        <charset val="134"/>
      </rPr>
      <t>旧年份原厂、新年份</t>
    </r>
    <r>
      <rPr>
        <sz val="12"/>
        <rFont val="Calibri"/>
        <charset val="134"/>
      </rPr>
      <t>Motor</t>
    </r>
  </si>
  <si>
    <t>KS</t>
  </si>
  <si>
    <t>SC,NC,MS</t>
  </si>
  <si>
    <t>toyotaparts.mcgeorgetoyota.com</t>
  </si>
  <si>
    <t>NC</t>
  </si>
  <si>
    <t>KY</t>
  </si>
  <si>
    <t>RI</t>
  </si>
  <si>
    <t>GA</t>
  </si>
  <si>
    <t>CT</t>
  </si>
  <si>
    <t>IL</t>
  </si>
  <si>
    <t>NY</t>
  </si>
  <si>
    <t>PA</t>
  </si>
  <si>
    <t>LA</t>
  </si>
  <si>
    <t>OH</t>
  </si>
  <si>
    <t>NH</t>
  </si>
  <si>
    <r>
      <rPr>
        <sz val="12"/>
        <rFont val="Calibri"/>
        <charset val="134"/>
      </rPr>
      <t>Acc</t>
    </r>
    <r>
      <rPr>
        <sz val="12"/>
        <rFont val="微软雅黑"/>
        <charset val="134"/>
      </rPr>
      <t>目录</t>
    </r>
  </si>
  <si>
    <t>WI</t>
  </si>
  <si>
    <t>NE</t>
  </si>
  <si>
    <r>
      <rPr>
        <sz val="12"/>
        <rFont val="微软雅黑"/>
        <charset val="134"/>
      </rPr>
      <t>无完整目录，</t>
    </r>
    <r>
      <rPr>
        <sz val="12"/>
        <rFont val="Calibri"/>
        <charset val="134"/>
      </rPr>
      <t>category</t>
    </r>
    <r>
      <rPr>
        <sz val="12"/>
        <rFont val="微软雅黑"/>
        <charset val="134"/>
      </rPr>
      <t>下放的</t>
    </r>
    <r>
      <rPr>
        <sz val="12"/>
        <rFont val="Calibri"/>
        <charset val="134"/>
      </rPr>
      <t>PD</t>
    </r>
  </si>
  <si>
    <t>Avg. Traffic  (SEMRush+SimilarWeb加权) - 8月</t>
  </si>
  <si>
    <t>Marketing share-8月</t>
  </si>
  <si>
    <t>Marketing share-7月</t>
  </si>
  <si>
    <t>Marketing share-6月</t>
  </si>
  <si>
    <t>Marketing share变化情况 -1 月</t>
  </si>
  <si>
    <t>gmpartsnow.com</t>
  </si>
  <si>
    <t>moparpartsinc.com</t>
  </si>
  <si>
    <t>hondaacuraonline.com</t>
  </si>
  <si>
    <t>subarudirectwholesale.com</t>
  </si>
  <si>
    <t>原厂目录</t>
  </si>
  <si>
    <t>austininfinititexasparts.com</t>
  </si>
  <si>
    <t>Avg. Traffic  (SEMRush+SimilarWeb加权) - 7月</t>
  </si>
  <si>
    <t>Marketing share-5月</t>
  </si>
  <si>
    <r>
      <rPr>
        <sz val="12"/>
        <color rgb="FFFF0000"/>
        <rFont val="Calibri"/>
        <charset val="134"/>
      </rPr>
      <t>2023/6/9</t>
    </r>
    <r>
      <rPr>
        <sz val="12"/>
        <color rgb="FFFF0000"/>
        <rFont val="宋体"/>
        <charset val="134"/>
      </rPr>
      <t>上调Parts05零件价格</t>
    </r>
    <r>
      <rPr>
        <sz val="12"/>
        <color rgb="FFFF0000"/>
        <rFont val="Calibri"/>
        <charset val="134"/>
      </rPr>
      <t>1%dNet</t>
    </r>
    <r>
      <rPr>
        <sz val="12"/>
        <color rgb="FFFF0000"/>
        <rFont val="宋体"/>
        <charset val="134"/>
      </rPr>
      <t>，总价下调</t>
    </r>
  </si>
  <si>
    <t>PartSites</t>
  </si>
  <si>
    <t>目录类型</t>
  </si>
  <si>
    <t>Avg. Traffic  (SEMRush+SimilarWeb加权) - 6月</t>
  </si>
  <si>
    <t>Marketing share-4月</t>
  </si>
  <si>
    <t>gmpartsonline.net</t>
  </si>
  <si>
    <t>MI</t>
  </si>
  <si>
    <r>
      <rPr>
        <sz val="12"/>
        <color rgb="FFFF0000"/>
        <rFont val="Calibri"/>
        <charset val="134"/>
      </rPr>
      <t>2023/5/16</t>
    </r>
    <r>
      <rPr>
        <sz val="12"/>
        <color rgb="FFFF0000"/>
        <rFont val="宋体"/>
        <charset val="134"/>
      </rPr>
      <t>分别下调Parts01、</t>
    </r>
    <r>
      <rPr>
        <sz val="12"/>
        <color rgb="FFFF0000"/>
        <rFont val="Calibri"/>
        <charset val="134"/>
      </rPr>
      <t>02</t>
    </r>
    <r>
      <rPr>
        <sz val="12"/>
        <color rgb="FFFF0000"/>
        <rFont val="宋体"/>
        <charset val="134"/>
      </rPr>
      <t>、03零件价格</t>
    </r>
    <r>
      <rPr>
        <sz val="12"/>
        <color rgb="FFFF0000"/>
        <rFont val="Calibri"/>
        <charset val="134"/>
      </rPr>
      <t>4%</t>
    </r>
    <r>
      <rPr>
        <sz val="12"/>
        <color rgb="FFFF0000"/>
        <rFont val="宋体"/>
        <charset val="134"/>
      </rPr>
      <t>、</t>
    </r>
    <r>
      <rPr>
        <sz val="12"/>
        <color rgb="FFFF0000"/>
        <rFont val="Calibri"/>
        <charset val="134"/>
      </rPr>
      <t>3%</t>
    </r>
    <r>
      <rPr>
        <sz val="12"/>
        <color rgb="FFFF0000"/>
        <rFont val="宋体"/>
        <charset val="134"/>
      </rPr>
      <t>、</t>
    </r>
    <r>
      <rPr>
        <sz val="12"/>
        <color rgb="FFFF0000"/>
        <rFont val="Calibri"/>
        <charset val="134"/>
      </rPr>
      <t>1%dNet</t>
    </r>
    <r>
      <rPr>
        <sz val="12"/>
        <color rgb="FFFF0000"/>
        <rFont val="宋体"/>
        <charset val="134"/>
      </rPr>
      <t>，Parts05、</t>
    </r>
    <r>
      <rPr>
        <sz val="12"/>
        <color rgb="FFFF0000"/>
        <rFont val="Calibri"/>
        <charset val="134"/>
      </rPr>
      <t>06</t>
    </r>
    <r>
      <rPr>
        <sz val="12"/>
        <color rgb="FFFF0000"/>
        <rFont val="宋体"/>
        <charset val="134"/>
      </rPr>
      <t>分别下调</t>
    </r>
    <r>
      <rPr>
        <sz val="12"/>
        <color rgb="FFFF0000"/>
        <rFont val="Calibri"/>
        <charset val="134"/>
      </rPr>
      <t>1%</t>
    </r>
    <r>
      <rPr>
        <sz val="12"/>
        <color rgb="FFFF0000"/>
        <rFont val="宋体"/>
        <charset val="134"/>
      </rPr>
      <t>、</t>
    </r>
    <r>
      <rPr>
        <sz val="12"/>
        <color rgb="FFFF0000"/>
        <rFont val="Calibri"/>
        <charset val="134"/>
      </rPr>
      <t>0.5%dNet</t>
    </r>
    <r>
      <rPr>
        <sz val="12"/>
        <color rgb="FFFF0000"/>
        <rFont val="宋体"/>
        <charset val="134"/>
      </rPr>
      <t>，总价同步下调</t>
    </r>
  </si>
  <si>
    <t>collegehillshonda.com</t>
  </si>
  <si>
    <t>旧年份原厂、新年份Motor</t>
  </si>
  <si>
    <t>SC</t>
  </si>
  <si>
    <r>
      <rPr>
        <sz val="12"/>
        <color rgb="FFFF0000"/>
        <rFont val="Calibri"/>
        <charset val="134"/>
      </rPr>
      <t>2023/5/13</t>
    </r>
    <r>
      <rPr>
        <sz val="12"/>
        <color rgb="FFFF0000"/>
        <rFont val="宋体"/>
        <charset val="134"/>
      </rPr>
      <t>下调Parts/ACC-01、</t>
    </r>
    <r>
      <rPr>
        <sz val="12"/>
        <color rgb="FFFF0000"/>
        <rFont val="Calibri"/>
        <charset val="134"/>
      </rPr>
      <t>02</t>
    </r>
    <r>
      <rPr>
        <sz val="12"/>
        <color rgb="FFFF0000"/>
        <rFont val="宋体"/>
        <charset val="134"/>
      </rPr>
      <t>零件价格</t>
    </r>
    <r>
      <rPr>
        <sz val="12"/>
        <color rgb="FFFF0000"/>
        <rFont val="Calibri"/>
        <charset val="134"/>
      </rPr>
      <t>2%dNet</t>
    </r>
    <r>
      <rPr>
        <sz val="12"/>
        <color rgb="FFFF0000"/>
        <rFont val="宋体"/>
        <charset val="134"/>
      </rPr>
      <t>。总价下调。</t>
    </r>
  </si>
  <si>
    <t>partsfornissans.com</t>
  </si>
  <si>
    <r>
      <rPr>
        <sz val="12"/>
        <color rgb="FFFF0000"/>
        <rFont val="Calibri"/>
        <charset val="134"/>
      </rPr>
      <t xml:space="preserve">2023/5/25 KPN Parts/Acc/Speical-05~07 </t>
    </r>
    <r>
      <rPr>
        <sz val="12"/>
        <color rgb="FFFF0000"/>
        <rFont val="宋体"/>
        <charset val="134"/>
      </rPr>
      <t>下降</t>
    </r>
    <r>
      <rPr>
        <sz val="12"/>
        <color rgb="FFFF0000"/>
        <rFont val="Calibri"/>
        <charset val="134"/>
      </rPr>
      <t>1.2%~3 %dNet</t>
    </r>
    <r>
      <rPr>
        <sz val="12"/>
        <color rgb="FFFF0000"/>
        <rFont val="宋体"/>
        <charset val="134"/>
      </rPr>
      <t>，总价下调</t>
    </r>
  </si>
  <si>
    <t>getoemparts.com</t>
  </si>
  <si>
    <t>IN</t>
  </si>
  <si>
    <t>parts.keyeslexus.com</t>
  </si>
  <si>
    <t>parts.lexusofmobile.com</t>
  </si>
  <si>
    <t>infinitipartsusa.com</t>
  </si>
  <si>
    <r>
      <rPr>
        <sz val="12"/>
        <rFont val="Calibri"/>
        <charset val="134"/>
      </rPr>
      <t>Simplepart</t>
    </r>
    <r>
      <rPr>
        <sz val="12"/>
        <rFont val="微软雅黑"/>
        <charset val="134"/>
      </rPr>
      <t>，官网</t>
    </r>
  </si>
  <si>
    <t>usparts.volvocars.com</t>
  </si>
  <si>
    <t>parts.vw.com</t>
  </si>
  <si>
    <t>Motor目录，官网</t>
  </si>
  <si>
    <t>Volution</t>
  </si>
  <si>
    <t>vwdiscountparts.com</t>
  </si>
  <si>
    <t>Acc目录</t>
  </si>
  <si>
    <t>oemmitsubishiparts.com</t>
  </si>
  <si>
    <t>mitsubishiautomotiveparts.com</t>
  </si>
  <si>
    <t>genuinemercedesparts.com</t>
  </si>
  <si>
    <t>mbpartsworld.com</t>
  </si>
  <si>
    <r>
      <rPr>
        <sz val="12"/>
        <rFont val="微软雅黑"/>
        <charset val="134"/>
      </rPr>
      <t>官网，</t>
    </r>
    <r>
      <rPr>
        <sz val="12"/>
        <rFont val="Calibri"/>
        <charset val="134"/>
      </rPr>
      <t>SimplePart</t>
    </r>
  </si>
  <si>
    <t>parts.audiusa.com</t>
  </si>
  <si>
    <t>无Catalog，只有Search PN</t>
  </si>
  <si>
    <t>Avg. Traffic  (SEMRush+SimilarWeb加权) - 5月</t>
  </si>
  <si>
    <t>Marketing share-3月</t>
  </si>
  <si>
    <r>
      <rPr>
        <sz val="12"/>
        <color rgb="FFFF0000"/>
        <rFont val="Calibri"/>
        <charset val="134"/>
      </rPr>
      <t>2023/4/8</t>
    </r>
    <r>
      <rPr>
        <sz val="12"/>
        <color rgb="FFFF0000"/>
        <rFont val="宋体"/>
        <charset val="134"/>
      </rPr>
      <t>上调Parts01、</t>
    </r>
    <r>
      <rPr>
        <sz val="12"/>
        <color rgb="FFFF0000"/>
        <rFont val="Calibri"/>
        <charset val="134"/>
      </rPr>
      <t>02</t>
    </r>
    <r>
      <rPr>
        <sz val="12"/>
        <color rgb="FFFF0000"/>
        <rFont val="宋体"/>
        <charset val="134"/>
      </rPr>
      <t>零件价格</t>
    </r>
    <r>
      <rPr>
        <sz val="12"/>
        <color rgb="FFFF0000"/>
        <rFont val="Calibri"/>
        <charset val="134"/>
      </rPr>
      <t>1-2%dNet</t>
    </r>
    <r>
      <rPr>
        <sz val="12"/>
        <color rgb="FFFF0000"/>
        <rFont val="宋体"/>
        <charset val="134"/>
      </rPr>
      <t>，下调Parts05、</t>
    </r>
    <r>
      <rPr>
        <sz val="12"/>
        <color rgb="FFFF0000"/>
        <rFont val="Calibri"/>
        <charset val="134"/>
      </rPr>
      <t>06</t>
    </r>
    <r>
      <rPr>
        <sz val="12"/>
        <color rgb="FFFF0000"/>
        <rFont val="宋体"/>
        <charset val="134"/>
      </rPr>
      <t>、</t>
    </r>
    <r>
      <rPr>
        <sz val="12"/>
        <color rgb="FFFF0000"/>
        <rFont val="Calibri"/>
        <charset val="134"/>
      </rPr>
      <t>07</t>
    </r>
    <r>
      <rPr>
        <sz val="12"/>
        <color rgb="FFFF0000"/>
        <rFont val="宋体"/>
        <charset val="134"/>
      </rPr>
      <t>零件价格</t>
    </r>
    <r>
      <rPr>
        <sz val="12"/>
        <color rgb="FFFF0000"/>
        <rFont val="Calibri"/>
        <charset val="134"/>
      </rPr>
      <t>2%dNet</t>
    </r>
    <r>
      <rPr>
        <sz val="12"/>
        <color rgb="FFFF0000"/>
        <rFont val="宋体"/>
        <charset val="134"/>
      </rPr>
      <t>，总价下调</t>
    </r>
  </si>
  <si>
    <r>
      <rPr>
        <sz val="12"/>
        <color rgb="FFFF0000"/>
        <rFont val="Calibri"/>
        <charset val="134"/>
      </rPr>
      <t xml:space="preserve">2023/4/13 </t>
    </r>
    <r>
      <rPr>
        <sz val="12"/>
        <color rgb="FFFF0000"/>
        <rFont val="宋体"/>
        <charset val="134"/>
      </rPr>
      <t>总价下调</t>
    </r>
  </si>
  <si>
    <t>bamwholesaleparts.com</t>
  </si>
  <si>
    <t>fordpartsonsale.com</t>
  </si>
  <si>
    <r>
      <rPr>
        <sz val="12"/>
        <color rgb="FFFF0000"/>
        <rFont val="Calibri"/>
        <charset val="134"/>
      </rPr>
      <t xml:space="preserve">2023/4/28 </t>
    </r>
    <r>
      <rPr>
        <sz val="12"/>
        <color rgb="FFFF0000"/>
        <rFont val="宋体"/>
        <charset val="134"/>
      </rPr>
      <t>为应对竞品免运费活动，Parts/ACC-03-08下调零件价格</t>
    </r>
    <r>
      <rPr>
        <sz val="12"/>
        <color rgb="FFFF0000"/>
        <rFont val="Calibri"/>
        <charset val="134"/>
      </rPr>
      <t>2%dNet</t>
    </r>
    <r>
      <rPr>
        <sz val="12"/>
        <color rgb="FFFF0000"/>
        <rFont val="宋体"/>
        <charset val="134"/>
      </rPr>
      <t>。总价下调。</t>
    </r>
  </si>
  <si>
    <t>Avg. Traffic  (SEMRush+SimilarWeb加权) - 4月</t>
  </si>
  <si>
    <r>
      <rPr>
        <sz val="12"/>
        <color rgb="FFFF0000"/>
        <rFont val="Calibri"/>
        <charset val="134"/>
      </rPr>
      <t>2023/3/15</t>
    </r>
    <r>
      <rPr>
        <sz val="12"/>
        <color rgb="FFFF0000"/>
        <rFont val="宋体"/>
        <charset val="134"/>
      </rPr>
      <t>上调Parts01-05零件价格</t>
    </r>
    <r>
      <rPr>
        <sz val="12"/>
        <color rgb="FFFF0000"/>
        <rFont val="Calibri"/>
        <charset val="134"/>
      </rPr>
      <t>1%dNet</t>
    </r>
    <r>
      <rPr>
        <sz val="12"/>
        <color rgb="FFFF0000"/>
        <rFont val="宋体"/>
        <charset val="134"/>
      </rPr>
      <t>，总价上调</t>
    </r>
  </si>
  <si>
    <t>Simple Parts</t>
  </si>
  <si>
    <t>2023/3/3 MPG总价水位线调整，总价下调</t>
  </si>
  <si>
    <t>Avg. Traffic  (SEMRush+SimilarWeb加权) - 3月</t>
  </si>
  <si>
    <t>gmpartsoutlet.net</t>
  </si>
  <si>
    <t>hondacarpartsdirect.com</t>
  </si>
  <si>
    <t>villagefordparts.com</t>
  </si>
  <si>
    <t>courtesyparts.com</t>
  </si>
  <si>
    <t>subaruonlineparts.com</t>
  </si>
  <si>
    <t>subarupartsforyou.com</t>
  </si>
  <si>
    <t>Avg. Traffic  (SEMRush+SimilarWeb加权) - 10月</t>
  </si>
  <si>
    <t>流量变化情况 -12月</t>
  </si>
  <si>
    <t>Marketing share变化情况 -12 月</t>
  </si>
  <si>
    <t>www.gmpartsonline.net</t>
  </si>
  <si>
    <t>www.gmpartsdirect.com</t>
  </si>
  <si>
    <t>www.gmpartsgiant.com</t>
  </si>
  <si>
    <t>www.gmpartsstore.com</t>
  </si>
  <si>
    <t>www.gmpartscenter.net</t>
  </si>
  <si>
    <t>www.wholesalegmpartsonline.com</t>
  </si>
  <si>
    <t>www.gmpartsnow.com</t>
  </si>
  <si>
    <t>www.gmpartsoutlet.net</t>
  </si>
  <si>
    <t>www.tascaparts.com</t>
  </si>
  <si>
    <t>www.quirkparts.com</t>
  </si>
  <si>
    <t>www.newgmparts.com</t>
  </si>
  <si>
    <t>www.oempartsource.com</t>
  </si>
  <si>
    <r>
      <rPr>
        <sz val="12"/>
        <rFont val="微软雅黑"/>
        <charset val="134"/>
      </rPr>
      <t>官网</t>
    </r>
  </si>
  <si>
    <t>www.genuinegmparts.com</t>
  </si>
  <si>
    <t>Accessories</t>
  </si>
  <si>
    <t>www.shopchevyparts.com</t>
  </si>
  <si>
    <t>www.hondapartsnow.com</t>
  </si>
  <si>
    <t>www.hondapartsonline.net</t>
  </si>
  <si>
    <t>www.hondaautomotiveparts.com</t>
  </si>
  <si>
    <t>www.hondafactoryparts.com</t>
  </si>
  <si>
    <t>www.bernardiparts.com</t>
  </si>
  <si>
    <t>www.hondapartsconnection.com</t>
  </si>
  <si>
    <t>www.hondacarpartsdirect.com</t>
  </si>
  <si>
    <t>www.bkhondaparts.com</t>
  </si>
  <si>
    <t>www.hondapartscheap.com</t>
  </si>
  <si>
    <t>www.xportautoparts.com</t>
  </si>
  <si>
    <t>parts.sonshonda.com</t>
  </si>
  <si>
    <t>estore.honda.com</t>
  </si>
  <si>
    <t>www.collegehillshonda.com</t>
  </si>
  <si>
    <t>www.toyotapartsdeal.com</t>
  </si>
  <si>
    <t>www.oemgenuineparts.com</t>
  </si>
  <si>
    <t>L:71% N:20%</t>
  </si>
  <si>
    <t>trdshop.carlocktoyotaoftupelo.com</t>
  </si>
  <si>
    <t>www.sparksparts.com</t>
  </si>
  <si>
    <t>parts.camelbacktoyota.com</t>
  </si>
  <si>
    <t>parts.toyota.com</t>
  </si>
  <si>
    <t>www.moparpartsgiant.com</t>
  </si>
  <si>
    <t>www.mymoparparts.com</t>
  </si>
  <si>
    <t>www.factorychryslerparts.com</t>
  </si>
  <si>
    <t>www.moparfactoryparts.com</t>
  </si>
  <si>
    <t>www.moparpartsoverstock.com</t>
  </si>
  <si>
    <t>www.moparpartsinc.com</t>
  </si>
  <si>
    <t>parts.moparonlineparts.com</t>
  </si>
  <si>
    <t>www.dodgeparts.com</t>
  </si>
  <si>
    <t>www.moparwholesaleparts.com</t>
  </si>
  <si>
    <r>
      <rPr>
        <sz val="12"/>
        <rFont val="Calibri"/>
        <charset val="134"/>
      </rPr>
      <t>PartSites</t>
    </r>
    <r>
      <rPr>
        <sz val="12"/>
        <rFont val="微软雅黑"/>
        <charset val="134"/>
      </rPr>
      <t>，官网</t>
    </r>
  </si>
  <si>
    <t>store.mopar.com</t>
  </si>
  <si>
    <t>www.fordpartsgiant.com</t>
  </si>
  <si>
    <t>www.bluespringsfordparts.com</t>
  </si>
  <si>
    <t>www.oemfordpart.com</t>
  </si>
  <si>
    <t>www.villagefordparts.com</t>
  </si>
  <si>
    <t>L:81% N:25%</t>
  </si>
  <si>
    <t>www.oemford.parts</t>
  </si>
  <si>
    <t>parts.levittownfordparts.com</t>
  </si>
  <si>
    <t>www.fordgenuineautoparts.com</t>
  </si>
  <si>
    <t>parts.ford.com</t>
  </si>
  <si>
    <t>accessories.ford.com</t>
  </si>
  <si>
    <t>performanceparts.ford.com</t>
  </si>
  <si>
    <t>www.nissanpartsdeal.com</t>
  </si>
  <si>
    <t>www.nissanpartsplus.com</t>
  </si>
  <si>
    <t>www.nissanparts.cc</t>
  </si>
  <si>
    <t>www.courtesyparts.com</t>
  </si>
  <si>
    <r>
      <rPr>
        <sz val="12"/>
        <rFont val="Calibri"/>
        <charset val="134"/>
      </rPr>
      <t>SimplePart</t>
    </r>
    <r>
      <rPr>
        <sz val="12"/>
        <rFont val="微软雅黑"/>
        <charset val="134"/>
      </rPr>
      <t>，官网</t>
    </r>
  </si>
  <si>
    <t>parts.nissanusa.com</t>
  </si>
  <si>
    <t>www.partsfornissans.com</t>
  </si>
  <si>
    <t>www.hyundaipartsdeal.com</t>
  </si>
  <si>
    <t>www.wholesalehyundaiparts.com</t>
  </si>
  <si>
    <t>www.hyundaioempartsdirect.com</t>
  </si>
  <si>
    <t>www.jimellishyundaiparts.com</t>
  </si>
  <si>
    <t>www.hyundaioemparts.com</t>
  </si>
  <si>
    <t>www.hyundaionlineparts.net</t>
  </si>
  <si>
    <t>www.subaruparts.com</t>
  </si>
  <si>
    <t>www.subarupartsdeal.com</t>
  </si>
  <si>
    <r>
      <rPr>
        <sz val="12"/>
        <color rgb="FFFF0000"/>
        <rFont val="Calibri"/>
        <charset val="134"/>
      </rPr>
      <t xml:space="preserve">L:74% N:17% D:89% </t>
    </r>
    <r>
      <rPr>
        <sz val="12"/>
        <color rgb="FFFF0000"/>
        <rFont val="微软雅黑"/>
        <charset val="134"/>
      </rPr>
      <t>有销售</t>
    </r>
    <r>
      <rPr>
        <sz val="12"/>
        <color rgb="FFFF0000"/>
        <rFont val="Calibri"/>
        <charset val="134"/>
      </rPr>
      <t>:84%</t>
    </r>
  </si>
  <si>
    <t>www.subaruonlineparts.com</t>
  </si>
  <si>
    <t>www.subarupartsforyou.com</t>
  </si>
  <si>
    <t>www.subarupartsplus.com</t>
  </si>
  <si>
    <r>
      <rPr>
        <sz val="12"/>
        <rFont val="微软雅黑"/>
        <charset val="134"/>
      </rPr>
      <t>官网</t>
    </r>
    <r>
      <rPr>
        <sz val="12"/>
        <rFont val="Calibri"/>
        <charset val="134"/>
      </rPr>
      <t xml:space="preserve"> &amp; SimpleParts</t>
    </r>
  </si>
  <si>
    <t>parts.subaru.com</t>
  </si>
  <si>
    <t>www.getbmwparts.com</t>
  </si>
  <si>
    <t>www.mybimmerparts.com</t>
  </si>
  <si>
    <t>www.genuinebmwminiparts.com</t>
  </si>
  <si>
    <t>www.bmwdirectparts.com</t>
  </si>
  <si>
    <t>www.bmwdiscountparts.com</t>
  </si>
  <si>
    <t>shopbmwusa.com</t>
  </si>
  <si>
    <t>www.kiapartsnow.com</t>
  </si>
  <si>
    <t>www.kia.parts</t>
  </si>
  <si>
    <t>www.kiaparts.com</t>
  </si>
  <si>
    <t>www.mykiaparts.com</t>
  </si>
  <si>
    <t>www.acurapartswarehouse.com</t>
  </si>
  <si>
    <t>www.oemacuraparts.com</t>
  </si>
  <si>
    <t>www.acurapartsforless.com</t>
  </si>
  <si>
    <t>www.acurapartsnow.com</t>
  </si>
  <si>
    <t>www.acuraoemparts.com</t>
  </si>
  <si>
    <t>www.lexuspartsnow.com</t>
  </si>
  <si>
    <t>www.mylparts.com</t>
  </si>
  <si>
    <t>www.lexussouthatlantaparts.com</t>
  </si>
  <si>
    <r>
      <rPr>
        <sz val="12"/>
        <color theme="1"/>
        <rFont val="Calibri"/>
        <charset val="134"/>
      </rPr>
      <t>SimpleParts</t>
    </r>
    <r>
      <rPr>
        <sz val="12"/>
        <color theme="1"/>
        <rFont val="微软雅黑"/>
        <charset val="134"/>
      </rPr>
      <t>，官网</t>
    </r>
  </si>
  <si>
    <t>parts.lexus.com</t>
  </si>
  <si>
    <t>www.infinitipartsdeal.com</t>
  </si>
  <si>
    <t>www.infinitipartsonline.com</t>
  </si>
  <si>
    <t>www.infinitiwholesaledirect.com</t>
  </si>
  <si>
    <t>www.infinitipartsnet.com</t>
  </si>
  <si>
    <t>www.discountinfinitiparts.com</t>
  </si>
  <si>
    <t>www.infinitipartsusa.com</t>
  </si>
  <si>
    <r>
      <rPr>
        <sz val="12"/>
        <rFont val="微软雅黑"/>
        <charset val="134"/>
      </rPr>
      <t>官网，</t>
    </r>
    <r>
      <rPr>
        <sz val="12"/>
        <rFont val="Calibri"/>
        <charset val="134"/>
      </rPr>
      <t>SimpleParts</t>
    </r>
  </si>
  <si>
    <t>parts.infinitiusa.com</t>
  </si>
  <si>
    <t>www.volvopartswebstore.com</t>
  </si>
  <si>
    <t>www.myswedishparts.com</t>
  </si>
  <si>
    <t>www.volvowholesalepartsdirect.com</t>
  </si>
  <si>
    <t>www.vwpartsvortex.com</t>
  </si>
  <si>
    <t>www.jimellisvwparts.com</t>
  </si>
  <si>
    <t>www.vwpartscenter.net</t>
  </si>
  <si>
    <t>www.vwdiscountparts.com</t>
  </si>
  <si>
    <t>www.jimellismazdaparts.com</t>
  </si>
  <si>
    <t>www.realmazdaparts.com</t>
  </si>
  <si>
    <t>www.onlinemazdaparts.com</t>
  </si>
  <si>
    <t>www.mazdaparts.org</t>
  </si>
  <si>
    <t>www.mazda-parts.com</t>
  </si>
  <si>
    <t>www.mitsubishipartswarehouse.com</t>
  </si>
  <si>
    <t>www.oemmitsubishiparts.com</t>
  </si>
  <si>
    <t>www.mitsubishiautomotiveparts.com</t>
  </si>
  <si>
    <t>www.mboemparts.com</t>
  </si>
  <si>
    <t>www.genuinemercedesparts.com</t>
  </si>
  <si>
    <t>www.mbonlineparts.com</t>
  </si>
  <si>
    <t>www.mbpartsworld.com</t>
  </si>
  <si>
    <t>www.audiusaparts.com</t>
  </si>
  <si>
    <t>www.genuineaudiparts.com</t>
  </si>
  <si>
    <t>Avg. Traffic  (SEMRush+SimilarWeb加权) - 09月</t>
  </si>
  <si>
    <t>流量变化情况 -11月</t>
  </si>
  <si>
    <t>Marketing share-09月</t>
  </si>
  <si>
    <t>Marketing share-08月</t>
  </si>
  <si>
    <t>Marketing share-07月</t>
  </si>
  <si>
    <t>Marketing share变化情况 -07 月</t>
  </si>
  <si>
    <t>Avg. Traffic  (SEMRush+SimilarWeb加权) - 08月</t>
  </si>
  <si>
    <t>Avg. Traffic  (SEMRush+SimilarWeb加权) - 07月</t>
  </si>
  <si>
    <t>流量变化情况 -09 月</t>
  </si>
  <si>
    <t>Brand</t>
  </si>
  <si>
    <t>Class</t>
  </si>
  <si>
    <t>Catalog brand</t>
  </si>
  <si>
    <t>Competitor Type</t>
  </si>
  <si>
    <t>State</t>
  </si>
  <si>
    <t>Ave(SEMRush+SimilarWeb加权)</t>
  </si>
  <si>
    <t>Similarweb Traffic-202012</t>
  </si>
  <si>
    <t>Similarweb Traffic-01</t>
  </si>
  <si>
    <t>Similarweb Traffic-02</t>
  </si>
  <si>
    <t>Similarweb Traffic-03</t>
  </si>
  <si>
    <t>Similarweb Traffic-04</t>
  </si>
  <si>
    <t>Similarweb Traffic-05</t>
  </si>
  <si>
    <t>Similarweb Traffic-06</t>
  </si>
  <si>
    <t>Similarweb Traffic-07</t>
  </si>
  <si>
    <t>Similarweb Traffic-08</t>
  </si>
  <si>
    <t>Similarweb Traffic-09</t>
  </si>
  <si>
    <t>Similarweb Traffic-10</t>
  </si>
  <si>
    <t>Similarweb Traffic-11</t>
  </si>
  <si>
    <t>Similarweb Traffic-12</t>
  </si>
  <si>
    <t>Similarweb Traffic-202401</t>
  </si>
  <si>
    <t>加权平均</t>
  </si>
  <si>
    <t>SEMRush Traffic Analytics 12</t>
  </si>
  <si>
    <t>SEMRush Traffic Analytics 01</t>
  </si>
  <si>
    <t>SEMRush Traffic Analytics 02</t>
  </si>
  <si>
    <t>SEMRush Traffic Analytics 03</t>
  </si>
  <si>
    <t>SEMRush Traffic Analytics 04</t>
  </si>
  <si>
    <t>SEMRush Traffic Analytics 05</t>
  </si>
  <si>
    <t>SEMRush Traffic Analytics 06</t>
  </si>
  <si>
    <t>SEMRush Traffic Analytics 07</t>
  </si>
  <si>
    <t>SEMRush Traffic Analytics 08</t>
  </si>
  <si>
    <t>SEMRush Traffic Analytics 09</t>
  </si>
  <si>
    <t>SEMRush Traffic Analytics 10</t>
  </si>
  <si>
    <t>SEMRush Traffic Analytics 11</t>
  </si>
  <si>
    <t>SEMRush Traffic Analytics 202401</t>
  </si>
  <si>
    <t>当前比价竞品总流量</t>
  </si>
  <si>
    <t>是否需要纳入比价竞品</t>
  </si>
  <si>
    <t>官网</t>
  </si>
  <si>
    <t>dreamshop.honda.com</t>
  </si>
  <si>
    <t>原域名：estore.honda.com，2024年1月导流到dreamshop.honda.com</t>
  </si>
  <si>
    <t>257821</t>
  </si>
  <si>
    <t>284056</t>
  </si>
  <si>
    <t>239802</t>
  </si>
  <si>
    <t>238424</t>
  </si>
  <si>
    <t>261705</t>
  </si>
  <si>
    <t>225754</t>
  </si>
  <si>
    <t>223794</t>
  </si>
  <si>
    <t>241019</t>
  </si>
  <si>
    <t>自己网站</t>
  </si>
  <si>
    <t>194826</t>
  </si>
  <si>
    <t>233274</t>
  </si>
  <si>
    <t>202942</t>
  </si>
  <si>
    <t>214712</t>
  </si>
  <si>
    <t>226604</t>
  </si>
  <si>
    <t>259496</t>
  </si>
  <si>
    <t>274574</t>
  </si>
  <si>
    <t>193660</t>
  </si>
  <si>
    <t>220737</t>
  </si>
  <si>
    <t>247411</t>
  </si>
  <si>
    <t>OEM Parts</t>
  </si>
  <si>
    <t>48860</t>
  </si>
  <si>
    <t>72420</t>
  </si>
  <si>
    <t>63564</t>
  </si>
  <si>
    <t>72403</t>
  </si>
  <si>
    <t>52113</t>
  </si>
  <si>
    <t>66185</t>
  </si>
  <si>
    <t>60228</t>
  </si>
  <si>
    <t>43624</t>
  </si>
  <si>
    <t>34668</t>
  </si>
  <si>
    <t>39963</t>
  </si>
  <si>
    <t>2022/1新增，经营多品牌零件，按子域名区分, 各 Brand 流量折算比例：Acura:8%,BMW:0%,Ford:20%,GM:5%,Honda:17%,Hyundai:8%,Infiniti:2%,Kia:5%,Lexus:2%,Mopar:9%,Nissan:14%,Subaru:5%,Toyota:6%，折算比例为0的网站按照除0外最低折算比例计</t>
  </si>
  <si>
    <t>86097</t>
  </si>
  <si>
    <t>127011</t>
  </si>
  <si>
    <t>95389</t>
  </si>
  <si>
    <t>74427</t>
  </si>
  <si>
    <t>111159</t>
  </si>
  <si>
    <t>71575</t>
  </si>
  <si>
    <t>80856</t>
  </si>
  <si>
    <t>81910</t>
  </si>
  <si>
    <t>2022年1月 新加入 CompetitorSites
2022年1月 新加入 MarketingShare</t>
  </si>
  <si>
    <t>47705</t>
  </si>
  <si>
    <t>46060</t>
  </si>
  <si>
    <t>39689</t>
  </si>
  <si>
    <t>31373</t>
  </si>
  <si>
    <t>50697</t>
  </si>
  <si>
    <t>47208</t>
  </si>
  <si>
    <t>43467</t>
  </si>
  <si>
    <t>32333</t>
  </si>
  <si>
    <t>31416</t>
  </si>
  <si>
    <t>34603</t>
  </si>
  <si>
    <t>同时经营honda/acura，折算比例：acura75%，honda25%</t>
  </si>
  <si>
    <t>62362</t>
  </si>
  <si>
    <t>61875</t>
  </si>
  <si>
    <t>101321</t>
  </si>
  <si>
    <t>74615</t>
  </si>
  <si>
    <t>61179</t>
  </si>
  <si>
    <t>83555</t>
  </si>
  <si>
    <t>85443</t>
  </si>
  <si>
    <t>93661</t>
  </si>
  <si>
    <t>92664</t>
  </si>
  <si>
    <t>51671</t>
  </si>
  <si>
    <t>同时经营honda/acura，折算比例：acura:80%,honda:20%</t>
  </si>
  <si>
    <t>23409</t>
  </si>
  <si>
    <t>22230</t>
  </si>
  <si>
    <t>38454</t>
  </si>
  <si>
    <t>14831</t>
  </si>
  <si>
    <t>18718</t>
  </si>
  <si>
    <t>26800</t>
  </si>
  <si>
    <t>39934</t>
  </si>
  <si>
    <t>27752</t>
  </si>
  <si>
    <t>20512</t>
  </si>
  <si>
    <t>xportautoparts.com</t>
  </si>
  <si>
    <t>2022年1月，同时卖正副厂零件</t>
  </si>
  <si>
    <t>256388</t>
  </si>
  <si>
    <t>205473</t>
  </si>
  <si>
    <t>89181</t>
  </si>
  <si>
    <t>84031</t>
  </si>
  <si>
    <t>115464</t>
  </si>
  <si>
    <t>112731</t>
  </si>
  <si>
    <t>81580</t>
  </si>
  <si>
    <t>29254</t>
  </si>
  <si>
    <t>9448</t>
  </si>
  <si>
    <t>12381</t>
  </si>
  <si>
    <t>acurapartsworld.com</t>
  </si>
  <si>
    <t>15519</t>
  </si>
  <si>
    <t>15031</t>
  </si>
  <si>
    <t>7487</t>
  </si>
  <si>
    <t>20401</t>
  </si>
  <si>
    <t>15891</t>
  </si>
  <si>
    <t>19709</t>
  </si>
  <si>
    <t>14417</t>
  </si>
  <si>
    <t>24501</t>
  </si>
  <si>
    <t>12308</t>
  </si>
  <si>
    <t>acurapartsnow.com</t>
  </si>
  <si>
    <t>24269</t>
  </si>
  <si>
    <t>21048</t>
  </si>
  <si>
    <t>26054</t>
  </si>
  <si>
    <t>26470</t>
  </si>
  <si>
    <t>22539</t>
  </si>
  <si>
    <t>27611</t>
  </si>
  <si>
    <t>28690</t>
  </si>
  <si>
    <t>27896</t>
  </si>
  <si>
    <t>28365</t>
  </si>
  <si>
    <t>29513</t>
  </si>
  <si>
    <t>acuraautomotiveparts.org</t>
  </si>
  <si>
    <t>3452</t>
  </si>
  <si>
    <t>6859</t>
  </si>
  <si>
    <t>8938</t>
  </si>
  <si>
    <t>9722</t>
  </si>
  <si>
    <t>5383</t>
  </si>
  <si>
    <t>2820</t>
  </si>
  <si>
    <t>569</t>
  </si>
  <si>
    <t>2224</t>
  </si>
  <si>
    <t>6473</t>
  </si>
  <si>
    <t>acuraoemparts.com</t>
  </si>
  <si>
    <t>2023年11月导流至acura.oempartsonline.com</t>
  </si>
  <si>
    <t>6490</t>
  </si>
  <si>
    <t>3808</t>
  </si>
  <si>
    <t>2813</t>
  </si>
  <si>
    <t>7007</t>
  </si>
  <si>
    <t>743</t>
  </si>
  <si>
    <t>0</t>
  </si>
  <si>
    <t>6301</t>
  </si>
  <si>
    <t>9912</t>
  </si>
  <si>
    <t>10075</t>
  </si>
  <si>
    <t>912</t>
  </si>
  <si>
    <t>官网，SimplePart</t>
  </si>
  <si>
    <t>244865</t>
  </si>
  <si>
    <t>232055</t>
  </si>
  <si>
    <t>224569</t>
  </si>
  <si>
    <t>258136</t>
  </si>
  <si>
    <t>282551</t>
  </si>
  <si>
    <t>279881</t>
  </si>
  <si>
    <t>248047</t>
  </si>
  <si>
    <t>218496</t>
  </si>
  <si>
    <t>251207</t>
  </si>
  <si>
    <t>236310</t>
  </si>
  <si>
    <t>OEM</t>
  </si>
  <si>
    <t>59295</t>
  </si>
  <si>
    <t>89500</t>
  </si>
  <si>
    <t>41431</t>
  </si>
  <si>
    <t>53568</t>
  </si>
  <si>
    <t>71608</t>
  </si>
  <si>
    <t>60700</t>
  </si>
  <si>
    <t>69853</t>
  </si>
  <si>
    <t>50677</t>
  </si>
  <si>
    <t>48080</t>
  </si>
  <si>
    <t>46836</t>
  </si>
  <si>
    <t>39349</t>
  </si>
  <si>
    <t>26656</t>
  </si>
  <si>
    <t>22886</t>
  </si>
  <si>
    <t>32880</t>
  </si>
  <si>
    <t>30565</t>
  </si>
  <si>
    <t>33593</t>
  </si>
  <si>
    <t>38643</t>
  </si>
  <si>
    <t>38197</t>
  </si>
  <si>
    <t>50592</t>
  </si>
  <si>
    <t>7517</t>
  </si>
  <si>
    <t>5523</t>
  </si>
  <si>
    <t>5994</t>
  </si>
  <si>
    <t>7186</t>
  </si>
  <si>
    <t>7343</t>
  </si>
  <si>
    <t>8388</t>
  </si>
  <si>
    <t>6162</t>
  </si>
  <si>
    <t>9649</t>
  </si>
  <si>
    <t>7633</t>
  </si>
  <si>
    <t>31588</t>
  </si>
  <si>
    <t>25906</t>
  </si>
  <si>
    <t>28981</t>
  </si>
  <si>
    <t>33670</t>
  </si>
  <si>
    <t>28089</t>
  </si>
  <si>
    <t>37337</t>
  </si>
  <si>
    <t>26964</t>
  </si>
  <si>
    <t>18581</t>
  </si>
  <si>
    <t>14992</t>
  </si>
  <si>
    <t>13</t>
  </si>
  <si>
    <t>32</t>
  </si>
  <si>
    <t>26</t>
  </si>
  <si>
    <t>23</t>
  </si>
  <si>
    <t>28</t>
  </si>
  <si>
    <t>15</t>
  </si>
  <si>
    <t>21</t>
  </si>
  <si>
    <t>24021</t>
  </si>
  <si>
    <t>16379</t>
  </si>
  <si>
    <t>13832</t>
  </si>
  <si>
    <t>180641</t>
  </si>
  <si>
    <t>236309</t>
  </si>
  <si>
    <t>233139</t>
  </si>
  <si>
    <t>176614</t>
  </si>
  <si>
    <t>150763</t>
  </si>
  <si>
    <t>183183</t>
  </si>
  <si>
    <t>215734</t>
  </si>
  <si>
    <t>177373</t>
  </si>
  <si>
    <t>194428</t>
  </si>
  <si>
    <t>175562</t>
  </si>
  <si>
    <t>178011</t>
  </si>
  <si>
    <t>145007</t>
  </si>
  <si>
    <t>106770</t>
  </si>
  <si>
    <t>144973</t>
  </si>
  <si>
    <t>164841</t>
  </si>
  <si>
    <t>157399</t>
  </si>
  <si>
    <t>183367</t>
  </si>
  <si>
    <t>171387</t>
  </si>
  <si>
    <t>158481</t>
  </si>
  <si>
    <t>90317</t>
  </si>
  <si>
    <t>74633</t>
  </si>
  <si>
    <t>88026</t>
  </si>
  <si>
    <t>100846</t>
  </si>
  <si>
    <t>94666</t>
  </si>
  <si>
    <t>76288</t>
  </si>
  <si>
    <t>87525</t>
  </si>
  <si>
    <t>95338</t>
  </si>
  <si>
    <t>127896</t>
  </si>
  <si>
    <t>134415</t>
  </si>
  <si>
    <t>53687</t>
  </si>
  <si>
    <t>96836</t>
  </si>
  <si>
    <t>61672</t>
  </si>
  <si>
    <t>72846</t>
  </si>
  <si>
    <t>85749</t>
  </si>
  <si>
    <t>91404</t>
  </si>
  <si>
    <t>55542</t>
  </si>
  <si>
    <t>72605</t>
  </si>
  <si>
    <t>78705</t>
  </si>
  <si>
    <t>68219</t>
  </si>
  <si>
    <t>129005</t>
  </si>
  <si>
    <t>103912</t>
  </si>
  <si>
    <t>111998</t>
  </si>
  <si>
    <t>84868</t>
  </si>
  <si>
    <t>104343</t>
  </si>
  <si>
    <t>76404</t>
  </si>
  <si>
    <t>68532</t>
  </si>
  <si>
    <t>95929</t>
  </si>
  <si>
    <t>62016</t>
  </si>
  <si>
    <t>mybimmerparts.com</t>
  </si>
  <si>
    <t>2021年10月新增竞争者</t>
  </si>
  <si>
    <t>22723</t>
  </si>
  <si>
    <t>44478</t>
  </si>
  <si>
    <t>24523</t>
  </si>
  <si>
    <t>40198</t>
  </si>
  <si>
    <t>28768</t>
  </si>
  <si>
    <t>7381</t>
  </si>
  <si>
    <t>14756</t>
  </si>
  <si>
    <t>12191</t>
  </si>
  <si>
    <t>26287</t>
  </si>
  <si>
    <t>13887</t>
  </si>
  <si>
    <t>19359</t>
  </si>
  <si>
    <t>36243</t>
  </si>
  <si>
    <t>31640</t>
  </si>
  <si>
    <t>30723</t>
  </si>
  <si>
    <t>23197</t>
  </si>
  <si>
    <t>17961</t>
  </si>
  <si>
    <t>32737</t>
  </si>
  <si>
    <t>26009</t>
  </si>
  <si>
    <t>21037</t>
  </si>
  <si>
    <t>20250</t>
  </si>
  <si>
    <t>23754</t>
  </si>
  <si>
    <t>32568</t>
  </si>
  <si>
    <t>19756</t>
  </si>
  <si>
    <t>24744</t>
  </si>
  <si>
    <t>26992</t>
  </si>
  <si>
    <t>27404</t>
  </si>
  <si>
    <t>39715</t>
  </si>
  <si>
    <t>38455</t>
  </si>
  <si>
    <t>62572</t>
  </si>
  <si>
    <t>51556</t>
  </si>
  <si>
    <t>62057</t>
  </si>
  <si>
    <t>62493</t>
  </si>
  <si>
    <t>58048</t>
  </si>
  <si>
    <t>50036</t>
  </si>
  <si>
    <t>66058</t>
  </si>
  <si>
    <t>80134</t>
  </si>
  <si>
    <t>90567</t>
  </si>
  <si>
    <t>30894</t>
  </si>
  <si>
    <t>32258</t>
  </si>
  <si>
    <t>23427</t>
  </si>
  <si>
    <t>23883</t>
  </si>
  <si>
    <t>36614</t>
  </si>
  <si>
    <t>28550</t>
  </si>
  <si>
    <t>42389</t>
  </si>
  <si>
    <t>14690</t>
  </si>
  <si>
    <t>12914</t>
  </si>
  <si>
    <t>26309</t>
  </si>
  <si>
    <t>47495</t>
  </si>
  <si>
    <t>32674</t>
  </si>
  <si>
    <t>38115</t>
  </si>
  <si>
    <t>24953</t>
  </si>
  <si>
    <t>30818</t>
  </si>
  <si>
    <t>36759</t>
  </si>
  <si>
    <t>47176</t>
  </si>
  <si>
    <t>37587</t>
  </si>
  <si>
    <t>oembimmerparts.com</t>
  </si>
  <si>
    <t>2023年2月加入CompetitorSites，同时卖正副厂零件</t>
  </si>
  <si>
    <t>74504</t>
  </si>
  <si>
    <t>51457</t>
  </si>
  <si>
    <t>173941</t>
  </si>
  <si>
    <t>74662</t>
  </si>
  <si>
    <t>44367</t>
  </si>
  <si>
    <t>81499</t>
  </si>
  <si>
    <t>155594</t>
  </si>
  <si>
    <t>bmwdiscountparts.com</t>
  </si>
  <si>
    <t>3444</t>
  </si>
  <si>
    <t>4774</t>
  </si>
  <si>
    <t>1418</t>
  </si>
  <si>
    <t>4608</t>
  </si>
  <si>
    <t>6841</t>
  </si>
  <si>
    <t>1968</t>
  </si>
  <si>
    <t>11537</t>
  </si>
  <si>
    <t>4259</t>
  </si>
  <si>
    <t>2146</t>
  </si>
  <si>
    <t>2796</t>
  </si>
  <si>
    <t>jakesweeneybmwparts.com</t>
  </si>
  <si>
    <t>6011</t>
  </si>
  <si>
    <t>3607</t>
  </si>
  <si>
    <t>843</t>
  </si>
  <si>
    <t>6467</t>
  </si>
  <si>
    <t>2520</t>
  </si>
  <si>
    <t>4725</t>
  </si>
  <si>
    <t>4517</t>
  </si>
  <si>
    <t>583</t>
  </si>
  <si>
    <t>bmwpartsworldwide.com</t>
  </si>
  <si>
    <t>7524</t>
  </si>
  <si>
    <t>13584</t>
  </si>
  <si>
    <t>20712</t>
  </si>
  <si>
    <t>5477</t>
  </si>
  <si>
    <t>4879</t>
  </si>
  <si>
    <t>7366</t>
  </si>
  <si>
    <t>8001</t>
  </si>
  <si>
    <t>3321</t>
  </si>
  <si>
    <t>4649</t>
  </si>
  <si>
    <t>thebmwminipartstore.com</t>
  </si>
  <si>
    <t>2021年10月变为Revolution</t>
  </si>
  <si>
    <t>6335</t>
  </si>
  <si>
    <t>5344</t>
  </si>
  <si>
    <t>7739</t>
  </si>
  <si>
    <t>2621</t>
  </si>
  <si>
    <t>3217</t>
  </si>
  <si>
    <t>5873</t>
  </si>
  <si>
    <t>3813</t>
  </si>
  <si>
    <t>8452</t>
  </si>
  <si>
    <t>7219</t>
  </si>
  <si>
    <t>2022年1月加入CompetitorSites，202305因流量大于MS5%，加入MS计算基准</t>
  </si>
  <si>
    <t>38528</t>
  </si>
  <si>
    <t>28683</t>
  </si>
  <si>
    <t>33747</t>
  </si>
  <si>
    <t>37378</t>
  </si>
  <si>
    <t>14418</t>
  </si>
  <si>
    <t>15965</t>
  </si>
  <si>
    <t>15137</t>
  </si>
  <si>
    <t>21028</t>
  </si>
  <si>
    <t>9686</t>
  </si>
  <si>
    <t>468554</t>
  </si>
  <si>
    <t>533508</t>
  </si>
  <si>
    <t>554314</t>
  </si>
  <si>
    <t>590895</t>
  </si>
  <si>
    <t>479857</t>
  </si>
  <si>
    <t>505042</t>
  </si>
  <si>
    <t>552162</t>
  </si>
  <si>
    <t>488197</t>
  </si>
  <si>
    <t>473806</t>
  </si>
  <si>
    <t>508853</t>
  </si>
  <si>
    <t>Motor原厂结合</t>
  </si>
  <si>
    <t>567908</t>
  </si>
  <si>
    <t>618695</t>
  </si>
  <si>
    <t>568949</t>
  </si>
  <si>
    <t>622191</t>
  </si>
  <si>
    <t>611716</t>
  </si>
  <si>
    <t>666718</t>
  </si>
  <si>
    <t>594818</t>
  </si>
  <si>
    <t>720971</t>
  </si>
  <si>
    <t>744528</t>
  </si>
  <si>
    <t>641180</t>
  </si>
  <si>
    <t>2023年1月，各 Brand 流量折算比例：Acura:0%,Ford:36%,GM:25%,Honda:0%,Hyundai:1%,Infiniti:1%,Kia:4%,Lexus:0%,Mopar:25%,Nissan:5%,Subaru:2%,Toyota:0%，折算比例为0，按照除0外的最低折算比例计</t>
  </si>
  <si>
    <t>928467</t>
  </si>
  <si>
    <t>919171</t>
  </si>
  <si>
    <t>907338</t>
  </si>
  <si>
    <t>959114</t>
  </si>
  <si>
    <t>936735</t>
  </si>
  <si>
    <t>784518</t>
  </si>
  <si>
    <t>687263</t>
  </si>
  <si>
    <t>858599</t>
  </si>
  <si>
    <t>655401</t>
  </si>
  <si>
    <t>244900</t>
  </si>
  <si>
    <t>244541</t>
  </si>
  <si>
    <t>257861</t>
  </si>
  <si>
    <t>296783</t>
  </si>
  <si>
    <t>365049</t>
  </si>
  <si>
    <t>374475</t>
  </si>
  <si>
    <t>315657</t>
  </si>
  <si>
    <t>269934</t>
  </si>
  <si>
    <t>271607</t>
  </si>
  <si>
    <t>283449</t>
  </si>
  <si>
    <t>579252</t>
  </si>
  <si>
    <t>511881</t>
  </si>
  <si>
    <t>572158</t>
  </si>
  <si>
    <t>608382</t>
  </si>
  <si>
    <t>422030</t>
  </si>
  <si>
    <t>457589</t>
  </si>
  <si>
    <t>549335</t>
  </si>
  <si>
    <t>587130</t>
  </si>
  <si>
    <t>501962</t>
  </si>
  <si>
    <t>482412</t>
  </si>
  <si>
    <t>125906</t>
  </si>
  <si>
    <t>146215</t>
  </si>
  <si>
    <t>133923</t>
  </si>
  <si>
    <t>138846</t>
  </si>
  <si>
    <t>152053</t>
  </si>
  <si>
    <t>143131</t>
  </si>
  <si>
    <t>112263</t>
  </si>
  <si>
    <t>103999</t>
  </si>
  <si>
    <t>153316</t>
  </si>
  <si>
    <t>96648</t>
  </si>
  <si>
    <t>79119</t>
  </si>
  <si>
    <t>43431</t>
  </si>
  <si>
    <t>36217</t>
  </si>
  <si>
    <t>71331</t>
  </si>
  <si>
    <t>105399</t>
  </si>
  <si>
    <t>108091</t>
  </si>
  <si>
    <t>77892</t>
  </si>
  <si>
    <t>77082</t>
  </si>
  <si>
    <t>99692</t>
  </si>
  <si>
    <t>201189</t>
  </si>
  <si>
    <t>289679</t>
  </si>
  <si>
    <t>226743</t>
  </si>
  <si>
    <t>304700</t>
  </si>
  <si>
    <t>201719</t>
  </si>
  <si>
    <t>246267</t>
  </si>
  <si>
    <t>318519</t>
  </si>
  <si>
    <t>389332</t>
  </si>
  <si>
    <t>367576</t>
  </si>
  <si>
    <t>onlinefordpartscatalog.com</t>
  </si>
  <si>
    <t>MN</t>
  </si>
  <si>
    <t>109524</t>
  </si>
  <si>
    <t>149271</t>
  </si>
  <si>
    <t>105351</t>
  </si>
  <si>
    <t>121266</t>
  </si>
  <si>
    <t>54061</t>
  </si>
  <si>
    <t>35090</t>
  </si>
  <si>
    <t>37186</t>
  </si>
  <si>
    <t>33623</t>
  </si>
  <si>
    <t>fairwayfordparts.net</t>
  </si>
  <si>
    <t>30770</t>
  </si>
  <si>
    <t>31019</t>
  </si>
  <si>
    <t>37847</t>
  </si>
  <si>
    <t>62293</t>
  </si>
  <si>
    <t>37048</t>
  </si>
  <si>
    <t>25491</t>
  </si>
  <si>
    <t>39692</t>
  </si>
  <si>
    <t>30241</t>
  </si>
  <si>
    <t>26064</t>
  </si>
  <si>
    <t>oemfordpartsfast.com</t>
  </si>
  <si>
    <t>31302</t>
  </si>
  <si>
    <t>26243</t>
  </si>
  <si>
    <t>47668</t>
  </si>
  <si>
    <t>14973</t>
  </si>
  <si>
    <t>23449</t>
  </si>
  <si>
    <t>14787</t>
  </si>
  <si>
    <t>8792</t>
  </si>
  <si>
    <t>3194</t>
  </si>
  <si>
    <t>主营Acc</t>
  </si>
  <si>
    <t>44992</t>
  </si>
  <si>
    <t>61348</t>
  </si>
  <si>
    <t>56101</t>
  </si>
  <si>
    <t>49582</t>
  </si>
  <si>
    <t>41103</t>
  </si>
  <si>
    <t>45119</t>
  </si>
  <si>
    <t>52772</t>
  </si>
  <si>
    <t>63999</t>
  </si>
  <si>
    <t>61945</t>
  </si>
  <si>
    <t>ford.worldoemparts.com</t>
  </si>
  <si>
    <t>同时经营多品牌零件，semrush流量折算比例：Ford:0%, GM:36%, Honda:25%, Hyundai:0%, Infiniti:1%, Kia:1%, Lexus:4%, Mopar:0%, Nissan:25%, Subaru:5%, Toyota:2%</t>
  </si>
  <si>
    <t>18858</t>
  </si>
  <si>
    <t>13773</t>
  </si>
  <si>
    <t>43749</t>
  </si>
  <si>
    <t>15651</t>
  </si>
  <si>
    <t>23416</t>
  </si>
  <si>
    <t>18564</t>
  </si>
  <si>
    <t>26602</t>
  </si>
  <si>
    <t>40431</t>
  </si>
  <si>
    <t>44799</t>
  </si>
  <si>
    <t>newautoparts.com</t>
  </si>
  <si>
    <t>经营多品牌零件，折算比例为：Ford:52%,GM:14%,Hyundai:0%,Infiniti:5%,Kia:5%,Lexus:0%,Mopar:19%,Nissan:5%</t>
  </si>
  <si>
    <t>57012</t>
  </si>
  <si>
    <t>57022</t>
  </si>
  <si>
    <t>52032</t>
  </si>
  <si>
    <t>38567</t>
  </si>
  <si>
    <t>48637</t>
  </si>
  <si>
    <t>23260</t>
  </si>
  <si>
    <t>21779</t>
  </si>
  <si>
    <t>28453</t>
  </si>
  <si>
    <t>25836</t>
  </si>
  <si>
    <t>lascoautoparts.com</t>
  </si>
  <si>
    <t>24368</t>
  </si>
  <si>
    <t>30687</t>
  </si>
  <si>
    <t>27432</t>
  </si>
  <si>
    <t>19719</t>
  </si>
  <si>
    <t>19657</t>
  </si>
  <si>
    <t>21010</t>
  </si>
  <si>
    <t>21842</t>
  </si>
  <si>
    <t>21645</t>
  </si>
  <si>
    <t>18371</t>
  </si>
  <si>
    <t>fordpartsamerica.com</t>
  </si>
  <si>
    <t>41485</t>
  </si>
  <si>
    <t>46219</t>
  </si>
  <si>
    <t>31156</t>
  </si>
  <si>
    <t>289</t>
  </si>
  <si>
    <t>经营多品牌零件，折算比例为：Ford:33%,GM:17%,Hyundai:0%,Infiniti:0%,Kia:17%,Mopar:33%,Subaru:0%</t>
  </si>
  <si>
    <t>130276</t>
  </si>
  <si>
    <t>143123</t>
  </si>
  <si>
    <t>131243</t>
  </si>
  <si>
    <t>123488</t>
  </si>
  <si>
    <t>103091</t>
  </si>
  <si>
    <t>105463</t>
  </si>
  <si>
    <t>129499</t>
  </si>
  <si>
    <t>130083</t>
  </si>
  <si>
    <t>123470</t>
  </si>
  <si>
    <t>官网-Performance Parts</t>
  </si>
  <si>
    <t>无法获取semrush流量信息</t>
  </si>
  <si>
    <t>119854</t>
  </si>
  <si>
    <t>101555</t>
  </si>
  <si>
    <t>99074</t>
  </si>
  <si>
    <t>84777</t>
  </si>
  <si>
    <t>101551</t>
  </si>
  <si>
    <t>105259</t>
  </si>
  <si>
    <t>72852</t>
  </si>
  <si>
    <t>69782</t>
  </si>
  <si>
    <t>80449</t>
  </si>
  <si>
    <t>74248</t>
  </si>
  <si>
    <t>同时经营多品牌，流量折算比例为Ford:23%,GM:23%,Infiniti:0%,Kia:13%,Mopar:31%,Nissan:10%</t>
  </si>
  <si>
    <t>241004</t>
  </si>
  <si>
    <t>236136</t>
  </si>
  <si>
    <t>237060</t>
  </si>
  <si>
    <t>224691</t>
  </si>
  <si>
    <t>196884</t>
  </si>
  <si>
    <t>229963</t>
  </si>
  <si>
    <t>198994</t>
  </si>
  <si>
    <t>154050</t>
  </si>
  <si>
    <t>155315</t>
  </si>
  <si>
    <t>145578</t>
  </si>
  <si>
    <t>discountfordpartsfromsoundford.net</t>
  </si>
  <si>
    <t>50306</t>
  </si>
  <si>
    <t>64236</t>
  </si>
  <si>
    <t>74159</t>
  </si>
  <si>
    <t>129713</t>
  </si>
  <si>
    <t>74053</t>
  </si>
  <si>
    <t>55494</t>
  </si>
  <si>
    <t>70867</t>
  </si>
  <si>
    <t>37513</t>
  </si>
  <si>
    <t>17605</t>
  </si>
  <si>
    <t>6129</t>
  </si>
  <si>
    <t>42390</t>
  </si>
  <si>
    <t>20345</t>
  </si>
  <si>
    <t>30347</t>
  </si>
  <si>
    <t>44302</t>
  </si>
  <si>
    <t>40774</t>
  </si>
  <si>
    <t>38803</t>
  </si>
  <si>
    <t>66815</t>
  </si>
  <si>
    <t>61512</t>
  </si>
  <si>
    <t>38658</t>
  </si>
  <si>
    <t>42318</t>
  </si>
  <si>
    <t>fordgenuineautoparts.com</t>
  </si>
  <si>
    <t>39540</t>
  </si>
  <si>
    <t>36674</t>
  </si>
  <si>
    <t>38628</t>
  </si>
  <si>
    <t>34570</t>
  </si>
  <si>
    <t>42708</t>
  </si>
  <si>
    <t>27241</t>
  </si>
  <si>
    <t>20553</t>
  </si>
  <si>
    <t>22650</t>
  </si>
  <si>
    <t>19636</t>
  </si>
  <si>
    <t>27101</t>
  </si>
  <si>
    <t>fordpartsprime.com</t>
  </si>
  <si>
    <t>oemford.parts</t>
  </si>
  <si>
    <t>2022年1月 新加入 CompetitorSites,Semrush无法正常获取该网站流量</t>
  </si>
  <si>
    <t>68604</t>
  </si>
  <si>
    <t>89122</t>
  </si>
  <si>
    <t>89504</t>
  </si>
  <si>
    <t>84119</t>
  </si>
  <si>
    <t>64340</t>
  </si>
  <si>
    <t>50499</t>
  </si>
  <si>
    <t>45401</t>
  </si>
  <si>
    <t>45674</t>
  </si>
  <si>
    <t>67691</t>
  </si>
  <si>
    <t>56477</t>
  </si>
  <si>
    <t>216060</t>
  </si>
  <si>
    <t>287360</t>
  </si>
  <si>
    <t>415327</t>
  </si>
  <si>
    <t>285339</t>
  </si>
  <si>
    <t>288971</t>
  </si>
  <si>
    <t>333194</t>
  </si>
  <si>
    <t>217496</t>
  </si>
  <si>
    <t>157134</t>
  </si>
  <si>
    <t>137102</t>
  </si>
  <si>
    <t>133999</t>
  </si>
  <si>
    <t>537539</t>
  </si>
  <si>
    <t>559576</t>
  </si>
  <si>
    <t>600376</t>
  </si>
  <si>
    <t>655256</t>
  </si>
  <si>
    <t>439249</t>
  </si>
  <si>
    <t>462988</t>
  </si>
  <si>
    <t>395131</t>
  </si>
  <si>
    <t>327907</t>
  </si>
  <si>
    <t>391042</t>
  </si>
  <si>
    <t>360678</t>
  </si>
  <si>
    <t>原gmpartsonline.net，202305网站导流到autopartspress.net。自2023年7月报告更新，将此竞品更名为autopartsexpress.net</t>
  </si>
  <si>
    <t>577170</t>
  </si>
  <si>
    <t>584820</t>
  </si>
  <si>
    <t>224959</t>
  </si>
  <si>
    <t>120626</t>
  </si>
  <si>
    <t>16903</t>
  </si>
  <si>
    <t>3014</t>
  </si>
  <si>
    <t>8433</t>
  </si>
  <si>
    <t>2883</t>
  </si>
  <si>
    <t>489017</t>
  </si>
  <si>
    <t>580095</t>
  </si>
  <si>
    <t>523843</t>
  </si>
  <si>
    <t>626791</t>
  </si>
  <si>
    <t>698935</t>
  </si>
  <si>
    <t>626224</t>
  </si>
  <si>
    <t>553896</t>
  </si>
  <si>
    <t>587671</t>
  </si>
  <si>
    <t>631875</t>
  </si>
  <si>
    <t>605962</t>
  </si>
  <si>
    <t>286095</t>
  </si>
  <si>
    <t>275423</t>
  </si>
  <si>
    <t>246855</t>
  </si>
  <si>
    <t>276665</t>
  </si>
  <si>
    <t>309794</t>
  </si>
  <si>
    <t>426065</t>
  </si>
  <si>
    <t>326471</t>
  </si>
  <si>
    <t>260244</t>
  </si>
  <si>
    <t>322428</t>
  </si>
  <si>
    <t>314999</t>
  </si>
  <si>
    <t>oempartsource.com</t>
  </si>
  <si>
    <t>2023年4月15日，网址失效。</t>
  </si>
  <si>
    <t>1931</t>
  </si>
  <si>
    <t>8517</t>
  </si>
  <si>
    <t>7346</t>
  </si>
  <si>
    <t>6998</t>
  </si>
  <si>
    <t>7658</t>
  </si>
  <si>
    <t>7673</t>
  </si>
  <si>
    <t>5058</t>
  </si>
  <si>
    <t>1959</t>
  </si>
  <si>
    <t>787</t>
  </si>
  <si>
    <t>1796</t>
  </si>
  <si>
    <t>parts.gmparts.com</t>
  </si>
  <si>
    <t>官网,20230518以前记录的网址为www.genuinegmparts.com，其导流到新的官网parts.gmparts.com，故变更官网名称</t>
  </si>
  <si>
    <t>168469</t>
  </si>
  <si>
    <t>155086</t>
  </si>
  <si>
    <t>218180</t>
  </si>
  <si>
    <t>161856</t>
  </si>
  <si>
    <t>107658</t>
  </si>
  <si>
    <t>114066</t>
  </si>
  <si>
    <t>140746</t>
  </si>
  <si>
    <t>180590</t>
  </si>
  <si>
    <t>183021</t>
  </si>
  <si>
    <t>146887</t>
  </si>
  <si>
    <t>174903</t>
  </si>
  <si>
    <t>183101</t>
  </si>
  <si>
    <t>188782</t>
  </si>
  <si>
    <t>192195</t>
  </si>
  <si>
    <t>270200</t>
  </si>
  <si>
    <t>185799</t>
  </si>
  <si>
    <t>194245</t>
  </si>
  <si>
    <t>155316</t>
  </si>
  <si>
    <t>155043</t>
  </si>
  <si>
    <t>shopchevyparts.com</t>
  </si>
  <si>
    <t>109745</t>
  </si>
  <si>
    <t>89115</t>
  </si>
  <si>
    <t>67923</t>
  </si>
  <si>
    <t>86614</t>
  </si>
  <si>
    <t>105611</t>
  </si>
  <si>
    <t>93663</t>
  </si>
  <si>
    <t>76075</t>
  </si>
  <si>
    <t>81197</t>
  </si>
  <si>
    <t>116108</t>
  </si>
  <si>
    <t>123063</t>
  </si>
  <si>
    <t>103710</t>
  </si>
  <si>
    <t>102958</t>
  </si>
  <si>
    <t>102194</t>
  </si>
  <si>
    <t>91993</t>
  </si>
  <si>
    <t>56727</t>
  </si>
  <si>
    <t>46150</t>
  </si>
  <si>
    <t>67945</t>
  </si>
  <si>
    <t>83535</t>
  </si>
  <si>
    <t>81124</t>
  </si>
  <si>
    <t>chevroletpartsdirect.com</t>
  </si>
  <si>
    <t>63027</t>
  </si>
  <si>
    <t>58211</t>
  </si>
  <si>
    <t>62051</t>
  </si>
  <si>
    <t>57423</t>
  </si>
  <si>
    <t>51231</t>
  </si>
  <si>
    <t>48386</t>
  </si>
  <si>
    <t>45205</t>
  </si>
  <si>
    <t>40465</t>
  </si>
  <si>
    <t>31166</t>
  </si>
  <si>
    <t>gmwholesaledirect.com</t>
  </si>
  <si>
    <t>79163</t>
  </si>
  <si>
    <t>56503</t>
  </si>
  <si>
    <t>52166</t>
  </si>
  <si>
    <t>67170</t>
  </si>
  <si>
    <t>98911</t>
  </si>
  <si>
    <t>79371</t>
  </si>
  <si>
    <t>82303</t>
  </si>
  <si>
    <t>60524</t>
  </si>
  <si>
    <t>50710</t>
  </si>
  <si>
    <t>gm.oempartsonline.com</t>
  </si>
  <si>
    <t>48643</t>
  </si>
  <si>
    <t>85754</t>
  </si>
  <si>
    <t>67805</t>
  </si>
  <si>
    <t>53757</t>
  </si>
  <si>
    <t>45369</t>
  </si>
  <si>
    <t>53217</t>
  </si>
  <si>
    <t>80651</t>
  </si>
  <si>
    <t>41443</t>
  </si>
  <si>
    <t>23432</t>
  </si>
  <si>
    <t>worldpartsdirect.com</t>
  </si>
  <si>
    <t>59940</t>
  </si>
  <si>
    <t>72703</t>
  </si>
  <si>
    <t>44144</t>
  </si>
  <si>
    <t>50898</t>
  </si>
  <si>
    <t>51463</t>
  </si>
  <si>
    <t>39271</t>
  </si>
  <si>
    <t>68525</t>
  </si>
  <si>
    <t>74559</t>
  </si>
  <si>
    <t>90593</t>
  </si>
  <si>
    <t>90665</t>
  </si>
  <si>
    <t>gmpartswarehouse.com</t>
  </si>
  <si>
    <t>111996</t>
  </si>
  <si>
    <t>86617</t>
  </si>
  <si>
    <t>90865</t>
  </si>
  <si>
    <t>113332</t>
  </si>
  <si>
    <t>88930</t>
  </si>
  <si>
    <t>97876</t>
  </si>
  <si>
    <t>83942</t>
  </si>
  <si>
    <t>118745</t>
  </si>
  <si>
    <t>98432</t>
  </si>
  <si>
    <t>gmpartsprime.com</t>
  </si>
  <si>
    <t>637</t>
  </si>
  <si>
    <t>6753</t>
  </si>
  <si>
    <t>newgmparts.com</t>
  </si>
  <si>
    <t>44417</t>
  </si>
  <si>
    <t>45114</t>
  </si>
  <si>
    <t>32400</t>
  </si>
  <si>
    <t>33791</t>
  </si>
  <si>
    <t>38611</t>
  </si>
  <si>
    <t>49440</t>
  </si>
  <si>
    <t>38987</t>
  </si>
  <si>
    <t>64580</t>
  </si>
  <si>
    <t>48590</t>
  </si>
  <si>
    <t>47095</t>
  </si>
  <si>
    <t>gmpartsclub.com</t>
  </si>
  <si>
    <t>45090</t>
  </si>
  <si>
    <t>26490</t>
  </si>
  <si>
    <t>18102</t>
  </si>
  <si>
    <t>30837</t>
  </si>
  <si>
    <t>33074</t>
  </si>
  <si>
    <t>28325</t>
  </si>
  <si>
    <t>24900</t>
  </si>
  <si>
    <t>21380</t>
  </si>
  <si>
    <t>22025</t>
  </si>
  <si>
    <t>13694</t>
  </si>
  <si>
    <t>gmpartsheadquarters.com</t>
  </si>
  <si>
    <t>16098</t>
  </si>
  <si>
    <t>10309</t>
  </si>
  <si>
    <t>13449</t>
  </si>
  <si>
    <t>14189</t>
  </si>
  <si>
    <t>4414</t>
  </si>
  <si>
    <t>3383</t>
  </si>
  <si>
    <t>11230</t>
  </si>
  <si>
    <t>11332</t>
  </si>
  <si>
    <t>6351</t>
  </si>
  <si>
    <t>2034</t>
  </si>
  <si>
    <t>Ponder Consulting</t>
  </si>
  <si>
    <t>gm-car-parts.com</t>
  </si>
  <si>
    <t>5247</t>
  </si>
  <si>
    <t>1706</t>
  </si>
  <si>
    <t>412</t>
  </si>
  <si>
    <t>3319</t>
  </si>
  <si>
    <t>5085</t>
  </si>
  <si>
    <t>8531</t>
  </si>
  <si>
    <t>7836</t>
  </si>
  <si>
    <t>831</t>
  </si>
  <si>
    <t>semrush升级，无法获取最新流量</t>
  </si>
  <si>
    <t>243965</t>
  </si>
  <si>
    <t>229123</t>
  </si>
  <si>
    <t>387201</t>
  </si>
  <si>
    <t>353195</t>
  </si>
  <si>
    <t>298141</t>
  </si>
  <si>
    <t>361556</t>
  </si>
  <si>
    <t>430016</t>
  </si>
  <si>
    <t>370455</t>
  </si>
  <si>
    <t>2021年06月新加竞争者</t>
  </si>
  <si>
    <t>221016</t>
  </si>
  <si>
    <t>140369</t>
  </si>
  <si>
    <t>161046</t>
  </si>
  <si>
    <t>193656</t>
  </si>
  <si>
    <t>181937</t>
  </si>
  <si>
    <t>111806</t>
  </si>
  <si>
    <t>138906</t>
  </si>
  <si>
    <t>191255</t>
  </si>
  <si>
    <t>180879</t>
  </si>
  <si>
    <t>182415</t>
  </si>
  <si>
    <t>181615</t>
  </si>
  <si>
    <t>280960</t>
  </si>
  <si>
    <t>126667</t>
  </si>
  <si>
    <t>138677</t>
  </si>
  <si>
    <t>118199</t>
  </si>
  <si>
    <t>120416</t>
  </si>
  <si>
    <t>166609</t>
  </si>
  <si>
    <t>144143</t>
  </si>
  <si>
    <t>2023年10月，Semrush中仅能获取acura子域名流量</t>
  </si>
  <si>
    <t>98510</t>
  </si>
  <si>
    <t>98672</t>
  </si>
  <si>
    <t>136417</t>
  </si>
  <si>
    <t>132233</t>
  </si>
  <si>
    <t>132100</t>
  </si>
  <si>
    <t>146326</t>
  </si>
  <si>
    <t>216digital</t>
  </si>
  <si>
    <t>Acc网站，202306因流量上涨加入MS计算基准</t>
  </si>
  <si>
    <t>98342</t>
  </si>
  <si>
    <t>126343</t>
  </si>
  <si>
    <t>143873</t>
  </si>
  <si>
    <t>198867</t>
  </si>
  <si>
    <t>118696</t>
  </si>
  <si>
    <t>135983</t>
  </si>
  <si>
    <t>112055</t>
  </si>
  <si>
    <t>138821</t>
  </si>
  <si>
    <t>161275</t>
  </si>
  <si>
    <t>154752</t>
  </si>
  <si>
    <t>80280</t>
  </si>
  <si>
    <t>85232</t>
  </si>
  <si>
    <t>73058</t>
  </si>
  <si>
    <t>108391</t>
  </si>
  <si>
    <t>107763</t>
  </si>
  <si>
    <t>93703</t>
  </si>
  <si>
    <t>110755</t>
  </si>
  <si>
    <t>94118</t>
  </si>
  <si>
    <t>85042</t>
  </si>
  <si>
    <t>113159</t>
  </si>
  <si>
    <t>114501</t>
  </si>
  <si>
    <t>119387</t>
  </si>
  <si>
    <t>103256</t>
  </si>
  <si>
    <t>145039</t>
  </si>
  <si>
    <t>103839</t>
  </si>
  <si>
    <t>96895</t>
  </si>
  <si>
    <t>108772</t>
  </si>
  <si>
    <t>128990</t>
  </si>
  <si>
    <t>166630</t>
  </si>
  <si>
    <t>2022/1新增，经营多品牌零件，按子域名区分, 各 Brand 流量折算比例：Acura:8%,BMW:0%,Ford:20%,GM:5%,Honda:17%,Hyundai:8%,Infiniti:2%,Kia:5%,Lexus:2%,Mopar:9%,Nissan:14%,Subaru:5%,Toyota:6%，折算比例为0的网站按照除0外最低折算比例计。2024年1月因为市场份额超过5%加入MS监控</t>
  </si>
  <si>
    <t>88740</t>
  </si>
  <si>
    <t>89976</t>
  </si>
  <si>
    <t>135896</t>
  </si>
  <si>
    <t>79333</t>
  </si>
  <si>
    <t>106070</t>
  </si>
  <si>
    <t>120947</t>
  </si>
  <si>
    <t>112702</t>
  </si>
  <si>
    <t>156731</t>
  </si>
  <si>
    <t>bkhondaparts.com</t>
  </si>
  <si>
    <t>47122</t>
  </si>
  <si>
    <t>70184</t>
  </si>
  <si>
    <t>43422</t>
  </si>
  <si>
    <t>45772</t>
  </si>
  <si>
    <t>50294</t>
  </si>
  <si>
    <t>55726</t>
  </si>
  <si>
    <t>41479</t>
  </si>
  <si>
    <t>45660</t>
  </si>
  <si>
    <t>11520</t>
  </si>
  <si>
    <t>23125</t>
  </si>
  <si>
    <t>hondapartsdeals.com</t>
  </si>
  <si>
    <t>22216</t>
  </si>
  <si>
    <t>25740</t>
  </si>
  <si>
    <t>39288</t>
  </si>
  <si>
    <t>19097</t>
  </si>
  <si>
    <t>23211</t>
  </si>
  <si>
    <t>17552</t>
  </si>
  <si>
    <t>13910</t>
  </si>
  <si>
    <t>10931</t>
  </si>
  <si>
    <t>hondapartscheap.com</t>
  </si>
  <si>
    <t>45165</t>
  </si>
  <si>
    <t>39584</t>
  </si>
  <si>
    <t>32166</t>
  </si>
  <si>
    <t>42988</t>
  </si>
  <si>
    <t>36332</t>
  </si>
  <si>
    <t>43850</t>
  </si>
  <si>
    <t>35721</t>
  </si>
  <si>
    <t>36131</t>
  </si>
  <si>
    <t>33437</t>
  </si>
  <si>
    <t>35729</t>
  </si>
  <si>
    <t>202305网站无法正常打开</t>
  </si>
  <si>
    <t>3402</t>
  </si>
  <si>
    <t>collegehillshondaparts.com</t>
  </si>
  <si>
    <t>2023年10月semrush无法正常获取流量</t>
  </si>
  <si>
    <t>3611</t>
  </si>
  <si>
    <t>1736</t>
  </si>
  <si>
    <t>676</t>
  </si>
  <si>
    <t>1156</t>
  </si>
  <si>
    <t>1985</t>
  </si>
  <si>
    <t>1691</t>
  </si>
  <si>
    <t>Dealer Inspire</t>
  </si>
  <si>
    <t>hondapartworld.com</t>
  </si>
  <si>
    <t>主营Acc，也卖Replacement parts
202305被导流到westhillshonda.com</t>
  </si>
  <si>
    <t>733</t>
  </si>
  <si>
    <t>679</t>
  </si>
  <si>
    <t>759</t>
  </si>
  <si>
    <t>hondapartsunlimited.com</t>
  </si>
  <si>
    <t>202305流量太低，无法正常获取流量</t>
  </si>
  <si>
    <t>772</t>
  </si>
  <si>
    <t>915</t>
  </si>
  <si>
    <t>244385</t>
  </si>
  <si>
    <t>494405</t>
  </si>
  <si>
    <t>353076</t>
  </si>
  <si>
    <t>311118</t>
  </si>
  <si>
    <t>305785</t>
  </si>
  <si>
    <t>388424</t>
  </si>
  <si>
    <t>409070</t>
  </si>
  <si>
    <t>553877</t>
  </si>
  <si>
    <t>hyundaioemparts.com</t>
  </si>
  <si>
    <t>3925</t>
  </si>
  <si>
    <t>200</t>
  </si>
  <si>
    <t>123</t>
  </si>
  <si>
    <t>121</t>
  </si>
  <si>
    <t>158523</t>
  </si>
  <si>
    <t>98601</t>
  </si>
  <si>
    <t>96708</t>
  </si>
  <si>
    <t>85723</t>
  </si>
  <si>
    <t>102601</t>
  </si>
  <si>
    <t>100933</t>
  </si>
  <si>
    <t>159679</t>
  </si>
  <si>
    <t>114208</t>
  </si>
  <si>
    <t>201407</t>
  </si>
  <si>
    <t>2020年11月新增竞争者</t>
  </si>
  <si>
    <t>103056</t>
  </si>
  <si>
    <t>125913</t>
  </si>
  <si>
    <t>121273</t>
  </si>
  <si>
    <t>142323</t>
  </si>
  <si>
    <t>131931</t>
  </si>
  <si>
    <t>130607</t>
  </si>
  <si>
    <t>113828</t>
  </si>
  <si>
    <t>143844</t>
  </si>
  <si>
    <t>183442</t>
  </si>
  <si>
    <t>195334</t>
  </si>
  <si>
    <t>jimellishyundaiparts.com</t>
  </si>
  <si>
    <t>25472</t>
  </si>
  <si>
    <t>36273</t>
  </si>
  <si>
    <t>43845</t>
  </si>
  <si>
    <t>36560</t>
  </si>
  <si>
    <t>21285</t>
  </si>
  <si>
    <t>22027</t>
  </si>
  <si>
    <t>19727</t>
  </si>
  <si>
    <t>26428</t>
  </si>
  <si>
    <t>30045</t>
  </si>
  <si>
    <t>31262</t>
  </si>
  <si>
    <t>hyundaionlineparts.net</t>
  </si>
  <si>
    <t>97</t>
  </si>
  <si>
    <t>hyundaiaccessorystore.com</t>
  </si>
  <si>
    <t>Accessories网站</t>
  </si>
  <si>
    <t>18926</t>
  </si>
  <si>
    <t>10869</t>
  </si>
  <si>
    <t>14448</t>
  </si>
  <si>
    <t>12136</t>
  </si>
  <si>
    <t>8964</t>
  </si>
  <si>
    <t>47620</t>
  </si>
  <si>
    <t>38448</t>
  </si>
  <si>
    <t>11298</t>
  </si>
  <si>
    <t>20600</t>
  </si>
  <si>
    <t>6948</t>
  </si>
  <si>
    <t>partshyundai.com</t>
  </si>
  <si>
    <t>21601</t>
  </si>
  <si>
    <t>11965</t>
  </si>
  <si>
    <t>4708</t>
  </si>
  <si>
    <t>4694</t>
  </si>
  <si>
    <t>6848</t>
  </si>
  <si>
    <t>17469</t>
  </si>
  <si>
    <t>11680</t>
  </si>
  <si>
    <t>10063</t>
  </si>
  <si>
    <t>12301</t>
  </si>
  <si>
    <t>8475</t>
  </si>
  <si>
    <t>68118</t>
  </si>
  <si>
    <t>38517</t>
  </si>
  <si>
    <t>29642</t>
  </si>
  <si>
    <t>64237</t>
  </si>
  <si>
    <t>52024</t>
  </si>
  <si>
    <t>41848</t>
  </si>
  <si>
    <t>71380</t>
  </si>
  <si>
    <t>94215</t>
  </si>
  <si>
    <t>49062</t>
  </si>
  <si>
    <t>206424</t>
  </si>
  <si>
    <t>206159</t>
  </si>
  <si>
    <t>251501</t>
  </si>
  <si>
    <t>244493</t>
  </si>
  <si>
    <t>251908</t>
  </si>
  <si>
    <t>288257</t>
  </si>
  <si>
    <t>279088</t>
  </si>
  <si>
    <t>296869</t>
  </si>
  <si>
    <t>359054</t>
  </si>
  <si>
    <t>oemhyundaiparts.com</t>
  </si>
  <si>
    <t>30200</t>
  </si>
  <si>
    <t>10494</t>
  </si>
  <si>
    <t>20771</t>
  </si>
  <si>
    <t>23749</t>
  </si>
  <si>
    <t>39868</t>
  </si>
  <si>
    <t>23723</t>
  </si>
  <si>
    <t>17143</t>
  </si>
  <si>
    <t>15021</t>
  </si>
  <si>
    <t>12163</t>
  </si>
  <si>
    <t>87266</t>
  </si>
  <si>
    <t>105179</t>
  </si>
  <si>
    <t>111218</t>
  </si>
  <si>
    <t>107058</t>
  </si>
  <si>
    <t>122163</t>
  </si>
  <si>
    <t>145289</t>
  </si>
  <si>
    <t>128120</t>
  </si>
  <si>
    <t>117923</t>
  </si>
  <si>
    <t>125254</t>
  </si>
  <si>
    <t>变成SimplePart</t>
  </si>
  <si>
    <t>75010</t>
  </si>
  <si>
    <t>94866</t>
  </si>
  <si>
    <t>99394</t>
  </si>
  <si>
    <t>88100</t>
  </si>
  <si>
    <t>105851</t>
  </si>
  <si>
    <t>104821</t>
  </si>
  <si>
    <t>80510</t>
  </si>
  <si>
    <t>82585</t>
  </si>
  <si>
    <t>103150</t>
  </si>
  <si>
    <t>202112新增竞争者</t>
  </si>
  <si>
    <t>23155</t>
  </si>
  <si>
    <t>14165</t>
  </si>
  <si>
    <t>6696</t>
  </si>
  <si>
    <t>14588</t>
  </si>
  <si>
    <t>11105</t>
  </si>
  <si>
    <t>10495</t>
  </si>
  <si>
    <t>6339</t>
  </si>
  <si>
    <t>8372</t>
  </si>
  <si>
    <t>26585</t>
  </si>
  <si>
    <t>17780</t>
  </si>
  <si>
    <t>19257</t>
  </si>
  <si>
    <t>32281</t>
  </si>
  <si>
    <t>11620</t>
  </si>
  <si>
    <t>11778</t>
  </si>
  <si>
    <t>9082</t>
  </si>
  <si>
    <t>16359</t>
  </si>
  <si>
    <t>10332</t>
  </si>
  <si>
    <t>28546</t>
  </si>
  <si>
    <t>20148</t>
  </si>
  <si>
    <t>11784</t>
  </si>
  <si>
    <t>9750</t>
  </si>
  <si>
    <t>19241</t>
  </si>
  <si>
    <t>13642</t>
  </si>
  <si>
    <t>33755</t>
  </si>
  <si>
    <t>26382</t>
  </si>
  <si>
    <t>9703</t>
  </si>
  <si>
    <t>5724</t>
  </si>
  <si>
    <t>7175</t>
  </si>
  <si>
    <t>804</t>
  </si>
  <si>
    <t>1746</t>
  </si>
  <si>
    <t>8254</t>
  </si>
  <si>
    <t>5393</t>
  </si>
  <si>
    <t>490</t>
  </si>
  <si>
    <t>3907</t>
  </si>
  <si>
    <t>2023/6，因流量上涨加入MS计算基准</t>
  </si>
  <si>
    <t>7873</t>
  </si>
  <si>
    <t>6855</t>
  </si>
  <si>
    <t>16325</t>
  </si>
  <si>
    <t>9292</t>
  </si>
  <si>
    <t>5626</t>
  </si>
  <si>
    <t>23558</t>
  </si>
  <si>
    <t>7016</t>
  </si>
  <si>
    <t>4270</t>
  </si>
  <si>
    <t>1662</t>
  </si>
  <si>
    <t>12922</t>
  </si>
  <si>
    <t>2061</t>
  </si>
  <si>
    <t>331</t>
  </si>
  <si>
    <t>6020</t>
  </si>
  <si>
    <t>1472</t>
  </si>
  <si>
    <t>308</t>
  </si>
  <si>
    <t>9691</t>
  </si>
  <si>
    <t>2022年1月 新加入 MarketingShare</t>
  </si>
  <si>
    <t>17712</t>
  </si>
  <si>
    <t>16623</t>
  </si>
  <si>
    <t>26594</t>
  </si>
  <si>
    <t>19767</t>
  </si>
  <si>
    <t>20917</t>
  </si>
  <si>
    <t>14481</t>
  </si>
  <si>
    <t>12785</t>
  </si>
  <si>
    <t>7472</t>
  </si>
  <si>
    <t>15255</t>
  </si>
  <si>
    <t>KIA</t>
  </si>
  <si>
    <t>268856</t>
  </si>
  <si>
    <t>273421</t>
  </si>
  <si>
    <t>277027</t>
  </si>
  <si>
    <t>342023</t>
  </si>
  <si>
    <t>266698</t>
  </si>
  <si>
    <t>325281</t>
  </si>
  <si>
    <t>365108</t>
  </si>
  <si>
    <t>442516</t>
  </si>
  <si>
    <t>198453</t>
  </si>
  <si>
    <t>234882</t>
  </si>
  <si>
    <t>193705</t>
  </si>
  <si>
    <t>151323</t>
  </si>
  <si>
    <t>129743</t>
  </si>
  <si>
    <t>365784</t>
  </si>
  <si>
    <t>2021年11月重开
2021年10月临时关站
2020年10月从PartSites变成Revolution，加入MarketingShare</t>
  </si>
  <si>
    <t>40236</t>
  </si>
  <si>
    <t>19812</t>
  </si>
  <si>
    <t>33805</t>
  </si>
  <si>
    <t>45130</t>
  </si>
  <si>
    <t>41349</t>
  </si>
  <si>
    <t>43101</t>
  </si>
  <si>
    <t>43865</t>
  </si>
  <si>
    <t>66715</t>
  </si>
  <si>
    <t>39293</t>
  </si>
  <si>
    <t>46929</t>
  </si>
  <si>
    <t>65194</t>
  </si>
  <si>
    <t>48797</t>
  </si>
  <si>
    <t>29546</t>
  </si>
  <si>
    <t>65996</t>
  </si>
  <si>
    <t>9694</t>
  </si>
  <si>
    <t>45752</t>
  </si>
  <si>
    <t>24730</t>
  </si>
  <si>
    <t>18716</t>
  </si>
  <si>
    <t>66714</t>
  </si>
  <si>
    <t>53153</t>
  </si>
  <si>
    <t>worldkiaparts.worldoemparts.com</t>
  </si>
  <si>
    <t>2023年4月15日，网址kiaparts.worldoemparts.com失效。2023年5月26日域名更新为当前域名；202305流量太低无法正常获取。折算比例：Ford:0%, GM:36%, Honda:25%, Hyundai:0%, Infiniti:1%, Kia:1%, Lexus:4%, Mopar:0%, Nissan:25%, Subaru:5%, Toyota:2%</t>
  </si>
  <si>
    <t>79843</t>
  </si>
  <si>
    <t>52047</t>
  </si>
  <si>
    <t>73792</t>
  </si>
  <si>
    <t>62214</t>
  </si>
  <si>
    <t>genuinekiaparts.com</t>
  </si>
  <si>
    <t>9911</t>
  </si>
  <si>
    <t>15538</t>
  </si>
  <si>
    <t>20363</t>
  </si>
  <si>
    <t>23710</t>
  </si>
  <si>
    <t>26631</t>
  </si>
  <si>
    <t>21181</t>
  </si>
  <si>
    <t>16879</t>
  </si>
  <si>
    <t>13905</t>
  </si>
  <si>
    <t>20966</t>
  </si>
  <si>
    <t>kiapartsonline.com</t>
  </si>
  <si>
    <t>30605</t>
  </si>
  <si>
    <t>41500</t>
  </si>
  <si>
    <t>30093</t>
  </si>
  <si>
    <t>13114</t>
  </si>
  <si>
    <t>19759</t>
  </si>
  <si>
    <t>23171</t>
  </si>
  <si>
    <t>13911</t>
  </si>
  <si>
    <t>28026</t>
  </si>
  <si>
    <t>22179</t>
  </si>
  <si>
    <t>kiapartsoverstock.com</t>
  </si>
  <si>
    <t>2023年4月，暂停服务</t>
  </si>
  <si>
    <t>13530</t>
  </si>
  <si>
    <t>1733</t>
  </si>
  <si>
    <t>301</t>
  </si>
  <si>
    <t>212</t>
  </si>
  <si>
    <t>6363</t>
  </si>
  <si>
    <t>kiapartsdepartment.com</t>
  </si>
  <si>
    <t>675</t>
  </si>
  <si>
    <t>37634</t>
  </si>
  <si>
    <t>30806</t>
  </si>
  <si>
    <t>43505</t>
  </si>
  <si>
    <t>31153</t>
  </si>
  <si>
    <t>37108</t>
  </si>
  <si>
    <t>50194</t>
  </si>
  <si>
    <t>44083</t>
  </si>
  <si>
    <t>34002</t>
  </si>
  <si>
    <t>276120</t>
  </si>
  <si>
    <t>268198</t>
  </si>
  <si>
    <t>264982</t>
  </si>
  <si>
    <t>287125</t>
  </si>
  <si>
    <t>312699</t>
  </si>
  <si>
    <t>384793</t>
  </si>
  <si>
    <t>314165</t>
  </si>
  <si>
    <t>349015</t>
  </si>
  <si>
    <t>350105</t>
  </si>
  <si>
    <t>269704</t>
  </si>
  <si>
    <t>297547</t>
  </si>
  <si>
    <t>331394</t>
  </si>
  <si>
    <t>302290</t>
  </si>
  <si>
    <t>284769</t>
  </si>
  <si>
    <t>312086</t>
  </si>
  <si>
    <t>281866</t>
  </si>
  <si>
    <t>306995</t>
  </si>
  <si>
    <t>303709</t>
  </si>
  <si>
    <t>319205</t>
  </si>
  <si>
    <t>43322</t>
  </si>
  <si>
    <t>37591</t>
  </si>
  <si>
    <t>41600</t>
  </si>
  <si>
    <t>38217</t>
  </si>
  <si>
    <t>23517</t>
  </si>
  <si>
    <t>38901</t>
  </si>
  <si>
    <t>23919</t>
  </si>
  <si>
    <t>21209</t>
  </si>
  <si>
    <t>33929</t>
  </si>
  <si>
    <t>45390</t>
  </si>
  <si>
    <t>34651</t>
  </si>
  <si>
    <t>37314</t>
  </si>
  <si>
    <t>37345</t>
  </si>
  <si>
    <t>41661</t>
  </si>
  <si>
    <t>25206</t>
  </si>
  <si>
    <t>26794</t>
  </si>
  <si>
    <t>32711</t>
  </si>
  <si>
    <t>35004</t>
  </si>
  <si>
    <t>42477</t>
  </si>
  <si>
    <t>51588</t>
  </si>
  <si>
    <t>29431</t>
  </si>
  <si>
    <t>25710</t>
  </si>
  <si>
    <t>34932</t>
  </si>
  <si>
    <t>30721</t>
  </si>
  <si>
    <t>21403</t>
  </si>
  <si>
    <t>31563</t>
  </si>
  <si>
    <t>23399</t>
  </si>
  <si>
    <t>34713</t>
  </si>
  <si>
    <t>28742</t>
  </si>
  <si>
    <t>同时经营多品牌网站零件，折算比例为：toyota：33%，lexus：42%，subaru:25%</t>
  </si>
  <si>
    <t>85203</t>
  </si>
  <si>
    <t>80331</t>
  </si>
  <si>
    <t>83017</t>
  </si>
  <si>
    <t>69496</t>
  </si>
  <si>
    <t>71194</t>
  </si>
  <si>
    <t>67175</t>
  </si>
  <si>
    <t>56680</t>
  </si>
  <si>
    <t>56092</t>
  </si>
  <si>
    <t>68846</t>
  </si>
  <si>
    <t>2023年3月新增正厂</t>
  </si>
  <si>
    <t>5123</t>
  </si>
  <si>
    <t>11339</t>
  </si>
  <si>
    <t>5829</t>
  </si>
  <si>
    <t>5997</t>
  </si>
  <si>
    <t>8363</t>
  </si>
  <si>
    <t>6192</t>
  </si>
  <si>
    <t>7689</t>
  </si>
  <si>
    <t>6398</t>
  </si>
  <si>
    <t>5458</t>
  </si>
  <si>
    <t>10009</t>
  </si>
  <si>
    <t>lexussouthatlantaparts.com</t>
  </si>
  <si>
    <t>654</t>
  </si>
  <si>
    <t>5973</t>
  </si>
  <si>
    <t>4169</t>
  </si>
  <si>
    <t>4379</t>
  </si>
  <si>
    <t>767</t>
  </si>
  <si>
    <t>2435</t>
  </si>
  <si>
    <t>454</t>
  </si>
  <si>
    <t>845</t>
  </si>
  <si>
    <t>2891</t>
  </si>
  <si>
    <t>85121</t>
  </si>
  <si>
    <t>72544</t>
  </si>
  <si>
    <t>125797</t>
  </si>
  <si>
    <t>82812</t>
  </si>
  <si>
    <t>72143</t>
  </si>
  <si>
    <t>97329</t>
  </si>
  <si>
    <t>134567</t>
  </si>
  <si>
    <t>64496</t>
  </si>
  <si>
    <t>91759</t>
  </si>
  <si>
    <t>74767</t>
  </si>
  <si>
    <t>114184</t>
  </si>
  <si>
    <t>126568</t>
  </si>
  <si>
    <t>153751</t>
  </si>
  <si>
    <t>132889</t>
  </si>
  <si>
    <t>114171</t>
  </si>
  <si>
    <t>111732</t>
  </si>
  <si>
    <t>104013</t>
  </si>
  <si>
    <t>92987</t>
  </si>
  <si>
    <t>16331</t>
  </si>
  <si>
    <t>20794</t>
  </si>
  <si>
    <t>25703</t>
  </si>
  <si>
    <t>45064</t>
  </si>
  <si>
    <t>26959</t>
  </si>
  <si>
    <t>35265</t>
  </si>
  <si>
    <t>26005</t>
  </si>
  <si>
    <t>16043</t>
  </si>
  <si>
    <t>13582</t>
  </si>
  <si>
    <t>49701</t>
  </si>
  <si>
    <t>74448</t>
  </si>
  <si>
    <t>62132</t>
  </si>
  <si>
    <t>61952</t>
  </si>
  <si>
    <t>32447</t>
  </si>
  <si>
    <t>29644</t>
  </si>
  <si>
    <t>35865</t>
  </si>
  <si>
    <t>71291</t>
  </si>
  <si>
    <t>39191</t>
  </si>
  <si>
    <t>92792</t>
  </si>
  <si>
    <t>51129</t>
  </si>
  <si>
    <t>61900</t>
  </si>
  <si>
    <t>60505</t>
  </si>
  <si>
    <t>48417</t>
  </si>
  <si>
    <t>46555</t>
  </si>
  <si>
    <t>60190</t>
  </si>
  <si>
    <t>75167</t>
  </si>
  <si>
    <t>78028</t>
  </si>
  <si>
    <t>65414</t>
  </si>
  <si>
    <t>54396</t>
  </si>
  <si>
    <t>58806</t>
  </si>
  <si>
    <t>96022</t>
  </si>
  <si>
    <t>78453</t>
  </si>
  <si>
    <t>49366</t>
  </si>
  <si>
    <t>62558</t>
  </si>
  <si>
    <t>84421</t>
  </si>
  <si>
    <t>87250</t>
  </si>
  <si>
    <t>663</t>
  </si>
  <si>
    <t>3937</t>
  </si>
  <si>
    <t>887</t>
  </si>
  <si>
    <t>1770</t>
  </si>
  <si>
    <t>1259</t>
  </si>
  <si>
    <t>162</t>
  </si>
  <si>
    <t>789</t>
  </si>
  <si>
    <t>512</t>
  </si>
  <si>
    <t>6756</t>
  </si>
  <si>
    <t>34874</t>
  </si>
  <si>
    <t>21202</t>
  </si>
  <si>
    <t>24419</t>
  </si>
  <si>
    <t>33743</t>
  </si>
  <si>
    <t>26655</t>
  </si>
  <si>
    <t>15004</t>
  </si>
  <si>
    <t>26777</t>
  </si>
  <si>
    <t>24836</t>
  </si>
  <si>
    <t>30901</t>
  </si>
  <si>
    <t>29340</t>
  </si>
  <si>
    <t>TradeMotion</t>
  </si>
  <si>
    <t>getmercedesparts.com</t>
  </si>
  <si>
    <t>1720</t>
  </si>
  <si>
    <t>610</t>
  </si>
  <si>
    <t>13103</t>
  </si>
  <si>
    <t>17897</t>
  </si>
  <si>
    <t>5131</t>
  </si>
  <si>
    <t>589</t>
  </si>
  <si>
    <t>246</t>
  </si>
  <si>
    <t>406</t>
  </si>
  <si>
    <t>108291</t>
  </si>
  <si>
    <t>113929</t>
  </si>
  <si>
    <t>83877</t>
  </si>
  <si>
    <t>86066</t>
  </si>
  <si>
    <t>133356</t>
  </si>
  <si>
    <t>80281</t>
  </si>
  <si>
    <t>96247</t>
  </si>
  <si>
    <t>mitsubishipartscentral.com</t>
  </si>
  <si>
    <t>6904</t>
  </si>
  <si>
    <t>8576</t>
  </si>
  <si>
    <t>8026</t>
  </si>
  <si>
    <t>5511</t>
  </si>
  <si>
    <t>2284</t>
  </si>
  <si>
    <t>1007</t>
  </si>
  <si>
    <t>1217</t>
  </si>
  <si>
    <t>6345</t>
  </si>
  <si>
    <t>2079</t>
  </si>
  <si>
    <t>PartSites，官网</t>
  </si>
  <si>
    <t>网址更新</t>
  </si>
  <si>
    <t>553270</t>
  </si>
  <si>
    <t>561734</t>
  </si>
  <si>
    <t>503592</t>
  </si>
  <si>
    <t>503912</t>
  </si>
  <si>
    <t>618418</t>
  </si>
  <si>
    <t>631478</t>
  </si>
  <si>
    <t>640132</t>
  </si>
  <si>
    <t>607397</t>
  </si>
  <si>
    <t>713374</t>
  </si>
  <si>
    <t>725358</t>
  </si>
  <si>
    <t>716480</t>
  </si>
  <si>
    <t>211767</t>
  </si>
  <si>
    <t>196447</t>
  </si>
  <si>
    <t>176364</t>
  </si>
  <si>
    <t>178592</t>
  </si>
  <si>
    <t>226057</t>
  </si>
  <si>
    <t>219178</t>
  </si>
  <si>
    <t>179463</t>
  </si>
  <si>
    <t>230069</t>
  </si>
  <si>
    <t>222809</t>
  </si>
  <si>
    <t>89527</t>
  </si>
  <si>
    <t>106198</t>
  </si>
  <si>
    <t>83566</t>
  </si>
  <si>
    <t>83652</t>
  </si>
  <si>
    <t>85087</t>
  </si>
  <si>
    <t>78568</t>
  </si>
  <si>
    <t>90004</t>
  </si>
  <si>
    <t>71969</t>
  </si>
  <si>
    <t>56279</t>
  </si>
  <si>
    <t>76687</t>
  </si>
  <si>
    <t>259743</t>
  </si>
  <si>
    <t>185016</t>
  </si>
  <si>
    <t>220339</t>
  </si>
  <si>
    <t>231288</t>
  </si>
  <si>
    <t>228722</t>
  </si>
  <si>
    <t>201927</t>
  </si>
  <si>
    <t>178724</t>
  </si>
  <si>
    <t>238144</t>
  </si>
  <si>
    <t>158694</t>
  </si>
  <si>
    <t>144888</t>
  </si>
  <si>
    <t>2022年1月 新加入 CompetitorSites</t>
  </si>
  <si>
    <t>115806</t>
  </si>
  <si>
    <t>77708</t>
  </si>
  <si>
    <t>90286</t>
  </si>
  <si>
    <t>78044</t>
  </si>
  <si>
    <t>88805</t>
  </si>
  <si>
    <t>79350</t>
  </si>
  <si>
    <t>64542</t>
  </si>
  <si>
    <t>64708</t>
  </si>
  <si>
    <t>77319</t>
  </si>
  <si>
    <t>67584</t>
  </si>
  <si>
    <t>2023年2月加入MarketingShare</t>
  </si>
  <si>
    <t>66584</t>
  </si>
  <si>
    <t>70548</t>
  </si>
  <si>
    <t>71184</t>
  </si>
  <si>
    <t>80591</t>
  </si>
  <si>
    <t>88770</t>
  </si>
  <si>
    <t>85271</t>
  </si>
  <si>
    <t>112877</t>
  </si>
  <si>
    <t>131127</t>
  </si>
  <si>
    <t>100475</t>
  </si>
  <si>
    <t>110885</t>
  </si>
  <si>
    <t>变为精确运费</t>
  </si>
  <si>
    <t>131863</t>
  </si>
  <si>
    <t>151713</t>
  </si>
  <si>
    <t>139035</t>
  </si>
  <si>
    <t>168270</t>
  </si>
  <si>
    <t>152332</t>
  </si>
  <si>
    <t>158375</t>
  </si>
  <si>
    <t>139142</t>
  </si>
  <si>
    <t>96168</t>
  </si>
  <si>
    <t>117755</t>
  </si>
  <si>
    <t>同时经营多品牌零件，折算比例为：mopar：21%，toyota：6%，</t>
  </si>
  <si>
    <t>94377</t>
  </si>
  <si>
    <t>72010</t>
  </si>
  <si>
    <t>85537</t>
  </si>
  <si>
    <t>88908</t>
  </si>
  <si>
    <t>86873</t>
  </si>
  <si>
    <t>96450</t>
  </si>
  <si>
    <t>99297</t>
  </si>
  <si>
    <t>115001</t>
  </si>
  <si>
    <t>114931</t>
  </si>
  <si>
    <t>因MS大于5%，202305重新加入MS计算基准</t>
  </si>
  <si>
    <t>107524</t>
  </si>
  <si>
    <t>137345</t>
  </si>
  <si>
    <t>139418</t>
  </si>
  <si>
    <t>135987</t>
  </si>
  <si>
    <t>125649</t>
  </si>
  <si>
    <t>125975</t>
  </si>
  <si>
    <t>134128</t>
  </si>
  <si>
    <t>moparpartsonsale.com</t>
  </si>
  <si>
    <t>14427</t>
  </si>
  <si>
    <t>18970</t>
  </si>
  <si>
    <t>23012</t>
  </si>
  <si>
    <t>24724</t>
  </si>
  <si>
    <t>25692</t>
  </si>
  <si>
    <t>31103</t>
  </si>
  <si>
    <t>29447</t>
  </si>
  <si>
    <t>41658</t>
  </si>
  <si>
    <t>33270</t>
  </si>
  <si>
    <t>dodgeparts.com</t>
  </si>
  <si>
    <t>22631</t>
  </si>
  <si>
    <t>36160</t>
  </si>
  <si>
    <t>29827</t>
  </si>
  <si>
    <t>17214</t>
  </si>
  <si>
    <t>21550</t>
  </si>
  <si>
    <t>44608</t>
  </si>
  <si>
    <t>36923</t>
  </si>
  <si>
    <t>26422</t>
  </si>
  <si>
    <t>27650</t>
  </si>
  <si>
    <t>25135</t>
  </si>
  <si>
    <t>41334</t>
  </si>
  <si>
    <t>45549</t>
  </si>
  <si>
    <t>63129</t>
  </si>
  <si>
    <t>57063</t>
  </si>
  <si>
    <t>72778</t>
  </si>
  <si>
    <t>71209</t>
  </si>
  <si>
    <t>65243</t>
  </si>
  <si>
    <t>82598</t>
  </si>
  <si>
    <t>48704</t>
  </si>
  <si>
    <t>parts.allmoparparts.com</t>
  </si>
  <si>
    <t>50084</t>
  </si>
  <si>
    <t>53308</t>
  </si>
  <si>
    <t>52474</t>
  </si>
  <si>
    <t>53262</t>
  </si>
  <si>
    <t>44390</t>
  </si>
  <si>
    <t>69877</t>
  </si>
  <si>
    <t>69759</t>
  </si>
  <si>
    <t>49516</t>
  </si>
  <si>
    <t>78893</t>
  </si>
  <si>
    <t>42715</t>
  </si>
  <si>
    <t>mopar.worldoemparts.com</t>
  </si>
  <si>
    <t>33517</t>
  </si>
  <si>
    <t>25028</t>
  </si>
  <si>
    <t>28578</t>
  </si>
  <si>
    <t>18418</t>
  </si>
  <si>
    <t>27278</t>
  </si>
  <si>
    <t>35698</t>
  </si>
  <si>
    <t>6141</t>
  </si>
  <si>
    <t>39918</t>
  </si>
  <si>
    <t>jeepsareus.com</t>
  </si>
  <si>
    <t>17417</t>
  </si>
  <si>
    <t>25780</t>
  </si>
  <si>
    <t>17652</t>
  </si>
  <si>
    <t>15895</t>
  </si>
  <si>
    <t>2807</t>
  </si>
  <si>
    <t>jeepchryslerdodgeramparts.com</t>
  </si>
  <si>
    <t>47692</t>
  </si>
  <si>
    <t>49255</t>
  </si>
  <si>
    <t>55898</t>
  </si>
  <si>
    <t>37401</t>
  </si>
  <si>
    <t>32533</t>
  </si>
  <si>
    <t>32866</t>
  </si>
  <si>
    <t>28531</t>
  </si>
  <si>
    <t>31769</t>
  </si>
  <si>
    <t>22276</t>
  </si>
  <si>
    <t>17097</t>
  </si>
  <si>
    <t>moparoempartsdirect.com</t>
  </si>
  <si>
    <t>53655</t>
  </si>
  <si>
    <t>29330</t>
  </si>
  <si>
    <t>43938</t>
  </si>
  <si>
    <t>41945</t>
  </si>
  <si>
    <t>21374</t>
  </si>
  <si>
    <t>26626</t>
  </si>
  <si>
    <t>24783</t>
  </si>
  <si>
    <t>22808</t>
  </si>
  <si>
    <t>10990</t>
  </si>
  <si>
    <t>wholesalemopar.com</t>
  </si>
  <si>
    <t>5887</t>
  </si>
  <si>
    <t>12854</t>
  </si>
  <si>
    <t>5142</t>
  </si>
  <si>
    <t>1529</t>
  </si>
  <si>
    <t>6018</t>
  </si>
  <si>
    <t>9152</t>
  </si>
  <si>
    <t>14635</t>
  </si>
  <si>
    <t>20972</t>
  </si>
  <si>
    <t>6374</t>
  </si>
  <si>
    <t>7545</t>
  </si>
  <si>
    <t>419967</t>
  </si>
  <si>
    <t>434601</t>
  </si>
  <si>
    <t>439229</t>
  </si>
  <si>
    <t>457046</t>
  </si>
  <si>
    <t>458800</t>
  </si>
  <si>
    <t>438558</t>
  </si>
  <si>
    <t>415001</t>
  </si>
  <si>
    <t>418576</t>
  </si>
  <si>
    <t>488487</t>
  </si>
  <si>
    <t>438401</t>
  </si>
  <si>
    <t>变成simplepart</t>
  </si>
  <si>
    <t>418246</t>
  </si>
  <si>
    <t>408423</t>
  </si>
  <si>
    <t>408472</t>
  </si>
  <si>
    <t>462721</t>
  </si>
  <si>
    <t>502908</t>
  </si>
  <si>
    <t>482040</t>
  </si>
  <si>
    <t>416658</t>
  </si>
  <si>
    <t>464143</t>
  </si>
  <si>
    <t>509822</t>
  </si>
  <si>
    <t>481414</t>
  </si>
  <si>
    <t>2021年08月新增竞争者</t>
  </si>
  <si>
    <t>144257</t>
  </si>
  <si>
    <t>116802</t>
  </si>
  <si>
    <t>113059</t>
  </si>
  <si>
    <t>112850</t>
  </si>
  <si>
    <t>114111</t>
  </si>
  <si>
    <t>85220</t>
  </si>
  <si>
    <t>69143</t>
  </si>
  <si>
    <t>71471</t>
  </si>
  <si>
    <t>72980</t>
  </si>
  <si>
    <t>53029</t>
  </si>
  <si>
    <t>2020年10月起加入MarketingShare.2023年8月，因为连续半年市场份额低于5%移除；2024年2月因市场份额大于5%重新加入监控</t>
  </si>
  <si>
    <t>13785</t>
  </si>
  <si>
    <t>22931</t>
  </si>
  <si>
    <t>29641</t>
  </si>
  <si>
    <t>33370</t>
  </si>
  <si>
    <t>28066</t>
  </si>
  <si>
    <t>33920</t>
  </si>
  <si>
    <t>22694</t>
  </si>
  <si>
    <t>12199</t>
  </si>
  <si>
    <t>29344</t>
  </si>
  <si>
    <t>23846</t>
  </si>
  <si>
    <t>22162</t>
  </si>
  <si>
    <t>22642</t>
  </si>
  <si>
    <t>24155</t>
  </si>
  <si>
    <t>22793</t>
  </si>
  <si>
    <t>17449</t>
  </si>
  <si>
    <t>57109</t>
  </si>
  <si>
    <t>35731</t>
  </si>
  <si>
    <t>47828</t>
  </si>
  <si>
    <t>56218</t>
  </si>
  <si>
    <t>30718</t>
  </si>
  <si>
    <t>46170</t>
  </si>
  <si>
    <t>28150</t>
  </si>
  <si>
    <t>38010</t>
  </si>
  <si>
    <t>nissanpartswarehouse.com</t>
  </si>
  <si>
    <t>730</t>
  </si>
  <si>
    <t>5053</t>
  </si>
  <si>
    <t>7159</t>
  </si>
  <si>
    <t>8071</t>
  </si>
  <si>
    <t>8908</t>
  </si>
  <si>
    <t>4064</t>
  </si>
  <si>
    <t>526</t>
  </si>
  <si>
    <t>8172</t>
  </si>
  <si>
    <t>13434</t>
  </si>
  <si>
    <t>4083</t>
  </si>
  <si>
    <t>nissanpartsusa.com</t>
  </si>
  <si>
    <t>30941</t>
  </si>
  <si>
    <t>30412</t>
  </si>
  <si>
    <t>37293</t>
  </si>
  <si>
    <t>28529</t>
  </si>
  <si>
    <t>15020</t>
  </si>
  <si>
    <t>14564</t>
  </si>
  <si>
    <t>9588</t>
  </si>
  <si>
    <t>23652</t>
  </si>
  <si>
    <t>28413</t>
  </si>
  <si>
    <t>nissanwholesaledirect.com</t>
  </si>
  <si>
    <t>17275</t>
  </si>
  <si>
    <t>32038</t>
  </si>
  <si>
    <t>28420</t>
  </si>
  <si>
    <t>28179</t>
  </si>
  <si>
    <t>16523</t>
  </si>
  <si>
    <t>10196</t>
  </si>
  <si>
    <t>18815</t>
  </si>
  <si>
    <t>17857</t>
  </si>
  <si>
    <t>9449</t>
  </si>
  <si>
    <t>60861</t>
  </si>
  <si>
    <t>60919</t>
  </si>
  <si>
    <t>76261</t>
  </si>
  <si>
    <t>74143</t>
  </si>
  <si>
    <t>87235</t>
  </si>
  <si>
    <t>90019</t>
  </si>
  <si>
    <t>83995</t>
  </si>
  <si>
    <t>131994</t>
  </si>
  <si>
    <t>115117</t>
  </si>
  <si>
    <t>nissan.worldoemparts.com</t>
  </si>
  <si>
    <t>24979</t>
  </si>
  <si>
    <t>23580</t>
  </si>
  <si>
    <t>19130</t>
  </si>
  <si>
    <t>16932</t>
  </si>
  <si>
    <t>31960</t>
  </si>
  <si>
    <t>43334</t>
  </si>
  <si>
    <t>22581</t>
  </si>
  <si>
    <t>8698</t>
  </si>
  <si>
    <t>10860</t>
  </si>
  <si>
    <t>2023年1月新增</t>
  </si>
  <si>
    <t>53321</t>
  </si>
  <si>
    <t>50382</t>
  </si>
  <si>
    <t>43944</t>
  </si>
  <si>
    <t>24053</t>
  </si>
  <si>
    <t>26374</t>
  </si>
  <si>
    <t>16030</t>
  </si>
  <si>
    <t>16636</t>
  </si>
  <si>
    <t>4218</t>
  </si>
  <si>
    <t>22842</t>
  </si>
  <si>
    <t>mynissanpartstore.com</t>
  </si>
  <si>
    <t>1582</t>
  </si>
  <si>
    <t>6958</t>
  </si>
  <si>
    <t>5267</t>
  </si>
  <si>
    <t>2024</t>
  </si>
  <si>
    <t>5939</t>
  </si>
  <si>
    <t>2570</t>
  </si>
  <si>
    <t>pronissanparts.com</t>
  </si>
  <si>
    <t>202307，Semrush无法正常获取流量</t>
  </si>
  <si>
    <t>7480</t>
  </si>
  <si>
    <t>4488</t>
  </si>
  <si>
    <t>5390</t>
  </si>
  <si>
    <t>2080</t>
  </si>
  <si>
    <t>5657</t>
  </si>
  <si>
    <t>3662</t>
  </si>
  <si>
    <t>8627</t>
  </si>
  <si>
    <t>5757</t>
  </si>
  <si>
    <t>2828</t>
  </si>
  <si>
    <t>nissanraceshopoemparts.com</t>
  </si>
  <si>
    <t>3496</t>
  </si>
  <si>
    <t>670</t>
  </si>
  <si>
    <t>653</t>
  </si>
  <si>
    <t>2922</t>
  </si>
  <si>
    <t>1552</t>
  </si>
  <si>
    <t>1106</t>
  </si>
  <si>
    <t>官网 &amp; SimplePart</t>
  </si>
  <si>
    <t>511903</t>
  </si>
  <si>
    <t>641564</t>
  </si>
  <si>
    <t>614740</t>
  </si>
  <si>
    <t>582960</t>
  </si>
  <si>
    <t>614899</t>
  </si>
  <si>
    <t>567629</t>
  </si>
  <si>
    <t>518940</t>
  </si>
  <si>
    <t>444402</t>
  </si>
  <si>
    <t>473751</t>
  </si>
  <si>
    <t>443415</t>
  </si>
  <si>
    <t>162945</t>
  </si>
  <si>
    <t>196628</t>
  </si>
  <si>
    <t>172021</t>
  </si>
  <si>
    <t>181761</t>
  </si>
  <si>
    <t>176298</t>
  </si>
  <si>
    <t>190873</t>
  </si>
  <si>
    <t>2023年4月，流量更新为子站parts.subaruonlineparts.com，子站主营parts，此前监控域名为subaruonlineparts.com,该子域名的实际成单效率较高，流量不能完全反应其竞争力</t>
  </si>
  <si>
    <t>60298</t>
  </si>
  <si>
    <t>54365</t>
  </si>
  <si>
    <t>56219</t>
  </si>
  <si>
    <t>59194</t>
  </si>
  <si>
    <t>51863</t>
  </si>
  <si>
    <t>50566</t>
  </si>
  <si>
    <t>37662</t>
  </si>
  <si>
    <t>57475</t>
  </si>
  <si>
    <t>59876</t>
  </si>
  <si>
    <t>106741</t>
  </si>
  <si>
    <t>138455</t>
  </si>
  <si>
    <t>180174</t>
  </si>
  <si>
    <t>204578</t>
  </si>
  <si>
    <t>108483</t>
  </si>
  <si>
    <t>119281</t>
  </si>
  <si>
    <t>135192</t>
  </si>
  <si>
    <t>169606</t>
  </si>
  <si>
    <t>169044</t>
  </si>
  <si>
    <t>2024年1月，因市场份额大于5%，加入监控</t>
  </si>
  <si>
    <t>18965</t>
  </si>
  <si>
    <t>21251</t>
  </si>
  <si>
    <t>27172</t>
  </si>
  <si>
    <t>20623</t>
  </si>
  <si>
    <t>14760</t>
  </si>
  <si>
    <t>10384</t>
  </si>
  <si>
    <t>26474</t>
  </si>
  <si>
    <t>22112</t>
  </si>
  <si>
    <t>7147</t>
  </si>
  <si>
    <t>18985</t>
  </si>
  <si>
    <t>22258</t>
  </si>
  <si>
    <t>27421</t>
  </si>
  <si>
    <t>25002</t>
  </si>
  <si>
    <t>27765</t>
  </si>
  <si>
    <t>22825</t>
  </si>
  <si>
    <t>43501</t>
  </si>
  <si>
    <t>suzukisubaruparts.worldoemparts.com</t>
  </si>
  <si>
    <t>2023年4月，域名失效。2023/5/26，网站将Subaru和suzuki的域名合并，改为当前域名，此前域名为subaru.worldoemparts.com</t>
  </si>
  <si>
    <t>40066</t>
  </si>
  <si>
    <t>29917</t>
  </si>
  <si>
    <t>27140</t>
  </si>
  <si>
    <t>38080</t>
  </si>
  <si>
    <t>34515</t>
  </si>
  <si>
    <t>同时经营多品牌网站零件，折算比例为：toyota：8%，lexus：10%，subaru:6%</t>
  </si>
  <si>
    <t>46364</t>
  </si>
  <si>
    <t>62632</t>
  </si>
  <si>
    <t>76536</t>
  </si>
  <si>
    <t>66216</t>
  </si>
  <si>
    <t>78666</t>
  </si>
  <si>
    <t>34625</t>
  </si>
  <si>
    <t>25312</t>
  </si>
  <si>
    <t>53673</t>
  </si>
  <si>
    <t>31617</t>
  </si>
  <si>
    <t>34157</t>
  </si>
  <si>
    <t>24262</t>
  </si>
  <si>
    <t>22043</t>
  </si>
  <si>
    <t>23974</t>
  </si>
  <si>
    <t>21189</t>
  </si>
  <si>
    <t>9061</t>
  </si>
  <si>
    <t>16698</t>
  </si>
  <si>
    <t>24881</t>
  </si>
  <si>
    <t>14310</t>
  </si>
  <si>
    <t>subarupartsdepot.com</t>
  </si>
  <si>
    <t>6970</t>
  </si>
  <si>
    <t>5608</t>
  </si>
  <si>
    <t>4128</t>
  </si>
  <si>
    <t>4140</t>
  </si>
  <si>
    <t>42627</t>
  </si>
  <si>
    <t>16483</t>
  </si>
  <si>
    <t>5424</t>
  </si>
  <si>
    <t>1452</t>
  </si>
  <si>
    <t>4518</t>
  </si>
  <si>
    <t>1342</t>
  </si>
  <si>
    <t>subarupartssuperstore.com</t>
  </si>
  <si>
    <t>3106</t>
  </si>
  <si>
    <t>8035</t>
  </si>
  <si>
    <t>15618</t>
  </si>
  <si>
    <t>10398</t>
  </si>
  <si>
    <t>9217</t>
  </si>
  <si>
    <t>914</t>
  </si>
  <si>
    <t>1498</t>
  </si>
  <si>
    <t>2099</t>
  </si>
  <si>
    <t>7485</t>
  </si>
  <si>
    <t>subarupartsamerica.com</t>
  </si>
  <si>
    <t>2905</t>
  </si>
  <si>
    <t>8489</t>
  </si>
  <si>
    <t>6356</t>
  </si>
  <si>
    <t>1606</t>
  </si>
  <si>
    <t>4847</t>
  </si>
  <si>
    <t>13126</t>
  </si>
  <si>
    <t>2808</t>
  </si>
  <si>
    <t>5558</t>
  </si>
  <si>
    <t>subarugenuineparts.com</t>
  </si>
  <si>
    <t>717</t>
  </si>
  <si>
    <t>513</t>
  </si>
  <si>
    <t>839</t>
  </si>
  <si>
    <t>234</t>
  </si>
  <si>
    <t>132</t>
  </si>
  <si>
    <t>600</t>
  </si>
  <si>
    <t>672</t>
  </si>
  <si>
    <t>299</t>
  </si>
  <si>
    <t>38657</t>
  </si>
  <si>
    <t>51069</t>
  </si>
  <si>
    <t>41604</t>
  </si>
  <si>
    <t>46846</t>
  </si>
  <si>
    <t>47757</t>
  </si>
  <si>
    <t>78326</t>
  </si>
  <si>
    <t>43454</t>
  </si>
  <si>
    <t>471332</t>
  </si>
  <si>
    <t>686966</t>
  </si>
  <si>
    <t>590319</t>
  </si>
  <si>
    <t>767720</t>
  </si>
  <si>
    <t>733517</t>
  </si>
  <si>
    <t>937588</t>
  </si>
  <si>
    <t>870394</t>
  </si>
  <si>
    <t>863037</t>
  </si>
  <si>
    <t>867289</t>
  </si>
  <si>
    <t>772776</t>
  </si>
  <si>
    <t>Toyota 卖零件的官网</t>
  </si>
  <si>
    <t>349862</t>
  </si>
  <si>
    <t>345146</t>
  </si>
  <si>
    <t>316796</t>
  </si>
  <si>
    <t>356845</t>
  </si>
  <si>
    <t>406071</t>
  </si>
  <si>
    <t>461306</t>
  </si>
  <si>
    <t>429821</t>
  </si>
  <si>
    <t>408234</t>
  </si>
  <si>
    <t>449857</t>
  </si>
  <si>
    <t>436101</t>
  </si>
  <si>
    <t>230854</t>
  </si>
  <si>
    <t>448472</t>
  </si>
  <si>
    <t>491664</t>
  </si>
  <si>
    <t>381149</t>
  </si>
  <si>
    <t>349929</t>
  </si>
  <si>
    <t>331500</t>
  </si>
  <si>
    <t>2023年11月导流至toyotaparts.ourismantoyotaofrichmond.com，原网站流量大幅下跌</t>
  </si>
  <si>
    <t>162682</t>
  </si>
  <si>
    <t>226267</t>
  </si>
  <si>
    <t>220820</t>
  </si>
  <si>
    <t>216347</t>
  </si>
  <si>
    <t>215916</t>
  </si>
  <si>
    <t>69763</t>
  </si>
  <si>
    <t>3236</t>
  </si>
  <si>
    <t>8243</t>
  </si>
  <si>
    <t>1906</t>
  </si>
  <si>
    <t>2021年02新加竞争者</t>
  </si>
  <si>
    <t>161467</t>
  </si>
  <si>
    <t>264610</t>
  </si>
  <si>
    <t>204660</t>
  </si>
  <si>
    <t>171987</t>
  </si>
  <si>
    <t>176968</t>
  </si>
  <si>
    <t>177638</t>
  </si>
  <si>
    <t>177402</t>
  </si>
  <si>
    <t>144898</t>
  </si>
  <si>
    <t>134177</t>
  </si>
  <si>
    <t>125910</t>
  </si>
  <si>
    <t>MS</t>
  </si>
  <si>
    <t>49227</t>
  </si>
  <si>
    <t>60609</t>
  </si>
  <si>
    <t>71169</t>
  </si>
  <si>
    <t>90940</t>
  </si>
  <si>
    <t>64397</t>
  </si>
  <si>
    <t>61867</t>
  </si>
  <si>
    <t>93119</t>
  </si>
  <si>
    <t>75816</t>
  </si>
  <si>
    <t>83661</t>
  </si>
  <si>
    <t>94520</t>
  </si>
  <si>
    <t>41993</t>
  </si>
  <si>
    <t>62457</t>
  </si>
  <si>
    <t>90620</t>
  </si>
  <si>
    <t>93888</t>
  </si>
  <si>
    <t>48714</t>
  </si>
  <si>
    <t>46880</t>
  </si>
  <si>
    <t>60994</t>
  </si>
  <si>
    <t>62963</t>
  </si>
  <si>
    <t>72050</t>
  </si>
  <si>
    <t>58453</t>
  </si>
  <si>
    <t>toyotaparts.lakelandtoyota.com</t>
  </si>
  <si>
    <t>27952</t>
  </si>
  <si>
    <t>43751</t>
  </si>
  <si>
    <t>31401</t>
  </si>
  <si>
    <t>78472</t>
  </si>
  <si>
    <t>59224</t>
  </si>
  <si>
    <t>60537</t>
  </si>
  <si>
    <t>70082</t>
  </si>
  <si>
    <t>77398</t>
  </si>
  <si>
    <t>42849</t>
  </si>
  <si>
    <t>39696</t>
  </si>
  <si>
    <t>toyotaparts.lagrangetoyota.com</t>
  </si>
  <si>
    <t>17450</t>
  </si>
  <si>
    <t>28652</t>
  </si>
  <si>
    <t>21942</t>
  </si>
  <si>
    <t>19585</t>
  </si>
  <si>
    <t>24247</t>
  </si>
  <si>
    <t>7501</t>
  </si>
  <si>
    <t>7905</t>
  </si>
  <si>
    <t>11094</t>
  </si>
  <si>
    <t>14408</t>
  </si>
  <si>
    <t>18272</t>
  </si>
  <si>
    <t>parts.villagetoyota.com</t>
  </si>
  <si>
    <t>202307，子域名无法在semrush上获取流量；202309网址失效</t>
  </si>
  <si>
    <t>15362</t>
  </si>
  <si>
    <t>12185</t>
  </si>
  <si>
    <t>5616</t>
  </si>
  <si>
    <t>2021</t>
  </si>
  <si>
    <t>4438</t>
  </si>
  <si>
    <t>3079</t>
  </si>
  <si>
    <t>7893</t>
  </si>
  <si>
    <t>6370</t>
  </si>
  <si>
    <t>sparksparts.com</t>
  </si>
  <si>
    <t>70792</t>
  </si>
  <si>
    <t>89799</t>
  </si>
  <si>
    <t>108651</t>
  </si>
  <si>
    <t>113317</t>
  </si>
  <si>
    <t>83739</t>
  </si>
  <si>
    <t>92585</t>
  </si>
  <si>
    <t>65577</t>
  </si>
  <si>
    <t>81348</t>
  </si>
  <si>
    <t>104811</t>
  </si>
  <si>
    <t>82679</t>
  </si>
  <si>
    <t>142209</t>
  </si>
  <si>
    <t>40005</t>
  </si>
  <si>
    <t>34040</t>
  </si>
  <si>
    <t>44350</t>
  </si>
  <si>
    <t>43804</t>
  </si>
  <si>
    <t>44514</t>
  </si>
  <si>
    <t>55106</t>
  </si>
  <si>
    <t>35281</t>
  </si>
  <si>
    <t>14154</t>
  </si>
  <si>
    <t>24157</t>
  </si>
  <si>
    <t>149740</t>
  </si>
  <si>
    <t>194642</t>
  </si>
  <si>
    <t>161486</t>
  </si>
  <si>
    <t>115653</t>
  </si>
  <si>
    <t>130741</t>
  </si>
  <si>
    <t>122096</t>
  </si>
  <si>
    <t>143893</t>
  </si>
  <si>
    <t>119988</t>
  </si>
  <si>
    <t>33269</t>
  </si>
  <si>
    <t>805</t>
  </si>
  <si>
    <t>getvwparts.com</t>
  </si>
  <si>
    <t>202305被导流到heritagedealers.com</t>
  </si>
  <si>
    <t>227</t>
  </si>
  <si>
    <t>167</t>
  </si>
  <si>
    <t>43569</t>
  </si>
  <si>
    <t>46798</t>
  </si>
  <si>
    <t>29518</t>
  </si>
  <si>
    <t>26766</t>
  </si>
  <si>
    <t>17570</t>
  </si>
  <si>
    <t>27604</t>
  </si>
  <si>
    <t>27662</t>
  </si>
  <si>
    <t>30271</t>
  </si>
  <si>
    <t>40625</t>
  </si>
  <si>
    <t>22541</t>
  </si>
  <si>
    <t>volkswagenpartsamerica.com</t>
  </si>
  <si>
    <t>140</t>
  </si>
  <si>
    <t>303</t>
  </si>
  <si>
    <t>85264</t>
  </si>
  <si>
    <t>88474</t>
  </si>
  <si>
    <t>143229</t>
  </si>
  <si>
    <t>122694</t>
  </si>
  <si>
    <t>88256</t>
  </si>
  <si>
    <t>111362</t>
  </si>
  <si>
    <t>120713</t>
  </si>
  <si>
    <t>131781</t>
  </si>
  <si>
    <t>137952</t>
  </si>
  <si>
    <t>111193</t>
  </si>
  <si>
    <t>Simplepart，官网</t>
  </si>
  <si>
    <t>241559</t>
  </si>
  <si>
    <t>252126</t>
  </si>
  <si>
    <t>269014</t>
  </si>
  <si>
    <t>286419</t>
  </si>
  <si>
    <t>251766</t>
  </si>
  <si>
    <t>263932</t>
  </si>
  <si>
    <t>266125</t>
  </si>
  <si>
    <t>400795</t>
  </si>
  <si>
    <t>16958</t>
  </si>
  <si>
    <t>13586</t>
  </si>
  <si>
    <t>11422</t>
  </si>
  <si>
    <t>18056</t>
  </si>
  <si>
    <t>31428</t>
  </si>
  <si>
    <t>27297</t>
  </si>
  <si>
    <t>23766</t>
  </si>
  <si>
    <t>11084</t>
  </si>
  <si>
    <t>10114</t>
  </si>
  <si>
    <t>13975</t>
  </si>
  <si>
    <t>bostonvolvocarsparts.com</t>
  </si>
  <si>
    <t>8003</t>
  </si>
  <si>
    <t>9223</t>
  </si>
  <si>
    <t>5700</t>
  </si>
  <si>
    <t>2904</t>
  </si>
  <si>
    <t>9341</t>
  </si>
  <si>
    <t>5781</t>
  </si>
  <si>
    <t>6030</t>
  </si>
  <si>
    <t>parts.bmwofstratham.com</t>
  </si>
  <si>
    <t>2023年2月新增正厂</t>
  </si>
  <si>
    <t>parts.autonationfordwhitebearlake.com</t>
  </si>
  <si>
    <t>27496</t>
  </si>
  <si>
    <t>35310</t>
  </si>
  <si>
    <t>28737</t>
  </si>
  <si>
    <t>26832</t>
  </si>
  <si>
    <t>48881</t>
  </si>
  <si>
    <t>42071</t>
  </si>
  <si>
    <t>28526</t>
  </si>
  <si>
    <t>62508</t>
  </si>
  <si>
    <t>61294</t>
  </si>
  <si>
    <t>73018</t>
  </si>
  <si>
    <t>parts.nplincoln.com</t>
  </si>
  <si>
    <t>37721</t>
  </si>
  <si>
    <t>38984</t>
  </si>
  <si>
    <t>38108</t>
  </si>
  <si>
    <t>46658</t>
  </si>
  <si>
    <t>31966</t>
  </si>
  <si>
    <t>28142</t>
  </si>
  <si>
    <t>20509</t>
  </si>
  <si>
    <t>30609</t>
  </si>
  <si>
    <t>22948</t>
  </si>
  <si>
    <t>15917</t>
  </si>
  <si>
    <t>parts.sheehyfordofrichmond.com</t>
  </si>
  <si>
    <t>6318</t>
  </si>
  <si>
    <t>36317</t>
  </si>
  <si>
    <t>53435</t>
  </si>
  <si>
    <t>46049</t>
  </si>
  <si>
    <t>45214</t>
  </si>
  <si>
    <t>18028</t>
  </si>
  <si>
    <t>19988</t>
  </si>
  <si>
    <t>22243</t>
  </si>
  <si>
    <t>22617</t>
  </si>
  <si>
    <t>28659</t>
  </si>
  <si>
    <t>parts.livermoreford.net</t>
  </si>
  <si>
    <t>2023年2月新增正厂,202307Semrush无法获取子域名流量</t>
  </si>
  <si>
    <t>1307</t>
  </si>
  <si>
    <t>3295</t>
  </si>
  <si>
    <t>16601</t>
  </si>
  <si>
    <t>10126</t>
  </si>
  <si>
    <t>4172</t>
  </si>
  <si>
    <t>4639</t>
  </si>
  <si>
    <t>2960</t>
  </si>
  <si>
    <t>74871</t>
  </si>
  <si>
    <t>43742</t>
  </si>
  <si>
    <t>60224</t>
  </si>
  <si>
    <t>76711</t>
  </si>
  <si>
    <t>78029</t>
  </si>
  <si>
    <t>104478</t>
  </si>
  <si>
    <t>112484</t>
  </si>
  <si>
    <t>146115</t>
  </si>
  <si>
    <t>fordpartscatalog.com</t>
  </si>
  <si>
    <t>36260</t>
  </si>
  <si>
    <t>53635</t>
  </si>
  <si>
    <t>48220</t>
  </si>
  <si>
    <t>46198</t>
  </si>
  <si>
    <t>27586</t>
  </si>
  <si>
    <t>34913</t>
  </si>
  <si>
    <t>38523</t>
  </si>
  <si>
    <t>gmpartsoverstock.com</t>
  </si>
  <si>
    <t>53714</t>
  </si>
  <si>
    <t>61998</t>
  </si>
  <si>
    <t>42208</t>
  </si>
  <si>
    <t>35268</t>
  </si>
  <si>
    <t>72450</t>
  </si>
  <si>
    <t>71605</t>
  </si>
  <si>
    <t>76767</t>
  </si>
  <si>
    <t>108645</t>
  </si>
  <si>
    <t>87410</t>
  </si>
  <si>
    <t>83139</t>
  </si>
  <si>
    <t>parts.airhyundai.com</t>
  </si>
  <si>
    <t>10571</t>
  </si>
  <si>
    <t>3859</t>
  </si>
  <si>
    <t>37547</t>
  </si>
  <si>
    <t>18753</t>
  </si>
  <si>
    <t>6083</t>
  </si>
  <si>
    <t>14218</t>
  </si>
  <si>
    <t>13150</t>
  </si>
  <si>
    <t>19413</t>
  </si>
  <si>
    <t>10393</t>
  </si>
  <si>
    <t>1234</t>
  </si>
  <si>
    <t>parts.infinitiofsouthbay.com</t>
  </si>
  <si>
    <t>6177</t>
  </si>
  <si>
    <t>6001</t>
  </si>
  <si>
    <t>4006</t>
  </si>
  <si>
    <t>10677</t>
  </si>
  <si>
    <t>11599</t>
  </si>
  <si>
    <t>4150</t>
  </si>
  <si>
    <t>735</t>
  </si>
  <si>
    <t>33937</t>
  </si>
  <si>
    <t>65777</t>
  </si>
  <si>
    <t>37749</t>
  </si>
  <si>
    <t>48705</t>
  </si>
  <si>
    <t>45105</t>
  </si>
  <si>
    <t>36583</t>
  </si>
  <si>
    <t>30711</t>
  </si>
  <si>
    <t>30104</t>
  </si>
  <si>
    <t>17970</t>
  </si>
  <si>
    <t>59974</t>
  </si>
  <si>
    <t>19689</t>
  </si>
  <si>
    <t>24105</t>
  </si>
  <si>
    <t>27941</t>
  </si>
  <si>
    <t>24742</t>
  </si>
  <si>
    <t>25358</t>
  </si>
  <si>
    <t>19646</t>
  </si>
  <si>
    <t>35162</t>
  </si>
  <si>
    <t>31673</t>
  </si>
  <si>
    <t>44746</t>
  </si>
  <si>
    <t>11484</t>
  </si>
  <si>
    <t>10629</t>
  </si>
  <si>
    <t>9628</t>
  </si>
  <si>
    <t>29925</t>
  </si>
  <si>
    <t>15644</t>
  </si>
  <si>
    <t>11146</t>
  </si>
  <si>
    <t>8193</t>
  </si>
  <si>
    <t>7529</t>
  </si>
  <si>
    <t>15271</t>
  </si>
  <si>
    <t>14342</t>
  </si>
  <si>
    <t>parts.nalleylexusroswell.com</t>
  </si>
  <si>
    <t>2023年2月新增正厂，子域名流量过低，semrush不能正确获取其子域名的流量</t>
  </si>
  <si>
    <t>2104</t>
  </si>
  <si>
    <t>320</t>
  </si>
  <si>
    <t>36501</t>
  </si>
  <si>
    <t>2749</t>
  </si>
  <si>
    <t>1096</t>
  </si>
  <si>
    <t>318</t>
  </si>
  <si>
    <t>438</t>
  </si>
  <si>
    <t>435</t>
  </si>
  <si>
    <t>factorymopardirect.com</t>
  </si>
  <si>
    <t>25390</t>
  </si>
  <si>
    <t>26186</t>
  </si>
  <si>
    <t>41528</t>
  </si>
  <si>
    <t>30869</t>
  </si>
  <si>
    <t>22741</t>
  </si>
  <si>
    <t>23736</t>
  </si>
  <si>
    <t>15961</t>
  </si>
  <si>
    <t>28418</t>
  </si>
  <si>
    <t>29350</t>
  </si>
  <si>
    <t>20079</t>
  </si>
  <si>
    <t>oemmoparpartsstore.com</t>
  </si>
  <si>
    <t>21300</t>
  </si>
  <si>
    <t>55679</t>
  </si>
  <si>
    <t>29913</t>
  </si>
  <si>
    <t>11287</t>
  </si>
  <si>
    <t>22231</t>
  </si>
  <si>
    <t>28096</t>
  </si>
  <si>
    <t>11040</t>
  </si>
  <si>
    <t>parts.mopargenuineparts.com</t>
  </si>
  <si>
    <t>37586</t>
  </si>
  <si>
    <t>19073</t>
  </si>
  <si>
    <t>18244</t>
  </si>
  <si>
    <t>5434</t>
  </si>
  <si>
    <t>17182</t>
  </si>
  <si>
    <t>46271</t>
  </si>
  <si>
    <t>49020</t>
  </si>
  <si>
    <t>53935</t>
  </si>
  <si>
    <t>30311</t>
  </si>
  <si>
    <t>23678</t>
  </si>
  <si>
    <t>parts.keatingnissan.com</t>
  </si>
  <si>
    <t>38004</t>
  </si>
  <si>
    <t>2825</t>
  </si>
  <si>
    <t>290</t>
  </si>
  <si>
    <t>4332</t>
  </si>
  <si>
    <t>4247</t>
  </si>
  <si>
    <t>17807</t>
  </si>
  <si>
    <t>6796</t>
  </si>
  <si>
    <t>842</t>
  </si>
  <si>
    <t>1406</t>
  </si>
  <si>
    <t>6792</t>
  </si>
  <si>
    <t>parts.performancenissan.com</t>
  </si>
  <si>
    <t>35809</t>
  </si>
  <si>
    <t>42792</t>
  </si>
  <si>
    <t>33608</t>
  </si>
  <si>
    <t>53987</t>
  </si>
  <si>
    <t>30999</t>
  </si>
  <si>
    <t>7915</t>
  </si>
  <si>
    <t>230</t>
  </si>
  <si>
    <t>29</t>
  </si>
  <si>
    <t>parts.conicellinissan.com</t>
  </si>
  <si>
    <t>9103</t>
  </si>
  <si>
    <t>19526</t>
  </si>
  <si>
    <t>16013</t>
  </si>
  <si>
    <t>10509</t>
  </si>
  <si>
    <t>11704</t>
  </si>
  <si>
    <t>10685</t>
  </si>
  <si>
    <t>20721</t>
  </si>
  <si>
    <t>13309</t>
  </si>
  <si>
    <t>5355</t>
  </si>
  <si>
    <t>17914</t>
  </si>
  <si>
    <t>2023年2月新增正厂，Semrush子域名查不到流量。202306因流量上涨加入MS计算基准</t>
  </si>
  <si>
    <t>32364</t>
  </si>
  <si>
    <t>24885</t>
  </si>
  <si>
    <t>27796</t>
  </si>
  <si>
    <t>21962</t>
  </si>
  <si>
    <t>18474</t>
  </si>
  <si>
    <t>24761</t>
  </si>
  <si>
    <t>50868</t>
  </si>
  <si>
    <t>45684</t>
  </si>
  <si>
    <t>55018</t>
  </si>
  <si>
    <t>45974</t>
  </si>
  <si>
    <t>parts.subarusuperstore.com</t>
  </si>
  <si>
    <t>2023年2月新增正厂，Semrush子域名查不到流量</t>
  </si>
  <si>
    <t>11873</t>
  </si>
  <si>
    <t>8022</t>
  </si>
  <si>
    <t>10129</t>
  </si>
  <si>
    <t>12224</t>
  </si>
  <si>
    <t>10714</t>
  </si>
  <si>
    <t>10167</t>
  </si>
  <si>
    <t>13160</t>
  </si>
  <si>
    <t>14763</t>
  </si>
  <si>
    <t>14819</t>
  </si>
  <si>
    <t>17290</t>
  </si>
  <si>
    <t>parts.westpalmsubaru.com</t>
  </si>
  <si>
    <t>2023年2月新增正厂，semrush不能正确获取其子域名的流量</t>
  </si>
  <si>
    <t>1246</t>
  </si>
  <si>
    <t>599</t>
  </si>
  <si>
    <t>285</t>
  </si>
  <si>
    <t>855</t>
  </si>
  <si>
    <t>224</t>
  </si>
  <si>
    <t>1235</t>
  </si>
  <si>
    <t>parts.bowsersubaru.com</t>
  </si>
  <si>
    <t>6008</t>
  </si>
  <si>
    <t>7467</t>
  </si>
  <si>
    <t>8897</t>
  </si>
  <si>
    <t>4512</t>
  </si>
  <si>
    <t>241</t>
  </si>
  <si>
    <t>15756</t>
  </si>
  <si>
    <t>10434</t>
  </si>
  <si>
    <t>336</t>
  </si>
  <si>
    <t>407</t>
  </si>
  <si>
    <t>parts.kirbysubaruofventura.com</t>
  </si>
  <si>
    <t>6319</t>
  </si>
  <si>
    <t>2475</t>
  </si>
  <si>
    <t>5744</t>
  </si>
  <si>
    <t>4018</t>
  </si>
  <si>
    <t>6327</t>
  </si>
  <si>
    <t>2240</t>
  </si>
  <si>
    <t>1537</t>
  </si>
  <si>
    <t>2169</t>
  </si>
  <si>
    <t>4392</t>
  </si>
  <si>
    <t>parts.sportsubaru.com</t>
  </si>
  <si>
    <t>21956</t>
  </si>
  <si>
    <t>24517</t>
  </si>
  <si>
    <t>13034</t>
  </si>
  <si>
    <t>11539</t>
  </si>
  <si>
    <t>15996</t>
  </si>
  <si>
    <t>20225</t>
  </si>
  <si>
    <t>14940</t>
  </si>
  <si>
    <t>16236</t>
  </si>
  <si>
    <t>19292</t>
  </si>
  <si>
    <t>22029</t>
  </si>
  <si>
    <t>97930</t>
  </si>
  <si>
    <t>152682</t>
  </si>
  <si>
    <t>158245</t>
  </si>
  <si>
    <t>199578</t>
  </si>
  <si>
    <t>124302</t>
  </si>
  <si>
    <t>137548</t>
  </si>
  <si>
    <t>133655</t>
  </si>
  <si>
    <t>50684</t>
  </si>
  <si>
    <t>3896</t>
  </si>
  <si>
    <t>1413</t>
  </si>
  <si>
    <t>116230</t>
  </si>
  <si>
    <t>110383</t>
  </si>
  <si>
    <t>153669</t>
  </si>
  <si>
    <t>142613</t>
  </si>
  <si>
    <t>146401</t>
  </si>
  <si>
    <t>133013</t>
  </si>
  <si>
    <t>136742</t>
  </si>
  <si>
    <t>155676</t>
  </si>
  <si>
    <t>121730</t>
  </si>
  <si>
    <t>158721</t>
  </si>
  <si>
    <t>parts.moderntoyota.com</t>
  </si>
  <si>
    <t>2023年2月新增正厂，网站子域名失效，建议移除监控</t>
  </si>
  <si>
    <t>4610</t>
  </si>
  <si>
    <t>2635</t>
  </si>
  <si>
    <t>wholesaledirect.moderntoyota.com</t>
  </si>
  <si>
    <t>30427</t>
  </si>
  <si>
    <t>49059</t>
  </si>
  <si>
    <t>39585</t>
  </si>
  <si>
    <t>44592</t>
  </si>
  <si>
    <t>48042</t>
  </si>
  <si>
    <t>41102</t>
  </si>
  <si>
    <t>33609</t>
  </si>
  <si>
    <t>54397</t>
  </si>
  <si>
    <t>63938</t>
  </si>
  <si>
    <t>68528</t>
  </si>
  <si>
    <t>parts.toyotaofcoloradosprings.com</t>
  </si>
  <si>
    <t>35212</t>
  </si>
  <si>
    <t>39915</t>
  </si>
  <si>
    <t>39952</t>
  </si>
  <si>
    <t>57159</t>
  </si>
  <si>
    <t>46858</t>
  </si>
  <si>
    <t>55905</t>
  </si>
  <si>
    <t>37661</t>
  </si>
  <si>
    <t>40474</t>
  </si>
  <si>
    <t>44849</t>
  </si>
  <si>
    <t>33256</t>
  </si>
  <si>
    <t>parts.toyotaofnashua.com</t>
  </si>
  <si>
    <t>50449</t>
  </si>
  <si>
    <t>62331</t>
  </si>
  <si>
    <t>68636</t>
  </si>
  <si>
    <t>72011</t>
  </si>
  <si>
    <t>64500</t>
  </si>
  <si>
    <t>73249</t>
  </si>
  <si>
    <t>92243</t>
  </si>
  <si>
    <t>95991</t>
  </si>
  <si>
    <t>97296</t>
  </si>
  <si>
    <t>parts.elmhursttoyota.com</t>
  </si>
  <si>
    <t>55946</t>
  </si>
  <si>
    <t>48137</t>
  </si>
  <si>
    <t>48675</t>
  </si>
  <si>
    <t>40268</t>
  </si>
  <si>
    <t>43252</t>
  </si>
  <si>
    <t>39790</t>
  </si>
  <si>
    <t>41620</t>
  </si>
  <si>
    <t>61120</t>
  </si>
  <si>
    <t>60769</t>
  </si>
  <si>
    <t>62301</t>
  </si>
  <si>
    <t>2023年3月新增正厂，202305因流量超过MS5%加入MS计算基准</t>
  </si>
  <si>
    <t>25678</t>
  </si>
  <si>
    <t>17607</t>
  </si>
  <si>
    <t>38954</t>
  </si>
  <si>
    <t>50098</t>
  </si>
  <si>
    <t>38991</t>
  </si>
  <si>
    <t>37849</t>
  </si>
  <si>
    <t>27759</t>
  </si>
  <si>
    <t>39575</t>
  </si>
  <si>
    <t>49840</t>
  </si>
  <si>
    <t>73476</t>
  </si>
  <si>
    <t>2023年3月新增正厂，202306因流量超过MS5%加入MS计算基准</t>
  </si>
  <si>
    <t>28895</t>
  </si>
  <si>
    <t>22893</t>
  </si>
  <si>
    <t>34392</t>
  </si>
  <si>
    <t>47007</t>
  </si>
  <si>
    <t>20833</t>
  </si>
  <si>
    <t>47173</t>
  </si>
  <si>
    <t>59976</t>
  </si>
  <si>
    <t>45768</t>
  </si>
  <si>
    <t>54894</t>
  </si>
  <si>
    <t>subaru</t>
  </si>
  <si>
    <t>parts.winnersubaru.com</t>
  </si>
  <si>
    <t>DE</t>
  </si>
  <si>
    <t>2023年3月新增正厂，202307Ssemrush无法正常获取流量</t>
  </si>
  <si>
    <t>4983</t>
  </si>
  <si>
    <t>4081</t>
  </si>
  <si>
    <t>5991</t>
  </si>
  <si>
    <t>4046</t>
  </si>
  <si>
    <t>591</t>
  </si>
  <si>
    <t>parts.subarumelbourne.com</t>
  </si>
  <si>
    <t>2023年3月新增正厂，2023年10月无法正常获取流量</t>
  </si>
  <si>
    <t>11530</t>
  </si>
  <si>
    <t>4637</t>
  </si>
  <si>
    <t>1019</t>
  </si>
  <si>
    <t>413</t>
  </si>
  <si>
    <t>507</t>
  </si>
  <si>
    <t>1880</t>
  </si>
  <si>
    <t>929</t>
  </si>
  <si>
    <t>908</t>
  </si>
  <si>
    <t>815</t>
  </si>
  <si>
    <t>parts.frontiertoyota.com</t>
  </si>
  <si>
    <t>23142</t>
  </si>
  <si>
    <t>22343</t>
  </si>
  <si>
    <t>41248</t>
  </si>
  <si>
    <t>33500</t>
  </si>
  <si>
    <t>39596</t>
  </si>
  <si>
    <t>45796</t>
  </si>
  <si>
    <t>43679</t>
  </si>
  <si>
    <t>23677</t>
  </si>
  <si>
    <t>38006</t>
  </si>
  <si>
    <t>2023年3月新增正厂，2023年10月因流量大于5%加入MS监控</t>
  </si>
  <si>
    <t>81608</t>
  </si>
  <si>
    <t>65338</t>
  </si>
  <si>
    <t>88184</t>
  </si>
  <si>
    <t>95602</t>
  </si>
  <si>
    <t>113363</t>
  </si>
  <si>
    <t>113464</t>
  </si>
  <si>
    <t>99007</t>
  </si>
  <si>
    <t>126070</t>
  </si>
  <si>
    <t>119180</t>
  </si>
  <si>
    <t>96770</t>
  </si>
  <si>
    <t>accessory.parts</t>
  </si>
  <si>
    <t>2023年3月新增正厂,202305流量太低无法正常获取流量</t>
  </si>
  <si>
    <t>24354</t>
  </si>
  <si>
    <t>21967</t>
  </si>
  <si>
    <t>32960</t>
  </si>
  <si>
    <t>5180</t>
  </si>
  <si>
    <t>4474</t>
  </si>
  <si>
    <t>397</t>
  </si>
  <si>
    <t>271</t>
  </si>
  <si>
    <t>parts.courtesynissanoftampa.com</t>
  </si>
  <si>
    <t>25231</t>
  </si>
  <si>
    <t>13540</t>
  </si>
  <si>
    <t>16316</t>
  </si>
  <si>
    <t>4070</t>
  </si>
  <si>
    <t>6873</t>
  </si>
  <si>
    <t>9398</t>
  </si>
  <si>
    <t>13569</t>
  </si>
  <si>
    <t>11499</t>
  </si>
  <si>
    <t>6033</t>
  </si>
  <si>
    <t>2752</t>
  </si>
  <si>
    <t>moparsupply.com</t>
  </si>
  <si>
    <t>2023年4月新增正厂</t>
  </si>
  <si>
    <t>7565</t>
  </si>
  <si>
    <t>27342</t>
  </si>
  <si>
    <t>35130</t>
  </si>
  <si>
    <t>21024</t>
  </si>
  <si>
    <t>27911</t>
  </si>
  <si>
    <t>28263</t>
  </si>
  <si>
    <t>71808</t>
  </si>
  <si>
    <t>120517</t>
  </si>
  <si>
    <t>47498</t>
  </si>
  <si>
    <t>parts.larryhmillertoyota.com</t>
  </si>
  <si>
    <t>16053</t>
  </si>
  <si>
    <t>15766</t>
  </si>
  <si>
    <t>13149</t>
  </si>
  <si>
    <t>12477</t>
  </si>
  <si>
    <t>14351</t>
  </si>
  <si>
    <t>5763</t>
  </si>
  <si>
    <t>7332</t>
  </si>
  <si>
    <t>13106</t>
  </si>
  <si>
    <t>14485</t>
  </si>
  <si>
    <t>fordpartsconnect.com</t>
  </si>
  <si>
    <t>2023年5月新增正厂</t>
  </si>
  <si>
    <t>7690</t>
  </si>
  <si>
    <t>16272</t>
  </si>
  <si>
    <t>24753</t>
  </si>
  <si>
    <t>25670</t>
  </si>
  <si>
    <t>60777</t>
  </si>
  <si>
    <t>25971</t>
  </si>
  <si>
    <t>40707</t>
  </si>
  <si>
    <t>46877</t>
  </si>
  <si>
    <t>15775</t>
  </si>
  <si>
    <t>group1autoparts.com</t>
  </si>
  <si>
    <t>OK</t>
  </si>
  <si>
    <t>2023年5月新增正厂，同时经营多品牌，各 Brand 的折算比例为：Acura:3%, Ford:25%, GM:19%, Honda:6%, Hyundai:6%, Infiniti:0%, Kia:0%, Lexus:0%, Mopar:38%, Nissan:3%, Toyota:0%</t>
  </si>
  <si>
    <t>31607</t>
  </si>
  <si>
    <t>42676</t>
  </si>
  <si>
    <t>62784</t>
  </si>
  <si>
    <t>56958</t>
  </si>
  <si>
    <t>59595</t>
  </si>
  <si>
    <t>53759</t>
  </si>
  <si>
    <t>29775</t>
  </si>
  <si>
    <t>29638</t>
  </si>
  <si>
    <t>19805</t>
  </si>
  <si>
    <t>parts.theautobarnsubaru.com</t>
  </si>
  <si>
    <t>2023年5月新增正厂，202307Semrush无法获取子域名流量</t>
  </si>
  <si>
    <t>15254</t>
  </si>
  <si>
    <t>7166</t>
  </si>
  <si>
    <t>9207</t>
  </si>
  <si>
    <t>12333</t>
  </si>
  <si>
    <t>bmwpartspros.com</t>
  </si>
  <si>
    <t>2023年2月新增，主营ACC</t>
  </si>
  <si>
    <t>41003</t>
  </si>
  <si>
    <t>18136</t>
  </si>
  <si>
    <t>21180</t>
  </si>
  <si>
    <t>33340</t>
  </si>
  <si>
    <t>31715</t>
  </si>
  <si>
    <t>17703</t>
  </si>
  <si>
    <t>33308</t>
  </si>
  <si>
    <t>23062</t>
  </si>
  <si>
    <t>26394</t>
  </si>
  <si>
    <t>26775</t>
  </si>
  <si>
    <t>sdparts.com</t>
  </si>
  <si>
    <t>2023年2月新增，同时卖正副厂零件</t>
  </si>
  <si>
    <t>52690</t>
  </si>
  <si>
    <t>37726</t>
  </si>
  <si>
    <t>42015</t>
  </si>
  <si>
    <t>39846</t>
  </si>
  <si>
    <t>53537</t>
  </si>
  <si>
    <t>66326</t>
  </si>
  <si>
    <t>56661</t>
  </si>
  <si>
    <t>68673</t>
  </si>
  <si>
    <t>102806</t>
  </si>
  <si>
    <t>87497</t>
  </si>
  <si>
    <t>hyundaishop.com</t>
  </si>
  <si>
    <t>214756</t>
  </si>
  <si>
    <t>270740</t>
  </si>
  <si>
    <t>158114</t>
  </si>
  <si>
    <t>167855</t>
  </si>
  <si>
    <t>154849</t>
  </si>
  <si>
    <t>176931</t>
  </si>
  <si>
    <t>184347</t>
  </si>
  <si>
    <t>211909</t>
  </si>
  <si>
    <t>170368</t>
  </si>
  <si>
    <t>136002</t>
  </si>
  <si>
    <t>z1motorsports.com</t>
  </si>
  <si>
    <t>2023年2月新增，同时卖正副厂零件，同时卖Honda和Infiniti</t>
  </si>
  <si>
    <t>727752</t>
  </si>
  <si>
    <t>645820</t>
  </si>
  <si>
    <t>691788</t>
  </si>
  <si>
    <t>889520</t>
  </si>
  <si>
    <t>752619</t>
  </si>
  <si>
    <t>636226</t>
  </si>
  <si>
    <t>632636</t>
  </si>
  <si>
    <t>610153</t>
  </si>
  <si>
    <t>707088</t>
  </si>
  <si>
    <t>624195</t>
  </si>
  <si>
    <t>z1offroad.com</t>
  </si>
  <si>
    <t>2023年2月新增，同时卖正副厂零件，同时卖Nissan和Infiniti</t>
  </si>
  <si>
    <t>134465</t>
  </si>
  <si>
    <t>103441</t>
  </si>
  <si>
    <t>91488</t>
  </si>
  <si>
    <t>100489</t>
  </si>
  <si>
    <t>177358</t>
  </si>
  <si>
    <t>140616</t>
  </si>
  <si>
    <t>101433</t>
  </si>
  <si>
    <t>154396</t>
  </si>
  <si>
    <t>158149</t>
  </si>
  <si>
    <t>141241</t>
  </si>
  <si>
    <t>kiastuff.com</t>
  </si>
  <si>
    <t>115576</t>
  </si>
  <si>
    <t>94594</t>
  </si>
  <si>
    <t>116294</t>
  </si>
  <si>
    <t>148976</t>
  </si>
  <si>
    <t>130631</t>
  </si>
  <si>
    <t>118476</t>
  </si>
  <si>
    <t>89009</t>
  </si>
  <si>
    <t>105552</t>
  </si>
  <si>
    <t>104184</t>
  </si>
  <si>
    <t>109355</t>
  </si>
  <si>
    <t>kiaaccessorystore.com</t>
  </si>
  <si>
    <t>10378</t>
  </si>
  <si>
    <t>5698</t>
  </si>
  <si>
    <t>7793</t>
  </si>
  <si>
    <t>14571</t>
  </si>
  <si>
    <t>13257</t>
  </si>
  <si>
    <t>19184</t>
  </si>
  <si>
    <t>11279</t>
  </si>
  <si>
    <t>12593</t>
  </si>
  <si>
    <t>15549</t>
  </si>
  <si>
    <t>19824</t>
  </si>
  <si>
    <t>202306，原竞品gmpartsonline.net将网站导流至此，现新网站正式成为新增竞品</t>
  </si>
  <si>
    <t>67808</t>
  </si>
  <si>
    <t>152271</t>
  </si>
  <si>
    <t>150004</t>
  </si>
  <si>
    <t>138084</t>
  </si>
  <si>
    <t>231622</t>
  </si>
  <si>
    <t>198465</t>
  </si>
  <si>
    <t>curryacuraparts.com</t>
  </si>
  <si>
    <t>2023年7月新增</t>
  </si>
  <si>
    <t>9808</t>
  </si>
  <si>
    <t>19339</t>
  </si>
  <si>
    <t>7241</t>
  </si>
  <si>
    <t>16388</t>
  </si>
  <si>
    <t>13272</t>
  </si>
  <si>
    <t>8053</t>
  </si>
  <si>
    <t>18562</t>
  </si>
  <si>
    <t>alleuro.com</t>
  </si>
  <si>
    <t>2023年7月新增，正副厂都做</t>
  </si>
  <si>
    <t>85023</t>
  </si>
  <si>
    <t>90786</t>
  </si>
  <si>
    <t>76007</t>
  </si>
  <si>
    <t>63790</t>
  </si>
  <si>
    <t>74990</t>
  </si>
  <si>
    <t>61514</t>
  </si>
  <si>
    <t>53835</t>
  </si>
  <si>
    <t>parts.bmwoforlandpark.com</t>
  </si>
  <si>
    <t>2023年7月新增，202307Semrush无法获取子域名流量</t>
  </si>
  <si>
    <t>1922</t>
  </si>
  <si>
    <t>23348</t>
  </si>
  <si>
    <t>26807</t>
  </si>
  <si>
    <t>9034</t>
  </si>
  <si>
    <t>1567</t>
  </si>
  <si>
    <t>5299</t>
  </si>
  <si>
    <t>6712</t>
  </si>
  <si>
    <t>fcpeuro.com</t>
  </si>
  <si>
    <t>2023年7月新增，同时经营多品牌的欧洲系零件，做正厂的</t>
  </si>
  <si>
    <t>2023年7月新增正厂，同时经营多品牌，各 Brand 的折算比例为：Acura:3%, Ford:25%, GM:19%, Honda:6%, Hyundai:6%, Infiniti:0%, Kia:0%, Lexus:0%, Mopar:38%, Nissan:3%, Toyota:0%</t>
  </si>
  <si>
    <t>fordparts.bowenscarff.com</t>
  </si>
  <si>
    <t>16350</t>
  </si>
  <si>
    <t>3451</t>
  </si>
  <si>
    <t>4945</t>
  </si>
  <si>
    <t>6976</t>
  </si>
  <si>
    <t>10053</t>
  </si>
  <si>
    <t>10043</t>
  </si>
  <si>
    <t>9792</t>
  </si>
  <si>
    <t>maloufpartsxperts.com</t>
  </si>
  <si>
    <t>15695</t>
  </si>
  <si>
    <t>14830</t>
  </si>
  <si>
    <t>17754</t>
  </si>
  <si>
    <t>27433</t>
  </si>
  <si>
    <t>17157</t>
  </si>
  <si>
    <t>15665</t>
  </si>
  <si>
    <t>8180</t>
  </si>
  <si>
    <t>parts.normreeveshondavista.com</t>
  </si>
  <si>
    <t>1441</t>
  </si>
  <si>
    <t>4724</t>
  </si>
  <si>
    <t>10518</t>
  </si>
  <si>
    <t>5914</t>
  </si>
  <si>
    <t>13575</t>
  </si>
  <si>
    <t>17873</t>
  </si>
  <si>
    <t>5396</t>
  </si>
  <si>
    <t>parts.infinitiofmemphis.com</t>
  </si>
  <si>
    <t>28201</t>
  </si>
  <si>
    <t>8637</t>
  </si>
  <si>
    <t>7884</t>
  </si>
  <si>
    <t>4634</t>
  </si>
  <si>
    <t>1492</t>
  </si>
  <si>
    <t>2633</t>
  </si>
  <si>
    <t>parts.liainfiniti.com</t>
  </si>
  <si>
    <t>2414</t>
  </si>
  <si>
    <t>1273</t>
  </si>
  <si>
    <t>666</t>
  </si>
  <si>
    <t>2522</t>
  </si>
  <si>
    <t>kiapartsfast.com</t>
  </si>
  <si>
    <t>12997</t>
  </si>
  <si>
    <t>15894</t>
  </si>
  <si>
    <t>12303</t>
  </si>
  <si>
    <t>11437</t>
  </si>
  <si>
    <t>14093</t>
  </si>
  <si>
    <t>19017</t>
  </si>
  <si>
    <t>8532</t>
  </si>
  <si>
    <t>parts.parkplacelexusplano.com</t>
  </si>
  <si>
    <t>44754</t>
  </si>
  <si>
    <t>12894</t>
  </si>
  <si>
    <t>8393</t>
  </si>
  <si>
    <t>16279</t>
  </si>
  <si>
    <t>10686</t>
  </si>
  <si>
    <t>12443</t>
  </si>
  <si>
    <t>20692</t>
  </si>
  <si>
    <t>jksuperstore.com</t>
  </si>
  <si>
    <t>16396</t>
  </si>
  <si>
    <t>11948</t>
  </si>
  <si>
    <t>2719</t>
  </si>
  <si>
    <t>17162</t>
  </si>
  <si>
    <t>8376</t>
  </si>
  <si>
    <t>nissanoempartscenter.com</t>
  </si>
  <si>
    <t>21150</t>
  </si>
  <si>
    <t>14326</t>
  </si>
  <si>
    <t>parts.nissanofthebronx.com</t>
  </si>
  <si>
    <t>39398</t>
  </si>
  <si>
    <t>23816</t>
  </si>
  <si>
    <t>parts.subarudalton.com</t>
  </si>
  <si>
    <t>15940</t>
  </si>
  <si>
    <t>16344</t>
  </si>
  <si>
    <t>5817</t>
  </si>
  <si>
    <t>3172</t>
  </si>
  <si>
    <t>1780</t>
  </si>
  <si>
    <t>744</t>
  </si>
  <si>
    <t>parts.hughessubaru.com</t>
  </si>
  <si>
    <t>3991</t>
  </si>
  <si>
    <t>244</t>
  </si>
  <si>
    <t>6365</t>
  </si>
  <si>
    <t>6543</t>
  </si>
  <si>
    <t>3735</t>
  </si>
  <si>
    <t>3690</t>
  </si>
  <si>
    <t>parts.columbussubaru.com</t>
  </si>
  <si>
    <t>6849</t>
  </si>
  <si>
    <t>3994</t>
  </si>
  <si>
    <t>2878</t>
  </si>
  <si>
    <t>3544</t>
  </si>
  <si>
    <t>northcoastsubaru.com</t>
  </si>
  <si>
    <t>11652</t>
  </si>
  <si>
    <t>18253</t>
  </si>
  <si>
    <t>parts.fredhaastoyota.com</t>
  </si>
  <si>
    <t>2071</t>
  </si>
  <si>
    <t>1805</t>
  </si>
  <si>
    <t>6993</t>
  </si>
  <si>
    <t>9060</t>
  </si>
  <si>
    <t>949</t>
  </si>
  <si>
    <t>2023年7月新增，同时经营多品牌零件，折算比例为：mopar：21%，toyota：6%，</t>
  </si>
  <si>
    <t>audionlineparts.com</t>
  </si>
  <si>
    <t>2023年9月新增</t>
  </si>
  <si>
    <t>7001</t>
  </si>
  <si>
    <t>2023年9月同时经营Audi，Volkswagen，Volvo.计算折算比例：Audi:63%, VW:0%, Volvo:37%.2023年12月，因流量大于5%加入监控</t>
  </si>
  <si>
    <t>8523</t>
  </si>
  <si>
    <t>25468</t>
  </si>
  <si>
    <t>13942</t>
  </si>
  <si>
    <t>8666</t>
  </si>
  <si>
    <t>13055</t>
  </si>
  <si>
    <t>11556</t>
  </si>
  <si>
    <t>16788</t>
  </si>
  <si>
    <t>20603</t>
  </si>
  <si>
    <t>11508</t>
  </si>
  <si>
    <t>11755</t>
  </si>
  <si>
    <t>8968</t>
  </si>
  <si>
    <t>13538</t>
  </si>
  <si>
    <t>9384</t>
  </si>
  <si>
    <t>794</t>
  </si>
  <si>
    <t>3137</t>
  </si>
  <si>
    <t>5034</t>
  </si>
  <si>
    <t>audiusaoemparts.com</t>
  </si>
  <si>
    <t>2573</t>
  </si>
  <si>
    <t>3866</t>
  </si>
  <si>
    <t>3095</t>
  </si>
  <si>
    <t>1036</t>
  </si>
  <si>
    <t>2030</t>
  </si>
  <si>
    <t>无完整目录，category下放的PD</t>
  </si>
  <si>
    <t>同时经营Audi，BMW、Dodge、Jaguar、Land Rover、Mercedes-Benz、Mini、Porsche、Saab、Volkswagen、Volvo。折算比例：Audi：30.3%，MB：69.7%</t>
  </si>
  <si>
    <t>62357</t>
  </si>
  <si>
    <t>36</t>
  </si>
  <si>
    <t>25</t>
  </si>
  <si>
    <t>17</t>
  </si>
  <si>
    <t>37</t>
  </si>
  <si>
    <t>2023年9月新增，用区号确定的地址</t>
  </si>
  <si>
    <t>60516</t>
  </si>
  <si>
    <t>73781</t>
  </si>
  <si>
    <t>64887</t>
  </si>
  <si>
    <t>74389</t>
  </si>
  <si>
    <t>98745</t>
  </si>
  <si>
    <t>80998</t>
  </si>
  <si>
    <t>67386</t>
  </si>
  <si>
    <t>42436</t>
  </si>
  <si>
    <t>97166</t>
  </si>
  <si>
    <t>29516</t>
  </si>
  <si>
    <t>35439</t>
  </si>
  <si>
    <t>28695</t>
  </si>
  <si>
    <t>mazdapartsoutlet.com</t>
  </si>
  <si>
    <t>2023年9月新增，具体地址不详</t>
  </si>
  <si>
    <t>5156</t>
  </si>
  <si>
    <t>11959</t>
  </si>
  <si>
    <t>64032</t>
  </si>
  <si>
    <t>7719</t>
  </si>
  <si>
    <t>661</t>
  </si>
  <si>
    <t>721</t>
  </si>
  <si>
    <t>77859</t>
  </si>
  <si>
    <t>76010</t>
  </si>
  <si>
    <t>69665</t>
  </si>
  <si>
    <t>44189</t>
  </si>
  <si>
    <t>zoomzoomnationparts.com</t>
  </si>
  <si>
    <t>20383</t>
  </si>
  <si>
    <t>35376</t>
  </si>
  <si>
    <t>79940</t>
  </si>
  <si>
    <t>30935</t>
  </si>
  <si>
    <t>24039</t>
  </si>
  <si>
    <t>parts.walser-mazda.com</t>
  </si>
  <si>
    <t>22270</t>
  </si>
  <si>
    <t>21888</t>
  </si>
  <si>
    <t>34659</t>
  </si>
  <si>
    <t>25973</t>
  </si>
  <si>
    <t>22926</t>
  </si>
  <si>
    <t>25423</t>
  </si>
  <si>
    <t>mazdapartsconnect.com</t>
  </si>
  <si>
    <t>20825</t>
  </si>
  <si>
    <t>27467</t>
  </si>
  <si>
    <t>34739</t>
  </si>
  <si>
    <t>2023年9月新增，2024年1月因流量占比大于Brand Traffic 5%，加入MS监控</t>
  </si>
  <si>
    <t>33974</t>
  </si>
  <si>
    <t>5832</t>
  </si>
  <si>
    <t>77271</t>
  </si>
  <si>
    <t>70882</t>
  </si>
  <si>
    <t>23349</t>
  </si>
  <si>
    <t>parts.jimellismazdamarietta.com</t>
  </si>
  <si>
    <t>9517</t>
  </si>
  <si>
    <t>parts.medcentermazda.com</t>
  </si>
  <si>
    <t>38530</t>
  </si>
  <si>
    <t>13770</t>
  </si>
  <si>
    <t>4458</t>
  </si>
  <si>
    <t>15400</t>
  </si>
  <si>
    <t>13400</t>
  </si>
  <si>
    <t>12216</t>
  </si>
  <si>
    <t>mazdawholesaledirect.com</t>
  </si>
  <si>
    <t>13233</t>
  </si>
  <si>
    <t>4089</t>
  </si>
  <si>
    <t>10613</t>
  </si>
  <si>
    <t>10598</t>
  </si>
  <si>
    <t>1663</t>
  </si>
  <si>
    <t>2527</t>
  </si>
  <si>
    <t>18265</t>
  </si>
  <si>
    <t>23118</t>
  </si>
  <si>
    <t>23382</t>
  </si>
  <si>
    <t>21399</t>
  </si>
  <si>
    <t>24196</t>
  </si>
  <si>
    <t>25757</t>
  </si>
  <si>
    <t>87220</t>
  </si>
  <si>
    <t>39700</t>
  </si>
  <si>
    <t>28130</t>
  </si>
  <si>
    <t>47709</t>
  </si>
  <si>
    <t>53975</t>
  </si>
  <si>
    <t>43468</t>
  </si>
  <si>
    <t>30873</t>
  </si>
  <si>
    <t>39652</t>
  </si>
  <si>
    <t>30342</t>
  </si>
  <si>
    <t>53200</t>
  </si>
  <si>
    <t>50491</t>
  </si>
  <si>
    <t>33828</t>
  </si>
  <si>
    <t>34685</t>
  </si>
  <si>
    <t>31066</t>
  </si>
  <si>
    <t>24996</t>
  </si>
  <si>
    <t>mercedesbenzpartscenter.com</t>
  </si>
  <si>
    <t>18</t>
  </si>
  <si>
    <t>22788</t>
  </si>
  <si>
    <t>15488</t>
  </si>
  <si>
    <t>13455</t>
  </si>
  <si>
    <t>20048</t>
  </si>
  <si>
    <t>21707</t>
  </si>
  <si>
    <t>2023年9月新增，同时经营Audi，BMW、Dodge、Jaguar、Land Rover、Mercedes-Benz、Mini、Porsche、Saab、Volkswagen、Volvo</t>
  </si>
  <si>
    <t>5417</t>
  </si>
  <si>
    <t>6483</t>
  </si>
  <si>
    <t>10954</t>
  </si>
  <si>
    <t>10923</t>
  </si>
  <si>
    <t>7398</t>
  </si>
  <si>
    <t>30648</t>
  </si>
  <si>
    <t>23673</t>
  </si>
  <si>
    <t>22111</t>
  </si>
  <si>
    <t>21811</t>
  </si>
  <si>
    <t>13759</t>
  </si>
  <si>
    <t>mbpartsexpress.com</t>
  </si>
  <si>
    <t>8454</t>
  </si>
  <si>
    <t>13239</t>
  </si>
  <si>
    <t>6863</t>
  </si>
  <si>
    <t>3409</t>
  </si>
  <si>
    <t>2067</t>
  </si>
  <si>
    <t>2643</t>
  </si>
  <si>
    <t>oempartsmercedes.com</t>
  </si>
  <si>
    <t>2023年9月新增，2023年10月semrush无法获取流量</t>
  </si>
  <si>
    <t>5823</t>
  </si>
  <si>
    <t>2739</t>
  </si>
  <si>
    <t>2087</t>
  </si>
  <si>
    <t>746</t>
  </si>
  <si>
    <t>mbpartshaus.com</t>
  </si>
  <si>
    <t>2408</t>
  </si>
  <si>
    <t>3276</t>
  </si>
  <si>
    <t>34390</t>
  </si>
  <si>
    <t>9597</t>
  </si>
  <si>
    <t>24160</t>
  </si>
  <si>
    <t>buymercedespartsnow.com</t>
  </si>
  <si>
    <t>22819</t>
  </si>
  <si>
    <t>19932</t>
  </si>
  <si>
    <t>17263</t>
  </si>
  <si>
    <t>12457</t>
  </si>
  <si>
    <t>11995</t>
  </si>
  <si>
    <t>18455</t>
  </si>
  <si>
    <t>HIS German Auto Parts,</t>
  </si>
  <si>
    <t>adsitco.com</t>
  </si>
  <si>
    <t>无完整目录</t>
  </si>
  <si>
    <t>31039</t>
  </si>
  <si>
    <t>12985</t>
  </si>
  <si>
    <t>37295</t>
  </si>
  <si>
    <t>16274</t>
  </si>
  <si>
    <t>21876</t>
  </si>
  <si>
    <t>29044</t>
  </si>
  <si>
    <t>17905</t>
  </si>
  <si>
    <t>9240</t>
  </si>
  <si>
    <t>23742</t>
  </si>
  <si>
    <t>17070</t>
  </si>
  <si>
    <t>25470</t>
  </si>
  <si>
    <t>53869</t>
  </si>
  <si>
    <t>69035</t>
  </si>
  <si>
    <t>71742</t>
  </si>
  <si>
    <t>93840</t>
  </si>
  <si>
    <t>55592</t>
  </si>
  <si>
    <t>65930</t>
  </si>
  <si>
    <t>105081</t>
  </si>
  <si>
    <t>158256</t>
  </si>
  <si>
    <t>volvocarsoempartsdirect.com</t>
  </si>
  <si>
    <t>8942</t>
  </si>
  <si>
    <t>14900</t>
  </si>
  <si>
    <t>14858</t>
  </si>
  <si>
    <t>2942</t>
  </si>
  <si>
    <t>12061</t>
  </si>
  <si>
    <t>21603</t>
  </si>
  <si>
    <t>17728</t>
  </si>
  <si>
    <t>23623</t>
  </si>
  <si>
    <t>17974</t>
  </si>
  <si>
    <t>44870</t>
  </si>
  <si>
    <t>24095</t>
  </si>
  <si>
    <t>4563</t>
  </si>
  <si>
    <t>22497</t>
  </si>
  <si>
    <t>4133</t>
  </si>
  <si>
    <t>14933</t>
  </si>
  <si>
    <t>22643</t>
  </si>
  <si>
    <t>2023年9月新增，202402导流到myswedishparts.com</t>
  </si>
  <si>
    <t>30817</t>
  </si>
  <si>
    <t>45686</t>
  </si>
  <si>
    <t>24640</t>
  </si>
  <si>
    <t>21345</t>
  </si>
  <si>
    <t>39213</t>
  </si>
  <si>
    <t>11092</t>
  </si>
  <si>
    <t>5760</t>
  </si>
  <si>
    <t>5495</t>
  </si>
  <si>
    <t>8940</t>
  </si>
  <si>
    <t>IPD</t>
  </si>
  <si>
    <t>ipdusa.com</t>
  </si>
  <si>
    <t>2023年9月新增，同时卖正副厂零件</t>
  </si>
  <si>
    <t>189100</t>
  </si>
  <si>
    <t>223332</t>
  </si>
  <si>
    <t>196453</t>
  </si>
  <si>
    <t>189767</t>
  </si>
  <si>
    <t>220716</t>
  </si>
  <si>
    <t>213832</t>
  </si>
  <si>
    <t xml:space="preserve">Mitsubishi </t>
  </si>
  <si>
    <t>34474</t>
  </si>
  <si>
    <t>37064</t>
  </si>
  <si>
    <t>23935</t>
  </si>
  <si>
    <t>42478</t>
  </si>
  <si>
    <t>30147</t>
  </si>
  <si>
    <t>44363</t>
  </si>
  <si>
    <t>32821</t>
  </si>
  <si>
    <t>11388</t>
  </si>
  <si>
    <t>15985</t>
  </si>
  <si>
    <t>22074</t>
  </si>
  <si>
    <t>29530</t>
  </si>
  <si>
    <t>16465</t>
  </si>
  <si>
    <t>11675</t>
  </si>
  <si>
    <t>24638</t>
  </si>
  <si>
    <t>23384</t>
  </si>
  <si>
    <t>mitsubishipartsonsale.com</t>
  </si>
  <si>
    <t>4439</t>
  </si>
  <si>
    <t>3843</t>
  </si>
  <si>
    <t>2185</t>
  </si>
  <si>
    <t>1859</t>
  </si>
  <si>
    <t>2361</t>
  </si>
  <si>
    <t>9887</t>
  </si>
  <si>
    <t>2063</t>
  </si>
  <si>
    <t>2507</t>
  </si>
  <si>
    <t>6963</t>
  </si>
  <si>
    <t>10604</t>
  </si>
  <si>
    <t>mitsubishiwholesaleautoparts.com</t>
  </si>
  <si>
    <t>2877</t>
  </si>
  <si>
    <t>17919</t>
  </si>
  <si>
    <t>14319</t>
  </si>
  <si>
    <t>3166</t>
  </si>
  <si>
    <t>231</t>
  </si>
  <si>
    <t>mitsubishifactoryparts.com</t>
  </si>
  <si>
    <t xml:space="preserve">SC </t>
  </si>
  <si>
    <t>3616</t>
  </si>
  <si>
    <t>1355</t>
  </si>
  <si>
    <t>497</t>
  </si>
  <si>
    <t>489</t>
  </si>
  <si>
    <t>258</t>
  </si>
  <si>
    <t>2011</t>
  </si>
  <si>
    <t>qualitymitsubishiparts.com</t>
  </si>
  <si>
    <t>9532</t>
  </si>
  <si>
    <t>2138</t>
  </si>
  <si>
    <t>1575</t>
  </si>
  <si>
    <t>2023年9月新增为Lexus竞品</t>
  </si>
  <si>
    <t>76253</t>
  </si>
  <si>
    <t>53988</t>
  </si>
  <si>
    <t>52122</t>
  </si>
  <si>
    <t>78061</t>
  </si>
  <si>
    <t>61343</t>
  </si>
  <si>
    <t>parts.sheachevrolet.com</t>
  </si>
  <si>
    <t>13925</t>
  </si>
  <si>
    <t>14853</t>
  </si>
  <si>
    <t>23205</t>
  </si>
  <si>
    <t>22251</t>
  </si>
  <si>
    <t>29750</t>
  </si>
  <si>
    <t>11203</t>
  </si>
  <si>
    <t xml:space="preserve">GM </t>
  </si>
  <si>
    <t>gmpartsbin.com</t>
  </si>
  <si>
    <t>104852</t>
  </si>
  <si>
    <t>141237</t>
  </si>
  <si>
    <t>77480</t>
  </si>
  <si>
    <t>92921</t>
  </si>
  <si>
    <t>108844</t>
  </si>
  <si>
    <t>89431</t>
  </si>
  <si>
    <t>parts.infiniticity.com</t>
  </si>
  <si>
    <t>原厂</t>
  </si>
  <si>
    <t>3227</t>
  </si>
  <si>
    <t>22123</t>
  </si>
  <si>
    <t>10017</t>
  </si>
  <si>
    <t>2913</t>
  </si>
  <si>
    <t>parts.clearlakeinfiniti.com</t>
  </si>
  <si>
    <t>1392</t>
  </si>
  <si>
    <t>998</t>
  </si>
  <si>
    <t>2648</t>
  </si>
  <si>
    <t>6388</t>
  </si>
  <si>
    <t>1903</t>
  </si>
  <si>
    <t>parts.sawgrassinfiniti.com</t>
  </si>
  <si>
    <t>696</t>
  </si>
  <si>
    <t>564</t>
  </si>
  <si>
    <t>parts.woodfieldnissan.com</t>
  </si>
  <si>
    <t>3478</t>
  </si>
  <si>
    <t>2861</t>
  </si>
  <si>
    <t>2166</t>
  </si>
  <si>
    <t>5989</t>
  </si>
  <si>
    <t>3990</t>
  </si>
  <si>
    <t>parts.grandsubaru.com</t>
  </si>
  <si>
    <t>4743</t>
  </si>
  <si>
    <t>6754</t>
  </si>
  <si>
    <t>16867</t>
  </si>
  <si>
    <t>10205</t>
  </si>
  <si>
    <t>2303</t>
  </si>
  <si>
    <t>8842</t>
  </si>
  <si>
    <t>parts.subaruelpaso.com</t>
  </si>
  <si>
    <t>14464</t>
  </si>
  <si>
    <t>9039</t>
  </si>
  <si>
    <t>5339</t>
  </si>
  <si>
    <t>3509</t>
  </si>
  <si>
    <t>9489</t>
  </si>
  <si>
    <t>10360</t>
  </si>
  <si>
    <t>parts.autonationsubaruhuntvalley.com</t>
  </si>
  <si>
    <t>3017</t>
  </si>
  <si>
    <t>1614</t>
  </si>
  <si>
    <t>4199</t>
  </si>
  <si>
    <t>2766</t>
  </si>
  <si>
    <t>2753</t>
  </si>
  <si>
    <t>4406</t>
  </si>
  <si>
    <t>parts.tomwoodtoyota.com</t>
  </si>
  <si>
    <t>14559</t>
  </si>
  <si>
    <t>16083</t>
  </si>
  <si>
    <t>22995</t>
  </si>
  <si>
    <t>18336</t>
  </si>
  <si>
    <t>22947</t>
  </si>
  <si>
    <t>27726</t>
  </si>
  <si>
    <t>parts.americantoyota.com</t>
  </si>
  <si>
    <t>18749</t>
  </si>
  <si>
    <t>20643</t>
  </si>
  <si>
    <t>23603</t>
  </si>
  <si>
    <t>25862</t>
  </si>
  <si>
    <t>36432</t>
  </si>
  <si>
    <t>38644</t>
  </si>
  <si>
    <t>parts.volvocarsathens.com</t>
  </si>
  <si>
    <t>13170</t>
  </si>
  <si>
    <t>5662</t>
  </si>
  <si>
    <t>10285</t>
  </si>
  <si>
    <t>14261</t>
  </si>
  <si>
    <t>3710</t>
  </si>
  <si>
    <t>rmeuropean.com</t>
  </si>
  <si>
    <t>2023年10月新增</t>
  </si>
  <si>
    <t>131729</t>
  </si>
  <si>
    <t>98924</t>
  </si>
  <si>
    <t>121619</t>
  </si>
  <si>
    <t>128457</t>
  </si>
  <si>
    <t>125552</t>
  </si>
  <si>
    <t>96161</t>
  </si>
  <si>
    <t>oempartsquick.com</t>
  </si>
  <si>
    <t>58193</t>
  </si>
  <si>
    <t>100017</t>
  </si>
  <si>
    <t>69918</t>
  </si>
  <si>
    <t>64049</t>
  </si>
  <si>
    <t>71653</t>
  </si>
  <si>
    <t>37459</t>
  </si>
  <si>
    <t>parts.bramanmiamihyundai.com</t>
  </si>
  <si>
    <t>11691</t>
  </si>
  <si>
    <t>16969</t>
  </si>
  <si>
    <t>11046</t>
  </si>
  <si>
    <t>5533</t>
  </si>
  <si>
    <t>8077</t>
  </si>
  <si>
    <t>2256</t>
  </si>
  <si>
    <t>nissanoempartsdirect.com</t>
  </si>
  <si>
    <t>26484</t>
  </si>
  <si>
    <t>20459</t>
  </si>
  <si>
    <t>20780</t>
  </si>
  <si>
    <t>24739</t>
  </si>
  <si>
    <t>32072</t>
  </si>
  <si>
    <t>16137</t>
  </si>
  <si>
    <t>parts.actionnissan.com</t>
  </si>
  <si>
    <t>13035</t>
  </si>
  <si>
    <t>29135</t>
  </si>
  <si>
    <t>21177</t>
  </si>
  <si>
    <t>9692</t>
  </si>
  <si>
    <t>4851</t>
  </si>
  <si>
    <t>parts.nissan24auto.com</t>
  </si>
  <si>
    <t>21061</t>
  </si>
  <si>
    <t>14278</t>
  </si>
  <si>
    <t>19827</t>
  </si>
  <si>
    <t>17985</t>
  </si>
  <si>
    <t>22383</t>
  </si>
  <si>
    <t>7582</t>
  </si>
  <si>
    <t>subarugenuineoemparts.com</t>
  </si>
  <si>
    <t>4794</t>
  </si>
  <si>
    <t>2966</t>
  </si>
  <si>
    <t>5743</t>
  </si>
  <si>
    <t>2975</t>
  </si>
  <si>
    <t>6749</t>
  </si>
  <si>
    <t>16230</t>
  </si>
  <si>
    <t>parts.ourismantoyotaofrichmond.com</t>
  </si>
  <si>
    <t>16052</t>
  </si>
  <si>
    <t>11456</t>
  </si>
  <si>
    <t>2455</t>
  </si>
  <si>
    <t>8154</t>
  </si>
  <si>
    <t>parts.toyotaoflaredo.com</t>
  </si>
  <si>
    <t>5683</t>
  </si>
  <si>
    <t>9879</t>
  </si>
  <si>
    <t>79916</t>
  </si>
  <si>
    <t>35926</t>
  </si>
  <si>
    <t>2652</t>
  </si>
  <si>
    <t>mercedespartswholesale.com</t>
  </si>
  <si>
    <t>地址不详</t>
  </si>
  <si>
    <t>1088</t>
  </si>
  <si>
    <t>10423</t>
  </si>
  <si>
    <t>4192</t>
  </si>
  <si>
    <t>247</t>
  </si>
  <si>
    <t>304</t>
  </si>
  <si>
    <t>124</t>
  </si>
  <si>
    <t>parts.smithvolvo.com</t>
  </si>
  <si>
    <t>4375</t>
  </si>
  <si>
    <t>2921</t>
  </si>
  <si>
    <t>2970</t>
  </si>
  <si>
    <t>573</t>
  </si>
  <si>
    <t>26699</t>
  </si>
  <si>
    <t>15131</t>
  </si>
  <si>
    <t>parts.volvocarsofqueens.com</t>
  </si>
  <si>
    <t>4889</t>
  </si>
  <si>
    <t>8995</t>
  </si>
  <si>
    <t>3704</t>
  </si>
  <si>
    <t>parts.audirockville.com</t>
  </si>
  <si>
    <t>2023年11月新增</t>
  </si>
  <si>
    <t>10339</t>
  </si>
  <si>
    <t>4102</t>
  </si>
  <si>
    <t>5642</t>
  </si>
  <si>
    <t>3322</t>
  </si>
  <si>
    <t>bmwpartscenter.com</t>
  </si>
  <si>
    <t>2545</t>
  </si>
  <si>
    <t>1990</t>
  </si>
  <si>
    <t>850</t>
  </si>
  <si>
    <t>fordoempartsdirect.com</t>
  </si>
  <si>
    <t>21357</t>
  </si>
  <si>
    <t>24145</t>
  </si>
  <si>
    <t>32393</t>
  </si>
  <si>
    <t>gatewaypartsonline.com</t>
  </si>
  <si>
    <t>20893</t>
  </si>
  <si>
    <t>12732</t>
  </si>
  <si>
    <t>11566</t>
  </si>
  <si>
    <t>6187</t>
  </si>
  <si>
    <t>parts.infinitiofsanjose.com</t>
  </si>
  <si>
    <t>551</t>
  </si>
  <si>
    <t>333</t>
  </si>
  <si>
    <t>3081</t>
  </si>
  <si>
    <t>shop.infinitiofmontgomery.com</t>
  </si>
  <si>
    <t>1165</t>
  </si>
  <si>
    <t>4746</t>
  </si>
  <si>
    <t>mtkiaaccessories.com</t>
  </si>
  <si>
    <t>2023年11月新增，主营ACC</t>
  </si>
  <si>
    <t>1202</t>
  </si>
  <si>
    <t>6660</t>
  </si>
  <si>
    <t>8757</t>
  </si>
  <si>
    <t>2023年11月新增，toyotaparts.mcgeorgetoyota.com将流量导出至此网站，10月报告中更换竞品名称为toyotaparts.mcgeorgetoyota.com</t>
  </si>
  <si>
    <t>141642</t>
  </si>
  <si>
    <t>126237</t>
  </si>
  <si>
    <t>145956</t>
  </si>
  <si>
    <t>134686</t>
  </si>
  <si>
    <t>parts.reliabletoyotamo.com</t>
  </si>
  <si>
    <t>7810</t>
  </si>
  <si>
    <t>16303</t>
  </si>
  <si>
    <t>26046</t>
  </si>
  <si>
    <t>33880</t>
  </si>
  <si>
    <t>onlineparts.toyotasouthatlanta.com</t>
  </si>
  <si>
    <t>18619</t>
  </si>
  <si>
    <t>24525</t>
  </si>
  <si>
    <t>44917</t>
  </si>
  <si>
    <t>40806</t>
  </si>
  <si>
    <t>parts.prestigevolvo.com</t>
  </si>
  <si>
    <t>480</t>
  </si>
  <si>
    <t>3178</t>
  </si>
  <si>
    <t>3134</t>
  </si>
  <si>
    <t>3955</t>
  </si>
  <si>
    <t>parts.volvocarslisle.com</t>
  </si>
  <si>
    <t>5195</t>
  </si>
  <si>
    <t>1946</t>
  </si>
  <si>
    <t>2636</t>
  </si>
  <si>
    <t>4062</t>
  </si>
  <si>
    <t>parts.volvocarsmarin.com</t>
  </si>
  <si>
    <t>3464</t>
  </si>
  <si>
    <t>250</t>
  </si>
  <si>
    <t>mercedesoem.parts</t>
  </si>
  <si>
    <t>2161</t>
  </si>
  <si>
    <t>268</t>
  </si>
  <si>
    <t>94</t>
  </si>
  <si>
    <t>newparts.com</t>
  </si>
  <si>
    <t>270670</t>
  </si>
  <si>
    <t>245081</t>
  </si>
  <si>
    <t>232491</t>
  </si>
  <si>
    <t>heeltoeauto.com</t>
  </si>
  <si>
    <t>2023年12月新增，同时卖Honda和Acura的零件，折算比例:Acura：92%，HPN：8%</t>
  </si>
  <si>
    <t>80324</t>
  </si>
  <si>
    <t>70235</t>
  </si>
  <si>
    <t>290800</t>
  </si>
  <si>
    <t>bmwpartsfactory.com</t>
  </si>
  <si>
    <t>2023年12月新增</t>
  </si>
  <si>
    <t>25077</t>
  </si>
  <si>
    <t>54880</t>
  </si>
  <si>
    <t>19255</t>
  </si>
  <si>
    <t>parts.folsomchevy.com</t>
  </si>
  <si>
    <t>11115</t>
  </si>
  <si>
    <t>17181</t>
  </si>
  <si>
    <t>28709</t>
  </si>
  <si>
    <t>43858</t>
  </si>
  <si>
    <t>parts.dublininfiniti.com</t>
  </si>
  <si>
    <t>6185</t>
  </si>
  <si>
    <t>5225</t>
  </si>
  <si>
    <t>parts.redwoodcitynissan.com</t>
  </si>
  <si>
    <t>1295</t>
  </si>
  <si>
    <t>14553</t>
  </si>
  <si>
    <t>11791</t>
  </si>
  <si>
    <t>8131</t>
  </si>
  <si>
    <t>parts.metronissandallas.com</t>
  </si>
  <si>
    <t>112</t>
  </si>
  <si>
    <t>16328</t>
  </si>
  <si>
    <t>19798</t>
  </si>
  <si>
    <t>1416</t>
  </si>
  <si>
    <t>parts.crabtreenissan.com</t>
  </si>
  <si>
    <t>4000</t>
  </si>
  <si>
    <t>10000</t>
  </si>
  <si>
    <t>6361</t>
  </si>
  <si>
    <t>978</t>
  </si>
  <si>
    <t>parts.gulfportnissan.com</t>
  </si>
  <si>
    <t>3181</t>
  </si>
  <si>
    <t>4861</t>
  </si>
  <si>
    <t>288</t>
  </si>
  <si>
    <t>parts.coloradosubaru.com</t>
  </si>
  <si>
    <t>6654</t>
  </si>
  <si>
    <t>27412</t>
  </si>
  <si>
    <t>11828</t>
  </si>
  <si>
    <t>subarupartsdeals.com</t>
  </si>
  <si>
    <t>2947</t>
  </si>
  <si>
    <t>17759</t>
  </si>
  <si>
    <t>21886</t>
  </si>
  <si>
    <t>parts.raffertysubaru.com</t>
  </si>
  <si>
    <t>11297</t>
  </si>
  <si>
    <t>12487</t>
  </si>
  <si>
    <t>10282</t>
  </si>
  <si>
    <t>6079</t>
  </si>
  <si>
    <t>parts.valleysubaru.com</t>
  </si>
  <si>
    <t>3373</t>
  </si>
  <si>
    <t>6267</t>
  </si>
  <si>
    <t>parts.suburbansubaru.com</t>
  </si>
  <si>
    <t>3678</t>
  </si>
  <si>
    <t>4322</t>
  </si>
  <si>
    <t>3274</t>
  </si>
  <si>
    <t>728</t>
  </si>
  <si>
    <t>parts.rosevilletoyota.com</t>
  </si>
  <si>
    <t>28587</t>
  </si>
  <si>
    <t>41923</t>
  </si>
  <si>
    <t>22632</t>
  </si>
  <si>
    <t>400</t>
  </si>
  <si>
    <t>18566</t>
  </si>
  <si>
    <t>14817</t>
  </si>
  <si>
    <t>20537</t>
  </si>
  <si>
    <t>parts.smythevolvocars.com</t>
  </si>
  <si>
    <t>9071</t>
  </si>
  <si>
    <t>6836</t>
  </si>
  <si>
    <t>1648</t>
  </si>
  <si>
    <t>parts.stevenscreekinfiniti.com</t>
  </si>
  <si>
    <t>2024年1月新增</t>
  </si>
  <si>
    <t>506</t>
  </si>
  <si>
    <t>moparpartsproonline.com</t>
  </si>
  <si>
    <t>21436</t>
  </si>
  <si>
    <t>parts.conicellitoyotaofconshohocken.com</t>
  </si>
  <si>
    <t>15238</t>
  </si>
  <si>
    <t>20122</t>
  </si>
  <si>
    <t>parts.nucartoyotanorthattleboro.com</t>
  </si>
  <si>
    <t>2024年1月新增，原竞品toyotaparts.bochtoyotasouth.com导流</t>
  </si>
  <si>
    <t>73481</t>
  </si>
  <si>
    <t>57091</t>
  </si>
  <si>
    <t>caryparts.hendrickcars.com</t>
  </si>
  <si>
    <t>2024年2月新增</t>
  </si>
  <si>
    <t>38780</t>
  </si>
  <si>
    <t>54506</t>
  </si>
  <si>
    <t>stevewhiteparts.com</t>
  </si>
  <si>
    <t>20943</t>
  </si>
  <si>
    <t>18055</t>
  </si>
  <si>
    <t>parts.griecotoyota.com</t>
  </si>
  <si>
    <t>16056</t>
  </si>
  <si>
    <t>23501</t>
  </si>
  <si>
    <t>parts.subaruofgwinnett.com</t>
  </si>
  <si>
    <t>2024年3月新增</t>
  </si>
  <si>
    <t>1068</t>
  </si>
  <si>
    <t>parts.mcdanielssubaru.com</t>
  </si>
  <si>
    <t>642</t>
  </si>
  <si>
    <t>parts.williamssubaru.com</t>
  </si>
  <si>
    <t>393</t>
  </si>
  <si>
    <t>oempartsonline.com</t>
  </si>
  <si>
    <t>eeuroparts.com</t>
  </si>
  <si>
    <t>2024年3月新增，newparts.com 系列网站</t>
  </si>
  <si>
    <t>bimmers.com</t>
  </si>
  <si>
    <t>shopmotul.com</t>
  </si>
  <si>
    <t>allthingsnissan.com</t>
  </si>
  <si>
    <t>26440</t>
  </si>
  <si>
    <t>33529</t>
  </si>
  <si>
    <t>39783</t>
  </si>
  <si>
    <t>33546</t>
  </si>
  <si>
    <t>25948</t>
  </si>
  <si>
    <t>47711</t>
  </si>
  <si>
    <t>28032</t>
  </si>
  <si>
    <t>35775</t>
  </si>
  <si>
    <t>33255</t>
  </si>
  <si>
    <t>36033</t>
  </si>
  <si>
    <r>
      <rPr>
        <b/>
        <sz val="11"/>
        <rFont val="Arial"/>
        <charset val="134"/>
      </rPr>
      <t>Price Rank/3</t>
    </r>
    <r>
      <rPr>
        <b/>
        <sz val="11"/>
        <rFont val="宋体"/>
        <charset val="134"/>
      </rPr>
      <t>月</t>
    </r>
  </si>
  <si>
    <t>Price Rank/2月</t>
  </si>
  <si>
    <r>
      <rPr>
        <b/>
        <sz val="11"/>
        <rFont val="Arial"/>
        <charset val="134"/>
      </rPr>
      <t>Price Rank/1</t>
    </r>
    <r>
      <rPr>
        <b/>
        <sz val="11"/>
        <rFont val="宋体"/>
        <charset val="134"/>
      </rPr>
      <t>月</t>
    </r>
  </si>
  <si>
    <t>Price Rank/12月</t>
  </si>
  <si>
    <t>Price Rank/11月</t>
  </si>
  <si>
    <r>
      <rPr>
        <b/>
        <sz val="11"/>
        <rFont val="Arial"/>
        <charset val="134"/>
      </rPr>
      <t>Price Rank/10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</si>
  <si>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Price Rank/9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</si>
  <si>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Price Rank/8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</si>
  <si>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Price Rank/7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</si>
  <si>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Price Rank/6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</si>
  <si>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Price Rank/5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</si>
  <si>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Price Rank/4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</si>
  <si>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Price Rank/2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</si>
  <si>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Price Rank/12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</si>
  <si>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Price Rank/11</t>
    </r>
    <r>
      <rPr>
        <b/>
        <sz val="11"/>
        <rFont val="宋体"/>
        <charset val="134"/>
      </rPr>
      <t>月</t>
    </r>
  </si>
  <si>
    <r>
      <rPr>
        <b/>
        <sz val="11"/>
        <color theme="1"/>
        <rFont val="Arial"/>
        <charset val="134"/>
      </rPr>
      <t>Price Rank/10</t>
    </r>
    <r>
      <rPr>
        <b/>
        <sz val="11"/>
        <color theme="1"/>
        <rFont val="宋体"/>
        <charset val="134"/>
      </rPr>
      <t>月</t>
    </r>
  </si>
  <si>
    <t>Price Rank/5月</t>
  </si>
  <si>
    <t>Price Rank/4月</t>
  </si>
  <si>
    <t>Price Rank/3月</t>
  </si>
  <si>
    <t>Price Rank-10月</t>
  </si>
  <si>
    <r>
      <rPr>
        <b/>
        <sz val="11"/>
        <rFont val="Arial"/>
        <charset val="134"/>
      </rPr>
      <t>Price Rank-9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</si>
  <si>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Price Rank-8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</si>
  <si>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Catalog</t>
    </r>
    <r>
      <rPr>
        <b/>
        <sz val="11"/>
        <rFont val="宋体"/>
        <charset val="134"/>
      </rPr>
      <t>品牌</t>
    </r>
  </si>
  <si>
    <t>Price Comment——1</t>
  </si>
  <si>
    <t>Shipping Comme——1</t>
  </si>
  <si>
    <t>HasTax</t>
  </si>
  <si>
    <t>Low</t>
  </si>
  <si>
    <t>Middle</t>
  </si>
  <si>
    <t>High</t>
  </si>
  <si>
    <t>UltraHigh</t>
  </si>
  <si>
    <t>Price Comment——12</t>
  </si>
  <si>
    <t>Shipping Comme——12</t>
  </si>
  <si>
    <t>Price Comment——11</t>
  </si>
  <si>
    <t>Shipping Comme——11</t>
  </si>
  <si>
    <t>Price Comment——10</t>
  </si>
  <si>
    <t>Shipping Comme——10</t>
  </si>
  <si>
    <t>Price Comment——9</t>
  </si>
  <si>
    <t>Shipping Comme——9</t>
  </si>
  <si>
    <t>Price Comment——8</t>
  </si>
  <si>
    <t>Shipping Comme——8</t>
  </si>
  <si>
    <t>Price Comment——7</t>
  </si>
  <si>
    <t>Shipping Comme——7</t>
  </si>
  <si>
    <t>Price Comment——6</t>
  </si>
  <si>
    <t>Shipping Comme——6</t>
  </si>
  <si>
    <t>Price Comment——5</t>
  </si>
  <si>
    <r>
      <rPr>
        <b/>
        <sz val="11"/>
        <rFont val="Arial"/>
        <charset val="134"/>
      </rPr>
      <t>Shipping Comme——5</t>
    </r>
    <r>
      <rPr>
        <b/>
        <sz val="11"/>
        <rFont val="宋体"/>
        <charset val="134"/>
      </rPr>
      <t>月</t>
    </r>
  </si>
  <si>
    <t>Price Comment——4</t>
  </si>
  <si>
    <r>
      <rPr>
        <b/>
        <sz val="11"/>
        <rFont val="Arial"/>
        <charset val="134"/>
      </rPr>
      <t>Shipping Comme——4</t>
    </r>
    <r>
      <rPr>
        <b/>
        <sz val="11"/>
        <rFont val="宋体"/>
        <charset val="134"/>
      </rPr>
      <t>月</t>
    </r>
  </si>
  <si>
    <t>Price Comment——3</t>
  </si>
  <si>
    <r>
      <rPr>
        <b/>
        <sz val="11"/>
        <rFont val="Arial"/>
        <charset val="134"/>
      </rPr>
      <t>Shipping Comme——3</t>
    </r>
    <r>
      <rPr>
        <b/>
        <sz val="11"/>
        <rFont val="宋体"/>
        <charset val="134"/>
      </rPr>
      <t>月</t>
    </r>
  </si>
  <si>
    <t>Price Comment——2</t>
  </si>
  <si>
    <r>
      <rPr>
        <b/>
        <sz val="11"/>
        <rFont val="Arial"/>
        <charset val="134"/>
      </rPr>
      <t>Shipping Comme——2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</si>
  <si>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Price Comment——12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</si>
  <si>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Shipping Comme——12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</si>
  <si>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Price Comment——11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</si>
  <si>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Shipping Comme——11</t>
    </r>
    <r>
      <rPr>
        <b/>
        <sz val="11"/>
        <rFont val="宋体"/>
        <charset val="134"/>
      </rPr>
      <t>月</t>
    </r>
  </si>
  <si>
    <r>
      <rPr>
        <b/>
        <sz val="11"/>
        <color theme="1"/>
        <rFont val="Arial"/>
        <charset val="134"/>
      </rPr>
      <t>Price Comment——10</t>
    </r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</si>
  <si>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Arial"/>
        <charset val="134"/>
      </rPr>
      <t>Shipping Comme——10</t>
    </r>
    <r>
      <rPr>
        <b/>
        <sz val="11"/>
        <color theme="1"/>
        <rFont val="宋体"/>
        <charset val="134"/>
      </rPr>
      <t>月</t>
    </r>
  </si>
  <si>
    <r>
      <rPr>
        <b/>
        <sz val="11"/>
        <rFont val="Arial"/>
        <charset val="134"/>
      </rPr>
      <t>Price Comment——9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</si>
  <si>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Shipping Comme——9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</si>
  <si>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Price Comment——8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</si>
  <si>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Shipping Comme——8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</si>
  <si>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Price Comment——7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</si>
  <si>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Shipping Comme——7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</si>
  <si>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Price Comment——6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</si>
  <si>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Shipping Comme——6</t>
    </r>
    <r>
      <rPr>
        <b/>
        <sz val="11"/>
        <rFont val="宋体"/>
        <charset val="134"/>
      </rPr>
      <t>月</t>
    </r>
  </si>
  <si>
    <t>Price Comment——5月</t>
  </si>
  <si>
    <t>Shipping Comme——5月</t>
  </si>
  <si>
    <t>Price Comment——4月</t>
  </si>
  <si>
    <t>Shipping Comme——4月</t>
  </si>
  <si>
    <t>Price Comment——3月</t>
  </si>
  <si>
    <t>Shipping Comme——3月</t>
  </si>
  <si>
    <t>Price Comment——2月</t>
  </si>
  <si>
    <t>Shipping Comme——2月</t>
  </si>
  <si>
    <t>Price Comment——1月</t>
  </si>
  <si>
    <t>Shipping Comme——1月</t>
  </si>
  <si>
    <t>Price Comment——12月</t>
  </si>
  <si>
    <t>Shipping Comme——12月</t>
  </si>
  <si>
    <t>Price Comment——11月</t>
  </si>
  <si>
    <t>Shipping Comme——11月</t>
  </si>
  <si>
    <r>
      <rPr>
        <b/>
        <sz val="11"/>
        <rFont val="Arial"/>
        <charset val="134"/>
      </rPr>
      <t>Price Comment——10</t>
    </r>
    <r>
      <rPr>
        <b/>
        <sz val="11"/>
        <rFont val="宋体"/>
        <charset val="134"/>
      </rPr>
      <t>月</t>
    </r>
  </si>
  <si>
    <r>
      <rPr>
        <b/>
        <sz val="11"/>
        <rFont val="Arial"/>
        <charset val="134"/>
      </rPr>
      <t>Shipping Comme——10</t>
    </r>
    <r>
      <rPr>
        <b/>
        <sz val="11"/>
        <rFont val="宋体"/>
        <charset val="134"/>
      </rPr>
      <t>月</t>
    </r>
  </si>
  <si>
    <t>Price Comment</t>
  </si>
  <si>
    <t>AZ,NY,GA,NC,MD,NJ,IN,WI,MI,KY,MN,TX,OH,VA,TN</t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</si>
  <si>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4
Deal:&lt;1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</si>
  <si>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3
Deal:&lt;1</t>
    </r>
  </si>
  <si>
    <r>
      <rPr>
        <sz val="11"/>
        <color rgb="FFFF0000"/>
        <rFont val="Arial"/>
        <charset val="134"/>
      </rPr>
      <t>Normal</t>
    </r>
    <r>
      <rPr>
        <sz val="11"/>
        <color rgb="FFFF0000"/>
        <rFont val="宋体"/>
        <charset val="134"/>
      </rPr>
      <t>：</t>
    </r>
    <r>
      <rPr>
        <sz val="11"/>
        <color rgb="FFFF0000"/>
        <rFont val="Arial"/>
        <charset val="134"/>
      </rPr>
      <t>4</t>
    </r>
    <r>
      <rPr>
        <sz val="11"/>
        <rFont val="Arial"/>
        <charset val="134"/>
      </rPr>
      <t xml:space="preserve">
Deal:&lt;1</t>
    </r>
  </si>
  <si>
    <r>
      <rPr>
        <sz val="11"/>
        <color rgb="FFFF0000"/>
        <rFont val="Arial"/>
        <charset val="134"/>
      </rPr>
      <t>10.01</t>
    </r>
    <r>
      <rPr>
        <sz val="11"/>
        <color rgb="FFFF0000"/>
        <rFont val="宋体"/>
        <charset val="134"/>
      </rPr>
      <t>新增收税州TN</t>
    </r>
  </si>
  <si>
    <r>
      <rPr>
        <sz val="11"/>
        <rFont val="Arial"/>
        <charset val="134"/>
      </rPr>
      <t>AZ,NY,GA,NC,MD,NJ,IN,WI,MI,KY,MN,TX,OH,VA,</t>
    </r>
    <r>
      <rPr>
        <sz val="11"/>
        <color rgb="FFFF0000"/>
        <rFont val="Arial"/>
        <charset val="134"/>
      </rPr>
      <t>TN</t>
    </r>
  </si>
  <si>
    <r>
      <rPr>
        <sz val="11"/>
        <rFont val="Arial"/>
        <charset val="134"/>
      </rPr>
      <t>07.03</t>
    </r>
    <r>
      <rPr>
        <sz val="11"/>
        <rFont val="宋体"/>
        <charset val="134"/>
      </rPr>
      <t>收税州调整，CT不收税，新增收税州OH、VA</t>
    </r>
  </si>
  <si>
    <t>AZ,NY,GA,NC,MD,NJ,IN,WI,MI,KY,MN,TX,OH,VA</t>
  </si>
  <si>
    <r>
      <rPr>
        <sz val="11"/>
        <color rgb="FFFF0000"/>
        <rFont val="Arial"/>
        <charset val="134"/>
      </rPr>
      <t>07.03</t>
    </r>
    <r>
      <rPr>
        <sz val="11"/>
        <color rgb="FFFF0000"/>
        <rFont val="宋体"/>
        <charset val="134"/>
      </rPr>
      <t>收税州调整，CT不收税，新增收税州OH、VA</t>
    </r>
  </si>
  <si>
    <r>
      <rPr>
        <sz val="11"/>
        <rFont val="Arial"/>
        <charset val="134"/>
      </rPr>
      <t>AZ,NY,GA,NC,MD,NJ,IN,WI,MI,KY,MN,TX,</t>
    </r>
    <r>
      <rPr>
        <sz val="11"/>
        <color rgb="FFFF0000"/>
        <rFont val="Arial"/>
        <charset val="134"/>
      </rPr>
      <t>OH,VA</t>
    </r>
  </si>
  <si>
    <r>
      <rPr>
        <sz val="11"/>
        <rFont val="Arial"/>
        <charset val="134"/>
      </rPr>
      <t>01.01</t>
    </r>
    <r>
      <rPr>
        <sz val="11"/>
        <rFont val="宋体"/>
        <charset val="134"/>
      </rPr>
      <t>换公司到AZ，并新增TX收税州</t>
    </r>
  </si>
  <si>
    <t>AZ,NY,GA,NC,MD,NJ,IN,WI,MI,KY,MN,CT,TX</t>
  </si>
  <si>
    <r>
      <rPr>
        <sz val="11"/>
        <color rgb="FFFF0000"/>
        <rFont val="Arial"/>
        <charset val="134"/>
      </rPr>
      <t>Normal</t>
    </r>
    <r>
      <rPr>
        <sz val="11"/>
        <color rgb="FFFF0000"/>
        <rFont val="宋体"/>
        <charset val="134"/>
      </rPr>
      <t>：</t>
    </r>
    <r>
      <rPr>
        <sz val="11"/>
        <color rgb="FFFF0000"/>
        <rFont val="Arial"/>
        <charset val="134"/>
      </rPr>
      <t>3</t>
    </r>
    <r>
      <rPr>
        <sz val="11"/>
        <rFont val="Arial"/>
        <charset val="134"/>
      </rPr>
      <t xml:space="preserve">
Deal:&lt;1</t>
    </r>
  </si>
  <si>
    <r>
      <rPr>
        <sz val="11"/>
        <rFont val="Arial"/>
        <charset val="134"/>
      </rPr>
      <t>02/01Special</t>
    </r>
    <r>
      <rPr>
        <sz val="11"/>
        <rFont val="宋体"/>
        <charset val="134"/>
      </rPr>
      <t>零件高价区降</t>
    </r>
    <r>
      <rPr>
        <sz val="11"/>
        <rFont val="Arial"/>
        <charset val="134"/>
      </rPr>
      <t>1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</si>
  <si>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01.01</t>
    </r>
    <r>
      <rPr>
        <sz val="11"/>
        <color rgb="FFFF0000"/>
        <rFont val="宋体"/>
        <charset val="134"/>
      </rPr>
      <t>换公司到AZ，并新增TX收税州</t>
    </r>
  </si>
  <si>
    <r>
      <rPr>
        <sz val="11"/>
        <color rgb="FFFF0000"/>
        <rFont val="Arial"/>
        <charset val="134"/>
      </rPr>
      <t>AZ</t>
    </r>
    <r>
      <rPr>
        <sz val="11"/>
        <rFont val="Arial"/>
        <charset val="134"/>
      </rPr>
      <t>,NY,GA,NC,MD,NJ,IN,WI,MI,KY,MN,CT,</t>
    </r>
    <r>
      <rPr>
        <sz val="11"/>
        <color rgb="FFFF0000"/>
        <rFont val="Arial"/>
        <charset val="134"/>
      </rPr>
      <t>TX</t>
    </r>
  </si>
  <si>
    <r>
      <rPr>
        <sz val="11"/>
        <rFont val="Arial"/>
        <charset val="134"/>
      </rPr>
      <t>11.1</t>
    </r>
    <r>
      <rPr>
        <sz val="11"/>
        <rFont val="宋体"/>
        <charset val="134"/>
      </rPr>
      <t>新增外州收税州</t>
    </r>
    <r>
      <rPr>
        <sz val="11"/>
        <rFont val="Arial"/>
        <charset val="134"/>
      </rPr>
      <t>CT</t>
    </r>
  </si>
  <si>
    <t>NV,NY,GA,NC,MD,NJ,IN,WI,MI,KY,MN,CT</t>
  </si>
  <si>
    <r>
      <rPr>
        <sz val="11"/>
        <color rgb="FFFF0000"/>
        <rFont val="Arial"/>
        <charset val="134"/>
      </rPr>
      <t>11.1</t>
    </r>
    <r>
      <rPr>
        <sz val="11"/>
        <color rgb="FFFF0000"/>
        <rFont val="宋体"/>
        <charset val="134"/>
      </rPr>
      <t>新增外州收税州</t>
    </r>
    <r>
      <rPr>
        <sz val="11"/>
        <color rgb="FFFF0000"/>
        <rFont val="Arial"/>
        <charset val="134"/>
      </rPr>
      <t>CT</t>
    </r>
  </si>
  <si>
    <r>
      <rPr>
        <sz val="11"/>
        <rFont val="Arial"/>
        <charset val="134"/>
      </rPr>
      <t>NV,NY,GA,NC,MD,NJ,IN,WI,MI,KY,MN</t>
    </r>
    <r>
      <rPr>
        <sz val="11"/>
        <color rgb="FFFF0000"/>
        <rFont val="Arial"/>
        <charset val="134"/>
      </rPr>
      <t>,CT</t>
    </r>
  </si>
  <si>
    <r>
      <rPr>
        <sz val="11"/>
        <color theme="1"/>
        <rFont val="Arial"/>
        <charset val="134"/>
      </rPr>
      <t>02/01Special</t>
    </r>
    <r>
      <rPr>
        <sz val="11"/>
        <color theme="1"/>
        <rFont val="宋体"/>
        <charset val="134"/>
      </rPr>
      <t>零件高价区降</t>
    </r>
    <r>
      <rPr>
        <sz val="11"/>
        <color theme="1"/>
        <rFont val="Arial"/>
        <charset val="134"/>
      </rPr>
      <t>1</t>
    </r>
    <r>
      <rPr>
        <sz val="11"/>
        <color theme="1"/>
        <rFont val="宋体"/>
        <charset val="134"/>
      </rPr>
      <t>个点</t>
    </r>
  </si>
  <si>
    <r>
      <rPr>
        <sz val="11"/>
        <color theme="1"/>
        <rFont val="Arial"/>
        <charset val="134"/>
      </rPr>
      <t>NV,NY,GA,NC,MD,NJ,IN,WI,MI,KY,</t>
    </r>
    <r>
      <rPr>
        <sz val="11"/>
        <color rgb="FFFF0000"/>
        <rFont val="Arial"/>
        <charset val="134"/>
      </rPr>
      <t>MN</t>
    </r>
  </si>
  <si>
    <r>
      <rPr>
        <sz val="11"/>
        <color rgb="FFFF0000"/>
        <rFont val="Arial"/>
        <charset val="134"/>
      </rPr>
      <t>Normal</t>
    </r>
    <r>
      <rPr>
        <sz val="11"/>
        <color rgb="FFFF0000"/>
        <rFont val="宋体"/>
        <charset val="134"/>
      </rPr>
      <t>：</t>
    </r>
    <r>
      <rPr>
        <sz val="11"/>
        <color rgb="FFFF0000"/>
        <rFont val="Arial"/>
        <charset val="134"/>
      </rPr>
      <t>4</t>
    </r>
    <r>
      <rPr>
        <sz val="11"/>
        <color theme="1"/>
        <rFont val="Arial"/>
        <charset val="134"/>
      </rPr>
      <t xml:space="preserve">
Deal:&lt;1</t>
    </r>
  </si>
  <si>
    <r>
      <rPr>
        <sz val="11"/>
        <color theme="1"/>
        <rFont val="Arial"/>
        <charset val="134"/>
      </rPr>
      <t>Normal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3
Deal:&lt;1</t>
    </r>
  </si>
  <si>
    <t>NV,NY,GA,NC,MD,NJ,IN,WI,MI,KY</t>
  </si>
  <si>
    <t>11/13运费略降</t>
  </si>
  <si>
    <t>NV,NY,GA,NC,IL,MD,NJ,MN,IN,WI,MI,KY</t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</si>
  <si>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2
Deal:1</t>
    </r>
  </si>
  <si>
    <t>Normal：3
Deal:2</t>
  </si>
  <si>
    <t>Normal：3
Deal:1</t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</si>
  <si>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3
Deal:1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</si>
  <si>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3
Deal:2</t>
    </r>
  </si>
  <si>
    <r>
      <rPr>
        <sz val="11"/>
        <color rgb="FFFF0000"/>
        <rFont val="Arial"/>
        <charset val="134"/>
      </rPr>
      <t>02/01Special</t>
    </r>
    <r>
      <rPr>
        <sz val="11"/>
        <color rgb="FFFF0000"/>
        <rFont val="宋体"/>
        <charset val="134"/>
      </rPr>
      <t>零件高价区降</t>
    </r>
    <r>
      <rPr>
        <sz val="11"/>
        <color rgb="FFFF0000"/>
        <rFont val="Arial"/>
        <charset val="134"/>
      </rPr>
      <t>1</t>
    </r>
    <r>
      <rPr>
        <sz val="11"/>
        <color rgb="FFFF0000"/>
        <rFont val="宋体"/>
        <charset val="134"/>
      </rPr>
      <t>个点</t>
    </r>
  </si>
  <si>
    <t>11/13零件不变
11/19Acc降0.05</t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</si>
  <si>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4
Deal:1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</si>
  <si>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4
Deal:2</t>
    </r>
  </si>
  <si>
    <t>价格均未变</t>
  </si>
  <si>
    <r>
      <rPr>
        <sz val="11"/>
        <color rgb="FFFF0000"/>
        <rFont val="Arial"/>
        <charset val="134"/>
      </rPr>
      <t>Normal</t>
    </r>
    <r>
      <rPr>
        <sz val="11"/>
        <color rgb="FFFF0000"/>
        <rFont val="宋体"/>
        <charset val="134"/>
      </rPr>
      <t>：</t>
    </r>
    <r>
      <rPr>
        <sz val="11"/>
        <color rgb="FFFF0000"/>
        <rFont val="Arial"/>
        <charset val="134"/>
      </rPr>
      <t>4
Deal:1</t>
    </r>
  </si>
  <si>
    <r>
      <rPr>
        <sz val="11"/>
        <color rgb="FFFF0000"/>
        <rFont val="Arial"/>
        <charset val="134"/>
      </rPr>
      <t>Normal</t>
    </r>
    <r>
      <rPr>
        <sz val="11"/>
        <color rgb="FFFF0000"/>
        <rFont val="宋体"/>
        <charset val="134"/>
      </rPr>
      <t>：</t>
    </r>
    <r>
      <rPr>
        <sz val="11"/>
        <color rgb="FFFF0000"/>
        <rFont val="Arial"/>
        <charset val="134"/>
      </rPr>
      <t>4
Deal:2</t>
    </r>
  </si>
  <si>
    <t>Normal:2
Deal:1</t>
  </si>
  <si>
    <r>
      <rPr>
        <sz val="11"/>
        <rFont val="Arial"/>
        <charset val="134"/>
      </rPr>
      <t>7.30</t>
    </r>
    <r>
      <rPr>
        <sz val="11"/>
        <rFont val="宋体"/>
        <charset val="134"/>
      </rPr>
      <t>涨了</t>
    </r>
    <r>
      <rPr>
        <sz val="11"/>
        <rFont val="Arial"/>
        <charset val="134"/>
      </rPr>
      <t>1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</si>
  <si>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>7.30</t>
    </r>
    <r>
      <rPr>
        <sz val="11"/>
        <color theme="1"/>
        <rFont val="宋体"/>
        <charset val="134"/>
      </rPr>
      <t>涨了</t>
    </r>
    <r>
      <rPr>
        <sz val="11"/>
        <color theme="1"/>
        <rFont val="Arial"/>
        <charset val="134"/>
      </rPr>
      <t>1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</si>
  <si>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>7.30</t>
    </r>
    <r>
      <rPr>
        <sz val="11"/>
        <color rgb="FFFF0000"/>
        <rFont val="宋体"/>
        <charset val="134"/>
      </rPr>
      <t>涨了</t>
    </r>
    <r>
      <rPr>
        <sz val="11"/>
        <color rgb="FFFF0000"/>
        <rFont val="Arial"/>
        <charset val="134"/>
      </rPr>
      <t>1</t>
    </r>
    <r>
      <rPr>
        <sz val="11"/>
        <color rgb="FFFF0000"/>
        <rFont val="宋体"/>
        <charset val="134"/>
      </rPr>
      <t>个点</t>
    </r>
  </si>
  <si>
    <r>
      <rPr>
        <sz val="11"/>
        <color rgb="FFFF0000"/>
        <rFont val="Arial"/>
        <charset val="134"/>
      </rPr>
      <t>6.21</t>
    </r>
    <r>
      <rPr>
        <sz val="11"/>
        <color rgb="FFFF0000"/>
        <rFont val="宋体"/>
        <charset val="134"/>
      </rPr>
      <t>降了</t>
    </r>
    <r>
      <rPr>
        <sz val="11"/>
        <color rgb="FFFF0000"/>
        <rFont val="Arial"/>
        <charset val="134"/>
      </rPr>
      <t>1.5</t>
    </r>
    <r>
      <rPr>
        <sz val="11"/>
        <color rgb="FFFF0000"/>
        <rFont val="宋体"/>
        <charset val="134"/>
      </rPr>
      <t>个点</t>
    </r>
  </si>
  <si>
    <r>
      <rPr>
        <sz val="11"/>
        <color rgb="FFFF0000"/>
        <rFont val="Arial"/>
        <charset val="134"/>
      </rPr>
      <t>6.14</t>
    </r>
    <r>
      <rPr>
        <sz val="11"/>
        <color rgb="FFFF0000"/>
        <rFont val="宋体"/>
        <charset val="134"/>
      </rPr>
      <t>涨1个点</t>
    </r>
  </si>
  <si>
    <r>
      <rPr>
        <sz val="11"/>
        <color rgb="FFFF0000"/>
        <rFont val="Arial"/>
        <charset val="134"/>
      </rPr>
      <t>5.24low</t>
    </r>
    <r>
      <rPr>
        <sz val="11"/>
        <color rgb="FFFF0000"/>
        <rFont val="宋体"/>
        <charset val="134"/>
      </rPr>
      <t>降1个点</t>
    </r>
  </si>
  <si>
    <t>03/03降5个点</t>
  </si>
  <si>
    <t>从未调价</t>
  </si>
  <si>
    <r>
      <rPr>
        <sz val="11"/>
        <rFont val="宋体"/>
        <charset val="134"/>
      </rPr>
      <t>十月运费部分降了</t>
    </r>
    <r>
      <rPr>
        <sz val="11"/>
        <rFont val="Arial"/>
        <charset val="134"/>
      </rPr>
      <t>$2~$3</t>
    </r>
    <r>
      <rPr>
        <sz val="11"/>
        <rFont val="宋体"/>
        <charset val="134"/>
      </rPr>
      <t>，截止到数据更新时，我们没及时调整</t>
    </r>
  </si>
  <si>
    <r>
      <rPr>
        <sz val="11"/>
        <color rgb="FFFF0000"/>
        <rFont val="宋体"/>
        <charset val="134"/>
      </rPr>
      <t>十月运费部分降了</t>
    </r>
    <r>
      <rPr>
        <sz val="11"/>
        <color rgb="FFFF0000"/>
        <rFont val="Arial"/>
        <charset val="134"/>
      </rPr>
      <t>$2~$3</t>
    </r>
    <r>
      <rPr>
        <sz val="11"/>
        <color rgb="FFFF0000"/>
        <rFont val="宋体"/>
        <charset val="134"/>
      </rPr>
      <t>，截止到数据更新时，我们没及时调整</t>
    </r>
  </si>
  <si>
    <r>
      <rPr>
        <sz val="11"/>
        <color rgb="FFFF0000"/>
        <rFont val="宋体"/>
        <charset val="134"/>
      </rPr>
      <t>十月运费部分降了</t>
    </r>
    <r>
      <rPr>
        <sz val="11"/>
        <color rgb="FFFF0000"/>
        <rFont val="Arial"/>
        <charset val="134"/>
      </rPr>
      <t>$2~$3</t>
    </r>
  </si>
  <si>
    <r>
      <rPr>
        <sz val="11"/>
        <rFont val="宋体"/>
        <charset val="134"/>
      </rPr>
      <t>于</t>
    </r>
    <r>
      <rPr>
        <sz val="11"/>
        <rFont val="Arial"/>
        <charset val="134"/>
      </rPr>
      <t>2021.01.25</t>
    </r>
    <r>
      <rPr>
        <sz val="11"/>
        <rFont val="宋体"/>
        <charset val="134"/>
      </rPr>
      <t>周全面降价，目前为市场最低价</t>
    </r>
  </si>
  <si>
    <r>
      <rPr>
        <sz val="11"/>
        <color rgb="FFFF0000"/>
        <rFont val="宋体"/>
        <charset val="134"/>
      </rPr>
      <t>于</t>
    </r>
    <r>
      <rPr>
        <sz val="11"/>
        <color rgb="FFFF0000"/>
        <rFont val="Arial"/>
        <charset val="134"/>
      </rPr>
      <t>2021.01.25</t>
    </r>
    <r>
      <rPr>
        <sz val="11"/>
        <color rgb="FFFF0000"/>
        <rFont val="宋体"/>
        <charset val="134"/>
      </rPr>
      <t>周全面降价，目前为市场最低价</t>
    </r>
  </si>
  <si>
    <r>
      <rPr>
        <sz val="11"/>
        <color rgb="FFFF0000"/>
        <rFont val="Arial"/>
        <charset val="134"/>
      </rPr>
      <t>10.13</t>
    </r>
    <r>
      <rPr>
        <sz val="11"/>
        <color rgb="FFFF0000"/>
        <rFont val="宋体"/>
        <charset val="134"/>
      </rPr>
      <t>零件涨价</t>
    </r>
    <r>
      <rPr>
        <sz val="11"/>
        <color rgb="FFFF0000"/>
        <rFont val="Arial"/>
        <charset val="134"/>
      </rPr>
      <t>0.3-2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</si>
  <si>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5.20</t>
    </r>
    <r>
      <rPr>
        <sz val="11"/>
        <rFont val="宋体"/>
        <charset val="134"/>
      </rPr>
      <t>零件全面涨价</t>
    </r>
  </si>
  <si>
    <r>
      <rPr>
        <sz val="11"/>
        <color rgb="FFFF0000"/>
        <rFont val="Arial"/>
        <charset val="134"/>
      </rPr>
      <t>5.20</t>
    </r>
    <r>
      <rPr>
        <sz val="11"/>
        <color rgb="FFFF0000"/>
        <rFont val="宋体"/>
        <charset val="134"/>
      </rPr>
      <t>零件全面涨价</t>
    </r>
  </si>
  <si>
    <r>
      <rPr>
        <sz val="11"/>
        <rFont val="Arial"/>
        <charset val="134"/>
      </rPr>
      <t>10/16</t>
    </r>
    <r>
      <rPr>
        <sz val="11"/>
        <rFont val="宋体"/>
        <charset val="134"/>
      </rPr>
      <t>零件降</t>
    </r>
    <r>
      <rPr>
        <sz val="11"/>
        <rFont val="Arial"/>
        <charset val="134"/>
      </rPr>
      <t>5</t>
    </r>
    <r>
      <rPr>
        <sz val="11"/>
        <rFont val="宋体"/>
        <charset val="134"/>
      </rPr>
      <t xml:space="preserve">个点
</t>
    </r>
    <r>
      <rPr>
        <sz val="11"/>
        <rFont val="Arial"/>
        <charset val="134"/>
      </rPr>
      <t>10/16Acc</t>
    </r>
    <r>
      <rPr>
        <sz val="11"/>
        <rFont val="宋体"/>
        <charset val="134"/>
      </rPr>
      <t>降</t>
    </r>
    <r>
      <rPr>
        <sz val="11"/>
        <rFont val="Arial"/>
        <charset val="134"/>
      </rPr>
      <t>4</t>
    </r>
    <r>
      <rPr>
        <sz val="11"/>
        <rFont val="宋体"/>
        <charset val="134"/>
      </rPr>
      <t>个点</t>
    </r>
  </si>
  <si>
    <t>十月运费略微涨了点</t>
  </si>
  <si>
    <t>10/16零件降5个点
10/16Acc降4个点</t>
  </si>
  <si>
    <t>普通零件价格下降5个点</t>
  </si>
  <si>
    <r>
      <rPr>
        <sz val="11"/>
        <color rgb="FFFF0000"/>
        <rFont val="Arial"/>
        <charset val="134"/>
      </rPr>
      <t>10.13 MSRP&lt;25</t>
    </r>
    <r>
      <rPr>
        <sz val="11"/>
        <color rgb="FFFF0000"/>
        <rFont val="宋体"/>
        <charset val="134"/>
      </rPr>
      <t>的零件涨价</t>
    </r>
    <r>
      <rPr>
        <sz val="11"/>
        <color rgb="FFFF0000"/>
        <rFont val="Arial"/>
        <charset val="134"/>
      </rPr>
      <t>1</t>
    </r>
    <r>
      <rPr>
        <sz val="11"/>
        <color rgb="FFFF0000"/>
        <rFont val="宋体"/>
        <charset val="134"/>
      </rPr>
      <t>个点，MSRP&gt;120零件降价</t>
    </r>
    <r>
      <rPr>
        <sz val="11"/>
        <color rgb="FFFF0000"/>
        <rFont val="Arial"/>
        <charset val="134"/>
      </rPr>
      <t>1-7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</si>
  <si>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10.08</t>
    </r>
    <r>
      <rPr>
        <sz val="11"/>
        <rFont val="宋体"/>
        <charset val="134"/>
      </rPr>
      <t>零件整体涨价</t>
    </r>
  </si>
  <si>
    <r>
      <rPr>
        <sz val="11"/>
        <color rgb="FFFF0000"/>
        <rFont val="Arial"/>
        <charset val="134"/>
      </rPr>
      <t>10.08</t>
    </r>
    <r>
      <rPr>
        <sz val="11"/>
        <color rgb="FFFF0000"/>
        <rFont val="宋体"/>
        <charset val="134"/>
      </rPr>
      <t>零件整体涨价</t>
    </r>
  </si>
  <si>
    <t>02/27零件下降1个点</t>
  </si>
  <si>
    <r>
      <rPr>
        <sz val="11"/>
        <rFont val="Arial"/>
        <charset val="134"/>
      </rPr>
      <t>08/20</t>
    </r>
    <r>
      <rPr>
        <sz val="11"/>
        <rFont val="宋体"/>
        <charset val="134"/>
      </rPr>
      <t>零件最高涨</t>
    </r>
    <r>
      <rPr>
        <sz val="11"/>
        <rFont val="Arial"/>
        <charset val="134"/>
      </rPr>
      <t>10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</si>
  <si>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>08/20</t>
    </r>
    <r>
      <rPr>
        <sz val="11"/>
        <color theme="1"/>
        <rFont val="宋体"/>
        <charset val="134"/>
      </rPr>
      <t>零件最高涨</t>
    </r>
    <r>
      <rPr>
        <sz val="11"/>
        <color theme="1"/>
        <rFont val="Arial"/>
        <charset val="134"/>
      </rPr>
      <t>10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</si>
  <si>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>08/20</t>
    </r>
    <r>
      <rPr>
        <sz val="11"/>
        <color rgb="FFFF0000"/>
        <rFont val="宋体"/>
        <charset val="134"/>
      </rPr>
      <t>零件最高涨</t>
    </r>
    <r>
      <rPr>
        <sz val="11"/>
        <color rgb="FFFF0000"/>
        <rFont val="Arial"/>
        <charset val="134"/>
      </rPr>
      <t>10</t>
    </r>
    <r>
      <rPr>
        <sz val="11"/>
        <color rgb="FFFF0000"/>
        <rFont val="宋体"/>
        <charset val="134"/>
      </rPr>
      <t>个点</t>
    </r>
  </si>
  <si>
    <t>03/08零件最高涨10个点</t>
  </si>
  <si>
    <r>
      <rPr>
        <sz val="11"/>
        <color theme="1"/>
        <rFont val="Arial"/>
        <charset val="134"/>
      </rPr>
      <t>6.14low</t>
    </r>
    <r>
      <rPr>
        <sz val="11"/>
        <color theme="1"/>
        <rFont val="宋体"/>
        <charset val="134"/>
      </rPr>
      <t>降两个点，其他涨</t>
    </r>
    <r>
      <rPr>
        <sz val="11"/>
        <color theme="1"/>
        <rFont val="Arial"/>
        <charset val="134"/>
      </rPr>
      <t>2~4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</si>
  <si>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>6.14low</t>
    </r>
    <r>
      <rPr>
        <sz val="11"/>
        <color rgb="FFFF0000"/>
        <rFont val="宋体"/>
        <charset val="134"/>
      </rPr>
      <t>降两个点，其他涨</t>
    </r>
    <r>
      <rPr>
        <sz val="11"/>
        <color rgb="FFFF0000"/>
        <rFont val="Arial"/>
        <charset val="134"/>
      </rPr>
      <t>2~4</t>
    </r>
    <r>
      <rPr>
        <sz val="11"/>
        <color rgb="FFFF0000"/>
        <rFont val="宋体"/>
        <charset val="134"/>
      </rPr>
      <t>个点</t>
    </r>
  </si>
  <si>
    <t>09/04零件上升3个点</t>
  </si>
  <si>
    <r>
      <rPr>
        <sz val="11"/>
        <rFont val="宋体"/>
        <charset val="134"/>
      </rPr>
      <t>零件价格下降</t>
    </r>
    <r>
      <rPr>
        <sz val="11"/>
        <rFont val="Arial"/>
        <charset val="134"/>
      </rPr>
      <t>6</t>
    </r>
    <r>
      <rPr>
        <sz val="11"/>
        <rFont val="宋体"/>
        <charset val="134"/>
      </rPr>
      <t>个点</t>
    </r>
  </si>
  <si>
    <t>CA,TX</t>
  </si>
  <si>
    <r>
      <rPr>
        <sz val="11"/>
        <rFont val="Arial"/>
        <charset val="134"/>
      </rPr>
      <t xml:space="preserve">9.19 </t>
    </r>
    <r>
      <rPr>
        <sz val="11"/>
        <rFont val="宋体"/>
        <charset val="134"/>
      </rPr>
      <t>精细化调价，高价区零件涨价</t>
    </r>
    <r>
      <rPr>
        <sz val="11"/>
        <rFont val="Arial"/>
        <charset val="134"/>
      </rPr>
      <t>0.75</t>
    </r>
    <r>
      <rPr>
        <sz val="11"/>
        <rFont val="宋体"/>
        <charset val="134"/>
      </rPr>
      <t>个点</t>
    </r>
  </si>
  <si>
    <r>
      <rPr>
        <sz val="11"/>
        <rFont val="Arial"/>
        <charset val="134"/>
      </rPr>
      <t>12.18</t>
    </r>
    <r>
      <rPr>
        <sz val="11"/>
        <rFont val="宋体"/>
        <charset val="134"/>
      </rPr>
      <t>新增外州收税州</t>
    </r>
    <r>
      <rPr>
        <sz val="11"/>
        <rFont val="Arial"/>
        <charset val="134"/>
      </rPr>
      <t xml:space="preserve">TX </t>
    </r>
  </si>
  <si>
    <r>
      <rPr>
        <sz val="11"/>
        <color rgb="FFFF0000"/>
        <rFont val="Arial"/>
        <charset val="134"/>
      </rPr>
      <t>12.18</t>
    </r>
    <r>
      <rPr>
        <sz val="11"/>
        <color rgb="FFFF0000"/>
        <rFont val="宋体"/>
        <charset val="134"/>
      </rPr>
      <t>新增外州收税州</t>
    </r>
    <r>
      <rPr>
        <sz val="11"/>
        <color rgb="FFFF0000"/>
        <rFont val="Arial"/>
        <charset val="134"/>
      </rPr>
      <t xml:space="preserve">TX </t>
    </r>
  </si>
  <si>
    <r>
      <rPr>
        <sz val="11"/>
        <color rgb="FFFF0000"/>
        <rFont val="Arial"/>
        <charset val="134"/>
      </rPr>
      <t xml:space="preserve">9.19 </t>
    </r>
    <r>
      <rPr>
        <sz val="11"/>
        <color rgb="FFFF0000"/>
        <rFont val="宋体"/>
        <charset val="134"/>
      </rPr>
      <t>精细化调价，高价区零件涨价</t>
    </r>
    <r>
      <rPr>
        <sz val="11"/>
        <color rgb="FFFF0000"/>
        <rFont val="Arial"/>
        <charset val="134"/>
      </rPr>
      <t>0.75</t>
    </r>
    <r>
      <rPr>
        <sz val="11"/>
        <color rgb="FFFF0000"/>
        <rFont val="宋体"/>
        <charset val="134"/>
      </rPr>
      <t>个点</t>
    </r>
  </si>
  <si>
    <t xml:space="preserve">Toyota </t>
  </si>
  <si>
    <t>Price Rank/1月</t>
  </si>
  <si>
    <r>
      <rPr>
        <b/>
        <sz val="11"/>
        <rFont val="Arial"/>
        <charset val="134"/>
      </rPr>
      <t>Price Rank-7</t>
    </r>
    <r>
      <rPr>
        <b/>
        <sz val="11"/>
        <rFont val="宋体"/>
        <charset val="134"/>
      </rPr>
      <t>月</t>
    </r>
  </si>
  <si>
    <t>Price Rank-6月</t>
  </si>
  <si>
    <t>Price Rank-5月</t>
  </si>
  <si>
    <t>Price Rank-4月</t>
  </si>
  <si>
    <t>Price Rank-3月</t>
  </si>
  <si>
    <t>Price Rank-2月</t>
  </si>
  <si>
    <t>Price Rank-1月</t>
  </si>
  <si>
    <t>Price Rank-12月</t>
  </si>
  <si>
    <t>10.13低价区零件涨价，高价区零件降价</t>
  </si>
  <si>
    <t>7.15 25&lt;MSRP&lt;75的零件降价4~7个点</t>
  </si>
  <si>
    <t>CA,NY,GA,NC,MD,NJ,IN,WI,MI,KY,CT,UT,HI,NV,WA,MN,PA,AR,TX,NE,WV,ME,CO,SC,AZ,VA,OH,MA</t>
  </si>
  <si>
    <r>
      <rPr>
        <sz val="11"/>
        <rFont val="Arial"/>
        <charset val="134"/>
      </rPr>
      <t>4.29 MSRP&lt;800,100&lt;Dnet&lt;400</t>
    </r>
    <r>
      <rPr>
        <sz val="11"/>
        <rFont val="宋体"/>
        <charset val="134"/>
      </rPr>
      <t>的零件降价</t>
    </r>
    <r>
      <rPr>
        <sz val="11"/>
        <rFont val="Arial"/>
        <charset val="134"/>
      </rPr>
      <t>0.6</t>
    </r>
    <r>
      <rPr>
        <sz val="11"/>
        <rFont val="宋体"/>
        <charset val="134"/>
      </rPr>
      <t>个点</t>
    </r>
  </si>
  <si>
    <r>
      <rPr>
        <sz val="11"/>
        <rFont val="Arial"/>
        <charset val="134"/>
      </rPr>
      <t>7.1</t>
    </r>
    <r>
      <rPr>
        <sz val="11"/>
        <rFont val="宋体"/>
        <charset val="134"/>
      </rPr>
      <t>收税州调整，新增收税州MA，并减少</t>
    </r>
    <r>
      <rPr>
        <sz val="11"/>
        <rFont val="Arial"/>
        <charset val="134"/>
      </rPr>
      <t>8</t>
    </r>
    <r>
      <rPr>
        <sz val="11"/>
        <rFont val="宋体"/>
        <charset val="134"/>
      </rPr>
      <t>个收税州</t>
    </r>
  </si>
  <si>
    <r>
      <rPr>
        <sz val="11"/>
        <color rgb="FFFF0000"/>
        <rFont val="Arial"/>
        <charset val="134"/>
      </rPr>
      <t>7.1</t>
    </r>
    <r>
      <rPr>
        <sz val="11"/>
        <color rgb="FFFF0000"/>
        <rFont val="宋体"/>
        <charset val="134"/>
      </rPr>
      <t>收税州调整，新增收税州MA，并减少</t>
    </r>
    <r>
      <rPr>
        <sz val="11"/>
        <color rgb="FFFF0000"/>
        <rFont val="Arial"/>
        <charset val="134"/>
      </rPr>
      <t>8</t>
    </r>
    <r>
      <rPr>
        <sz val="11"/>
        <color rgb="FFFF0000"/>
        <rFont val="宋体"/>
        <charset val="134"/>
      </rPr>
      <t>个收税州</t>
    </r>
  </si>
  <si>
    <r>
      <rPr>
        <sz val="11"/>
        <rFont val="Arial"/>
        <charset val="134"/>
      </rPr>
      <t>CA,NY,GA,NC,MD,NJ,IN,WI,MI,KY,CT,UT,HI,NV,WA,MN,PA,AR,TX,NE,WV,ME,CO,SC,AZ,VA,OH,</t>
    </r>
    <r>
      <rPr>
        <sz val="11"/>
        <color rgb="FFFF0000"/>
        <rFont val="Arial"/>
        <charset val="134"/>
      </rPr>
      <t>MA</t>
    </r>
  </si>
  <si>
    <r>
      <rPr>
        <sz val="11"/>
        <rFont val="Arial"/>
        <charset val="134"/>
      </rPr>
      <t>01.16</t>
    </r>
    <r>
      <rPr>
        <sz val="11"/>
        <rFont val="宋体"/>
        <charset val="134"/>
      </rPr>
      <t>全面开放收Tax</t>
    </r>
  </si>
  <si>
    <t>CA,NY,GA,NC,MD,NJ,IN,WI,MI,KY,CT,UT,HI,NV,WA,MN,PA,AR,TX,NE,DC,RI,WV,ME,SD,VT,CO,SC,OK,AZ,VA,MO,KS,NM,OH</t>
  </si>
  <si>
    <r>
      <rPr>
        <sz val="11"/>
        <color rgb="FFFF0000"/>
        <rFont val="Arial"/>
        <charset val="134"/>
      </rPr>
      <t>4.29 MSRP&lt;800,100&lt;Dnet&lt;400</t>
    </r>
    <r>
      <rPr>
        <sz val="11"/>
        <color rgb="FFFF0000"/>
        <rFont val="宋体"/>
        <charset val="134"/>
      </rPr>
      <t>的零件降价</t>
    </r>
    <r>
      <rPr>
        <sz val="11"/>
        <color rgb="FFFF0000"/>
        <rFont val="Arial"/>
        <charset val="134"/>
      </rPr>
      <t>0.6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</si>
  <si>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11/14</t>
    </r>
    <r>
      <rPr>
        <sz val="11"/>
        <rFont val="宋体"/>
        <charset val="134"/>
      </rPr>
      <t xml:space="preserve">零件不变
</t>
    </r>
    <r>
      <rPr>
        <sz val="11"/>
        <rFont val="Arial"/>
        <charset val="134"/>
      </rPr>
      <t>11/19Acc</t>
    </r>
    <r>
      <rPr>
        <sz val="11"/>
        <rFont val="宋体"/>
        <charset val="134"/>
      </rPr>
      <t>降</t>
    </r>
    <r>
      <rPr>
        <sz val="11"/>
        <rFont val="Arial"/>
        <charset val="134"/>
      </rPr>
      <t>0.05</t>
    </r>
  </si>
  <si>
    <r>
      <rPr>
        <sz val="11"/>
        <color rgb="FFFF0000"/>
        <rFont val="Arial"/>
        <charset val="134"/>
      </rPr>
      <t>01.16</t>
    </r>
    <r>
      <rPr>
        <sz val="11"/>
        <color rgb="FFFF0000"/>
        <rFont val="宋体"/>
        <charset val="134"/>
      </rPr>
      <t>全面开放收Tax</t>
    </r>
  </si>
  <si>
    <r>
      <rPr>
        <sz val="11"/>
        <rFont val="Arial"/>
        <charset val="134"/>
      </rPr>
      <t>CA,NY,GA,NC,MD,NJ,IN,WI,MI,KY,CT,UT,HI,NV,WA,MN,PA,AR,TX,</t>
    </r>
    <r>
      <rPr>
        <sz val="11"/>
        <color rgb="FFFF0000"/>
        <rFont val="Arial"/>
        <charset val="134"/>
      </rPr>
      <t>NE,DC,RI,WV,ME,SD,VT,CO,SC,OK,AZ,VA,MO,KS,NM,OH</t>
    </r>
  </si>
  <si>
    <r>
      <rPr>
        <sz val="11"/>
        <rFont val="Arial"/>
        <charset val="134"/>
      </rPr>
      <t>CA,NY,GA,NC,MD,NJ,IN,WI,MI,KY,CT,UT,HI,NV,WA,MN,PA,AR</t>
    </r>
    <r>
      <rPr>
        <sz val="11"/>
        <color rgb="FFFF0000"/>
        <rFont val="Arial"/>
        <charset val="134"/>
      </rPr>
      <t>,TX</t>
    </r>
  </si>
  <si>
    <r>
      <rPr>
        <sz val="11"/>
        <color rgb="FFFF0000"/>
        <rFont val="Arial"/>
        <charset val="134"/>
      </rPr>
      <t>11.1</t>
    </r>
    <r>
      <rPr>
        <sz val="11"/>
        <color rgb="FFFF0000"/>
        <rFont val="宋体"/>
        <charset val="134"/>
      </rPr>
      <t>新增外州收税州PA、AR</t>
    </r>
  </si>
  <si>
    <r>
      <rPr>
        <sz val="11"/>
        <rFont val="Arial"/>
        <charset val="134"/>
      </rPr>
      <t>CA,NY,GA,NC,MD,NJ,IN,WI,MI,KY,CT,UT,HI,NV,WA,MN,</t>
    </r>
    <r>
      <rPr>
        <sz val="11"/>
        <color rgb="FFFF0000"/>
        <rFont val="Arial"/>
        <charset val="134"/>
      </rPr>
      <t>PA,AR</t>
    </r>
  </si>
  <si>
    <r>
      <rPr>
        <sz val="11"/>
        <color theme="1"/>
        <rFont val="Arial"/>
        <charset val="134"/>
      </rPr>
      <t>11/14</t>
    </r>
    <r>
      <rPr>
        <sz val="11"/>
        <color theme="1"/>
        <rFont val="宋体"/>
        <charset val="134"/>
      </rPr>
      <t xml:space="preserve">零件不变
</t>
    </r>
    <r>
      <rPr>
        <sz val="11"/>
        <color theme="1"/>
        <rFont val="Arial"/>
        <charset val="134"/>
      </rPr>
      <t>11/19Acc</t>
    </r>
    <r>
      <rPr>
        <sz val="11"/>
        <color theme="1"/>
        <rFont val="宋体"/>
        <charset val="134"/>
      </rPr>
      <t>降</t>
    </r>
    <r>
      <rPr>
        <sz val="11"/>
        <color theme="1"/>
        <rFont val="Arial"/>
        <charset val="134"/>
      </rPr>
      <t>0.05</t>
    </r>
  </si>
  <si>
    <t>11/14仅CA多10%Tax去比价、降价</t>
  </si>
  <si>
    <r>
      <rPr>
        <sz val="11"/>
        <color theme="1"/>
        <rFont val="Arial"/>
        <charset val="134"/>
      </rPr>
      <t>CA,NY,GA,NC,MD,NJ,IN,WI,MI,KY,CT,UT,HI,NV,WA,</t>
    </r>
    <r>
      <rPr>
        <sz val="11"/>
        <color rgb="FFFF0000"/>
        <rFont val="Arial"/>
        <charset val="134"/>
      </rPr>
      <t>MN</t>
    </r>
  </si>
  <si>
    <t>CA,NY,GA,NC,MD,NJ,IN,WI,MI,KY,CT,UT,HI,NV,WA</t>
  </si>
  <si>
    <t>CA,NY,GA,NC,IL,MD,NJ,MN,IN,WI,MI,KY,CT,UT,HI,NV,WA</t>
  </si>
  <si>
    <t>11/14零件不变
11/19Acc降0.05</t>
  </si>
  <si>
    <t>www.toyotapartsestore.com</t>
  </si>
  <si>
    <r>
      <rPr>
        <sz val="11"/>
        <rFont val="Arial"/>
        <charset val="134"/>
      </rPr>
      <t xml:space="preserve">11.16 </t>
    </r>
    <r>
      <rPr>
        <sz val="11"/>
        <rFont val="宋体"/>
        <charset val="134"/>
      </rPr>
      <t>中高档零件降价</t>
    </r>
    <r>
      <rPr>
        <sz val="11"/>
        <rFont val="Arial"/>
        <charset val="134"/>
      </rPr>
      <t>18</t>
    </r>
    <r>
      <rPr>
        <sz val="11"/>
        <rFont val="宋体"/>
        <charset val="134"/>
      </rPr>
      <t>个点</t>
    </r>
  </si>
  <si>
    <r>
      <rPr>
        <sz val="11"/>
        <rFont val="Arial"/>
        <charset val="134"/>
      </rPr>
      <t>4.21</t>
    </r>
    <r>
      <rPr>
        <sz val="11"/>
        <rFont val="宋体"/>
        <charset val="134"/>
      </rPr>
      <t>零件涨价</t>
    </r>
    <r>
      <rPr>
        <sz val="11"/>
        <rFont val="Arial"/>
        <charset val="134"/>
      </rPr>
      <t>1~2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</si>
  <si>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4.21</t>
    </r>
    <r>
      <rPr>
        <sz val="11"/>
        <color rgb="FFFF0000"/>
        <rFont val="宋体"/>
        <charset val="134"/>
      </rPr>
      <t>零件涨价</t>
    </r>
    <r>
      <rPr>
        <sz val="11"/>
        <color rgb="FFFF0000"/>
        <rFont val="Arial"/>
        <charset val="134"/>
      </rPr>
      <t>1~2</t>
    </r>
    <r>
      <rPr>
        <sz val="11"/>
        <color rgb="FFFF0000"/>
        <rFont val="宋体"/>
        <charset val="134"/>
      </rPr>
      <t>个点</t>
    </r>
  </si>
  <si>
    <r>
      <rPr>
        <sz val="11"/>
        <color rgb="FFFF0000"/>
        <rFont val="Arial"/>
        <charset val="134"/>
      </rPr>
      <t>4.7 Dnet&lt;50</t>
    </r>
    <r>
      <rPr>
        <sz val="11"/>
        <color rgb="FFFF0000"/>
        <rFont val="宋体"/>
        <charset val="134"/>
      </rPr>
      <t>的零件涨价</t>
    </r>
    <r>
      <rPr>
        <sz val="11"/>
        <color rgb="FFFF0000"/>
        <rFont val="Arial"/>
        <charset val="134"/>
      </rPr>
      <t>3</t>
    </r>
    <r>
      <rPr>
        <sz val="11"/>
        <color rgb="FFFF0000"/>
        <rFont val="宋体"/>
        <charset val="134"/>
      </rPr>
      <t>个点，</t>
    </r>
    <r>
      <rPr>
        <sz val="11"/>
        <color rgb="FFFF0000"/>
        <rFont val="Arial"/>
        <charset val="134"/>
      </rPr>
      <t>Dnet&gt;50</t>
    </r>
    <r>
      <rPr>
        <sz val="11"/>
        <color rgb="FFFF0000"/>
        <rFont val="宋体"/>
        <charset val="134"/>
      </rPr>
      <t>的零件降价</t>
    </r>
    <r>
      <rPr>
        <sz val="11"/>
        <color rgb="FFFF0000"/>
        <rFont val="Arial"/>
        <charset val="134"/>
      </rPr>
      <t>1-2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</si>
  <si>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11.12</t>
    </r>
    <r>
      <rPr>
        <sz val="11"/>
        <rFont val="宋体"/>
        <charset val="134"/>
      </rPr>
      <t>零件全部涨价恢复到</t>
    </r>
    <r>
      <rPr>
        <sz val="11"/>
        <rFont val="Arial"/>
        <charset val="134"/>
      </rPr>
      <t>8.27</t>
    </r>
    <r>
      <rPr>
        <sz val="11"/>
        <rFont val="宋体"/>
        <charset val="134"/>
      </rPr>
      <t>价格水平</t>
    </r>
  </si>
  <si>
    <r>
      <rPr>
        <sz val="11"/>
        <color rgb="FFFF0000"/>
        <rFont val="Arial"/>
        <charset val="134"/>
      </rPr>
      <t>11.12</t>
    </r>
    <r>
      <rPr>
        <sz val="11"/>
        <color rgb="FFFF0000"/>
        <rFont val="宋体"/>
        <charset val="134"/>
      </rPr>
      <t>零件全部涨价恢复到</t>
    </r>
    <r>
      <rPr>
        <sz val="11"/>
        <color rgb="FFFF0000"/>
        <rFont val="Arial"/>
        <charset val="134"/>
      </rPr>
      <t>8.27</t>
    </r>
    <r>
      <rPr>
        <sz val="11"/>
        <color rgb="FFFF0000"/>
        <rFont val="宋体"/>
        <charset val="134"/>
      </rPr>
      <t>价格水平</t>
    </r>
  </si>
  <si>
    <r>
      <rPr>
        <sz val="11"/>
        <color rgb="FFFF0000"/>
        <rFont val="Arial"/>
        <charset val="134"/>
      </rPr>
      <t>10.08</t>
    </r>
    <r>
      <rPr>
        <sz val="11"/>
        <color rgb="FFFF0000"/>
        <rFont val="宋体"/>
        <charset val="134"/>
      </rPr>
      <t>零件降价，统一Markup=1.14</t>
    </r>
  </si>
  <si>
    <r>
      <rPr>
        <sz val="11"/>
        <color theme="1"/>
        <rFont val="Arial"/>
        <charset val="134"/>
      </rPr>
      <t>5.24</t>
    </r>
    <r>
      <rPr>
        <sz val="11"/>
        <color theme="1"/>
        <rFont val="宋体"/>
        <charset val="134"/>
      </rPr>
      <t>降格上调5个点</t>
    </r>
  </si>
  <si>
    <r>
      <rPr>
        <sz val="11"/>
        <color rgb="FFFF0000"/>
        <rFont val="Arial"/>
        <charset val="134"/>
      </rPr>
      <t>5.24</t>
    </r>
    <r>
      <rPr>
        <sz val="11"/>
        <color rgb="FFFF0000"/>
        <rFont val="宋体"/>
        <charset val="134"/>
      </rPr>
      <t>降格上调5个点</t>
    </r>
  </si>
  <si>
    <r>
      <rPr>
        <sz val="11"/>
        <rFont val="Arial"/>
        <charset val="134"/>
      </rPr>
      <t>07/21</t>
    </r>
    <r>
      <rPr>
        <sz val="11"/>
        <rFont val="宋体"/>
        <charset val="134"/>
      </rPr>
      <t>零件大幅降价</t>
    </r>
  </si>
  <si>
    <t>07/21零件大幅降价</t>
  </si>
  <si>
    <r>
      <rPr>
        <sz val="11"/>
        <rFont val="Arial"/>
        <charset val="134"/>
      </rPr>
      <t>4.1</t>
    </r>
    <r>
      <rPr>
        <sz val="11"/>
        <rFont val="宋体"/>
        <charset val="134"/>
      </rPr>
      <t>零件降价</t>
    </r>
    <r>
      <rPr>
        <sz val="11"/>
        <rFont val="Arial"/>
        <charset val="134"/>
      </rPr>
      <t>0.2-1.3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</si>
  <si>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4.1</t>
    </r>
    <r>
      <rPr>
        <sz val="11"/>
        <color rgb="FFFF0000"/>
        <rFont val="宋体"/>
        <charset val="134"/>
      </rPr>
      <t>零件降价</t>
    </r>
    <r>
      <rPr>
        <sz val="11"/>
        <color rgb="FFFF0000"/>
        <rFont val="Arial"/>
        <charset val="134"/>
      </rPr>
      <t>0.2-1.3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</si>
  <si>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05/24 </t>
    </r>
    <r>
      <rPr>
        <sz val="11"/>
        <rFont val="宋体"/>
        <charset val="134"/>
      </rPr>
      <t>部分</t>
    </r>
    <r>
      <rPr>
        <sz val="11"/>
        <rFont val="Arial"/>
        <charset val="134"/>
      </rPr>
      <t>Middle</t>
    </r>
    <r>
      <rPr>
        <sz val="11"/>
        <rFont val="宋体"/>
        <charset val="134"/>
      </rPr>
      <t>零件降</t>
    </r>
    <r>
      <rPr>
        <sz val="11"/>
        <rFont val="Arial"/>
        <charset val="134"/>
      </rPr>
      <t>0.5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</si>
  <si>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 xml:space="preserve">05/24 </t>
    </r>
    <r>
      <rPr>
        <sz val="11"/>
        <color theme="1"/>
        <rFont val="宋体"/>
        <charset val="134"/>
      </rPr>
      <t>部分</t>
    </r>
    <r>
      <rPr>
        <sz val="11"/>
        <color theme="1"/>
        <rFont val="Arial"/>
        <charset val="134"/>
      </rPr>
      <t>Middle</t>
    </r>
    <r>
      <rPr>
        <sz val="11"/>
        <color theme="1"/>
        <rFont val="宋体"/>
        <charset val="134"/>
      </rPr>
      <t>零件降</t>
    </r>
    <r>
      <rPr>
        <sz val="11"/>
        <color theme="1"/>
        <rFont val="Arial"/>
        <charset val="134"/>
      </rPr>
      <t>0.5</t>
    </r>
    <r>
      <rPr>
        <sz val="11"/>
        <color theme="1"/>
        <rFont val="宋体"/>
        <charset val="134"/>
      </rPr>
      <t>个点</t>
    </r>
  </si>
  <si>
    <r>
      <rPr>
        <sz val="11"/>
        <rFont val="Arial"/>
        <charset val="134"/>
      </rPr>
      <t>04/09 Low</t>
    </r>
    <r>
      <rPr>
        <sz val="11"/>
        <rFont val="宋体"/>
        <charset val="134"/>
      </rPr>
      <t>零件降价</t>
    </r>
  </si>
  <si>
    <r>
      <rPr>
        <sz val="11"/>
        <color rgb="FFFF0000"/>
        <rFont val="Arial"/>
        <charset val="134"/>
      </rPr>
      <t>04/09 Low</t>
    </r>
    <r>
      <rPr>
        <sz val="11"/>
        <color rgb="FFFF0000"/>
        <rFont val="宋体"/>
        <charset val="134"/>
      </rPr>
      <t>零件降价</t>
    </r>
  </si>
  <si>
    <r>
      <rPr>
        <sz val="11"/>
        <rFont val="Arial"/>
        <charset val="134"/>
      </rPr>
      <t xml:space="preserve">11/20 </t>
    </r>
    <r>
      <rPr>
        <sz val="11"/>
        <rFont val="宋体"/>
        <charset val="134"/>
      </rPr>
      <t>中档零件增加价格区间</t>
    </r>
  </si>
  <si>
    <t>03/24低价区降价1个点</t>
  </si>
  <si>
    <r>
      <rPr>
        <sz val="11"/>
        <rFont val="Arial"/>
        <charset val="134"/>
      </rPr>
      <t>11</t>
    </r>
    <r>
      <rPr>
        <sz val="11"/>
        <rFont val="宋体"/>
        <charset val="134"/>
      </rPr>
      <t>月新增竞争者</t>
    </r>
  </si>
  <si>
    <r>
      <rPr>
        <sz val="11"/>
        <rFont val="Arial"/>
        <charset val="134"/>
      </rPr>
      <t>202102</t>
    </r>
    <r>
      <rPr>
        <sz val="11"/>
        <rFont val="宋体"/>
        <charset val="134"/>
      </rPr>
      <t>新增竞争者</t>
    </r>
  </si>
  <si>
    <r>
      <rPr>
        <sz val="11"/>
        <rFont val="Arial"/>
        <charset val="134"/>
      </rPr>
      <t>9.28</t>
    </r>
    <r>
      <rPr>
        <sz val="11"/>
        <rFont val="宋体"/>
        <charset val="134"/>
      </rPr>
      <t>新做精细化调价，低价区零件降价</t>
    </r>
    <r>
      <rPr>
        <sz val="11"/>
        <rFont val="Arial"/>
        <charset val="134"/>
      </rPr>
      <t>0.5~2</t>
    </r>
    <r>
      <rPr>
        <sz val="11"/>
        <rFont val="宋体"/>
        <charset val="134"/>
      </rPr>
      <t>个点，高价区零件涨价</t>
    </r>
    <r>
      <rPr>
        <sz val="11"/>
        <rFont val="Arial"/>
        <charset val="134"/>
      </rPr>
      <t>0.25~1.25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</si>
  <si>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9.28</t>
    </r>
    <r>
      <rPr>
        <sz val="11"/>
        <color rgb="FFFF0000"/>
        <rFont val="宋体"/>
        <charset val="134"/>
      </rPr>
      <t>新做精细化调价，低价区零件降价</t>
    </r>
    <r>
      <rPr>
        <sz val="11"/>
        <color rgb="FFFF0000"/>
        <rFont val="Arial"/>
        <charset val="134"/>
      </rPr>
      <t>0.5~2</t>
    </r>
    <r>
      <rPr>
        <sz val="11"/>
        <color rgb="FFFF0000"/>
        <rFont val="宋体"/>
        <charset val="134"/>
      </rPr>
      <t>个点，高价区零件涨价</t>
    </r>
    <r>
      <rPr>
        <sz val="11"/>
        <color rgb="FFFF0000"/>
        <rFont val="Arial"/>
        <charset val="134"/>
      </rPr>
      <t>0.25~1.25</t>
    </r>
    <r>
      <rPr>
        <sz val="11"/>
        <color rgb="FFFF0000"/>
        <rFont val="宋体"/>
        <charset val="134"/>
      </rPr>
      <t>个点</t>
    </r>
  </si>
  <si>
    <t xml:space="preserve">Honda </t>
  </si>
  <si>
    <t>CA,NY,GA,NC,MD,NJ,IN,WI,MI,KY,CT,UT,HI,NV,WA,MN,PA,AR,TX,NE,DC,RI,WV,ME,SD,VT,CO,SC,OK,AZ,VA,KS,NM,OH,IA,MA,WY,TN</t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</si>
  <si>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color rgb="FFFF0000"/>
        <rFont val="Arial"/>
        <charset val="134"/>
      </rPr>
      <t>2</t>
    </r>
    <r>
      <rPr>
        <sz val="11"/>
        <rFont val="Arial"/>
        <charset val="134"/>
      </rPr>
      <t xml:space="preserve">
Deal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&lt;1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</si>
  <si>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3
Deal</t>
    </r>
    <r>
      <rPr>
        <sz val="11"/>
        <rFont val="宋体"/>
        <charset val="134"/>
      </rPr>
      <t>：1~2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</si>
  <si>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3
Deal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1~2</t>
    </r>
  </si>
  <si>
    <r>
      <rPr>
        <sz val="11"/>
        <color rgb="FFFF0000"/>
        <rFont val="Arial"/>
        <charset val="134"/>
      </rPr>
      <t>Normal</t>
    </r>
    <r>
      <rPr>
        <sz val="11"/>
        <color rgb="FFFF0000"/>
        <rFont val="宋体"/>
        <charset val="134"/>
      </rPr>
      <t>：</t>
    </r>
    <r>
      <rPr>
        <sz val="11"/>
        <color rgb="FFFF0000"/>
        <rFont val="Arial"/>
        <charset val="134"/>
      </rPr>
      <t>3</t>
    </r>
    <r>
      <rPr>
        <sz val="11"/>
        <rFont val="Arial"/>
        <charset val="134"/>
      </rPr>
      <t xml:space="preserve">
Deal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&lt;1</t>
    </r>
  </si>
  <si>
    <r>
      <rPr>
        <sz val="11"/>
        <color rgb="FFFF0000"/>
        <rFont val="Arial"/>
        <charset val="134"/>
      </rPr>
      <t>Normal</t>
    </r>
    <r>
      <rPr>
        <sz val="11"/>
        <color rgb="FFFF0000"/>
        <rFont val="宋体"/>
        <charset val="134"/>
      </rPr>
      <t>：</t>
    </r>
    <r>
      <rPr>
        <sz val="11"/>
        <color rgb="FFFF0000"/>
        <rFont val="Arial"/>
        <charset val="134"/>
      </rPr>
      <t>3</t>
    </r>
    <r>
      <rPr>
        <sz val="11"/>
        <rFont val="Arial"/>
        <charset val="134"/>
      </rPr>
      <t xml:space="preserve">
Deal</t>
    </r>
    <r>
      <rPr>
        <sz val="11"/>
        <rFont val="宋体"/>
        <charset val="134"/>
      </rPr>
      <t>：1~2</t>
    </r>
  </si>
  <si>
    <r>
      <rPr>
        <sz val="11"/>
        <color rgb="FFFF0000"/>
        <rFont val="Arial"/>
        <charset val="134"/>
      </rPr>
      <t>Normal</t>
    </r>
    <r>
      <rPr>
        <sz val="11"/>
        <color rgb="FFFF0000"/>
        <rFont val="宋体"/>
        <charset val="134"/>
      </rPr>
      <t>：</t>
    </r>
    <r>
      <rPr>
        <sz val="11"/>
        <color rgb="FFFF0000"/>
        <rFont val="Arial"/>
        <charset val="134"/>
      </rPr>
      <t>3</t>
    </r>
    <r>
      <rPr>
        <sz val="11"/>
        <rFont val="Arial"/>
        <charset val="134"/>
      </rPr>
      <t xml:space="preserve">
Deal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1~2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</si>
  <si>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2
Deal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&lt;1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</si>
  <si>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2
Deal</t>
    </r>
    <r>
      <rPr>
        <sz val="11"/>
        <rFont val="宋体"/>
        <charset val="134"/>
      </rPr>
      <t>：1~2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</si>
  <si>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：2</t>
    </r>
    <r>
      <rPr>
        <sz val="11"/>
        <rFont val="Arial"/>
        <charset val="134"/>
      </rPr>
      <t xml:space="preserve">
Deal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1~2</t>
    </r>
  </si>
  <si>
    <r>
      <rPr>
        <sz val="11"/>
        <rFont val="Arial"/>
        <charset val="134"/>
      </rPr>
      <t>2.29</t>
    </r>
    <r>
      <rPr>
        <sz val="11"/>
        <rFont val="宋体"/>
        <charset val="134"/>
      </rPr>
      <t>零件涨价一个点</t>
    </r>
    <r>
      <rPr>
        <sz val="11"/>
        <rFont val="Arial"/>
        <charset val="134"/>
      </rPr>
      <t xml:space="preserve">
3.13</t>
    </r>
    <r>
      <rPr>
        <sz val="11"/>
        <rFont val="宋体"/>
        <charset val="134"/>
      </rPr>
      <t>低价零件再涨价一个点</t>
    </r>
  </si>
  <si>
    <r>
      <rPr>
        <sz val="11"/>
        <rFont val="Arial"/>
        <charset val="134"/>
      </rPr>
      <t>CA,NY,GA,NC,MD,NJ,IN,WI,MI,KY,CT,UT,HI,NV,WA,MN,PA,AR,TX,NE,DC,RI,WV,ME,SD,VT,CO,SC,OK,AZ,VA,KS,NM,OH,IA,MA,WY</t>
    </r>
    <r>
      <rPr>
        <sz val="11"/>
        <color rgb="FFFF0000"/>
        <rFont val="Arial"/>
        <charset val="134"/>
      </rPr>
      <t>,TN</t>
    </r>
  </si>
  <si>
    <r>
      <rPr>
        <sz val="11"/>
        <rFont val="Arial"/>
        <charset val="134"/>
      </rPr>
      <t>7.10</t>
    </r>
    <r>
      <rPr>
        <sz val="11"/>
        <rFont val="宋体"/>
        <charset val="134"/>
      </rPr>
      <t>收税州调整，MO不收税，新增收税州IA、MA、WY</t>
    </r>
  </si>
  <si>
    <t>CA,NY,GA,NC,MD,NJ,IN,WI,MI,KY,CT,UT,HI,NV,WA,MN,PA,AR,TX,NE,DC,RI,WV,ME,SD,VT,CO,SC,OK,AZ,VA,KS,NM,OH,IA,MA,WY</t>
  </si>
  <si>
    <r>
      <rPr>
        <sz val="11"/>
        <color rgb="FFFF0000"/>
        <rFont val="Arial"/>
        <charset val="134"/>
      </rPr>
      <t>7.10</t>
    </r>
    <r>
      <rPr>
        <sz val="11"/>
        <color rgb="FFFF0000"/>
        <rFont val="宋体"/>
        <charset val="134"/>
      </rPr>
      <t>收税州调整，MO不收税，新增收税州IA、MA、WY</t>
    </r>
  </si>
  <si>
    <r>
      <rPr>
        <sz val="11"/>
        <rFont val="Arial"/>
        <charset val="134"/>
      </rPr>
      <t>CA,NY,GA,NC,MD,NJ,IN,WI,MI,KY,CT,UT,HI,NV,WA,MN,PA,AR,TX,NE,DC,RI,WV,ME,SD,VT,CO,SC,OK,AZ,VA,KS,NM,OH,</t>
    </r>
    <r>
      <rPr>
        <sz val="11"/>
        <color rgb="FFFF0000"/>
        <rFont val="Arial"/>
        <charset val="134"/>
      </rPr>
      <t>IA,MA,WY</t>
    </r>
  </si>
  <si>
    <r>
      <rPr>
        <sz val="11"/>
        <color rgb="FFFF0000"/>
        <rFont val="Arial"/>
        <charset val="134"/>
      </rPr>
      <t>Normal</t>
    </r>
    <r>
      <rPr>
        <sz val="11"/>
        <color rgb="FFFF0000"/>
        <rFont val="宋体"/>
        <charset val="134"/>
      </rPr>
      <t>：</t>
    </r>
    <r>
      <rPr>
        <sz val="11"/>
        <color rgb="FFFF0000"/>
        <rFont val="Arial"/>
        <charset val="134"/>
      </rPr>
      <t>2</t>
    </r>
    <r>
      <rPr>
        <sz val="11"/>
        <rFont val="Arial"/>
        <charset val="134"/>
      </rPr>
      <t xml:space="preserve">
Deal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&lt;1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</si>
  <si>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 xml:space="preserve">2
</t>
    </r>
    <r>
      <rPr>
        <sz val="11"/>
        <color rgb="FFFF0000"/>
        <rFont val="Arial"/>
        <charset val="134"/>
      </rPr>
      <t>Deal</t>
    </r>
    <r>
      <rPr>
        <sz val="11"/>
        <color rgb="FFFF0000"/>
        <rFont val="宋体"/>
        <charset val="134"/>
      </rPr>
      <t>：1~2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</si>
  <si>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：2</t>
    </r>
    <r>
      <rPr>
        <sz val="11"/>
        <rFont val="Arial"/>
        <charset val="134"/>
      </rPr>
      <t xml:space="preserve">
</t>
    </r>
    <r>
      <rPr>
        <sz val="11"/>
        <color rgb="FFFF0000"/>
        <rFont val="Arial"/>
        <charset val="134"/>
      </rPr>
      <t>Deal</t>
    </r>
    <r>
      <rPr>
        <sz val="11"/>
        <color rgb="FFFF0000"/>
        <rFont val="宋体"/>
        <charset val="134"/>
      </rPr>
      <t>：</t>
    </r>
    <r>
      <rPr>
        <sz val="11"/>
        <color rgb="FFFF0000"/>
        <rFont val="Arial"/>
        <charset val="134"/>
      </rPr>
      <t>1~2</t>
    </r>
  </si>
  <si>
    <r>
      <rPr>
        <sz val="11"/>
        <color rgb="FFFF0000"/>
        <rFont val="Arial"/>
        <charset val="134"/>
      </rPr>
      <t>2.29</t>
    </r>
    <r>
      <rPr>
        <sz val="11"/>
        <color rgb="FFFF0000"/>
        <rFont val="宋体"/>
        <charset val="134"/>
      </rPr>
      <t>零件涨价一个点</t>
    </r>
    <r>
      <rPr>
        <sz val="11"/>
        <color rgb="FFFF0000"/>
        <rFont val="Arial"/>
        <charset val="134"/>
      </rPr>
      <t xml:space="preserve">
3.13</t>
    </r>
    <r>
      <rPr>
        <sz val="11"/>
        <color rgb="FFFF0000"/>
        <rFont val="宋体"/>
        <charset val="134"/>
      </rPr>
      <t>低价零件再涨价一个点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</si>
  <si>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1
Deal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&lt;1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</si>
  <si>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2
Deal</t>
    </r>
    <r>
      <rPr>
        <sz val="11"/>
        <rFont val="宋体"/>
        <charset val="134"/>
      </rPr>
      <t>：1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</si>
  <si>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：2</t>
    </r>
    <r>
      <rPr>
        <sz val="11"/>
        <rFont val="Arial"/>
        <charset val="134"/>
      </rPr>
      <t xml:space="preserve">
Deal</t>
    </r>
    <r>
      <rPr>
        <sz val="11"/>
        <rFont val="宋体"/>
        <charset val="134"/>
      </rPr>
      <t>：1</t>
    </r>
  </si>
  <si>
    <r>
      <rPr>
        <sz val="11"/>
        <rFont val="Arial"/>
        <charset val="134"/>
      </rPr>
      <t>8/13</t>
    </r>
    <r>
      <rPr>
        <sz val="11"/>
        <rFont val="宋体"/>
        <charset val="134"/>
      </rPr>
      <t>对Dnet&lt;100的零件涨1个点</t>
    </r>
  </si>
  <si>
    <r>
      <rPr>
        <sz val="11"/>
        <color theme="1"/>
        <rFont val="Arial"/>
        <charset val="134"/>
      </rPr>
      <t>8/13</t>
    </r>
    <r>
      <rPr>
        <sz val="11"/>
        <color theme="1"/>
        <rFont val="宋体"/>
        <charset val="134"/>
      </rPr>
      <t>对Dnet&lt;100的零件涨1个点</t>
    </r>
  </si>
  <si>
    <r>
      <rPr>
        <sz val="11"/>
        <color theme="1"/>
        <rFont val="Arial"/>
        <charset val="134"/>
      </rPr>
      <t>Normal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1
Deal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&lt;1</t>
    </r>
  </si>
  <si>
    <r>
      <rPr>
        <sz val="11"/>
        <color theme="1"/>
        <rFont val="Arial"/>
        <charset val="134"/>
      </rPr>
      <t>Normal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2
Deal</t>
    </r>
    <r>
      <rPr>
        <sz val="11"/>
        <color theme="1"/>
        <rFont val="宋体"/>
        <charset val="134"/>
      </rPr>
      <t>：1</t>
    </r>
  </si>
  <si>
    <r>
      <rPr>
        <sz val="11"/>
        <color theme="1"/>
        <rFont val="Arial"/>
        <charset val="134"/>
      </rPr>
      <t>Normal</t>
    </r>
    <r>
      <rPr>
        <sz val="11"/>
        <color theme="1"/>
        <rFont val="宋体"/>
        <charset val="134"/>
      </rPr>
      <t>：2</t>
    </r>
    <r>
      <rPr>
        <sz val="11"/>
        <color theme="1"/>
        <rFont val="Arial"/>
        <charset val="134"/>
      </rPr>
      <t xml:space="preserve">
Deal</t>
    </r>
    <r>
      <rPr>
        <sz val="11"/>
        <color theme="1"/>
        <rFont val="宋体"/>
        <charset val="134"/>
      </rPr>
      <t>：1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</si>
  <si>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color rgb="FFFF0000"/>
        <rFont val="Arial"/>
        <charset val="134"/>
      </rPr>
      <t>2</t>
    </r>
    <r>
      <rPr>
        <sz val="11"/>
        <rFont val="Arial"/>
        <charset val="134"/>
      </rPr>
      <t xml:space="preserve">
Deal</t>
    </r>
    <r>
      <rPr>
        <sz val="11"/>
        <rFont val="宋体"/>
        <charset val="134"/>
      </rPr>
      <t>：1</t>
    </r>
  </si>
  <si>
    <r>
      <rPr>
        <sz val="11"/>
        <color rgb="FFFF0000"/>
        <rFont val="Arial"/>
        <charset val="134"/>
      </rPr>
      <t>8/13</t>
    </r>
    <r>
      <rPr>
        <sz val="11"/>
        <color rgb="FFFF0000"/>
        <rFont val="宋体"/>
        <charset val="134"/>
      </rPr>
      <t>对Dnet&lt;100的零件涨1个点</t>
    </r>
  </si>
  <si>
    <t>11/19Acc降0.05</t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</si>
  <si>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&lt;1
Deal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&lt;1</t>
    </r>
  </si>
  <si>
    <t>Normal：1
Deal：1</t>
  </si>
  <si>
    <t>Normal：1
Deal：2</t>
  </si>
  <si>
    <t>Normal：6
Deal：2</t>
  </si>
  <si>
    <t>Normal：5
Deal：2</t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</si>
  <si>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1
Deal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1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</si>
  <si>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2
Deal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2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</si>
  <si>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 xml:space="preserve">1
</t>
    </r>
    <r>
      <rPr>
        <sz val="11"/>
        <color rgb="FF92D050"/>
        <rFont val="Arial"/>
        <charset val="134"/>
      </rPr>
      <t>Deal</t>
    </r>
    <r>
      <rPr>
        <sz val="11"/>
        <color rgb="FF92D050"/>
        <rFont val="宋体"/>
        <charset val="134"/>
      </rPr>
      <t>：</t>
    </r>
    <r>
      <rPr>
        <sz val="11"/>
        <color rgb="FF92D050"/>
        <rFont val="Arial"/>
        <charset val="134"/>
      </rPr>
      <t>1</t>
    </r>
  </si>
  <si>
    <r>
      <rPr>
        <sz val="11"/>
        <color rgb="FFFF0000"/>
        <rFont val="Arial"/>
        <charset val="134"/>
      </rPr>
      <t>Normal</t>
    </r>
    <r>
      <rPr>
        <sz val="11"/>
        <color rgb="FFFF0000"/>
        <rFont val="宋体"/>
        <charset val="134"/>
      </rPr>
      <t>：</t>
    </r>
    <r>
      <rPr>
        <sz val="11"/>
        <color rgb="FFFF0000"/>
        <rFont val="Arial"/>
        <charset val="134"/>
      </rPr>
      <t>2</t>
    </r>
    <r>
      <rPr>
        <sz val="11"/>
        <rFont val="Arial"/>
        <charset val="134"/>
      </rPr>
      <t xml:space="preserve">
</t>
    </r>
    <r>
      <rPr>
        <sz val="11"/>
        <color rgb="FF92D050"/>
        <rFont val="Arial"/>
        <charset val="134"/>
      </rPr>
      <t>Deal</t>
    </r>
    <r>
      <rPr>
        <sz val="11"/>
        <color rgb="FF92D050"/>
        <rFont val="宋体"/>
        <charset val="134"/>
      </rPr>
      <t>：</t>
    </r>
    <r>
      <rPr>
        <sz val="11"/>
        <color rgb="FF92D050"/>
        <rFont val="Arial"/>
        <charset val="134"/>
      </rPr>
      <t>2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</si>
  <si>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 xml:space="preserve">2
</t>
    </r>
    <r>
      <rPr>
        <sz val="11"/>
        <color rgb="FF92D050"/>
        <rFont val="Arial"/>
        <charset val="134"/>
      </rPr>
      <t>Deal</t>
    </r>
    <r>
      <rPr>
        <sz val="11"/>
        <color rgb="FF92D050"/>
        <rFont val="宋体"/>
        <charset val="134"/>
      </rPr>
      <t>：</t>
    </r>
    <r>
      <rPr>
        <sz val="11"/>
        <color rgb="FF92D050"/>
        <rFont val="Arial"/>
        <charset val="134"/>
      </rPr>
      <t>2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</si>
  <si>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1
Deal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2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</si>
  <si>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1
Deal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3</t>
    </r>
  </si>
  <si>
    <r>
      <rPr>
        <sz val="11"/>
        <rFont val="Arial"/>
        <charset val="134"/>
      </rPr>
      <t>Normal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2
Deal</t>
    </r>
    <r>
      <rPr>
        <sz val="11"/>
        <rFont val="宋体"/>
        <charset val="134"/>
      </rPr>
      <t>：</t>
    </r>
    <r>
      <rPr>
        <sz val="11"/>
        <rFont val="Arial"/>
        <charset val="134"/>
      </rPr>
      <t>3</t>
    </r>
  </si>
  <si>
    <t>free shipping over $75</t>
  </si>
  <si>
    <t>07.14零件统一涨价到1.367</t>
  </si>
  <si>
    <t>02.05零件统一定价1.33</t>
  </si>
  <si>
    <t>运费没变</t>
  </si>
  <si>
    <t>零件价格没变</t>
  </si>
  <si>
    <r>
      <rPr>
        <sz val="11"/>
        <rFont val="Arial"/>
        <charset val="134"/>
      </rPr>
      <t>01/19</t>
    </r>
    <r>
      <rPr>
        <sz val="11"/>
        <rFont val="宋体"/>
        <charset val="134"/>
      </rPr>
      <t>零件降</t>
    </r>
    <r>
      <rPr>
        <sz val="11"/>
        <rFont val="Arial"/>
        <charset val="134"/>
      </rPr>
      <t>1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</si>
  <si>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>01/19</t>
    </r>
    <r>
      <rPr>
        <sz val="11"/>
        <color theme="1"/>
        <rFont val="宋体"/>
        <charset val="134"/>
      </rPr>
      <t>零件降</t>
    </r>
    <r>
      <rPr>
        <sz val="11"/>
        <color theme="1"/>
        <rFont val="Arial"/>
        <charset val="134"/>
      </rPr>
      <t>1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</si>
  <si>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>01/19</t>
    </r>
    <r>
      <rPr>
        <sz val="11"/>
        <color rgb="FFFF0000"/>
        <rFont val="宋体"/>
        <charset val="134"/>
      </rPr>
      <t>零件降</t>
    </r>
    <r>
      <rPr>
        <sz val="11"/>
        <color rgb="FFFF0000"/>
        <rFont val="Arial"/>
        <charset val="134"/>
      </rPr>
      <t>1</t>
    </r>
    <r>
      <rPr>
        <sz val="11"/>
        <color rgb="FFFF0000"/>
        <rFont val="宋体"/>
        <charset val="134"/>
      </rPr>
      <t>个点</t>
    </r>
  </si>
  <si>
    <t>05/15零件降2~3个点</t>
  </si>
  <si>
    <r>
      <rPr>
        <sz val="11"/>
        <rFont val="Arial"/>
        <charset val="134"/>
      </rPr>
      <t>04/02</t>
    </r>
    <r>
      <rPr>
        <sz val="11"/>
        <rFont val="宋体"/>
        <charset val="134"/>
      </rPr>
      <t>零件涨价</t>
    </r>
    <r>
      <rPr>
        <sz val="11"/>
        <rFont val="Arial"/>
        <charset val="134"/>
      </rPr>
      <t>3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</si>
  <si>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>04/02</t>
    </r>
    <r>
      <rPr>
        <sz val="11"/>
        <color theme="1"/>
        <rFont val="宋体"/>
        <charset val="134"/>
      </rPr>
      <t>零件涨价</t>
    </r>
    <r>
      <rPr>
        <sz val="11"/>
        <color theme="1"/>
        <rFont val="Arial"/>
        <charset val="134"/>
      </rPr>
      <t>3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</si>
  <si>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>04/02</t>
    </r>
    <r>
      <rPr>
        <sz val="11"/>
        <color rgb="FFFF0000"/>
        <rFont val="宋体"/>
        <charset val="134"/>
      </rPr>
      <t>零件涨价</t>
    </r>
    <r>
      <rPr>
        <sz val="11"/>
        <color rgb="FFFF0000"/>
        <rFont val="Arial"/>
        <charset val="134"/>
      </rPr>
      <t>3</t>
    </r>
    <r>
      <rPr>
        <sz val="11"/>
        <color rgb="FFFF0000"/>
        <rFont val="宋体"/>
        <charset val="134"/>
      </rPr>
      <t>个点</t>
    </r>
  </si>
  <si>
    <t>05/04零件涨2个点</t>
  </si>
  <si>
    <t>www.hondapartworld.com</t>
  </si>
  <si>
    <t>www.hondapartsprime.com</t>
  </si>
  <si>
    <r>
      <rPr>
        <sz val="11"/>
        <rFont val="Arial"/>
        <charset val="134"/>
      </rPr>
      <t>202011</t>
    </r>
    <r>
      <rPr>
        <sz val="11"/>
        <rFont val="宋体"/>
        <charset val="134"/>
      </rPr>
      <t>新增竞争者，价格很低</t>
    </r>
  </si>
  <si>
    <r>
      <rPr>
        <sz val="11"/>
        <color rgb="FFFF0000"/>
        <rFont val="Arial"/>
        <charset val="134"/>
      </rPr>
      <t>202011</t>
    </r>
    <r>
      <rPr>
        <sz val="11"/>
        <color rgb="FFFF0000"/>
        <rFont val="宋体"/>
        <charset val="134"/>
      </rPr>
      <t>新增竞争者，价格很低</t>
    </r>
  </si>
  <si>
    <t>06.09 零件涨价4-7个点</t>
  </si>
  <si>
    <t>01.13零件大幅降价5个点以上</t>
  </si>
  <si>
    <t>7/16 75~300档零件降价2~3个点</t>
  </si>
  <si>
    <t>十月运费高价区降了点</t>
  </si>
  <si>
    <t>CA,NY,GA,NC,MD,NJ,IN,WI,MI,KY</t>
  </si>
  <si>
    <t>7/16 Middle档零件降价2~3个点</t>
  </si>
  <si>
    <t>05/07整体零件降价2~4个点</t>
  </si>
  <si>
    <t>CA,NY,GA,NC,IL,MD,NJ,MN,IN,WI,MI,KY</t>
  </si>
  <si>
    <t>04/09整体零件降价4个点</t>
  </si>
  <si>
    <t>12/07 中段价格下降5个点</t>
  </si>
  <si>
    <t>十月Markup下降0.08，低价区排名有所上升</t>
  </si>
  <si>
    <t>Normal:3
Deal:1</t>
  </si>
  <si>
    <t>Normal:2
Deal:&lt;1</t>
  </si>
  <si>
    <r>
      <rPr>
        <sz val="11"/>
        <color rgb="FFFF0000"/>
        <rFont val="Arial"/>
        <charset val="134"/>
      </rPr>
      <t>Normal:2</t>
    </r>
    <r>
      <rPr>
        <sz val="11"/>
        <rFont val="Arial"/>
        <charset val="134"/>
      </rPr>
      <t xml:space="preserve">
</t>
    </r>
    <r>
      <rPr>
        <sz val="11"/>
        <color rgb="FFFF0000"/>
        <rFont val="Arial"/>
        <charset val="134"/>
      </rPr>
      <t>Deal:1</t>
    </r>
  </si>
  <si>
    <r>
      <rPr>
        <sz val="11"/>
        <color rgb="FFFF0000"/>
        <rFont val="Arial"/>
        <charset val="134"/>
      </rPr>
      <t>Normal:3</t>
    </r>
    <r>
      <rPr>
        <sz val="11"/>
        <rFont val="Arial"/>
        <charset val="134"/>
      </rPr>
      <t xml:space="preserve">
Deal:1</t>
    </r>
  </si>
  <si>
    <r>
      <rPr>
        <sz val="11"/>
        <color rgb="FFFF0000"/>
        <rFont val="Arial"/>
        <charset val="134"/>
      </rPr>
      <t>Normal:2</t>
    </r>
    <r>
      <rPr>
        <sz val="11"/>
        <rFont val="Arial"/>
        <charset val="134"/>
      </rPr>
      <t xml:space="preserve">
Deal:&lt;1</t>
    </r>
  </si>
  <si>
    <t>Normal:3
Deal:2</t>
  </si>
  <si>
    <t>Normal:1
Deal:&lt;1</t>
  </si>
  <si>
    <t>10.22低中档零件涨价0.5~0.7个点</t>
  </si>
  <si>
    <t>6.22零件价格调整，MSRP&lt;500的普通零件涨价0.3个点，MSRP&gt;500的dealparts涨价4个点</t>
  </si>
  <si>
    <r>
      <rPr>
        <sz val="11"/>
        <rFont val="Arial"/>
        <charset val="134"/>
      </rPr>
      <t>CA,NY,GA,NC,MD,NJ,IN,WI,MI,KY,CT,UT,HI,NV,WA,MN,PA,AR,TX,NE,DC,RI,WV,ME,SD,VT,CO,SC,OK,AZ,VA,KS,NM,OH,IA,MA,WY,</t>
    </r>
    <r>
      <rPr>
        <sz val="11"/>
        <color rgb="FFFF0000"/>
        <rFont val="Arial"/>
        <charset val="134"/>
      </rPr>
      <t>TN</t>
    </r>
  </si>
  <si>
    <t>Normal:3
Deal:1~2</t>
  </si>
  <si>
    <r>
      <rPr>
        <sz val="11"/>
        <rFont val="Arial"/>
        <charset val="134"/>
      </rPr>
      <t>6.22</t>
    </r>
    <r>
      <rPr>
        <sz val="11"/>
        <rFont val="宋体"/>
        <charset val="134"/>
      </rPr>
      <t>收税州调整，收税州增加到</t>
    </r>
    <r>
      <rPr>
        <sz val="11"/>
        <rFont val="Arial"/>
        <charset val="134"/>
      </rPr>
      <t>37</t>
    </r>
    <r>
      <rPr>
        <sz val="11"/>
        <rFont val="宋体"/>
        <charset val="134"/>
      </rPr>
      <t>个</t>
    </r>
  </si>
  <si>
    <t>Normal:3
Deal:2~3</t>
  </si>
  <si>
    <t>Normal:2
Deal:1~2</t>
  </si>
  <si>
    <t>Normal:2
Deal:2~3</t>
  </si>
  <si>
    <t>Normal:4
Deal:3~4</t>
  </si>
  <si>
    <r>
      <rPr>
        <sz val="11"/>
        <color rgb="FFFF0000"/>
        <rFont val="Arial"/>
        <charset val="134"/>
      </rPr>
      <t>6.22</t>
    </r>
    <r>
      <rPr>
        <sz val="11"/>
        <color rgb="FFFF0000"/>
        <rFont val="宋体"/>
        <charset val="134"/>
      </rPr>
      <t>收税州调整，收税州增加到</t>
    </r>
    <r>
      <rPr>
        <sz val="11"/>
        <color rgb="FFFF0000"/>
        <rFont val="Arial"/>
        <charset val="134"/>
      </rPr>
      <t>37</t>
    </r>
    <r>
      <rPr>
        <sz val="11"/>
        <color rgb="FFFF0000"/>
        <rFont val="宋体"/>
        <charset val="134"/>
      </rPr>
      <t>个</t>
    </r>
  </si>
  <si>
    <r>
      <rPr>
        <sz val="11"/>
        <rFont val="Arial"/>
        <charset val="134"/>
      </rPr>
      <t>CA,NY,GA,NC,MD,NJ,IN,WI,MI,</t>
    </r>
    <r>
      <rPr>
        <sz val="11"/>
        <color rgb="FFFF0000"/>
        <rFont val="Arial"/>
        <charset val="134"/>
      </rPr>
      <t>KY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CT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UT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HI,NV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WA,MN,PA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AR</t>
    </r>
    <r>
      <rPr>
        <sz val="11"/>
        <rFont val="Arial"/>
        <charset val="134"/>
      </rPr>
      <t>,TX,</t>
    </r>
    <r>
      <rPr>
        <sz val="11"/>
        <color rgb="FFFF0000"/>
        <rFont val="Arial"/>
        <charset val="134"/>
      </rPr>
      <t>NE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DC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RI,WV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ME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SD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VT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CO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SC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OK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AZ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VA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KS,NM,OH</t>
    </r>
    <r>
      <rPr>
        <sz val="11"/>
        <rFont val="Arial"/>
        <charset val="134"/>
      </rPr>
      <t>,</t>
    </r>
    <r>
      <rPr>
        <sz val="11"/>
        <color rgb="FFFF0000"/>
        <rFont val="Arial"/>
        <charset val="134"/>
      </rPr>
      <t>IA,MA,WY</t>
    </r>
  </si>
  <si>
    <r>
      <rPr>
        <sz val="11"/>
        <rFont val="Arial"/>
        <charset val="134"/>
      </rPr>
      <t>01.01</t>
    </r>
    <r>
      <rPr>
        <sz val="11"/>
        <rFont val="宋体"/>
        <charset val="134"/>
      </rPr>
      <t>换公司到</t>
    </r>
    <r>
      <rPr>
        <sz val="11"/>
        <rFont val="Arial"/>
        <charset val="134"/>
      </rPr>
      <t>CA,</t>
    </r>
    <r>
      <rPr>
        <sz val="11"/>
        <rFont val="宋体"/>
        <charset val="134"/>
      </rPr>
      <t>并新增TX收税州</t>
    </r>
  </si>
  <si>
    <t>NY,GA,NC,MD,NJ,IN,WI,MI,CA,TX</t>
  </si>
  <si>
    <r>
      <rPr>
        <sz val="11"/>
        <color rgb="FFFF0000"/>
        <rFont val="Arial"/>
        <charset val="134"/>
      </rPr>
      <t>Normal:2</t>
    </r>
    <r>
      <rPr>
        <sz val="11"/>
        <rFont val="Arial"/>
        <charset val="134"/>
      </rPr>
      <t xml:space="preserve">
Deal:2~3</t>
    </r>
  </si>
  <si>
    <r>
      <rPr>
        <sz val="11"/>
        <rFont val="Arial"/>
        <charset val="134"/>
      </rPr>
      <t xml:space="preserve">Normal:5
</t>
    </r>
    <r>
      <rPr>
        <sz val="11"/>
        <color rgb="FFFF0000"/>
        <rFont val="Arial"/>
        <charset val="134"/>
      </rPr>
      <t>Deal:2</t>
    </r>
  </si>
  <si>
    <t>Normal:5
Deal:2~3</t>
  </si>
  <si>
    <t>11.6普通零件统一降价1个点，DealParts MSRP&lt;500降价1个点</t>
  </si>
  <si>
    <r>
      <rPr>
        <sz val="11"/>
        <color rgb="FFFF0000"/>
        <rFont val="Arial"/>
        <charset val="134"/>
      </rPr>
      <t>01.01</t>
    </r>
    <r>
      <rPr>
        <sz val="11"/>
        <color rgb="FFFF0000"/>
        <rFont val="宋体"/>
        <charset val="134"/>
      </rPr>
      <t>换公司到</t>
    </r>
    <r>
      <rPr>
        <sz val="11"/>
        <color rgb="FFFF0000"/>
        <rFont val="Arial"/>
        <charset val="134"/>
      </rPr>
      <t>CA,</t>
    </r>
    <r>
      <rPr>
        <sz val="11"/>
        <color rgb="FFFF0000"/>
        <rFont val="宋体"/>
        <charset val="134"/>
      </rPr>
      <t>并新增TX收税州</t>
    </r>
  </si>
  <si>
    <r>
      <rPr>
        <sz val="11"/>
        <rFont val="Arial"/>
        <charset val="134"/>
      </rPr>
      <t>NY,GA,NC,MD,NJ,IN,WI,MI,</t>
    </r>
    <r>
      <rPr>
        <sz val="11"/>
        <color rgb="FFFF0000"/>
        <rFont val="Arial"/>
        <charset val="134"/>
      </rPr>
      <t>CA,TX</t>
    </r>
  </si>
  <si>
    <r>
      <rPr>
        <sz val="11"/>
        <rFont val="Arial"/>
        <charset val="134"/>
      </rPr>
      <t>10.31MPG</t>
    </r>
    <r>
      <rPr>
        <sz val="11"/>
        <rFont val="宋体"/>
        <charset val="134"/>
      </rPr>
      <t>网站换公司，本州由</t>
    </r>
    <r>
      <rPr>
        <sz val="11"/>
        <rFont val="Arial"/>
        <charset val="134"/>
      </rPr>
      <t>CA</t>
    </r>
    <r>
      <rPr>
        <sz val="11"/>
        <rFont val="宋体"/>
        <charset val="134"/>
      </rPr>
      <t>调整为</t>
    </r>
    <r>
      <rPr>
        <sz val="11"/>
        <rFont val="Arial"/>
        <charset val="134"/>
      </rPr>
      <t xml:space="preserve">AZ, </t>
    </r>
    <r>
      <rPr>
        <sz val="11"/>
        <rFont val="宋体"/>
        <charset val="134"/>
      </rPr>
      <t>去掉</t>
    </r>
    <r>
      <rPr>
        <sz val="11"/>
        <rFont val="Arial"/>
        <charset val="134"/>
      </rPr>
      <t>KY</t>
    </r>
    <r>
      <rPr>
        <sz val="11"/>
        <rFont val="宋体"/>
        <charset val="134"/>
      </rPr>
      <t>收税州</t>
    </r>
  </si>
  <si>
    <t>NY,GA,NC,MD,NJ,IN,WI,MI,AZ</t>
  </si>
  <si>
    <t>Normal:4
Deal:1~2</t>
  </si>
  <si>
    <r>
      <rPr>
        <sz val="11"/>
        <color rgb="FFFF0000"/>
        <rFont val="Arial"/>
        <charset val="134"/>
      </rPr>
      <t>10.31MPG</t>
    </r>
    <r>
      <rPr>
        <sz val="11"/>
        <color rgb="FFFF0000"/>
        <rFont val="宋体"/>
        <charset val="134"/>
      </rPr>
      <t>网站换公司，本州由</t>
    </r>
    <r>
      <rPr>
        <sz val="11"/>
        <color rgb="FFFF0000"/>
        <rFont val="Arial"/>
        <charset val="134"/>
      </rPr>
      <t>CA</t>
    </r>
    <r>
      <rPr>
        <sz val="11"/>
        <color rgb="FFFF0000"/>
        <rFont val="宋体"/>
        <charset val="134"/>
      </rPr>
      <t>调整为</t>
    </r>
    <r>
      <rPr>
        <sz val="11"/>
        <color rgb="FFFF0000"/>
        <rFont val="Arial"/>
        <charset val="134"/>
      </rPr>
      <t xml:space="preserve">AZ, </t>
    </r>
    <r>
      <rPr>
        <sz val="11"/>
        <color rgb="FFFF0000"/>
        <rFont val="宋体"/>
        <charset val="134"/>
      </rPr>
      <t>去掉</t>
    </r>
    <r>
      <rPr>
        <sz val="11"/>
        <color rgb="FFFF0000"/>
        <rFont val="Arial"/>
        <charset val="134"/>
      </rPr>
      <t>KY</t>
    </r>
    <r>
      <rPr>
        <sz val="11"/>
        <color rgb="FFFF0000"/>
        <rFont val="宋体"/>
        <charset val="134"/>
      </rPr>
      <t>收税州</t>
    </r>
  </si>
  <si>
    <r>
      <rPr>
        <sz val="11"/>
        <rFont val="Arial"/>
        <charset val="134"/>
      </rPr>
      <t>NY,GA,NC,MD,NJ,IN,WI,MI,</t>
    </r>
    <r>
      <rPr>
        <sz val="11"/>
        <color rgb="FFFF0000"/>
        <rFont val="Arial"/>
        <charset val="134"/>
      </rPr>
      <t>AZ</t>
    </r>
  </si>
  <si>
    <r>
      <rPr>
        <sz val="11"/>
        <rFont val="Arial"/>
        <charset val="134"/>
      </rPr>
      <t xml:space="preserve">Normal:3
</t>
    </r>
    <r>
      <rPr>
        <sz val="11"/>
        <color rgb="FFFF0000"/>
        <rFont val="Arial"/>
        <charset val="134"/>
      </rPr>
      <t>Deal:2~3</t>
    </r>
  </si>
  <si>
    <r>
      <rPr>
        <sz val="11"/>
        <color rgb="FFFF0000"/>
        <rFont val="Arial"/>
        <charset val="134"/>
      </rPr>
      <t>Normal:4</t>
    </r>
    <r>
      <rPr>
        <sz val="11"/>
        <rFont val="Arial"/>
        <charset val="134"/>
      </rPr>
      <t xml:space="preserve">
</t>
    </r>
    <r>
      <rPr>
        <sz val="11"/>
        <color rgb="FFFF0000"/>
        <rFont val="Arial"/>
        <charset val="134"/>
      </rPr>
      <t>Deal:1~2</t>
    </r>
  </si>
  <si>
    <t>8.09 MSRP&lt;500且Dnet&lt;50涨0.5个点</t>
  </si>
  <si>
    <r>
      <rPr>
        <sz val="11"/>
        <color theme="1"/>
        <rFont val="Arial"/>
        <charset val="134"/>
      </rPr>
      <t>1/30</t>
    </r>
    <r>
      <rPr>
        <sz val="11"/>
        <color theme="1"/>
        <rFont val="宋体"/>
        <charset val="134"/>
      </rPr>
      <t>运费下调</t>
    </r>
  </si>
  <si>
    <r>
      <rPr>
        <sz val="11"/>
        <color rgb="FFFF0000"/>
        <rFont val="Arial"/>
        <charset val="134"/>
      </rPr>
      <t>Normal:2</t>
    </r>
    <r>
      <rPr>
        <sz val="11"/>
        <color theme="1"/>
        <rFont val="Arial"/>
        <charset val="134"/>
      </rPr>
      <t xml:space="preserve">
</t>
    </r>
    <r>
      <rPr>
        <sz val="11"/>
        <color rgb="FFFF0000"/>
        <rFont val="Arial"/>
        <charset val="134"/>
      </rPr>
      <t>Deal:1~2</t>
    </r>
  </si>
  <si>
    <r>
      <rPr>
        <sz val="11"/>
        <color rgb="FFFF0000"/>
        <rFont val="Arial"/>
        <charset val="134"/>
      </rPr>
      <t>Normal:3</t>
    </r>
    <r>
      <rPr>
        <sz val="11"/>
        <color theme="1"/>
        <rFont val="Arial"/>
        <charset val="134"/>
      </rPr>
      <t xml:space="preserve">
Deal:1~2</t>
    </r>
  </si>
  <si>
    <r>
      <rPr>
        <sz val="11"/>
        <color rgb="FFFF0000"/>
        <rFont val="Arial"/>
        <charset val="134"/>
      </rPr>
      <t>Normal:3</t>
    </r>
    <r>
      <rPr>
        <sz val="11"/>
        <color theme="1"/>
        <rFont val="Arial"/>
        <charset val="134"/>
      </rPr>
      <t xml:space="preserve">
Deal:1</t>
    </r>
  </si>
  <si>
    <r>
      <rPr>
        <sz val="11"/>
        <rFont val="Arial"/>
        <charset val="134"/>
      </rPr>
      <t>1/30</t>
    </r>
    <r>
      <rPr>
        <sz val="11"/>
        <rFont val="宋体"/>
        <charset val="134"/>
      </rPr>
      <t>运费下调</t>
    </r>
  </si>
  <si>
    <r>
      <rPr>
        <sz val="11"/>
        <rFont val="Arial"/>
        <charset val="134"/>
      </rPr>
      <t>Normal:1
Deal:</t>
    </r>
    <r>
      <rPr>
        <sz val="11"/>
        <color rgb="FFFF0000"/>
        <rFont val="Arial"/>
        <charset val="134"/>
      </rPr>
      <t>&lt;1</t>
    </r>
  </si>
  <si>
    <r>
      <rPr>
        <sz val="11"/>
        <rFont val="Arial"/>
        <charset val="134"/>
      </rPr>
      <t>Normal</t>
    </r>
    <r>
      <rPr>
        <sz val="11"/>
        <color rgb="FFFF0000"/>
        <rFont val="Arial"/>
        <charset val="134"/>
      </rPr>
      <t>:4</t>
    </r>
    <r>
      <rPr>
        <sz val="11"/>
        <rFont val="Arial"/>
        <charset val="134"/>
      </rPr>
      <t xml:space="preserve">
Deal:1</t>
    </r>
  </si>
  <si>
    <t>11/16零件不变
11/19Acc降0.05</t>
  </si>
  <si>
    <r>
      <rPr>
        <sz val="11"/>
        <rFont val="Arial"/>
        <charset val="134"/>
      </rPr>
      <t>Normal:&lt;1
Deal:</t>
    </r>
    <r>
      <rPr>
        <sz val="11"/>
        <color rgb="FFFF0000"/>
        <rFont val="Arial"/>
        <charset val="134"/>
      </rPr>
      <t>&lt;1</t>
    </r>
  </si>
  <si>
    <t>Normal:2
Deal:2</t>
  </si>
  <si>
    <r>
      <rPr>
        <sz val="11"/>
        <rFont val="Arial"/>
        <charset val="134"/>
      </rPr>
      <t>Normal</t>
    </r>
    <r>
      <rPr>
        <sz val="11"/>
        <color rgb="FFFF0000"/>
        <rFont val="Arial"/>
        <charset val="134"/>
      </rPr>
      <t>:</t>
    </r>
    <r>
      <rPr>
        <sz val="11"/>
        <color theme="1"/>
        <rFont val="Arial"/>
        <charset val="134"/>
      </rPr>
      <t>4</t>
    </r>
    <r>
      <rPr>
        <sz val="11"/>
        <rFont val="Arial"/>
        <charset val="134"/>
      </rPr>
      <t xml:space="preserve">
Deal:1</t>
    </r>
  </si>
  <si>
    <r>
      <rPr>
        <sz val="11"/>
        <rFont val="Arial"/>
        <charset val="134"/>
      </rPr>
      <t>Normal</t>
    </r>
    <r>
      <rPr>
        <sz val="11"/>
        <color rgb="FFFF0000"/>
        <rFont val="Arial"/>
        <charset val="134"/>
      </rPr>
      <t>:4</t>
    </r>
    <r>
      <rPr>
        <sz val="11"/>
        <rFont val="Arial"/>
        <charset val="134"/>
      </rPr>
      <t xml:space="preserve">
Deal:&lt;1</t>
    </r>
  </si>
  <si>
    <t>Normal:1
Deal:1</t>
  </si>
  <si>
    <r>
      <rPr>
        <sz val="11"/>
        <color rgb="FFFF0000"/>
        <rFont val="Arial"/>
        <charset val="134"/>
      </rPr>
      <t>1/30</t>
    </r>
    <r>
      <rPr>
        <sz val="11"/>
        <color rgb="FFFF0000"/>
        <rFont val="宋体"/>
        <charset val="134"/>
      </rPr>
      <t>运费下调</t>
    </r>
  </si>
  <si>
    <t>11/16运费对标FactoryChrysler稍微降</t>
  </si>
  <si>
    <r>
      <rPr>
        <sz val="11"/>
        <rFont val="Arial"/>
        <charset val="134"/>
      </rPr>
      <t>Normal:</t>
    </r>
    <r>
      <rPr>
        <sz val="11"/>
        <color rgb="FFFF0000"/>
        <rFont val="Arial"/>
        <charset val="134"/>
      </rPr>
      <t>2</t>
    </r>
    <r>
      <rPr>
        <sz val="11"/>
        <rFont val="Arial"/>
        <charset val="134"/>
      </rPr>
      <t xml:space="preserve">
Deal:2</t>
    </r>
  </si>
  <si>
    <r>
      <rPr>
        <sz val="11"/>
        <color rgb="FF92D050"/>
        <rFont val="Arial"/>
        <charset val="134"/>
      </rPr>
      <t>Normal:1</t>
    </r>
    <r>
      <rPr>
        <sz val="11"/>
        <rFont val="Arial"/>
        <charset val="134"/>
      </rPr>
      <t xml:space="preserve">
Deal:1</t>
    </r>
  </si>
  <si>
    <r>
      <rPr>
        <sz val="11"/>
        <color rgb="FFFF0000"/>
        <rFont val="Arial"/>
        <charset val="134"/>
      </rPr>
      <t>Normal:2</t>
    </r>
    <r>
      <rPr>
        <sz val="11"/>
        <rFont val="Arial"/>
        <charset val="134"/>
      </rPr>
      <t xml:space="preserve">
Deal:1</t>
    </r>
  </si>
  <si>
    <r>
      <rPr>
        <sz val="11"/>
        <color rgb="FF92D050"/>
        <rFont val="Arial"/>
        <charset val="134"/>
      </rPr>
      <t>Normal:2</t>
    </r>
    <r>
      <rPr>
        <sz val="11"/>
        <rFont val="Arial"/>
        <charset val="134"/>
      </rPr>
      <t xml:space="preserve">
Deal:&lt;1</t>
    </r>
  </si>
  <si>
    <t>Normal:3
Deal:&lt;1</t>
  </si>
  <si>
    <r>
      <rPr>
        <sz val="11"/>
        <color rgb="FFFF0000"/>
        <rFont val="Arial"/>
        <charset val="134"/>
      </rPr>
      <t>10.04</t>
    </r>
    <r>
      <rPr>
        <sz val="11"/>
        <color rgb="FFFF0000"/>
        <rFont val="宋体"/>
        <charset val="134"/>
      </rPr>
      <t>零件涨价</t>
    </r>
    <r>
      <rPr>
        <sz val="11"/>
        <color rgb="FFFF0000"/>
        <rFont val="Arial"/>
        <charset val="134"/>
      </rPr>
      <t>2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</si>
  <si>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5.6</t>
    </r>
    <r>
      <rPr>
        <sz val="11"/>
        <rFont val="宋体"/>
        <charset val="134"/>
      </rPr>
      <t>零件涨价</t>
    </r>
    <r>
      <rPr>
        <sz val="11"/>
        <rFont val="Arial"/>
        <charset val="134"/>
      </rPr>
      <t>1~5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</si>
  <si>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5.6</t>
    </r>
    <r>
      <rPr>
        <sz val="11"/>
        <color rgb="FFFF0000"/>
        <rFont val="宋体"/>
        <charset val="134"/>
      </rPr>
      <t>零件涨价</t>
    </r>
    <r>
      <rPr>
        <sz val="11"/>
        <color rgb="FFFF0000"/>
        <rFont val="Arial"/>
        <charset val="134"/>
      </rPr>
      <t>1~5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</si>
  <si>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10.08</t>
    </r>
    <r>
      <rPr>
        <sz val="11"/>
        <rFont val="宋体"/>
        <charset val="134"/>
      </rPr>
      <t>零件降价，统一Markup=1.14</t>
    </r>
  </si>
  <si>
    <t>09/04零件降1~3个点</t>
  </si>
  <si>
    <r>
      <rPr>
        <sz val="11"/>
        <rFont val="宋体"/>
        <charset val="134"/>
      </rPr>
      <t>低价区提升</t>
    </r>
    <r>
      <rPr>
        <sz val="11"/>
        <rFont val="Arial"/>
        <charset val="134"/>
      </rPr>
      <t>3</t>
    </r>
    <r>
      <rPr>
        <sz val="11"/>
        <rFont val="宋体"/>
        <charset val="134"/>
      </rPr>
      <t>个点，高价区下降</t>
    </r>
    <r>
      <rPr>
        <sz val="11"/>
        <rFont val="Arial"/>
        <charset val="134"/>
      </rPr>
      <t>2</t>
    </r>
    <r>
      <rPr>
        <sz val="11"/>
        <rFont val="宋体"/>
        <charset val="134"/>
      </rPr>
      <t>个点</t>
    </r>
  </si>
  <si>
    <t>www.moparestore.com</t>
  </si>
  <si>
    <r>
      <rPr>
        <sz val="11"/>
        <rFont val="Arial"/>
        <charset val="134"/>
      </rPr>
      <t>9.1 MSRP&lt;500</t>
    </r>
    <r>
      <rPr>
        <sz val="11"/>
        <rFont val="宋体"/>
        <charset val="134"/>
      </rPr>
      <t>的零件涨价</t>
    </r>
    <r>
      <rPr>
        <sz val="11"/>
        <rFont val="Arial"/>
        <charset val="134"/>
      </rPr>
      <t>1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</si>
  <si>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9.1 MSRP&lt;500</t>
    </r>
    <r>
      <rPr>
        <sz val="11"/>
        <color rgb="FFFF0000"/>
        <rFont val="宋体"/>
        <charset val="134"/>
      </rPr>
      <t>的零件涨价</t>
    </r>
    <r>
      <rPr>
        <sz val="11"/>
        <color rgb="FFFF0000"/>
        <rFont val="Arial"/>
        <charset val="134"/>
      </rPr>
      <t>1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</si>
  <si>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4.1</t>
    </r>
    <r>
      <rPr>
        <sz val="11"/>
        <rFont val="宋体"/>
        <charset val="134"/>
      </rPr>
      <t>零件降价</t>
    </r>
    <r>
      <rPr>
        <sz val="11"/>
        <rFont val="Arial"/>
        <charset val="134"/>
      </rPr>
      <t>1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</si>
  <si>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4.1</t>
    </r>
    <r>
      <rPr>
        <sz val="11"/>
        <color rgb="FFFF0000"/>
        <rFont val="宋体"/>
        <charset val="134"/>
      </rPr>
      <t>零件降价</t>
    </r>
    <r>
      <rPr>
        <sz val="11"/>
        <color rgb="FFFF0000"/>
        <rFont val="Arial"/>
        <charset val="134"/>
      </rPr>
      <t>1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</si>
  <si>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01/19 </t>
    </r>
    <r>
      <rPr>
        <sz val="11"/>
        <rFont val="宋体"/>
        <charset val="134"/>
      </rPr>
      <t>零件整体降价</t>
    </r>
    <r>
      <rPr>
        <sz val="11"/>
        <rFont val="Arial"/>
        <charset val="134"/>
      </rPr>
      <t>2~3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</si>
  <si>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 xml:space="preserve">01/19 </t>
    </r>
    <r>
      <rPr>
        <sz val="11"/>
        <color theme="1"/>
        <rFont val="宋体"/>
        <charset val="134"/>
      </rPr>
      <t>零件整体降价</t>
    </r>
    <r>
      <rPr>
        <sz val="11"/>
        <color theme="1"/>
        <rFont val="Arial"/>
        <charset val="134"/>
      </rPr>
      <t>2~3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</si>
  <si>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 xml:space="preserve">01/19 </t>
    </r>
    <r>
      <rPr>
        <sz val="11"/>
        <color rgb="FFFF0000"/>
        <rFont val="宋体"/>
        <charset val="134"/>
      </rPr>
      <t>零件整体降价</t>
    </r>
    <r>
      <rPr>
        <sz val="11"/>
        <color rgb="FFFF0000"/>
        <rFont val="Arial"/>
        <charset val="134"/>
      </rPr>
      <t>2~3</t>
    </r>
    <r>
      <rPr>
        <sz val="11"/>
        <color rgb="FFFF0000"/>
        <rFont val="宋体"/>
        <charset val="134"/>
      </rPr>
      <t>个点</t>
    </r>
  </si>
  <si>
    <t>www.buymoparpartsnow.com</t>
  </si>
  <si>
    <r>
      <rPr>
        <sz val="11"/>
        <color rgb="FFFF0000"/>
        <rFont val="Arial"/>
        <charset val="134"/>
      </rPr>
      <t>2021.02.09</t>
    </r>
    <r>
      <rPr>
        <sz val="11"/>
        <color rgb="FFFF0000"/>
        <rFont val="宋体"/>
        <charset val="134"/>
      </rPr>
      <t>周降价</t>
    </r>
  </si>
  <si>
    <r>
      <rPr>
        <sz val="11"/>
        <rFont val="Arial"/>
        <charset val="134"/>
      </rPr>
      <t>9.8</t>
    </r>
    <r>
      <rPr>
        <sz val="11"/>
        <rFont val="宋体"/>
        <charset val="134"/>
      </rPr>
      <t>零件大幅涨价</t>
    </r>
  </si>
  <si>
    <r>
      <rPr>
        <sz val="11"/>
        <color rgb="FFFF0000"/>
        <rFont val="Arial"/>
        <charset val="134"/>
      </rPr>
      <t>9.8</t>
    </r>
    <r>
      <rPr>
        <sz val="11"/>
        <color rgb="FFFF0000"/>
        <rFont val="宋体"/>
        <charset val="134"/>
      </rPr>
      <t>零件大幅涨价</t>
    </r>
  </si>
  <si>
    <r>
      <rPr>
        <sz val="11"/>
        <rFont val="Arial"/>
        <charset val="134"/>
      </rPr>
      <t>10</t>
    </r>
    <r>
      <rPr>
        <sz val="11"/>
        <rFont val="宋体"/>
        <charset val="134"/>
      </rPr>
      <t>月新增网站</t>
    </r>
  </si>
  <si>
    <r>
      <rPr>
        <sz val="11"/>
        <color rgb="FFFF0000"/>
        <rFont val="Arial"/>
        <charset val="134"/>
      </rPr>
      <t>10</t>
    </r>
    <r>
      <rPr>
        <sz val="11"/>
        <color rgb="FFFF0000"/>
        <rFont val="宋体"/>
        <charset val="134"/>
      </rPr>
      <t>月新增网站</t>
    </r>
  </si>
  <si>
    <r>
      <rPr>
        <sz val="11"/>
        <rFont val="Arial"/>
        <charset val="134"/>
      </rPr>
      <t>3</t>
    </r>
    <r>
      <rPr>
        <sz val="11"/>
        <rFont val="宋体"/>
        <charset val="134"/>
      </rPr>
      <t>月新增网站</t>
    </r>
  </si>
  <si>
    <r>
      <rPr>
        <sz val="11"/>
        <color rgb="FFFF0000"/>
        <rFont val="Arial"/>
        <charset val="134"/>
      </rPr>
      <t>3</t>
    </r>
    <r>
      <rPr>
        <sz val="11"/>
        <color rgb="FFFF0000"/>
        <rFont val="宋体"/>
        <charset val="134"/>
      </rPr>
      <t>月新增网站</t>
    </r>
  </si>
  <si>
    <t>www.moparpartsprime.com</t>
  </si>
  <si>
    <r>
      <rPr>
        <sz val="11"/>
        <color theme="1"/>
        <rFont val="Arial"/>
        <charset val="134"/>
      </rPr>
      <t>NY,GA,NC,MD,NJ,IN,WI,MI,KY,MN,CT,</t>
    </r>
    <r>
      <rPr>
        <sz val="11"/>
        <color theme="1"/>
        <rFont val="宋体"/>
        <charset val="134"/>
      </rPr>
      <t>TX,AZ,NV,OH,UT,VA,TN</t>
    </r>
  </si>
  <si>
    <t>Normail:4
Deal:1~2</t>
  </si>
  <si>
    <t>Normail:5
Deal:1~2</t>
  </si>
  <si>
    <t>Normail:4
Deal:&lt;1</t>
  </si>
  <si>
    <t>Normail:3
Deal:&lt;1</t>
  </si>
  <si>
    <r>
      <rPr>
        <sz val="11"/>
        <color rgb="FFFF0000"/>
        <rFont val="Arial"/>
        <charset val="134"/>
      </rPr>
      <t>Normail:3</t>
    </r>
    <r>
      <rPr>
        <sz val="11"/>
        <rFont val="Arial"/>
        <charset val="134"/>
      </rPr>
      <t xml:space="preserve">
Deal:&lt;1</t>
    </r>
  </si>
  <si>
    <t>Normail:2
Deal:&lt;1</t>
  </si>
  <si>
    <r>
      <rPr>
        <sz val="11"/>
        <rFont val="Arial"/>
        <charset val="134"/>
      </rPr>
      <t>NY,GA,NC,MD,NJ,IN,WI,MI,KY,MN,CT,</t>
    </r>
    <r>
      <rPr>
        <sz val="11"/>
        <rFont val="宋体"/>
        <charset val="134"/>
      </rPr>
      <t>TX,AZ,NV,OH,UT,VA,</t>
    </r>
    <r>
      <rPr>
        <sz val="11"/>
        <color rgb="FFFF0000"/>
        <rFont val="宋体"/>
        <charset val="134"/>
      </rPr>
      <t>TN</t>
    </r>
  </si>
  <si>
    <r>
      <rPr>
        <sz val="11"/>
        <color rgb="FFFF0000"/>
        <rFont val="Arial"/>
        <charset val="134"/>
      </rPr>
      <t>Normail:4</t>
    </r>
    <r>
      <rPr>
        <sz val="11"/>
        <rFont val="Arial"/>
        <charset val="134"/>
      </rPr>
      <t xml:space="preserve">
Deal:1~2</t>
    </r>
  </si>
  <si>
    <r>
      <rPr>
        <sz val="11"/>
        <color rgb="FFFF0000"/>
        <rFont val="Arial"/>
        <charset val="134"/>
      </rPr>
      <t>Normail:5</t>
    </r>
    <r>
      <rPr>
        <sz val="11"/>
        <rFont val="Arial"/>
        <charset val="134"/>
      </rPr>
      <t xml:space="preserve">
Deal:1~2</t>
    </r>
  </si>
  <si>
    <r>
      <rPr>
        <sz val="11"/>
        <color rgb="FFFF0000"/>
        <rFont val="Arial"/>
        <charset val="134"/>
      </rPr>
      <t>Normail:4</t>
    </r>
    <r>
      <rPr>
        <sz val="11"/>
        <rFont val="Arial"/>
        <charset val="134"/>
      </rPr>
      <t xml:space="preserve">
Deal:&lt;1</t>
    </r>
  </si>
  <si>
    <r>
      <rPr>
        <sz val="11"/>
        <rFont val="Arial"/>
        <charset val="134"/>
      </rPr>
      <t>07.01</t>
    </r>
    <r>
      <rPr>
        <sz val="11"/>
        <rFont val="宋体"/>
        <charset val="134"/>
      </rPr>
      <t>换公司到</t>
    </r>
    <r>
      <rPr>
        <sz val="11"/>
        <rFont val="Arial"/>
        <charset val="134"/>
      </rPr>
      <t>AZ</t>
    </r>
    <r>
      <rPr>
        <sz val="11"/>
        <rFont val="宋体"/>
        <charset val="134"/>
      </rPr>
      <t>，并新增收税州NV、OH、UT、VA</t>
    </r>
  </si>
  <si>
    <r>
      <rPr>
        <sz val="11"/>
        <rFont val="Arial"/>
        <charset val="134"/>
      </rPr>
      <t>NY,GA,NC,MD,NJ,IN,WI,MI,KY,MN,CT,</t>
    </r>
    <r>
      <rPr>
        <sz val="11"/>
        <rFont val="宋体"/>
        <charset val="134"/>
      </rPr>
      <t>TX,AZ,NV,OH,UT,VA</t>
    </r>
  </si>
  <si>
    <t>Normail:3
Deal:1~2</t>
  </si>
  <si>
    <t>Normail:2
Deal:1</t>
  </si>
  <si>
    <r>
      <rPr>
        <sz val="11"/>
        <color rgb="FFFF0000"/>
        <rFont val="Arial"/>
        <charset val="134"/>
      </rPr>
      <t>07.01</t>
    </r>
    <r>
      <rPr>
        <sz val="11"/>
        <color rgb="FFFF0000"/>
        <rFont val="宋体"/>
        <charset val="134"/>
      </rPr>
      <t>换公司到</t>
    </r>
    <r>
      <rPr>
        <sz val="11"/>
        <color rgb="FFFF0000"/>
        <rFont val="Arial"/>
        <charset val="134"/>
      </rPr>
      <t>AZ</t>
    </r>
    <r>
      <rPr>
        <sz val="11"/>
        <color rgb="FFFF0000"/>
        <rFont val="宋体"/>
        <charset val="134"/>
      </rPr>
      <t>，并新增收税州NV、OH、UT、VA</t>
    </r>
  </si>
  <si>
    <r>
      <rPr>
        <sz val="11"/>
        <rFont val="Arial"/>
        <charset val="134"/>
      </rPr>
      <t>NY,GA,NC,MD,NJ,IN,WI,MI,KY,MN,CT,</t>
    </r>
    <r>
      <rPr>
        <sz val="11"/>
        <rFont val="宋体"/>
        <charset val="134"/>
      </rPr>
      <t>TX,</t>
    </r>
    <r>
      <rPr>
        <sz val="11"/>
        <color rgb="FFFF0000"/>
        <rFont val="宋体"/>
        <charset val="134"/>
      </rPr>
      <t>AZ,NV,OH,UT,VA</t>
    </r>
  </si>
  <si>
    <r>
      <rPr>
        <sz val="11"/>
        <rFont val="Arial"/>
        <charset val="134"/>
      </rPr>
      <t>01.01</t>
    </r>
    <r>
      <rPr>
        <sz val="11"/>
        <rFont val="宋体"/>
        <charset val="134"/>
      </rPr>
      <t>换公司到</t>
    </r>
    <r>
      <rPr>
        <sz val="11"/>
        <rFont val="Arial"/>
        <charset val="134"/>
      </rPr>
      <t>CA</t>
    </r>
    <r>
      <rPr>
        <sz val="11"/>
        <rFont val="宋体"/>
        <charset val="134"/>
      </rPr>
      <t>，并新增TX收税州</t>
    </r>
  </si>
  <si>
    <r>
      <rPr>
        <sz val="11"/>
        <rFont val="Arial"/>
        <charset val="134"/>
      </rPr>
      <t>NY,GA,NC,MD,NJ,IN,WI,MI,KY,MN,CT,CA</t>
    </r>
    <r>
      <rPr>
        <sz val="11"/>
        <rFont val="宋体"/>
        <charset val="134"/>
      </rPr>
      <t>，TX</t>
    </r>
  </si>
  <si>
    <t>Normail:3
Deal:1</t>
  </si>
  <si>
    <r>
      <rPr>
        <sz val="11"/>
        <rFont val="Arial"/>
        <charset val="134"/>
      </rPr>
      <t>11/19Acc</t>
    </r>
    <r>
      <rPr>
        <sz val="11"/>
        <rFont val="宋体"/>
        <charset val="134"/>
      </rPr>
      <t>降</t>
    </r>
    <r>
      <rPr>
        <sz val="11"/>
        <rFont val="Arial"/>
        <charset val="134"/>
      </rPr>
      <t>0.05</t>
    </r>
  </si>
  <si>
    <r>
      <rPr>
        <sz val="11"/>
        <color rgb="FFFF0000"/>
        <rFont val="Arial"/>
        <charset val="134"/>
      </rPr>
      <t>01.01</t>
    </r>
    <r>
      <rPr>
        <sz val="11"/>
        <color rgb="FFFF0000"/>
        <rFont val="宋体"/>
        <charset val="134"/>
      </rPr>
      <t>换公司到</t>
    </r>
    <r>
      <rPr>
        <sz val="11"/>
        <color rgb="FFFF0000"/>
        <rFont val="Arial"/>
        <charset val="134"/>
      </rPr>
      <t>CA</t>
    </r>
    <r>
      <rPr>
        <sz val="11"/>
        <color rgb="FFFF0000"/>
        <rFont val="宋体"/>
        <charset val="134"/>
      </rPr>
      <t>，并新增TX收税州</t>
    </r>
  </si>
  <si>
    <r>
      <rPr>
        <sz val="11"/>
        <rFont val="Arial"/>
        <charset val="134"/>
      </rPr>
      <t>NY,GA,NC,MD,NJ,IN,WI,MI,KY,MN,CT,</t>
    </r>
    <r>
      <rPr>
        <sz val="11"/>
        <color rgb="FFFF0000"/>
        <rFont val="Arial"/>
        <charset val="134"/>
      </rPr>
      <t>CA</t>
    </r>
    <r>
      <rPr>
        <sz val="11"/>
        <color rgb="FFFF0000"/>
        <rFont val="宋体"/>
        <charset val="134"/>
      </rPr>
      <t>，TX</t>
    </r>
  </si>
  <si>
    <r>
      <rPr>
        <sz val="11"/>
        <rFont val="Arial"/>
        <charset val="134"/>
      </rPr>
      <t>10.31FPG</t>
    </r>
    <r>
      <rPr>
        <sz val="11"/>
        <rFont val="宋体"/>
        <charset val="134"/>
      </rPr>
      <t>网站换公司，本州由</t>
    </r>
    <r>
      <rPr>
        <sz val="11"/>
        <rFont val="Arial"/>
        <charset val="134"/>
      </rPr>
      <t>CA</t>
    </r>
    <r>
      <rPr>
        <sz val="11"/>
        <rFont val="宋体"/>
        <charset val="134"/>
      </rPr>
      <t>调整为</t>
    </r>
    <r>
      <rPr>
        <sz val="11"/>
        <rFont val="Arial"/>
        <charset val="134"/>
      </rPr>
      <t>NV</t>
    </r>
    <r>
      <rPr>
        <sz val="11"/>
        <rFont val="宋体"/>
        <charset val="134"/>
      </rPr>
      <t>，新增</t>
    </r>
    <r>
      <rPr>
        <sz val="11"/>
        <rFont val="Arial"/>
        <charset val="134"/>
      </rPr>
      <t>CT</t>
    </r>
    <r>
      <rPr>
        <sz val="11"/>
        <rFont val="宋体"/>
        <charset val="134"/>
      </rPr>
      <t>收税州</t>
    </r>
  </si>
  <si>
    <t>NY,GA,NC,MD,NJ,IN,WI,MI,KY,MN,CT,NV</t>
  </si>
  <si>
    <r>
      <rPr>
        <sz val="11"/>
        <color rgb="FFFF0000"/>
        <rFont val="Arial"/>
        <charset val="134"/>
      </rPr>
      <t>10.31FPG</t>
    </r>
    <r>
      <rPr>
        <sz val="11"/>
        <color rgb="FFFF0000"/>
        <rFont val="宋体"/>
        <charset val="134"/>
      </rPr>
      <t>网站换公司，本州由</t>
    </r>
    <r>
      <rPr>
        <sz val="11"/>
        <color rgb="FFFF0000"/>
        <rFont val="Arial"/>
        <charset val="134"/>
      </rPr>
      <t>CA</t>
    </r>
    <r>
      <rPr>
        <sz val="11"/>
        <color rgb="FFFF0000"/>
        <rFont val="宋体"/>
        <charset val="134"/>
      </rPr>
      <t>调整为</t>
    </r>
    <r>
      <rPr>
        <sz val="11"/>
        <color rgb="FFFF0000"/>
        <rFont val="Arial"/>
        <charset val="134"/>
      </rPr>
      <t>NV</t>
    </r>
    <r>
      <rPr>
        <sz val="11"/>
        <color rgb="FFFF0000"/>
        <rFont val="宋体"/>
        <charset val="134"/>
      </rPr>
      <t>，新增</t>
    </r>
    <r>
      <rPr>
        <sz val="11"/>
        <color rgb="FFFF0000"/>
        <rFont val="Arial"/>
        <charset val="134"/>
      </rPr>
      <t>CT</t>
    </r>
    <r>
      <rPr>
        <sz val="11"/>
        <color rgb="FFFF0000"/>
        <rFont val="宋体"/>
        <charset val="134"/>
      </rPr>
      <t>收税州</t>
    </r>
  </si>
  <si>
    <r>
      <rPr>
        <sz val="11"/>
        <rFont val="Arial"/>
        <charset val="134"/>
      </rPr>
      <t>NY,GA,NC,MD,NJ,IN,WI,MI,KY,MN</t>
    </r>
    <r>
      <rPr>
        <sz val="11"/>
        <color rgb="FFFF0000"/>
        <rFont val="Arial"/>
        <charset val="134"/>
      </rPr>
      <t>,CT,NV</t>
    </r>
  </si>
  <si>
    <r>
      <rPr>
        <sz val="11"/>
        <color rgb="FFFF0000"/>
        <rFont val="Arial"/>
        <charset val="134"/>
      </rPr>
      <t>Normail:3</t>
    </r>
    <r>
      <rPr>
        <sz val="11"/>
        <rFont val="Arial"/>
        <charset val="134"/>
      </rPr>
      <t xml:space="preserve">
Deal:1~2</t>
    </r>
  </si>
  <si>
    <r>
      <rPr>
        <sz val="11"/>
        <rFont val="Arial"/>
        <charset val="134"/>
      </rPr>
      <t xml:space="preserve">Normail:3
</t>
    </r>
    <r>
      <rPr>
        <sz val="11"/>
        <color rgb="FFFF0000"/>
        <rFont val="Arial"/>
        <charset val="134"/>
      </rPr>
      <t>Deal:&lt;1</t>
    </r>
  </si>
  <si>
    <r>
      <rPr>
        <sz val="11"/>
        <color rgb="FFFF0000"/>
        <rFont val="Arial"/>
        <charset val="134"/>
      </rPr>
      <t>Normail:3</t>
    </r>
    <r>
      <rPr>
        <sz val="11"/>
        <rFont val="Arial"/>
        <charset val="134"/>
      </rPr>
      <t xml:space="preserve">
</t>
    </r>
    <r>
      <rPr>
        <sz val="11"/>
        <color rgb="FFFF0000"/>
        <rFont val="Arial"/>
        <charset val="134"/>
      </rPr>
      <t>Deal:1</t>
    </r>
  </si>
  <si>
    <r>
      <rPr>
        <sz val="11"/>
        <color theme="1"/>
        <rFont val="Arial"/>
        <charset val="134"/>
      </rPr>
      <t>CA,NY,GA,NC,MD,NJ,IN,WI,MI,KY,</t>
    </r>
    <r>
      <rPr>
        <sz val="11"/>
        <color rgb="FFFF0000"/>
        <rFont val="Arial"/>
        <charset val="134"/>
      </rPr>
      <t>MN</t>
    </r>
  </si>
  <si>
    <r>
      <rPr>
        <sz val="11"/>
        <color rgb="FFFF0000"/>
        <rFont val="Arial"/>
        <charset val="134"/>
      </rPr>
      <t>Normail:3</t>
    </r>
    <r>
      <rPr>
        <sz val="11"/>
        <color theme="1"/>
        <rFont val="Arial"/>
        <charset val="134"/>
      </rPr>
      <t xml:space="preserve">
Deal:1~2</t>
    </r>
  </si>
  <si>
    <r>
      <rPr>
        <sz val="11"/>
        <color rgb="FFFF0000"/>
        <rFont val="Arial"/>
        <charset val="134"/>
      </rPr>
      <t>Normail:4</t>
    </r>
    <r>
      <rPr>
        <sz val="11"/>
        <color theme="1"/>
        <rFont val="Arial"/>
        <charset val="134"/>
      </rPr>
      <t xml:space="preserve">
Deal:1~2</t>
    </r>
  </si>
  <si>
    <r>
      <rPr>
        <sz val="11"/>
        <rFont val="Arial"/>
        <charset val="134"/>
      </rPr>
      <t>Normail:2
Deal:</t>
    </r>
    <r>
      <rPr>
        <sz val="11"/>
        <color rgb="FFFF0000"/>
        <rFont val="Arial"/>
        <charset val="134"/>
      </rPr>
      <t>1~2</t>
    </r>
  </si>
  <si>
    <r>
      <rPr>
        <sz val="11"/>
        <rFont val="Arial"/>
        <charset val="134"/>
      </rPr>
      <t>Normail</t>
    </r>
    <r>
      <rPr>
        <sz val="11"/>
        <color rgb="FFFF0000"/>
        <rFont val="Arial"/>
        <charset val="134"/>
      </rPr>
      <t>:</t>
    </r>
    <r>
      <rPr>
        <sz val="11"/>
        <rFont val="Arial"/>
        <charset val="134"/>
      </rPr>
      <t>3
Deal:1~2</t>
    </r>
  </si>
  <si>
    <r>
      <rPr>
        <sz val="11"/>
        <rFont val="Arial"/>
        <charset val="134"/>
      </rPr>
      <t>Normail</t>
    </r>
    <r>
      <rPr>
        <sz val="11"/>
        <color rgb="FFFF0000"/>
        <rFont val="Arial"/>
        <charset val="134"/>
      </rPr>
      <t>:</t>
    </r>
    <r>
      <rPr>
        <sz val="11"/>
        <rFont val="Arial"/>
        <charset val="134"/>
      </rPr>
      <t>3
Deal:</t>
    </r>
    <r>
      <rPr>
        <sz val="11"/>
        <color rgb="FFFF0000"/>
        <rFont val="Arial"/>
        <charset val="134"/>
      </rPr>
      <t>1~2</t>
    </r>
  </si>
  <si>
    <r>
      <rPr>
        <sz val="11"/>
        <rFont val="Arial"/>
        <charset val="134"/>
      </rPr>
      <t>Normail</t>
    </r>
    <r>
      <rPr>
        <sz val="11"/>
        <color rgb="FFFF0000"/>
        <rFont val="Arial"/>
        <charset val="134"/>
      </rPr>
      <t>:3</t>
    </r>
    <r>
      <rPr>
        <sz val="11"/>
        <rFont val="Arial"/>
        <charset val="134"/>
      </rPr>
      <t xml:space="preserve">
Deal:</t>
    </r>
    <r>
      <rPr>
        <sz val="11"/>
        <color rgb="FFFF0000"/>
        <rFont val="Arial"/>
        <charset val="134"/>
      </rPr>
      <t>2</t>
    </r>
  </si>
  <si>
    <r>
      <rPr>
        <sz val="11"/>
        <rFont val="Arial"/>
        <charset val="134"/>
      </rPr>
      <t>Normail</t>
    </r>
    <r>
      <rPr>
        <sz val="11"/>
        <color rgb="FFFF0000"/>
        <rFont val="Arial"/>
        <charset val="134"/>
      </rPr>
      <t>:3</t>
    </r>
    <r>
      <rPr>
        <sz val="11"/>
        <rFont val="Arial"/>
        <charset val="134"/>
      </rPr>
      <t xml:space="preserve">
Deal:</t>
    </r>
    <r>
      <rPr>
        <sz val="11"/>
        <color rgb="FFFF0000"/>
        <rFont val="Arial"/>
        <charset val="134"/>
      </rPr>
      <t>1~2</t>
    </r>
  </si>
  <si>
    <r>
      <rPr>
        <sz val="11"/>
        <rFont val="Arial"/>
        <charset val="134"/>
      </rPr>
      <t>Normail:</t>
    </r>
    <r>
      <rPr>
        <sz val="11"/>
        <color rgb="FFFF0000"/>
        <rFont val="Arial"/>
        <charset val="134"/>
      </rPr>
      <t>2</t>
    </r>
    <r>
      <rPr>
        <sz val="11"/>
        <rFont val="Arial"/>
        <charset val="134"/>
      </rPr>
      <t xml:space="preserve">
Deal:</t>
    </r>
    <r>
      <rPr>
        <sz val="11"/>
        <color rgb="FFFF0000"/>
        <rFont val="Arial"/>
        <charset val="134"/>
      </rPr>
      <t>1~2</t>
    </r>
  </si>
  <si>
    <r>
      <rPr>
        <sz val="11"/>
        <rFont val="Arial"/>
        <charset val="134"/>
      </rPr>
      <t>Normail</t>
    </r>
    <r>
      <rPr>
        <sz val="11"/>
        <color rgb="FFFF0000"/>
        <rFont val="Arial"/>
        <charset val="134"/>
      </rPr>
      <t>:3</t>
    </r>
    <r>
      <rPr>
        <sz val="11"/>
        <rFont val="Arial"/>
        <charset val="134"/>
      </rPr>
      <t xml:space="preserve">
Deal:&lt;1</t>
    </r>
  </si>
  <si>
    <r>
      <rPr>
        <sz val="11"/>
        <rFont val="Arial"/>
        <charset val="134"/>
      </rPr>
      <t>Normail</t>
    </r>
    <r>
      <rPr>
        <sz val="11"/>
        <color rgb="FFFF0000"/>
        <rFont val="Arial"/>
        <charset val="134"/>
      </rPr>
      <t>:4</t>
    </r>
    <r>
      <rPr>
        <sz val="11"/>
        <rFont val="Arial"/>
        <charset val="134"/>
      </rPr>
      <t xml:space="preserve">
Deal:</t>
    </r>
    <r>
      <rPr>
        <sz val="11"/>
        <color rgb="FFFF0000"/>
        <rFont val="Arial"/>
        <charset val="134"/>
      </rPr>
      <t>1~2</t>
    </r>
  </si>
  <si>
    <t>Normail:1
Deal:&lt;1</t>
  </si>
  <si>
    <r>
      <rPr>
        <sz val="11"/>
        <rFont val="Arial"/>
        <charset val="134"/>
      </rPr>
      <t>Normail:</t>
    </r>
    <r>
      <rPr>
        <sz val="11"/>
        <color rgb="FF00B050"/>
        <rFont val="Arial"/>
        <charset val="134"/>
      </rPr>
      <t>3</t>
    </r>
    <r>
      <rPr>
        <sz val="11"/>
        <rFont val="Arial"/>
        <charset val="134"/>
      </rPr>
      <t xml:space="preserve">
Deal:&lt;1</t>
    </r>
  </si>
  <si>
    <r>
      <rPr>
        <sz val="11"/>
        <color rgb="FFFF0000"/>
        <rFont val="Arial"/>
        <charset val="134"/>
      </rPr>
      <t xml:space="preserve">10.04 </t>
    </r>
    <r>
      <rPr>
        <sz val="11"/>
        <color rgb="FFFF0000"/>
        <rFont val="宋体"/>
        <charset val="134"/>
      </rPr>
      <t>低价区零件降价</t>
    </r>
    <r>
      <rPr>
        <sz val="11"/>
        <color rgb="FFFF0000"/>
        <rFont val="Arial"/>
        <charset val="134"/>
      </rPr>
      <t>1~2</t>
    </r>
    <r>
      <rPr>
        <sz val="11"/>
        <color rgb="FFFF0000"/>
        <rFont val="宋体"/>
        <charset val="134"/>
      </rPr>
      <t>个点，高价区零件降价</t>
    </r>
    <r>
      <rPr>
        <sz val="11"/>
        <color rgb="FFFF0000"/>
        <rFont val="Arial"/>
        <charset val="134"/>
      </rPr>
      <t>2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</si>
  <si>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03/16 </t>
    </r>
    <r>
      <rPr>
        <sz val="11"/>
        <rFont val="宋体"/>
        <charset val="134"/>
      </rPr>
      <t>部分零件降价</t>
    </r>
  </si>
  <si>
    <t>03/16 部分零件降价</t>
  </si>
  <si>
    <r>
      <rPr>
        <sz val="11"/>
        <rFont val="Arial"/>
        <charset val="134"/>
      </rPr>
      <t>10.15</t>
    </r>
    <r>
      <rPr>
        <sz val="11"/>
        <rFont val="宋体"/>
        <charset val="134"/>
      </rPr>
      <t>零件统一降价</t>
    </r>
    <r>
      <rPr>
        <sz val="11"/>
        <rFont val="Arial"/>
        <charset val="134"/>
      </rPr>
      <t>4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</si>
  <si>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10.15</t>
    </r>
    <r>
      <rPr>
        <sz val="11"/>
        <color rgb="FFFF0000"/>
        <rFont val="宋体"/>
        <charset val="134"/>
      </rPr>
      <t>零件统一降价</t>
    </r>
    <r>
      <rPr>
        <sz val="11"/>
        <color rgb="FFFF0000"/>
        <rFont val="Arial"/>
        <charset val="134"/>
      </rPr>
      <t>4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</si>
  <si>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4.7</t>
    </r>
    <r>
      <rPr>
        <sz val="11"/>
        <rFont val="宋体"/>
        <charset val="134"/>
      </rPr>
      <t>大幅涨价约</t>
    </r>
    <r>
      <rPr>
        <sz val="11"/>
        <rFont val="Arial"/>
        <charset val="134"/>
      </rPr>
      <t>30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</si>
  <si>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4.7</t>
    </r>
    <r>
      <rPr>
        <sz val="11"/>
        <color rgb="FFFF0000"/>
        <rFont val="宋体"/>
        <charset val="134"/>
      </rPr>
      <t>大幅涨价约</t>
    </r>
    <r>
      <rPr>
        <sz val="11"/>
        <color rgb="FFFF0000"/>
        <rFont val="Arial"/>
        <charset val="134"/>
      </rPr>
      <t>30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</si>
  <si>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10.15 </t>
    </r>
    <r>
      <rPr>
        <sz val="11"/>
        <rFont val="宋体"/>
        <charset val="134"/>
      </rPr>
      <t>Dnet&lt;200零件降价2~10个点</t>
    </r>
  </si>
  <si>
    <r>
      <rPr>
        <sz val="11"/>
        <color rgb="FFFF0000"/>
        <rFont val="Arial"/>
        <charset val="134"/>
      </rPr>
      <t xml:space="preserve">10.15 </t>
    </r>
    <r>
      <rPr>
        <sz val="11"/>
        <color rgb="FFFF0000"/>
        <rFont val="宋体"/>
        <charset val="134"/>
      </rPr>
      <t>Dnet&lt;200零件降价2~10个点</t>
    </r>
  </si>
  <si>
    <r>
      <rPr>
        <sz val="11"/>
        <color rgb="FFFF0000"/>
        <rFont val="Arial"/>
        <charset val="134"/>
      </rPr>
      <t>10.08</t>
    </r>
    <r>
      <rPr>
        <sz val="11"/>
        <color rgb="FFFF0000"/>
        <rFont val="宋体"/>
        <charset val="134"/>
      </rPr>
      <t>低价零件大幅涨价，高价零件降</t>
    </r>
    <r>
      <rPr>
        <sz val="11"/>
        <color rgb="FFFF0000"/>
        <rFont val="Arial"/>
        <charset val="134"/>
      </rPr>
      <t>2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</si>
  <si>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04/09 UltraHigh</t>
    </r>
    <r>
      <rPr>
        <sz val="11"/>
        <rFont val="宋体"/>
        <charset val="134"/>
      </rPr>
      <t>零件调价至</t>
    </r>
    <r>
      <rPr>
        <sz val="11"/>
        <rFont val="Arial"/>
        <charset val="134"/>
      </rPr>
      <t>1.15</t>
    </r>
    <r>
      <rPr>
        <sz val="11"/>
        <rFont val="宋体"/>
        <charset val="134"/>
      </rPr>
      <t>，High零件降价2个点</t>
    </r>
  </si>
  <si>
    <r>
      <rPr>
        <sz val="11"/>
        <rFont val="Arial"/>
        <charset val="134"/>
      </rPr>
      <t>04/09 UltraHigh</t>
    </r>
    <r>
      <rPr>
        <sz val="11"/>
        <rFont val="宋体"/>
        <charset val="134"/>
      </rPr>
      <t>零件调价至</t>
    </r>
    <r>
      <rPr>
        <sz val="11"/>
        <rFont val="Arial"/>
        <charset val="134"/>
      </rPr>
      <t>1.1</t>
    </r>
    <r>
      <rPr>
        <sz val="11"/>
        <rFont val="宋体"/>
        <charset val="134"/>
      </rPr>
      <t>，High零件降价2个点</t>
    </r>
  </si>
  <si>
    <r>
      <rPr>
        <sz val="11"/>
        <color rgb="FFFF0000"/>
        <rFont val="Arial"/>
        <charset val="134"/>
      </rPr>
      <t>04/09 UltraHigh</t>
    </r>
    <r>
      <rPr>
        <sz val="11"/>
        <color rgb="FFFF0000"/>
        <rFont val="宋体"/>
        <charset val="134"/>
      </rPr>
      <t>零件调价至</t>
    </r>
    <r>
      <rPr>
        <sz val="11"/>
        <color rgb="FFFF0000"/>
        <rFont val="Arial"/>
        <charset val="134"/>
      </rPr>
      <t>1.11</t>
    </r>
    <r>
      <rPr>
        <sz val="11"/>
        <color rgb="FFFF0000"/>
        <rFont val="宋体"/>
        <charset val="134"/>
      </rPr>
      <t>，High零件降价2个点</t>
    </r>
  </si>
  <si>
    <r>
      <rPr>
        <sz val="11"/>
        <rFont val="Arial"/>
        <charset val="134"/>
      </rPr>
      <t>02/13 UltraHigh</t>
    </r>
    <r>
      <rPr>
        <sz val="11"/>
        <rFont val="宋体"/>
        <charset val="134"/>
      </rPr>
      <t>零件涨价到</t>
    </r>
    <r>
      <rPr>
        <sz val="11"/>
        <rFont val="Arial"/>
        <charset val="134"/>
      </rPr>
      <t>1.14</t>
    </r>
  </si>
  <si>
    <r>
      <rPr>
        <sz val="11"/>
        <color rgb="FFFF0000"/>
        <rFont val="Arial"/>
        <charset val="134"/>
      </rPr>
      <t>02/13 UltraHigh</t>
    </r>
    <r>
      <rPr>
        <sz val="11"/>
        <color rgb="FFFF0000"/>
        <rFont val="宋体"/>
        <charset val="134"/>
      </rPr>
      <t>零件涨价到</t>
    </r>
    <r>
      <rPr>
        <sz val="11"/>
        <color rgb="FFFF0000"/>
        <rFont val="Arial"/>
        <charset val="134"/>
      </rPr>
      <t>1.14</t>
    </r>
  </si>
  <si>
    <r>
      <rPr>
        <sz val="11"/>
        <color rgb="FFFF0000"/>
        <rFont val="Arial"/>
        <charset val="134"/>
      </rPr>
      <t>01/16 UltraHigh</t>
    </r>
    <r>
      <rPr>
        <sz val="11"/>
        <color rgb="FFFF0000"/>
        <rFont val="宋体"/>
        <charset val="134"/>
      </rPr>
      <t>零件降价到</t>
    </r>
    <r>
      <rPr>
        <sz val="11"/>
        <color rgb="FFFF0000"/>
        <rFont val="Arial"/>
        <charset val="134"/>
      </rPr>
      <t>1.12</t>
    </r>
  </si>
  <si>
    <r>
      <rPr>
        <sz val="11"/>
        <color rgb="FFFF0000"/>
        <rFont val="Arial"/>
        <charset val="134"/>
      </rPr>
      <t>12/18 UltraHigh</t>
    </r>
    <r>
      <rPr>
        <sz val="11"/>
        <color rgb="FFFF0000"/>
        <rFont val="宋体"/>
        <charset val="134"/>
      </rPr>
      <t>零件涨价</t>
    </r>
    <r>
      <rPr>
        <sz val="11"/>
        <color rgb="FFFF0000"/>
        <rFont val="Arial"/>
        <charset val="134"/>
      </rPr>
      <t>34%</t>
    </r>
  </si>
  <si>
    <r>
      <rPr>
        <sz val="11"/>
        <rFont val="Arial"/>
        <charset val="134"/>
      </rPr>
      <t>10.15 0&lt;Dnet&lt;20</t>
    </r>
    <r>
      <rPr>
        <sz val="11"/>
        <rFont val="宋体"/>
        <charset val="134"/>
      </rPr>
      <t>零件上涨</t>
    </r>
    <r>
      <rPr>
        <sz val="11"/>
        <rFont val="Arial"/>
        <charset val="134"/>
      </rPr>
      <t>7</t>
    </r>
    <r>
      <rPr>
        <sz val="11"/>
        <rFont val="宋体"/>
        <charset val="134"/>
      </rPr>
      <t>个点；Dnet&gt;500零件大幅涨价</t>
    </r>
  </si>
  <si>
    <r>
      <rPr>
        <sz val="11"/>
        <color rgb="FFFF0000"/>
        <rFont val="Arial"/>
        <charset val="134"/>
      </rPr>
      <t>10.15 0&lt;Dnet&lt;20</t>
    </r>
    <r>
      <rPr>
        <sz val="11"/>
        <color rgb="FFFF0000"/>
        <rFont val="宋体"/>
        <charset val="134"/>
      </rPr>
      <t>零件上涨</t>
    </r>
    <r>
      <rPr>
        <sz val="11"/>
        <color rgb="FFFF0000"/>
        <rFont val="Arial"/>
        <charset val="134"/>
      </rPr>
      <t>7</t>
    </r>
    <r>
      <rPr>
        <sz val="11"/>
        <color rgb="FFFF0000"/>
        <rFont val="宋体"/>
        <charset val="134"/>
      </rPr>
      <t>个点；Dnet&gt;500零件大幅涨价</t>
    </r>
  </si>
  <si>
    <r>
      <rPr>
        <sz val="11"/>
        <color rgb="FFFF0000"/>
        <rFont val="Arial"/>
        <charset val="134"/>
      </rPr>
      <t>10.08 20&lt;Dnet&lt;50</t>
    </r>
    <r>
      <rPr>
        <sz val="11"/>
        <color rgb="FFFF0000"/>
        <rFont val="宋体"/>
        <charset val="134"/>
      </rPr>
      <t>零件上涨</t>
    </r>
    <r>
      <rPr>
        <sz val="11"/>
        <color rgb="FFFF0000"/>
        <rFont val="Arial"/>
        <charset val="134"/>
      </rPr>
      <t>1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</si>
  <si>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8/06 100&lt;MSRP&lt;200</t>
    </r>
    <r>
      <rPr>
        <sz val="11"/>
        <rFont val="宋体"/>
        <charset val="134"/>
      </rPr>
      <t>部分零件下调</t>
    </r>
    <r>
      <rPr>
        <sz val="11"/>
        <rFont val="Arial"/>
        <charset val="134"/>
      </rPr>
      <t>0.5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</si>
  <si>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8/06 100&lt;MSRP&lt;200</t>
    </r>
    <r>
      <rPr>
        <sz val="11"/>
        <color rgb="FFFF0000"/>
        <rFont val="宋体"/>
        <charset val="134"/>
      </rPr>
      <t>部分零件下调</t>
    </r>
    <r>
      <rPr>
        <sz val="11"/>
        <color rgb="FFFF0000"/>
        <rFont val="Arial"/>
        <charset val="134"/>
      </rPr>
      <t>0.5</t>
    </r>
    <r>
      <rPr>
        <sz val="11"/>
        <color rgb="FFFF0000"/>
        <rFont val="宋体"/>
        <charset val="134"/>
      </rPr>
      <t>个点</t>
    </r>
  </si>
  <si>
    <r>
      <rPr>
        <sz val="11"/>
        <color rgb="FFFF0000"/>
        <rFont val="Arial"/>
        <charset val="134"/>
      </rPr>
      <t xml:space="preserve">7/10 </t>
    </r>
    <r>
      <rPr>
        <sz val="11"/>
        <color rgb="FFFF0000"/>
        <rFont val="宋体"/>
        <charset val="134"/>
      </rPr>
      <t>零件整体下调</t>
    </r>
    <r>
      <rPr>
        <sz val="11"/>
        <color rgb="FFFF0000"/>
        <rFont val="Arial"/>
        <charset val="134"/>
      </rPr>
      <t>5~6</t>
    </r>
    <r>
      <rPr>
        <sz val="11"/>
        <color rgb="FFFF0000"/>
        <rFont val="宋体"/>
        <charset val="134"/>
      </rPr>
      <t>个点</t>
    </r>
  </si>
  <si>
    <r>
      <rPr>
        <sz val="11"/>
        <color theme="1"/>
        <rFont val="Arial"/>
        <charset val="134"/>
      </rPr>
      <t>5.24</t>
    </r>
    <r>
      <rPr>
        <sz val="11"/>
        <color theme="1"/>
        <rFont val="宋体"/>
        <charset val="134"/>
      </rPr>
      <t>价格上调</t>
    </r>
    <r>
      <rPr>
        <sz val="11"/>
        <color theme="1"/>
        <rFont val="Arial"/>
        <charset val="134"/>
      </rPr>
      <t>2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</si>
  <si>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>5.24</t>
    </r>
    <r>
      <rPr>
        <sz val="11"/>
        <color rgb="FFFF0000"/>
        <rFont val="宋体"/>
        <charset val="134"/>
      </rPr>
      <t>价格上调</t>
    </r>
    <r>
      <rPr>
        <sz val="11"/>
        <color rgb="FFFF0000"/>
        <rFont val="Arial"/>
        <charset val="134"/>
      </rPr>
      <t>2</t>
    </r>
    <r>
      <rPr>
        <sz val="11"/>
        <color rgb="FFFF0000"/>
        <rFont val="宋体"/>
        <charset val="134"/>
      </rPr>
      <t>个点</t>
    </r>
  </si>
  <si>
    <t>11/13 MSRP&gt;500零件涨价1个点</t>
  </si>
  <si>
    <t xml:space="preserve"> www.quirkparts.com</t>
  </si>
  <si>
    <r>
      <rPr>
        <sz val="11"/>
        <color rgb="FFFF0000"/>
        <rFont val="Arial"/>
        <charset val="134"/>
      </rPr>
      <t>10.13</t>
    </r>
    <r>
      <rPr>
        <sz val="11"/>
        <color rgb="FFFF0000"/>
        <rFont val="宋体"/>
        <charset val="134"/>
      </rPr>
      <t>零件大幅降价</t>
    </r>
    <r>
      <rPr>
        <sz val="11"/>
        <color rgb="FFFF0000"/>
        <rFont val="Arial"/>
        <charset val="134"/>
      </rPr>
      <t>3-10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</si>
  <si>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Ford</t>
    </r>
    <r>
      <rPr>
        <sz val="11"/>
        <rFont val="宋体"/>
        <charset val="134"/>
      </rPr>
      <t>零件定价由Markup=1.5降价到Markup=1.2</t>
    </r>
  </si>
  <si>
    <r>
      <rPr>
        <sz val="11"/>
        <color rgb="FFFF0000"/>
        <rFont val="Arial"/>
        <charset val="134"/>
      </rPr>
      <t>Ford</t>
    </r>
    <r>
      <rPr>
        <sz val="11"/>
        <color rgb="FFFF0000"/>
        <rFont val="宋体"/>
        <charset val="134"/>
      </rPr>
      <t>零件定价由Markup=1.5降价到Markup=1.2</t>
    </r>
  </si>
  <si>
    <r>
      <rPr>
        <sz val="11"/>
        <rFont val="Arial"/>
        <charset val="134"/>
      </rPr>
      <t>09.11</t>
    </r>
    <r>
      <rPr>
        <sz val="11"/>
        <rFont val="宋体"/>
        <charset val="134"/>
      </rPr>
      <t>新做精细化定价，低价区零件降价</t>
    </r>
    <r>
      <rPr>
        <sz val="11"/>
        <rFont val="Arial"/>
        <charset val="134"/>
      </rPr>
      <t>0.5~1</t>
    </r>
    <r>
      <rPr>
        <sz val="11"/>
        <rFont val="宋体"/>
        <charset val="134"/>
      </rPr>
      <t>个点，高价区零件涨价</t>
    </r>
    <r>
      <rPr>
        <sz val="11"/>
        <rFont val="Arial"/>
        <charset val="134"/>
      </rPr>
      <t>0.25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</si>
  <si>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09.11</t>
    </r>
    <r>
      <rPr>
        <sz val="11"/>
        <color rgb="FFFF0000"/>
        <rFont val="宋体"/>
        <charset val="134"/>
      </rPr>
      <t>新做精细化定价，低价区零件降价</t>
    </r>
    <r>
      <rPr>
        <sz val="11"/>
        <color rgb="FFFF0000"/>
        <rFont val="Arial"/>
        <charset val="134"/>
      </rPr>
      <t>0.5~1</t>
    </r>
    <r>
      <rPr>
        <sz val="11"/>
        <color rgb="FFFF0000"/>
        <rFont val="宋体"/>
        <charset val="134"/>
      </rPr>
      <t>个点，高价区零件涨价</t>
    </r>
    <r>
      <rPr>
        <sz val="11"/>
        <color rgb="FFFF0000"/>
        <rFont val="Arial"/>
        <charset val="134"/>
      </rPr>
      <t>0.25</t>
    </r>
    <r>
      <rPr>
        <sz val="11"/>
        <color rgb="FFFF0000"/>
        <rFont val="宋体"/>
        <charset val="134"/>
      </rPr>
      <t>个点</t>
    </r>
  </si>
  <si>
    <t>Trademotion，官网</t>
  </si>
  <si>
    <r>
      <rPr>
        <sz val="11"/>
        <color theme="1"/>
        <rFont val="Arial"/>
        <charset val="134"/>
      </rPr>
      <t>NY,GA,NC,MD,NJ,IN,WI,MI,CA,TX,'MN','KY','CT','UT','HI','NV','WA','NE','WV','CO','VA','PA','AR','OH','SC','AZ',ME</t>
    </r>
    <r>
      <rPr>
        <sz val="11"/>
        <color theme="1"/>
        <rFont val="宋体"/>
        <charset val="134"/>
      </rPr>
      <t>,</t>
    </r>
    <r>
      <rPr>
        <sz val="11"/>
        <color theme="1"/>
        <rFont val="Arial"/>
        <charset val="134"/>
      </rPr>
      <t>MA</t>
    </r>
    <r>
      <rPr>
        <sz val="11"/>
        <color theme="1"/>
        <rFont val="宋体"/>
        <charset val="134"/>
      </rPr>
      <t>,</t>
    </r>
    <r>
      <rPr>
        <sz val="11"/>
        <color theme="1"/>
        <rFont val="Arial"/>
        <charset val="134"/>
      </rPr>
      <t>OK</t>
    </r>
    <r>
      <rPr>
        <sz val="11"/>
        <color theme="1"/>
        <rFont val="宋体"/>
        <charset val="134"/>
      </rPr>
      <t>,</t>
    </r>
    <r>
      <rPr>
        <sz val="11"/>
        <color theme="1"/>
        <rFont val="Arial"/>
        <charset val="134"/>
      </rPr>
      <t>RI,TN</t>
    </r>
  </si>
  <si>
    <r>
      <rPr>
        <sz val="11"/>
        <rFont val="Arial"/>
        <charset val="134"/>
      </rPr>
      <t>7.15 MSRP&lt;537</t>
    </r>
    <r>
      <rPr>
        <sz val="11"/>
        <rFont val="宋体"/>
        <charset val="134"/>
      </rPr>
      <t>且</t>
    </r>
    <r>
      <rPr>
        <sz val="11"/>
        <rFont val="Arial"/>
        <charset val="134"/>
      </rPr>
      <t>50&lt;DNet&lt;400</t>
    </r>
    <r>
      <rPr>
        <sz val="11"/>
        <rFont val="宋体"/>
        <charset val="134"/>
      </rPr>
      <t>的零件涨价</t>
    </r>
    <r>
      <rPr>
        <sz val="11"/>
        <rFont val="Arial"/>
        <charset val="134"/>
      </rPr>
      <t>1</t>
    </r>
    <r>
      <rPr>
        <sz val="11"/>
        <rFont val="宋体"/>
        <charset val="134"/>
      </rPr>
      <t>个点，Dnet&gt;400的零件涨价</t>
    </r>
    <r>
      <rPr>
        <sz val="11"/>
        <rFont val="Arial"/>
        <charset val="134"/>
      </rPr>
      <t>0.5</t>
    </r>
    <r>
      <rPr>
        <sz val="11"/>
        <rFont val="宋体"/>
        <charset val="134"/>
      </rPr>
      <t>个点</t>
    </r>
  </si>
  <si>
    <r>
      <rPr>
        <sz val="11"/>
        <rFont val="Arial"/>
        <charset val="134"/>
      </rPr>
      <t>NY,GA,NC,MD,NJ,IN,WI,MI,CA,TX,'MN','KY','CT','UT','HI','NV','WA','NE','WV','CO','VA','PA','AR','OH','SC','AZ',ME</t>
    </r>
    <r>
      <rPr>
        <sz val="11"/>
        <rFont val="宋体"/>
        <charset val="134"/>
      </rPr>
      <t>,</t>
    </r>
    <r>
      <rPr>
        <sz val="11"/>
        <rFont val="Arial"/>
        <charset val="134"/>
      </rPr>
      <t>MA</t>
    </r>
    <r>
      <rPr>
        <sz val="11"/>
        <rFont val="宋体"/>
        <charset val="134"/>
      </rPr>
      <t>,</t>
    </r>
    <r>
      <rPr>
        <sz val="11"/>
        <rFont val="Arial"/>
        <charset val="134"/>
      </rPr>
      <t>OK</t>
    </r>
    <r>
      <rPr>
        <sz val="11"/>
        <rFont val="宋体"/>
        <charset val="134"/>
      </rPr>
      <t>,</t>
    </r>
    <r>
      <rPr>
        <sz val="11"/>
        <rFont val="Arial"/>
        <charset val="134"/>
      </rPr>
      <t>RI,</t>
    </r>
    <r>
      <rPr>
        <sz val="11"/>
        <color rgb="FFFF0000"/>
        <rFont val="Arial"/>
        <charset val="134"/>
      </rPr>
      <t>TN</t>
    </r>
  </si>
  <si>
    <r>
      <rPr>
        <sz val="11"/>
        <rFont val="Arial"/>
        <charset val="134"/>
      </rPr>
      <t>7.15</t>
    </r>
    <r>
      <rPr>
        <sz val="11"/>
        <rFont val="宋体"/>
        <charset val="134"/>
      </rPr>
      <t>收税州调整，MO不收税，新增收税州ME、MA、OK、RI</t>
    </r>
  </si>
  <si>
    <r>
      <rPr>
        <sz val="11"/>
        <rFont val="Arial"/>
        <charset val="134"/>
      </rPr>
      <t>NY,GA,NC,MD,NJ,IN,WI,MI,CA,TX,'MN','KY','CT','UT','HI','NV','WA','NE','WV','CO','VA','PA','AR','OH','SC','AZ',ME</t>
    </r>
    <r>
      <rPr>
        <sz val="11"/>
        <rFont val="宋体"/>
        <charset val="134"/>
      </rPr>
      <t>,</t>
    </r>
    <r>
      <rPr>
        <sz val="11"/>
        <rFont val="Arial"/>
        <charset val="134"/>
      </rPr>
      <t>MA</t>
    </r>
    <r>
      <rPr>
        <sz val="11"/>
        <rFont val="宋体"/>
        <charset val="134"/>
      </rPr>
      <t>,</t>
    </r>
    <r>
      <rPr>
        <sz val="11"/>
        <rFont val="Arial"/>
        <charset val="134"/>
      </rPr>
      <t>OK</t>
    </r>
    <r>
      <rPr>
        <sz val="11"/>
        <rFont val="宋体"/>
        <charset val="134"/>
      </rPr>
      <t>,</t>
    </r>
    <r>
      <rPr>
        <sz val="11"/>
        <rFont val="Arial"/>
        <charset val="134"/>
      </rPr>
      <t>RI</t>
    </r>
  </si>
  <si>
    <r>
      <rPr>
        <sz val="11"/>
        <color rgb="FFFF0000"/>
        <rFont val="Arial"/>
        <charset val="134"/>
      </rPr>
      <t>7.15 MSRP&lt;537</t>
    </r>
    <r>
      <rPr>
        <sz val="11"/>
        <color rgb="FFFF0000"/>
        <rFont val="宋体"/>
        <charset val="134"/>
      </rPr>
      <t>且</t>
    </r>
    <r>
      <rPr>
        <sz val="11"/>
        <color rgb="FFFF0000"/>
        <rFont val="Arial"/>
        <charset val="134"/>
      </rPr>
      <t>50&lt;DNet&lt;400</t>
    </r>
    <r>
      <rPr>
        <sz val="11"/>
        <color rgb="FFFF0000"/>
        <rFont val="宋体"/>
        <charset val="134"/>
      </rPr>
      <t>的零件涨价</t>
    </r>
    <r>
      <rPr>
        <sz val="11"/>
        <color rgb="FFFF0000"/>
        <rFont val="Arial"/>
        <charset val="134"/>
      </rPr>
      <t>1</t>
    </r>
    <r>
      <rPr>
        <sz val="11"/>
        <color rgb="FFFF0000"/>
        <rFont val="宋体"/>
        <charset val="134"/>
      </rPr>
      <t>个点，Dnet&gt;400的零件涨价</t>
    </r>
    <r>
      <rPr>
        <sz val="11"/>
        <color rgb="FFFF0000"/>
        <rFont val="Arial"/>
        <charset val="134"/>
      </rPr>
      <t>0.5</t>
    </r>
    <r>
      <rPr>
        <sz val="11"/>
        <color rgb="FFFF0000"/>
        <rFont val="宋体"/>
        <charset val="134"/>
      </rPr>
      <t>个点</t>
    </r>
  </si>
  <si>
    <r>
      <rPr>
        <sz val="11"/>
        <color rgb="FFFF0000"/>
        <rFont val="Arial"/>
        <charset val="134"/>
      </rPr>
      <t>7.15</t>
    </r>
    <r>
      <rPr>
        <sz val="11"/>
        <color rgb="FFFF0000"/>
        <rFont val="宋体"/>
        <charset val="134"/>
      </rPr>
      <t>收税州调整，MO不收税，新增收税州ME、MA、OK、RI</t>
    </r>
  </si>
  <si>
    <r>
      <rPr>
        <sz val="11"/>
        <rFont val="Arial"/>
        <charset val="134"/>
      </rPr>
      <t>NY,GA,NC,MD,NJ,IN,WI,MI,CA,TX,'MN','KY','CT','UT','HI','NV','WA','NE','WV','CO','VA','PA','AR','OH','SC','AZ',</t>
    </r>
    <r>
      <rPr>
        <sz val="11"/>
        <color rgb="FFFF0000"/>
        <rFont val="Arial"/>
        <charset val="134"/>
      </rPr>
      <t>ME</t>
    </r>
    <r>
      <rPr>
        <sz val="11"/>
        <color rgb="FFFF0000"/>
        <rFont val="宋体"/>
        <charset val="134"/>
      </rPr>
      <t>,</t>
    </r>
    <r>
      <rPr>
        <sz val="11"/>
        <color rgb="FFFF0000"/>
        <rFont val="Arial"/>
        <charset val="134"/>
      </rPr>
      <t>MA</t>
    </r>
    <r>
      <rPr>
        <sz val="11"/>
        <color rgb="FFFF0000"/>
        <rFont val="宋体"/>
        <charset val="134"/>
      </rPr>
      <t>,</t>
    </r>
    <r>
      <rPr>
        <sz val="11"/>
        <color rgb="FFFF0000"/>
        <rFont val="Arial"/>
        <charset val="134"/>
      </rPr>
      <t>OK</t>
    </r>
    <r>
      <rPr>
        <sz val="11"/>
        <color rgb="FFFF0000"/>
        <rFont val="宋体"/>
        <charset val="134"/>
      </rPr>
      <t>,</t>
    </r>
    <r>
      <rPr>
        <sz val="11"/>
        <color rgb="FFFF0000"/>
        <rFont val="Arial"/>
        <charset val="134"/>
      </rPr>
      <t>RI</t>
    </r>
  </si>
  <si>
    <r>
      <rPr>
        <sz val="11"/>
        <rFont val="Arial"/>
        <charset val="134"/>
      </rPr>
      <t>02.08</t>
    </r>
    <r>
      <rPr>
        <sz val="11"/>
        <rFont val="宋体"/>
        <charset val="134"/>
      </rPr>
      <t>开放全面收税</t>
    </r>
  </si>
  <si>
    <t>NY,GA,NC,MD,NJ,IN,WI,MI,CA,TX,'MN','KY','CT','UT','HI','NV','WA','NE','WV','CO','VA','PA','MO','AR','OH','SC','AZ'</t>
  </si>
  <si>
    <r>
      <rPr>
        <sz val="11"/>
        <color rgb="FFFF0000"/>
        <rFont val="Arial"/>
        <charset val="134"/>
      </rPr>
      <t>02.08</t>
    </r>
    <r>
      <rPr>
        <sz val="11"/>
        <color rgb="FFFF0000"/>
        <rFont val="宋体"/>
        <charset val="134"/>
      </rPr>
      <t>开放全面收税</t>
    </r>
  </si>
  <si>
    <r>
      <rPr>
        <sz val="11"/>
        <rFont val="Arial"/>
        <charset val="134"/>
      </rPr>
      <t>NY,GA,NC,MD,NJ,IN,WI,MI,CA,TX,</t>
    </r>
    <r>
      <rPr>
        <sz val="11"/>
        <color rgb="FFFF0000"/>
        <rFont val="Arial"/>
        <charset val="134"/>
      </rPr>
      <t>'MN','KY','CT','UT','HI','NV','WA','NE','WV','CO','VA','PA','MO','AR','OH','SC','AZ</t>
    </r>
    <r>
      <rPr>
        <sz val="11"/>
        <rFont val="Arial"/>
        <charset val="134"/>
      </rPr>
      <t>'</t>
    </r>
  </si>
  <si>
    <r>
      <rPr>
        <sz val="11"/>
        <rFont val="Arial"/>
        <charset val="134"/>
      </rPr>
      <t xml:space="preserve">8.22 </t>
    </r>
    <r>
      <rPr>
        <sz val="11"/>
        <rFont val="宋体"/>
        <charset val="134"/>
      </rPr>
      <t>部分零件降价</t>
    </r>
    <r>
      <rPr>
        <sz val="11"/>
        <rFont val="Arial"/>
        <charset val="134"/>
      </rPr>
      <t>0.5~2</t>
    </r>
    <r>
      <rPr>
        <sz val="11"/>
        <rFont val="宋体"/>
        <charset val="134"/>
      </rPr>
      <t>个点</t>
    </r>
  </si>
  <si>
    <t>01.01换公司到CA，并新增TX收税州</t>
  </si>
  <si>
    <r>
      <rPr>
        <sz val="11"/>
        <rFont val="Arial"/>
        <charset val="134"/>
      </rPr>
      <t>10.29NPD</t>
    </r>
    <r>
      <rPr>
        <sz val="11"/>
        <rFont val="宋体"/>
        <charset val="134"/>
      </rPr>
      <t>网站换公司，本州由</t>
    </r>
    <r>
      <rPr>
        <sz val="11"/>
        <rFont val="Arial"/>
        <charset val="134"/>
      </rPr>
      <t xml:space="preserve"> NV</t>
    </r>
    <r>
      <rPr>
        <sz val="11"/>
        <rFont val="宋体"/>
        <charset val="134"/>
      </rPr>
      <t>调整为</t>
    </r>
    <r>
      <rPr>
        <sz val="11"/>
        <rFont val="Arial"/>
        <charset val="134"/>
      </rPr>
      <t>AZ</t>
    </r>
    <r>
      <rPr>
        <sz val="11"/>
        <rFont val="宋体"/>
        <charset val="134"/>
      </rPr>
      <t>，同时新增了</t>
    </r>
    <r>
      <rPr>
        <sz val="11"/>
        <rFont val="Arial"/>
        <charset val="134"/>
      </rPr>
      <t>MI WI IN</t>
    </r>
    <r>
      <rPr>
        <sz val="11"/>
        <rFont val="宋体"/>
        <charset val="134"/>
      </rPr>
      <t>三个外州收税州</t>
    </r>
  </si>
  <si>
    <r>
      <rPr>
        <sz val="11"/>
        <color rgb="FFFF0000"/>
        <rFont val="Arial"/>
        <charset val="134"/>
      </rPr>
      <t>10.29NPD</t>
    </r>
    <r>
      <rPr>
        <sz val="11"/>
        <color rgb="FFFF0000"/>
        <rFont val="宋体"/>
        <charset val="134"/>
      </rPr>
      <t>网站换公司，本州由</t>
    </r>
    <r>
      <rPr>
        <sz val="11"/>
        <color rgb="FFFF0000"/>
        <rFont val="Arial"/>
        <charset val="134"/>
      </rPr>
      <t xml:space="preserve"> NV</t>
    </r>
    <r>
      <rPr>
        <sz val="11"/>
        <color rgb="FFFF0000"/>
        <rFont val="宋体"/>
        <charset val="134"/>
      </rPr>
      <t>调整为</t>
    </r>
    <r>
      <rPr>
        <sz val="11"/>
        <color rgb="FFFF0000"/>
        <rFont val="Arial"/>
        <charset val="134"/>
      </rPr>
      <t>AZ</t>
    </r>
    <r>
      <rPr>
        <sz val="11"/>
        <color rgb="FFFF0000"/>
        <rFont val="宋体"/>
        <charset val="134"/>
      </rPr>
      <t>，同时新增了</t>
    </r>
    <r>
      <rPr>
        <sz val="11"/>
        <color rgb="FFFF0000"/>
        <rFont val="Arial"/>
        <charset val="134"/>
      </rPr>
      <t>MI WI IN</t>
    </r>
    <r>
      <rPr>
        <sz val="11"/>
        <color rgb="FFFF0000"/>
        <rFont val="宋体"/>
        <charset val="134"/>
      </rPr>
      <t>三个外州收税州</t>
    </r>
  </si>
  <si>
    <r>
      <rPr>
        <sz val="11"/>
        <rFont val="Arial"/>
        <charset val="134"/>
      </rPr>
      <t>NY,GA,NC,MD,NJ,</t>
    </r>
    <r>
      <rPr>
        <sz val="11"/>
        <color rgb="FFFF0000"/>
        <rFont val="Arial"/>
        <charset val="134"/>
      </rPr>
      <t>IN,WI,MI,AZ</t>
    </r>
  </si>
  <si>
    <r>
      <rPr>
        <sz val="11"/>
        <color theme="1"/>
        <rFont val="Arial"/>
        <charset val="134"/>
      </rPr>
      <t xml:space="preserve">8.22 </t>
    </r>
    <r>
      <rPr>
        <sz val="11"/>
        <color theme="1"/>
        <rFont val="宋体"/>
        <charset val="134"/>
      </rPr>
      <t>部分零件降价</t>
    </r>
    <r>
      <rPr>
        <sz val="11"/>
        <color theme="1"/>
        <rFont val="Arial"/>
        <charset val="134"/>
      </rPr>
      <t>0.5~2</t>
    </r>
    <r>
      <rPr>
        <sz val="11"/>
        <color theme="1"/>
        <rFont val="宋体"/>
        <charset val="134"/>
      </rPr>
      <t>个点</t>
    </r>
  </si>
  <si>
    <t>NV,NY,GA,NC,MD,NJ</t>
  </si>
  <si>
    <r>
      <rPr>
        <sz val="11"/>
        <color rgb="FFFF0000"/>
        <rFont val="Arial"/>
        <charset val="134"/>
      </rPr>
      <t xml:space="preserve">8.22 </t>
    </r>
    <r>
      <rPr>
        <sz val="11"/>
        <color rgb="FFFF0000"/>
        <rFont val="宋体"/>
        <charset val="134"/>
      </rPr>
      <t>部分零件降价</t>
    </r>
    <r>
      <rPr>
        <sz val="11"/>
        <color rgb="FFFF0000"/>
        <rFont val="Arial"/>
        <charset val="134"/>
      </rPr>
      <t>0.5~2</t>
    </r>
    <r>
      <rPr>
        <sz val="11"/>
        <color rgb="FFFF0000"/>
        <rFont val="宋体"/>
        <charset val="134"/>
      </rPr>
      <t>个点</t>
    </r>
  </si>
  <si>
    <t>05/22普通零件涨价3个点
05/22Acc零件涨价2~4个点</t>
  </si>
  <si>
    <t>NV,NY,GA,NC,IL,MD,NJ,MN</t>
  </si>
  <si>
    <t>价格每周在变动，20210112降价2个点</t>
  </si>
  <si>
    <t>价格每周在变动，1.17零件大幅降价8-1个点</t>
  </si>
  <si>
    <t>11.16零件大幅降价7-10个点</t>
  </si>
  <si>
    <t>10.04零件大幅降价10-20个点</t>
  </si>
  <si>
    <t>6.29零件全面大幅涨价</t>
  </si>
  <si>
    <t>www.nissanpartswebstore.com</t>
  </si>
  <si>
    <t>关站了</t>
  </si>
  <si>
    <r>
      <rPr>
        <sz val="11"/>
        <rFont val="Arial"/>
        <charset val="134"/>
      </rPr>
      <t>10.08</t>
    </r>
    <r>
      <rPr>
        <sz val="11"/>
        <rFont val="宋体"/>
        <charset val="134"/>
      </rPr>
      <t>零件整体涨价</t>
    </r>
    <r>
      <rPr>
        <sz val="11"/>
        <rFont val="Arial"/>
        <charset val="134"/>
      </rPr>
      <t>4~5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</si>
  <si>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10.08</t>
    </r>
    <r>
      <rPr>
        <sz val="11"/>
        <color rgb="FFFF0000"/>
        <rFont val="宋体"/>
        <charset val="134"/>
      </rPr>
      <t>零件整体涨价</t>
    </r>
    <r>
      <rPr>
        <sz val="11"/>
        <color rgb="FFFF0000"/>
        <rFont val="Arial"/>
        <charset val="134"/>
      </rPr>
      <t>4~5</t>
    </r>
    <r>
      <rPr>
        <sz val="11"/>
        <color rgb="FFFF0000"/>
        <rFont val="宋体"/>
        <charset val="134"/>
      </rPr>
      <t>个点</t>
    </r>
  </si>
  <si>
    <r>
      <rPr>
        <sz val="11"/>
        <color theme="1"/>
        <rFont val="Arial"/>
        <charset val="134"/>
      </rPr>
      <t>6.14</t>
    </r>
    <r>
      <rPr>
        <sz val="11"/>
        <color theme="1"/>
        <rFont val="宋体"/>
        <charset val="134"/>
      </rPr>
      <t>整体零件降价</t>
    </r>
    <r>
      <rPr>
        <sz val="11"/>
        <color theme="1"/>
        <rFont val="Arial"/>
        <charset val="134"/>
      </rPr>
      <t>2~5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</si>
  <si>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>6.14</t>
    </r>
    <r>
      <rPr>
        <sz val="11"/>
        <color rgb="FFFF0000"/>
        <rFont val="宋体"/>
        <charset val="134"/>
      </rPr>
      <t>整体零件降价</t>
    </r>
    <r>
      <rPr>
        <sz val="11"/>
        <color rgb="FFFF0000"/>
        <rFont val="Arial"/>
        <charset val="134"/>
      </rPr>
      <t>2~5</t>
    </r>
    <r>
      <rPr>
        <sz val="11"/>
        <color rgb="FFFF0000"/>
        <rFont val="宋体"/>
        <charset val="134"/>
      </rPr>
      <t>个点</t>
    </r>
  </si>
  <si>
    <t>11/01 0~50的低价区价格下降，其余零件价格平均上升0.06</t>
  </si>
  <si>
    <r>
      <rPr>
        <sz val="11"/>
        <color rgb="FFFF0000"/>
        <rFont val="Arial"/>
        <charset val="134"/>
      </rPr>
      <t>0~50</t>
    </r>
    <r>
      <rPr>
        <sz val="11"/>
        <color rgb="FFFF0000"/>
        <rFont val="宋体"/>
        <charset val="134"/>
      </rPr>
      <t>的低价区价格下降，其余零件价格平均上升</t>
    </r>
    <r>
      <rPr>
        <sz val="11"/>
        <color rgb="FFFF0000"/>
        <rFont val="Arial"/>
        <charset val="134"/>
      </rPr>
      <t>0.06</t>
    </r>
  </si>
  <si>
    <t>www.nissanautosports.com</t>
  </si>
  <si>
    <t>www.nissanpartsprime.com</t>
  </si>
  <si>
    <t>www.factorynissanparts.net</t>
  </si>
  <si>
    <t>NY,GA,NC,MD,NJ,IN,WI,MI,CA,TX,'MN','KY','CT','UT','HI','NV','WA','NE','WV','CO','VA','PA','AR','OH','SC','AZ',ME,MA,OK,RI,TN</t>
  </si>
  <si>
    <r>
      <rPr>
        <sz val="11"/>
        <color rgb="FFFF0000"/>
        <rFont val="宋体"/>
        <charset val="134"/>
      </rPr>
      <t>于</t>
    </r>
    <r>
      <rPr>
        <sz val="11"/>
        <color rgb="FFFF0000"/>
        <rFont val="Arial"/>
        <charset val="134"/>
      </rPr>
      <t>2020.12.31</t>
    </r>
    <r>
      <rPr>
        <sz val="11"/>
        <color rgb="FFFF0000"/>
        <rFont val="宋体"/>
        <charset val="134"/>
      </rPr>
      <t>降价，形成对新竞争者的价格优势。</t>
    </r>
  </si>
  <si>
    <r>
      <rPr>
        <sz val="11"/>
        <rFont val="Arial"/>
        <charset val="134"/>
      </rPr>
      <t>NY,GA,NC,MD,NJ,IN,WI,MI,CA,TX,'MN','KY','CT','UT','HI','NV','WA','NE','WV','CO','VA','PA','AR','OH','SC','AZ',ME,MA,OK,RI,</t>
    </r>
    <r>
      <rPr>
        <sz val="11"/>
        <color rgb="FFFF0000"/>
        <rFont val="Arial"/>
        <charset val="134"/>
      </rPr>
      <t>TN</t>
    </r>
  </si>
  <si>
    <r>
      <rPr>
        <sz val="11"/>
        <rFont val="Arial"/>
        <charset val="134"/>
      </rPr>
      <t>8.1</t>
    </r>
    <r>
      <rPr>
        <sz val="11"/>
        <rFont val="宋体"/>
        <charset val="134"/>
      </rPr>
      <t>收税州调整，MO不收税，新增收税州MA</t>
    </r>
  </si>
  <si>
    <r>
      <rPr>
        <sz val="11"/>
        <color rgb="FFFF0000"/>
        <rFont val="Arial"/>
        <charset val="134"/>
      </rPr>
      <t>8.1</t>
    </r>
    <r>
      <rPr>
        <sz val="11"/>
        <color rgb="FFFF0000"/>
        <rFont val="宋体"/>
        <charset val="134"/>
      </rPr>
      <t>收税州调整，MO不收税，新增收税州MA</t>
    </r>
  </si>
  <si>
    <r>
      <rPr>
        <sz val="11"/>
        <rFont val="Arial"/>
        <charset val="134"/>
      </rPr>
      <t>NY,GA,NC,MD,NJ,IN,WI,MI,CA,TX,'MN','KY','CT','UT','HI','NV','WA','NE','WV','CO','VA','PA','AR','OH','SC','AZ',ME</t>
    </r>
    <r>
      <rPr>
        <sz val="11"/>
        <rFont val="宋体"/>
        <charset val="134"/>
      </rPr>
      <t>,</t>
    </r>
    <r>
      <rPr>
        <sz val="11"/>
        <color rgb="FFFF0000"/>
        <rFont val="Arial"/>
        <charset val="134"/>
      </rPr>
      <t>MA</t>
    </r>
    <r>
      <rPr>
        <sz val="11"/>
        <rFont val="宋体"/>
        <charset val="134"/>
      </rPr>
      <t>,</t>
    </r>
    <r>
      <rPr>
        <sz val="11"/>
        <rFont val="Arial"/>
        <charset val="134"/>
      </rPr>
      <t>OK</t>
    </r>
    <r>
      <rPr>
        <sz val="11"/>
        <rFont val="宋体"/>
        <charset val="134"/>
      </rPr>
      <t>,</t>
    </r>
    <r>
      <rPr>
        <sz val="11"/>
        <rFont val="Arial"/>
        <charset val="134"/>
      </rPr>
      <t>RI</t>
    </r>
  </si>
  <si>
    <r>
      <rPr>
        <sz val="11"/>
        <color rgb="FFFF0000"/>
        <rFont val="Arial"/>
        <charset val="134"/>
      </rPr>
      <t>6.16</t>
    </r>
    <r>
      <rPr>
        <sz val="11"/>
        <color rgb="FFFF0000"/>
        <rFont val="宋体"/>
        <charset val="134"/>
      </rPr>
      <t>收税州调整，收税州新增到</t>
    </r>
    <r>
      <rPr>
        <sz val="11"/>
        <color rgb="FFFF0000"/>
        <rFont val="Arial"/>
        <charset val="134"/>
      </rPr>
      <t>30</t>
    </r>
    <r>
      <rPr>
        <sz val="11"/>
        <color rgb="FFFF0000"/>
        <rFont val="宋体"/>
        <charset val="134"/>
      </rPr>
      <t>个</t>
    </r>
  </si>
  <si>
    <r>
      <rPr>
        <sz val="11"/>
        <color rgb="FFFF0000"/>
        <rFont val="Arial"/>
        <charset val="134"/>
      </rPr>
      <t>NY,GA,NC,MD,NJ,IN,WI,MI,</t>
    </r>
    <r>
      <rPr>
        <sz val="11"/>
        <rFont val="Arial"/>
        <charset val="134"/>
      </rPr>
      <t>CA,TX,</t>
    </r>
    <r>
      <rPr>
        <sz val="11"/>
        <color rgb="FFFF0000"/>
        <rFont val="Arial"/>
        <charset val="134"/>
      </rPr>
      <t>'MN','KY','CT','UT','HI','NV','WA','NE','WV','CO','VA','PA','AR','OH','SC','AZ',ME</t>
    </r>
    <r>
      <rPr>
        <sz val="11"/>
        <color rgb="FFFF0000"/>
        <rFont val="宋体"/>
        <charset val="134"/>
      </rPr>
      <t>,</t>
    </r>
    <r>
      <rPr>
        <sz val="11"/>
        <color rgb="FFFF0000"/>
        <rFont val="Arial"/>
        <charset val="134"/>
      </rPr>
      <t>MO</t>
    </r>
    <r>
      <rPr>
        <sz val="11"/>
        <color rgb="FFFF0000"/>
        <rFont val="宋体"/>
        <charset val="134"/>
      </rPr>
      <t>,</t>
    </r>
    <r>
      <rPr>
        <sz val="11"/>
        <color rgb="FFFF0000"/>
        <rFont val="Arial"/>
        <charset val="134"/>
      </rPr>
      <t>OK</t>
    </r>
    <r>
      <rPr>
        <sz val="11"/>
        <color rgb="FFFF0000"/>
        <rFont val="宋体"/>
        <charset val="134"/>
      </rPr>
      <t>,</t>
    </r>
    <r>
      <rPr>
        <sz val="11"/>
        <color rgb="FFFF0000"/>
        <rFont val="Arial"/>
        <charset val="134"/>
      </rPr>
      <t>RI</t>
    </r>
  </si>
  <si>
    <r>
      <rPr>
        <sz val="11"/>
        <rFont val="Arial"/>
        <charset val="134"/>
      </rPr>
      <t>06/09 MSRP 0/250</t>
    </r>
    <r>
      <rPr>
        <sz val="11"/>
        <rFont val="宋体"/>
        <charset val="134"/>
      </rPr>
      <t>涨价</t>
    </r>
    <r>
      <rPr>
        <sz val="11"/>
        <rFont val="Arial"/>
        <charset val="134"/>
      </rPr>
      <t>1</t>
    </r>
    <r>
      <rPr>
        <sz val="11"/>
        <rFont val="宋体"/>
        <charset val="134"/>
      </rPr>
      <t>个点</t>
    </r>
  </si>
  <si>
    <t>06/09 MSRP 0/250涨价1个点</t>
  </si>
  <si>
    <r>
      <rPr>
        <sz val="11"/>
        <color rgb="FFFF0000"/>
        <rFont val="Arial"/>
        <charset val="134"/>
      </rPr>
      <t>11.1</t>
    </r>
    <r>
      <rPr>
        <sz val="11"/>
        <color rgb="FFFF0000"/>
        <rFont val="宋体"/>
        <charset val="134"/>
      </rPr>
      <t>起只在本州CA收税</t>
    </r>
  </si>
  <si>
    <t>CA,</t>
  </si>
  <si>
    <t>CA,NY,GA,NC</t>
  </si>
  <si>
    <t>CA,NY,GA,NC,IL</t>
  </si>
  <si>
    <r>
      <rPr>
        <sz val="11"/>
        <rFont val="Arial"/>
        <charset val="134"/>
      </rPr>
      <t>06/09 MSRP 250/500</t>
    </r>
    <r>
      <rPr>
        <sz val="11"/>
        <rFont val="宋体"/>
        <charset val="134"/>
      </rPr>
      <t>的零件涨价</t>
    </r>
  </si>
  <si>
    <t>06/09 MSRP 250/500的零件涨价</t>
  </si>
  <si>
    <r>
      <rPr>
        <sz val="11"/>
        <rFont val="Arial"/>
        <charset val="134"/>
      </rPr>
      <t>11/01 dnet 150~200</t>
    </r>
    <r>
      <rPr>
        <sz val="11"/>
        <rFont val="宋体"/>
        <charset val="134"/>
      </rPr>
      <t>的零件涨</t>
    </r>
    <r>
      <rPr>
        <sz val="11"/>
        <rFont val="Arial"/>
        <charset val="134"/>
      </rPr>
      <t>2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</si>
  <si>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>11/01 dnet 150~200</t>
    </r>
    <r>
      <rPr>
        <sz val="11"/>
        <color theme="1"/>
        <rFont val="宋体"/>
        <charset val="134"/>
      </rPr>
      <t>的零件涨</t>
    </r>
    <r>
      <rPr>
        <sz val="11"/>
        <color theme="1"/>
        <rFont val="Arial"/>
        <charset val="134"/>
      </rPr>
      <t>2</t>
    </r>
    <r>
      <rPr>
        <sz val="11"/>
        <color theme="1"/>
        <rFont val="宋体"/>
        <charset val="134"/>
      </rPr>
      <t>个点</t>
    </r>
  </si>
  <si>
    <t>11/01 dnet 150~200的零件涨2个点</t>
  </si>
  <si>
    <r>
      <rPr>
        <sz val="11"/>
        <rFont val="宋体"/>
        <charset val="134"/>
      </rPr>
      <t>除</t>
    </r>
    <r>
      <rPr>
        <sz val="11"/>
        <rFont val="Arial"/>
        <charset val="134"/>
      </rPr>
      <t>0~5</t>
    </r>
    <r>
      <rPr>
        <sz val="11"/>
        <rFont val="宋体"/>
        <charset val="134"/>
      </rPr>
      <t>的低价区外，所有零件价格下降</t>
    </r>
    <r>
      <rPr>
        <sz val="11"/>
        <rFont val="Arial"/>
        <charset val="134"/>
      </rPr>
      <t>5</t>
    </r>
    <r>
      <rPr>
        <sz val="11"/>
        <rFont val="宋体"/>
        <charset val="134"/>
      </rPr>
      <t>个点</t>
    </r>
  </si>
  <si>
    <r>
      <rPr>
        <sz val="11"/>
        <rFont val="Arial"/>
        <charset val="134"/>
      </rPr>
      <t xml:space="preserve">12/18 </t>
    </r>
    <r>
      <rPr>
        <sz val="11"/>
        <rFont val="宋体"/>
        <charset val="134"/>
      </rPr>
      <t>统一定价，相当于低价区降价</t>
    </r>
    <r>
      <rPr>
        <sz val="11"/>
        <rFont val="Arial"/>
        <charset val="134"/>
      </rPr>
      <t>5</t>
    </r>
    <r>
      <rPr>
        <sz val="11"/>
        <rFont val="宋体"/>
        <charset val="134"/>
      </rPr>
      <t>个点，高价区涨价</t>
    </r>
    <r>
      <rPr>
        <sz val="11"/>
        <rFont val="Arial"/>
        <charset val="134"/>
      </rPr>
      <t>10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</si>
  <si>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 xml:space="preserve">12/18 </t>
    </r>
    <r>
      <rPr>
        <sz val="11"/>
        <color theme="1"/>
        <rFont val="宋体"/>
        <charset val="134"/>
      </rPr>
      <t>统一定价，相当于低价区降价</t>
    </r>
    <r>
      <rPr>
        <sz val="11"/>
        <color theme="1"/>
        <rFont val="Arial"/>
        <charset val="134"/>
      </rPr>
      <t>5</t>
    </r>
    <r>
      <rPr>
        <sz val="11"/>
        <color theme="1"/>
        <rFont val="宋体"/>
        <charset val="134"/>
      </rPr>
      <t>个点，高价区涨价</t>
    </r>
    <r>
      <rPr>
        <sz val="11"/>
        <color theme="1"/>
        <rFont val="Arial"/>
        <charset val="134"/>
      </rPr>
      <t>10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</si>
  <si>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 xml:space="preserve">12/18 </t>
    </r>
    <r>
      <rPr>
        <sz val="11"/>
        <color rgb="FFFF0000"/>
        <rFont val="宋体"/>
        <charset val="134"/>
      </rPr>
      <t>统一定价，相当于低价区降价</t>
    </r>
    <r>
      <rPr>
        <sz val="11"/>
        <color rgb="FFFF0000"/>
        <rFont val="Arial"/>
        <charset val="134"/>
      </rPr>
      <t>5</t>
    </r>
    <r>
      <rPr>
        <sz val="11"/>
        <color rgb="FFFF0000"/>
        <rFont val="宋体"/>
        <charset val="134"/>
      </rPr>
      <t>个点，高价区涨价</t>
    </r>
    <r>
      <rPr>
        <sz val="11"/>
        <color rgb="FFFF0000"/>
        <rFont val="Arial"/>
        <charset val="134"/>
      </rPr>
      <t>10</t>
    </r>
    <r>
      <rPr>
        <sz val="11"/>
        <color rgb="FFFF0000"/>
        <rFont val="宋体"/>
        <charset val="134"/>
      </rPr>
      <t>个点</t>
    </r>
  </si>
  <si>
    <t>www.hyundaipartsdepartment.com</t>
  </si>
  <si>
    <r>
      <rPr>
        <sz val="11"/>
        <rFont val="Arial"/>
        <charset val="134"/>
      </rPr>
      <t xml:space="preserve">10/16 </t>
    </r>
    <r>
      <rPr>
        <sz val="11"/>
        <rFont val="宋体"/>
        <charset val="134"/>
      </rPr>
      <t>涨价</t>
    </r>
    <r>
      <rPr>
        <sz val="11"/>
        <rFont val="Arial"/>
        <charset val="134"/>
      </rPr>
      <t>31</t>
    </r>
    <r>
      <rPr>
        <sz val="11"/>
        <rFont val="宋体"/>
        <charset val="134"/>
      </rPr>
      <t>个点</t>
    </r>
  </si>
  <si>
    <t>10/16 涨价31个点</t>
  </si>
  <si>
    <t>零件价格上升31</t>
  </si>
  <si>
    <t>www.hyundaiaccessorystore.com</t>
  </si>
  <si>
    <r>
      <rPr>
        <sz val="11"/>
        <rFont val="Arial"/>
        <charset val="134"/>
      </rPr>
      <t>6.14</t>
    </r>
    <r>
      <rPr>
        <sz val="11"/>
        <rFont val="宋体"/>
        <charset val="134"/>
      </rPr>
      <t>整体零件涨</t>
    </r>
    <r>
      <rPr>
        <sz val="11"/>
        <rFont val="Arial"/>
        <charset val="134"/>
      </rPr>
      <t>6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</si>
  <si>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>6.14</t>
    </r>
    <r>
      <rPr>
        <sz val="11"/>
        <color theme="1"/>
        <rFont val="宋体"/>
        <charset val="134"/>
      </rPr>
      <t>整体零件涨</t>
    </r>
    <r>
      <rPr>
        <sz val="11"/>
        <color theme="1"/>
        <rFont val="Arial"/>
        <charset val="134"/>
      </rPr>
      <t>6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</si>
  <si>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>6.14</t>
    </r>
    <r>
      <rPr>
        <sz val="11"/>
        <color rgb="FFFF0000"/>
        <rFont val="宋体"/>
        <charset val="134"/>
      </rPr>
      <t>整体零件涨</t>
    </r>
    <r>
      <rPr>
        <sz val="11"/>
        <color rgb="FFFF0000"/>
        <rFont val="Arial"/>
        <charset val="134"/>
      </rPr>
      <t>6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</si>
  <si>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202011</t>
    </r>
    <r>
      <rPr>
        <sz val="11"/>
        <rFont val="宋体"/>
        <charset val="134"/>
      </rPr>
      <t>新增竞争者</t>
    </r>
  </si>
  <si>
    <t>11月新增竞争者</t>
  </si>
  <si>
    <t>官网 &amp; SimpleParts</t>
  </si>
  <si>
    <t>价格上涨3个点</t>
  </si>
  <si>
    <r>
      <rPr>
        <sz val="11"/>
        <rFont val="Arial"/>
        <charset val="134"/>
      </rPr>
      <t xml:space="preserve">03/24 </t>
    </r>
    <r>
      <rPr>
        <sz val="11"/>
        <rFont val="宋体"/>
        <charset val="134"/>
      </rPr>
      <t>免运费不做了</t>
    </r>
  </si>
  <si>
    <t>03/24 免运费不做了</t>
  </si>
  <si>
    <r>
      <rPr>
        <sz val="11"/>
        <rFont val="Arial"/>
        <charset val="134"/>
      </rPr>
      <t>02/20</t>
    </r>
    <r>
      <rPr>
        <sz val="11"/>
        <rFont val="宋体"/>
        <charset val="134"/>
      </rPr>
      <t>零件下降</t>
    </r>
    <r>
      <rPr>
        <sz val="11"/>
        <rFont val="Arial"/>
        <charset val="134"/>
      </rPr>
      <t>3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</si>
  <si>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02/20</t>
    </r>
    <r>
      <rPr>
        <sz val="11"/>
        <color rgb="FFFF0000"/>
        <rFont val="宋体"/>
        <charset val="134"/>
      </rPr>
      <t>零件下降</t>
    </r>
    <r>
      <rPr>
        <sz val="11"/>
        <color rgb="FFFF0000"/>
        <rFont val="Arial"/>
        <charset val="134"/>
      </rPr>
      <t>3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</si>
  <si>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03.24 </t>
    </r>
    <r>
      <rPr>
        <sz val="11"/>
        <rFont val="宋体"/>
        <charset val="134"/>
      </rPr>
      <t>零件降</t>
    </r>
    <r>
      <rPr>
        <sz val="11"/>
        <rFont val="Arial"/>
        <charset val="134"/>
      </rPr>
      <t>8</t>
    </r>
    <r>
      <rPr>
        <sz val="11"/>
        <rFont val="宋体"/>
        <charset val="134"/>
      </rPr>
      <t>个点</t>
    </r>
  </si>
  <si>
    <t>4.1 MSRP&lt;500的零件降价1-2个点</t>
  </si>
  <si>
    <t>01.04 500&lt;MSRP&lt;100的零件降价4个点</t>
  </si>
  <si>
    <r>
      <rPr>
        <sz val="11"/>
        <rFont val="Arial"/>
        <charset val="134"/>
      </rPr>
      <t>9.99</t>
    </r>
    <r>
      <rPr>
        <sz val="11"/>
        <rFont val="宋体"/>
        <charset val="134"/>
      </rPr>
      <t>运费变为精确运费</t>
    </r>
  </si>
  <si>
    <t>08/27 MSRP&lt;400零件降价1个点</t>
  </si>
  <si>
    <t>9.99运费变为精确运费</t>
  </si>
  <si>
    <t>08/20 MSRP&lt;400零件降价1个点</t>
  </si>
  <si>
    <t>01/12 MSRP&gt;1000零件降价4个点</t>
  </si>
  <si>
    <r>
      <rPr>
        <sz val="11"/>
        <rFont val="宋体"/>
        <charset val="134"/>
      </rPr>
      <t>零件降价</t>
    </r>
    <r>
      <rPr>
        <sz val="11"/>
        <rFont val="Arial"/>
        <charset val="134"/>
      </rPr>
      <t>7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</si>
  <si>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>01/12</t>
    </r>
    <r>
      <rPr>
        <sz val="11"/>
        <color theme="1"/>
        <rFont val="宋体"/>
        <charset val="134"/>
      </rPr>
      <t>零件涨价</t>
    </r>
    <r>
      <rPr>
        <sz val="11"/>
        <color theme="1"/>
        <rFont val="Arial"/>
        <charset val="134"/>
      </rPr>
      <t>1~2</t>
    </r>
    <r>
      <rPr>
        <sz val="11"/>
        <color theme="1"/>
        <rFont val="宋体"/>
        <charset val="134"/>
      </rPr>
      <t>个点</t>
    </r>
  </si>
  <si>
    <r>
      <rPr>
        <sz val="11"/>
        <rFont val="Arial"/>
        <charset val="134"/>
      </rPr>
      <t>01/12</t>
    </r>
    <r>
      <rPr>
        <sz val="11"/>
        <rFont val="宋体"/>
        <charset val="134"/>
      </rPr>
      <t>零件涨价</t>
    </r>
    <r>
      <rPr>
        <sz val="11"/>
        <rFont val="Arial"/>
        <charset val="134"/>
      </rPr>
      <t>1~2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</si>
  <si>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01/12</t>
    </r>
    <r>
      <rPr>
        <sz val="11"/>
        <color rgb="FFFF0000"/>
        <rFont val="宋体"/>
        <charset val="134"/>
      </rPr>
      <t>零件涨价</t>
    </r>
    <r>
      <rPr>
        <sz val="11"/>
        <color rgb="FFFF0000"/>
        <rFont val="Arial"/>
        <charset val="134"/>
      </rPr>
      <t>1~2</t>
    </r>
    <r>
      <rPr>
        <sz val="11"/>
        <color rgb="FFFF0000"/>
        <rFont val="宋体"/>
        <charset val="134"/>
      </rPr>
      <t>个点</t>
    </r>
  </si>
  <si>
    <t>11/01 MSRP&gt;500 零件涨价1个点</t>
  </si>
  <si>
    <t>www.subarupartsamerica.com</t>
  </si>
  <si>
    <t>AZ,TX,NJ,NY,VA</t>
  </si>
  <si>
    <r>
      <rPr>
        <sz val="11"/>
        <rFont val="Arial"/>
        <charset val="134"/>
      </rPr>
      <t>6.29</t>
    </r>
    <r>
      <rPr>
        <sz val="11"/>
        <rFont val="宋体"/>
        <charset val="134"/>
      </rPr>
      <t>收税州调整，新增收税州NJ,NY,VA</t>
    </r>
  </si>
  <si>
    <r>
      <rPr>
        <sz val="11"/>
        <rFont val="Arial"/>
        <charset val="134"/>
      </rPr>
      <t>AZ,TX</t>
    </r>
    <r>
      <rPr>
        <sz val="11"/>
        <color rgb="FFFF0000"/>
        <rFont val="Arial"/>
        <charset val="134"/>
      </rPr>
      <t>,NJ,NY,VA</t>
    </r>
  </si>
  <si>
    <r>
      <rPr>
        <sz val="11"/>
        <rFont val="Arial"/>
        <charset val="134"/>
      </rPr>
      <t>01.01</t>
    </r>
    <r>
      <rPr>
        <sz val="11"/>
        <rFont val="宋体"/>
        <charset val="134"/>
      </rPr>
      <t>换公司到</t>
    </r>
    <r>
      <rPr>
        <sz val="11"/>
        <rFont val="Arial"/>
        <charset val="134"/>
      </rPr>
      <t>AZ</t>
    </r>
    <r>
      <rPr>
        <sz val="11"/>
        <rFont val="宋体"/>
        <charset val="134"/>
      </rPr>
      <t>，并新增</t>
    </r>
    <r>
      <rPr>
        <sz val="11"/>
        <rFont val="Arial"/>
        <charset val="134"/>
      </rPr>
      <t>TX</t>
    </r>
    <r>
      <rPr>
        <sz val="11"/>
        <rFont val="宋体"/>
        <charset val="134"/>
      </rPr>
      <t>收税州</t>
    </r>
  </si>
  <si>
    <t>AZ,TX</t>
  </si>
  <si>
    <r>
      <rPr>
        <sz val="11"/>
        <rFont val="Arial"/>
        <charset val="134"/>
      </rPr>
      <t>10.28 Parts01</t>
    </r>
    <r>
      <rPr>
        <sz val="11"/>
        <rFont val="宋体"/>
        <charset val="134"/>
      </rPr>
      <t>降价</t>
    </r>
    <r>
      <rPr>
        <sz val="11"/>
        <rFont val="Arial"/>
        <charset val="134"/>
      </rPr>
      <t>1</t>
    </r>
    <r>
      <rPr>
        <sz val="11"/>
        <rFont val="宋体"/>
        <charset val="134"/>
      </rPr>
      <t>个点</t>
    </r>
  </si>
  <si>
    <t>01.01换公司到AZ，并新增TX收税州</t>
  </si>
  <si>
    <r>
      <rPr>
        <sz val="11"/>
        <rFont val="Arial"/>
        <charset val="134"/>
      </rPr>
      <t>11/17</t>
    </r>
    <r>
      <rPr>
        <sz val="11"/>
        <rFont val="宋体"/>
        <charset val="134"/>
      </rPr>
      <t>除</t>
    </r>
    <r>
      <rPr>
        <sz val="11"/>
        <rFont val="Arial"/>
        <charset val="134"/>
      </rPr>
      <t>CA</t>
    </r>
    <r>
      <rPr>
        <sz val="11"/>
        <rFont val="宋体"/>
        <charset val="134"/>
      </rPr>
      <t>外运费略涨</t>
    </r>
  </si>
  <si>
    <r>
      <rPr>
        <sz val="11"/>
        <color rgb="FFFF0000"/>
        <rFont val="Arial"/>
        <charset val="134"/>
      </rPr>
      <t>10.28 Parts01</t>
    </r>
    <r>
      <rPr>
        <sz val="11"/>
        <color rgb="FFFF0000"/>
        <rFont val="宋体"/>
        <charset val="134"/>
      </rPr>
      <t>降价</t>
    </r>
    <r>
      <rPr>
        <sz val="11"/>
        <color rgb="FFFF0000"/>
        <rFont val="Arial"/>
        <charset val="134"/>
      </rPr>
      <t>1</t>
    </r>
    <r>
      <rPr>
        <sz val="11"/>
        <color rgb="FFFF0000"/>
        <rFont val="宋体"/>
        <charset val="134"/>
      </rPr>
      <t>个点</t>
    </r>
  </si>
  <si>
    <t>11/17除CA外运费略涨</t>
  </si>
  <si>
    <r>
      <rPr>
        <sz val="11"/>
        <color theme="1"/>
        <rFont val="Arial"/>
        <charset val="134"/>
      </rPr>
      <t>11/17</t>
    </r>
    <r>
      <rPr>
        <sz val="11"/>
        <color theme="1"/>
        <rFont val="宋体"/>
        <charset val="134"/>
      </rPr>
      <t xml:space="preserve">零件降价
</t>
    </r>
    <r>
      <rPr>
        <sz val="11"/>
        <color theme="1"/>
        <rFont val="Arial"/>
        <charset val="134"/>
      </rPr>
      <t>12/07Acc</t>
    </r>
    <r>
      <rPr>
        <sz val="11"/>
        <color theme="1"/>
        <rFont val="宋体"/>
        <charset val="134"/>
      </rPr>
      <t>涨</t>
    </r>
    <r>
      <rPr>
        <sz val="11"/>
        <color theme="1"/>
        <rFont val="Arial"/>
        <charset val="134"/>
      </rPr>
      <t>0.02~0.05</t>
    </r>
  </si>
  <si>
    <r>
      <rPr>
        <sz val="11"/>
        <rFont val="Arial"/>
        <charset val="134"/>
      </rPr>
      <t>11/17</t>
    </r>
    <r>
      <rPr>
        <sz val="11"/>
        <rFont val="宋体"/>
        <charset val="134"/>
      </rPr>
      <t xml:space="preserve">零件降价
</t>
    </r>
    <r>
      <rPr>
        <sz val="11"/>
        <rFont val="Arial"/>
        <charset val="134"/>
      </rPr>
      <t>12/07Acc</t>
    </r>
    <r>
      <rPr>
        <sz val="11"/>
        <rFont val="宋体"/>
        <charset val="134"/>
      </rPr>
      <t>涨</t>
    </r>
    <r>
      <rPr>
        <sz val="11"/>
        <rFont val="Arial"/>
        <charset val="134"/>
      </rPr>
      <t>0.02~0.05</t>
    </r>
  </si>
  <si>
    <r>
      <rPr>
        <sz val="11"/>
        <color rgb="FFFF0000"/>
        <rFont val="Arial"/>
        <charset val="134"/>
      </rPr>
      <t>11/17</t>
    </r>
    <r>
      <rPr>
        <sz val="11"/>
        <color rgb="FFFF0000"/>
        <rFont val="宋体"/>
        <charset val="134"/>
      </rPr>
      <t xml:space="preserve">零件降价
</t>
    </r>
    <r>
      <rPr>
        <sz val="11"/>
        <color rgb="FFFF0000"/>
        <rFont val="Arial"/>
        <charset val="134"/>
      </rPr>
      <t>12/07Acc</t>
    </r>
    <r>
      <rPr>
        <sz val="11"/>
        <color rgb="FFFF0000"/>
        <rFont val="宋体"/>
        <charset val="134"/>
      </rPr>
      <t>涨</t>
    </r>
    <r>
      <rPr>
        <sz val="11"/>
        <color rgb="FFFF0000"/>
        <rFont val="Arial"/>
        <charset val="134"/>
      </rPr>
      <t>0.02~0.05</t>
    </r>
  </si>
  <si>
    <t>11/17零件降价
11/19Acc降0.05</t>
  </si>
  <si>
    <r>
      <rPr>
        <sz val="11"/>
        <rFont val="Arial"/>
        <charset val="134"/>
      </rPr>
      <t>20210106</t>
    </r>
    <r>
      <rPr>
        <sz val="11"/>
        <rFont val="宋体"/>
        <charset val="134"/>
      </rPr>
      <t>小幅提价</t>
    </r>
    <r>
      <rPr>
        <sz val="11"/>
        <rFont val="Arial"/>
        <charset val="134"/>
      </rPr>
      <t>1-2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</si>
  <si>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9.15</t>
    </r>
    <r>
      <rPr>
        <sz val="11"/>
        <color rgb="FFFF0000"/>
        <rFont val="宋体"/>
        <charset val="134"/>
      </rPr>
      <t>零件涨价</t>
    </r>
    <r>
      <rPr>
        <sz val="11"/>
        <color rgb="FFFF0000"/>
        <rFont val="Arial"/>
        <charset val="134"/>
      </rPr>
      <t>3-6</t>
    </r>
    <r>
      <rPr>
        <sz val="11"/>
        <color rgb="FFFF0000"/>
        <rFont val="宋体"/>
        <charset val="134"/>
      </rPr>
      <t>个点</t>
    </r>
  </si>
  <si>
    <r>
      <rPr>
        <sz val="11"/>
        <rFont val="宋体"/>
        <charset val="134"/>
      </rPr>
      <t>订单大于</t>
    </r>
    <r>
      <rPr>
        <sz val="11"/>
        <rFont val="Arial"/>
        <charset val="134"/>
      </rPr>
      <t>$250</t>
    </r>
    <r>
      <rPr>
        <sz val="11"/>
        <rFont val="宋体"/>
        <charset val="134"/>
      </rPr>
      <t>免运费</t>
    </r>
  </si>
  <si>
    <r>
      <rPr>
        <sz val="11"/>
        <color rgb="FFFF0000"/>
        <rFont val="宋体"/>
        <charset val="134"/>
      </rPr>
      <t>订单大于</t>
    </r>
    <r>
      <rPr>
        <sz val="11"/>
        <color rgb="FFFF0000"/>
        <rFont val="Arial"/>
        <charset val="134"/>
      </rPr>
      <t>$250</t>
    </r>
    <r>
      <rPr>
        <sz val="11"/>
        <color rgb="FFFF0000"/>
        <rFont val="宋体"/>
        <charset val="134"/>
      </rPr>
      <t>免运费</t>
    </r>
  </si>
  <si>
    <r>
      <rPr>
        <sz val="11"/>
        <rFont val="Arial"/>
        <charset val="134"/>
      </rPr>
      <t xml:space="preserve">8/06 </t>
    </r>
    <r>
      <rPr>
        <sz val="11"/>
        <rFont val="宋体"/>
        <charset val="134"/>
      </rPr>
      <t>零件最高下降</t>
    </r>
    <r>
      <rPr>
        <sz val="11"/>
        <rFont val="Arial"/>
        <charset val="134"/>
      </rPr>
      <t>10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</si>
  <si>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 xml:space="preserve">8/06 </t>
    </r>
    <r>
      <rPr>
        <sz val="11"/>
        <color theme="1"/>
        <rFont val="宋体"/>
        <charset val="134"/>
      </rPr>
      <t>零件最高下降</t>
    </r>
    <r>
      <rPr>
        <sz val="11"/>
        <color theme="1"/>
        <rFont val="Arial"/>
        <charset val="134"/>
      </rPr>
      <t>10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</si>
  <si>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 xml:space="preserve">8/06 </t>
    </r>
    <r>
      <rPr>
        <sz val="11"/>
        <color rgb="FFFF0000"/>
        <rFont val="宋体"/>
        <charset val="134"/>
      </rPr>
      <t>零件最高下降</t>
    </r>
    <r>
      <rPr>
        <sz val="11"/>
        <color rgb="FFFF0000"/>
        <rFont val="Arial"/>
        <charset val="134"/>
      </rPr>
      <t>10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</si>
  <si>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03/20 </t>
    </r>
    <r>
      <rPr>
        <sz val="11"/>
        <rFont val="宋体"/>
        <charset val="134"/>
      </rPr>
      <t>零件大幅涨价</t>
    </r>
  </si>
  <si>
    <r>
      <rPr>
        <sz val="11"/>
        <color rgb="FFFF0000"/>
        <rFont val="Arial"/>
        <charset val="134"/>
      </rPr>
      <t xml:space="preserve">03/20 </t>
    </r>
    <r>
      <rPr>
        <sz val="11"/>
        <color rgb="FFFF0000"/>
        <rFont val="宋体"/>
        <charset val="134"/>
      </rPr>
      <t>零件大幅涨价</t>
    </r>
  </si>
  <si>
    <r>
      <rPr>
        <sz val="11"/>
        <rFont val="Arial"/>
        <charset val="134"/>
      </rPr>
      <t>01/16</t>
    </r>
    <r>
      <rPr>
        <sz val="11"/>
        <rFont val="宋体"/>
        <charset val="134"/>
      </rPr>
      <t>零件降价</t>
    </r>
    <r>
      <rPr>
        <sz val="11"/>
        <rFont val="Arial"/>
        <charset val="134"/>
      </rPr>
      <t>1~3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</si>
  <si>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01/16</t>
    </r>
    <r>
      <rPr>
        <sz val="11"/>
        <color rgb="FFFF0000"/>
        <rFont val="宋体"/>
        <charset val="134"/>
      </rPr>
      <t>零件降价</t>
    </r>
    <r>
      <rPr>
        <sz val="11"/>
        <color rgb="FFFF0000"/>
        <rFont val="Arial"/>
        <charset val="134"/>
      </rPr>
      <t>1~3</t>
    </r>
    <r>
      <rPr>
        <sz val="11"/>
        <color rgb="FFFF0000"/>
        <rFont val="宋体"/>
        <charset val="134"/>
      </rPr>
      <t>个点</t>
    </r>
  </si>
  <si>
    <t>www.subarupartsdepot.com</t>
  </si>
  <si>
    <r>
      <rPr>
        <sz val="11"/>
        <rFont val="Arial"/>
        <charset val="134"/>
      </rPr>
      <t>5.20 Dnet&lt;500</t>
    </r>
    <r>
      <rPr>
        <sz val="11"/>
        <rFont val="宋体"/>
        <charset val="134"/>
      </rPr>
      <t>的零件涨价</t>
    </r>
    <r>
      <rPr>
        <sz val="11"/>
        <rFont val="Arial"/>
        <charset val="134"/>
      </rPr>
      <t>0.3-4.3</t>
    </r>
    <r>
      <rPr>
        <sz val="11"/>
        <rFont val="宋体"/>
        <charset val="134"/>
      </rPr>
      <t>个点，Dnet&gt;500的零件降价</t>
    </r>
    <r>
      <rPr>
        <sz val="11"/>
        <rFont val="Arial"/>
        <charset val="134"/>
      </rPr>
      <t>2.1-5.1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</si>
  <si>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5.20 Dnet&lt;500</t>
    </r>
    <r>
      <rPr>
        <sz val="11"/>
        <color rgb="FFFF0000"/>
        <rFont val="宋体"/>
        <charset val="134"/>
      </rPr>
      <t>的零件涨价</t>
    </r>
    <r>
      <rPr>
        <sz val="11"/>
        <color rgb="FFFF0000"/>
        <rFont val="Arial"/>
        <charset val="134"/>
      </rPr>
      <t>0.3-4.3</t>
    </r>
    <r>
      <rPr>
        <sz val="11"/>
        <color rgb="FFFF0000"/>
        <rFont val="宋体"/>
        <charset val="134"/>
      </rPr>
      <t>个点，Dnet&gt;500的零件降价</t>
    </r>
    <r>
      <rPr>
        <sz val="11"/>
        <color rgb="FFFF0000"/>
        <rFont val="Arial"/>
        <charset val="134"/>
      </rPr>
      <t>2.1-5.1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</si>
  <si>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11/01 </t>
    </r>
    <r>
      <rPr>
        <sz val="11"/>
        <rFont val="宋体"/>
        <charset val="134"/>
      </rPr>
      <t>除</t>
    </r>
    <r>
      <rPr>
        <sz val="11"/>
        <rFont val="Arial"/>
        <charset val="134"/>
      </rPr>
      <t>&lt;20</t>
    </r>
    <r>
      <rPr>
        <sz val="11"/>
        <rFont val="宋体"/>
        <charset val="134"/>
      </rPr>
      <t>的低价区和》</t>
    </r>
    <r>
      <rPr>
        <sz val="11"/>
        <rFont val="Arial"/>
        <charset val="134"/>
      </rPr>
      <t>500</t>
    </r>
    <r>
      <rPr>
        <sz val="11"/>
        <rFont val="宋体"/>
        <charset val="134"/>
      </rPr>
      <t>的高价区，其余区间零件价格均下降</t>
    </r>
    <r>
      <rPr>
        <sz val="11"/>
        <rFont val="Arial"/>
        <charset val="134"/>
      </rPr>
      <t>0.1Markup</t>
    </r>
  </si>
  <si>
    <t>11/01 除&lt;20的低价区和》500的高价区，其余区间零件价格均下降0.1Markup</t>
  </si>
  <si>
    <t>11-01 除&lt;20的低价区和》500的高价区，其余区间零件价格均下降0.1Markup</t>
  </si>
  <si>
    <r>
      <rPr>
        <sz val="11"/>
        <rFont val="Arial"/>
        <charset val="134"/>
      </rPr>
      <t>7.14</t>
    </r>
    <r>
      <rPr>
        <sz val="11"/>
        <rFont val="宋体"/>
        <charset val="134"/>
      </rPr>
      <t>收税州调整，MO不收税，新增收税州IA、MA、WY</t>
    </r>
  </si>
  <si>
    <r>
      <rPr>
        <sz val="11"/>
        <color rgb="FFFF0000"/>
        <rFont val="Arial"/>
        <charset val="134"/>
      </rPr>
      <t>7.14</t>
    </r>
    <r>
      <rPr>
        <sz val="11"/>
        <color rgb="FFFF0000"/>
        <rFont val="宋体"/>
        <charset val="134"/>
      </rPr>
      <t>收税州调整，MO不收税，新增收税州IA、MA、WY</t>
    </r>
  </si>
  <si>
    <r>
      <rPr>
        <sz val="11"/>
        <rFont val="Arial"/>
        <charset val="134"/>
      </rPr>
      <t>01.18</t>
    </r>
    <r>
      <rPr>
        <sz val="11"/>
        <rFont val="宋体"/>
        <charset val="134"/>
      </rPr>
      <t>换公司到CA，并全面开放收Tax</t>
    </r>
  </si>
  <si>
    <r>
      <rPr>
        <sz val="11"/>
        <rFont val="Arial"/>
        <charset val="134"/>
      </rPr>
      <t xml:space="preserve">8.28 </t>
    </r>
    <r>
      <rPr>
        <sz val="11"/>
        <rFont val="宋体"/>
        <charset val="134"/>
      </rPr>
      <t>零件整体涨价</t>
    </r>
    <r>
      <rPr>
        <sz val="11"/>
        <rFont val="Arial"/>
        <charset val="134"/>
      </rPr>
      <t>1~1.7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</si>
  <si>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01.18</t>
    </r>
    <r>
      <rPr>
        <sz val="11"/>
        <color rgb="FFFF0000"/>
        <rFont val="宋体"/>
        <charset val="134"/>
      </rPr>
      <t>换公司到CA，并全面开放收Tax</t>
    </r>
  </si>
  <si>
    <r>
      <rPr>
        <sz val="11"/>
        <rFont val="Arial"/>
        <charset val="134"/>
      </rPr>
      <t>CA,NY,GA,NC,MD,NJ</t>
    </r>
    <r>
      <rPr>
        <sz val="11"/>
        <color rgb="FFFF0000"/>
        <rFont val="Arial"/>
        <charset val="134"/>
      </rPr>
      <t>,TX</t>
    </r>
  </si>
  <si>
    <r>
      <rPr>
        <sz val="11"/>
        <color rgb="FFFF0000"/>
        <rFont val="Arial"/>
        <charset val="134"/>
      </rPr>
      <t>11.12APW</t>
    </r>
    <r>
      <rPr>
        <sz val="11"/>
        <color rgb="FFFF0000"/>
        <rFont val="宋体"/>
        <charset val="134"/>
      </rPr>
      <t>网站换公司，本州由</t>
    </r>
    <r>
      <rPr>
        <sz val="11"/>
        <color rgb="FFFF0000"/>
        <rFont val="Arial"/>
        <charset val="134"/>
      </rPr>
      <t>CA</t>
    </r>
    <r>
      <rPr>
        <sz val="11"/>
        <color rgb="FFFF0000"/>
        <rFont val="宋体"/>
        <charset val="134"/>
      </rPr>
      <t>调整为</t>
    </r>
    <r>
      <rPr>
        <sz val="11"/>
        <color rgb="FFFF0000"/>
        <rFont val="Arial"/>
        <charset val="134"/>
      </rPr>
      <t>AZ</t>
    </r>
    <r>
      <rPr>
        <sz val="11"/>
        <color rgb="FFFF0000"/>
        <rFont val="宋体"/>
        <charset val="134"/>
      </rPr>
      <t>，新增</t>
    </r>
    <r>
      <rPr>
        <sz val="11"/>
        <color rgb="FFFF0000"/>
        <rFont val="Arial"/>
        <charset val="134"/>
      </rPr>
      <t>MI WI IN</t>
    </r>
    <r>
      <rPr>
        <sz val="11"/>
        <color rgb="FFFF0000"/>
        <rFont val="宋体"/>
        <charset val="134"/>
      </rPr>
      <t>收税州</t>
    </r>
  </si>
  <si>
    <t>CA,NY,GA,NC,MD,NJ</t>
  </si>
  <si>
    <r>
      <rPr>
        <sz val="11"/>
        <color theme="1"/>
        <rFont val="Arial"/>
        <charset val="134"/>
      </rPr>
      <t xml:space="preserve">8.28 </t>
    </r>
    <r>
      <rPr>
        <sz val="11"/>
        <color theme="1"/>
        <rFont val="宋体"/>
        <charset val="134"/>
      </rPr>
      <t>零件整体涨价</t>
    </r>
    <r>
      <rPr>
        <sz val="11"/>
        <color theme="1"/>
        <rFont val="Arial"/>
        <charset val="134"/>
      </rPr>
      <t>1~1.7</t>
    </r>
    <r>
      <rPr>
        <sz val="11"/>
        <color theme="1"/>
        <rFont val="宋体"/>
        <charset val="134"/>
      </rPr>
      <t>个点</t>
    </r>
  </si>
  <si>
    <r>
      <rPr>
        <sz val="11"/>
        <color theme="1"/>
        <rFont val="Arial"/>
        <charset val="134"/>
      </rPr>
      <t>8/22</t>
    </r>
    <r>
      <rPr>
        <sz val="11"/>
        <color theme="1"/>
        <rFont val="宋体"/>
        <charset val="134"/>
      </rPr>
      <t>迁至CA</t>
    </r>
  </si>
  <si>
    <r>
      <rPr>
        <sz val="11"/>
        <rFont val="Arial"/>
        <charset val="134"/>
      </rPr>
      <t>8/22</t>
    </r>
    <r>
      <rPr>
        <sz val="11"/>
        <rFont val="宋体"/>
        <charset val="134"/>
      </rPr>
      <t>迁至CA</t>
    </r>
  </si>
  <si>
    <r>
      <rPr>
        <sz val="11"/>
        <color rgb="FFFF0000"/>
        <rFont val="Arial"/>
        <charset val="134"/>
      </rPr>
      <t>CA</t>
    </r>
    <r>
      <rPr>
        <sz val="11"/>
        <rFont val="Arial"/>
        <charset val="134"/>
      </rPr>
      <t>,NY,GA,NC,MD,NJ</t>
    </r>
  </si>
  <si>
    <r>
      <rPr>
        <sz val="11"/>
        <color rgb="FFFF0000"/>
        <rFont val="Arial"/>
        <charset val="134"/>
      </rPr>
      <t xml:space="preserve">8.28 </t>
    </r>
    <r>
      <rPr>
        <sz val="11"/>
        <color rgb="FFFF0000"/>
        <rFont val="宋体"/>
        <charset val="134"/>
      </rPr>
      <t>零件整体涨价</t>
    </r>
    <r>
      <rPr>
        <sz val="11"/>
        <color rgb="FFFF0000"/>
        <rFont val="Arial"/>
        <charset val="134"/>
      </rPr>
      <t>1~1.7</t>
    </r>
    <r>
      <rPr>
        <sz val="11"/>
        <color rgb="FFFF0000"/>
        <rFont val="宋体"/>
        <charset val="134"/>
      </rPr>
      <t>个点</t>
    </r>
  </si>
  <si>
    <r>
      <rPr>
        <sz val="11"/>
        <color rgb="FFFF0000"/>
        <rFont val="Arial"/>
        <charset val="134"/>
      </rPr>
      <t>8/22</t>
    </r>
    <r>
      <rPr>
        <sz val="11"/>
        <color rgb="FFFF0000"/>
        <rFont val="宋体"/>
        <charset val="134"/>
      </rPr>
      <t>迁至CA</t>
    </r>
  </si>
  <si>
    <r>
      <rPr>
        <sz val="11"/>
        <color theme="1"/>
        <rFont val="Arial"/>
        <charset val="134"/>
      </rPr>
      <t>4.25 low</t>
    </r>
    <r>
      <rPr>
        <sz val="11"/>
        <color theme="1"/>
        <rFont val="宋体"/>
        <charset val="134"/>
      </rPr>
      <t>和</t>
    </r>
    <r>
      <rPr>
        <sz val="11"/>
        <color theme="1"/>
        <rFont val="Arial"/>
        <charset val="134"/>
      </rPr>
      <t>middle</t>
    </r>
    <r>
      <rPr>
        <sz val="11"/>
        <color theme="1"/>
        <rFont val="宋体"/>
        <charset val="134"/>
      </rPr>
      <t>档降价</t>
    </r>
    <r>
      <rPr>
        <sz val="11"/>
        <color theme="1"/>
        <rFont val="Arial"/>
        <charset val="134"/>
      </rPr>
      <t>2</t>
    </r>
    <r>
      <rPr>
        <sz val="11"/>
        <color theme="1"/>
        <rFont val="宋体"/>
        <charset val="134"/>
      </rPr>
      <t>个点，high和ultrahigh档降价1个点</t>
    </r>
  </si>
  <si>
    <r>
      <rPr>
        <sz val="11"/>
        <color rgb="FFFF0000"/>
        <rFont val="Arial"/>
        <charset val="134"/>
      </rPr>
      <t>4.25 low</t>
    </r>
    <r>
      <rPr>
        <sz val="11"/>
        <color rgb="FFFF0000"/>
        <rFont val="宋体"/>
        <charset val="134"/>
      </rPr>
      <t>和</t>
    </r>
    <r>
      <rPr>
        <sz val="11"/>
        <color rgb="FFFF0000"/>
        <rFont val="Arial"/>
        <charset val="134"/>
      </rPr>
      <t>middle</t>
    </r>
    <r>
      <rPr>
        <sz val="11"/>
        <color rgb="FFFF0000"/>
        <rFont val="宋体"/>
        <charset val="134"/>
      </rPr>
      <t>档降价</t>
    </r>
    <r>
      <rPr>
        <sz val="11"/>
        <color rgb="FFFF0000"/>
        <rFont val="Arial"/>
        <charset val="134"/>
      </rPr>
      <t>2</t>
    </r>
    <r>
      <rPr>
        <sz val="11"/>
        <color rgb="FFFF0000"/>
        <rFont val="宋体"/>
        <charset val="134"/>
      </rPr>
      <t>个点，high和ultrahigh档降价1个点</t>
    </r>
  </si>
  <si>
    <t>07/11 MSRP&lt;200零件涨价0.5个点</t>
  </si>
  <si>
    <r>
      <rPr>
        <sz val="11"/>
        <rFont val="Arial"/>
        <charset val="134"/>
      </rPr>
      <t>06/09 MSRP 350/400</t>
    </r>
    <r>
      <rPr>
        <sz val="11"/>
        <rFont val="宋体"/>
        <charset val="134"/>
      </rPr>
      <t>的零件降价</t>
    </r>
  </si>
  <si>
    <t>06/09 MSRP 350/400的零件降价</t>
  </si>
  <si>
    <t>7/2 上调1.7个点</t>
  </si>
  <si>
    <t>上调1个点</t>
  </si>
  <si>
    <t>20201026零件统一涨价到1.35</t>
  </si>
  <si>
    <t>02/27 零件大幅降价</t>
  </si>
  <si>
    <t>CA,TX,'NY','GA','NC','MD','NJ','MN','IN','WI','MI','KY','CT','UT','HI','NV','WA','NE','WV','CO','SC','AZ','VA','PA','AR','OH',MA,OK,RI,ME,TN</t>
  </si>
  <si>
    <r>
      <rPr>
        <sz val="11"/>
        <rFont val="Arial"/>
        <charset val="134"/>
      </rPr>
      <t>5.20 Dnet&gt;200</t>
    </r>
    <r>
      <rPr>
        <sz val="11"/>
        <rFont val="宋体"/>
        <charset val="134"/>
      </rPr>
      <t>的零件降价</t>
    </r>
    <r>
      <rPr>
        <sz val="11"/>
        <rFont val="Arial"/>
        <charset val="134"/>
      </rPr>
      <t>2</t>
    </r>
    <r>
      <rPr>
        <sz val="11"/>
        <rFont val="宋体"/>
        <charset val="134"/>
      </rPr>
      <t>个点</t>
    </r>
  </si>
  <si>
    <r>
      <rPr>
        <sz val="11"/>
        <rFont val="Arial"/>
        <charset val="134"/>
      </rPr>
      <t>CA,TX,'NY','GA','NC','MD','NJ','MN','IN','WI','MI','KY','CT','UT','HI','NV','WA','NE','WV','CO','SC','AZ','VA','PA','AR','OH',MA,OK,RI,ME,</t>
    </r>
    <r>
      <rPr>
        <sz val="11"/>
        <color rgb="FFFF0000"/>
        <rFont val="Arial"/>
        <charset val="134"/>
      </rPr>
      <t>TN</t>
    </r>
  </si>
  <si>
    <r>
      <rPr>
        <sz val="11"/>
        <rFont val="Arial"/>
        <charset val="134"/>
      </rPr>
      <t>7.30</t>
    </r>
    <r>
      <rPr>
        <sz val="11"/>
        <rFont val="宋体"/>
        <charset val="134"/>
      </rPr>
      <t>收税州调整，MO不收税，新增收税州MA,OK,RI,ME</t>
    </r>
  </si>
  <si>
    <t>CA,TX,'NY','GA','NC','MD','NJ','MN','IN','WI','MI','KY','CT','UT','HI','NV','WA','NE','WV','CO','SC','AZ','VA','PA','AR','OH',MA,OK,RI,ME</t>
  </si>
  <si>
    <r>
      <rPr>
        <sz val="11"/>
        <color rgb="FFFF0000"/>
        <rFont val="Arial"/>
        <charset val="134"/>
      </rPr>
      <t>7.30</t>
    </r>
    <r>
      <rPr>
        <sz val="11"/>
        <color rgb="FFFF0000"/>
        <rFont val="宋体"/>
        <charset val="134"/>
      </rPr>
      <t>收税州调整，MO不收税，新增收税州MA,OK,RI,ME</t>
    </r>
  </si>
  <si>
    <r>
      <rPr>
        <sz val="11"/>
        <rFont val="Arial"/>
        <charset val="134"/>
      </rPr>
      <t>CA,TX,'NY','GA','NC','MD','NJ','MN','IN','WI','MI','KY','CT','UT','HI','NV','WA','NE','WV','CO','SC','AZ','VA','PA','AR','OH',</t>
    </r>
    <r>
      <rPr>
        <sz val="11"/>
        <color rgb="FFFF0000"/>
        <rFont val="Arial"/>
        <charset val="134"/>
      </rPr>
      <t>MA,OK,RI,ME</t>
    </r>
  </si>
  <si>
    <r>
      <rPr>
        <sz val="11"/>
        <rFont val="Arial"/>
        <charset val="134"/>
      </rPr>
      <t>02.14</t>
    </r>
    <r>
      <rPr>
        <sz val="11"/>
        <rFont val="宋体"/>
        <charset val="134"/>
      </rPr>
      <t>开放全面收税</t>
    </r>
  </si>
  <si>
    <t>CA,TX,'NY','GA','NC','MD','NJ','MN','IN','WI','MI','KY','CT','UT','HI','NV','WA','NE','WV','CO','SC','AZ','VA','PA','MO','AR','OH'</t>
  </si>
  <si>
    <r>
      <rPr>
        <sz val="11"/>
        <color rgb="FFFF0000"/>
        <rFont val="Arial"/>
        <charset val="134"/>
      </rPr>
      <t>5.20 Dnet&gt;200</t>
    </r>
    <r>
      <rPr>
        <sz val="11"/>
        <color rgb="FFFF0000"/>
        <rFont val="宋体"/>
        <charset val="134"/>
      </rPr>
      <t>的零件降价</t>
    </r>
    <r>
      <rPr>
        <sz val="11"/>
        <color rgb="FFFF0000"/>
        <rFont val="Arial"/>
        <charset val="134"/>
      </rPr>
      <t>2</t>
    </r>
    <r>
      <rPr>
        <sz val="11"/>
        <color rgb="FFFF0000"/>
        <rFont val="宋体"/>
        <charset val="134"/>
      </rPr>
      <t>个点</t>
    </r>
  </si>
  <si>
    <r>
      <rPr>
        <sz val="11"/>
        <color rgb="FFFF0000"/>
        <rFont val="Arial"/>
        <charset val="134"/>
      </rPr>
      <t>02.14</t>
    </r>
    <r>
      <rPr>
        <sz val="11"/>
        <color rgb="FFFF0000"/>
        <rFont val="宋体"/>
        <charset val="134"/>
      </rPr>
      <t>开放全面收税</t>
    </r>
  </si>
  <si>
    <r>
      <rPr>
        <sz val="11"/>
        <rFont val="Arial"/>
        <charset val="134"/>
      </rPr>
      <t>CA,TX,</t>
    </r>
    <r>
      <rPr>
        <sz val="11"/>
        <color rgb="FFFF0000"/>
        <rFont val="Arial"/>
        <charset val="134"/>
      </rPr>
      <t>'NY','GA','NC','MD','NJ','MN','IN','WI','MI','KY','CT','UT','HI','NV','WA','NE','WV','CO','SC','AZ','VA','PA','MO','AR','OH'</t>
    </r>
  </si>
  <si>
    <r>
      <rPr>
        <sz val="11"/>
        <rFont val="Arial"/>
        <charset val="134"/>
      </rPr>
      <t>10.12 Dnet&gt;100</t>
    </r>
    <r>
      <rPr>
        <sz val="11"/>
        <rFont val="宋体"/>
        <charset val="134"/>
      </rPr>
      <t>零件降价</t>
    </r>
    <r>
      <rPr>
        <sz val="11"/>
        <rFont val="Arial"/>
        <charset val="134"/>
      </rPr>
      <t>1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</si>
  <si>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10.12 Dnet&gt;100</t>
    </r>
    <r>
      <rPr>
        <sz val="11"/>
        <color rgb="FFFF0000"/>
        <rFont val="宋体"/>
        <charset val="134"/>
      </rPr>
      <t>零件降价</t>
    </r>
    <r>
      <rPr>
        <sz val="11"/>
        <color rgb="FFFF0000"/>
        <rFont val="Arial"/>
        <charset val="134"/>
      </rPr>
      <t>1</t>
    </r>
    <r>
      <rPr>
        <sz val="11"/>
        <color rgb="FFFF0000"/>
        <rFont val="宋体"/>
        <charset val="134"/>
      </rPr>
      <t>个点</t>
    </r>
  </si>
  <si>
    <r>
      <rPr>
        <sz val="11"/>
        <color theme="1"/>
        <rFont val="Arial"/>
        <charset val="134"/>
      </rPr>
      <t>8/09</t>
    </r>
    <r>
      <rPr>
        <sz val="11"/>
        <color theme="1"/>
        <rFont val="宋体"/>
        <charset val="134"/>
      </rPr>
      <t>整体涨了</t>
    </r>
    <r>
      <rPr>
        <sz val="11"/>
        <color theme="1"/>
        <rFont val="Arial"/>
        <charset val="134"/>
      </rPr>
      <t>1~6</t>
    </r>
    <r>
      <rPr>
        <sz val="11"/>
        <color theme="1"/>
        <rFont val="宋体"/>
        <charset val="134"/>
      </rPr>
      <t>个点</t>
    </r>
  </si>
  <si>
    <r>
      <rPr>
        <sz val="11"/>
        <rFont val="Arial"/>
        <charset val="134"/>
      </rPr>
      <t>8/09</t>
    </r>
    <r>
      <rPr>
        <sz val="11"/>
        <rFont val="宋体"/>
        <charset val="134"/>
      </rPr>
      <t>整体涨了</t>
    </r>
    <r>
      <rPr>
        <sz val="11"/>
        <rFont val="Arial"/>
        <charset val="134"/>
      </rPr>
      <t>1~6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</si>
  <si>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8/09</t>
    </r>
    <r>
      <rPr>
        <sz val="11"/>
        <color rgb="FFFF0000"/>
        <rFont val="宋体"/>
        <charset val="134"/>
      </rPr>
      <t>整体涨了</t>
    </r>
    <r>
      <rPr>
        <sz val="11"/>
        <color rgb="FFFF0000"/>
        <rFont val="Arial"/>
        <charset val="134"/>
      </rPr>
      <t>1~6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</si>
  <si>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11/28 </t>
    </r>
    <r>
      <rPr>
        <sz val="11"/>
        <rFont val="宋体"/>
        <charset val="134"/>
      </rPr>
      <t>普通零件以及</t>
    </r>
    <r>
      <rPr>
        <sz val="11"/>
        <rFont val="Arial"/>
        <charset val="134"/>
      </rPr>
      <t>ACC</t>
    </r>
    <r>
      <rPr>
        <sz val="11"/>
        <rFont val="宋体"/>
        <charset val="134"/>
      </rPr>
      <t>零件均涨价</t>
    </r>
  </si>
  <si>
    <t>运费调价</t>
  </si>
  <si>
    <t>01/02 统一价格区间</t>
  </si>
  <si>
    <r>
      <rPr>
        <sz val="11"/>
        <rFont val="Arial"/>
        <charset val="134"/>
      </rPr>
      <t xml:space="preserve">09/04 </t>
    </r>
    <r>
      <rPr>
        <sz val="11"/>
        <rFont val="宋体"/>
        <charset val="134"/>
      </rPr>
      <t>零件略涨价</t>
    </r>
  </si>
  <si>
    <t>09/04 零件略涨价</t>
  </si>
  <si>
    <r>
      <rPr>
        <sz val="11"/>
        <rFont val="Arial"/>
        <charset val="134"/>
      </rPr>
      <t>5.12 MSRP&lt;35</t>
    </r>
    <r>
      <rPr>
        <sz val="11"/>
        <rFont val="宋体"/>
        <charset val="134"/>
      </rPr>
      <t>的零件涨价</t>
    </r>
    <r>
      <rPr>
        <sz val="11"/>
        <rFont val="Arial"/>
        <charset val="134"/>
      </rPr>
      <t>5</t>
    </r>
    <r>
      <rPr>
        <sz val="11"/>
        <rFont val="宋体"/>
        <charset val="134"/>
      </rPr>
      <t>个点，Markup=1.4</t>
    </r>
  </si>
  <si>
    <r>
      <rPr>
        <sz val="11"/>
        <color rgb="FFFF0000"/>
        <rFont val="Arial"/>
        <charset val="134"/>
      </rPr>
      <t>5.12 MSRP&lt;35</t>
    </r>
    <r>
      <rPr>
        <sz val="11"/>
        <color rgb="FFFF0000"/>
        <rFont val="宋体"/>
        <charset val="134"/>
      </rPr>
      <t>的零件涨价</t>
    </r>
    <r>
      <rPr>
        <sz val="11"/>
        <color rgb="FFFF0000"/>
        <rFont val="Arial"/>
        <charset val="134"/>
      </rPr>
      <t>5</t>
    </r>
    <r>
      <rPr>
        <sz val="11"/>
        <color rgb="FFFF0000"/>
        <rFont val="宋体"/>
        <charset val="134"/>
      </rPr>
      <t>个点，Markup=1.4</t>
    </r>
  </si>
  <si>
    <r>
      <rPr>
        <sz val="11"/>
        <rFont val="Arial"/>
        <charset val="134"/>
      </rPr>
      <t>03.10</t>
    </r>
    <r>
      <rPr>
        <sz val="11"/>
        <rFont val="宋体"/>
        <charset val="134"/>
      </rPr>
      <t>降价，统一Markup=1.35</t>
    </r>
  </si>
  <si>
    <r>
      <rPr>
        <sz val="11"/>
        <color rgb="FFFF0000"/>
        <rFont val="Arial"/>
        <charset val="134"/>
      </rPr>
      <t>03.10</t>
    </r>
    <r>
      <rPr>
        <sz val="11"/>
        <color rgb="FFFF0000"/>
        <rFont val="宋体"/>
        <charset val="134"/>
      </rPr>
      <t>降价，统一Markup=1.35</t>
    </r>
  </si>
  <si>
    <r>
      <rPr>
        <sz val="11"/>
        <rFont val="Arial"/>
        <charset val="134"/>
      </rPr>
      <t>04/17</t>
    </r>
    <r>
      <rPr>
        <sz val="11"/>
        <rFont val="宋体"/>
        <charset val="134"/>
      </rPr>
      <t>零件涨价</t>
    </r>
    <r>
      <rPr>
        <sz val="11"/>
        <rFont val="Arial"/>
        <charset val="134"/>
      </rPr>
      <t>13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</si>
  <si>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>04/17</t>
    </r>
    <r>
      <rPr>
        <sz val="11"/>
        <color theme="1"/>
        <rFont val="宋体"/>
        <charset val="134"/>
      </rPr>
      <t>零件涨价</t>
    </r>
    <r>
      <rPr>
        <sz val="11"/>
        <color theme="1"/>
        <rFont val="Arial"/>
        <charset val="134"/>
      </rPr>
      <t>13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</si>
  <si>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>04/17</t>
    </r>
    <r>
      <rPr>
        <sz val="11"/>
        <color rgb="FFFF0000"/>
        <rFont val="宋体"/>
        <charset val="134"/>
      </rPr>
      <t>零件涨价</t>
    </r>
    <r>
      <rPr>
        <sz val="11"/>
        <color rgb="FFFF0000"/>
        <rFont val="Arial"/>
        <charset val="134"/>
      </rPr>
      <t>13</t>
    </r>
    <r>
      <rPr>
        <sz val="11"/>
        <color rgb="FFFF0000"/>
        <rFont val="宋体"/>
        <charset val="134"/>
      </rPr>
      <t>个点</t>
    </r>
  </si>
  <si>
    <r>
      <rPr>
        <sz val="11"/>
        <color rgb="FFFF0000"/>
        <rFont val="Arial"/>
        <charset val="134"/>
      </rPr>
      <t>03/06</t>
    </r>
    <r>
      <rPr>
        <sz val="11"/>
        <color rgb="FFFF0000"/>
        <rFont val="宋体"/>
        <charset val="134"/>
      </rPr>
      <t>零件涨价</t>
    </r>
    <r>
      <rPr>
        <sz val="11"/>
        <color rgb="FFFF0000"/>
        <rFont val="Arial"/>
        <charset val="134"/>
      </rPr>
      <t>3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</si>
  <si>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11.01 </t>
    </r>
    <r>
      <rPr>
        <sz val="11"/>
        <rFont val="宋体"/>
        <charset val="134"/>
      </rPr>
      <t>统一价格区间，略微涨价</t>
    </r>
  </si>
  <si>
    <t>10% off shipping over $200</t>
  </si>
  <si>
    <r>
      <rPr>
        <sz val="11"/>
        <rFont val="宋体"/>
        <charset val="134"/>
      </rPr>
      <t>订单金额满</t>
    </r>
    <r>
      <rPr>
        <sz val="11"/>
        <rFont val="Arial"/>
        <charset val="134"/>
      </rPr>
      <t>$200</t>
    </r>
    <r>
      <rPr>
        <sz val="11"/>
        <rFont val="宋体"/>
        <charset val="134"/>
      </rPr>
      <t>，运费减免</t>
    </r>
    <r>
      <rPr>
        <sz val="11"/>
        <rFont val="Arial"/>
        <charset val="134"/>
      </rPr>
      <t>10%</t>
    </r>
  </si>
  <si>
    <r>
      <rPr>
        <sz val="11"/>
        <rFont val="Arial"/>
        <charset val="134"/>
      </rPr>
      <t>2</t>
    </r>
    <r>
      <rPr>
        <sz val="11"/>
        <rFont val="宋体"/>
        <charset val="134"/>
      </rPr>
      <t>月新增竞争者</t>
    </r>
  </si>
  <si>
    <r>
      <rPr>
        <sz val="11"/>
        <color rgb="FFFF0000"/>
        <rFont val="Arial"/>
        <charset val="134"/>
      </rPr>
      <t>2</t>
    </r>
    <r>
      <rPr>
        <sz val="11"/>
        <color rgb="FFFF0000"/>
        <rFont val="宋体"/>
        <charset val="134"/>
      </rPr>
      <t>月新增竞争者</t>
    </r>
  </si>
  <si>
    <r>
      <rPr>
        <sz val="11"/>
        <color rgb="FFFF0000"/>
        <rFont val="宋体"/>
        <charset val="134"/>
      </rPr>
      <t>订单金额满</t>
    </r>
    <r>
      <rPr>
        <sz val="11"/>
        <color rgb="FFFF0000"/>
        <rFont val="Arial"/>
        <charset val="134"/>
      </rPr>
      <t>$200</t>
    </r>
    <r>
      <rPr>
        <sz val="11"/>
        <color rgb="FFFF0000"/>
        <rFont val="宋体"/>
        <charset val="134"/>
      </rPr>
      <t>，运费减免</t>
    </r>
    <r>
      <rPr>
        <sz val="11"/>
        <color rgb="FFFF0000"/>
        <rFont val="Arial"/>
        <charset val="134"/>
      </rPr>
      <t>10%</t>
    </r>
  </si>
  <si>
    <r>
      <rPr>
        <sz val="11"/>
        <color theme="1"/>
        <rFont val="Arial"/>
        <charset val="134"/>
      </rPr>
      <t>CA,TX</t>
    </r>
    <r>
      <rPr>
        <sz val="11"/>
        <color theme="1"/>
        <rFont val="宋体"/>
        <charset val="134"/>
      </rPr>
      <t>，</t>
    </r>
    <r>
      <rPr>
        <sz val="11"/>
        <color theme="1"/>
        <rFont val="Arial"/>
        <charset val="134"/>
      </rPr>
      <t>'NY','GA','NC','MD','NJ','MN','IN','WI','MI','KY','CT','UT','HI','NV','WA','NE','WV','CO','SC','AZ','VA','PA',''AR','OH',MA,OK,RI,ME,TN</t>
    </r>
  </si>
  <si>
    <r>
      <rPr>
        <sz val="11"/>
        <rFont val="Arial"/>
        <charset val="134"/>
      </rPr>
      <t>6.10 Dnet&lt;150</t>
    </r>
    <r>
      <rPr>
        <sz val="11"/>
        <rFont val="宋体"/>
        <charset val="134"/>
      </rPr>
      <t>的零件降价</t>
    </r>
    <r>
      <rPr>
        <sz val="11"/>
        <rFont val="Arial"/>
        <charset val="134"/>
      </rPr>
      <t>0.2</t>
    </r>
    <r>
      <rPr>
        <sz val="11"/>
        <rFont val="宋体"/>
        <charset val="134"/>
      </rPr>
      <t>个点</t>
    </r>
  </si>
  <si>
    <r>
      <rPr>
        <sz val="11"/>
        <rFont val="Arial"/>
        <charset val="134"/>
      </rPr>
      <t>CA,TX</t>
    </r>
    <r>
      <rPr>
        <sz val="11"/>
        <rFont val="宋体"/>
        <charset val="134"/>
      </rPr>
      <t>，</t>
    </r>
    <r>
      <rPr>
        <sz val="11"/>
        <rFont val="Arial"/>
        <charset val="134"/>
      </rPr>
      <t>'NY','GA','NC','MD','NJ','MN','IN','WI','MI','KY','CT','UT','HI','NV','WA','NE','WV','CO','SC','AZ','VA','PA',''AR','OH',MA,OK,RI,ME,</t>
    </r>
    <r>
      <rPr>
        <sz val="11"/>
        <color rgb="FFFF0000"/>
        <rFont val="Arial"/>
        <charset val="134"/>
      </rPr>
      <t>TN</t>
    </r>
  </si>
  <si>
    <r>
      <rPr>
        <sz val="11"/>
        <rFont val="Arial"/>
        <charset val="134"/>
      </rPr>
      <t>7.29</t>
    </r>
    <r>
      <rPr>
        <sz val="11"/>
        <rFont val="宋体"/>
        <charset val="134"/>
      </rPr>
      <t>收税州调整，MO不收税，新增收税州MA,OK,RI,ME</t>
    </r>
  </si>
  <si>
    <r>
      <rPr>
        <sz val="11"/>
        <rFont val="Arial"/>
        <charset val="134"/>
      </rPr>
      <t>CA,TX</t>
    </r>
    <r>
      <rPr>
        <sz val="11"/>
        <rFont val="宋体"/>
        <charset val="134"/>
      </rPr>
      <t>，</t>
    </r>
    <r>
      <rPr>
        <sz val="11"/>
        <rFont val="Arial"/>
        <charset val="134"/>
      </rPr>
      <t>'NY','GA','NC','MD','NJ','MN','IN','WI','MI','KY','CT','UT','HI','NV','WA','NE','WV','CO','SC','AZ','VA','PA',''AR','OH',MA,OK,RI,ME</t>
    </r>
  </si>
  <si>
    <r>
      <rPr>
        <sz val="11"/>
        <color rgb="FFFF0000"/>
        <rFont val="Arial"/>
        <charset val="134"/>
      </rPr>
      <t>7.29</t>
    </r>
    <r>
      <rPr>
        <sz val="11"/>
        <color rgb="FFFF0000"/>
        <rFont val="宋体"/>
        <charset val="134"/>
      </rPr>
      <t>收税州调整，MO不收税，新增收税州MA,OK,RI,ME</t>
    </r>
  </si>
  <si>
    <r>
      <rPr>
        <sz val="11"/>
        <rFont val="Arial"/>
        <charset val="134"/>
      </rPr>
      <t>CA,TX</t>
    </r>
    <r>
      <rPr>
        <sz val="11"/>
        <rFont val="宋体"/>
        <charset val="134"/>
      </rPr>
      <t>，</t>
    </r>
    <r>
      <rPr>
        <sz val="11"/>
        <rFont val="Arial"/>
        <charset val="134"/>
      </rPr>
      <t>'NY','GA','NC','MD','NJ','MN','IN','WI','MI','KY','CT','UT','HI','NV','WA','NE','WV','CO','SC','AZ','VA','PA',''AR','OH',</t>
    </r>
    <r>
      <rPr>
        <sz val="11"/>
        <color rgb="FFFF0000"/>
        <rFont val="Arial"/>
        <charset val="134"/>
      </rPr>
      <t>MA,OK,RI,ME</t>
    </r>
  </si>
  <si>
    <r>
      <rPr>
        <sz val="11"/>
        <rFont val="Arial"/>
        <charset val="134"/>
      </rPr>
      <t>02.19</t>
    </r>
    <r>
      <rPr>
        <sz val="11"/>
        <rFont val="宋体"/>
        <charset val="134"/>
      </rPr>
      <t>开放全面收税</t>
    </r>
  </si>
  <si>
    <r>
      <rPr>
        <sz val="11"/>
        <rFont val="Arial"/>
        <charset val="134"/>
      </rPr>
      <t>CA,TX</t>
    </r>
    <r>
      <rPr>
        <sz val="11"/>
        <rFont val="宋体"/>
        <charset val="134"/>
      </rPr>
      <t>，</t>
    </r>
    <r>
      <rPr>
        <sz val="11"/>
        <rFont val="Arial"/>
        <charset val="134"/>
      </rPr>
      <t>'NY','GA','NC','MD','NJ','MN','IN','WI','MI','KY','CT','UT','HI','NV','WA','NE','WV','CO','SC','AZ','VA','PA','MO','AR','OH'</t>
    </r>
  </si>
  <si>
    <r>
      <rPr>
        <sz val="11"/>
        <color rgb="FFFF0000"/>
        <rFont val="Arial"/>
        <charset val="134"/>
      </rPr>
      <t>6.10 Dnet&lt;150</t>
    </r>
    <r>
      <rPr>
        <sz val="11"/>
        <color rgb="FFFF0000"/>
        <rFont val="宋体"/>
        <charset val="134"/>
      </rPr>
      <t>的零件降价</t>
    </r>
    <r>
      <rPr>
        <sz val="11"/>
        <color rgb="FFFF0000"/>
        <rFont val="Arial"/>
        <charset val="134"/>
      </rPr>
      <t>0.2</t>
    </r>
    <r>
      <rPr>
        <sz val="11"/>
        <color rgb="FFFF0000"/>
        <rFont val="宋体"/>
        <charset val="134"/>
      </rPr>
      <t>个点</t>
    </r>
  </si>
  <si>
    <r>
      <rPr>
        <sz val="11"/>
        <color rgb="FFFF0000"/>
        <rFont val="Arial"/>
        <charset val="134"/>
      </rPr>
      <t>02.19</t>
    </r>
    <r>
      <rPr>
        <sz val="11"/>
        <color rgb="FFFF0000"/>
        <rFont val="宋体"/>
        <charset val="134"/>
      </rPr>
      <t>开放全面收税</t>
    </r>
  </si>
  <si>
    <r>
      <rPr>
        <sz val="11"/>
        <rFont val="Arial"/>
        <charset val="134"/>
      </rPr>
      <t>CA,TX</t>
    </r>
    <r>
      <rPr>
        <sz val="11"/>
        <rFont val="宋体"/>
        <charset val="134"/>
      </rPr>
      <t>，</t>
    </r>
    <r>
      <rPr>
        <sz val="11"/>
        <color rgb="FFFF0000"/>
        <rFont val="Arial"/>
        <charset val="134"/>
      </rPr>
      <t>'NY','GA','NC','MD','NJ','MN','IN','WI','MI','KY','CT','UT','HI','NV','WA','NE','WV','CO','SC','AZ','VA','PA','MO','AR','OH'</t>
    </r>
  </si>
  <si>
    <r>
      <rPr>
        <sz val="11"/>
        <rFont val="Arial"/>
        <charset val="134"/>
      </rPr>
      <t xml:space="preserve">6.14 </t>
    </r>
    <r>
      <rPr>
        <sz val="11"/>
        <rFont val="宋体"/>
        <charset val="134"/>
      </rPr>
      <t>部分零件降价</t>
    </r>
    <r>
      <rPr>
        <sz val="11"/>
        <rFont val="Arial"/>
        <charset val="134"/>
      </rPr>
      <t>1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</si>
  <si>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 xml:space="preserve">6.14 </t>
    </r>
    <r>
      <rPr>
        <sz val="11"/>
        <color theme="1"/>
        <rFont val="宋体"/>
        <charset val="134"/>
      </rPr>
      <t>部分零件降价</t>
    </r>
    <r>
      <rPr>
        <sz val="11"/>
        <color theme="1"/>
        <rFont val="Arial"/>
        <charset val="134"/>
      </rPr>
      <t>1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</si>
  <si>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 xml:space="preserve">6.14 </t>
    </r>
    <r>
      <rPr>
        <sz val="11"/>
        <color rgb="FFFF0000"/>
        <rFont val="宋体"/>
        <charset val="134"/>
      </rPr>
      <t>部分零件降价</t>
    </r>
    <r>
      <rPr>
        <sz val="11"/>
        <color rgb="FFFF0000"/>
        <rFont val="Arial"/>
        <charset val="134"/>
      </rPr>
      <t>1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</si>
  <si>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02/19 </t>
    </r>
    <r>
      <rPr>
        <sz val="11"/>
        <rFont val="宋体"/>
        <charset val="134"/>
      </rPr>
      <t>零件涨价</t>
    </r>
  </si>
  <si>
    <r>
      <rPr>
        <sz val="11"/>
        <color rgb="FFFF0000"/>
        <rFont val="Arial"/>
        <charset val="134"/>
      </rPr>
      <t xml:space="preserve">02/19 </t>
    </r>
    <r>
      <rPr>
        <sz val="11"/>
        <color rgb="FFFF0000"/>
        <rFont val="宋体"/>
        <charset val="134"/>
      </rPr>
      <t>零件涨价</t>
    </r>
  </si>
  <si>
    <t>www.kiapartsoverstock.com</t>
  </si>
  <si>
    <r>
      <rPr>
        <sz val="11"/>
        <rFont val="Arial"/>
        <charset val="134"/>
      </rPr>
      <t>5.26</t>
    </r>
    <r>
      <rPr>
        <sz val="11"/>
        <rFont val="宋体"/>
        <charset val="134"/>
      </rPr>
      <t>发现关站了</t>
    </r>
  </si>
  <si>
    <r>
      <rPr>
        <sz val="11"/>
        <color rgb="FFFF0000"/>
        <rFont val="Arial"/>
        <charset val="134"/>
      </rPr>
      <t>5.26</t>
    </r>
    <r>
      <rPr>
        <sz val="11"/>
        <color rgb="FFFF0000"/>
        <rFont val="宋体"/>
        <charset val="134"/>
      </rPr>
      <t>发现关站了</t>
    </r>
  </si>
  <si>
    <r>
      <rPr>
        <sz val="11"/>
        <rFont val="Arial"/>
        <charset val="134"/>
      </rPr>
      <t>10.22 Dnet&gt;10</t>
    </r>
    <r>
      <rPr>
        <sz val="11"/>
        <rFont val="宋体"/>
        <charset val="134"/>
      </rPr>
      <t>的零件涨价统一定价</t>
    </r>
    <r>
      <rPr>
        <sz val="11"/>
        <rFont val="Arial"/>
        <charset val="134"/>
      </rPr>
      <t>1.3</t>
    </r>
  </si>
  <si>
    <r>
      <rPr>
        <sz val="11"/>
        <color rgb="FFFF0000"/>
        <rFont val="Arial"/>
        <charset val="134"/>
      </rPr>
      <t>10.22 Dnet&gt;10</t>
    </r>
    <r>
      <rPr>
        <sz val="11"/>
        <color rgb="FFFF0000"/>
        <rFont val="宋体"/>
        <charset val="134"/>
      </rPr>
      <t>的零件涨价统一定价</t>
    </r>
    <r>
      <rPr>
        <sz val="11"/>
        <color rgb="FFFF0000"/>
        <rFont val="Arial"/>
        <charset val="134"/>
      </rPr>
      <t>1.3</t>
    </r>
  </si>
  <si>
    <t>www.kiapartsdepartment.com</t>
  </si>
  <si>
    <t>www.kiacarparts.net</t>
  </si>
  <si>
    <r>
      <rPr>
        <sz val="11"/>
        <rFont val="Arial"/>
        <charset val="134"/>
      </rPr>
      <t xml:space="preserve">05/31 </t>
    </r>
    <r>
      <rPr>
        <sz val="11"/>
        <rFont val="宋体"/>
        <charset val="134"/>
      </rPr>
      <t>不接受新订单</t>
    </r>
  </si>
  <si>
    <t>05/31 不接受新订单</t>
  </si>
  <si>
    <r>
      <rPr>
        <sz val="11"/>
        <rFont val="宋体"/>
        <charset val="134"/>
      </rPr>
      <t>订单金额大于</t>
    </r>
    <r>
      <rPr>
        <sz val="11"/>
        <rFont val="Arial"/>
        <charset val="134"/>
      </rPr>
      <t>$50,</t>
    </r>
    <r>
      <rPr>
        <sz val="11"/>
        <rFont val="宋体"/>
        <charset val="134"/>
      </rPr>
      <t>运费</t>
    </r>
    <r>
      <rPr>
        <sz val="11"/>
        <rFont val="Arial"/>
        <charset val="134"/>
      </rPr>
      <t>9</t>
    </r>
    <r>
      <rPr>
        <sz val="11"/>
        <rFont val="宋体"/>
        <charset val="134"/>
      </rPr>
      <t>折</t>
    </r>
  </si>
  <si>
    <r>
      <rPr>
        <sz val="11"/>
        <color rgb="FFFF0000"/>
        <rFont val="宋体"/>
        <charset val="134"/>
      </rPr>
      <t>订单金额大于</t>
    </r>
    <r>
      <rPr>
        <sz val="11"/>
        <color rgb="FFFF0000"/>
        <rFont val="Arial"/>
        <charset val="134"/>
      </rPr>
      <t>$50,</t>
    </r>
    <r>
      <rPr>
        <sz val="11"/>
        <color rgb="FFFF0000"/>
        <rFont val="宋体"/>
        <charset val="134"/>
      </rPr>
      <t>运费</t>
    </r>
    <r>
      <rPr>
        <sz val="11"/>
        <color rgb="FFFF0000"/>
        <rFont val="Arial"/>
        <charset val="134"/>
      </rPr>
      <t>9</t>
    </r>
    <r>
      <rPr>
        <sz val="11"/>
        <color rgb="FFFF0000"/>
        <rFont val="宋体"/>
        <charset val="134"/>
      </rPr>
      <t>折</t>
    </r>
  </si>
  <si>
    <t>官网，Trademotion</t>
  </si>
  <si>
    <r>
      <rPr>
        <sz val="11"/>
        <rFont val="Arial"/>
        <charset val="134"/>
      </rPr>
      <t>8.8</t>
    </r>
    <r>
      <rPr>
        <sz val="11"/>
        <rFont val="宋体"/>
        <charset val="134"/>
      </rPr>
      <t>收税州调整，MO不收税，新增收税州MA</t>
    </r>
  </si>
  <si>
    <r>
      <rPr>
        <sz val="11"/>
        <color rgb="FFFF0000"/>
        <rFont val="Arial"/>
        <charset val="134"/>
      </rPr>
      <t>8.8</t>
    </r>
    <r>
      <rPr>
        <sz val="11"/>
        <color rgb="FFFF0000"/>
        <rFont val="宋体"/>
        <charset val="134"/>
      </rPr>
      <t>收税州调整，MO不收税，新增收税州MA</t>
    </r>
  </si>
  <si>
    <r>
      <rPr>
        <sz val="11"/>
        <rFont val="Arial"/>
        <charset val="134"/>
      </rPr>
      <t>7.1</t>
    </r>
    <r>
      <rPr>
        <sz val="11"/>
        <rFont val="宋体"/>
        <charset val="134"/>
      </rPr>
      <t>换公司到CA</t>
    </r>
  </si>
  <si>
    <r>
      <rPr>
        <sz val="11"/>
        <color rgb="FFFF0000"/>
        <rFont val="Arial"/>
        <charset val="134"/>
      </rPr>
      <t>NY,GA,NC,MD,NJ,IN,WI,MI,CA</t>
    </r>
    <r>
      <rPr>
        <sz val="11"/>
        <rFont val="Arial"/>
        <charset val="134"/>
      </rPr>
      <t>,TX,</t>
    </r>
    <r>
      <rPr>
        <sz val="11"/>
        <color rgb="FFFF0000"/>
        <rFont val="Arial"/>
        <charset val="134"/>
      </rPr>
      <t>'MN','KY','CT','UT','HI','NV','WA','NE','WV','CO','VA','PA','AR','OH','SC','</t>
    </r>
    <r>
      <rPr>
        <sz val="11"/>
        <rFont val="Arial"/>
        <charset val="134"/>
      </rPr>
      <t>AZ',</t>
    </r>
    <r>
      <rPr>
        <sz val="11"/>
        <color rgb="FFFF0000"/>
        <rFont val="Arial"/>
        <charset val="134"/>
      </rPr>
      <t>ME</t>
    </r>
    <r>
      <rPr>
        <sz val="11"/>
        <color rgb="FFFF0000"/>
        <rFont val="宋体"/>
        <charset val="134"/>
      </rPr>
      <t>,</t>
    </r>
    <r>
      <rPr>
        <sz val="11"/>
        <color rgb="FFFF0000"/>
        <rFont val="Arial"/>
        <charset val="134"/>
      </rPr>
      <t>MO</t>
    </r>
    <r>
      <rPr>
        <sz val="11"/>
        <color rgb="FFFF0000"/>
        <rFont val="宋体"/>
        <charset val="134"/>
      </rPr>
      <t>,</t>
    </r>
    <r>
      <rPr>
        <sz val="11"/>
        <color rgb="FFFF0000"/>
        <rFont val="Arial"/>
        <charset val="134"/>
      </rPr>
      <t>OK</t>
    </r>
    <r>
      <rPr>
        <sz val="11"/>
        <color rgb="FFFF0000"/>
        <rFont val="宋体"/>
        <charset val="134"/>
      </rPr>
      <t>,</t>
    </r>
    <r>
      <rPr>
        <sz val="11"/>
        <color rgb="FFFF0000"/>
        <rFont val="Arial"/>
        <charset val="134"/>
      </rPr>
      <t>RI</t>
    </r>
  </si>
  <si>
    <r>
      <rPr>
        <sz val="11"/>
        <rFont val="Arial"/>
        <charset val="134"/>
      </rPr>
      <t>01.18</t>
    </r>
    <r>
      <rPr>
        <sz val="11"/>
        <rFont val="宋体"/>
        <charset val="134"/>
      </rPr>
      <t>换公司到</t>
    </r>
    <r>
      <rPr>
        <sz val="11"/>
        <rFont val="Arial"/>
        <charset val="134"/>
      </rPr>
      <t>AZ</t>
    </r>
  </si>
  <si>
    <r>
      <rPr>
        <sz val="11"/>
        <color rgb="FFFF0000"/>
        <rFont val="Arial"/>
        <charset val="134"/>
      </rPr>
      <t>01.18</t>
    </r>
    <r>
      <rPr>
        <sz val="11"/>
        <color rgb="FFFF0000"/>
        <rFont val="宋体"/>
        <charset val="134"/>
      </rPr>
      <t>换公司到</t>
    </r>
    <r>
      <rPr>
        <sz val="11"/>
        <color rgb="FFFF0000"/>
        <rFont val="Arial"/>
        <charset val="134"/>
      </rPr>
      <t>AZ</t>
    </r>
  </si>
  <si>
    <r>
      <rPr>
        <sz val="11"/>
        <color rgb="FFFF0000"/>
        <rFont val="Arial"/>
        <charset val="134"/>
      </rPr>
      <t>AZ</t>
    </r>
    <r>
      <rPr>
        <sz val="11"/>
        <rFont val="Arial"/>
        <charset val="134"/>
      </rPr>
      <t>,TX</t>
    </r>
  </si>
  <si>
    <r>
      <rPr>
        <sz val="11"/>
        <rFont val="Arial"/>
        <charset val="134"/>
      </rPr>
      <t xml:space="preserve">11.05 </t>
    </r>
    <r>
      <rPr>
        <sz val="11"/>
        <rFont val="宋体"/>
        <charset val="134"/>
      </rPr>
      <t>零件涨</t>
    </r>
    <r>
      <rPr>
        <sz val="11"/>
        <rFont val="Arial"/>
        <charset val="134"/>
      </rPr>
      <t>1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</si>
  <si>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 xml:space="preserve">11.05 </t>
    </r>
    <r>
      <rPr>
        <sz val="11"/>
        <color rgb="FFFF0000"/>
        <rFont val="宋体"/>
        <charset val="134"/>
      </rPr>
      <t>零件涨</t>
    </r>
    <r>
      <rPr>
        <sz val="11"/>
        <color rgb="FFFF0000"/>
        <rFont val="Arial"/>
        <charset val="134"/>
      </rPr>
      <t>1</t>
    </r>
    <r>
      <rPr>
        <sz val="11"/>
        <color rgb="FFFF0000"/>
        <rFont val="宋体"/>
        <charset val="134"/>
      </rPr>
      <t>个点</t>
    </r>
  </si>
  <si>
    <r>
      <rPr>
        <sz val="11"/>
        <color rgb="FFFF0000"/>
        <rFont val="Arial"/>
        <charset val="134"/>
      </rPr>
      <t xml:space="preserve">10.08 </t>
    </r>
    <r>
      <rPr>
        <sz val="11"/>
        <color rgb="FFFF0000"/>
        <rFont val="宋体"/>
        <charset val="134"/>
      </rPr>
      <t>零件降</t>
    </r>
    <r>
      <rPr>
        <sz val="11"/>
        <color rgb="FFFF0000"/>
        <rFont val="Arial"/>
        <charset val="134"/>
      </rPr>
      <t>1</t>
    </r>
    <r>
      <rPr>
        <sz val="11"/>
        <color rgb="FFFF0000"/>
        <rFont val="宋体"/>
        <charset val="134"/>
      </rPr>
      <t>个点</t>
    </r>
  </si>
  <si>
    <t>03/17 零件降2个点</t>
  </si>
  <si>
    <r>
      <rPr>
        <sz val="11"/>
        <rFont val="Arial"/>
        <charset val="134"/>
      </rPr>
      <t>10.08</t>
    </r>
    <r>
      <rPr>
        <sz val="11"/>
        <rFont val="宋体"/>
        <charset val="134"/>
      </rPr>
      <t>重新划分零件价格区间，并对部分零件降价</t>
    </r>
    <r>
      <rPr>
        <sz val="11"/>
        <rFont val="Arial"/>
        <charset val="134"/>
      </rPr>
      <t>0.5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</si>
  <si>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10.08</t>
    </r>
    <r>
      <rPr>
        <sz val="11"/>
        <color rgb="FFFF0000"/>
        <rFont val="宋体"/>
        <charset val="134"/>
      </rPr>
      <t>重新划分零件价格区间，并对部分零件降价</t>
    </r>
    <r>
      <rPr>
        <sz val="11"/>
        <color rgb="FFFF0000"/>
        <rFont val="Arial"/>
        <charset val="134"/>
      </rPr>
      <t>0.5</t>
    </r>
    <r>
      <rPr>
        <sz val="11"/>
        <color rgb="FFFF0000"/>
        <rFont val="宋体"/>
        <charset val="134"/>
      </rPr>
      <t>个点</t>
    </r>
  </si>
  <si>
    <t>11月零件价格下降</t>
  </si>
  <si>
    <t>www.nissaninfinitiparts.com</t>
  </si>
  <si>
    <r>
      <rPr>
        <sz val="11"/>
        <color rgb="FFFF0000"/>
        <rFont val="Arial"/>
        <charset val="134"/>
      </rPr>
      <t>10.13</t>
    </r>
    <r>
      <rPr>
        <sz val="11"/>
        <color rgb="FFFF0000"/>
        <rFont val="宋体"/>
        <charset val="134"/>
      </rPr>
      <t>零件涨价</t>
    </r>
    <r>
      <rPr>
        <sz val="11"/>
        <color rgb="FFFF0000"/>
        <rFont val="Arial"/>
        <charset val="134"/>
      </rPr>
      <t>3.1-5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</si>
  <si>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6.14 </t>
    </r>
    <r>
      <rPr>
        <sz val="11"/>
        <rFont val="宋体"/>
        <charset val="134"/>
      </rPr>
      <t>整体零件下降</t>
    </r>
    <r>
      <rPr>
        <sz val="11"/>
        <rFont val="Arial"/>
        <charset val="134"/>
      </rPr>
      <t>5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</si>
  <si>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 xml:space="preserve">6.14 </t>
    </r>
    <r>
      <rPr>
        <sz val="11"/>
        <color theme="1"/>
        <rFont val="宋体"/>
        <charset val="134"/>
      </rPr>
      <t>整体零件下降</t>
    </r>
    <r>
      <rPr>
        <sz val="11"/>
        <color theme="1"/>
        <rFont val="Arial"/>
        <charset val="134"/>
      </rPr>
      <t>5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</si>
  <si>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 xml:space="preserve">6.14 </t>
    </r>
    <r>
      <rPr>
        <sz val="11"/>
        <color rgb="FFFF0000"/>
        <rFont val="宋体"/>
        <charset val="134"/>
      </rPr>
      <t>整体零件下降</t>
    </r>
    <r>
      <rPr>
        <sz val="11"/>
        <color rgb="FFFF0000"/>
        <rFont val="Arial"/>
        <charset val="134"/>
      </rPr>
      <t>5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</si>
  <si>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01/08 </t>
    </r>
    <r>
      <rPr>
        <sz val="11"/>
        <rFont val="宋体"/>
        <charset val="134"/>
      </rPr>
      <t>整体零件涨价</t>
    </r>
  </si>
  <si>
    <r>
      <rPr>
        <sz val="11"/>
        <color rgb="FFFF0000"/>
        <rFont val="Arial"/>
        <charset val="134"/>
      </rPr>
      <t xml:space="preserve">01/08 </t>
    </r>
    <r>
      <rPr>
        <sz val="11"/>
        <color rgb="FFFF0000"/>
        <rFont val="宋体"/>
        <charset val="134"/>
      </rPr>
      <t>整体零件涨价</t>
    </r>
  </si>
  <si>
    <t>free shipping over $499(most orders)</t>
  </si>
  <si>
    <r>
      <rPr>
        <sz val="11"/>
        <color rgb="FFFF0000"/>
        <rFont val="Arial"/>
        <charset val="134"/>
      </rPr>
      <t>10.13</t>
    </r>
    <r>
      <rPr>
        <sz val="11"/>
        <color rgb="FFFF0000"/>
        <rFont val="宋体"/>
        <charset val="134"/>
      </rPr>
      <t>零件涨价</t>
    </r>
    <r>
      <rPr>
        <sz val="11"/>
        <color rgb="FFFF0000"/>
        <rFont val="Arial"/>
        <charset val="134"/>
      </rPr>
      <t>3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</si>
  <si>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02/27 </t>
    </r>
    <r>
      <rPr>
        <sz val="11"/>
        <rFont val="宋体"/>
        <charset val="134"/>
      </rPr>
      <t>零件降</t>
    </r>
    <r>
      <rPr>
        <sz val="11"/>
        <rFont val="Arial"/>
        <charset val="134"/>
      </rPr>
      <t>3</t>
    </r>
    <r>
      <rPr>
        <sz val="11"/>
        <rFont val="宋体"/>
        <charset val="134"/>
      </rPr>
      <t>个点</t>
    </r>
  </si>
  <si>
    <t>02/27 零件降3个点</t>
  </si>
  <si>
    <r>
      <rPr>
        <sz val="11"/>
        <rFont val="Arial"/>
        <charset val="134"/>
      </rPr>
      <t>9/10</t>
    </r>
    <r>
      <rPr>
        <sz val="11"/>
        <rFont val="宋体"/>
        <charset val="134"/>
      </rPr>
      <t>整体零件涨价</t>
    </r>
    <r>
      <rPr>
        <sz val="11"/>
        <rFont val="Arial"/>
        <charset val="134"/>
      </rPr>
      <t>1~9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</si>
  <si>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>9/10</t>
    </r>
    <r>
      <rPr>
        <sz val="11"/>
        <color theme="1"/>
        <rFont val="宋体"/>
        <charset val="134"/>
      </rPr>
      <t>整体零件涨价</t>
    </r>
    <r>
      <rPr>
        <sz val="11"/>
        <color theme="1"/>
        <rFont val="Arial"/>
        <charset val="134"/>
      </rPr>
      <t>1~9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</si>
  <si>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>08/20</t>
    </r>
    <r>
      <rPr>
        <sz val="11"/>
        <color rgb="FFFF0000"/>
        <rFont val="宋体"/>
        <charset val="134"/>
      </rPr>
      <t>整体零件涨价</t>
    </r>
    <r>
      <rPr>
        <sz val="11"/>
        <color rgb="FFFF0000"/>
        <rFont val="Arial"/>
        <charset val="134"/>
      </rPr>
      <t>7~9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</si>
  <si>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01/16</t>
    </r>
    <r>
      <rPr>
        <sz val="11"/>
        <rFont val="宋体"/>
        <charset val="134"/>
      </rPr>
      <t>整体零件涨价</t>
    </r>
    <r>
      <rPr>
        <sz val="11"/>
        <rFont val="Arial"/>
        <charset val="134"/>
      </rPr>
      <t>4~12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</si>
  <si>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01/16</t>
    </r>
    <r>
      <rPr>
        <sz val="11"/>
        <color rgb="FFFF0000"/>
        <rFont val="宋体"/>
        <charset val="134"/>
      </rPr>
      <t>整体零件涨价</t>
    </r>
    <r>
      <rPr>
        <sz val="11"/>
        <color rgb="FFFF0000"/>
        <rFont val="Arial"/>
        <charset val="134"/>
      </rPr>
      <t>4~12</t>
    </r>
    <r>
      <rPr>
        <sz val="11"/>
        <color rgb="FFFF0000"/>
        <rFont val="宋体"/>
        <charset val="134"/>
      </rPr>
      <t>个点</t>
    </r>
  </si>
  <si>
    <t>10/16 零件降价</t>
  </si>
  <si>
    <r>
      <rPr>
        <sz val="11"/>
        <rFont val="Arial"/>
        <charset val="134"/>
      </rPr>
      <t>01/16</t>
    </r>
    <r>
      <rPr>
        <sz val="11"/>
        <rFont val="宋体"/>
        <charset val="134"/>
      </rPr>
      <t>调整价格区间，</t>
    </r>
    <r>
      <rPr>
        <sz val="11"/>
        <rFont val="Arial"/>
        <charset val="134"/>
      </rPr>
      <t>100~200 Dnet</t>
    </r>
    <r>
      <rPr>
        <sz val="11"/>
        <rFont val="宋体"/>
        <charset val="134"/>
      </rPr>
      <t>涨价</t>
    </r>
  </si>
  <si>
    <r>
      <rPr>
        <sz val="11"/>
        <color theme="1"/>
        <rFont val="Arial"/>
        <charset val="134"/>
      </rPr>
      <t>01/16</t>
    </r>
    <r>
      <rPr>
        <sz val="11"/>
        <color theme="1"/>
        <rFont val="宋体"/>
        <charset val="134"/>
      </rPr>
      <t>调整价格区间，</t>
    </r>
    <r>
      <rPr>
        <sz val="11"/>
        <color theme="1"/>
        <rFont val="Arial"/>
        <charset val="134"/>
      </rPr>
      <t>100~200 Dnet</t>
    </r>
    <r>
      <rPr>
        <sz val="11"/>
        <color theme="1"/>
        <rFont val="宋体"/>
        <charset val="134"/>
      </rPr>
      <t>涨价</t>
    </r>
  </si>
  <si>
    <r>
      <rPr>
        <sz val="11"/>
        <color rgb="FFFF0000"/>
        <rFont val="Arial"/>
        <charset val="134"/>
      </rPr>
      <t>01/16</t>
    </r>
    <r>
      <rPr>
        <sz val="11"/>
        <color rgb="FFFF0000"/>
        <rFont val="宋体"/>
        <charset val="134"/>
      </rPr>
      <t>调整价格区间，</t>
    </r>
    <r>
      <rPr>
        <sz val="11"/>
        <color rgb="FFFF0000"/>
        <rFont val="Arial"/>
        <charset val="134"/>
      </rPr>
      <t>100~200 Dnet</t>
    </r>
    <r>
      <rPr>
        <sz val="11"/>
        <color rgb="FFFF0000"/>
        <rFont val="宋体"/>
        <charset val="134"/>
      </rPr>
      <t>涨价</t>
    </r>
  </si>
  <si>
    <t>www.worldoemparts.com/worldbmwparts/</t>
  </si>
  <si>
    <r>
      <rPr>
        <sz val="11"/>
        <rFont val="Arial"/>
        <charset val="134"/>
      </rPr>
      <t xml:space="preserve">10.08 </t>
    </r>
    <r>
      <rPr>
        <sz val="11"/>
        <rFont val="宋体"/>
        <charset val="134"/>
      </rPr>
      <t>高价区零件涨价1~3个点</t>
    </r>
  </si>
  <si>
    <r>
      <rPr>
        <sz val="11"/>
        <color rgb="FFFF0000"/>
        <rFont val="Arial"/>
        <charset val="134"/>
      </rPr>
      <t xml:space="preserve">10.08 </t>
    </r>
    <r>
      <rPr>
        <sz val="11"/>
        <color rgb="FFFF0000"/>
        <rFont val="宋体"/>
        <charset val="134"/>
      </rPr>
      <t>高价区零件涨价1~3个点</t>
    </r>
  </si>
  <si>
    <t>07/31 零件涨价</t>
  </si>
  <si>
    <t>www.bmwpartsupply.com</t>
  </si>
  <si>
    <r>
      <rPr>
        <sz val="11"/>
        <rFont val="Arial"/>
        <charset val="134"/>
      </rPr>
      <t>10</t>
    </r>
    <r>
      <rPr>
        <sz val="11"/>
        <rFont val="宋体"/>
        <charset val="134"/>
      </rPr>
      <t>月新增网站，MarketingShare很低，暂不考虑加入价格排名</t>
    </r>
  </si>
  <si>
    <r>
      <rPr>
        <sz val="11"/>
        <color rgb="FFFF0000"/>
        <rFont val="Arial"/>
        <charset val="134"/>
      </rPr>
      <t>10</t>
    </r>
    <r>
      <rPr>
        <sz val="11"/>
        <color rgb="FFFF0000"/>
        <rFont val="宋体"/>
        <charset val="134"/>
      </rPr>
      <t>月新增网站，MarketingShare很低，暂不考虑加入价格排名</t>
    </r>
  </si>
  <si>
    <t>www.bmwpartsprime.com</t>
  </si>
  <si>
    <t>已经关站了</t>
  </si>
  <si>
    <t>07/31 零件降价3~5个点</t>
  </si>
  <si>
    <t>www.erievolvo.com</t>
  </si>
  <si>
    <t>Price Comment——6月</t>
  </si>
  <si>
    <t>Shipping Comme——6月</t>
  </si>
  <si>
    <r>
      <rPr>
        <sz val="11"/>
        <rFont val="Arial"/>
        <charset val="134"/>
      </rPr>
      <t xml:space="preserve">01/24 </t>
    </r>
    <r>
      <rPr>
        <sz val="11"/>
        <rFont val="宋体"/>
        <charset val="134"/>
      </rPr>
      <t>零件降价，最大降幅</t>
    </r>
    <r>
      <rPr>
        <sz val="11"/>
        <rFont val="Arial"/>
        <charset val="134"/>
      </rPr>
      <t>7</t>
    </r>
    <r>
      <rPr>
        <sz val="11"/>
        <rFont val="宋体"/>
        <charset val="134"/>
      </rPr>
      <t>个点</t>
    </r>
  </si>
  <si>
    <t>01/24 零件降价，最大降幅7个点</t>
  </si>
  <si>
    <r>
      <rPr>
        <sz val="11"/>
        <rFont val="Arial"/>
        <charset val="134"/>
      </rPr>
      <t xml:space="preserve">07/17 </t>
    </r>
    <r>
      <rPr>
        <sz val="11"/>
        <rFont val="宋体"/>
        <charset val="134"/>
      </rPr>
      <t>零件分组变化</t>
    </r>
  </si>
  <si>
    <t>07/17 零件分组变化</t>
  </si>
  <si>
    <t>www.getvwparts.com</t>
  </si>
  <si>
    <t>www.vwpartsdepartment.com</t>
  </si>
  <si>
    <t>www.vwpartsprime.com</t>
  </si>
  <si>
    <r>
      <rPr>
        <sz val="11"/>
        <rFont val="Arial"/>
        <charset val="134"/>
      </rPr>
      <t>10.08</t>
    </r>
    <r>
      <rPr>
        <sz val="11"/>
        <rFont val="宋体"/>
        <charset val="134"/>
      </rPr>
      <t>零件价格重新变为</t>
    </r>
    <r>
      <rPr>
        <sz val="11"/>
        <rFont val="Arial"/>
        <charset val="134"/>
      </rPr>
      <t>8</t>
    </r>
    <r>
      <rPr>
        <sz val="11"/>
        <rFont val="宋体"/>
        <charset val="134"/>
      </rPr>
      <t>月水平，MSRP&gt;20降价1~8个点</t>
    </r>
  </si>
  <si>
    <r>
      <rPr>
        <sz val="11"/>
        <color rgb="FFFF0000"/>
        <rFont val="Arial"/>
        <charset val="134"/>
      </rPr>
      <t>10.08</t>
    </r>
    <r>
      <rPr>
        <sz val="11"/>
        <color rgb="FFFF0000"/>
        <rFont val="宋体"/>
        <charset val="134"/>
      </rPr>
      <t>零件价格重新变为</t>
    </r>
    <r>
      <rPr>
        <sz val="11"/>
        <color rgb="FFFF0000"/>
        <rFont val="Arial"/>
        <charset val="134"/>
      </rPr>
      <t>8</t>
    </r>
    <r>
      <rPr>
        <sz val="11"/>
        <color rgb="FFFF0000"/>
        <rFont val="宋体"/>
        <charset val="134"/>
      </rPr>
      <t>月水平，MSRP&gt;20降价1~8个点</t>
    </r>
  </si>
  <si>
    <r>
      <rPr>
        <sz val="11"/>
        <color rgb="FFFF0000"/>
        <rFont val="Arial"/>
        <charset val="134"/>
      </rPr>
      <t>9/10</t>
    </r>
    <r>
      <rPr>
        <sz val="11"/>
        <color rgb="FFFF0000"/>
        <rFont val="宋体"/>
        <charset val="134"/>
      </rPr>
      <t>网站大部分零件Markup都变为1.2</t>
    </r>
  </si>
  <si>
    <r>
      <rPr>
        <sz val="11"/>
        <rFont val="Arial"/>
        <charset val="134"/>
      </rPr>
      <t>04/17</t>
    </r>
    <r>
      <rPr>
        <sz val="11"/>
        <rFont val="宋体"/>
        <charset val="134"/>
      </rPr>
      <t>零件涨价</t>
    </r>
    <r>
      <rPr>
        <sz val="11"/>
        <rFont val="Arial"/>
        <charset val="134"/>
      </rPr>
      <t>3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</si>
  <si>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04/17</t>
    </r>
    <r>
      <rPr>
        <sz val="11"/>
        <color rgb="FFFF0000"/>
        <rFont val="宋体"/>
        <charset val="134"/>
      </rPr>
      <t>零件涨价</t>
    </r>
    <r>
      <rPr>
        <sz val="11"/>
        <color rgb="FFFF0000"/>
        <rFont val="Arial"/>
        <charset val="134"/>
      </rPr>
      <t>3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</si>
  <si>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6/28 </t>
    </r>
    <r>
      <rPr>
        <sz val="11"/>
        <rFont val="宋体"/>
        <charset val="134"/>
      </rPr>
      <t>上调</t>
    </r>
    <r>
      <rPr>
        <sz val="11"/>
        <rFont val="Arial"/>
        <charset val="134"/>
      </rPr>
      <t>4.5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</si>
  <si>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 xml:space="preserve">6/28 </t>
    </r>
    <r>
      <rPr>
        <sz val="11"/>
        <color theme="1"/>
        <rFont val="宋体"/>
        <charset val="134"/>
      </rPr>
      <t>上调</t>
    </r>
    <r>
      <rPr>
        <sz val="11"/>
        <color theme="1"/>
        <rFont val="Arial"/>
        <charset val="134"/>
      </rPr>
      <t>4.5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</si>
  <si>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 xml:space="preserve">6/28 </t>
    </r>
    <r>
      <rPr>
        <sz val="11"/>
        <color rgb="FFFF0000"/>
        <rFont val="宋体"/>
        <charset val="134"/>
      </rPr>
      <t>上调</t>
    </r>
    <r>
      <rPr>
        <sz val="11"/>
        <color rgb="FFFF0000"/>
        <rFont val="Arial"/>
        <charset val="134"/>
      </rPr>
      <t>4.5</t>
    </r>
    <r>
      <rPr>
        <sz val="11"/>
        <color rgb="FFFF0000"/>
        <rFont val="宋体"/>
        <charset val="134"/>
      </rPr>
      <t>个点</t>
    </r>
  </si>
  <si>
    <t>www.mazdapartsprime.com</t>
  </si>
  <si>
    <r>
      <rPr>
        <sz val="11"/>
        <rFont val="Arial"/>
        <charset val="134"/>
      </rPr>
      <t>10.08</t>
    </r>
    <r>
      <rPr>
        <sz val="11"/>
        <rFont val="宋体"/>
        <charset val="134"/>
      </rPr>
      <t>零件降价</t>
    </r>
    <r>
      <rPr>
        <sz val="11"/>
        <rFont val="Arial"/>
        <charset val="134"/>
      </rPr>
      <t>3.3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</si>
  <si>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10.08</t>
    </r>
    <r>
      <rPr>
        <sz val="11"/>
        <color rgb="FFFF0000"/>
        <rFont val="宋体"/>
        <charset val="134"/>
      </rPr>
      <t>零件降价</t>
    </r>
    <r>
      <rPr>
        <sz val="11"/>
        <color rgb="FFFF0000"/>
        <rFont val="Arial"/>
        <charset val="134"/>
      </rPr>
      <t>3.3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</si>
  <si>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10.08</t>
    </r>
    <r>
      <rPr>
        <sz val="11"/>
        <rFont val="宋体"/>
        <charset val="134"/>
      </rPr>
      <t>零件降价</t>
    </r>
    <r>
      <rPr>
        <sz val="11"/>
        <rFont val="Arial"/>
        <charset val="134"/>
      </rPr>
      <t>5.5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</si>
  <si>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10.08</t>
    </r>
    <r>
      <rPr>
        <sz val="11"/>
        <color rgb="FFFF0000"/>
        <rFont val="宋体"/>
        <charset val="134"/>
      </rPr>
      <t>零件降价</t>
    </r>
    <r>
      <rPr>
        <sz val="11"/>
        <color rgb="FFFF0000"/>
        <rFont val="Arial"/>
        <charset val="134"/>
      </rPr>
      <t>5.5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</si>
  <si>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03/06</t>
    </r>
    <r>
      <rPr>
        <sz val="11"/>
        <rFont val="宋体"/>
        <charset val="134"/>
      </rPr>
      <t>降价</t>
    </r>
    <r>
      <rPr>
        <sz val="11"/>
        <rFont val="Arial"/>
        <charset val="134"/>
      </rPr>
      <t>16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</si>
  <si>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03/06</t>
    </r>
    <r>
      <rPr>
        <sz val="11"/>
        <color rgb="FFFF0000"/>
        <rFont val="宋体"/>
        <charset val="134"/>
      </rPr>
      <t>降价</t>
    </r>
    <r>
      <rPr>
        <sz val="11"/>
        <color rgb="FFFF0000"/>
        <rFont val="Arial"/>
        <charset val="134"/>
      </rPr>
      <t>16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</si>
  <si>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12/18 </t>
    </r>
    <r>
      <rPr>
        <sz val="11"/>
        <rFont val="宋体"/>
        <charset val="134"/>
      </rPr>
      <t>零件涨价</t>
    </r>
    <r>
      <rPr>
        <sz val="11"/>
        <rFont val="Arial"/>
        <charset val="134"/>
      </rPr>
      <t>8</t>
    </r>
    <r>
      <rPr>
        <sz val="11"/>
        <rFont val="宋体"/>
        <charset val="134"/>
      </rPr>
      <t>个点</t>
    </r>
  </si>
  <si>
    <r>
      <rPr>
        <sz val="11"/>
        <rFont val="Arial"/>
        <charset val="134"/>
      </rPr>
      <t>10.08</t>
    </r>
    <r>
      <rPr>
        <sz val="11"/>
        <rFont val="宋体"/>
        <charset val="134"/>
      </rPr>
      <t>零件降价</t>
    </r>
    <r>
      <rPr>
        <sz val="11"/>
        <rFont val="Arial"/>
        <charset val="134"/>
      </rPr>
      <t>1.5</t>
    </r>
    <r>
      <rPr>
        <sz val="11"/>
        <rFont val="宋体"/>
        <charset val="134"/>
      </rPr>
      <t>个点</t>
    </r>
  </si>
  <si>
    <r>
      <rPr>
        <sz val="11"/>
        <color rgb="FFFF0000"/>
        <rFont val="Arial"/>
        <charset val="134"/>
      </rPr>
      <t>10.08</t>
    </r>
    <r>
      <rPr>
        <sz val="11"/>
        <color rgb="FFFF0000"/>
        <rFont val="宋体"/>
        <charset val="134"/>
      </rPr>
      <t>零件降价</t>
    </r>
    <r>
      <rPr>
        <sz val="11"/>
        <color rgb="FFFF0000"/>
        <rFont val="Arial"/>
        <charset val="134"/>
      </rPr>
      <t>1.5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</si>
  <si>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>7/30 MSRP&lt;100</t>
    </r>
    <r>
      <rPr>
        <sz val="11"/>
        <rFont val="宋体"/>
        <charset val="134"/>
      </rPr>
      <t>的零件涨</t>
    </r>
    <r>
      <rPr>
        <sz val="11"/>
        <rFont val="Arial"/>
        <charset val="134"/>
      </rPr>
      <t>3~5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</si>
  <si>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>7/30 MSRP&lt;100</t>
    </r>
    <r>
      <rPr>
        <sz val="11"/>
        <color theme="1"/>
        <rFont val="宋体"/>
        <charset val="134"/>
      </rPr>
      <t>的零件涨</t>
    </r>
    <r>
      <rPr>
        <sz val="11"/>
        <color theme="1"/>
        <rFont val="Arial"/>
        <charset val="134"/>
      </rPr>
      <t>3~5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</si>
  <si>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>7/30 MSRP&lt;100</t>
    </r>
    <r>
      <rPr>
        <sz val="11"/>
        <color rgb="FFFF0000"/>
        <rFont val="宋体"/>
        <charset val="134"/>
      </rPr>
      <t>的零件涨</t>
    </r>
    <r>
      <rPr>
        <sz val="11"/>
        <color rgb="FFFF0000"/>
        <rFont val="Arial"/>
        <charset val="134"/>
      </rPr>
      <t>3~5</t>
    </r>
    <r>
      <rPr>
        <sz val="11"/>
        <color rgb="FFFF0000"/>
        <rFont val="宋体"/>
        <charset val="134"/>
      </rPr>
      <t>个点</t>
    </r>
  </si>
  <si>
    <t>www.mbpartsprime.com</t>
  </si>
  <si>
    <t>mercedesbenz.partswebsite.com</t>
  </si>
  <si>
    <r>
      <rPr>
        <sz val="11"/>
        <rFont val="Arial"/>
        <charset val="134"/>
      </rPr>
      <t xml:space="preserve">10.08 </t>
    </r>
    <r>
      <rPr>
        <sz val="11"/>
        <rFont val="宋体"/>
        <charset val="134"/>
      </rPr>
      <t>低价区整体降价</t>
    </r>
    <r>
      <rPr>
        <sz val="11"/>
        <rFont val="Arial"/>
        <charset val="134"/>
      </rPr>
      <t>10</t>
    </r>
    <r>
      <rPr>
        <sz val="11"/>
        <rFont val="宋体"/>
        <charset val="134"/>
      </rPr>
      <t>个点以上，降价幅度较大；高价区涨价</t>
    </r>
  </si>
  <si>
    <r>
      <rPr>
        <sz val="11"/>
        <color rgb="FFFF0000"/>
        <rFont val="Arial"/>
        <charset val="134"/>
      </rPr>
      <t xml:space="preserve">10.08 </t>
    </r>
    <r>
      <rPr>
        <sz val="11"/>
        <color rgb="FFFF0000"/>
        <rFont val="宋体"/>
        <charset val="134"/>
      </rPr>
      <t>低价区整体降价</t>
    </r>
    <r>
      <rPr>
        <sz val="11"/>
        <color rgb="FFFF0000"/>
        <rFont val="Arial"/>
        <charset val="134"/>
      </rPr>
      <t>10</t>
    </r>
    <r>
      <rPr>
        <sz val="11"/>
        <color rgb="FFFF0000"/>
        <rFont val="宋体"/>
        <charset val="134"/>
      </rPr>
      <t>个点以上，降价幅度较大；高价区涨价</t>
    </r>
  </si>
  <si>
    <r>
      <rPr>
        <sz val="11"/>
        <color theme="1"/>
        <rFont val="Arial"/>
        <charset val="134"/>
      </rPr>
      <t xml:space="preserve">6.14 </t>
    </r>
    <r>
      <rPr>
        <sz val="11"/>
        <color theme="1"/>
        <rFont val="宋体"/>
        <charset val="134"/>
      </rPr>
      <t>整体降价</t>
    </r>
    <r>
      <rPr>
        <sz val="11"/>
        <color theme="1"/>
        <rFont val="Arial"/>
        <charset val="134"/>
      </rPr>
      <t>10</t>
    </r>
    <r>
      <rPr>
        <sz val="11"/>
        <color theme="1"/>
        <rFont val="宋体"/>
        <charset val="134"/>
      </rPr>
      <t>个点以上，降价幅度较大</t>
    </r>
  </si>
  <si>
    <r>
      <rPr>
        <sz val="11"/>
        <color rgb="FFFF0000"/>
        <rFont val="Arial"/>
        <charset val="134"/>
      </rPr>
      <t xml:space="preserve">6.14 </t>
    </r>
    <r>
      <rPr>
        <sz val="11"/>
        <color rgb="FFFF0000"/>
        <rFont val="宋体"/>
        <charset val="134"/>
      </rPr>
      <t>整体降价</t>
    </r>
    <r>
      <rPr>
        <sz val="11"/>
        <color rgb="FFFF0000"/>
        <rFont val="Arial"/>
        <charset val="134"/>
      </rPr>
      <t>10</t>
    </r>
    <r>
      <rPr>
        <sz val="11"/>
        <color rgb="FFFF0000"/>
        <rFont val="宋体"/>
        <charset val="134"/>
      </rPr>
      <t>个点以上，降价幅度较大</t>
    </r>
  </si>
  <si>
    <r>
      <rPr>
        <sz val="11"/>
        <rFont val="Arial"/>
        <charset val="134"/>
      </rPr>
      <t>04/02</t>
    </r>
    <r>
      <rPr>
        <sz val="11"/>
        <rFont val="宋体"/>
        <charset val="134"/>
      </rPr>
      <t>整体零件涨价</t>
    </r>
    <r>
      <rPr>
        <sz val="11"/>
        <rFont val="Arial"/>
        <charset val="134"/>
      </rPr>
      <t>14%</t>
    </r>
  </si>
  <si>
    <r>
      <rPr>
        <sz val="11"/>
        <color rgb="FFFF0000"/>
        <rFont val="Arial"/>
        <charset val="134"/>
      </rPr>
      <t>04/02</t>
    </r>
    <r>
      <rPr>
        <sz val="11"/>
        <color rgb="FFFF0000"/>
        <rFont val="宋体"/>
        <charset val="134"/>
      </rPr>
      <t>整体零件涨价</t>
    </r>
    <r>
      <rPr>
        <sz val="11"/>
        <color rgb="FFFF0000"/>
        <rFont val="Arial"/>
        <charset val="134"/>
      </rPr>
      <t>14%</t>
    </r>
  </si>
  <si>
    <t xml:space="preserve"> </t>
  </si>
  <si>
    <r>
      <rPr>
        <sz val="11"/>
        <rFont val="Arial"/>
        <charset val="134"/>
      </rPr>
      <t xml:space="preserve">7/2 </t>
    </r>
    <r>
      <rPr>
        <sz val="11"/>
        <rFont val="宋体"/>
        <charset val="134"/>
      </rPr>
      <t>上调</t>
    </r>
    <r>
      <rPr>
        <sz val="11"/>
        <rFont val="Arial"/>
        <charset val="134"/>
      </rPr>
      <t>1</t>
    </r>
    <r>
      <rPr>
        <sz val="11"/>
        <rFont val="宋体"/>
        <charset val="134"/>
      </rPr>
      <t>个点</t>
    </r>
  </si>
  <si>
    <r>
      <rPr>
        <sz val="11"/>
        <color theme="1"/>
        <rFont val="Arial"/>
        <charset val="134"/>
      </rPr>
      <t xml:space="preserve">7/2 </t>
    </r>
    <r>
      <rPr>
        <sz val="11"/>
        <color theme="1"/>
        <rFont val="宋体"/>
        <charset val="134"/>
      </rPr>
      <t>上调</t>
    </r>
    <r>
      <rPr>
        <sz val="11"/>
        <color theme="1"/>
        <rFont val="Arial"/>
        <charset val="134"/>
      </rPr>
      <t>1</t>
    </r>
    <r>
      <rPr>
        <sz val="11"/>
        <color theme="1"/>
        <rFont val="宋体"/>
        <charset val="134"/>
      </rPr>
      <t>个点</t>
    </r>
  </si>
  <si>
    <r>
      <rPr>
        <sz val="11"/>
        <color rgb="FFFF0000"/>
        <rFont val="Arial"/>
        <charset val="134"/>
      </rPr>
      <t xml:space="preserve">7/2 </t>
    </r>
    <r>
      <rPr>
        <sz val="11"/>
        <color rgb="FFFF0000"/>
        <rFont val="宋体"/>
        <charset val="134"/>
      </rPr>
      <t>上调</t>
    </r>
    <r>
      <rPr>
        <sz val="11"/>
        <color rgb="FFFF0000"/>
        <rFont val="Arial"/>
        <charset val="134"/>
      </rPr>
      <t>1</t>
    </r>
    <r>
      <rPr>
        <sz val="11"/>
        <color rgb="FFFF0000"/>
        <rFont val="宋体"/>
        <charset val="134"/>
      </rPr>
      <t>个点</t>
    </r>
  </si>
  <si>
    <r>
      <rPr>
        <sz val="11"/>
        <rFont val="Arial"/>
        <charset val="134"/>
      </rPr>
      <t xml:space="preserve">01/18 </t>
    </r>
    <r>
      <rPr>
        <sz val="11"/>
        <rFont val="宋体"/>
        <charset val="134"/>
      </rPr>
      <t>整体涨价</t>
    </r>
    <r>
      <rPr>
        <sz val="11"/>
        <rFont val="Arial"/>
        <charset val="134"/>
      </rPr>
      <t>3</t>
    </r>
    <r>
      <rPr>
        <sz val="11"/>
        <rFont val="宋体"/>
        <charset val="134"/>
      </rPr>
      <t>个点</t>
    </r>
  </si>
  <si>
    <t>www.audipartsprime.com</t>
  </si>
  <si>
    <t>竞争评级</t>
  </si>
  <si>
    <t>8月MarketingShare-US</t>
  </si>
  <si>
    <t>9月MarketingShare-US</t>
  </si>
  <si>
    <t>10月MarketingShare-US</t>
  </si>
  <si>
    <t>11月MarketingShare-US</t>
  </si>
  <si>
    <t>12月MarketingShare-US</t>
  </si>
  <si>
    <t>01月MarketingShare-US</t>
  </si>
  <si>
    <t>02月MarketingShare-US</t>
  </si>
  <si>
    <t>03月MarketingShare-US</t>
  </si>
  <si>
    <t>04月MarketingShare-US</t>
  </si>
  <si>
    <t>05月MarketingShare-US</t>
  </si>
  <si>
    <t>06月MarketingShare-US</t>
  </si>
  <si>
    <t>07月MarketingShare-US</t>
  </si>
  <si>
    <t>08月MarketingShare-US</t>
  </si>
  <si>
    <t>09月MarketingShare-US</t>
  </si>
  <si>
    <t>1月MarketingShare-US</t>
  </si>
  <si>
    <t>2月MarketingShare-US</t>
  </si>
  <si>
    <t>3月MarketingShare-US</t>
  </si>
  <si>
    <t>4月MarketingShare-US</t>
  </si>
  <si>
    <t>5月MarketingShare-US</t>
  </si>
  <si>
    <t>6月MarketingShare-US</t>
  </si>
  <si>
    <t>7月MarketingShare-US</t>
  </si>
  <si>
    <t>10月MarketingShare变化情况-US</t>
  </si>
  <si>
    <t>2月MarketingShare变化情况-US</t>
  </si>
  <si>
    <t>2月流量变化情况-US</t>
  </si>
  <si>
    <t>SEMRush Traffic-8月-US</t>
  </si>
  <si>
    <t>SEMRush Traffic-8月-全站</t>
  </si>
  <si>
    <t>SEMRush Traffic-9月-US</t>
  </si>
  <si>
    <t>SEMRush Traffic-9月-全站</t>
  </si>
  <si>
    <t>SEMRush Traffic-10月-US</t>
  </si>
  <si>
    <t>SEMRush Traffic-10月-全站</t>
  </si>
  <si>
    <t>SEMRush Traffic-11月-US</t>
  </si>
  <si>
    <t>SEMRush Traffic-11月-全站</t>
  </si>
  <si>
    <t>SEMRush Traffic-12月-US</t>
  </si>
  <si>
    <t>SEMRush Traffic-12月-全站</t>
  </si>
  <si>
    <t>SEMRush Traffic-01月-US</t>
  </si>
  <si>
    <t>SEMRush Traffic-01月-全站</t>
  </si>
  <si>
    <t>SEMRush Traffic-02月-US</t>
  </si>
  <si>
    <t>SEMRush Traffic-02月-全站</t>
  </si>
  <si>
    <t>SEMRush Traffic-03月-US</t>
  </si>
  <si>
    <t>SEMRush Traffic-03月-全站</t>
  </si>
  <si>
    <t>SEMRush Traffic-04月-US</t>
  </si>
  <si>
    <t>SEMRush Traffic-04月-全站</t>
  </si>
  <si>
    <t>SEMRush Traffic-05月-US</t>
  </si>
  <si>
    <t>SEMRush Traffic-05月-全站</t>
  </si>
  <si>
    <t>SEMRush Traffic-06月-US</t>
  </si>
  <si>
    <t>SEMRush Traffic-06月-全站</t>
  </si>
  <si>
    <t>SEMRush Traffic-07月-US</t>
  </si>
  <si>
    <t>SEMRush Traffic-07月-全站</t>
  </si>
  <si>
    <t>SEMRush Traffic-08月-US</t>
  </si>
  <si>
    <t>SEMRush Traffic-08月-全站</t>
  </si>
  <si>
    <t>SEMRush Traffic-09月-US</t>
  </si>
  <si>
    <t>SEMRush Traffic-09月-全站</t>
  </si>
  <si>
    <t>SEMRush Traffic-1月-US</t>
  </si>
  <si>
    <t>SEMRush Traffic-1月-全站</t>
  </si>
  <si>
    <t>SEMRush Traffic-2月-US</t>
  </si>
  <si>
    <t>SEMRush Traffic-2月-全站</t>
  </si>
  <si>
    <t>SEMRush Traffic-3月-US</t>
  </si>
  <si>
    <t>SEMRush Traffic-3月-全站</t>
  </si>
  <si>
    <t>SEMRush Traffic-4月-US</t>
  </si>
  <si>
    <t>SEMRush Traffic-4月-全站</t>
  </si>
  <si>
    <t>SEMRush Traffic-5月-US</t>
  </si>
  <si>
    <t>SEMRush Traffic-5月-全站</t>
  </si>
  <si>
    <t>SEMRush Traffic-6月-US</t>
  </si>
  <si>
    <t>SEMRush Traffic-6月-全站</t>
  </si>
  <si>
    <t>SEMRush Traffic-7月-US</t>
  </si>
  <si>
    <t>SEMRush Traffic-7月-全站</t>
  </si>
  <si>
    <t>2月流量变化情况-全站</t>
  </si>
  <si>
    <t>Note</t>
  </si>
  <si>
    <t>US_Traffic</t>
  </si>
  <si>
    <t>竞品名称是否一致</t>
  </si>
  <si>
    <t>AfterMarket+OEM</t>
  </si>
  <si>
    <t>综合平台</t>
  </si>
  <si>
    <t>SSS</t>
  </si>
  <si>
    <t>amazon.com</t>
  </si>
  <si>
    <t>1st</t>
  </si>
  <si>
    <t>AfterMarket</t>
  </si>
  <si>
    <t>ebay.com</t>
  </si>
  <si>
    <t>2nd</t>
  </si>
  <si>
    <t>实体连锁 上市公司</t>
  </si>
  <si>
    <t>SS</t>
  </si>
  <si>
    <t>autozone.com</t>
  </si>
  <si>
    <t>advanceautoparts.com</t>
  </si>
  <si>
    <t>Parts 超低价</t>
  </si>
  <si>
    <t>rockauto.com</t>
  </si>
  <si>
    <t>实体连锁  上市公司</t>
  </si>
  <si>
    <t>S</t>
  </si>
  <si>
    <t>oreillyauto.com</t>
  </si>
  <si>
    <t>Performance Parts</t>
  </si>
  <si>
    <t>summitracing.com</t>
  </si>
  <si>
    <t>Acc</t>
  </si>
  <si>
    <t>carid.com</t>
  </si>
  <si>
    <t>Parts</t>
  </si>
  <si>
    <t>partsgeek.com</t>
  </si>
  <si>
    <t>carparts.com</t>
  </si>
  <si>
    <t>1aauto.com</t>
  </si>
  <si>
    <t>专精Jeep、Tacoma</t>
  </si>
  <si>
    <t>extremeterrain.com</t>
  </si>
  <si>
    <t>4wheelparts.com</t>
  </si>
  <si>
    <t>Acc、Performance、Truck</t>
  </si>
  <si>
    <t>realtruck.com</t>
  </si>
  <si>
    <t>jegs.com</t>
  </si>
  <si>
    <t>autoanything.com</t>
  </si>
  <si>
    <t>专精Mustang、Challenger</t>
  </si>
  <si>
    <t>americanmuscle.com</t>
  </si>
  <si>
    <t>专精美系Truck</t>
  </si>
  <si>
    <t>americantrucks.com</t>
  </si>
  <si>
    <t>欧洲车</t>
  </si>
  <si>
    <t>pelicanparts.com</t>
  </si>
  <si>
    <t>autoaccessoriesgarage.com</t>
  </si>
  <si>
    <t>Parts。弱</t>
  </si>
  <si>
    <t>buyautoparts.com</t>
  </si>
  <si>
    <t>K&amp;N FILTERS</t>
  </si>
  <si>
    <t>单副厂Brand</t>
  </si>
  <si>
    <t>knfilters.com</t>
  </si>
  <si>
    <t>DORMAN</t>
  </si>
  <si>
    <t>dormanproducts.com</t>
  </si>
  <si>
    <t>Parts。覆盖品牌少。</t>
  </si>
  <si>
    <t>am-autoparts.com</t>
  </si>
  <si>
    <t>WIX FILTER</t>
  </si>
  <si>
    <t>wixfilters.com</t>
  </si>
  <si>
    <t>综合 偏Sports</t>
  </si>
  <si>
    <t>andysautosport.com</t>
  </si>
  <si>
    <t>HAYNES MANUALS</t>
  </si>
  <si>
    <t>haynes.com</t>
  </si>
  <si>
    <t>CURT MANUFACTURING</t>
  </si>
  <si>
    <t>curtmfg.com</t>
  </si>
  <si>
    <t>MAHLE GASKETS</t>
  </si>
  <si>
    <t>mahle.com</t>
  </si>
  <si>
    <t>GATES</t>
  </si>
  <si>
    <t>gates.com</t>
  </si>
  <si>
    <t>FRAM FILTER</t>
  </si>
  <si>
    <t>fram.com</t>
  </si>
  <si>
    <t>MAGNAFLOW</t>
  </si>
  <si>
    <t>magnaflow.com</t>
  </si>
  <si>
    <t>POWERSTOP</t>
  </si>
  <si>
    <t>powerstop.com</t>
  </si>
  <si>
    <t>KYB SHOCKS</t>
  </si>
  <si>
    <t>kyb.com</t>
  </si>
  <si>
    <t>SKF</t>
  </si>
  <si>
    <t>vehicleaftermarket.skf.com</t>
  </si>
  <si>
    <t>WAI</t>
  </si>
  <si>
    <t>waiglobal.com</t>
  </si>
  <si>
    <t>MONROE/MONROE FRICTION</t>
  </si>
  <si>
    <t>monroe.com</t>
  </si>
  <si>
    <t>BALDWIN FILTERS</t>
  </si>
  <si>
    <t>baldwinfilters.com</t>
  </si>
  <si>
    <t>HELLA</t>
  </si>
  <si>
    <t>hella.com</t>
  </si>
  <si>
    <t>BOSCH</t>
  </si>
  <si>
    <t>boschautoparts.com</t>
  </si>
  <si>
    <t>NATIONAL OIL SEAL</t>
  </si>
  <si>
    <t>timken.com</t>
  </si>
  <si>
    <t>DENSO</t>
  </si>
  <si>
    <t>densoautoparts.com</t>
  </si>
  <si>
    <t>BILSTEIN</t>
  </si>
  <si>
    <t>bilstein.com</t>
  </si>
  <si>
    <t>NGK/NGK O2 SENSORS</t>
  </si>
  <si>
    <t>ngk.com</t>
  </si>
  <si>
    <t>GROTE LIGHTING</t>
  </si>
  <si>
    <t>grote.com</t>
  </si>
  <si>
    <t>WALKER EXHAUST</t>
  </si>
  <si>
    <t>walkerexhaust.com</t>
  </si>
  <si>
    <t>DANA SPICER CHASSIS</t>
  </si>
  <si>
    <t>spicerparts.com</t>
  </si>
  <si>
    <t>CENTRIC PARTS</t>
  </si>
  <si>
    <t>centricparts.com</t>
  </si>
  <si>
    <t>CHAMPION SPARK PLUGS</t>
  </si>
  <si>
    <t>championautoparts.com</t>
  </si>
  <si>
    <t>ATP PARTS</t>
  </si>
  <si>
    <t>atpautomotive.com</t>
  </si>
  <si>
    <t>BREMBO</t>
  </si>
  <si>
    <t>brembo.com</t>
  </si>
  <si>
    <t>FEL PRO GASKETS</t>
  </si>
  <si>
    <t>felpro.com</t>
  </si>
  <si>
    <t>WAGNER BRAKES</t>
  </si>
  <si>
    <t>wagnerbrake.com</t>
  </si>
  <si>
    <t>USA INDUSTRIES</t>
  </si>
  <si>
    <t>usa1industries.com</t>
  </si>
  <si>
    <t>TYC PRODUCTS</t>
  </si>
  <si>
    <t>genera.com</t>
  </si>
  <si>
    <t>ODYSSEY BATTERIES</t>
  </si>
  <si>
    <t>odysseybattery.com</t>
  </si>
  <si>
    <t>STANDARD IGN PARTS/STANDARD WIRES/STANDARD CARBURATION</t>
  </si>
  <si>
    <t>standardbrand.com</t>
  </si>
  <si>
    <t>HENGST</t>
  </si>
  <si>
    <t>hengst.com</t>
  </si>
  <si>
    <t>SPECTRE PERFORMANCE</t>
  </si>
  <si>
    <t>spectreperformance.com</t>
  </si>
  <si>
    <t>E3 PLUGS</t>
  </si>
  <si>
    <t>e3sparkplugs.com</t>
  </si>
  <si>
    <t>A1 CARDONE</t>
  </si>
  <si>
    <t>cardone.com</t>
  </si>
  <si>
    <t>TRICO WIPERS</t>
  </si>
  <si>
    <t>tricoproducts.com</t>
  </si>
  <si>
    <t>FOUR SEASONS</t>
  </si>
  <si>
    <t>4s.com</t>
  </si>
  <si>
    <t>BENDIX GLOBAL</t>
  </si>
  <si>
    <t>bendix.com</t>
  </si>
  <si>
    <t>PERTRONIX</t>
  </si>
  <si>
    <t>pertronixbrands.com</t>
  </si>
  <si>
    <t>AKEBONO BRAKES</t>
  </si>
  <si>
    <t>akebonobrakes.com</t>
  </si>
  <si>
    <t>RAYBESTOS</t>
  </si>
  <si>
    <t>brakepartsinc.com</t>
  </si>
  <si>
    <t>PRESTONE</t>
  </si>
  <si>
    <t>prestone.com</t>
  </si>
  <si>
    <t>ARNOTT</t>
  </si>
  <si>
    <t>arnottindustries.com</t>
  </si>
  <si>
    <t>EDELMANN P/S PARTS</t>
  </si>
  <si>
    <t>plews-edelmann.com</t>
  </si>
  <si>
    <t>HAWK FRICTION</t>
  </si>
  <si>
    <t>hawkperformance.com</t>
  </si>
  <si>
    <t>SPECTRA PREMIUM/SPECTRA FUEL</t>
  </si>
  <si>
    <t>spectrapremium.com</t>
  </si>
  <si>
    <t>DELPHI</t>
  </si>
  <si>
    <t>delphiautoparts.com</t>
  </si>
  <si>
    <t>CONTINENTAL/TEVES</t>
  </si>
  <si>
    <t>continental-automotive.com</t>
  </si>
  <si>
    <t>UNIVERSAL AIR COND</t>
  </si>
  <si>
    <t>uacparts.com</t>
  </si>
  <si>
    <t>BENDIX HYDRAULICS/BENDIX HEAVY-DUTY</t>
  </si>
  <si>
    <t>bendix.com.au</t>
  </si>
  <si>
    <t>SEAL PWR ENGINE PART</t>
  </si>
  <si>
    <t>drivparts.com</t>
  </si>
  <si>
    <t>ORIGINAL ENGINE MGMT</t>
  </si>
  <si>
    <t>smpcorp.com</t>
  </si>
  <si>
    <t>LESJOFORS</t>
  </si>
  <si>
    <t>lesjofors-automotive.com</t>
  </si>
  <si>
    <t>ADVICS BRAKE PADS</t>
  </si>
  <si>
    <t>advicsaftermarket.com</t>
  </si>
  <si>
    <t>FULLRIVER BATTERY</t>
  </si>
  <si>
    <t>fullriverbattery.com</t>
  </si>
  <si>
    <t>BRUTE POWER</t>
  </si>
  <si>
    <t>brutepower.com</t>
  </si>
  <si>
    <t>2023年4月，换业务领域了，卖除草机，发电机，铲雪机什么的</t>
  </si>
  <si>
    <t>GKN/LOEBRO</t>
  </si>
  <si>
    <t>gknautomotive.com</t>
  </si>
  <si>
    <t>EXIDE BATTERY</t>
  </si>
  <si>
    <t>exide.com</t>
  </si>
  <si>
    <t>GMB</t>
  </si>
  <si>
    <t>gmb.net</t>
  </si>
  <si>
    <t>ECOGARD</t>
  </si>
  <si>
    <t>ecogard.com</t>
  </si>
  <si>
    <t>NSK</t>
  </si>
  <si>
    <t>nsk.com</t>
  </si>
  <si>
    <t>SCHRADER VALVES</t>
  </si>
  <si>
    <t>schradertpms.com</t>
  </si>
  <si>
    <t>PROMAX PADS &amp; ROTORS</t>
  </si>
  <si>
    <t>promaxcomponents.com</t>
  </si>
  <si>
    <t>BERU</t>
  </si>
  <si>
    <t>beruparts.eu</t>
  </si>
  <si>
    <t>MEVOTECH/MEVOTECH OG</t>
  </si>
  <si>
    <t>mevotech.com</t>
  </si>
  <si>
    <t>CLOYES GEAR INC</t>
  </si>
  <si>
    <t>cloyes.com</t>
  </si>
  <si>
    <t>AISIN PRODUCTS</t>
  </si>
  <si>
    <t>aisinaftermarket.com</t>
  </si>
  <si>
    <t>AUTOLITE SPARK PLUGS</t>
  </si>
  <si>
    <t>autolite.com</t>
  </si>
  <si>
    <t>ANCO WIPER PRODUCTS</t>
  </si>
  <si>
    <t>ancowipers.com</t>
  </si>
  <si>
    <t>UNITY</t>
  </si>
  <si>
    <t>unityap.com</t>
  </si>
  <si>
    <t>2023年11月，报告中无法获取流量数据，但是网站还可以正常打开</t>
  </si>
  <si>
    <t>CSF RADIATORS</t>
  </si>
  <si>
    <t>csfrace.com</t>
  </si>
  <si>
    <t>MOTORAD PRODUCTS</t>
  </si>
  <si>
    <t>motorad.com</t>
  </si>
  <si>
    <t>WALKER O2S</t>
  </si>
  <si>
    <t>walkerproducts.com</t>
  </si>
  <si>
    <t>GABRIEL SHOCKS</t>
  </si>
  <si>
    <t>gabriel.com</t>
  </si>
  <si>
    <t>BECK ARNLEY</t>
  </si>
  <si>
    <t>beckarnley.com</t>
  </si>
  <si>
    <t>US MOTOR WORKS</t>
  </si>
  <si>
    <t>usmotorworks.com</t>
  </si>
  <si>
    <t>DAVICO CATS</t>
  </si>
  <si>
    <t>davicomfg.com</t>
  </si>
  <si>
    <t>HOLSTEIN</t>
  </si>
  <si>
    <t>holsteinparts.com</t>
  </si>
  <si>
    <t>BANDO BELTS</t>
  </si>
  <si>
    <t>bandousa.com</t>
  </si>
  <si>
    <t>ARC REBUILT</t>
  </si>
  <si>
    <t>arcparts.com</t>
  </si>
  <si>
    <t>2023年4月，换业务领域了，1.卖减速器，2.刹车卡钳，3.减速箱清洁服务;2023/6,流量过低，无法正常获取</t>
  </si>
  <si>
    <t>WESTAR MOUNTS</t>
  </si>
  <si>
    <t>westarparts.com</t>
  </si>
  <si>
    <t>2023年6月，流量过低，无法获取</t>
  </si>
  <si>
    <t>ELRING</t>
  </si>
  <si>
    <t>elring.com</t>
  </si>
  <si>
    <t>2023年8月，流量过低，无法获取</t>
  </si>
  <si>
    <t>PRONTO DURAGO/DURA ROTOR (CAL)</t>
  </si>
  <si>
    <t>duragoparts.com</t>
  </si>
  <si>
    <t>ATE</t>
  </si>
  <si>
    <t>ate-brakes.com</t>
  </si>
  <si>
    <t>K-SOURCE MIRROR</t>
  </si>
  <si>
    <t>ksource.org</t>
  </si>
  <si>
    <t>KOYORAD</t>
  </si>
  <si>
    <t>koyorad.com</t>
  </si>
  <si>
    <t>HANSUN</t>
  </si>
  <si>
    <t>hanyale.com</t>
  </si>
  <si>
    <t>2023年4月，现在是一个台湾公司在用，做车窗升降机和马达的</t>
  </si>
  <si>
    <t>CORTECO</t>
  </si>
  <si>
    <t>corteco.com</t>
  </si>
  <si>
    <t>AUTOBEST</t>
  </si>
  <si>
    <t>autobestusa.com</t>
  </si>
  <si>
    <t>2023年4月，做燃油泵的公司（也是Ric的）</t>
  </si>
  <si>
    <t>CHAMP BRAND FILTERS</t>
  </si>
  <si>
    <t>champfiltration.com</t>
  </si>
  <si>
    <t>2023年4月，报告中无法正常获取流量，网页可以正常打开</t>
  </si>
  <si>
    <t>NPW</t>
  </si>
  <si>
    <t>npwcompanies.com</t>
  </si>
  <si>
    <t>URO PARTS</t>
  </si>
  <si>
    <t>apaindustries.com</t>
  </si>
  <si>
    <t>BENDIX FRICTION/BENDIX DRUM &amp; ROTORS</t>
  </si>
  <si>
    <t>bendix-brakes.com</t>
  </si>
  <si>
    <t>2023年10月，流量过低，无法获取</t>
  </si>
  <si>
    <t>MANDO</t>
  </si>
  <si>
    <t>mandoautoparts.com</t>
  </si>
  <si>
    <t>FERODO</t>
  </si>
  <si>
    <t>ferodo.com</t>
  </si>
  <si>
    <t>MPA/MPA ELECTRICAL</t>
  </si>
  <si>
    <t>motorcarparts.com</t>
  </si>
  <si>
    <t>REINZ</t>
  </si>
  <si>
    <t>victorreinz.com</t>
  </si>
  <si>
    <t>GSP NORTH AMERICA</t>
  </si>
  <si>
    <t>gspnorthamerica.com</t>
  </si>
  <si>
    <t>FCS STRUTS</t>
  </si>
  <si>
    <t>fcsautoparts.com</t>
  </si>
  <si>
    <t>2023年4月，所有流量都在土耳其；202401，流量过低，无法获取</t>
  </si>
  <si>
    <t>STANT GAS CAPS</t>
  </si>
  <si>
    <t>stant.com</t>
  </si>
  <si>
    <t>JURID</t>
  </si>
  <si>
    <t>jurid.com</t>
  </si>
  <si>
    <t>2023年5月，报告中无法获取流量数据，但是网站还可以正常打开</t>
  </si>
  <si>
    <t>VEMO</t>
  </si>
  <si>
    <t>vemo.de</t>
  </si>
  <si>
    <t>DAYCO</t>
  </si>
  <si>
    <t>dayco.com</t>
  </si>
  <si>
    <t>BOSAL EXHAUST</t>
  </si>
  <si>
    <t>brexhaust.com</t>
  </si>
  <si>
    <t>2023年10月，网站导流到magnaflow.com；2023年5月，报告中无法获取流量数据，但是网站还可以正常打开</t>
  </si>
  <si>
    <t>DYNAMIC FRICTION</t>
  </si>
  <si>
    <t>dynamicfriction.com</t>
  </si>
  <si>
    <t>POWER BRAKE EXCHANGE</t>
  </si>
  <si>
    <t>pwrbrake.com</t>
  </si>
  <si>
    <t>SEN-SEN</t>
  </si>
  <si>
    <t>sensen-na.com</t>
  </si>
  <si>
    <t>2023年4月，报告中无法获取流量，但网站还是可以打开</t>
  </si>
  <si>
    <t>REMY ELECTRICAL</t>
  </si>
  <si>
    <t>remyautomotive.com</t>
  </si>
  <si>
    <t>ANCHOR MOUNTS</t>
  </si>
  <si>
    <t>anchor-online.com</t>
  </si>
  <si>
    <t>ROTOMASTER</t>
  </si>
  <si>
    <t>rotomaster.com</t>
  </si>
  <si>
    <t>MAVAL</t>
  </si>
  <si>
    <t>mavalgear.com</t>
  </si>
  <si>
    <t>2023年4月，报告中无法获取流量数据，但是网站还可以正常打开</t>
  </si>
  <si>
    <t>CTR CHASSIS</t>
  </si>
  <si>
    <t>ctrautoparts.ca</t>
  </si>
  <si>
    <t>APEX GASKET</t>
  </si>
  <si>
    <t>apexauto.com</t>
  </si>
  <si>
    <t>PRO-KING</t>
  </si>
  <si>
    <t>pro-kingproducts.com</t>
  </si>
  <si>
    <t>MANN FILTERS</t>
  </si>
  <si>
    <t>mann-filter.com</t>
  </si>
  <si>
    <t>MAHLE</t>
  </si>
  <si>
    <t>web.tecalliance.net</t>
  </si>
  <si>
    <t>FLENNOR AUTOMOTIVE</t>
  </si>
  <si>
    <t>walther-flender.de</t>
  </si>
  <si>
    <t>FACET ENGINE MANAGEM</t>
  </si>
  <si>
    <t>facet.eu</t>
  </si>
  <si>
    <t>HEPU</t>
  </si>
  <si>
    <t>hepu.de</t>
  </si>
  <si>
    <t>TUFF SUPPORT</t>
  </si>
  <si>
    <t>tuffsupport.com</t>
  </si>
  <si>
    <t>VAICO</t>
  </si>
  <si>
    <t>vaico.de</t>
  </si>
  <si>
    <t>BBP/BETTER BRAKE PARTS</t>
  </si>
  <si>
    <t>betterbrake.com</t>
  </si>
  <si>
    <t>ACI WINDOW REGS</t>
  </si>
  <si>
    <t>aciauto.com</t>
  </si>
  <si>
    <t>SUSPENSIA</t>
  </si>
  <si>
    <t>suspensia.com</t>
  </si>
  <si>
    <t>2023年10月，报告中无法获取流量数据，但是网站还可以正常打开</t>
  </si>
  <si>
    <t>PTC</t>
  </si>
  <si>
    <t>ptcauto.com</t>
  </si>
  <si>
    <t>KARLYN WIRES/COILS</t>
  </si>
  <si>
    <t>karlynsti.com</t>
  </si>
  <si>
    <t>MTC</t>
  </si>
  <si>
    <t>mtcparts.com</t>
  </si>
  <si>
    <t>ULO</t>
  </si>
  <si>
    <t>ulo.de</t>
  </si>
  <si>
    <t>2023年4月，报告中无法获取流量数据，但是网站还可以正常打开，是一家德国网站，是否还需要继续监控？？？？</t>
  </si>
  <si>
    <t>AUTO 7</t>
  </si>
  <si>
    <t>auto7inc.com</t>
  </si>
  <si>
    <t>2023年4月，网页面显示空白；202401，网站导流到https://suggestive.com/halloween-costume-ideas-pets/</t>
  </si>
  <si>
    <t>UREMCO</t>
  </si>
  <si>
    <t>uremcoinc.com</t>
  </si>
  <si>
    <t>DEC CONVERTERS</t>
  </si>
  <si>
    <t>deccats.com</t>
  </si>
  <si>
    <t>2023年5月，报告中无法获取流量数据，但是网站还可以正常打开；202401，网站无法正常访问</t>
  </si>
  <si>
    <t>XRF PREMIUM CHASSIS</t>
  </si>
  <si>
    <t>xrfauto.com</t>
  </si>
  <si>
    <t>turnermotorsport.com</t>
  </si>
  <si>
    <t>stockwiseauto.com</t>
  </si>
  <si>
    <t>conceptzperformance.com</t>
  </si>
  <si>
    <t>autohausaz.com</t>
  </si>
  <si>
    <t>bimmerworld.com</t>
  </si>
  <si>
    <t>多副厂Brand，主营欧洲品牌</t>
  </si>
  <si>
    <t>europartsplus.com</t>
  </si>
  <si>
    <t>PRECISION UNIV JOINT</t>
  </si>
  <si>
    <t>未找到</t>
  </si>
  <si>
    <t>BEARINGS-SEALS</t>
  </si>
  <si>
    <t>PHILIPS LIGHTING</t>
  </si>
  <si>
    <t>FAG</t>
  </si>
  <si>
    <t>OMEGA</t>
  </si>
  <si>
    <t>INA</t>
  </si>
  <si>
    <t>MAS CHASSIS</t>
  </si>
  <si>
    <t>AIMCO DRUMS/ROTORS</t>
  </si>
  <si>
    <t>ANSA</t>
  </si>
  <si>
    <t>EASTERN CONVERTERS</t>
  </si>
  <si>
    <t>ACCUDRIVE RACKS</t>
  </si>
  <si>
    <t>NUGEON CALIPERS</t>
  </si>
  <si>
    <t>CADNA</t>
  </si>
  <si>
    <r>
      <rPr>
        <b/>
        <sz val="11"/>
        <color theme="1"/>
        <rFont val="Calibri"/>
        <charset val="134"/>
      </rPr>
      <t>Ave(SEMRush+SimilarWeb</t>
    </r>
    <r>
      <rPr>
        <b/>
        <sz val="11"/>
        <color theme="1"/>
        <rFont val="微软雅黑"/>
        <charset val="134"/>
      </rPr>
      <t>加权</t>
    </r>
    <r>
      <rPr>
        <b/>
        <sz val="11"/>
        <color theme="1"/>
        <rFont val="Calibri"/>
        <charset val="134"/>
      </rPr>
      <t>)</t>
    </r>
  </si>
  <si>
    <t>chevroletonlineparts.com</t>
  </si>
  <si>
    <t>gmpartscheap.com</t>
  </si>
  <si>
    <t>65</t>
  </si>
  <si>
    <t>bmwpartsupply.com</t>
  </si>
  <si>
    <t>网站流量上涨，10月起加入MarketingShare
202305流量太低，无法正常获取流量</t>
  </si>
  <si>
    <t>282</t>
  </si>
  <si>
    <t>volvooempartsdirect.com</t>
  </si>
  <si>
    <t>parts.jeepchryslerdodgeramparts.com</t>
  </si>
  <si>
    <t>2023年2月新增正厂。2023/05/26域名错误</t>
  </si>
  <si>
    <r>
      <rPr>
        <b/>
        <sz val="11"/>
        <color theme="1"/>
        <rFont val="微软雅黑"/>
        <charset val="134"/>
      </rPr>
      <t>加权平均</t>
    </r>
  </si>
  <si>
    <t>bmw.partswebsite.com</t>
  </si>
  <si>
    <r>
      <rPr>
        <sz val="11"/>
        <rFont val="Calibri"/>
        <charset val="134"/>
      </rPr>
      <t>2023</t>
    </r>
    <r>
      <rPr>
        <sz val="11"/>
        <rFont val="宋体"/>
        <charset val="134"/>
      </rPr>
      <t>年</t>
    </r>
    <r>
      <rPr>
        <sz val="11"/>
        <rFont val="Calibri"/>
        <charset val="134"/>
      </rPr>
      <t>5</t>
    </r>
    <r>
      <rPr>
        <sz val="11"/>
        <rFont val="宋体"/>
        <charset val="134"/>
      </rPr>
      <t>月，子域名失效</t>
    </r>
  </si>
  <si>
    <r>
      <rPr>
        <sz val="11"/>
        <rFont val="Calibri"/>
        <charset val="134"/>
      </rPr>
      <t>Motor</t>
    </r>
    <r>
      <rPr>
        <sz val="11"/>
        <rFont val="微软雅黑"/>
        <charset val="134"/>
      </rPr>
      <t>目录</t>
    </r>
  </si>
  <si>
    <r>
      <rPr>
        <sz val="11"/>
        <rFont val="Calibri"/>
        <charset val="134"/>
      </rPr>
      <t>2023</t>
    </r>
    <r>
      <rPr>
        <sz val="11"/>
        <rFont val="宋体"/>
        <charset val="134"/>
      </rPr>
      <t>年4月15日，网址失效。</t>
    </r>
  </si>
  <si>
    <t>www.silverstatefordparts.com</t>
  </si>
  <si>
    <r>
      <rPr>
        <sz val="11"/>
        <rFont val="Calibri"/>
        <charset val="134"/>
      </rPr>
      <t>202305</t>
    </r>
    <r>
      <rPr>
        <sz val="11"/>
        <rFont val="宋体"/>
        <charset val="134"/>
      </rPr>
      <t>网站无法正常打开</t>
    </r>
  </si>
  <si>
    <t>4454</t>
  </si>
  <si>
    <t>3728</t>
  </si>
  <si>
    <r>
      <rPr>
        <sz val="11"/>
        <rFont val="Calibri"/>
        <charset val="134"/>
      </rPr>
      <t>2023</t>
    </r>
    <r>
      <rPr>
        <sz val="11"/>
        <rFont val="宋体"/>
        <charset val="134"/>
      </rPr>
      <t>年</t>
    </r>
    <r>
      <rPr>
        <sz val="11"/>
        <rFont val="Calibri"/>
        <charset val="134"/>
      </rPr>
      <t>4</t>
    </r>
    <r>
      <rPr>
        <sz val="11"/>
        <rFont val="宋体"/>
        <charset val="134"/>
      </rPr>
      <t>月</t>
    </r>
    <r>
      <rPr>
        <sz val="11"/>
        <rFont val="Calibri"/>
        <charset val="134"/>
      </rPr>
      <t>15</t>
    </r>
    <r>
      <rPr>
        <sz val="11"/>
        <rFont val="宋体"/>
        <charset val="134"/>
      </rPr>
      <t>日，网址失效。</t>
    </r>
  </si>
  <si>
    <t>137</t>
  </si>
  <si>
    <t>hyundai.partswebsite.com</t>
  </si>
  <si>
    <t>2023年4月，网址失效</t>
  </si>
  <si>
    <t>kiaautopartsaccessories.com</t>
  </si>
  <si>
    <r>
      <rPr>
        <sz val="11"/>
        <rFont val="Calibri"/>
        <charset val="134"/>
      </rPr>
      <t>202305</t>
    </r>
    <r>
      <rPr>
        <sz val="11"/>
        <rFont val="宋体"/>
        <charset val="134"/>
      </rPr>
      <t>网站失效</t>
    </r>
  </si>
  <si>
    <t>5056</t>
  </si>
  <si>
    <t>www.oemlexusparts.com</t>
  </si>
  <si>
    <r>
      <rPr>
        <sz val="11"/>
        <rFont val="Calibri"/>
        <charset val="134"/>
      </rPr>
      <t>2023/5/26</t>
    </r>
    <r>
      <rPr>
        <sz val="11"/>
        <rFont val="宋体"/>
        <charset val="134"/>
      </rPr>
      <t>，域名无法获取</t>
    </r>
  </si>
  <si>
    <r>
      <rPr>
        <sz val="11"/>
        <rFont val="Calibri"/>
        <charset val="134"/>
      </rPr>
      <t>2023</t>
    </r>
    <r>
      <rPr>
        <sz val="11"/>
        <rFont val="宋体"/>
        <charset val="134"/>
      </rPr>
      <t>年4月，域名出售</t>
    </r>
  </si>
  <si>
    <t>699</t>
  </si>
  <si>
    <t>284</t>
  </si>
  <si>
    <r>
      <rPr>
        <sz val="11"/>
        <rFont val="Calibri"/>
        <charset val="134"/>
      </rPr>
      <t>2023</t>
    </r>
    <r>
      <rPr>
        <sz val="11"/>
        <rFont val="宋体"/>
        <charset val="134"/>
      </rPr>
      <t>年4月，网址失效</t>
    </r>
  </si>
  <si>
    <t>www.mitsubishiparts.net</t>
  </si>
  <si>
    <t>2023年4月，网站转型，不卖零件了</t>
  </si>
  <si>
    <t>www.factorymoparparts.net</t>
  </si>
  <si>
    <r>
      <rPr>
        <sz val="11"/>
        <rFont val="Calibri"/>
        <charset val="134"/>
      </rPr>
      <t>2023/05/26</t>
    </r>
    <r>
      <rPr>
        <sz val="11"/>
        <rFont val="宋体"/>
        <charset val="134"/>
      </rPr>
      <t>，网站导流到其他网站，网站流量基本归</t>
    </r>
    <r>
      <rPr>
        <sz val="11"/>
        <rFont val="Calibri"/>
        <charset val="134"/>
      </rPr>
      <t>0</t>
    </r>
    <r>
      <rPr>
        <sz val="11"/>
        <rFont val="宋体"/>
        <charset val="134"/>
      </rPr>
      <t>；</t>
    </r>
    <r>
      <rPr>
        <sz val="11"/>
        <rFont val="Calibri"/>
        <charset val="134"/>
      </rPr>
      <t>2023/7/18</t>
    </r>
    <r>
      <rPr>
        <sz val="11"/>
        <rFont val="宋体"/>
        <charset val="134"/>
      </rPr>
      <t>无法正常访问</t>
    </r>
  </si>
  <si>
    <r>
      <rPr>
        <sz val="11"/>
        <rFont val="Calibri"/>
        <charset val="134"/>
      </rPr>
      <t>2023/05/26</t>
    </r>
    <r>
      <rPr>
        <sz val="11"/>
        <rFont val="宋体"/>
        <charset val="134"/>
      </rPr>
      <t>，网站转行卖纺织品了</t>
    </r>
  </si>
  <si>
    <t>parts.renaissancenissan.com</t>
  </si>
  <si>
    <r>
      <rPr>
        <sz val="11"/>
        <rFont val="Calibri"/>
        <charset val="134"/>
      </rPr>
      <t>2023</t>
    </r>
    <r>
      <rPr>
        <sz val="11"/>
        <rFont val="宋体"/>
        <charset val="134"/>
      </rPr>
      <t>年</t>
    </r>
    <r>
      <rPr>
        <sz val="11"/>
        <rFont val="Calibri"/>
        <charset val="134"/>
      </rPr>
      <t>3</t>
    </r>
    <r>
      <rPr>
        <sz val="11"/>
        <rFont val="宋体"/>
        <charset val="134"/>
      </rPr>
      <t>月新增正厂，</t>
    </r>
    <r>
      <rPr>
        <sz val="11"/>
        <rFont val="Calibri"/>
        <charset val="134"/>
      </rPr>
      <t>202305</t>
    </r>
    <r>
      <rPr>
        <sz val="11"/>
        <rFont val="宋体"/>
        <charset val="134"/>
      </rPr>
      <t>域名挂靠</t>
    </r>
  </si>
  <si>
    <t>10045</t>
  </si>
  <si>
    <t>424</t>
  </si>
  <si>
    <t>5366</t>
  </si>
  <si>
    <t>www.oemnissanparts.com</t>
  </si>
  <si>
    <r>
      <rPr>
        <sz val="11"/>
        <rFont val="Calibri"/>
        <charset val="134"/>
      </rPr>
      <t>2023/5/26</t>
    </r>
    <r>
      <rPr>
        <sz val="11"/>
        <rFont val="宋体"/>
        <charset val="134"/>
      </rPr>
      <t>，网站流量基本归</t>
    </r>
    <r>
      <rPr>
        <sz val="11"/>
        <rFont val="Calibri"/>
        <charset val="134"/>
      </rPr>
      <t>0</t>
    </r>
    <r>
      <rPr>
        <sz val="11"/>
        <rFont val="宋体"/>
        <charset val="134"/>
      </rPr>
      <t>，被导流到</t>
    </r>
    <r>
      <rPr>
        <sz val="11"/>
        <rFont val="Calibri"/>
        <charset val="134"/>
      </rPr>
      <t>www.southwestnissantx.com</t>
    </r>
  </si>
  <si>
    <t>discountedsubaruparts.com</t>
  </si>
  <si>
    <r>
      <rPr>
        <sz val="11"/>
        <rFont val="Calibri"/>
        <charset val="134"/>
      </rPr>
      <t>2023</t>
    </r>
    <r>
      <rPr>
        <sz val="11"/>
        <rFont val="宋体"/>
        <charset val="134"/>
      </rPr>
      <t>年</t>
    </r>
    <r>
      <rPr>
        <sz val="11"/>
        <rFont val="Calibri"/>
        <charset val="134"/>
      </rPr>
      <t>5</t>
    </r>
    <r>
      <rPr>
        <sz val="11"/>
        <rFont val="宋体"/>
        <charset val="134"/>
      </rPr>
      <t>月，域名失效</t>
    </r>
  </si>
  <si>
    <t>7806</t>
  </si>
  <si>
    <t>3331</t>
  </si>
  <si>
    <t>wilde Automotive</t>
  </si>
  <si>
    <t>www.subarupartsmall.com</t>
  </si>
  <si>
    <t>2023年4月，域名失效，2023/05/26，将流量导流给了subaru.oempartsonline.com</t>
  </si>
  <si>
    <r>
      <rPr>
        <sz val="11"/>
        <color rgb="FFFF0000"/>
        <rFont val="Calibri"/>
        <charset val="134"/>
      </rPr>
      <t>Motor</t>
    </r>
    <r>
      <rPr>
        <sz val="11"/>
        <color rgb="FFFF0000"/>
        <rFont val="微软雅黑"/>
        <charset val="134"/>
      </rPr>
      <t>目录</t>
    </r>
  </si>
  <si>
    <t>430</t>
  </si>
  <si>
    <t>9837</t>
  </si>
  <si>
    <t>2045</t>
  </si>
  <si>
    <t>Accessory</t>
  </si>
  <si>
    <t>www.oempartworld.com</t>
  </si>
  <si>
    <t>2023/04，网址失效。2023/05/26，网站流量基本归0，被导流到www.heartlandtoyota.com，再被导流到autoparts.toyota.com</t>
  </si>
  <si>
    <t>510</t>
  </si>
  <si>
    <t>833</t>
  </si>
  <si>
    <t>parts.bernarditoyota.com</t>
  </si>
  <si>
    <r>
      <rPr>
        <sz val="11"/>
        <rFont val="Calibri"/>
        <charset val="134"/>
      </rPr>
      <t>2023</t>
    </r>
    <r>
      <rPr>
        <sz val="11"/>
        <rFont val="宋体"/>
        <charset val="134"/>
      </rPr>
      <t>年4月网址失效，主网站主营汽车销售，建议移除监控</t>
    </r>
  </si>
  <si>
    <t>www.1stvwparts.com</t>
  </si>
  <si>
    <t>215</t>
  </si>
  <si>
    <t>96</t>
  </si>
  <si>
    <t>10月流量变化情况-US</t>
  </si>
  <si>
    <t>10月流量变化情况-全站</t>
  </si>
  <si>
    <t>HASTINGS FILTERS</t>
  </si>
  <si>
    <t>hastingsfilter.com</t>
  </si>
  <si>
    <t>2023年4月，被导流到baldwinfilters.com/us/en.html；2023/11月，连续六月流量为0，加入失效清单</t>
  </si>
  <si>
    <t>SA GEAR TIMING</t>
  </si>
  <si>
    <t>sagearinc.com</t>
  </si>
  <si>
    <t>2023年6月，流量过低，无法获取；2023/11月，连续六月流量为0，加入失效清单</t>
  </si>
  <si>
    <t>DEKA TERMINALS</t>
  </si>
  <si>
    <t>dekabatteries.com</t>
  </si>
  <si>
    <t>2023年4月，报告中无法获取流量，网站被导流到eastpennmanufacturing.com；2023/11月，连续六月流量为0，加入失效清单</t>
  </si>
  <si>
    <t>ENCORE AUTOMOTIVE</t>
  </si>
  <si>
    <t>encoreautomotive.parts</t>
  </si>
  <si>
    <t>2023年4月，报告中无法获取流量，但网站还是可以打开；2023/11月，连续六月流量为0，加入失效清单</t>
  </si>
  <si>
    <t>9月流量变化情况-US</t>
  </si>
  <si>
    <t>9月流量变化情况-全站</t>
  </si>
  <si>
    <t>CHILTON MANUALS</t>
  </si>
  <si>
    <t>chiltondiy.com</t>
  </si>
  <si>
    <t>2023年10月，网站宣布停止服务</t>
  </si>
  <si>
    <t>BREMI</t>
  </si>
  <si>
    <t>bremi.de</t>
  </si>
  <si>
    <t>2023年10月，网址错误，无法正常登录</t>
  </si>
  <si>
    <t>ATLANTIC AUTO ENTPRS</t>
  </si>
  <si>
    <t>atlanticautoparts.net</t>
  </si>
  <si>
    <t>2023年10月，网址错误，无法打开；2023年5月，报告中无法获取流量数据，但是网站还可以正常打开</t>
  </si>
  <si>
    <t>5月流量变化情况-US</t>
  </si>
  <si>
    <t>5月流量变化情况-全站</t>
  </si>
  <si>
    <t>AP EXHAUST</t>
  </si>
  <si>
    <t>www.sales.apexhaust.com</t>
  </si>
  <si>
    <t>2023年4月网址失效</t>
  </si>
  <si>
    <t>AIRTEX WATER PUMPS</t>
  </si>
  <si>
    <t>www.airtexproducts.com</t>
  </si>
  <si>
    <t>2023年4月，网址不可用</t>
  </si>
  <si>
    <t>STRONG ARM</t>
  </si>
  <si>
    <t>www.strongarm-struts.com.au</t>
  </si>
  <si>
    <t>2023年4月，网站已经凉了</t>
  </si>
  <si>
    <t>Visits_SimilarWeb_11</t>
  </si>
  <si>
    <t>Visits_SEMRush_11</t>
  </si>
  <si>
    <t>www.acuraautomotiveparts.org</t>
  </si>
  <si>
    <t>www.acurapartssuperstore.com</t>
  </si>
  <si>
    <t>www.jimellisaudiparts.com</t>
  </si>
  <si>
    <t>www.getaudiparts.com</t>
  </si>
  <si>
    <t>www.jakesweeneybmwparts.com</t>
  </si>
  <si>
    <t>www.thebmwminipartstore.com</t>
  </si>
  <si>
    <t>www.bmwpartsworldwide.com</t>
  </si>
  <si>
    <t>www.discountfordpartsfromsoundford.net</t>
  </si>
  <si>
    <t>www.chevroletonlineparts.com</t>
  </si>
  <si>
    <t>www.gmpartsclub.com</t>
  </si>
  <si>
    <t>www.gmpartsdirect.co</t>
  </si>
  <si>
    <t>www.gmpartsheadquarters.com</t>
  </si>
  <si>
    <t>www.gm-car-parts.com</t>
  </si>
  <si>
    <t>www.gmpartscheap.com</t>
  </si>
  <si>
    <t>www.gmpartsdepartment.com</t>
  </si>
  <si>
    <t>www.gm-parts-dealer.com</t>
  </si>
  <si>
    <t>www.gm-auto-parts.com</t>
  </si>
  <si>
    <t>www.hondapartsunlimited.com</t>
  </si>
  <si>
    <t>www.hondapartsdeals.com</t>
  </si>
  <si>
    <t>www.collegehillshondaparts.com</t>
  </si>
  <si>
    <t>www.partshyundai.com</t>
  </si>
  <si>
    <t>www.kiaautomotiveparts.com</t>
  </si>
  <si>
    <t>www.factorylparts.com</t>
  </si>
  <si>
    <t>www.lexusofknoxvilleparts.com</t>
  </si>
  <si>
    <t>www.parkplacelexusparts.com</t>
  </si>
  <si>
    <t>www.mazda-parts-dealer.com</t>
  </si>
  <si>
    <t>www.mazdaparts.com</t>
  </si>
  <si>
    <t>www.parkmazdaoemparts.com</t>
  </si>
  <si>
    <t>www.getmercedesparts.com</t>
  </si>
  <si>
    <t>www.mitsubishipartscentral.com</t>
  </si>
  <si>
    <t>www.jeepautomotiveparts.com</t>
  </si>
  <si>
    <t>www.jeepsareus.com</t>
  </si>
  <si>
    <t>www.wholesalemopar.com</t>
  </si>
  <si>
    <t>www.nissanpartswarehouse.com</t>
  </si>
  <si>
    <t>www.everythingnissan.com</t>
  </si>
  <si>
    <t>www.pronissanparts.com</t>
  </si>
  <si>
    <t>www.nissanraceshopoemparts.com</t>
  </si>
  <si>
    <t>www.mynissanpartstore.com</t>
  </si>
  <si>
    <t>www.bochnissanparts.com</t>
  </si>
  <si>
    <t>www.subarugenuineparts.com</t>
  </si>
  <si>
    <t>www.subarupartssuperstore.com</t>
  </si>
  <si>
    <t>www.toyotamcdonoughparts.com</t>
  </si>
  <si>
    <t>www.midatlantictoyotaparts.com</t>
  </si>
  <si>
    <t>www.toyota-parts-dealer.com</t>
  </si>
  <si>
    <t>www.volkswagenpartsamerica.com</t>
  </si>
  <si>
    <t>www.volvooempartsdirect.com</t>
  </si>
  <si>
    <t>www.bostonvolvocarsparts.com</t>
  </si>
  <si>
    <t>01.29.2018</t>
  </si>
  <si>
    <t>3.14.2018</t>
  </si>
  <si>
    <t>四月</t>
  </si>
  <si>
    <t>八月</t>
  </si>
  <si>
    <t>10.4.2018</t>
  </si>
  <si>
    <t>11.19.2018</t>
  </si>
  <si>
    <t>12.21.2018</t>
  </si>
  <si>
    <t>1.14.2019</t>
  </si>
  <si>
    <t>2.18.2019</t>
  </si>
  <si>
    <t>3.19.2019</t>
  </si>
  <si>
    <t>4.15.2019</t>
  </si>
  <si>
    <t>5.29.2019</t>
  </si>
  <si>
    <t>6.24.2019</t>
  </si>
  <si>
    <t>7.19.2019</t>
  </si>
  <si>
    <t>8.27.2019</t>
  </si>
  <si>
    <t>9.24.2019</t>
  </si>
  <si>
    <t>10.22.2019</t>
  </si>
  <si>
    <t>11.19.2019</t>
  </si>
  <si>
    <t>12.19.2019</t>
  </si>
  <si>
    <t>1.20.2020</t>
  </si>
  <si>
    <t>02.19.2020</t>
  </si>
  <si>
    <t>3.17.2020</t>
  </si>
  <si>
    <t>4.15.2020</t>
  </si>
  <si>
    <t>5.18.2020</t>
  </si>
  <si>
    <t>6.18.2020</t>
  </si>
  <si>
    <t>7.21.2020</t>
  </si>
  <si>
    <t>8.18.2020</t>
  </si>
  <si>
    <t>9.16.2020</t>
  </si>
  <si>
    <t>10.17.2020</t>
  </si>
  <si>
    <t>11.20.2020</t>
  </si>
  <si>
    <t>12.17.2020</t>
  </si>
  <si>
    <t>01.19.2021</t>
  </si>
  <si>
    <t>02.20.2021</t>
  </si>
  <si>
    <t>04.20.2021</t>
  </si>
  <si>
    <t>05.19.2021</t>
  </si>
  <si>
    <t>06.17.2021</t>
  </si>
  <si>
    <t>07.14.2021</t>
  </si>
  <si>
    <t>08.12.2021</t>
  </si>
  <si>
    <t>公式引用列</t>
  </si>
  <si>
    <t>测试</t>
  </si>
  <si>
    <t>1.1k</t>
  </si>
  <si>
    <t>1.3k</t>
  </si>
  <si>
    <t>1.5k</t>
  </si>
  <si>
    <t>1.6k</t>
  </si>
  <si>
    <t>1.7k</t>
  </si>
  <si>
    <t>1.8k</t>
  </si>
  <si>
    <t>1.9k</t>
  </si>
  <si>
    <t>2k</t>
  </si>
  <si>
    <t>1987</t>
  </si>
  <si>
    <t>2013</t>
  </si>
  <si>
    <t>1955</t>
  </si>
  <si>
    <t>1623</t>
  </si>
  <si>
    <t>1617</t>
  </si>
  <si>
    <t>1609</t>
  </si>
  <si>
    <t>1791</t>
  </si>
  <si>
    <t>1809</t>
  </si>
  <si>
    <t>1.2k</t>
  </si>
  <si>
    <t>1302</t>
  </si>
  <si>
    <t>1230</t>
  </si>
  <si>
    <t>1194</t>
  </si>
  <si>
    <t>1196</t>
  </si>
  <si>
    <t>830</t>
  </si>
  <si>
    <t>810</t>
  </si>
  <si>
    <t>784</t>
  </si>
  <si>
    <t>863</t>
  </si>
  <si>
    <t>885</t>
  </si>
  <si>
    <t>960</t>
  </si>
  <si>
    <t>1074</t>
  </si>
  <si>
    <t>1168</t>
  </si>
  <si>
    <t>1292</t>
  </si>
  <si>
    <t>1319</t>
  </si>
  <si>
    <t>2286</t>
  </si>
  <si>
    <t>2560</t>
  </si>
  <si>
    <t>813</t>
  </si>
  <si>
    <t>834</t>
  </si>
  <si>
    <t>897</t>
  </si>
  <si>
    <t>894</t>
  </si>
  <si>
    <t>643</t>
  </si>
  <si>
    <t>647</t>
  </si>
  <si>
    <t>704</t>
  </si>
  <si>
    <t>722</t>
  </si>
  <si>
    <t>1170</t>
  </si>
  <si>
    <t>1244</t>
  </si>
  <si>
    <t>1159</t>
  </si>
  <si>
    <t>866</t>
  </si>
  <si>
    <t>825</t>
  </si>
  <si>
    <t>936</t>
  </si>
  <si>
    <t>940</t>
  </si>
  <si>
    <t>761</t>
  </si>
  <si>
    <t>820</t>
  </si>
  <si>
    <t>819</t>
  </si>
  <si>
    <t>781</t>
  </si>
  <si>
    <t>541</t>
  </si>
  <si>
    <t>562</t>
  </si>
  <si>
    <t>335</t>
  </si>
  <si>
    <t>352</t>
  </si>
  <si>
    <t>439</t>
  </si>
  <si>
    <t>361</t>
  </si>
  <si>
    <t>349</t>
  </si>
  <si>
    <t>359</t>
  </si>
  <si>
    <t>365</t>
  </si>
  <si>
    <t>366</t>
  </si>
  <si>
    <t>752</t>
  </si>
  <si>
    <t>725</t>
  </si>
  <si>
    <t>748</t>
  </si>
  <si>
    <t>741</t>
  </si>
  <si>
    <t>588</t>
  </si>
  <si>
    <t>581</t>
  </si>
  <si>
    <t>548</t>
  </si>
  <si>
    <t>612</t>
  </si>
  <si>
    <t>602</t>
  </si>
  <si>
    <t>431</t>
  </si>
  <si>
    <t>468</t>
  </si>
  <si>
    <t>517</t>
  </si>
  <si>
    <t>391</t>
  </si>
  <si>
    <t>379</t>
  </si>
  <si>
    <t>378</t>
  </si>
  <si>
    <t>415</t>
  </si>
  <si>
    <t>419</t>
  </si>
  <si>
    <t>1.4k</t>
  </si>
  <si>
    <t>2.3k</t>
  </si>
  <si>
    <t>2.4k</t>
  </si>
  <si>
    <t>2.2k</t>
  </si>
  <si>
    <t>2.2K</t>
  </si>
  <si>
    <t>2176</t>
  </si>
  <si>
    <t>2150</t>
  </si>
  <si>
    <t>2311</t>
  </si>
  <si>
    <t>2310</t>
  </si>
  <si>
    <t>1964</t>
  </si>
  <si>
    <t>2123</t>
  </si>
  <si>
    <t>2154</t>
  </si>
  <si>
    <t>3213</t>
  </si>
  <si>
    <t>3486</t>
  </si>
  <si>
    <t>2.3K</t>
  </si>
  <si>
    <t>2292</t>
  </si>
  <si>
    <t>2313</t>
  </si>
  <si>
    <t>2512</t>
  </si>
  <si>
    <t>2489</t>
  </si>
  <si>
    <t>2297</t>
  </si>
  <si>
    <t>2404</t>
  </si>
  <si>
    <t>3366</t>
  </si>
  <si>
    <t>3569</t>
  </si>
  <si>
    <t>1.8K</t>
  </si>
  <si>
    <t>1965</t>
  </si>
  <si>
    <t>1938</t>
  </si>
  <si>
    <t>2065</t>
  </si>
  <si>
    <t>1973</t>
  </si>
  <si>
    <t>1784</t>
  </si>
  <si>
    <t>1877</t>
  </si>
  <si>
    <t>1886</t>
  </si>
  <si>
    <t>2497</t>
  </si>
  <si>
    <t>2608</t>
  </si>
  <si>
    <t>2K</t>
  </si>
  <si>
    <t>2016</t>
  </si>
  <si>
    <t>1898</t>
  </si>
  <si>
    <t>1754</t>
  </si>
  <si>
    <t>1852</t>
  </si>
  <si>
    <t>1851</t>
  </si>
  <si>
    <t>2888</t>
  </si>
  <si>
    <t>3092</t>
  </si>
  <si>
    <t>374</t>
  </si>
  <si>
    <t>427</t>
  </si>
  <si>
    <t>575</t>
  </si>
  <si>
    <t>638</t>
  </si>
  <si>
    <t>716</t>
  </si>
  <si>
    <t>858</t>
  </si>
  <si>
    <t>879</t>
  </si>
  <si>
    <t>1734</t>
  </si>
  <si>
    <t>1k</t>
  </si>
  <si>
    <t>1125</t>
  </si>
  <si>
    <t>1122</t>
  </si>
  <si>
    <t>1110</t>
  </si>
  <si>
    <t>892</t>
  </si>
  <si>
    <t>893</t>
  </si>
  <si>
    <t>872</t>
  </si>
  <si>
    <t>911</t>
  </si>
  <si>
    <t>738</t>
  </si>
  <si>
    <t>531</t>
  </si>
  <si>
    <t>540</t>
  </si>
  <si>
    <t>634</t>
  </si>
  <si>
    <t>/</t>
  </si>
  <si>
    <t>995</t>
  </si>
  <si>
    <t>1008</t>
  </si>
  <si>
    <t>1101</t>
  </si>
  <si>
    <t>996</t>
  </si>
  <si>
    <t>895</t>
  </si>
  <si>
    <t>900</t>
  </si>
  <si>
    <t>983</t>
  </si>
  <si>
    <t>824</t>
  </si>
  <si>
    <t>811</t>
  </si>
  <si>
    <t>719</t>
  </si>
  <si>
    <t>627</t>
  </si>
  <si>
    <t>606</t>
  </si>
  <si>
    <t>584</t>
  </si>
  <si>
    <t>127 (closed)</t>
  </si>
  <si>
    <t>118</t>
  </si>
  <si>
    <t>113</t>
  </si>
  <si>
    <t>64</t>
  </si>
  <si>
    <t>20</t>
  </si>
  <si>
    <t>10</t>
  </si>
  <si>
    <t>11</t>
  </si>
  <si>
    <t>1423</t>
  </si>
  <si>
    <t>1429</t>
  </si>
  <si>
    <t>1261</t>
  </si>
  <si>
    <t>1164</t>
  </si>
  <si>
    <t>868</t>
  </si>
  <si>
    <t>865</t>
  </si>
  <si>
    <t>920</t>
  </si>
  <si>
    <t>935</t>
  </si>
  <si>
    <t>1129</t>
  </si>
  <si>
    <t>1173</t>
  </si>
  <si>
    <t>1276</t>
  </si>
  <si>
    <t>1327</t>
  </si>
  <si>
    <t>1330</t>
  </si>
  <si>
    <t>1470</t>
  </si>
  <si>
    <t>2588</t>
  </si>
  <si>
    <t>2876</t>
  </si>
  <si>
    <t>1082</t>
  </si>
  <si>
    <t>1087</t>
  </si>
  <si>
    <t>933</t>
  </si>
  <si>
    <t>898</t>
  </si>
  <si>
    <t>768</t>
  </si>
  <si>
    <t>971</t>
  </si>
  <si>
    <t>964</t>
  </si>
  <si>
    <t>880</t>
  </si>
  <si>
    <t>630</t>
  </si>
  <si>
    <t>528</t>
  </si>
  <si>
    <t>297</t>
  </si>
  <si>
    <t>263</t>
  </si>
  <si>
    <t>238</t>
  </si>
  <si>
    <t>197</t>
  </si>
  <si>
    <t>151</t>
  </si>
  <si>
    <t>481</t>
  </si>
  <si>
    <t>683</t>
  </si>
  <si>
    <t>726</t>
  </si>
  <si>
    <t>993</t>
  </si>
  <si>
    <t>1012</t>
  </si>
  <si>
    <t>1888</t>
  </si>
  <si>
    <t>2096</t>
  </si>
  <si>
    <t>690</t>
  </si>
  <si>
    <t>344</t>
  </si>
  <si>
    <t>339</t>
  </si>
  <si>
    <t>326</t>
  </si>
  <si>
    <t>369</t>
  </si>
  <si>
    <t>177</t>
  </si>
  <si>
    <t>213</t>
  </si>
  <si>
    <t>329</t>
  </si>
  <si>
    <t>337</t>
  </si>
  <si>
    <t>421</t>
  </si>
  <si>
    <t>542</t>
  </si>
  <si>
    <t>556</t>
  </si>
  <si>
    <t>1340</t>
  </si>
  <si>
    <t>1505</t>
  </si>
  <si>
    <t>WWW.oempartsource.com</t>
  </si>
  <si>
    <t>199/50</t>
  </si>
  <si>
    <t>228/47</t>
  </si>
  <si>
    <t>264/43</t>
  </si>
  <si>
    <t>217</t>
  </si>
  <si>
    <t>225</t>
  </si>
  <si>
    <t>272</t>
  </si>
  <si>
    <t>256</t>
  </si>
  <si>
    <t>207</t>
  </si>
  <si>
    <t>199</t>
  </si>
  <si>
    <t xml:space="preserve"> /</t>
  </si>
  <si>
    <t>2756</t>
  </si>
  <si>
    <t>2746</t>
  </si>
  <si>
    <t>2563</t>
  </si>
  <si>
    <t>2268</t>
  </si>
  <si>
    <t>2349</t>
  </si>
  <si>
    <t>2363</t>
  </si>
  <si>
    <t>3118</t>
  </si>
  <si>
    <t>1322</t>
  </si>
  <si>
    <t>1046</t>
  </si>
  <si>
    <t>1045</t>
  </si>
  <si>
    <t>774</t>
  </si>
  <si>
    <t>783</t>
  </si>
  <si>
    <t>859</t>
  </si>
  <si>
    <t>1252</t>
  </si>
  <si>
    <t>1337</t>
  </si>
  <si>
    <t>972</t>
  </si>
  <si>
    <t>1013</t>
  </si>
  <si>
    <t>1010</t>
  </si>
  <si>
    <t>1115</t>
  </si>
  <si>
    <t>1127</t>
  </si>
  <si>
    <t>5025</t>
  </si>
  <si>
    <t>4886</t>
  </si>
  <si>
    <t>4864</t>
  </si>
  <si>
    <t>4716</t>
  </si>
  <si>
    <t>4561</t>
  </si>
  <si>
    <t>4648</t>
  </si>
  <si>
    <t>4531</t>
  </si>
  <si>
    <t>5211</t>
  </si>
  <si>
    <t>5341</t>
  </si>
  <si>
    <t>1842</t>
  </si>
  <si>
    <t>1833</t>
  </si>
  <si>
    <t>1908</t>
  </si>
  <si>
    <t>1618</t>
  </si>
  <si>
    <t>1724</t>
  </si>
  <si>
    <t>1803</t>
  </si>
  <si>
    <t>2541</t>
  </si>
  <si>
    <t>2653</t>
  </si>
  <si>
    <t>341</t>
  </si>
  <si>
    <t>530</t>
  </si>
  <si>
    <t>553</t>
  </si>
  <si>
    <t>780</t>
  </si>
  <si>
    <t>788</t>
  </si>
  <si>
    <t>1708</t>
  </si>
  <si>
    <t>1918</t>
  </si>
  <si>
    <t>596</t>
  </si>
  <si>
    <t>689</t>
  </si>
  <si>
    <t>536</t>
  </si>
  <si>
    <t>849</t>
  </si>
  <si>
    <t>841</t>
  </si>
  <si>
    <t>579</t>
  </si>
  <si>
    <t>567</t>
  </si>
  <si>
    <t>549</t>
  </si>
  <si>
    <t>594</t>
  </si>
  <si>
    <t>568</t>
  </si>
  <si>
    <t>257</t>
  </si>
  <si>
    <t>269</t>
  </si>
  <si>
    <t>302</t>
  </si>
  <si>
    <t>232</t>
  </si>
  <si>
    <t>216</t>
  </si>
  <si>
    <t>219</t>
  </si>
  <si>
    <t>944</t>
  </si>
  <si>
    <t>608</t>
  </si>
  <si>
    <t>621</t>
  </si>
  <si>
    <t>645</t>
  </si>
  <si>
    <t>364</t>
  </si>
  <si>
    <t>396</t>
  </si>
  <si>
    <t>441</t>
  </si>
  <si>
    <t>464</t>
  </si>
  <si>
    <t>274</t>
  </si>
  <si>
    <t>317</t>
  </si>
  <si>
    <t>2.1k</t>
  </si>
  <si>
    <t>1544</t>
  </si>
  <si>
    <t>1507</t>
  </si>
  <si>
    <t>1612</t>
  </si>
  <si>
    <t>1675</t>
  </si>
  <si>
    <t>1739</t>
  </si>
  <si>
    <t>1819</t>
  </si>
  <si>
    <t>1849</t>
  </si>
  <si>
    <t>2816</t>
  </si>
  <si>
    <t>3022</t>
  </si>
  <si>
    <t>1776</t>
  </si>
  <si>
    <t>1972</t>
  </si>
  <si>
    <t>1960</t>
  </si>
  <si>
    <t>1668</t>
  </si>
  <si>
    <t>1741</t>
  </si>
  <si>
    <t>1761</t>
  </si>
  <si>
    <t>2863</t>
  </si>
  <si>
    <t>3103</t>
  </si>
  <si>
    <t>927</t>
  </si>
  <si>
    <t>1130</t>
  </si>
  <si>
    <t>1205</t>
  </si>
  <si>
    <t>1283</t>
  </si>
  <si>
    <t>1390</t>
  </si>
  <si>
    <t>1409</t>
  </si>
  <si>
    <t>2409</t>
  </si>
  <si>
    <t>2598</t>
  </si>
  <si>
    <t>16</t>
  </si>
  <si>
    <t>14</t>
  </si>
  <si>
    <t>305</t>
  </si>
  <si>
    <t>401</t>
  </si>
  <si>
    <t>457</t>
  </si>
  <si>
    <t>444</t>
  </si>
  <si>
    <t>539</t>
  </si>
  <si>
    <t>416</t>
  </si>
  <si>
    <t>422</t>
  </si>
  <si>
    <t>428</t>
  </si>
  <si>
    <t>566</t>
  </si>
  <si>
    <t>426</t>
  </si>
  <si>
    <t>476</t>
  </si>
  <si>
    <t>483</t>
  </si>
  <si>
    <t>45</t>
  </si>
  <si>
    <t>75</t>
  </si>
  <si>
    <t>130</t>
  </si>
  <si>
    <t>126</t>
  </si>
  <si>
    <t>104</t>
  </si>
  <si>
    <t>85</t>
  </si>
  <si>
    <t>101</t>
  </si>
  <si>
    <t>98</t>
  </si>
  <si>
    <t>99</t>
  </si>
  <si>
    <t>76</t>
  </si>
  <si>
    <t>27</t>
  </si>
  <si>
    <t>22</t>
  </si>
  <si>
    <t>12</t>
  </si>
  <si>
    <t>1545</t>
  </si>
  <si>
    <t>1521</t>
  </si>
  <si>
    <t>1709</t>
  </si>
  <si>
    <t>1748</t>
  </si>
  <si>
    <t>1630</t>
  </si>
  <si>
    <t>1722</t>
  </si>
  <si>
    <t>1710</t>
  </si>
  <si>
    <t>2708</t>
  </si>
  <si>
    <t>1.7K</t>
  </si>
  <si>
    <t>1.6K</t>
  </si>
  <si>
    <t>1503</t>
  </si>
  <si>
    <t>1488</t>
  </si>
  <si>
    <t>1669</t>
  </si>
  <si>
    <t>1347</t>
  </si>
  <si>
    <t>1527</t>
  </si>
  <si>
    <t>1592</t>
  </si>
  <si>
    <t>2831</t>
  </si>
  <si>
    <t>1313</t>
  </si>
  <si>
    <t>1298</t>
  </si>
  <si>
    <t>1069</t>
  </si>
  <si>
    <t>1098</t>
  </si>
  <si>
    <t>1095</t>
  </si>
  <si>
    <t>1221</t>
  </si>
  <si>
    <t>192</t>
  </si>
  <si>
    <t>203</t>
  </si>
  <si>
    <t>214</t>
  </si>
  <si>
    <t>138</t>
  </si>
  <si>
    <t>125</t>
  </si>
  <si>
    <t>87</t>
  </si>
  <si>
    <t>82</t>
  </si>
  <si>
    <t>649</t>
  </si>
  <si>
    <t>680</t>
  </si>
  <si>
    <t>932</t>
  </si>
  <si>
    <t>737</t>
  </si>
  <si>
    <t>883</t>
  </si>
  <si>
    <t>372</t>
  </si>
  <si>
    <t>314</t>
  </si>
  <si>
    <t>223</t>
  </si>
  <si>
    <t>182</t>
  </si>
  <si>
    <t>170</t>
  </si>
  <si>
    <t>134</t>
  </si>
  <si>
    <t>228</t>
  </si>
  <si>
    <t>281</t>
  </si>
  <si>
    <t>236</t>
  </si>
  <si>
    <t>249</t>
  </si>
  <si>
    <t>275</t>
  </si>
  <si>
    <t>175</t>
  </si>
  <si>
    <t>149</t>
  </si>
  <si>
    <t>77</t>
  </si>
  <si>
    <t>434</t>
  </si>
  <si>
    <t>436</t>
  </si>
  <si>
    <t>226</t>
  </si>
  <si>
    <t>237</t>
  </si>
  <si>
    <t>296</t>
  </si>
  <si>
    <t>330</t>
  </si>
  <si>
    <t>www.nissanpartsprime.com (closed)</t>
  </si>
  <si>
    <t>482 (closed)</t>
  </si>
  <si>
    <t>1187</t>
  </si>
  <si>
    <t>1223</t>
  </si>
  <si>
    <t>1430</t>
  </si>
  <si>
    <t>1436</t>
  </si>
  <si>
    <t>1203</t>
  </si>
  <si>
    <t>1321</t>
  </si>
  <si>
    <t>1376</t>
  </si>
  <si>
    <t>2312</t>
  </si>
  <si>
    <t>660</t>
  </si>
  <si>
    <t>713</t>
  </si>
  <si>
    <t>709</t>
  </si>
  <si>
    <t>450</t>
  </si>
  <si>
    <t>440</t>
  </si>
  <si>
    <t>470</t>
  </si>
  <si>
    <t>487</t>
  </si>
  <si>
    <t>353</t>
  </si>
  <si>
    <t>382</t>
  </si>
  <si>
    <t>577</t>
  </si>
  <si>
    <t>886</t>
  </si>
  <si>
    <t>907</t>
  </si>
  <si>
    <t>1762</t>
  </si>
  <si>
    <t>1971</t>
  </si>
  <si>
    <t>449</t>
  </si>
  <si>
    <t>488</t>
  </si>
  <si>
    <t>685</t>
  </si>
  <si>
    <t>765</t>
  </si>
  <si>
    <t>853</t>
  </si>
  <si>
    <t>958</t>
  </si>
  <si>
    <t>973</t>
  </si>
  <si>
    <t>574</t>
  </si>
  <si>
    <t>432</t>
  </si>
  <si>
    <t>264</t>
  </si>
  <si>
    <t>183</t>
  </si>
  <si>
    <t>571</t>
  </si>
  <si>
    <t>601</t>
  </si>
  <si>
    <t>655</t>
  </si>
  <si>
    <t>636</t>
  </si>
  <si>
    <t>631</t>
  </si>
  <si>
    <t>615</t>
  </si>
  <si>
    <t>604</t>
  </si>
  <si>
    <t>248</t>
  </si>
  <si>
    <t>609</t>
  </si>
  <si>
    <t>710</t>
  </si>
  <si>
    <t>874</t>
  </si>
  <si>
    <t>1836</t>
  </si>
  <si>
    <t>2006</t>
  </si>
  <si>
    <t>1150</t>
  </si>
  <si>
    <t>1197</t>
  </si>
  <si>
    <t>1427</t>
  </si>
  <si>
    <t>1455</t>
  </si>
  <si>
    <t>1670</t>
  </si>
  <si>
    <t>1686</t>
  </si>
  <si>
    <t>2559</t>
  </si>
  <si>
    <t>2840</t>
  </si>
  <si>
    <t>739</t>
  </si>
  <si>
    <t>764</t>
  </si>
  <si>
    <t>546</t>
  </si>
  <si>
    <t>560</t>
  </si>
  <si>
    <t>558</t>
  </si>
  <si>
    <t>628</t>
  </si>
  <si>
    <t>1133</t>
  </si>
  <si>
    <t>1172</t>
  </si>
  <si>
    <t>1323</t>
  </si>
  <si>
    <t>1255</t>
  </si>
  <si>
    <t>1086</t>
  </si>
  <si>
    <t>1072</t>
  </si>
  <si>
    <t>1054</t>
  </si>
  <si>
    <t>1142</t>
  </si>
  <si>
    <t>792</t>
  </si>
  <si>
    <t>742</t>
  </si>
  <si>
    <t>684</t>
  </si>
  <si>
    <t>451</t>
  </si>
  <si>
    <t>463</t>
  </si>
  <si>
    <t>417</t>
  </si>
  <si>
    <t>745</t>
  </si>
  <si>
    <t>877</t>
  </si>
  <si>
    <t>873</t>
  </si>
  <si>
    <t>785</t>
  </si>
  <si>
    <t>644</t>
  </si>
  <si>
    <t>678</t>
  </si>
  <si>
    <t>1077</t>
  </si>
  <si>
    <t>1K</t>
  </si>
  <si>
    <t>903</t>
  </si>
  <si>
    <t>1059</t>
  </si>
  <si>
    <t>1035</t>
  </si>
  <si>
    <t>848</t>
  </si>
  <si>
    <t>1017</t>
  </si>
  <si>
    <t>2008</t>
  </si>
  <si>
    <t>2215</t>
  </si>
  <si>
    <t>115</t>
  </si>
  <si>
    <t>135</t>
  </si>
  <si>
    <t>136</t>
  </si>
  <si>
    <t>160</t>
  </si>
  <si>
    <t>169</t>
  </si>
  <si>
    <t>186</t>
  </si>
  <si>
    <t>624</t>
  </si>
  <si>
    <t>309</t>
  </si>
  <si>
    <t>312</t>
  </si>
  <si>
    <t>310</t>
  </si>
  <si>
    <t>370</t>
  </si>
  <si>
    <t>368</t>
  </si>
  <si>
    <t>322</t>
  </si>
  <si>
    <t>334</t>
  </si>
  <si>
    <t>240</t>
  </si>
  <si>
    <t>280</t>
  </si>
  <si>
    <t>279</t>
  </si>
  <si>
    <t>1099</t>
  </si>
  <si>
    <t>1272</t>
  </si>
  <si>
    <t>1176</t>
  </si>
  <si>
    <t>1199</t>
  </si>
  <si>
    <t>2095</t>
  </si>
  <si>
    <t>2241</t>
  </si>
  <si>
    <t>659</t>
  </si>
  <si>
    <t>500</t>
  </si>
  <si>
    <t>482</t>
  </si>
  <si>
    <t>538</t>
  </si>
  <si>
    <t>515</t>
  </si>
  <si>
    <t>550</t>
  </si>
  <si>
    <t>447</t>
  </si>
  <si>
    <t>495</t>
  </si>
  <si>
    <t>501</t>
  </si>
  <si>
    <t>278</t>
  </si>
  <si>
    <t>141</t>
  </si>
  <si>
    <t>152</t>
  </si>
  <si>
    <t>148</t>
  </si>
  <si>
    <t>185</t>
  </si>
  <si>
    <t>625</t>
  </si>
  <si>
    <t>629</t>
  </si>
  <si>
    <t>712</t>
  </si>
  <si>
    <t>674</t>
  </si>
  <si>
    <t>807</t>
  </si>
  <si>
    <t>414</t>
  </si>
  <si>
    <t>300</t>
  </si>
  <si>
    <t>332</t>
  </si>
  <si>
    <t>343</t>
  </si>
  <si>
    <t>1226</t>
  </si>
  <si>
    <t>1006</t>
  </si>
  <si>
    <t>1005</t>
  </si>
  <si>
    <t>711</t>
  </si>
  <si>
    <t>707</t>
  </si>
  <si>
    <t>731</t>
  </si>
  <si>
    <t>736</t>
  </si>
  <si>
    <t>582</t>
  </si>
  <si>
    <t>837</t>
  </si>
  <si>
    <t>598</t>
  </si>
  <si>
    <t>616</t>
  </si>
  <si>
    <t>399</t>
  </si>
  <si>
    <t>283</t>
  </si>
  <si>
    <t>306</t>
  </si>
  <si>
    <t>315</t>
  </si>
  <si>
    <t>176</t>
  </si>
  <si>
    <t>128</t>
  </si>
  <si>
    <t>102</t>
  </si>
  <si>
    <t>66</t>
  </si>
  <si>
    <t>35</t>
  </si>
  <si>
    <t>120</t>
  </si>
  <si>
    <t>145</t>
  </si>
  <si>
    <t>143</t>
  </si>
  <si>
    <t>SimpleParts，官网</t>
  </si>
  <si>
    <t>732</t>
  </si>
  <si>
    <t>1616</t>
  </si>
  <si>
    <t>1806</t>
  </si>
  <si>
    <t>1181</t>
  </si>
  <si>
    <t>1215</t>
  </si>
  <si>
    <t>1421</t>
  </si>
  <si>
    <t>1139</t>
  </si>
  <si>
    <t>1254</t>
  </si>
  <si>
    <t>1260</t>
  </si>
  <si>
    <t>2222</t>
  </si>
  <si>
    <t>2432</t>
  </si>
  <si>
    <t>620</t>
  </si>
  <si>
    <t>700</t>
  </si>
  <si>
    <t>779</t>
  </si>
  <si>
    <t>884</t>
  </si>
  <si>
    <t>1084</t>
  </si>
  <si>
    <t>384</t>
  </si>
  <si>
    <t>363</t>
  </si>
  <si>
    <t>174</t>
  </si>
  <si>
    <t>323</t>
  </si>
  <si>
    <t>311</t>
  </si>
  <si>
    <t>178</t>
  </si>
  <si>
    <t>220</t>
  </si>
  <si>
    <t>206</t>
  </si>
  <si>
    <t>202</t>
  </si>
  <si>
    <t>291</t>
  </si>
  <si>
    <t>158</t>
  </si>
  <si>
    <t>210</t>
  </si>
  <si>
    <t>386</t>
  </si>
  <si>
    <t>373</t>
  </si>
  <si>
    <t>433</t>
  </si>
  <si>
    <t>986</t>
  </si>
  <si>
    <t>800</t>
  </si>
  <si>
    <t>828</t>
  </si>
  <si>
    <t>945</t>
  </si>
  <si>
    <t>808</t>
  </si>
  <si>
    <t>1674</t>
  </si>
  <si>
    <t>1834</t>
  </si>
  <si>
    <t>875</t>
  </si>
  <si>
    <t>901</t>
  </si>
  <si>
    <t>1070</t>
  </si>
  <si>
    <t>994</t>
  </si>
  <si>
    <t>1016</t>
  </si>
  <si>
    <t>383</t>
  </si>
  <si>
    <t>221</t>
  </si>
  <si>
    <t>294</t>
  </si>
  <si>
    <t>327</t>
  </si>
  <si>
    <t>201</t>
  </si>
  <si>
    <t>298</t>
  </si>
  <si>
    <t>122</t>
  </si>
  <si>
    <t>70</t>
  </si>
  <si>
    <t>57</t>
  </si>
  <si>
    <t>394</t>
  </si>
  <si>
    <t>459</t>
  </si>
  <si>
    <t>472</t>
  </si>
  <si>
    <t>891</t>
  </si>
  <si>
    <t>693</t>
  </si>
  <si>
    <t>755</t>
  </si>
  <si>
    <t>757</t>
  </si>
  <si>
    <t>623</t>
  </si>
  <si>
    <t>657</t>
  </si>
  <si>
    <t>673</t>
  </si>
  <si>
    <t>471</t>
  </si>
  <si>
    <t>460</t>
  </si>
  <si>
    <t>537</t>
  </si>
  <si>
    <t>543</t>
  </si>
  <si>
    <t>456</t>
  </si>
  <si>
    <t>485</t>
  </si>
  <si>
    <t>1635</t>
  </si>
  <si>
    <t>1856</t>
  </si>
  <si>
    <t>139</t>
  </si>
  <si>
    <t>554</t>
  </si>
  <si>
    <t>576</t>
  </si>
  <si>
    <t>1481</t>
  </si>
  <si>
    <t>1677</t>
  </si>
  <si>
    <t>154</t>
  </si>
  <si>
    <t>142</t>
  </si>
  <si>
    <t>80</t>
  </si>
  <si>
    <t>88</t>
  </si>
  <si>
    <t>164</t>
  </si>
  <si>
    <t>9</t>
  </si>
  <si>
    <t>8</t>
  </si>
  <si>
    <t>7</t>
  </si>
  <si>
    <t>4</t>
  </si>
  <si>
    <t>6</t>
  </si>
  <si>
    <t>59</t>
  </si>
  <si>
    <t>68</t>
  </si>
  <si>
    <t>193</t>
  </si>
  <si>
    <t>1349</t>
  </si>
  <si>
    <t>1540</t>
  </si>
  <si>
    <t>1123</t>
  </si>
  <si>
    <t>1131</t>
  </si>
  <si>
    <t>1231</t>
  </si>
  <si>
    <t>1385</t>
  </si>
  <si>
    <t>1465</t>
  </si>
  <si>
    <t>1504</t>
  </si>
  <si>
    <t>2336</t>
  </si>
  <si>
    <t>2591</t>
  </si>
  <si>
    <t>273</t>
  </si>
  <si>
    <t>187</t>
  </si>
  <si>
    <t>107</t>
  </si>
  <si>
    <t>21.4k</t>
  </si>
  <si>
    <t>36.9k</t>
  </si>
  <si>
    <t>328</t>
  </si>
  <si>
    <t>375</t>
  </si>
  <si>
    <t>557</t>
  </si>
  <si>
    <t>937</t>
  </si>
  <si>
    <t>2134</t>
  </si>
  <si>
    <t>2351</t>
  </si>
  <si>
    <t>127</t>
  </si>
  <si>
    <t>446</t>
  </si>
  <si>
    <t>1760</t>
  </si>
  <si>
    <t>1947</t>
  </si>
  <si>
    <t>67</t>
  </si>
  <si>
    <t>62</t>
  </si>
  <si>
    <t>54</t>
  </si>
  <si>
    <t>48</t>
  </si>
  <si>
    <t>39</t>
  </si>
  <si>
    <t>31</t>
  </si>
  <si>
    <t>10.7k</t>
  </si>
  <si>
    <t>13.5K</t>
  </si>
  <si>
    <t>668</t>
  </si>
  <si>
    <t>718</t>
  </si>
  <si>
    <t>2229</t>
  </si>
  <si>
    <t>2510</t>
  </si>
  <si>
    <t>595</t>
  </si>
  <si>
    <t>702</t>
  </si>
  <si>
    <t>514</t>
  </si>
  <si>
    <t>762</t>
  </si>
  <si>
    <t>963</t>
  </si>
  <si>
    <t>1103</t>
  </si>
  <si>
    <t>1192</t>
  </si>
  <si>
    <t>1282</t>
  </si>
  <si>
    <t>1309</t>
  </si>
  <si>
    <t>2160</t>
  </si>
  <si>
    <t>2394</t>
  </si>
  <si>
    <t>325</t>
  </si>
  <si>
    <t>377</t>
  </si>
  <si>
    <t>253</t>
  </si>
  <si>
    <t>265</t>
  </si>
  <si>
    <t>262</t>
  </si>
  <si>
    <t>245</t>
  </si>
  <si>
    <t>n/a</t>
  </si>
  <si>
    <t>168</t>
  </si>
  <si>
    <t>194</t>
  </si>
  <si>
    <t>150</t>
  </si>
  <si>
    <t>159</t>
  </si>
  <si>
    <t>195</t>
  </si>
  <si>
    <t>260</t>
  </si>
  <si>
    <t>157</t>
  </si>
  <si>
    <t>114</t>
  </si>
  <si>
    <t>100</t>
  </si>
  <si>
    <t>235</t>
  </si>
  <si>
    <t>239</t>
  </si>
  <si>
    <t>347</t>
  </si>
  <si>
    <t>161</t>
  </si>
  <si>
    <t>153</t>
  </si>
  <si>
    <t>144</t>
  </si>
  <si>
    <t>64/10</t>
  </si>
  <si>
    <t>75/9</t>
  </si>
  <si>
    <t>103/10</t>
  </si>
  <si>
    <t>24</t>
  </si>
  <si>
    <t>34</t>
  </si>
  <si>
    <t>30</t>
  </si>
  <si>
    <t>19</t>
  </si>
  <si>
    <t>593</t>
  </si>
  <si>
    <t>1024</t>
  </si>
  <si>
    <t>1970</t>
  </si>
  <si>
    <t>2156</t>
  </si>
  <si>
    <t>520</t>
  </si>
  <si>
    <t>346</t>
  </si>
  <si>
    <t>360</t>
  </si>
  <si>
    <t>493</t>
  </si>
  <si>
    <t>466</t>
  </si>
  <si>
    <t>586</t>
  </si>
  <si>
    <t>1692</t>
  </si>
  <si>
    <t>448</t>
  </si>
  <si>
    <t>516</t>
  </si>
  <si>
    <t>350</t>
  </si>
  <si>
    <t>371</t>
  </si>
  <si>
    <t>402</t>
  </si>
  <si>
    <t>146</t>
  </si>
  <si>
    <t>179</t>
  </si>
  <si>
    <t>204</t>
  </si>
  <si>
    <t>105/10</t>
  </si>
  <si>
    <t>111/12</t>
  </si>
  <si>
    <t>129/12</t>
  </si>
  <si>
    <t>129</t>
  </si>
  <si>
    <t>81</t>
  </si>
  <si>
    <t>47</t>
  </si>
  <si>
    <t>503</t>
  </si>
  <si>
    <t>270</t>
  </si>
  <si>
    <t>255</t>
  </si>
  <si>
    <t>233</t>
  </si>
  <si>
    <t>172</t>
  </si>
  <si>
    <t>131</t>
  </si>
  <si>
    <t>133</t>
  </si>
  <si>
    <t>92</t>
  </si>
  <si>
    <t>286</t>
  </si>
  <si>
    <t>354</t>
  </si>
  <si>
    <t>398</t>
  </si>
  <si>
    <t>191</t>
  </si>
  <si>
    <t>351</t>
  </si>
  <si>
    <t>277</t>
  </si>
  <si>
    <t>358</t>
  </si>
  <si>
    <t>266</t>
  </si>
  <si>
    <t>319</t>
  </si>
  <si>
    <t>293</t>
  </si>
  <si>
    <t>355</t>
  </si>
  <si>
    <t>367</t>
  </si>
  <si>
    <t>289/90</t>
  </si>
  <si>
    <t>188/73</t>
  </si>
  <si>
    <t>197/64</t>
  </si>
  <si>
    <t>63</t>
  </si>
  <si>
    <t>3</t>
  </si>
  <si>
    <t>2</t>
  </si>
  <si>
    <t>633</t>
  </si>
  <si>
    <t>1031</t>
  </si>
  <si>
    <t>1066</t>
  </si>
  <si>
    <t>1154</t>
  </si>
  <si>
    <t>1028</t>
  </si>
  <si>
    <t>1055</t>
  </si>
  <si>
    <t>1963</t>
  </si>
  <si>
    <t>2179</t>
  </si>
  <si>
    <t>345</t>
  </si>
  <si>
    <t>390</t>
  </si>
  <si>
    <t>356</t>
  </si>
  <si>
    <t>321</t>
  </si>
  <si>
    <t>667</t>
  </si>
  <si>
    <t>618</t>
  </si>
  <si>
    <t>899</t>
  </si>
  <si>
    <t>878</t>
  </si>
  <si>
    <t>1.2K</t>
  </si>
  <si>
    <t>74</t>
  </si>
  <si>
    <t>84</t>
  </si>
  <si>
    <t>165</t>
  </si>
  <si>
    <t>74/19</t>
  </si>
  <si>
    <t>76/17</t>
  </si>
  <si>
    <t>75/13</t>
  </si>
  <si>
    <t>147</t>
  </si>
  <si>
    <t>44</t>
  </si>
  <si>
    <t>带www，选root damoain</t>
  </si>
  <si>
    <t>不带www，选subdomain</t>
  </si>
  <si>
    <t>Catalog品牌</t>
  </si>
  <si>
    <t>Avg. Traffic  (SEMRush+SimilarWeb加权)</t>
  </si>
  <si>
    <t xml:space="preserve">Marketing share-10月 </t>
  </si>
  <si>
    <t xml:space="preserve">Marketing share-9月 </t>
  </si>
  <si>
    <t>CA折算</t>
  </si>
  <si>
    <t>竞争者折算流量</t>
  </si>
  <si>
    <t xml:space="preserve">Percentage </t>
  </si>
  <si>
    <t>Catalog Update by Tony</t>
  </si>
  <si>
    <t>7.30涨了1个点</t>
  </si>
  <si>
    <t>N:48.9% L:78%</t>
  </si>
  <si>
    <t>2018 on 201810</t>
  </si>
  <si>
    <t>02/01Special零件高价区降1个点</t>
  </si>
  <si>
    <t>11.1新增外州收税州CT</t>
  </si>
  <si>
    <t>10.08零件整体涨价</t>
  </si>
  <si>
    <t>原厂目录(年份只到14年)</t>
  </si>
  <si>
    <t>08/20零件最高涨10个点</t>
  </si>
  <si>
    <t>N:20.8% L69.8%</t>
  </si>
  <si>
    <t>2018 on 201812</t>
  </si>
  <si>
    <t>9.19 精细化调价，高价区零件涨价0.75个点</t>
  </si>
  <si>
    <t>N:66.3% L:92.4%</t>
  </si>
  <si>
    <t>2018 on 201808</t>
  </si>
  <si>
    <t>11.1新增外州收税州PA、AR</t>
  </si>
  <si>
    <t>11.12零件全部涨价恢复到8.27价格水平</t>
  </si>
  <si>
    <t>05/24 部分Middle零件降0.5个点</t>
  </si>
  <si>
    <t>N:20.5% L:70.9%</t>
  </si>
  <si>
    <t>9.28新做精细化调价，低价区零件降价0.5~2个点，高价区零件涨价0.25~1.25个点</t>
  </si>
  <si>
    <t>Toyota 卖零件的官网，分给Dealer销售</t>
  </si>
  <si>
    <t>N:38.8% L:82.1%</t>
  </si>
  <si>
    <t>2019 on 201903</t>
  </si>
  <si>
    <t>8/13对Dnet&lt;100的零件涨1个点</t>
  </si>
  <si>
    <t>Acc网站</t>
  </si>
  <si>
    <t>01/19零件降1个点</t>
  </si>
  <si>
    <t>04/02零件涨价3个点</t>
  </si>
  <si>
    <t>N:22.6% L:78%</t>
  </si>
  <si>
    <t>2019 on 201908</t>
  </si>
  <si>
    <t>10.31MPG网站换公司，本州由CA调整为AZ, 去掉KY收税州</t>
  </si>
  <si>
    <t>10.08零件降价，统一Markup=1.14</t>
  </si>
  <si>
    <t>网站流量上涨，10月起加入MarketingShare</t>
  </si>
  <si>
    <t>10月新增网站</t>
  </si>
  <si>
    <t>01/19 零件整体降价2~3个点</t>
  </si>
  <si>
    <t>N:44.3% L:70.7%</t>
  </si>
  <si>
    <t>10.31FPG网站换公司，本州由CA调整为NV，新增CT收税州</t>
  </si>
  <si>
    <t>Multi-OEM，在SEMRush的Competitor图表上与FPG很接近。流量占比折算4</t>
  </si>
  <si>
    <t>10.15零件统一降价4个点</t>
  </si>
  <si>
    <t>10.15 Dnet&lt;200零件降价2~10个点</t>
  </si>
  <si>
    <t>10.15 0&lt;Dnet&lt;20零件上涨7个点；Dnet&gt;500零件大幅涨价</t>
  </si>
  <si>
    <t>N:25.3% L:81.10%</t>
  </si>
  <si>
    <t>09.11新做精细化定价，低价区零件降价0.5~1个点，高价区零件涨价0.25个点</t>
  </si>
  <si>
    <t>N:59% L:91.5%</t>
  </si>
  <si>
    <t>2019 on 201906</t>
  </si>
  <si>
    <t>8.22 部分零件降价0.5~2个点</t>
  </si>
  <si>
    <t>10.29NPD网站换公司，本州由 NV调整为AZ，同时新增了MI WI IN三个外州收税州</t>
  </si>
  <si>
    <t>10.08零件整体涨价4~5个点</t>
  </si>
  <si>
    <t>10月SEMRush记录的竞争者OEM、WholeSale和Jimellish流量都下降很多</t>
  </si>
  <si>
    <t>N:50.9% L:79.4%</t>
  </si>
  <si>
    <t>2019 on 201907</t>
  </si>
  <si>
    <t>11.1起只在本州CA收税</t>
  </si>
  <si>
    <t>12/18 统一定价，相当于低价区降价5个点，高价区涨价10个点</t>
  </si>
  <si>
    <t>6.14整体零件涨6个点</t>
  </si>
  <si>
    <t>N:26.9% L:73.6%</t>
  </si>
  <si>
    <t>10.28 Parts01降价1个点</t>
  </si>
  <si>
    <t>8/06 零件最高下降10个点</t>
  </si>
  <si>
    <t>N:43.2% L:78.5%</t>
  </si>
  <si>
    <t>8.28 零件整体涨价1~1.7个点</t>
  </si>
  <si>
    <t>11.12APW网站换公司，本州由CA调整为AZ，新增MI WI IN收税州</t>
  </si>
  <si>
    <t>N:58.4% L:86.3%</t>
  </si>
  <si>
    <t>10.12 Dnet&gt;100零件降价1个点</t>
  </si>
  <si>
    <t>04/17零件涨价13个点</t>
  </si>
  <si>
    <t>01/26 部分零件降价2个点</t>
  </si>
  <si>
    <t>N:29% L:63.7%</t>
  </si>
  <si>
    <t>2018 on 201809</t>
  </si>
  <si>
    <t>6.14 部分零件降价1个点</t>
  </si>
  <si>
    <t>从PartSites变成Revolution，流量上涨，10月起加入MarketingShare比较</t>
  </si>
  <si>
    <t>10.22 Dnet&gt;10的零件涨价统一定价1.3</t>
  </si>
  <si>
    <t>N:55.9% L:73.6%</t>
  </si>
  <si>
    <t>11.05 零件涨1个点</t>
  </si>
  <si>
    <t>10月SEMRush记录流量上涨很多，下个月继续监控</t>
  </si>
  <si>
    <t>10.08重新划分零件价格区间，并对部分零件降价0.5个点</t>
  </si>
  <si>
    <t>6.14 整体零件下降5个点</t>
  </si>
  <si>
    <t>9/10整体零件涨价1~9个点</t>
  </si>
  <si>
    <t>01/16调整价格区间，100~200 Dnet涨价</t>
  </si>
  <si>
    <t>10.08 高价区零件涨价1~3个点</t>
  </si>
  <si>
    <t>10月新增网站，MarketingShare很低，暂不考虑加入价格排名</t>
  </si>
  <si>
    <t>N:24.9% L:81.5%</t>
  </si>
  <si>
    <t>原厂目录（年份只到14年）</t>
  </si>
  <si>
    <t>6/28 上调4.5个点</t>
  </si>
  <si>
    <t>暂无</t>
  </si>
  <si>
    <t>7/2 上调1个点</t>
  </si>
  <si>
    <t>gmpartsdirect.co</t>
  </si>
  <si>
    <t>hondapartsprime.com</t>
  </si>
  <si>
    <t>toyotapartsestore.com</t>
  </si>
  <si>
    <t>toyotapartsprime.com</t>
  </si>
  <si>
    <t>buymoparpartsnow.com</t>
  </si>
  <si>
    <t>moparpartsprime.com</t>
  </si>
  <si>
    <t>nissanpartswebstore.com</t>
  </si>
  <si>
    <t>nissanautosports.com</t>
  </si>
  <si>
    <t>factorynissanparts.net</t>
  </si>
  <si>
    <t>hyundaipartsdepartment.com</t>
  </si>
  <si>
    <t>oemlexusparts.com</t>
  </si>
  <si>
    <t>kiacarparts.net</t>
  </si>
  <si>
    <t>nissaninfinitiparts.com</t>
  </si>
  <si>
    <t>http://www.worldoemparts.com/worldbmwparts/</t>
  </si>
  <si>
    <t>bmwpartsprime.com</t>
  </si>
  <si>
    <t>erievolvo.com</t>
  </si>
  <si>
    <t>vwpartsdepartment.com</t>
  </si>
  <si>
    <t>vwpartsprime.com</t>
  </si>
  <si>
    <t>mazdapartsprime.com</t>
  </si>
  <si>
    <t>mbpartsprime.com</t>
  </si>
  <si>
    <t>audipartsprime.com</t>
  </si>
  <si>
    <r>
      <rPr>
        <b/>
        <sz val="11"/>
        <rFont val="Arial"/>
        <charset val="134"/>
      </rPr>
      <t>Marketing share-9</t>
    </r>
    <r>
      <rPr>
        <b/>
        <sz val="11"/>
        <rFont val="宋体"/>
        <charset val="134"/>
      </rPr>
      <t>月</t>
    </r>
    <r>
      <rPr>
        <b/>
        <sz val="11"/>
        <rFont val="Arial"/>
        <charset val="134"/>
      </rPr>
      <t xml:space="preserve"> </t>
    </r>
  </si>
  <si>
    <t xml:space="preserve">Marketing share-8月 </t>
  </si>
  <si>
    <r>
      <rPr>
        <b/>
        <sz val="11"/>
        <rFont val="Arial"/>
        <charset val="134"/>
      </rPr>
      <t>CA</t>
    </r>
    <r>
      <rPr>
        <b/>
        <sz val="11"/>
        <rFont val="宋体"/>
        <charset val="134"/>
      </rPr>
      <t>折算</t>
    </r>
  </si>
  <si>
    <r>
      <rPr>
        <sz val="11"/>
        <rFont val="宋体"/>
        <charset val="134"/>
      </rPr>
      <t>竞争者折算流量</t>
    </r>
  </si>
  <si>
    <t>Forum by Zita</t>
  </si>
  <si>
    <t>2017 on 201709</t>
  </si>
  <si>
    <t>7/16 Middle档零件降价1~2个点</t>
  </si>
  <si>
    <t>www.MoparPartsPrime.com</t>
  </si>
  <si>
    <t>N:12.8% L:78.6%</t>
  </si>
  <si>
    <t>2017 on 201711</t>
  </si>
  <si>
    <t>Partsites</t>
  </si>
  <si>
    <t>N:24.8% L:79.2%</t>
  </si>
  <si>
    <r>
      <rPr>
        <sz val="11"/>
        <color rgb="FFFF0000"/>
        <rFont val="Arial"/>
        <charset val="134"/>
      </rPr>
      <t>Motor</t>
    </r>
    <r>
      <rPr>
        <sz val="11"/>
        <color rgb="FFFF0000"/>
        <rFont val="宋体"/>
        <charset val="134"/>
      </rPr>
      <t>目录</t>
    </r>
  </si>
  <si>
    <r>
      <rPr>
        <b/>
        <sz val="11"/>
        <rFont val="Arial"/>
        <charset val="134"/>
      </rPr>
      <t>Marketing share-8</t>
    </r>
    <r>
      <rPr>
        <b/>
        <sz val="11"/>
        <rFont val="宋体"/>
        <charset val="134"/>
      </rPr>
      <t>月</t>
    </r>
    <r>
      <rPr>
        <b/>
        <sz val="11"/>
        <rFont val="Arial"/>
        <charset val="134"/>
      </rPr>
      <t xml:space="preserve"> </t>
    </r>
  </si>
  <si>
    <t xml:space="preserve">Marketing share-7月 </t>
  </si>
  <si>
    <r>
      <rPr>
        <b/>
        <sz val="11"/>
        <rFont val="Arial"/>
        <charset val="134"/>
      </rPr>
      <t>Marketing share-7</t>
    </r>
    <r>
      <rPr>
        <b/>
        <sz val="11"/>
        <rFont val="宋体"/>
        <charset val="134"/>
      </rPr>
      <t>月</t>
    </r>
    <r>
      <rPr>
        <b/>
        <sz val="11"/>
        <rFont val="Arial"/>
        <charset val="134"/>
      </rPr>
      <t xml:space="preserve"> </t>
    </r>
  </si>
  <si>
    <t xml:space="preserve">Marketing share-6月 </t>
  </si>
  <si>
    <t>主营Acc，也卖Replacement parts</t>
  </si>
  <si>
    <t>暂时关站了</t>
  </si>
  <si>
    <t>MoparPartsPrime.com</t>
  </si>
  <si>
    <t>网站已迁至NV</t>
  </si>
  <si>
    <t>网站访问被拒</t>
  </si>
  <si>
    <t>自己不卖OEM Parts，不参与比价</t>
  </si>
  <si>
    <t>网站注册已过期，打不开</t>
  </si>
  <si>
    <t>此次新增网站</t>
  </si>
  <si>
    <t>流量持续过少，可考虑删掉该行</t>
  </si>
  <si>
    <r>
      <rPr>
        <sz val="11"/>
        <color rgb="FFFF0000"/>
        <rFont val="宋体"/>
        <charset val="134"/>
      </rPr>
      <t>由</t>
    </r>
    <r>
      <rPr>
        <sz val="11"/>
        <color rgb="FFFF0000"/>
        <rFont val="Arial"/>
        <charset val="134"/>
      </rPr>
      <t>Trademotion</t>
    </r>
    <r>
      <rPr>
        <sz val="11"/>
        <color rgb="FFFF0000"/>
        <rFont val="宋体"/>
        <charset val="134"/>
      </rPr>
      <t>变为</t>
    </r>
    <r>
      <rPr>
        <sz val="11"/>
        <color rgb="FFFF0000"/>
        <rFont val="Arial"/>
        <charset val="134"/>
      </rPr>
      <t>Revolution</t>
    </r>
  </si>
  <si>
    <r>
      <rPr>
        <sz val="11"/>
        <color rgb="FFFF0000"/>
        <rFont val="宋体"/>
        <charset val="134"/>
      </rPr>
      <t>由</t>
    </r>
    <r>
      <rPr>
        <sz val="11"/>
        <color rgb="FFFF0000"/>
        <rFont val="Arial"/>
        <charset val="134"/>
      </rPr>
      <t>Trademotion</t>
    </r>
    <r>
      <rPr>
        <sz val="11"/>
        <color rgb="FFFF0000"/>
        <rFont val="宋体"/>
        <charset val="134"/>
      </rPr>
      <t>变为</t>
    </r>
    <r>
      <rPr>
        <sz val="11"/>
        <color rgb="FFFF0000"/>
        <rFont val="Arial"/>
        <charset val="134"/>
      </rPr>
      <t>PartSites</t>
    </r>
  </si>
  <si>
    <r>
      <rPr>
        <b/>
        <sz val="11"/>
        <rFont val="Arial"/>
        <charset val="134"/>
      </rPr>
      <t>Marketing share-6</t>
    </r>
    <r>
      <rPr>
        <b/>
        <sz val="11"/>
        <rFont val="宋体"/>
        <charset val="134"/>
      </rPr>
      <t>月</t>
    </r>
    <r>
      <rPr>
        <b/>
        <sz val="11"/>
        <rFont val="Arial"/>
        <charset val="134"/>
      </rPr>
      <t xml:space="preserve"> </t>
    </r>
  </si>
  <si>
    <t xml:space="preserve">Marketing share-5月 </t>
  </si>
  <si>
    <t>该网站5月份在SemRush网站上的流量数据异常，虚高。实际上6月份和4月份的Marketing share对比有上升0.5%左右。</t>
  </si>
  <si>
    <t>N:47.7% L:71.8%</t>
  </si>
  <si>
    <t>N:66.3% L:91.8%</t>
  </si>
  <si>
    <t>N:39.8% L:82.3%</t>
  </si>
  <si>
    <t>N:26% L:78%</t>
  </si>
  <si>
    <t>N:45.4% L:70.6%</t>
  </si>
  <si>
    <t>N:22.8% L:79.9%</t>
  </si>
  <si>
    <t>N:28.4% L:80.50%</t>
  </si>
  <si>
    <t>N:31.1% L:88.7%</t>
  </si>
  <si>
    <t xml:space="preserve">Marketing share-4月 </t>
  </si>
  <si>
    <t>6.14 涨一个点</t>
  </si>
  <si>
    <r>
      <rPr>
        <b/>
        <sz val="11"/>
        <rFont val="Arial"/>
        <charset val="134"/>
      </rPr>
      <t>Marketing share-5</t>
    </r>
    <r>
      <rPr>
        <b/>
        <sz val="11"/>
        <rFont val="宋体"/>
        <charset val="134"/>
      </rPr>
      <t>月</t>
    </r>
    <r>
      <rPr>
        <b/>
        <sz val="11"/>
        <rFont val="Arial"/>
        <charset val="134"/>
      </rPr>
      <t xml:space="preserve"> </t>
    </r>
  </si>
  <si>
    <t>Status</t>
  </si>
  <si>
    <t>SEMRush Traffic Analytics---8月</t>
  </si>
  <si>
    <t>Similarweb Traffic-8</t>
  </si>
  <si>
    <t>Similarweb Traffic-7</t>
  </si>
  <si>
    <t>Similarweb Traffic-6</t>
  </si>
  <si>
    <t>SimilarWeb加权平均</t>
  </si>
  <si>
    <t>Multi-OEM</t>
  </si>
  <si>
    <t>www.group1autoparts.com</t>
  </si>
  <si>
    <t>www.oempartsquick.com</t>
  </si>
  <si>
    <t>www.amazon.com</t>
  </si>
  <si>
    <t>www.ebay.com</t>
  </si>
  <si>
    <t>www.autozone.com</t>
  </si>
  <si>
    <t>www.advanceautoparts.com</t>
  </si>
  <si>
    <t>www.rockauto.com</t>
  </si>
  <si>
    <t>www.oreillyauto.com</t>
  </si>
  <si>
    <t>www.carid.com</t>
  </si>
  <si>
    <t>www.summitracing.com</t>
  </si>
  <si>
    <t>www.carparts.com</t>
  </si>
  <si>
    <t>www.partsgeek.com</t>
  </si>
  <si>
    <t>www.jegs.com</t>
  </si>
  <si>
    <t>www.1aauto.com</t>
  </si>
  <si>
    <t>www.autoanything.com</t>
  </si>
  <si>
    <t>www.americanmuscle.com</t>
  </si>
  <si>
    <t>www.extremeterrain.com</t>
  </si>
  <si>
    <t>www.americantrucks.com</t>
  </si>
  <si>
    <t>www.4wheelparts.com</t>
  </si>
  <si>
    <t>www.pelicanparts.com</t>
  </si>
  <si>
    <t>www.fcpeuro.com</t>
  </si>
  <si>
    <t>www.autoaccessoriesgarage.com</t>
  </si>
  <si>
    <t>www.andysautosport.com</t>
  </si>
  <si>
    <t>www.buyautoparts.com</t>
  </si>
  <si>
    <t>www.am-autoparts.com</t>
  </si>
  <si>
    <t>www.eeuroparts.com</t>
  </si>
  <si>
    <t>Catalog Version</t>
  </si>
  <si>
    <t>GPG Site</t>
  </si>
  <si>
    <t>Site</t>
  </si>
  <si>
    <t>address</t>
  </si>
  <si>
    <t>Percentage on Part Pic</t>
  </si>
  <si>
    <t>Catalog Updated</t>
  </si>
  <si>
    <r>
      <rPr>
        <sz val="11"/>
        <color rgb="FF333333"/>
        <rFont val="Arial"/>
        <charset val="134"/>
      </rPr>
      <t xml:space="preserve">L:78% N:49% D:82% </t>
    </r>
    <r>
      <rPr>
        <sz val="11"/>
        <color rgb="FF333333"/>
        <rFont val="宋体"/>
        <charset val="134"/>
      </rPr>
      <t>有销售</t>
    </r>
    <r>
      <rPr>
        <sz val="11"/>
        <color rgb="FF333333"/>
        <rFont val="Arial"/>
        <charset val="134"/>
      </rPr>
      <t>:81%</t>
    </r>
  </si>
  <si>
    <t>HPN</t>
  </si>
  <si>
    <r>
      <rPr>
        <sz val="11"/>
        <color rgb="FF333333"/>
        <rFont val="Arial"/>
        <charset val="134"/>
      </rPr>
      <t xml:space="preserve">L:82% N:39% D:78% </t>
    </r>
    <r>
      <rPr>
        <sz val="11"/>
        <color rgb="FF333333"/>
        <rFont val="宋体"/>
        <charset val="134"/>
      </rPr>
      <t>有销售</t>
    </r>
    <r>
      <rPr>
        <sz val="11"/>
        <color rgb="FF333333"/>
        <rFont val="Arial"/>
        <charset val="134"/>
      </rPr>
      <t>:82%</t>
    </r>
  </si>
  <si>
    <t>TPD</t>
  </si>
  <si>
    <r>
      <rPr>
        <sz val="11"/>
        <color rgb="FF333333"/>
        <rFont val="Arial"/>
        <charset val="134"/>
      </rPr>
      <t xml:space="preserve">L:92% N:66% D:96% </t>
    </r>
    <r>
      <rPr>
        <sz val="11"/>
        <color rgb="FF333333"/>
        <rFont val="宋体"/>
        <charset val="134"/>
      </rPr>
      <t>有销售</t>
    </r>
    <r>
      <rPr>
        <sz val="11"/>
        <color rgb="FF333333"/>
        <rFont val="Arial"/>
        <charset val="134"/>
      </rPr>
      <t>:90%</t>
    </r>
  </si>
  <si>
    <t>MPG</t>
  </si>
  <si>
    <r>
      <rPr>
        <sz val="11"/>
        <color rgb="FF333333"/>
        <rFont val="Arial"/>
        <charset val="134"/>
      </rPr>
      <t xml:space="preserve">L:77% N:26% D:70% </t>
    </r>
    <r>
      <rPr>
        <sz val="11"/>
        <color rgb="FF333333"/>
        <rFont val="宋体"/>
        <charset val="134"/>
      </rPr>
      <t>有销售</t>
    </r>
    <r>
      <rPr>
        <sz val="11"/>
        <color rgb="FF333333"/>
        <rFont val="Arial"/>
        <charset val="134"/>
      </rPr>
      <t>:80%</t>
    </r>
  </si>
  <si>
    <t>FPG</t>
  </si>
  <si>
    <r>
      <rPr>
        <sz val="11"/>
        <color rgb="FF333333"/>
        <rFont val="Arial"/>
        <charset val="134"/>
      </rPr>
      <t xml:space="preserve">L:71% N:44% D:79% </t>
    </r>
    <r>
      <rPr>
        <sz val="11"/>
        <color rgb="FF333333"/>
        <rFont val="宋体"/>
        <charset val="134"/>
      </rPr>
      <t>有销售</t>
    </r>
    <r>
      <rPr>
        <sz val="11"/>
        <color rgb="FF333333"/>
        <rFont val="Arial"/>
        <charset val="134"/>
      </rPr>
      <t>:87%</t>
    </r>
  </si>
  <si>
    <t>NPD</t>
  </si>
  <si>
    <r>
      <rPr>
        <sz val="11"/>
        <color rgb="FF333333"/>
        <rFont val="Arial"/>
        <charset val="134"/>
      </rPr>
      <t xml:space="preserve">L:77% N:44% D:85% </t>
    </r>
    <r>
      <rPr>
        <sz val="11"/>
        <color rgb="FF333333"/>
        <rFont val="宋体"/>
        <charset val="134"/>
      </rPr>
      <t>有销售</t>
    </r>
    <r>
      <rPr>
        <sz val="11"/>
        <color rgb="FF333333"/>
        <rFont val="Arial"/>
        <charset val="134"/>
      </rPr>
      <t>:91%</t>
    </r>
  </si>
  <si>
    <t>HPD</t>
  </si>
  <si>
    <r>
      <rPr>
        <sz val="11"/>
        <color rgb="FF333333"/>
        <rFont val="Arial"/>
        <charset val="134"/>
      </rPr>
      <t xml:space="preserve">L:80% N:53% D:69% </t>
    </r>
    <r>
      <rPr>
        <sz val="11"/>
        <color rgb="FF333333"/>
        <rFont val="宋体"/>
        <charset val="134"/>
      </rPr>
      <t>有销售</t>
    </r>
    <r>
      <rPr>
        <sz val="11"/>
        <color rgb="FF333333"/>
        <rFont val="Arial"/>
        <charset val="134"/>
      </rPr>
      <t>:88%</t>
    </r>
  </si>
  <si>
    <t>APW</t>
  </si>
  <si>
    <r>
      <rPr>
        <sz val="11"/>
        <color rgb="FF333333"/>
        <rFont val="Arial"/>
        <charset val="134"/>
      </rPr>
      <t xml:space="preserve">L:70% N:33% D:52% </t>
    </r>
    <r>
      <rPr>
        <sz val="11"/>
        <color rgb="FF333333"/>
        <rFont val="宋体"/>
        <charset val="134"/>
      </rPr>
      <t>有销售</t>
    </r>
    <r>
      <rPr>
        <sz val="11"/>
        <color rgb="FF333333"/>
        <rFont val="Arial"/>
        <charset val="134"/>
      </rPr>
      <t>:72%</t>
    </r>
  </si>
  <si>
    <t>SPD</t>
  </si>
  <si>
    <r>
      <rPr>
        <sz val="11"/>
        <color rgb="FF333333"/>
        <rFont val="Arial"/>
        <charset val="134"/>
      </rPr>
      <t xml:space="preserve">L:74% N:17% D:89% </t>
    </r>
    <r>
      <rPr>
        <sz val="11"/>
        <color rgb="FF333333"/>
        <rFont val="宋体"/>
        <charset val="134"/>
      </rPr>
      <t>有销售</t>
    </r>
    <r>
      <rPr>
        <sz val="11"/>
        <color rgb="FF333333"/>
        <rFont val="Arial"/>
        <charset val="134"/>
      </rPr>
      <t>:84%</t>
    </r>
  </si>
  <si>
    <t>LPN</t>
  </si>
  <si>
    <r>
      <rPr>
        <sz val="11"/>
        <color rgb="FF333333"/>
        <rFont val="Arial"/>
        <charset val="134"/>
      </rPr>
      <t xml:space="preserve">L:86% N:59% D:87% </t>
    </r>
    <r>
      <rPr>
        <sz val="11"/>
        <color rgb="FF333333"/>
        <rFont val="宋体"/>
        <charset val="134"/>
      </rPr>
      <t>有销售</t>
    </r>
    <r>
      <rPr>
        <sz val="11"/>
        <color rgb="FF333333"/>
        <rFont val="Arial"/>
        <charset val="134"/>
      </rPr>
      <t>:92%</t>
    </r>
  </si>
  <si>
    <r>
      <rPr>
        <sz val="11"/>
        <color rgb="FF333333"/>
        <rFont val="Arial"/>
        <charset val="134"/>
      </rPr>
      <t xml:space="preserve">L:74% N:44% D:100% </t>
    </r>
    <r>
      <rPr>
        <sz val="11"/>
        <color rgb="FF333333"/>
        <rFont val="宋体"/>
        <charset val="134"/>
      </rPr>
      <t>有销售</t>
    </r>
    <r>
      <rPr>
        <sz val="11"/>
        <color rgb="FF333333"/>
        <rFont val="Arial"/>
        <charset val="134"/>
      </rPr>
      <t>:100%</t>
    </r>
  </si>
  <si>
    <t>KPN</t>
  </si>
  <si>
    <r>
      <rPr>
        <sz val="11"/>
        <color rgb="FF333333"/>
        <rFont val="Arial"/>
        <charset val="134"/>
      </rPr>
      <t xml:space="preserve">L:64% N:23% D:82% </t>
    </r>
    <r>
      <rPr>
        <sz val="11"/>
        <color rgb="FF333333"/>
        <rFont val="宋体"/>
        <charset val="134"/>
      </rPr>
      <t>有销售</t>
    </r>
    <r>
      <rPr>
        <sz val="11"/>
        <color rgb="FF333333"/>
        <rFont val="Arial"/>
        <charset val="134"/>
      </rPr>
      <t>:80%</t>
    </r>
  </si>
  <si>
    <t>BPD</t>
  </si>
  <si>
    <t>www.bmwpartsdeal.com</t>
  </si>
  <si>
    <r>
      <rPr>
        <sz val="11"/>
        <color rgb="FF333333"/>
        <rFont val="Arial"/>
        <charset val="134"/>
      </rPr>
      <t xml:space="preserve">L:48% N:55% D:98% </t>
    </r>
    <r>
      <rPr>
        <sz val="11"/>
        <color rgb="FF333333"/>
        <rFont val="宋体"/>
        <charset val="134"/>
      </rPr>
      <t>有销售</t>
    </r>
    <r>
      <rPr>
        <sz val="11"/>
        <color rgb="FF333333"/>
        <rFont val="Arial"/>
        <charset val="134"/>
      </rPr>
      <t>:99%</t>
    </r>
  </si>
  <si>
    <t>GPP</t>
  </si>
  <si>
    <t>TPP</t>
  </si>
  <si>
    <t>FPP</t>
  </si>
  <si>
    <t>ADPP</t>
  </si>
  <si>
    <t>L:89% N:29%</t>
  </si>
  <si>
    <t>MBPP</t>
  </si>
  <si>
    <t>L:81% N:23%</t>
  </si>
  <si>
    <t>VWPP</t>
  </si>
  <si>
    <t>L:80% N:22%</t>
  </si>
  <si>
    <t>MDPP</t>
  </si>
  <si>
    <t>L:79% N:22%</t>
  </si>
  <si>
    <t>PL单图覆盖率</t>
  </si>
  <si>
    <t>PN单图覆盖率</t>
  </si>
  <si>
    <t>PD单图比例</t>
  </si>
  <si>
    <t>77.5%</t>
  </si>
  <si>
    <t>70%</t>
  </si>
  <si>
    <t>有销售零件单图覆盖率</t>
  </si>
  <si>
    <t>PL页面单图覆盖率</t>
  </si>
  <si>
    <t>PN页面单图覆盖率</t>
  </si>
  <si>
    <t>SEMRush
Oganic Search</t>
  </si>
  <si>
    <t>Similarweb Traffic</t>
  </si>
  <si>
    <r>
      <rPr>
        <b/>
        <sz val="11"/>
        <color theme="1"/>
        <rFont val="Arial"/>
        <charset val="134"/>
      </rPr>
      <t>W</t>
    </r>
    <r>
      <rPr>
        <b/>
        <sz val="11"/>
        <color indexed="8"/>
        <rFont val="Arial"/>
        <charset val="134"/>
      </rPr>
      <t>hois</t>
    </r>
  </si>
  <si>
    <r>
      <rPr>
        <b/>
        <sz val="11"/>
        <color theme="1"/>
        <rFont val="Arial"/>
        <charset val="134"/>
      </rPr>
      <t>Yahoo directory</t>
    </r>
    <r>
      <rPr>
        <b/>
        <sz val="11"/>
        <color theme="1"/>
        <rFont val="宋体"/>
        <charset val="134"/>
      </rPr>
      <t>收录</t>
    </r>
  </si>
  <si>
    <t>GoogleStore</t>
  </si>
  <si>
    <r>
      <rPr>
        <b/>
        <sz val="11"/>
        <color theme="1"/>
        <rFont val="Arial"/>
        <charset val="134"/>
      </rPr>
      <t>Google</t>
    </r>
    <r>
      <rPr>
        <b/>
        <sz val="11"/>
        <color indexed="8"/>
        <rFont val="宋体"/>
        <charset val="134"/>
      </rPr>
      <t>收录数</t>
    </r>
  </si>
  <si>
    <r>
      <rPr>
        <b/>
        <sz val="11"/>
        <color theme="1"/>
        <rFont val="Arial"/>
        <charset val="134"/>
      </rPr>
      <t xml:space="preserve">bing </t>
    </r>
    <r>
      <rPr>
        <b/>
        <sz val="11"/>
        <color indexed="8"/>
        <rFont val="宋体"/>
        <charset val="134"/>
      </rPr>
      <t>收录数</t>
    </r>
  </si>
  <si>
    <t>Chevy Parts</t>
  </si>
  <si>
    <t>Chevrolet Parts</t>
  </si>
  <si>
    <t>chevy auto parts</t>
  </si>
  <si>
    <t>Chevy truck parts</t>
  </si>
  <si>
    <t>Chevrolet Auto parts</t>
  </si>
  <si>
    <t>Chevrolet truck parts</t>
  </si>
  <si>
    <t>Classic Chevy parts</t>
  </si>
  <si>
    <t>Chevy oem parts</t>
  </si>
  <si>
    <t>www.chevrolet.com</t>
  </si>
  <si>
    <t>www.chevrolet.com/certified.../auto-parts-repair-services.html‎</t>
  </si>
  <si>
    <r>
      <rPr>
        <sz val="11"/>
        <color theme="1"/>
        <rFont val="Arial"/>
        <charset val="134"/>
      </rPr>
      <t>www.gm</t>
    </r>
    <r>
      <rPr>
        <sz val="11"/>
        <rFont val="Arial"/>
        <charset val="134"/>
      </rPr>
      <t>partsdepartment.com/</t>
    </r>
  </si>
  <si>
    <t>After Market</t>
  </si>
  <si>
    <t>mikeschevyparts.net</t>
  </si>
  <si>
    <t>mikeschevyparts.net/</t>
  </si>
  <si>
    <t>√</t>
  </si>
  <si>
    <r>
      <rPr>
        <sz val="11"/>
        <color theme="1"/>
        <rFont val="Arial"/>
        <charset val="134"/>
      </rPr>
      <t>www.amazon.com/</t>
    </r>
    <r>
      <rPr>
        <sz val="11"/>
        <rFont val="Arial"/>
        <charset val="134"/>
      </rPr>
      <t>Chevrolet/e/B004CGS25S</t>
    </r>
  </si>
  <si>
    <t>www.autoanything.com/truck/chevy/silverado/95A3A115A2690.aspx</t>
  </si>
  <si>
    <t>www.autohausaz.com</t>
  </si>
  <si>
    <t>www.autohausaz.com/chevy-auto-parts/index.html</t>
  </si>
  <si>
    <t>www.autopartswarehouse.com</t>
  </si>
  <si>
    <r>
      <rPr>
        <sz val="11"/>
        <color theme="1"/>
        <rFont val="宋体"/>
        <charset val="134"/>
      </rPr>
      <t>√</t>
    </r>
  </si>
  <si>
    <r>
      <rPr>
        <sz val="11"/>
        <color theme="1"/>
        <rFont val="Arial"/>
        <charset val="134"/>
      </rPr>
      <t>www.auto</t>
    </r>
    <r>
      <rPr>
        <sz val="11"/>
        <rFont val="Arial"/>
        <charset val="134"/>
      </rPr>
      <t>partswarehouse.com/chevy~rep.html</t>
    </r>
  </si>
  <si>
    <t>www.autotrucktoys.com</t>
  </si>
  <si>
    <t>www.autotrucktoys.com/chevy_silverado</t>
  </si>
  <si>
    <t>www.chevroletonlineparts.com/</t>
  </si>
  <si>
    <t>www.gmpartsdirect.com/content/Chevy-accessories.html‎</t>
  </si>
  <si>
    <t>www.brotherstrucks.com</t>
  </si>
  <si>
    <t>www.brotherstrucks.com/</t>
  </si>
  <si>
    <t>www.mikeschevyparts.com</t>
  </si>
  <si>
    <t>Vintage Parts</t>
  </si>
  <si>
    <t>www.classicchevroletparts.com</t>
  </si>
  <si>
    <t>www.classicchevroletparts.com/‎</t>
  </si>
  <si>
    <t>www.oldchevytrucks.com</t>
  </si>
  <si>
    <t>www.oldchevytrucks.com/</t>
  </si>
  <si>
    <r>
      <rPr>
        <sz val="11"/>
        <color indexed="8"/>
        <rFont val="宋体"/>
        <charset val="134"/>
      </rPr>
      <t>自己网站</t>
    </r>
  </si>
  <si>
    <r>
      <rPr>
        <sz val="11"/>
        <color theme="1"/>
        <rFont val="Arial"/>
        <charset val="134"/>
      </rPr>
      <t>www.gm</t>
    </r>
    <r>
      <rPr>
        <sz val="11"/>
        <rFont val="Arial"/>
        <charset val="134"/>
      </rPr>
      <t>partsgiant.com/</t>
    </r>
  </si>
  <si>
    <t>www.chevytruck-parts.com</t>
  </si>
  <si>
    <r>
      <rPr>
        <sz val="11"/>
        <color theme="1"/>
        <rFont val="Arial"/>
        <charset val="134"/>
      </rPr>
      <t>www.</t>
    </r>
    <r>
      <rPr>
        <sz val="11"/>
        <rFont val="Arial"/>
        <charset val="134"/>
      </rPr>
      <t>chevytruck-parts.com/</t>
    </r>
  </si>
  <si>
    <t>chevyparts123.com</t>
  </si>
  <si>
    <t>www.bunninchevrolet.com/‎</t>
  </si>
  <si>
    <t>http://www.shopperapproved.com/reviews/newgmparts.com/</t>
  </si>
  <si>
    <t>www.newgmparts.com/partlocator/index.cfm?siteid=213815</t>
  </si>
  <si>
    <t>www.classicchevy.com</t>
  </si>
  <si>
    <r>
      <rPr>
        <sz val="11"/>
        <color theme="1"/>
        <rFont val="Arial"/>
        <charset val="134"/>
      </rPr>
      <t>www.</t>
    </r>
    <r>
      <rPr>
        <sz val="11"/>
        <rFont val="Arial"/>
        <charset val="134"/>
      </rPr>
      <t>classicchevy.com/</t>
    </r>
  </si>
  <si>
    <t>www.classicindustries.com</t>
  </si>
  <si>
    <t>www.classicindustries.com/</t>
  </si>
  <si>
    <t>www.classicmuscle.com</t>
  </si>
  <si>
    <t>www.classicmuscle.com/t-shopnow.aspx</t>
  </si>
  <si>
    <t>www.classicparts.com</t>
  </si>
  <si>
    <r>
      <rPr>
        <sz val="11"/>
        <color theme="1"/>
        <rFont val="Arial"/>
        <charset val="134"/>
      </rPr>
      <t>www.classic</t>
    </r>
    <r>
      <rPr>
        <sz val="11"/>
        <rFont val="Arial"/>
        <charset val="134"/>
      </rPr>
      <t>parts.com/</t>
    </r>
  </si>
  <si>
    <t>hhclassic.com</t>
  </si>
  <si>
    <t>www.gm-car-parts.com/chevrolet-car-parts</t>
  </si>
  <si>
    <t>www.delillo.com</t>
  </si>
  <si>
    <t>www.delillo.com/Chevrolet-Parts-Department-Huntington-Beach.aspx‎</t>
  </si>
  <si>
    <t>www.danchuk.com</t>
  </si>
  <si>
    <t>www.danchuk.com/</t>
  </si>
  <si>
    <r>
      <rPr>
        <sz val="11"/>
        <color theme="1"/>
        <rFont val="Arial"/>
        <charset val="134"/>
      </rPr>
      <t>C</t>
    </r>
    <r>
      <rPr>
        <sz val="11"/>
        <color indexed="8"/>
        <rFont val="Arial"/>
        <charset val="134"/>
      </rPr>
      <t>ar Store</t>
    </r>
  </si>
  <si>
    <t>www.felixchevrolet.com</t>
  </si>
  <si>
    <r>
      <rPr>
        <sz val="11"/>
        <color theme="1"/>
        <rFont val="Arial"/>
        <charset val="134"/>
      </rPr>
      <t>www.felix</t>
    </r>
    <r>
      <rPr>
        <sz val="11"/>
        <rFont val="Arial"/>
        <charset val="134"/>
      </rPr>
      <t>chevrolet.com/parts/index.htm</t>
    </r>
  </si>
  <si>
    <t>www.fillingstation.com</t>
  </si>
  <si>
    <t>www.ecklerstrucks.com</t>
  </si>
  <si>
    <r>
      <rPr>
        <sz val="11"/>
        <color theme="1"/>
        <rFont val="Arial"/>
        <charset val="134"/>
      </rPr>
      <t>www.ecklers</t>
    </r>
    <r>
      <rPr>
        <sz val="11"/>
        <rFont val="Arial"/>
        <charset val="134"/>
      </rPr>
      <t>trucks.com/</t>
    </r>
  </si>
  <si>
    <t>www.gmpartseast.com</t>
  </si>
  <si>
    <r>
      <rPr>
        <sz val="11"/>
        <color theme="1"/>
        <rFont val="Arial"/>
        <charset val="134"/>
      </rPr>
      <t>www.gm</t>
    </r>
    <r>
      <rPr>
        <sz val="11"/>
        <rFont val="Arial"/>
        <charset val="134"/>
      </rPr>
      <t>partseast.com/oem-chevy-parts.html</t>
    </r>
  </si>
  <si>
    <t>www.chevroletoemparts.com</t>
  </si>
  <si>
    <t>www.chevy-trucks.net</t>
  </si>
  <si>
    <t>www.lonestarchevrolet.com/parts/index.htm</t>
  </si>
  <si>
    <t>chevyparts123.com/</t>
  </si>
  <si>
    <t>www.buychevyautoparts.com</t>
  </si>
  <si>
    <t>www.buychevyautoparts.com/</t>
  </si>
  <si>
    <t>www.jcwhitney.com</t>
  </si>
  <si>
    <r>
      <rPr>
        <sz val="11"/>
        <color theme="1"/>
        <rFont val="Arial"/>
        <charset val="134"/>
      </rPr>
      <t>www.jcwhitney.com/</t>
    </r>
    <r>
      <rPr>
        <sz val="11"/>
        <rFont val="Arial"/>
        <charset val="134"/>
      </rPr>
      <t>chevrolet/m16j1s3.jcwx</t>
    </r>
  </si>
  <si>
    <t>www.keyeschevy.com</t>
  </si>
  <si>
    <r>
      <rPr>
        <sz val="11"/>
        <color theme="1"/>
        <rFont val="Arial"/>
        <charset val="134"/>
      </rPr>
      <t>www.keyes</t>
    </r>
    <r>
      <rPr>
        <sz val="11"/>
        <rFont val="Arial"/>
        <charset val="134"/>
      </rPr>
      <t>chevy.com/location/Parts/Chevrolet/Los+Angeles</t>
    </r>
  </si>
  <si>
    <t>www.lategreatchevy.com</t>
  </si>
  <si>
    <t>www.lategreatchevy.com/‎</t>
  </si>
  <si>
    <t>www.lmctruck.com</t>
  </si>
  <si>
    <t>www.lmctruck.com/</t>
  </si>
  <si>
    <t>www.chevypartworld.com</t>
  </si>
  <si>
    <t>www.chevypartworld.com/‎</t>
  </si>
  <si>
    <t>www.connellchevrolet.com</t>
  </si>
  <si>
    <r>
      <rPr>
        <sz val="11"/>
        <color theme="1"/>
        <rFont val="Arial"/>
        <charset val="134"/>
      </rPr>
      <t>www.connellchevrolet.com/</t>
    </r>
    <r>
      <rPr>
        <sz val="11"/>
        <rFont val="Arial"/>
        <charset val="134"/>
      </rPr>
      <t>parts/index.htm</t>
    </r>
  </si>
  <si>
    <t>www.mervsclassicchevyparts.com</t>
  </si>
  <si>
    <t>www.mervsclassicchevyparts.com/57parts.html‎</t>
  </si>
  <si>
    <t>www.partstrain.com</t>
  </si>
  <si>
    <t>www.partstrain.com/ShopByVehicle/CHEVROLET</t>
  </si>
  <si>
    <t>www.prweb.com</t>
  </si>
  <si>
    <t>www.prweb.com/.../chevy-oem-parts/used-chevy-parts/prweb10609974....‎</t>
  </si>
  <si>
    <r>
      <rPr>
        <sz val="11"/>
        <color theme="1"/>
        <rFont val="Arial"/>
        <charset val="134"/>
      </rPr>
      <t>www.rock</t>
    </r>
    <r>
      <rPr>
        <sz val="11"/>
        <rFont val="Arial"/>
        <charset val="134"/>
      </rPr>
      <t>auto.com/dbphp/mak,CHEVROLET</t>
    </r>
  </si>
  <si>
    <t>www.smogtips.com</t>
  </si>
  <si>
    <t>www.smogtips.com/classifieddetails/232-Auto-Parts-CA-Riverside.cfm</t>
  </si>
  <si>
    <t>www.stylintrucks.com</t>
  </si>
  <si>
    <t>www.stylintrucks.com/vehicles/chevrolet.aspx</t>
  </si>
  <si>
    <t>www.summitracing.com/search/make/chevrolet/model/aveo</t>
  </si>
  <si>
    <t>www.truckandcarshop.com</t>
  </si>
  <si>
    <t>www.truckandcarshop.com/</t>
  </si>
  <si>
    <t>yahoo.com</t>
  </si>
  <si>
    <t>shopping.yahoo.com/auto-parts/chevrolet--brand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</si>
</sst>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_(* #,##0.00_);_(* \(#,##0.00\);_(* &quot;-&quot;??_);_(@_)"/>
    <numFmt numFmtId="177" formatCode="_ * #,##0_ ;_ * \-#,##0_ ;_ * &quot;-&quot;??_ ;_ @_ "/>
    <numFmt numFmtId="178" formatCode="0.00_ "/>
    <numFmt numFmtId="179" formatCode="#,##0_ "/>
    <numFmt numFmtId="180" formatCode="0_);[Red]\(0\)"/>
    <numFmt numFmtId="181" formatCode="0.00_);[Red]\(0.00\)"/>
    <numFmt numFmtId="182" formatCode="0.000%"/>
    <numFmt numFmtId="183" formatCode="0_ "/>
    <numFmt numFmtId="184" formatCode="0.0%"/>
    <numFmt numFmtId="185" formatCode="#,##0.00_ "/>
    <numFmt numFmtId="186" formatCode="_ * #,##0.00_ ;_ * \-#,##0.00_ ;_ * &quot;-&quot;??.00_ ;_ @_ "/>
    <numFmt numFmtId="187" formatCode="#,##0.0000000_ "/>
    <numFmt numFmtId="188" formatCode="_(* #,##0_);_(* \(#,##0\);_(* &quot;-&quot;??_);_(@_)"/>
  </numFmts>
  <fonts count="108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Arial"/>
      <charset val="134"/>
    </font>
    <font>
      <b/>
      <sz val="11"/>
      <color theme="1"/>
      <name val="宋体"/>
      <charset val="134"/>
    </font>
    <font>
      <sz val="11"/>
      <color theme="1"/>
      <name val="宋体"/>
      <charset val="134"/>
    </font>
    <font>
      <sz val="11"/>
      <color theme="1"/>
      <name val="Arial"/>
      <charset val="134"/>
    </font>
    <font>
      <u/>
      <sz val="11"/>
      <color theme="10"/>
      <name val="宋体"/>
      <charset val="134"/>
    </font>
    <font>
      <sz val="11"/>
      <name val="Arial"/>
      <charset val="134"/>
    </font>
    <font>
      <b/>
      <sz val="11"/>
      <name val="Arial"/>
      <charset val="134"/>
    </font>
    <font>
      <sz val="11"/>
      <color rgb="FF00B050"/>
      <name val="Arial"/>
      <charset val="134"/>
    </font>
    <font>
      <b/>
      <sz val="11"/>
      <color rgb="FF000000"/>
      <name val="Arial"/>
      <charset val="134"/>
    </font>
    <font>
      <sz val="11"/>
      <color rgb="FF333333"/>
      <name val="Arial"/>
      <charset val="134"/>
    </font>
    <font>
      <b/>
      <sz val="10.5"/>
      <color rgb="FF000000"/>
      <name val="Arial"/>
      <charset val="134"/>
    </font>
    <font>
      <sz val="10.5"/>
      <color rgb="FF333333"/>
      <name val="Arial"/>
      <charset val="134"/>
    </font>
    <font>
      <sz val="10.5"/>
      <color rgb="FF000000"/>
      <name val="Arial"/>
      <charset val="134"/>
    </font>
    <font>
      <sz val="10.5"/>
      <color rgb="FF003366"/>
      <name val="Arial"/>
      <charset val="134"/>
    </font>
    <font>
      <b/>
      <sz val="14"/>
      <color theme="1"/>
      <name val="Arial Unicode MS"/>
      <charset val="134"/>
    </font>
    <font>
      <sz val="14"/>
      <color theme="1"/>
      <name val="Arial Unicode MS"/>
      <charset val="134"/>
    </font>
    <font>
      <u/>
      <sz val="14"/>
      <color theme="10"/>
      <name val="Arial Unicode MS"/>
      <charset val="134"/>
    </font>
    <font>
      <u/>
      <sz val="14"/>
      <name val="Arial Unicode MS"/>
      <charset val="134"/>
    </font>
    <font>
      <b/>
      <sz val="11"/>
      <color theme="1"/>
      <name val="Arial Unicode MS"/>
      <charset val="134"/>
    </font>
    <font>
      <sz val="11"/>
      <color rgb="FFFF0000"/>
      <name val="Arial"/>
      <charset val="134"/>
    </font>
    <font>
      <b/>
      <sz val="11"/>
      <name val="宋体"/>
      <charset val="134"/>
    </font>
    <font>
      <b/>
      <sz val="11"/>
      <name val="Arial Unicode MS"/>
      <charset val="134"/>
    </font>
    <font>
      <sz val="11"/>
      <color rgb="FFFF0000"/>
      <name val="宋体"/>
      <charset val="134"/>
    </font>
    <font>
      <sz val="11"/>
      <name val="宋体"/>
      <charset val="134"/>
    </font>
    <font>
      <sz val="11"/>
      <color rgb="FF92D050"/>
      <name val="Arial"/>
      <charset val="134"/>
    </font>
    <font>
      <u/>
      <sz val="11"/>
      <name val="Arial"/>
      <charset val="134"/>
    </font>
    <font>
      <sz val="11"/>
      <color rgb="FFFF0000"/>
      <name val="Arial Unicode MS"/>
      <charset val="134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"/>
      <name val="Arial"/>
      <charset val="134"/>
    </font>
    <font>
      <sz val="11"/>
      <color theme="1"/>
      <name val="Arial Unicode MS"/>
      <charset val="134"/>
    </font>
    <font>
      <b/>
      <sz val="14"/>
      <color theme="1"/>
      <name val="宋体"/>
      <charset val="134"/>
      <scheme val="minor"/>
    </font>
    <font>
      <u/>
      <sz val="11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u/>
      <sz val="11"/>
      <color theme="10"/>
      <name val="宋体"/>
      <charset val="134"/>
      <scheme val="minor"/>
    </font>
    <font>
      <sz val="11"/>
      <name val="Arial Unicode MS"/>
      <charset val="134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微软雅黑"/>
      <charset val="134"/>
    </font>
    <font>
      <sz val="11"/>
      <name val="微软雅黑"/>
      <charset val="134"/>
    </font>
    <font>
      <b/>
      <sz val="10"/>
      <color theme="1"/>
      <name val="微软雅黑"/>
      <charset val="134"/>
    </font>
    <font>
      <sz val="9"/>
      <color theme="1"/>
      <name val="微软雅黑"/>
      <charset val="134"/>
    </font>
    <font>
      <sz val="8"/>
      <color theme="1"/>
      <name val="微软雅黑"/>
      <charset val="134"/>
    </font>
    <font>
      <sz val="11"/>
      <color rgb="FFFF0000"/>
      <name val="Calibri"/>
      <charset val="134"/>
    </font>
    <font>
      <sz val="11"/>
      <name val="Calibri"/>
      <charset val="134"/>
    </font>
    <font>
      <sz val="10"/>
      <name val="Calibri"/>
      <charset val="134"/>
    </font>
    <font>
      <b/>
      <sz val="11"/>
      <name val="Calibri"/>
      <charset val="134"/>
    </font>
    <font>
      <b/>
      <sz val="11"/>
      <color theme="1"/>
      <name val="微软雅黑"/>
      <charset val="134"/>
    </font>
    <font>
      <b/>
      <sz val="11"/>
      <name val="微软雅黑"/>
      <charset val="134"/>
    </font>
    <font>
      <b/>
      <sz val="10"/>
      <name val="Calibri"/>
      <charset val="134"/>
    </font>
    <font>
      <sz val="8"/>
      <color rgb="FFFF0000"/>
      <name val="微软雅黑"/>
      <charset val="134"/>
    </font>
    <font>
      <sz val="9"/>
      <color rgb="FFFF0000"/>
      <name val="微软雅黑"/>
      <charset val="134"/>
    </font>
    <font>
      <b/>
      <sz val="11"/>
      <name val="宋体"/>
      <charset val="134"/>
      <scheme val="minor"/>
    </font>
    <font>
      <b/>
      <sz val="11"/>
      <color rgb="FFFF0000"/>
      <name val="Arial"/>
      <charset val="134"/>
    </font>
    <font>
      <b/>
      <sz val="11"/>
      <color rgb="FF00B050"/>
      <name val="Arial"/>
      <charset val="134"/>
    </font>
    <font>
      <sz val="11"/>
      <color rgb="FFFF0000"/>
      <name val="微软雅黑"/>
      <charset val="134"/>
    </font>
    <font>
      <sz val="11"/>
      <color rgb="FF000000"/>
      <name val="微软雅黑"/>
      <charset val="134"/>
    </font>
    <font>
      <sz val="12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</font>
    <font>
      <b/>
      <sz val="12"/>
      <name val="微软雅黑"/>
      <charset val="134"/>
    </font>
    <font>
      <sz val="12"/>
      <color rgb="FF92D050"/>
      <name val="Calibri"/>
      <charset val="134"/>
    </font>
    <font>
      <u/>
      <sz val="12"/>
      <name val="Calibri"/>
      <charset val="134"/>
    </font>
    <font>
      <sz val="12"/>
      <color rgb="FFFF0000"/>
      <name val="宋体"/>
      <charset val="134"/>
    </font>
    <font>
      <sz val="12"/>
      <color theme="1"/>
      <name val="宋体"/>
      <charset val="134"/>
    </font>
    <font>
      <sz val="12"/>
      <name val="宋体"/>
      <charset val="134"/>
    </font>
    <font>
      <sz val="11"/>
      <color rgb="FF000000"/>
      <name val="宋体"/>
      <charset val="134"/>
    </font>
    <font>
      <b/>
      <sz val="11"/>
      <color rgb="FFFF0000"/>
      <name val="微软雅黑"/>
      <charset val="134"/>
    </font>
    <font>
      <sz val="12"/>
      <name val="微软雅黑"/>
      <charset val="134"/>
    </font>
    <font>
      <u/>
      <sz val="11"/>
      <color rgb="FF800080"/>
      <name val="宋体"/>
      <charset val="134"/>
    </font>
    <font>
      <sz val="12"/>
      <color theme="1"/>
      <name val="Arial Narrow"/>
      <charset val="134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indexed="8"/>
      <name val="Arial"/>
      <charset val="134"/>
    </font>
    <font>
      <b/>
      <sz val="11"/>
      <color indexed="8"/>
      <name val="宋体"/>
      <charset val="134"/>
    </font>
    <font>
      <sz val="11"/>
      <color indexed="8"/>
      <name val="宋体"/>
      <charset val="134"/>
    </font>
    <font>
      <sz val="11"/>
      <color indexed="8"/>
      <name val="Arial"/>
      <charset val="134"/>
    </font>
    <font>
      <sz val="11"/>
      <color rgb="FF333333"/>
      <name val="宋体"/>
      <charset val="134"/>
    </font>
    <font>
      <sz val="11"/>
      <color rgb="FF92D050"/>
      <name val="宋体"/>
      <charset val="134"/>
    </font>
    <font>
      <sz val="12"/>
      <color rgb="FFFF0000"/>
      <name val="微软雅黑"/>
      <charset val="134"/>
    </font>
    <font>
      <sz val="12"/>
      <color theme="1"/>
      <name val="微软雅黑"/>
      <charset val="134"/>
    </font>
    <font>
      <b/>
      <sz val="11"/>
      <color rgb="FFFF0000"/>
      <name val="宋体"/>
      <charset val="134"/>
    </font>
    <font>
      <sz val="11"/>
      <color indexed="8"/>
      <name val="Arial "/>
      <charset val="134"/>
    </font>
    <font>
      <sz val="11"/>
      <color theme="1"/>
      <name val="Arial "/>
      <charset val="134"/>
    </font>
    <font>
      <b/>
      <sz val="10"/>
      <color indexed="8"/>
      <name val="宋体"/>
      <charset val="134"/>
    </font>
    <font>
      <b/>
      <sz val="10"/>
      <color indexed="8"/>
      <name val="Arial"/>
      <charset val="134"/>
    </font>
    <font>
      <sz val="10"/>
      <color indexed="8"/>
      <name val="宋体"/>
      <charset val="134"/>
    </font>
    <font>
      <sz val="10"/>
      <color indexed="8"/>
      <name val="Arial"/>
      <charset val="134"/>
    </font>
  </fonts>
  <fills count="5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 tint="0.39963988158818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700918607135"/>
        <bgColor indexed="64"/>
      </patternFill>
    </fill>
    <fill>
      <patternFill patternType="solid">
        <fgColor theme="5" tint="0.79985961485641"/>
        <bgColor indexed="64"/>
      </patternFill>
    </fill>
    <fill>
      <patternFill patternType="solid">
        <fgColor theme="9" tint="0.799645985290078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9" tint="0.79985961485641"/>
        <bgColor indexed="64"/>
      </patternFill>
    </fill>
    <fill>
      <patternFill patternType="solid">
        <fgColor theme="3" tint="0.79985961485641"/>
        <bgColor indexed="64"/>
      </patternFill>
    </fill>
    <fill>
      <patternFill patternType="solid">
        <fgColor theme="0" tint="-0.14966277047029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 style="medium">
        <color rgb="FFDDDDDD"/>
      </top>
      <bottom style="thin">
        <color auto="1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thin">
        <color auto="1"/>
      </bottom>
      <diagonal/>
    </border>
    <border>
      <left style="medium">
        <color rgb="FFDDDDDD"/>
      </left>
      <right/>
      <top/>
      <bottom style="thin">
        <color auto="1"/>
      </bottom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6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center"/>
    </xf>
    <xf numFmtId="0" fontId="0" fillId="20" borderId="27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0" borderId="28" applyNumberFormat="0" applyFill="0" applyAlignment="0" applyProtection="0">
      <alignment vertical="center"/>
    </xf>
    <xf numFmtId="0" fontId="80" fillId="0" borderId="28" applyNumberFormat="0" applyFill="0" applyAlignment="0" applyProtection="0">
      <alignment vertical="center"/>
    </xf>
    <xf numFmtId="0" fontId="81" fillId="0" borderId="29" applyNumberFormat="0" applyFill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2" fillId="21" borderId="30" applyNumberFormat="0" applyAlignment="0" applyProtection="0">
      <alignment vertical="center"/>
    </xf>
    <xf numFmtId="0" fontId="83" fillId="22" borderId="31" applyNumberFormat="0" applyAlignment="0" applyProtection="0">
      <alignment vertical="center"/>
    </xf>
    <xf numFmtId="0" fontId="84" fillId="22" borderId="30" applyNumberFormat="0" applyAlignment="0" applyProtection="0">
      <alignment vertical="center"/>
    </xf>
    <xf numFmtId="0" fontId="85" fillId="23" borderId="32" applyNumberFormat="0" applyAlignment="0" applyProtection="0">
      <alignment vertical="center"/>
    </xf>
    <xf numFmtId="0" fontId="86" fillId="0" borderId="33" applyNumberFormat="0" applyFill="0" applyAlignment="0" applyProtection="0">
      <alignment vertical="center"/>
    </xf>
    <xf numFmtId="0" fontId="87" fillId="0" borderId="34" applyNumberFormat="0" applyFill="0" applyAlignment="0" applyProtection="0">
      <alignment vertical="center"/>
    </xf>
    <xf numFmtId="0" fontId="88" fillId="24" borderId="0" applyNumberFormat="0" applyBorder="0" applyAlignment="0" applyProtection="0">
      <alignment vertical="center"/>
    </xf>
    <xf numFmtId="0" fontId="89" fillId="25" borderId="0" applyNumberFormat="0" applyBorder="0" applyAlignment="0" applyProtection="0">
      <alignment vertical="center"/>
    </xf>
    <xf numFmtId="0" fontId="90" fillId="26" borderId="0" applyNumberFormat="0" applyBorder="0" applyAlignment="0" applyProtection="0">
      <alignment vertical="center"/>
    </xf>
    <xf numFmtId="0" fontId="91" fillId="27" borderId="0" applyNumberFormat="0" applyBorder="0" applyAlignment="0" applyProtection="0">
      <alignment vertical="center"/>
    </xf>
    <xf numFmtId="0" fontId="92" fillId="28" borderId="0" applyNumberFormat="0" applyBorder="0" applyAlignment="0" applyProtection="0">
      <alignment vertical="center"/>
    </xf>
    <xf numFmtId="0" fontId="92" fillId="29" borderId="0" applyNumberFormat="0" applyBorder="0" applyAlignment="0" applyProtection="0">
      <alignment vertical="center"/>
    </xf>
    <xf numFmtId="0" fontId="91" fillId="30" borderId="0" applyNumberFormat="0" applyBorder="0" applyAlignment="0" applyProtection="0">
      <alignment vertical="center"/>
    </xf>
    <xf numFmtId="0" fontId="91" fillId="31" borderId="0" applyNumberFormat="0" applyBorder="0" applyAlignment="0" applyProtection="0">
      <alignment vertical="center"/>
    </xf>
    <xf numFmtId="0" fontId="92" fillId="32" borderId="0" applyNumberFormat="0" applyBorder="0" applyAlignment="0" applyProtection="0">
      <alignment vertical="center"/>
    </xf>
    <xf numFmtId="0" fontId="92" fillId="33" borderId="0" applyNumberFormat="0" applyBorder="0" applyAlignment="0" applyProtection="0">
      <alignment vertical="center"/>
    </xf>
    <xf numFmtId="0" fontId="91" fillId="34" borderId="0" applyNumberFormat="0" applyBorder="0" applyAlignment="0" applyProtection="0">
      <alignment vertical="center"/>
    </xf>
    <xf numFmtId="0" fontId="91" fillId="35" borderId="0" applyNumberFormat="0" applyBorder="0" applyAlignment="0" applyProtection="0">
      <alignment vertical="center"/>
    </xf>
    <xf numFmtId="0" fontId="92" fillId="36" borderId="0" applyNumberFormat="0" applyBorder="0" applyAlignment="0" applyProtection="0">
      <alignment vertical="center"/>
    </xf>
    <xf numFmtId="0" fontId="92" fillId="37" borderId="0" applyNumberFormat="0" applyBorder="0" applyAlignment="0" applyProtection="0">
      <alignment vertical="center"/>
    </xf>
    <xf numFmtId="0" fontId="91" fillId="38" borderId="0" applyNumberFormat="0" applyBorder="0" applyAlignment="0" applyProtection="0">
      <alignment vertical="center"/>
    </xf>
    <xf numFmtId="0" fontId="91" fillId="39" borderId="0" applyNumberFormat="0" applyBorder="0" applyAlignment="0" applyProtection="0">
      <alignment vertical="center"/>
    </xf>
    <xf numFmtId="0" fontId="92" fillId="40" borderId="0" applyNumberFormat="0" applyBorder="0" applyAlignment="0" applyProtection="0">
      <alignment vertical="center"/>
    </xf>
    <xf numFmtId="0" fontId="92" fillId="41" borderId="0" applyNumberFormat="0" applyBorder="0" applyAlignment="0" applyProtection="0">
      <alignment vertical="center"/>
    </xf>
    <xf numFmtId="0" fontId="91" fillId="42" borderId="0" applyNumberFormat="0" applyBorder="0" applyAlignment="0" applyProtection="0">
      <alignment vertical="center"/>
    </xf>
    <xf numFmtId="0" fontId="91" fillId="43" borderId="0" applyNumberFormat="0" applyBorder="0" applyAlignment="0" applyProtection="0">
      <alignment vertical="center"/>
    </xf>
    <xf numFmtId="0" fontId="92" fillId="44" borderId="0" applyNumberFormat="0" applyBorder="0" applyAlignment="0" applyProtection="0">
      <alignment vertical="center"/>
    </xf>
    <xf numFmtId="0" fontId="92" fillId="45" borderId="0" applyNumberFormat="0" applyBorder="0" applyAlignment="0" applyProtection="0">
      <alignment vertical="center"/>
    </xf>
    <xf numFmtId="0" fontId="91" fillId="46" borderId="0" applyNumberFormat="0" applyBorder="0" applyAlignment="0" applyProtection="0">
      <alignment vertical="center"/>
    </xf>
    <xf numFmtId="0" fontId="91" fillId="47" borderId="0" applyNumberFormat="0" applyBorder="0" applyAlignment="0" applyProtection="0">
      <alignment vertical="center"/>
    </xf>
    <xf numFmtId="0" fontId="92" fillId="48" borderId="0" applyNumberFormat="0" applyBorder="0" applyAlignment="0" applyProtection="0">
      <alignment vertical="center"/>
    </xf>
    <xf numFmtId="0" fontId="92" fillId="49" borderId="0" applyNumberFormat="0" applyBorder="0" applyAlignment="0" applyProtection="0">
      <alignment vertical="center"/>
    </xf>
    <xf numFmtId="0" fontId="91" fillId="5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37" fillId="0" borderId="0" applyNumberFormat="0" applyFill="0" applyBorder="0" applyAlignment="0" applyProtection="0"/>
    <xf numFmtId="176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</cellStyleXfs>
  <cellXfs count="65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4" fontId="3" fillId="0" borderId="0" xfId="0" applyNumberFormat="1" applyFont="1" applyAlignment="1">
      <alignment horizontal="left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6" applyAlignment="1" applyProtection="1">
      <alignment vertical="center"/>
    </xf>
    <xf numFmtId="3" fontId="8" fillId="0" borderId="0" xfId="0" applyNumberFormat="1" applyFont="1">
      <alignment vertical="center"/>
    </xf>
    <xf numFmtId="3" fontId="6" fillId="0" borderId="0" xfId="62" applyNumberFormat="1" applyFont="1">
      <alignment vertical="center"/>
    </xf>
    <xf numFmtId="0" fontId="6" fillId="0" borderId="0" xfId="62" applyFont="1">
      <alignment vertical="center"/>
    </xf>
    <xf numFmtId="3" fontId="8" fillId="0" borderId="0" xfId="0" applyNumberFormat="1" applyFont="1" applyAlignment="1">
      <alignment horizontal="right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9" fillId="0" borderId="0" xfId="0" applyFont="1" applyAlignment="1">
      <alignment horizontal="left" vertical="center" wrapText="1"/>
    </xf>
    <xf numFmtId="14" fontId="6" fillId="0" borderId="0" xfId="0" applyNumberFormat="1" applyFont="1">
      <alignment vertical="center"/>
    </xf>
    <xf numFmtId="3" fontId="6" fillId="0" borderId="0" xfId="0" applyNumberFormat="1" applyFont="1">
      <alignment vertical="center"/>
    </xf>
    <xf numFmtId="0" fontId="6" fillId="0" borderId="0" xfId="0" applyFont="1" applyAlignment="1">
      <alignment horizontal="right" vertical="center"/>
    </xf>
    <xf numFmtId="3" fontId="6" fillId="0" borderId="0" xfId="0" applyNumberFormat="1" applyFont="1" applyAlignment="1">
      <alignment horizontal="center" vertical="center"/>
    </xf>
    <xf numFmtId="14" fontId="6" fillId="0" borderId="0" xfId="0" applyNumberFormat="1" applyFont="1" applyAlignment="1">
      <alignment horizontal="left" vertical="center"/>
    </xf>
    <xf numFmtId="177" fontId="6" fillId="0" borderId="0" xfId="64" applyNumberFormat="1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3" fontId="6" fillId="0" borderId="0" xfId="0" applyNumberFormat="1" applyFont="1" applyAlignment="1">
      <alignment horizontal="right" vertical="center"/>
    </xf>
    <xf numFmtId="178" fontId="6" fillId="0" borderId="0" xfId="0" applyNumberFormat="1" applyFont="1">
      <alignment vertical="center"/>
    </xf>
    <xf numFmtId="0" fontId="8" fillId="0" borderId="0" xfId="0" applyFont="1" applyAlignment="1">
      <alignment horizontal="right" vertical="center"/>
    </xf>
    <xf numFmtId="0" fontId="6" fillId="0" borderId="0" xfId="0" applyFont="1" applyAlignment="1">
      <alignment horizontal="center" vertical="center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>
      <alignment vertical="center"/>
    </xf>
    <xf numFmtId="3" fontId="10" fillId="0" borderId="0" xfId="0" applyNumberFormat="1" applyFont="1">
      <alignment vertical="center"/>
    </xf>
    <xf numFmtId="0" fontId="0" fillId="7" borderId="0" xfId="0" applyFill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1" fillId="8" borderId="2" xfId="0" applyFont="1" applyFill="1" applyBorder="1" applyAlignment="1">
      <alignment horizontal="left" vertical="center"/>
    </xf>
    <xf numFmtId="0" fontId="9" fillId="8" borderId="2" xfId="0" applyFont="1" applyFill="1" applyBorder="1" applyAlignment="1">
      <alignment horizontal="left" vertical="center"/>
    </xf>
    <xf numFmtId="0" fontId="12" fillId="0" borderId="3" xfId="0" applyFont="1" applyBorder="1" applyAlignment="1">
      <alignment horizontal="left" vertical="center"/>
    </xf>
    <xf numFmtId="0" fontId="8" fillId="0" borderId="0" xfId="0" applyFont="1">
      <alignment vertical="center"/>
    </xf>
    <xf numFmtId="10" fontId="12" fillId="0" borderId="3" xfId="0" applyNumberFormat="1" applyFont="1" applyBorder="1" applyAlignment="1">
      <alignment horizontal="left" vertical="center"/>
    </xf>
    <xf numFmtId="9" fontId="0" fillId="0" borderId="0" xfId="3" applyFont="1" applyAlignment="1">
      <alignment horizontal="left" vertical="center"/>
    </xf>
    <xf numFmtId="0" fontId="8" fillId="0" borderId="3" xfId="6" applyFont="1" applyBorder="1" applyAlignment="1" applyProtection="1">
      <alignment horizontal="left" vertical="center"/>
    </xf>
    <xf numFmtId="0" fontId="12" fillId="0" borderId="4" xfId="0" applyFont="1" applyBorder="1" applyAlignment="1">
      <alignment horizontal="left" vertical="center"/>
    </xf>
    <xf numFmtId="0" fontId="8" fillId="0" borderId="0" xfId="6" applyFont="1" applyBorder="1" applyAlignment="1" applyProtection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6" fillId="0" borderId="6" xfId="0" applyFont="1" applyBorder="1">
      <alignment vertical="center"/>
    </xf>
    <xf numFmtId="0" fontId="8" fillId="0" borderId="7" xfId="0" applyFont="1" applyBorder="1" applyAlignment="1">
      <alignment horizontal="left" vertical="center"/>
    </xf>
    <xf numFmtId="0" fontId="8" fillId="0" borderId="7" xfId="6" applyFont="1" applyBorder="1" applyAlignment="1" applyProtection="1">
      <alignment horizontal="left" vertical="center"/>
    </xf>
    <xf numFmtId="10" fontId="12" fillId="0" borderId="7" xfId="0" applyNumberFormat="1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13" fillId="8" borderId="2" xfId="0" applyFont="1" applyFill="1" applyBorder="1" applyAlignment="1">
      <alignment horizontal="left" vertical="top" wrapText="1"/>
    </xf>
    <xf numFmtId="0" fontId="14" fillId="9" borderId="2" xfId="0" applyFont="1" applyFill="1" applyBorder="1" applyAlignment="1">
      <alignment horizontal="left" vertical="top" wrapText="1"/>
    </xf>
    <xf numFmtId="10" fontId="15" fillId="9" borderId="2" xfId="0" applyNumberFormat="1" applyFont="1" applyFill="1" applyBorder="1" applyAlignment="1">
      <alignment horizontal="left" vertical="top" wrapText="1"/>
    </xf>
    <xf numFmtId="9" fontId="15" fillId="9" borderId="2" xfId="0" applyNumberFormat="1" applyFont="1" applyFill="1" applyBorder="1" applyAlignment="1">
      <alignment horizontal="left" vertical="top" wrapText="1"/>
    </xf>
    <xf numFmtId="9" fontId="15" fillId="9" borderId="2" xfId="0" applyNumberFormat="1" applyFont="1" applyFill="1" applyBorder="1" applyAlignment="1">
      <alignment horizontal="center" vertical="top" wrapText="1"/>
    </xf>
    <xf numFmtId="10" fontId="15" fillId="9" borderId="2" xfId="0" applyNumberFormat="1" applyFont="1" applyFill="1" applyBorder="1" applyAlignment="1">
      <alignment horizontal="center" vertical="top" wrapText="1"/>
    </xf>
    <xf numFmtId="0" fontId="15" fillId="9" borderId="2" xfId="0" applyFont="1" applyFill="1" applyBorder="1" applyAlignment="1">
      <alignment horizontal="left" vertical="top" wrapText="1"/>
    </xf>
    <xf numFmtId="10" fontId="14" fillId="9" borderId="2" xfId="0" applyNumberFormat="1" applyFont="1" applyFill="1" applyBorder="1" applyAlignment="1">
      <alignment horizontal="left" vertical="top" wrapText="1"/>
    </xf>
    <xf numFmtId="9" fontId="14" fillId="9" borderId="2" xfId="0" applyNumberFormat="1" applyFont="1" applyFill="1" applyBorder="1" applyAlignment="1">
      <alignment horizontal="left" vertical="top" wrapText="1"/>
    </xf>
    <xf numFmtId="10" fontId="16" fillId="9" borderId="2" xfId="0" applyNumberFormat="1" applyFont="1" applyFill="1" applyBorder="1" applyAlignment="1">
      <alignment horizontal="center" vertical="top" wrapText="1"/>
    </xf>
    <xf numFmtId="10" fontId="16" fillId="9" borderId="2" xfId="0" applyNumberFormat="1" applyFont="1" applyFill="1" applyBorder="1" applyAlignment="1">
      <alignment horizontal="left" vertical="top" wrapText="1"/>
    </xf>
    <xf numFmtId="9" fontId="16" fillId="9" borderId="2" xfId="0" applyNumberFormat="1" applyFont="1" applyFill="1" applyBorder="1" applyAlignment="1">
      <alignment horizontal="left" vertical="top" wrapText="1"/>
    </xf>
    <xf numFmtId="0" fontId="16" fillId="9" borderId="2" xfId="0" applyFont="1" applyFill="1" applyBorder="1" applyAlignment="1">
      <alignment horizontal="center" vertical="top" wrapText="1"/>
    </xf>
    <xf numFmtId="9" fontId="16" fillId="9" borderId="2" xfId="0" applyNumberFormat="1" applyFont="1" applyFill="1" applyBorder="1" applyAlignment="1">
      <alignment horizontal="center" vertical="top" wrapText="1"/>
    </xf>
    <xf numFmtId="0" fontId="0" fillId="0" borderId="8" xfId="0" applyBorder="1">
      <alignment vertical="center"/>
    </xf>
    <xf numFmtId="0" fontId="0" fillId="0" borderId="0" xfId="0" applyAlignment="1">
      <alignment vertical="center" wrapText="1"/>
    </xf>
    <xf numFmtId="0" fontId="17" fillId="0" borderId="0" xfId="0" applyFont="1" applyAlignment="1">
      <alignment horizontal="left" vertical="center" wrapText="1"/>
    </xf>
    <xf numFmtId="14" fontId="17" fillId="0" borderId="0" xfId="0" applyNumberFormat="1" applyFont="1" applyAlignment="1">
      <alignment horizontal="left" vertical="center" wrapText="1"/>
    </xf>
    <xf numFmtId="0" fontId="18" fillId="0" borderId="0" xfId="0" applyFont="1">
      <alignment vertical="center"/>
    </xf>
    <xf numFmtId="0" fontId="18" fillId="0" borderId="0" xfId="0" applyFont="1" applyAlignment="1">
      <alignment vertical="center" wrapText="1"/>
    </xf>
    <xf numFmtId="0" fontId="19" fillId="0" borderId="0" xfId="6" applyFont="1" applyAlignment="1" applyProtection="1">
      <alignment vertical="center"/>
    </xf>
    <xf numFmtId="0" fontId="19" fillId="0" borderId="0" xfId="6" applyFont="1" applyBorder="1" applyAlignment="1" applyProtection="1">
      <alignment vertical="center"/>
    </xf>
    <xf numFmtId="179" fontId="18" fillId="0" borderId="0" xfId="0" applyNumberFormat="1" applyFont="1">
      <alignment vertical="center"/>
    </xf>
    <xf numFmtId="0" fontId="18" fillId="0" borderId="8" xfId="0" applyFont="1" applyBorder="1">
      <alignment vertical="center"/>
    </xf>
    <xf numFmtId="0" fontId="18" fillId="0" borderId="8" xfId="0" applyFont="1" applyBorder="1" applyAlignment="1">
      <alignment vertical="center" wrapText="1"/>
    </xf>
    <xf numFmtId="0" fontId="19" fillId="0" borderId="8" xfId="6" applyFont="1" applyBorder="1" applyAlignment="1" applyProtection="1">
      <alignment vertical="center"/>
    </xf>
    <xf numFmtId="179" fontId="18" fillId="0" borderId="8" xfId="0" applyNumberFormat="1" applyFont="1" applyBorder="1">
      <alignment vertical="center"/>
    </xf>
    <xf numFmtId="0" fontId="18" fillId="0" borderId="0" xfId="0" applyFont="1" applyAlignment="1">
      <alignment horizontal="right" vertical="center"/>
    </xf>
    <xf numFmtId="0" fontId="20" fillId="0" borderId="0" xfId="6" applyFont="1" applyAlignment="1" applyProtection="1">
      <alignment vertical="center"/>
    </xf>
    <xf numFmtId="0" fontId="20" fillId="0" borderId="0" xfId="6" applyFont="1" applyBorder="1" applyAlignment="1" applyProtection="1">
      <alignment vertical="center"/>
    </xf>
    <xf numFmtId="0" fontId="18" fillId="0" borderId="0" xfId="0" applyFont="1" applyAlignment="1">
      <alignment horizontal="left" vertical="center" wrapText="1"/>
    </xf>
    <xf numFmtId="38" fontId="21" fillId="0" borderId="1" xfId="0" applyNumberFormat="1" applyFont="1" applyBorder="1" applyAlignment="1">
      <alignment horizontal="left" vertical="center" wrapText="1"/>
    </xf>
    <xf numFmtId="38" fontId="21" fillId="0" borderId="0" xfId="0" applyNumberFormat="1" applyFont="1" applyAlignment="1">
      <alignment horizontal="left" vertical="center" wrapText="1"/>
    </xf>
    <xf numFmtId="14" fontId="21" fillId="0" borderId="0" xfId="0" applyNumberFormat="1" applyFont="1" applyAlignment="1">
      <alignment horizontal="left" vertical="center" wrapText="1"/>
    </xf>
    <xf numFmtId="0" fontId="21" fillId="0" borderId="1" xfId="0" applyFont="1" applyBorder="1" applyAlignment="1">
      <alignment horizontal="left" vertical="center" wrapText="1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8" fillId="0" borderId="8" xfId="0" applyFont="1" applyBorder="1" applyAlignment="1">
      <alignment horizontal="left" vertical="center"/>
    </xf>
    <xf numFmtId="0" fontId="22" fillId="0" borderId="9" xfId="0" applyFont="1" applyBorder="1">
      <alignment vertical="center"/>
    </xf>
    <xf numFmtId="0" fontId="8" fillId="0" borderId="9" xfId="0" applyFont="1" applyBorder="1">
      <alignment vertical="center"/>
    </xf>
    <xf numFmtId="0" fontId="8" fillId="0" borderId="9" xfId="0" applyFont="1" applyBorder="1" applyAlignment="1">
      <alignment horizontal="left" vertical="center"/>
    </xf>
    <xf numFmtId="177" fontId="8" fillId="0" borderId="9" xfId="64" applyNumberFormat="1" applyFont="1" applyBorder="1">
      <alignment vertical="center"/>
    </xf>
    <xf numFmtId="10" fontId="8" fillId="0" borderId="9" xfId="64" applyNumberFormat="1" applyFont="1" applyBorder="1">
      <alignment vertical="center"/>
    </xf>
    <xf numFmtId="177" fontId="8" fillId="0" borderId="9" xfId="64" applyNumberFormat="1" applyFont="1" applyBorder="1" applyAlignment="1">
      <alignment vertical="center"/>
    </xf>
    <xf numFmtId="10" fontId="8" fillId="0" borderId="9" xfId="3" applyNumberFormat="1" applyFont="1" applyBorder="1" applyAlignment="1">
      <alignment vertical="center" wrapText="1"/>
    </xf>
    <xf numFmtId="0" fontId="8" fillId="0" borderId="9" xfId="0" applyFont="1" applyBorder="1" applyAlignment="1">
      <alignment vertical="center" wrapText="1"/>
    </xf>
    <xf numFmtId="0" fontId="9" fillId="4" borderId="9" xfId="0" applyFont="1" applyFill="1" applyBorder="1">
      <alignment vertical="center"/>
    </xf>
    <xf numFmtId="0" fontId="8" fillId="4" borderId="9" xfId="0" applyFont="1" applyFill="1" applyBorder="1">
      <alignment vertical="center"/>
    </xf>
    <xf numFmtId="0" fontId="9" fillId="4" borderId="9" xfId="0" applyFont="1" applyFill="1" applyBorder="1" applyAlignment="1">
      <alignment horizontal="left" vertical="center"/>
    </xf>
    <xf numFmtId="0" fontId="23" fillId="2" borderId="9" xfId="0" applyFont="1" applyFill="1" applyBorder="1">
      <alignment vertical="center"/>
    </xf>
    <xf numFmtId="0" fontId="9" fillId="2" borderId="9" xfId="0" applyFont="1" applyFill="1" applyBorder="1">
      <alignment vertical="center"/>
    </xf>
    <xf numFmtId="0" fontId="9" fillId="0" borderId="9" xfId="0" applyFont="1" applyBorder="1" applyAlignment="1">
      <alignment horizontal="left" vertical="center" wrapText="1"/>
    </xf>
    <xf numFmtId="0" fontId="9" fillId="0" borderId="9" xfId="0" applyFont="1" applyBorder="1">
      <alignment vertical="center"/>
    </xf>
    <xf numFmtId="14" fontId="24" fillId="0" borderId="1" xfId="0" applyNumberFormat="1" applyFont="1" applyBorder="1" applyAlignment="1">
      <alignment horizontal="left" vertical="center" wrapText="1"/>
    </xf>
    <xf numFmtId="10" fontId="9" fillId="0" borderId="9" xfId="0" applyNumberFormat="1" applyFont="1" applyBorder="1" applyAlignment="1">
      <alignment horizontal="left" vertical="center" wrapText="1"/>
    </xf>
    <xf numFmtId="0" fontId="22" fillId="0" borderId="9" xfId="6" applyFont="1" applyBorder="1" applyAlignment="1" applyProtection="1">
      <alignment vertical="center"/>
    </xf>
    <xf numFmtId="177" fontId="22" fillId="0" borderId="9" xfId="64" applyNumberFormat="1" applyFont="1" applyBorder="1">
      <alignment vertical="center"/>
    </xf>
    <xf numFmtId="10" fontId="22" fillId="0" borderId="9" xfId="3" applyNumberFormat="1" applyFont="1" applyBorder="1">
      <alignment vertical="center"/>
    </xf>
    <xf numFmtId="0" fontId="8" fillId="0" borderId="9" xfId="6" applyFont="1" applyBorder="1" applyAlignment="1" applyProtection="1">
      <alignment vertical="center"/>
    </xf>
    <xf numFmtId="10" fontId="8" fillId="0" borderId="9" xfId="3" applyNumberFormat="1" applyFont="1" applyBorder="1">
      <alignment vertical="center"/>
    </xf>
    <xf numFmtId="10" fontId="22" fillId="0" borderId="9" xfId="64" applyNumberFormat="1" applyFont="1" applyBorder="1">
      <alignment vertical="center"/>
    </xf>
    <xf numFmtId="0" fontId="8" fillId="10" borderId="9" xfId="0" applyFont="1" applyFill="1" applyBorder="1">
      <alignment vertical="center"/>
    </xf>
    <xf numFmtId="0" fontId="22" fillId="0" borderId="0" xfId="0" applyFont="1">
      <alignment vertical="center"/>
    </xf>
    <xf numFmtId="0" fontId="8" fillId="0" borderId="9" xfId="56" applyFont="1" applyBorder="1">
      <alignment vertical="center"/>
    </xf>
    <xf numFmtId="0" fontId="8" fillId="0" borderId="9" xfId="6" applyFont="1" applyBorder="1" applyAlignment="1" applyProtection="1">
      <alignment horizontal="left" vertical="center"/>
    </xf>
    <xf numFmtId="10" fontId="9" fillId="2" borderId="9" xfId="0" applyNumberFormat="1" applyFont="1" applyFill="1" applyBorder="1">
      <alignment vertical="center"/>
    </xf>
    <xf numFmtId="0" fontId="9" fillId="0" borderId="10" xfId="0" applyFont="1" applyBorder="1" applyAlignment="1">
      <alignment horizontal="center" vertical="center" wrapText="1"/>
    </xf>
    <xf numFmtId="10" fontId="9" fillId="0" borderId="9" xfId="64" applyNumberFormat="1" applyFont="1" applyBorder="1">
      <alignment vertical="center"/>
    </xf>
    <xf numFmtId="177" fontId="8" fillId="0" borderId="9" xfId="64" applyNumberFormat="1" applyFont="1" applyBorder="1" applyAlignment="1">
      <alignment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9" xfId="0" applyFont="1" applyBorder="1" applyAlignment="1">
      <alignment vertical="center" wrapText="1"/>
    </xf>
    <xf numFmtId="177" fontId="22" fillId="0" borderId="9" xfId="64" applyNumberFormat="1" applyFont="1" applyBorder="1" applyAlignment="1">
      <alignment vertical="center"/>
    </xf>
    <xf numFmtId="177" fontId="22" fillId="0" borderId="9" xfId="64" applyNumberFormat="1" applyFont="1" applyBorder="1" applyAlignment="1">
      <alignment vertical="center" wrapText="1"/>
    </xf>
    <xf numFmtId="0" fontId="22" fillId="0" borderId="3" xfId="0" applyFont="1" applyBorder="1" applyAlignment="1">
      <alignment horizontal="left" vertical="center"/>
    </xf>
    <xf numFmtId="0" fontId="25" fillId="0" borderId="9" xfId="0" applyFont="1" applyBorder="1" applyAlignment="1">
      <alignment vertical="center" wrapText="1"/>
    </xf>
    <xf numFmtId="0" fontId="26" fillId="0" borderId="9" xfId="0" applyFont="1" applyBorder="1" applyAlignment="1">
      <alignment vertical="center" wrapText="1"/>
    </xf>
    <xf numFmtId="0" fontId="22" fillId="0" borderId="9" xfId="0" applyFont="1" applyBorder="1" applyAlignment="1">
      <alignment vertical="center" wrapText="1"/>
    </xf>
    <xf numFmtId="0" fontId="22" fillId="0" borderId="7" xfId="0" applyFont="1" applyBorder="1" applyAlignment="1">
      <alignment horizontal="left" vertical="center"/>
    </xf>
    <xf numFmtId="0" fontId="9" fillId="0" borderId="11" xfId="0" applyFont="1" applyBorder="1" applyAlignment="1">
      <alignment horizontal="center" vertical="center" wrapText="1"/>
    </xf>
    <xf numFmtId="177" fontId="25" fillId="0" borderId="9" xfId="64" applyNumberFormat="1" applyFont="1" applyBorder="1" applyAlignment="1">
      <alignment vertical="center" wrapText="1"/>
    </xf>
    <xf numFmtId="10" fontId="8" fillId="0" borderId="9" xfId="3" applyNumberFormat="1" applyFont="1" applyBorder="1" applyAlignment="1">
      <alignment vertical="center"/>
    </xf>
    <xf numFmtId="58" fontId="25" fillId="0" borderId="9" xfId="0" applyNumberFormat="1" applyFont="1" applyBorder="1" applyAlignment="1">
      <alignment vertical="center" wrapText="1"/>
    </xf>
    <xf numFmtId="0" fontId="9" fillId="0" borderId="12" xfId="0" applyFont="1" applyBorder="1" applyAlignment="1">
      <alignment horizontal="center" vertical="center" wrapText="1"/>
    </xf>
    <xf numFmtId="0" fontId="27" fillId="0" borderId="9" xfId="0" applyFont="1" applyBorder="1">
      <alignment vertical="center"/>
    </xf>
    <xf numFmtId="0" fontId="22" fillId="0" borderId="9" xfId="57" applyFont="1" applyBorder="1">
      <alignment vertical="center"/>
    </xf>
    <xf numFmtId="0" fontId="8" fillId="0" borderId="0" xfId="6" applyFont="1" applyAlignment="1" applyProtection="1">
      <alignment vertical="center"/>
    </xf>
    <xf numFmtId="177" fontId="22" fillId="0" borderId="9" xfId="6" applyNumberFormat="1" applyFont="1" applyBorder="1" applyAlignment="1" applyProtection="1">
      <alignment horizontal="left" vertical="center"/>
    </xf>
    <xf numFmtId="177" fontId="8" fillId="0" borderId="9" xfId="6" applyNumberFormat="1" applyFont="1" applyBorder="1" applyAlignment="1" applyProtection="1">
      <alignment horizontal="left" vertical="center"/>
    </xf>
    <xf numFmtId="0" fontId="27" fillId="0" borderId="9" xfId="0" applyFont="1" applyBorder="1" applyAlignment="1">
      <alignment vertical="center" wrapText="1"/>
    </xf>
    <xf numFmtId="0" fontId="28" fillId="0" borderId="9" xfId="6" applyFont="1" applyBorder="1" applyAlignment="1" applyProtection="1">
      <alignment horizontal="left" vertical="center"/>
    </xf>
    <xf numFmtId="177" fontId="8" fillId="0" borderId="9" xfId="0" applyNumberFormat="1" applyFont="1" applyBorder="1">
      <alignment vertical="center"/>
    </xf>
    <xf numFmtId="0" fontId="25" fillId="0" borderId="9" xfId="6" applyFont="1" applyBorder="1" applyAlignment="1" applyProtection="1">
      <alignment vertical="center"/>
    </xf>
    <xf numFmtId="0" fontId="28" fillId="0" borderId="9" xfId="6" applyFont="1" applyBorder="1" applyAlignment="1" applyProtection="1">
      <alignment vertical="center"/>
    </xf>
    <xf numFmtId="177" fontId="8" fillId="0" borderId="9" xfId="6" applyNumberFormat="1" applyFont="1" applyBorder="1" applyAlignment="1" applyProtection="1">
      <alignment vertical="center"/>
    </xf>
    <xf numFmtId="0" fontId="8" fillId="0" borderId="9" xfId="6" applyFont="1" applyBorder="1" applyAlignment="1" applyProtection="1">
      <alignment wrapText="1"/>
    </xf>
    <xf numFmtId="9" fontId="22" fillId="0" borderId="1" xfId="0" applyNumberFormat="1" applyFont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10" fontId="8" fillId="0" borderId="9" xfId="0" applyNumberFormat="1" applyFont="1" applyBorder="1" applyAlignment="1">
      <alignment vertical="center" wrapText="1"/>
    </xf>
    <xf numFmtId="10" fontId="22" fillId="0" borderId="3" xfId="0" applyNumberFormat="1" applyFont="1" applyBorder="1" applyAlignment="1">
      <alignment horizontal="left" vertical="center"/>
    </xf>
    <xf numFmtId="0" fontId="29" fillId="0" borderId="0" xfId="0" applyFont="1">
      <alignment vertical="center"/>
    </xf>
    <xf numFmtId="0" fontId="22" fillId="0" borderId="0" xfId="6" applyFont="1" applyAlignment="1" applyProtection="1">
      <alignment vertical="center"/>
    </xf>
    <xf numFmtId="177" fontId="25" fillId="0" borderId="9" xfId="64" applyNumberFormat="1" applyFont="1" applyBorder="1">
      <alignment vertical="center"/>
    </xf>
    <xf numFmtId="0" fontId="30" fillId="0" borderId="0" xfId="0" applyFont="1">
      <alignment vertical="center"/>
    </xf>
    <xf numFmtId="0" fontId="22" fillId="0" borderId="9" xfId="0" applyFont="1" applyBorder="1" applyAlignment="1">
      <alignment horizontal="left" vertical="center"/>
    </xf>
    <xf numFmtId="177" fontId="6" fillId="0" borderId="9" xfId="64" applyNumberFormat="1" applyFont="1" applyBorder="1">
      <alignment vertical="center"/>
    </xf>
    <xf numFmtId="0" fontId="7" fillId="0" borderId="9" xfId="6" applyBorder="1" applyAlignment="1" applyProtection="1">
      <alignment vertical="center"/>
    </xf>
    <xf numFmtId="0" fontId="8" fillId="0" borderId="9" xfId="50" applyFont="1" applyBorder="1"/>
    <xf numFmtId="0" fontId="8" fillId="11" borderId="9" xfId="6" applyFont="1" applyFill="1" applyBorder="1" applyAlignment="1" applyProtection="1">
      <alignment vertical="center"/>
    </xf>
    <xf numFmtId="0" fontId="6" fillId="11" borderId="0" xfId="6" applyFont="1" applyFill="1" applyAlignment="1" applyProtection="1">
      <alignment vertical="center"/>
    </xf>
    <xf numFmtId="0" fontId="31" fillId="0" borderId="0" xfId="0" applyFont="1" applyAlignment="1"/>
    <xf numFmtId="177" fontId="22" fillId="0" borderId="9" xfId="6" applyNumberFormat="1" applyFont="1" applyBorder="1" applyAlignment="1" applyProtection="1">
      <alignment vertical="center"/>
    </xf>
    <xf numFmtId="0" fontId="6" fillId="11" borderId="0" xfId="0" applyFont="1" applyFill="1">
      <alignment vertical="center"/>
    </xf>
    <xf numFmtId="0" fontId="6" fillId="11" borderId="9" xfId="0" applyFont="1" applyFill="1" applyBorder="1">
      <alignment vertical="center"/>
    </xf>
    <xf numFmtId="0" fontId="8" fillId="11" borderId="9" xfId="0" applyFont="1" applyFill="1" applyBorder="1" applyAlignment="1">
      <alignment vertical="center" wrapText="1"/>
    </xf>
    <xf numFmtId="49" fontId="8" fillId="0" borderId="9" xfId="0" applyNumberFormat="1" applyFont="1" applyBorder="1">
      <alignment vertical="center"/>
    </xf>
    <xf numFmtId="49" fontId="8" fillId="0" borderId="9" xfId="6" applyNumberFormat="1" applyFont="1" applyBorder="1" applyAlignment="1" applyProtection="1">
      <alignment vertical="center"/>
    </xf>
    <xf numFmtId="0" fontId="32" fillId="0" borderId="0" xfId="0" applyFont="1" applyAlignment="1"/>
    <xf numFmtId="0" fontId="32" fillId="12" borderId="0" xfId="0" applyFont="1" applyFill="1" applyAlignment="1"/>
    <xf numFmtId="49" fontId="7" fillId="0" borderId="9" xfId="6" applyNumberFormat="1" applyBorder="1" applyAlignment="1" applyProtection="1">
      <alignment vertical="center"/>
    </xf>
    <xf numFmtId="49" fontId="22" fillId="0" borderId="9" xfId="0" applyNumberFormat="1" applyFont="1" applyBorder="1">
      <alignment vertical="center"/>
    </xf>
    <xf numFmtId="49" fontId="22" fillId="0" borderId="9" xfId="6" applyNumberFormat="1" applyFont="1" applyBorder="1" applyAlignment="1" applyProtection="1">
      <alignment vertical="center"/>
    </xf>
    <xf numFmtId="49" fontId="9" fillId="0" borderId="9" xfId="0" applyNumberFormat="1" applyFont="1" applyBorder="1">
      <alignment vertical="center"/>
    </xf>
    <xf numFmtId="49" fontId="22" fillId="0" borderId="0" xfId="0" applyNumberFormat="1" applyFont="1">
      <alignment vertical="center"/>
    </xf>
    <xf numFmtId="49" fontId="25" fillId="0" borderId="9" xfId="6" applyNumberFormat="1" applyFont="1" applyBorder="1" applyAlignment="1" applyProtection="1">
      <alignment vertical="center"/>
    </xf>
    <xf numFmtId="49" fontId="8" fillId="0" borderId="9" xfId="6" applyNumberFormat="1" applyFont="1" applyBorder="1" applyAlignment="1" applyProtection="1">
      <alignment horizontal="left" vertical="center"/>
    </xf>
    <xf numFmtId="49" fontId="8" fillId="0" borderId="9" xfId="50" applyNumberFormat="1" applyFont="1" applyBorder="1"/>
    <xf numFmtId="49" fontId="8" fillId="0" borderId="9" xfId="56" applyNumberFormat="1" applyFont="1" applyBorder="1">
      <alignment vertical="center"/>
    </xf>
    <xf numFmtId="49" fontId="8" fillId="11" borderId="9" xfId="6" applyNumberFormat="1" applyFont="1" applyFill="1" applyBorder="1" applyAlignment="1" applyProtection="1">
      <alignment vertical="center"/>
    </xf>
    <xf numFmtId="49" fontId="22" fillId="0" borderId="9" xfId="57" applyNumberFormat="1" applyFont="1" applyBorder="1">
      <alignment vertical="center"/>
    </xf>
    <xf numFmtId="49" fontId="8" fillId="0" borderId="0" xfId="6" applyNumberFormat="1" applyFont="1" applyAlignment="1" applyProtection="1">
      <alignment vertical="center"/>
    </xf>
    <xf numFmtId="49" fontId="6" fillId="11" borderId="0" xfId="6" applyNumberFormat="1" applyFont="1" applyFill="1" applyAlignment="1" applyProtection="1">
      <alignment vertical="center"/>
    </xf>
    <xf numFmtId="49" fontId="8" fillId="0" borderId="9" xfId="0" applyNumberFormat="1" applyFont="1" applyBorder="1" applyAlignment="1">
      <alignment horizontal="left" vertical="center"/>
    </xf>
    <xf numFmtId="49" fontId="6" fillId="11" borderId="0" xfId="0" applyNumberFormat="1" applyFont="1" applyFill="1">
      <alignment vertical="center"/>
    </xf>
    <xf numFmtId="49" fontId="6" fillId="11" borderId="9" xfId="0" applyNumberFormat="1" applyFont="1" applyFill="1" applyBorder="1">
      <alignment vertical="center"/>
    </xf>
    <xf numFmtId="49" fontId="8" fillId="11" borderId="9" xfId="0" applyNumberFormat="1" applyFont="1" applyFill="1" applyBorder="1" applyAlignment="1">
      <alignment vertical="center" wrapText="1"/>
    </xf>
    <xf numFmtId="49" fontId="8" fillId="0" borderId="9" xfId="64" applyNumberFormat="1" applyFont="1" applyBorder="1">
      <alignment vertical="center"/>
    </xf>
    <xf numFmtId="49" fontId="8" fillId="0" borderId="9" xfId="6" applyNumberFormat="1" applyFont="1" applyBorder="1" applyAlignment="1" applyProtection="1">
      <alignment wrapText="1"/>
    </xf>
    <xf numFmtId="49" fontId="22" fillId="0" borderId="0" xfId="6" applyNumberFormat="1" applyFont="1" applyAlignment="1" applyProtection="1">
      <alignment vertical="center"/>
    </xf>
    <xf numFmtId="0" fontId="6" fillId="0" borderId="9" xfId="0" applyFont="1" applyBorder="1">
      <alignment vertical="center"/>
    </xf>
    <xf numFmtId="0" fontId="0" fillId="0" borderId="9" xfId="0" applyBorder="1" applyAlignment="1">
      <alignment horizontal="center"/>
    </xf>
    <xf numFmtId="0" fontId="31" fillId="0" borderId="9" xfId="0" applyFont="1" applyBorder="1" applyAlignment="1">
      <alignment horizontal="center"/>
    </xf>
    <xf numFmtId="0" fontId="6" fillId="0" borderId="0" xfId="6" applyFont="1" applyAlignment="1" applyProtection="1">
      <alignment vertical="center"/>
    </xf>
    <xf numFmtId="0" fontId="33" fillId="0" borderId="0" xfId="0" applyFont="1">
      <alignment vertical="center"/>
    </xf>
    <xf numFmtId="10" fontId="6" fillId="0" borderId="9" xfId="3" applyNumberFormat="1" applyFont="1" applyBorder="1">
      <alignment vertical="center"/>
    </xf>
    <xf numFmtId="0" fontId="6" fillId="0" borderId="9" xfId="0" applyFont="1" applyBorder="1" applyAlignment="1">
      <alignment vertical="center" wrapText="1"/>
    </xf>
    <xf numFmtId="177" fontId="6" fillId="0" borderId="9" xfId="64" applyNumberFormat="1" applyFont="1" applyBorder="1" applyAlignment="1">
      <alignment vertical="center" wrapText="1"/>
    </xf>
    <xf numFmtId="10" fontId="8" fillId="0" borderId="9" xfId="64" applyNumberFormat="1" applyFont="1" applyBorder="1" applyAlignment="1">
      <alignment vertical="center" wrapText="1"/>
    </xf>
    <xf numFmtId="0" fontId="0" fillId="0" borderId="9" xfId="0" applyBorder="1" applyAlignment="1">
      <alignment horizontal="center" wrapText="1"/>
    </xf>
    <xf numFmtId="0" fontId="8" fillId="0" borderId="9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left"/>
    </xf>
    <xf numFmtId="0" fontId="2" fillId="12" borderId="0" xfId="0" applyFont="1" applyFill="1" applyAlignment="1"/>
    <xf numFmtId="0" fontId="34" fillId="0" borderId="9" xfId="0" applyFont="1" applyBorder="1" applyAlignment="1">
      <alignment horizontal="center"/>
    </xf>
    <xf numFmtId="0" fontId="9" fillId="0" borderId="9" xfId="0" applyFont="1" applyBorder="1" applyAlignment="1">
      <alignment horizontal="center" vertical="center"/>
    </xf>
    <xf numFmtId="49" fontId="8" fillId="4" borderId="9" xfId="0" applyNumberFormat="1" applyFont="1" applyFill="1" applyBorder="1">
      <alignment vertical="center"/>
    </xf>
    <xf numFmtId="49" fontId="9" fillId="4" borderId="9" xfId="0" applyNumberFormat="1" applyFont="1" applyFill="1" applyBorder="1" applyAlignment="1">
      <alignment horizontal="left" vertical="center"/>
    </xf>
    <xf numFmtId="0" fontId="0" fillId="0" borderId="13" xfId="0" applyBorder="1" applyAlignment="1">
      <alignment horizontal="center"/>
    </xf>
    <xf numFmtId="0" fontId="8" fillId="0" borderId="13" xfId="0" applyFont="1" applyBorder="1" applyAlignment="1">
      <alignment horizontal="center" vertical="center"/>
    </xf>
    <xf numFmtId="0" fontId="8" fillId="0" borderId="13" xfId="6" applyFont="1" applyBorder="1" applyAlignment="1" applyProtection="1">
      <alignment vertical="center"/>
    </xf>
    <xf numFmtId="0" fontId="31" fillId="0" borderId="9" xfId="6" applyFont="1" applyBorder="1" applyAlignment="1" applyProtection="1">
      <alignment horizontal="center" vertical="center"/>
    </xf>
    <xf numFmtId="0" fontId="1" fillId="0" borderId="9" xfId="6" applyFont="1" applyBorder="1" applyAlignment="1" applyProtection="1">
      <alignment horizontal="center" vertical="center"/>
    </xf>
    <xf numFmtId="0" fontId="35" fillId="0" borderId="9" xfId="6" applyFont="1" applyBorder="1" applyAlignment="1" applyProtection="1">
      <alignment horizontal="center" vertical="center"/>
    </xf>
    <xf numFmtId="0" fontId="8" fillId="13" borderId="9" xfId="0" applyFont="1" applyFill="1" applyBorder="1">
      <alignment vertical="center"/>
    </xf>
    <xf numFmtId="0" fontId="1" fillId="0" borderId="9" xfId="50" applyFont="1" applyBorder="1" applyAlignment="1">
      <alignment horizontal="center"/>
    </xf>
    <xf numFmtId="0" fontId="31" fillId="0" borderId="9" xfId="0" applyFont="1" applyBorder="1" applyAlignment="1">
      <alignment horizontal="center" vertical="center"/>
    </xf>
    <xf numFmtId="0" fontId="1" fillId="0" borderId="9" xfId="56" applyFont="1" applyBorder="1" applyAlignment="1">
      <alignment horizontal="center" vertical="center"/>
    </xf>
    <xf numFmtId="0" fontId="36" fillId="0" borderId="9" xfId="6" applyFont="1" applyBorder="1" applyAlignment="1" applyProtection="1">
      <alignment horizontal="center" vertical="center"/>
    </xf>
    <xf numFmtId="49" fontId="9" fillId="0" borderId="9" xfId="0" applyNumberFormat="1" applyFont="1" applyBorder="1" applyAlignment="1">
      <alignment horizontal="left" vertical="center" wrapText="1"/>
    </xf>
    <xf numFmtId="0" fontId="31" fillId="0" borderId="9" xfId="57" applyFont="1" applyBorder="1" applyAlignment="1">
      <alignment horizontal="center" vertical="center"/>
    </xf>
    <xf numFmtId="0" fontId="34" fillId="0" borderId="14" xfId="0" applyFont="1" applyBorder="1" applyAlignment="1">
      <alignment horizontal="center"/>
    </xf>
    <xf numFmtId="0" fontId="0" fillId="0" borderId="9" xfId="0" applyBorder="1" applyAlignment="1"/>
    <xf numFmtId="0" fontId="34" fillId="0" borderId="14" xfId="0" applyFont="1" applyBorder="1" applyAlignment="1">
      <alignment horizontal="left" vertical="center"/>
    </xf>
    <xf numFmtId="0" fontId="34" fillId="0" borderId="14" xfId="0" applyFont="1" applyBorder="1" applyAlignment="1">
      <alignment horizontal="left"/>
    </xf>
    <xf numFmtId="0" fontId="0" fillId="0" borderId="9" xfId="0" applyBorder="1" applyAlignment="1">
      <alignment horizontal="left" vertical="center"/>
    </xf>
    <xf numFmtId="0" fontId="0" fillId="0" borderId="9" xfId="0" applyBorder="1" applyAlignment="1">
      <alignment horizontal="left"/>
    </xf>
    <xf numFmtId="0" fontId="0" fillId="0" borderId="9" xfId="0" applyBorder="1" applyAlignment="1">
      <alignment horizontal="center" vertical="center"/>
    </xf>
    <xf numFmtId="0" fontId="31" fillId="0" borderId="9" xfId="0" applyFont="1" applyBorder="1" applyAlignment="1">
      <alignment horizontal="left"/>
    </xf>
    <xf numFmtId="0" fontId="0" fillId="0" borderId="15" xfId="0" applyBorder="1" applyAlignment="1">
      <alignment horizontal="center"/>
    </xf>
    <xf numFmtId="0" fontId="1" fillId="0" borderId="9" xfId="0" applyFont="1" applyBorder="1" applyAlignment="1">
      <alignment horizontal="left"/>
    </xf>
    <xf numFmtId="0" fontId="0" fillId="0" borderId="10" xfId="0" applyBorder="1" applyAlignment="1"/>
    <xf numFmtId="0" fontId="1" fillId="0" borderId="0" xfId="6" applyFont="1" applyAlignment="1" applyProtection="1">
      <alignment horizontal="center" vertical="center"/>
    </xf>
    <xf numFmtId="0" fontId="1" fillId="0" borderId="9" xfId="0" applyFont="1" applyBorder="1" applyAlignment="1">
      <alignment horizontal="center" vertical="center"/>
    </xf>
    <xf numFmtId="49" fontId="31" fillId="0" borderId="0" xfId="0" applyNumberFormat="1" applyFont="1" applyAlignment="1"/>
    <xf numFmtId="0" fontId="31" fillId="0" borderId="0" xfId="0" applyFont="1" applyAlignment="1">
      <alignment horizontal="center"/>
    </xf>
    <xf numFmtId="0" fontId="37" fillId="0" borderId="9" xfId="6" applyFont="1" applyBorder="1" applyAlignment="1" applyProtection="1">
      <alignment horizontal="center" vertical="center"/>
    </xf>
    <xf numFmtId="0" fontId="38" fillId="0" borderId="0" xfId="0" applyFont="1">
      <alignment vertical="center"/>
    </xf>
    <xf numFmtId="0" fontId="35" fillId="0" borderId="0" xfId="6" applyFont="1" applyAlignment="1" applyProtection="1">
      <alignment horizontal="center" vertical="center"/>
    </xf>
    <xf numFmtId="49" fontId="9" fillId="4" borderId="9" xfId="0" applyNumberFormat="1" applyFont="1" applyFill="1" applyBorder="1">
      <alignment vertical="center"/>
    </xf>
    <xf numFmtId="0" fontId="0" fillId="4" borderId="9" xfId="0" applyFill="1" applyBorder="1" applyAlignment="1">
      <alignment horizontal="center"/>
    </xf>
    <xf numFmtId="177" fontId="31" fillId="0" borderId="9" xfId="6" applyNumberFormat="1" applyFont="1" applyBorder="1" applyAlignment="1" applyProtection="1">
      <alignment horizontal="center" vertical="center"/>
    </xf>
    <xf numFmtId="177" fontId="1" fillId="0" borderId="9" xfId="6" applyNumberFormat="1" applyFont="1" applyBorder="1" applyAlignment="1" applyProtection="1">
      <alignment horizontal="center" vertical="center"/>
    </xf>
    <xf numFmtId="0" fontId="0" fillId="12" borderId="9" xfId="0" applyFill="1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22" fillId="0" borderId="9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9" xfId="6" applyFont="1" applyBorder="1" applyAlignment="1" applyProtection="1">
      <alignment horizontal="center" wrapText="1"/>
    </xf>
    <xf numFmtId="0" fontId="31" fillId="0" borderId="0" xfId="6" applyFont="1" applyAlignment="1" applyProtection="1">
      <alignment horizontal="center" vertical="center"/>
    </xf>
    <xf numFmtId="0" fontId="0" fillId="4" borderId="0" xfId="0" applyFill="1" applyAlignment="1">
      <alignment horizontal="center"/>
    </xf>
    <xf numFmtId="0" fontId="8" fillId="0" borderId="0" xfId="0" applyFont="1" applyAlignment="1">
      <alignment horizontal="center" vertical="center"/>
    </xf>
    <xf numFmtId="0" fontId="0" fillId="0" borderId="10" xfId="0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31" fillId="0" borderId="10" xfId="0" applyFont="1" applyBorder="1" applyAlignment="1">
      <alignment horizontal="center"/>
    </xf>
    <xf numFmtId="0" fontId="8" fillId="0" borderId="10" xfId="0" applyFont="1" applyBorder="1" applyAlignment="1">
      <alignment horizontal="center" vertical="center"/>
    </xf>
    <xf numFmtId="0" fontId="39" fillId="0" borderId="0" xfId="0" applyFont="1" applyAlignment="1"/>
    <xf numFmtId="0" fontId="39" fillId="0" borderId="0" xfId="0" applyFont="1">
      <alignment vertical="center"/>
    </xf>
    <xf numFmtId="0" fontId="40" fillId="0" borderId="9" xfId="0" applyFont="1" applyBorder="1" applyAlignment="1">
      <alignment horizontal="center" vertical="top"/>
    </xf>
    <xf numFmtId="0" fontId="40" fillId="0" borderId="9" xfId="0" applyFont="1" applyBorder="1" applyAlignment="1">
      <alignment horizontal="left" vertical="top"/>
    </xf>
    <xf numFmtId="0" fontId="41" fillId="0" borderId="0" xfId="0" applyFont="1">
      <alignment vertical="center"/>
    </xf>
    <xf numFmtId="179" fontId="41" fillId="0" borderId="0" xfId="0" applyNumberFormat="1" applyFont="1">
      <alignment vertical="center"/>
    </xf>
    <xf numFmtId="0" fontId="42" fillId="0" borderId="0" xfId="0" applyFont="1">
      <alignment vertical="center"/>
    </xf>
    <xf numFmtId="0" fontId="43" fillId="0" borderId="16" xfId="0" applyFont="1" applyBorder="1">
      <alignment vertical="center"/>
    </xf>
    <xf numFmtId="0" fontId="43" fillId="0" borderId="17" xfId="0" applyFont="1" applyBorder="1">
      <alignment vertical="center"/>
    </xf>
    <xf numFmtId="180" fontId="43" fillId="0" borderId="17" xfId="0" applyNumberFormat="1" applyFont="1" applyBorder="1">
      <alignment vertical="center"/>
    </xf>
    <xf numFmtId="0" fontId="44" fillId="0" borderId="0" xfId="0" applyFont="1">
      <alignment vertical="center"/>
    </xf>
    <xf numFmtId="0" fontId="45" fillId="0" borderId="0" xfId="0" applyFont="1">
      <alignment vertical="center"/>
    </xf>
    <xf numFmtId="179" fontId="44" fillId="0" borderId="0" xfId="0" applyNumberFormat="1" applyFont="1">
      <alignment vertical="center"/>
    </xf>
    <xf numFmtId="179" fontId="43" fillId="0" borderId="17" xfId="0" applyNumberFormat="1" applyFont="1" applyBorder="1">
      <alignment vertical="center"/>
    </xf>
    <xf numFmtId="0" fontId="39" fillId="0" borderId="1" xfId="0" applyFont="1" applyBorder="1">
      <alignment vertical="center"/>
    </xf>
    <xf numFmtId="0" fontId="46" fillId="0" borderId="0" xfId="0" applyFont="1">
      <alignment vertical="center"/>
    </xf>
    <xf numFmtId="0" fontId="47" fillId="0" borderId="0" xfId="0" applyFont="1">
      <alignment vertical="center"/>
    </xf>
    <xf numFmtId="181" fontId="48" fillId="0" borderId="0" xfId="0" applyNumberFormat="1" applyFont="1" applyAlignment="1"/>
    <xf numFmtId="0" fontId="40" fillId="0" borderId="1" xfId="0" applyFont="1" applyBorder="1" applyAlignment="1">
      <alignment horizontal="left" vertical="center" wrapText="1"/>
    </xf>
    <xf numFmtId="0" fontId="49" fillId="0" borderId="1" xfId="0" applyFont="1" applyBorder="1" applyAlignment="1">
      <alignment horizontal="left" vertical="center" wrapText="1"/>
    </xf>
    <xf numFmtId="14" fontId="40" fillId="4" borderId="1" xfId="0" applyNumberFormat="1" applyFont="1" applyFill="1" applyBorder="1" applyAlignment="1">
      <alignment horizontal="left" vertical="center" wrapText="1"/>
    </xf>
    <xf numFmtId="0" fontId="39" fillId="0" borderId="0" xfId="6" applyFont="1" applyFill="1" applyAlignment="1" applyProtection="1">
      <alignment horizontal="left" vertical="center"/>
    </xf>
    <xf numFmtId="3" fontId="47" fillId="0" borderId="0" xfId="0" applyNumberFormat="1" applyFont="1" applyAlignment="1">
      <alignment horizontal="right" vertical="center"/>
    </xf>
    <xf numFmtId="3" fontId="39" fillId="0" borderId="0" xfId="0" applyNumberFormat="1" applyFont="1" applyAlignment="1">
      <alignment horizontal="right" vertical="center"/>
    </xf>
    <xf numFmtId="0" fontId="39" fillId="0" borderId="0" xfId="6" applyFont="1" applyFill="1" applyAlignment="1" applyProtection="1">
      <alignment vertical="center"/>
    </xf>
    <xf numFmtId="38" fontId="47" fillId="0" borderId="0" xfId="0" applyNumberFormat="1" applyFont="1" applyAlignment="1">
      <alignment horizontal="right" vertical="center"/>
    </xf>
    <xf numFmtId="0" fontId="49" fillId="4" borderId="1" xfId="0" applyFont="1" applyFill="1" applyBorder="1" applyAlignment="1">
      <alignment horizontal="left" vertical="center"/>
    </xf>
    <xf numFmtId="38" fontId="50" fillId="0" borderId="0" xfId="0" applyNumberFormat="1" applyFont="1" applyAlignment="1">
      <alignment horizontal="left" vertical="center" wrapText="1"/>
    </xf>
    <xf numFmtId="14" fontId="50" fillId="0" borderId="1" xfId="0" applyNumberFormat="1" applyFont="1" applyBorder="1" applyAlignment="1">
      <alignment horizontal="left" vertical="center" wrapText="1"/>
    </xf>
    <xf numFmtId="3" fontId="41" fillId="0" borderId="0" xfId="0" applyNumberFormat="1" applyFont="1" applyAlignment="1">
      <alignment horizontal="right" vertical="center"/>
    </xf>
    <xf numFmtId="38" fontId="40" fillId="0" borderId="0" xfId="0" applyNumberFormat="1" applyFont="1" applyAlignment="1">
      <alignment horizontal="left" vertical="center" wrapText="1"/>
    </xf>
    <xf numFmtId="14" fontId="40" fillId="0" borderId="1" xfId="0" applyNumberFormat="1" applyFont="1" applyBorder="1" applyAlignment="1">
      <alignment horizontal="left" vertical="center" wrapText="1"/>
    </xf>
    <xf numFmtId="0" fontId="47" fillId="0" borderId="0" xfId="0" applyFont="1" applyAlignment="1">
      <alignment horizontal="left" vertical="center"/>
    </xf>
    <xf numFmtId="0" fontId="39" fillId="0" borderId="0" xfId="0" applyFont="1" applyAlignment="1">
      <alignment horizontal="right" vertical="center"/>
    </xf>
    <xf numFmtId="0" fontId="47" fillId="0" borderId="0" xfId="0" applyFont="1" applyAlignment="1">
      <alignment horizontal="left" vertical="center" wrapText="1"/>
    </xf>
    <xf numFmtId="3" fontId="0" fillId="0" borderId="0" xfId="0" applyNumberFormat="1">
      <alignment vertical="center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 wrapText="1"/>
    </xf>
    <xf numFmtId="0" fontId="42" fillId="0" borderId="0" xfId="0" applyFont="1" applyAlignment="1">
      <alignment horizontal="left" vertical="center" wrapText="1"/>
    </xf>
    <xf numFmtId="179" fontId="51" fillId="0" borderId="1" xfId="0" applyNumberFormat="1" applyFont="1" applyBorder="1" applyAlignment="1">
      <alignment horizontal="left" vertical="center" wrapText="1"/>
    </xf>
    <xf numFmtId="179" fontId="49" fillId="0" borderId="1" xfId="0" applyNumberFormat="1" applyFont="1" applyBorder="1" applyAlignment="1">
      <alignment horizontal="left" vertical="center" wrapText="1"/>
    </xf>
    <xf numFmtId="181" fontId="52" fillId="0" borderId="0" xfId="0" applyNumberFormat="1" applyFont="1" applyAlignment="1">
      <alignment horizontal="center" vertical="center"/>
    </xf>
    <xf numFmtId="180" fontId="48" fillId="0" borderId="0" xfId="0" applyNumberFormat="1" applyFont="1" applyAlignment="1"/>
    <xf numFmtId="0" fontId="5" fillId="0" borderId="1" xfId="0" applyFont="1" applyBorder="1">
      <alignment vertical="center"/>
    </xf>
    <xf numFmtId="180" fontId="41" fillId="0" borderId="0" xfId="0" applyNumberFormat="1" applyFont="1">
      <alignment vertical="center"/>
    </xf>
    <xf numFmtId="180" fontId="44" fillId="0" borderId="18" xfId="0" applyNumberFormat="1" applyFont="1" applyBorder="1">
      <alignment vertical="center"/>
    </xf>
    <xf numFmtId="180" fontId="44" fillId="0" borderId="0" xfId="0" applyNumberFormat="1" applyFont="1">
      <alignment vertical="center"/>
    </xf>
    <xf numFmtId="0" fontId="0" fillId="0" borderId="0" xfId="0" applyFont="1" applyFill="1" applyAlignment="1"/>
    <xf numFmtId="0" fontId="44" fillId="0" borderId="19" xfId="0" applyFont="1" applyBorder="1">
      <alignment vertical="center"/>
    </xf>
    <xf numFmtId="10" fontId="45" fillId="0" borderId="0" xfId="3" applyNumberFormat="1" applyFont="1" applyFill="1" applyAlignment="1">
      <alignment horizontal="right" vertical="center"/>
    </xf>
    <xf numFmtId="10" fontId="45" fillId="0" borderId="0" xfId="3" applyNumberFormat="1" applyFont="1" applyFill="1" applyAlignment="1">
      <alignment vertical="center"/>
    </xf>
    <xf numFmtId="0" fontId="53" fillId="0" borderId="0" xfId="0" applyFont="1">
      <alignment vertical="center"/>
    </xf>
    <xf numFmtId="182" fontId="45" fillId="0" borderId="0" xfId="3" applyNumberFormat="1" applyFont="1" applyFill="1" applyAlignment="1">
      <alignment vertical="center"/>
    </xf>
    <xf numFmtId="0" fontId="44" fillId="0" borderId="20" xfId="0" applyFont="1" applyBorder="1">
      <alignment vertical="center"/>
    </xf>
    <xf numFmtId="0" fontId="44" fillId="0" borderId="1" xfId="0" applyFont="1" applyBorder="1">
      <alignment vertical="center"/>
    </xf>
    <xf numFmtId="0" fontId="54" fillId="0" borderId="0" xfId="0" applyFont="1">
      <alignment vertical="center"/>
    </xf>
    <xf numFmtId="0" fontId="45" fillId="14" borderId="0" xfId="0" applyFont="1" applyFill="1">
      <alignment vertical="center"/>
    </xf>
    <xf numFmtId="0" fontId="41" fillId="0" borderId="0" xfId="0" applyFont="1" applyAlignment="1"/>
    <xf numFmtId="0" fontId="55" fillId="0" borderId="9" xfId="0" applyFont="1" applyFill="1" applyBorder="1" applyAlignment="1">
      <alignment horizontal="center" vertical="top"/>
    </xf>
    <xf numFmtId="0" fontId="3" fillId="0" borderId="9" xfId="0" applyFont="1" applyBorder="1" applyAlignment="1">
      <alignment horizontal="center" vertical="center" wrapText="1"/>
    </xf>
    <xf numFmtId="0" fontId="1" fillId="0" borderId="9" xfId="0" applyFont="1" applyBorder="1">
      <alignment vertical="center"/>
    </xf>
    <xf numFmtId="0" fontId="8" fillId="0" borderId="9" xfId="6" applyFont="1" applyFill="1" applyBorder="1" applyAlignment="1" applyProtection="1">
      <alignment vertical="center"/>
    </xf>
    <xf numFmtId="0" fontId="5" fillId="0" borderId="9" xfId="0" applyFont="1" applyBorder="1" applyAlignment="1">
      <alignment vertical="center" wrapText="1"/>
    </xf>
    <xf numFmtId="0" fontId="29" fillId="0" borderId="9" xfId="0" applyFont="1" applyBorder="1">
      <alignment vertical="center"/>
    </xf>
    <xf numFmtId="0" fontId="0" fillId="0" borderId="9" xfId="0" applyBorder="1">
      <alignment vertical="center"/>
    </xf>
    <xf numFmtId="58" fontId="26" fillId="0" borderId="9" xfId="0" applyNumberFormat="1" applyFont="1" applyBorder="1" applyAlignment="1">
      <alignment vertical="center" wrapText="1"/>
    </xf>
    <xf numFmtId="58" fontId="8" fillId="0" borderId="9" xfId="0" applyNumberFormat="1" applyFont="1" applyBorder="1" applyAlignment="1">
      <alignment vertical="center" wrapText="1"/>
    </xf>
    <xf numFmtId="0" fontId="31" fillId="0" borderId="9" xfId="0" applyFont="1" applyBorder="1">
      <alignment vertical="center"/>
    </xf>
    <xf numFmtId="58" fontId="22" fillId="0" borderId="9" xfId="0" applyNumberFormat="1" applyFont="1" applyBorder="1" applyAlignment="1">
      <alignment vertical="center" wrapText="1"/>
    </xf>
    <xf numFmtId="0" fontId="10" fillId="0" borderId="9" xfId="0" applyFont="1" applyBorder="1">
      <alignment vertical="center"/>
    </xf>
    <xf numFmtId="0" fontId="56" fillId="0" borderId="9" xfId="0" applyFont="1" applyBorder="1">
      <alignment vertical="center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9" xfId="0" applyFont="1" applyBorder="1" applyAlignment="1">
      <alignment vertical="center" wrapText="1"/>
    </xf>
    <xf numFmtId="58" fontId="5" fillId="0" borderId="9" xfId="0" applyNumberFormat="1" applyFont="1" applyBorder="1" applyAlignment="1">
      <alignment vertical="center" wrapText="1"/>
    </xf>
    <xf numFmtId="0" fontId="3" fillId="0" borderId="9" xfId="0" applyFont="1" applyBorder="1">
      <alignment vertical="center"/>
    </xf>
    <xf numFmtId="0" fontId="57" fillId="0" borderId="9" xfId="0" applyFont="1" applyBorder="1">
      <alignment vertical="center"/>
    </xf>
    <xf numFmtId="0" fontId="8" fillId="0" borderId="10" xfId="0" applyFont="1" applyBorder="1" applyAlignment="1">
      <alignment vertical="center" wrapText="1"/>
    </xf>
    <xf numFmtId="0" fontId="7" fillId="0" borderId="9" xfId="6" applyBorder="1" applyAlignment="1" applyProtection="1">
      <alignment horizontal="left" vertical="center"/>
    </xf>
    <xf numFmtId="0" fontId="8" fillId="0" borderId="0" xfId="6" applyFont="1" applyAlignment="1" applyProtection="1">
      <alignment horizontal="left" vertical="center"/>
    </xf>
    <xf numFmtId="0" fontId="39" fillId="4" borderId="0" xfId="0" applyFont="1" applyFill="1">
      <alignment vertical="center"/>
    </xf>
    <xf numFmtId="0" fontId="39" fillId="0" borderId="0" xfId="0" applyFont="1" applyFill="1">
      <alignment vertical="center"/>
    </xf>
    <xf numFmtId="179" fontId="47" fillId="0" borderId="0" xfId="0" applyNumberFormat="1" applyFont="1">
      <alignment vertical="center"/>
    </xf>
    <xf numFmtId="38" fontId="47" fillId="0" borderId="0" xfId="0" applyNumberFormat="1" applyFont="1">
      <alignment vertical="center"/>
    </xf>
    <xf numFmtId="0" fontId="50" fillId="0" borderId="1" xfId="0" applyFont="1" applyBorder="1" applyAlignment="1">
      <alignment horizontal="left" vertical="center" wrapText="1"/>
    </xf>
    <xf numFmtId="0" fontId="51" fillId="0" borderId="1" xfId="0" applyFont="1" applyBorder="1" applyAlignment="1">
      <alignment horizontal="left" vertical="center" wrapText="1"/>
    </xf>
    <xf numFmtId="14" fontId="50" fillId="4" borderId="1" xfId="0" applyNumberFormat="1" applyFont="1" applyFill="1" applyBorder="1" applyAlignment="1">
      <alignment horizontal="left" vertical="center" wrapText="1"/>
    </xf>
    <xf numFmtId="0" fontId="41" fillId="0" borderId="0" xfId="6" applyFont="1" applyFill="1" applyAlignment="1" applyProtection="1">
      <alignment vertical="center"/>
    </xf>
    <xf numFmtId="3" fontId="42" fillId="0" borderId="0" xfId="0" applyNumberFormat="1" applyFont="1" applyAlignment="1">
      <alignment horizontal="right" vertical="center"/>
    </xf>
    <xf numFmtId="0" fontId="58" fillId="0" borderId="0" xfId="0" applyFont="1">
      <alignment vertical="center"/>
    </xf>
    <xf numFmtId="3" fontId="58" fillId="0" borderId="0" xfId="0" applyNumberFormat="1" applyFont="1" applyAlignment="1">
      <alignment horizontal="right" vertical="center"/>
    </xf>
    <xf numFmtId="3" fontId="42" fillId="4" borderId="0" xfId="0" applyNumberFormat="1" applyFont="1" applyFill="1" applyAlignment="1">
      <alignment horizontal="right" vertical="center"/>
    </xf>
    <xf numFmtId="0" fontId="41" fillId="0" borderId="0" xfId="0" applyFont="1" applyAlignment="1">
      <alignment horizontal="left" vertical="center"/>
    </xf>
    <xf numFmtId="0" fontId="58" fillId="0" borderId="0" xfId="6" applyFont="1" applyFill="1" applyAlignment="1" applyProtection="1">
      <alignment vertical="center"/>
    </xf>
    <xf numFmtId="178" fontId="41" fillId="0" borderId="0" xfId="0" applyNumberFormat="1" applyFont="1">
      <alignment vertical="center"/>
    </xf>
    <xf numFmtId="0" fontId="51" fillId="4" borderId="1" xfId="0" applyFont="1" applyFill="1" applyBorder="1" applyAlignment="1">
      <alignment horizontal="left" vertical="center"/>
    </xf>
    <xf numFmtId="179" fontId="41" fillId="0" borderId="0" xfId="0" applyNumberFormat="1" applyFont="1" applyAlignment="1">
      <alignment horizontal="right" vertical="center"/>
    </xf>
    <xf numFmtId="180" fontId="41" fillId="0" borderId="0" xfId="0" applyNumberFormat="1" applyFont="1" applyAlignment="1">
      <alignment horizontal="right" vertical="center"/>
    </xf>
    <xf numFmtId="0" fontId="41" fillId="0" borderId="0" xfId="0" applyFont="1" applyAlignment="1">
      <alignment horizontal="right" vertical="center"/>
    </xf>
    <xf numFmtId="179" fontId="41" fillId="4" borderId="0" xfId="0" applyNumberFormat="1" applyFont="1" applyFill="1" applyAlignment="1">
      <alignment horizontal="right" vertical="center"/>
    </xf>
    <xf numFmtId="180" fontId="41" fillId="4" borderId="0" xfId="0" applyNumberFormat="1" applyFont="1" applyFill="1" applyAlignment="1">
      <alignment horizontal="right" vertical="center"/>
    </xf>
    <xf numFmtId="0" fontId="41" fillId="4" borderId="0" xfId="0" applyFont="1" applyFill="1" applyAlignment="1">
      <alignment horizontal="right" vertical="center"/>
    </xf>
    <xf numFmtId="179" fontId="41" fillId="15" borderId="0" xfId="0" applyNumberFormat="1" applyFont="1" applyFill="1" applyAlignment="1">
      <alignment horizontal="right" vertical="center"/>
    </xf>
    <xf numFmtId="180" fontId="41" fillId="15" borderId="0" xfId="0" applyNumberFormat="1" applyFont="1" applyFill="1" applyAlignment="1">
      <alignment horizontal="right" vertical="center"/>
    </xf>
    <xf numFmtId="0" fontId="41" fillId="15" borderId="0" xfId="0" applyFont="1" applyFill="1" applyAlignment="1">
      <alignment horizontal="right" vertical="center"/>
    </xf>
    <xf numFmtId="0" fontId="42" fillId="0" borderId="0" xfId="0" applyFont="1" applyAlignment="1">
      <alignment horizontal="left" vertical="center"/>
    </xf>
    <xf numFmtId="0" fontId="42" fillId="0" borderId="0" xfId="0" applyFont="1" applyAlignment="1">
      <alignment vertical="center" wrapText="1"/>
    </xf>
    <xf numFmtId="179" fontId="42" fillId="15" borderId="0" xfId="0" applyNumberFormat="1" applyFont="1" applyFill="1" applyAlignment="1">
      <alignment horizontal="right" vertical="center"/>
    </xf>
    <xf numFmtId="180" fontId="42" fillId="15" borderId="0" xfId="0" applyNumberFormat="1" applyFont="1" applyFill="1" applyAlignment="1">
      <alignment horizontal="right" vertical="center"/>
    </xf>
    <xf numFmtId="0" fontId="42" fillId="15" borderId="0" xfId="0" applyFont="1" applyFill="1" applyAlignment="1">
      <alignment horizontal="right" vertical="center"/>
    </xf>
    <xf numFmtId="0" fontId="42" fillId="0" borderId="0" xfId="0" applyFont="1" applyAlignment="1">
      <alignment horizontal="right" vertical="center"/>
    </xf>
    <xf numFmtId="3" fontId="41" fillId="0" borderId="0" xfId="0" applyNumberFormat="1" applyFont="1" applyAlignment="1">
      <alignment horizontal="right" vertical="center" wrapText="1"/>
    </xf>
    <xf numFmtId="3" fontId="41" fillId="0" borderId="0" xfId="0" applyNumberFormat="1" applyFont="1">
      <alignment vertical="center"/>
    </xf>
    <xf numFmtId="181" fontId="51" fillId="0" borderId="0" xfId="0" applyNumberFormat="1" applyFont="1" applyAlignment="1">
      <alignment horizontal="center" vertical="center"/>
    </xf>
    <xf numFmtId="0" fontId="41" fillId="0" borderId="1" xfId="0" applyFont="1" applyBorder="1">
      <alignment vertical="center"/>
    </xf>
    <xf numFmtId="180" fontId="42" fillId="0" borderId="0" xfId="0" applyNumberFormat="1" applyFont="1" applyAlignment="1"/>
    <xf numFmtId="183" fontId="41" fillId="0" borderId="0" xfId="0" applyNumberFormat="1" applyFont="1">
      <alignment vertical="center"/>
    </xf>
    <xf numFmtId="180" fontId="42" fillId="4" borderId="0" xfId="0" applyNumberFormat="1" applyFont="1" applyFill="1" applyAlignment="1"/>
    <xf numFmtId="177" fontId="41" fillId="0" borderId="0" xfId="64" applyNumberFormat="1" applyFont="1" applyFill="1">
      <alignment vertical="center"/>
    </xf>
    <xf numFmtId="10" fontId="42" fillId="0" borderId="0" xfId="3" applyNumberFormat="1" applyFont="1" applyFill="1" applyAlignment="1">
      <alignment horizontal="left" vertical="center" wrapText="1"/>
    </xf>
    <xf numFmtId="0" fontId="58" fillId="0" borderId="0" xfId="0" applyFont="1" applyAlignment="1">
      <alignment horizontal="left" vertical="center" wrapText="1"/>
    </xf>
    <xf numFmtId="179" fontId="42" fillId="0" borderId="0" xfId="0" applyNumberFormat="1" applyFont="1" applyAlignment="1">
      <alignment horizontal="right" vertical="center"/>
    </xf>
    <xf numFmtId="180" fontId="42" fillId="0" borderId="0" xfId="0" applyNumberFormat="1" applyFont="1" applyAlignment="1">
      <alignment horizontal="right" vertical="center"/>
    </xf>
    <xf numFmtId="0" fontId="58" fillId="0" borderId="0" xfId="0" applyFont="1" applyAlignment="1">
      <alignment horizontal="right" vertical="center"/>
    </xf>
    <xf numFmtId="183" fontId="58" fillId="0" borderId="0" xfId="0" applyNumberFormat="1" applyFont="1">
      <alignment vertical="center"/>
    </xf>
    <xf numFmtId="0" fontId="41" fillId="0" borderId="0" xfId="0" applyFont="1" applyFill="1">
      <alignment vertical="center"/>
    </xf>
    <xf numFmtId="0" fontId="42" fillId="0" borderId="0" xfId="6" applyFont="1" applyAlignment="1" applyProtection="1">
      <alignment vertical="center"/>
    </xf>
    <xf numFmtId="38" fontId="42" fillId="0" borderId="0" xfId="0" applyNumberFormat="1" applyFont="1" applyAlignment="1">
      <alignment horizontal="right" vertical="center"/>
    </xf>
    <xf numFmtId="38" fontId="58" fillId="0" borderId="0" xfId="0" applyNumberFormat="1" applyFont="1" applyAlignment="1">
      <alignment horizontal="right" vertical="center"/>
    </xf>
    <xf numFmtId="38" fontId="42" fillId="4" borderId="0" xfId="0" applyNumberFormat="1" applyFont="1" applyFill="1" applyAlignment="1">
      <alignment horizontal="right" vertical="center"/>
    </xf>
    <xf numFmtId="10" fontId="42" fillId="0" borderId="0" xfId="3" applyNumberFormat="1" applyFont="1" applyFill="1" applyAlignment="1">
      <alignment horizontal="left" vertical="center"/>
    </xf>
    <xf numFmtId="0" fontId="42" fillId="0" borderId="0" xfId="0" applyFont="1" applyAlignment="1">
      <alignment horizontal="left" vertical="top"/>
    </xf>
    <xf numFmtId="179" fontId="42" fillId="4" borderId="0" xfId="0" applyNumberFormat="1" applyFont="1" applyFill="1" applyAlignment="1">
      <alignment horizontal="right" vertical="center"/>
    </xf>
    <xf numFmtId="180" fontId="42" fillId="4" borderId="0" xfId="0" applyNumberFormat="1" applyFont="1" applyFill="1" applyAlignment="1">
      <alignment horizontal="right" vertical="center"/>
    </xf>
    <xf numFmtId="0" fontId="42" fillId="4" borderId="0" xfId="0" applyFont="1" applyFill="1" applyAlignment="1">
      <alignment horizontal="right" vertical="center"/>
    </xf>
    <xf numFmtId="38" fontId="41" fillId="0" borderId="0" xfId="0" applyNumberFormat="1" applyFont="1" applyAlignment="1">
      <alignment horizontal="left" vertical="center"/>
    </xf>
    <xf numFmtId="178" fontId="41" fillId="0" borderId="0" xfId="0" applyNumberFormat="1" applyFont="1" applyAlignment="1">
      <alignment horizontal="left" vertical="center"/>
    </xf>
    <xf numFmtId="0" fontId="41" fillId="0" borderId="0" xfId="6" applyFont="1" applyFill="1" applyAlignment="1" applyProtection="1">
      <alignment horizontal="left" vertical="center"/>
    </xf>
    <xf numFmtId="0" fontId="42" fillId="0" borderId="0" xfId="6" applyFont="1" applyFill="1" applyAlignment="1" applyProtection="1">
      <alignment horizontal="left" vertical="center"/>
    </xf>
    <xf numFmtId="0" fontId="59" fillId="0" borderId="0" xfId="0" applyFont="1">
      <alignment vertical="center"/>
    </xf>
    <xf numFmtId="3" fontId="41" fillId="4" borderId="0" xfId="0" applyNumberFormat="1" applyFont="1" applyFill="1" applyAlignment="1">
      <alignment horizontal="right" vertical="center"/>
    </xf>
    <xf numFmtId="183" fontId="42" fillId="0" borderId="0" xfId="0" applyNumberFormat="1" applyFont="1">
      <alignment vertical="center"/>
    </xf>
    <xf numFmtId="183" fontId="42" fillId="0" borderId="0" xfId="0" applyNumberFormat="1" applyFont="1" applyAlignment="1"/>
    <xf numFmtId="181" fontId="42" fillId="0" borderId="0" xfId="0" applyNumberFormat="1" applyFont="1" applyAlignment="1"/>
    <xf numFmtId="179" fontId="42" fillId="0" borderId="0" xfId="0" applyNumberFormat="1" applyFont="1">
      <alignment vertical="center"/>
    </xf>
    <xf numFmtId="38" fontId="42" fillId="0" borderId="0" xfId="0" applyNumberFormat="1" applyFont="1">
      <alignment vertical="center"/>
    </xf>
    <xf numFmtId="0" fontId="42" fillId="0" borderId="0" xfId="0" applyFont="1" applyFill="1">
      <alignment vertical="center"/>
    </xf>
    <xf numFmtId="3" fontId="41" fillId="0" borderId="0" xfId="0" applyNumberFormat="1" applyFont="1" applyFill="1" applyAlignment="1">
      <alignment horizontal="right" vertical="center"/>
    </xf>
    <xf numFmtId="0" fontId="42" fillId="0" borderId="0" xfId="0" applyFont="1" applyFill="1" applyAlignment="1">
      <alignment vertical="center" wrapText="1"/>
    </xf>
    <xf numFmtId="183" fontId="41" fillId="0" borderId="0" xfId="0" applyNumberFormat="1" applyFont="1" applyFill="1">
      <alignment vertical="center"/>
    </xf>
    <xf numFmtId="0" fontId="41" fillId="4" borderId="0" xfId="0" applyFont="1" applyFill="1">
      <alignment vertical="center"/>
    </xf>
    <xf numFmtId="0" fontId="58" fillId="4" borderId="0" xfId="0" applyFont="1" applyFill="1" applyAlignment="1">
      <alignment vertical="center" wrapText="1"/>
    </xf>
    <xf numFmtId="0" fontId="47" fillId="0" borderId="9" xfId="0" applyFont="1" applyBorder="1">
      <alignment vertical="center"/>
    </xf>
    <xf numFmtId="0" fontId="60" fillId="0" borderId="0" xfId="0" applyFont="1">
      <alignment vertical="center"/>
    </xf>
    <xf numFmtId="0" fontId="61" fillId="0" borderId="0" xfId="0" applyFont="1">
      <alignment vertical="center"/>
    </xf>
    <xf numFmtId="0" fontId="62" fillId="0" borderId="0" xfId="0" applyFont="1">
      <alignment vertical="center"/>
    </xf>
    <xf numFmtId="0" fontId="60" fillId="0" borderId="0" xfId="0" applyFont="1" applyAlignment="1">
      <alignment horizontal="left" vertical="center"/>
    </xf>
    <xf numFmtId="177" fontId="60" fillId="0" borderId="0" xfId="64" applyNumberFormat="1" applyFont="1" applyBorder="1">
      <alignment vertical="center"/>
    </xf>
    <xf numFmtId="10" fontId="60" fillId="0" borderId="0" xfId="3" applyNumberFormat="1" applyFont="1" applyBorder="1">
      <alignment vertical="center"/>
    </xf>
    <xf numFmtId="10" fontId="60" fillId="0" borderId="0" xfId="64" applyNumberFormat="1" applyFont="1" applyBorder="1">
      <alignment vertical="center"/>
    </xf>
    <xf numFmtId="10" fontId="60" fillId="0" borderId="0" xfId="3" applyNumberFormat="1" applyFont="1" applyBorder="1" applyAlignment="1">
      <alignment vertical="center" wrapText="1"/>
    </xf>
    <xf numFmtId="0" fontId="60" fillId="0" borderId="0" xfId="0" applyFont="1" applyAlignment="1">
      <alignment vertical="center" wrapText="1"/>
    </xf>
    <xf numFmtId="0" fontId="63" fillId="0" borderId="0" xfId="0" applyFont="1">
      <alignment vertical="center"/>
    </xf>
    <xf numFmtId="0" fontId="61" fillId="4" borderId="10" xfId="0" applyFont="1" applyFill="1" applyBorder="1">
      <alignment vertical="center"/>
    </xf>
    <xf numFmtId="0" fontId="60" fillId="4" borderId="9" xfId="0" applyFont="1" applyFill="1" applyBorder="1">
      <alignment vertical="center"/>
    </xf>
    <xf numFmtId="0" fontId="61" fillId="4" borderId="12" xfId="0" applyFont="1" applyFill="1" applyBorder="1" applyAlignment="1">
      <alignment horizontal="left" vertical="center"/>
    </xf>
    <xf numFmtId="0" fontId="60" fillId="0" borderId="9" xfId="0" applyFont="1" applyBorder="1">
      <alignment vertical="center"/>
    </xf>
    <xf numFmtId="0" fontId="61" fillId="2" borderId="9" xfId="0" applyFont="1" applyFill="1" applyBorder="1">
      <alignment vertical="center"/>
    </xf>
    <xf numFmtId="0" fontId="61" fillId="0" borderId="10" xfId="0" applyFont="1" applyBorder="1" applyAlignment="1">
      <alignment horizontal="left" vertical="center" wrapText="1"/>
    </xf>
    <xf numFmtId="0" fontId="61" fillId="0" borderId="9" xfId="0" applyFont="1" applyBorder="1">
      <alignment vertical="center"/>
    </xf>
    <xf numFmtId="0" fontId="61" fillId="0" borderId="12" xfId="0" applyFont="1" applyBorder="1" applyAlignment="1">
      <alignment horizontal="left" vertical="center" wrapText="1"/>
    </xf>
    <xf numFmtId="0" fontId="61" fillId="0" borderId="9" xfId="0" applyFont="1" applyBorder="1" applyAlignment="1">
      <alignment horizontal="left" vertical="center" wrapText="1"/>
    </xf>
    <xf numFmtId="14" fontId="61" fillId="0" borderId="9" xfId="0" applyNumberFormat="1" applyFont="1" applyBorder="1" applyAlignment="1">
      <alignment horizontal="left" vertical="center" wrapText="1"/>
    </xf>
    <xf numFmtId="0" fontId="60" fillId="0" borderId="10" xfId="0" applyFont="1" applyBorder="1">
      <alignment vertical="center"/>
    </xf>
    <xf numFmtId="0" fontId="60" fillId="0" borderId="12" xfId="0" applyFont="1" applyBorder="1">
      <alignment vertical="center"/>
    </xf>
    <xf numFmtId="177" fontId="60" fillId="0" borderId="9" xfId="64" applyNumberFormat="1" applyFont="1" applyBorder="1">
      <alignment vertical="center"/>
    </xf>
    <xf numFmtId="0" fontId="63" fillId="0" borderId="9" xfId="0" applyFont="1" applyBorder="1">
      <alignment vertical="center"/>
    </xf>
    <xf numFmtId="0" fontId="62" fillId="0" borderId="10" xfId="0" applyFont="1" applyBorder="1">
      <alignment vertical="center"/>
    </xf>
    <xf numFmtId="0" fontId="62" fillId="0" borderId="9" xfId="6" applyFont="1" applyBorder="1" applyAlignment="1" applyProtection="1">
      <alignment vertical="center"/>
    </xf>
    <xf numFmtId="0" fontId="62" fillId="0" borderId="12" xfId="0" applyFont="1" applyBorder="1">
      <alignment vertical="center"/>
    </xf>
    <xf numFmtId="0" fontId="62" fillId="0" borderId="9" xfId="0" applyFont="1" applyBorder="1">
      <alignment vertical="center"/>
    </xf>
    <xf numFmtId="177" fontId="62" fillId="0" borderId="9" xfId="64" applyNumberFormat="1" applyFont="1" applyBorder="1">
      <alignment vertical="center"/>
    </xf>
    <xf numFmtId="177" fontId="60" fillId="0" borderId="9" xfId="64" applyNumberFormat="1" applyFont="1" applyFill="1" applyBorder="1">
      <alignment vertical="center"/>
    </xf>
    <xf numFmtId="0" fontId="60" fillId="0" borderId="9" xfId="6" applyFont="1" applyBorder="1" applyAlignment="1" applyProtection="1">
      <alignment vertical="center"/>
    </xf>
    <xf numFmtId="0" fontId="60" fillId="0" borderId="12" xfId="0" applyFont="1" applyBorder="1" applyAlignment="1">
      <alignment horizontal="left" vertical="center"/>
    </xf>
    <xf numFmtId="0" fontId="63" fillId="0" borderId="10" xfId="0" applyFont="1" applyBorder="1">
      <alignment vertical="center"/>
    </xf>
    <xf numFmtId="0" fontId="61" fillId="4" borderId="9" xfId="0" applyFont="1" applyFill="1" applyBorder="1" applyAlignment="1">
      <alignment horizontal="left" vertical="center"/>
    </xf>
    <xf numFmtId="0" fontId="63" fillId="0" borderId="9" xfId="6" applyFont="1" applyBorder="1" applyAlignment="1" applyProtection="1">
      <alignment vertical="center"/>
    </xf>
    <xf numFmtId="10" fontId="61" fillId="2" borderId="9" xfId="3" applyNumberFormat="1" applyFont="1" applyFill="1" applyBorder="1">
      <alignment vertical="center"/>
    </xf>
    <xf numFmtId="10" fontId="61" fillId="2" borderId="9" xfId="0" applyNumberFormat="1" applyFont="1" applyFill="1" applyBorder="1">
      <alignment vertical="center"/>
    </xf>
    <xf numFmtId="14" fontId="64" fillId="0" borderId="9" xfId="0" applyNumberFormat="1" applyFont="1" applyBorder="1" applyAlignment="1">
      <alignment horizontal="left" vertical="center" wrapText="1"/>
    </xf>
    <xf numFmtId="10" fontId="61" fillId="0" borderId="9" xfId="0" applyNumberFormat="1" applyFont="1" applyBorder="1" applyAlignment="1">
      <alignment horizontal="left" vertical="center" wrapText="1"/>
    </xf>
    <xf numFmtId="10" fontId="61" fillId="0" borderId="9" xfId="3" applyNumberFormat="1" applyFont="1" applyBorder="1" applyAlignment="1">
      <alignment horizontal="left" vertical="center" wrapText="1"/>
    </xf>
    <xf numFmtId="10" fontId="61" fillId="0" borderId="9" xfId="64" applyNumberFormat="1" applyFont="1" applyBorder="1">
      <alignment vertical="center"/>
    </xf>
    <xf numFmtId="177" fontId="61" fillId="0" borderId="9" xfId="64" applyNumberFormat="1" applyFont="1" applyBorder="1">
      <alignment vertical="center"/>
    </xf>
    <xf numFmtId="184" fontId="60" fillId="0" borderId="9" xfId="3" applyNumberFormat="1" applyFont="1" applyFill="1" applyBorder="1">
      <alignment vertical="center"/>
    </xf>
    <xf numFmtId="10" fontId="60" fillId="0" borderId="9" xfId="3" applyNumberFormat="1" applyFont="1" applyBorder="1">
      <alignment vertical="center"/>
    </xf>
    <xf numFmtId="10" fontId="60" fillId="0" borderId="9" xfId="3" applyNumberFormat="1" applyFont="1" applyFill="1" applyBorder="1">
      <alignment vertical="center"/>
    </xf>
    <xf numFmtId="184" fontId="60" fillId="0" borderId="9" xfId="3" applyNumberFormat="1" applyFont="1" applyBorder="1">
      <alignment vertical="center"/>
    </xf>
    <xf numFmtId="184" fontId="60" fillId="4" borderId="9" xfId="3" applyNumberFormat="1" applyFont="1" applyFill="1" applyBorder="1">
      <alignment vertical="center"/>
    </xf>
    <xf numFmtId="10" fontId="62" fillId="0" borderId="9" xfId="64" applyNumberFormat="1" applyFont="1" applyBorder="1">
      <alignment vertical="center"/>
    </xf>
    <xf numFmtId="10" fontId="60" fillId="4" borderId="9" xfId="3" applyNumberFormat="1" applyFont="1" applyFill="1" applyBorder="1">
      <alignment vertical="center"/>
    </xf>
    <xf numFmtId="10" fontId="62" fillId="0" borderId="9" xfId="3" applyNumberFormat="1" applyFont="1" applyBorder="1">
      <alignment vertical="center"/>
    </xf>
    <xf numFmtId="10" fontId="60" fillId="0" borderId="9" xfId="64" applyNumberFormat="1" applyFont="1" applyFill="1" applyBorder="1">
      <alignment vertical="center"/>
    </xf>
    <xf numFmtId="10" fontId="60" fillId="0" borderId="9" xfId="64" applyNumberFormat="1" applyFont="1" applyBorder="1">
      <alignment vertical="center"/>
    </xf>
    <xf numFmtId="10" fontId="62" fillId="0" borderId="9" xfId="64" applyNumberFormat="1" applyFont="1" applyFill="1" applyBorder="1">
      <alignment vertical="center"/>
    </xf>
    <xf numFmtId="10" fontId="62" fillId="0" borderId="9" xfId="3" applyNumberFormat="1" applyFont="1" applyFill="1" applyBorder="1">
      <alignment vertical="center"/>
    </xf>
    <xf numFmtId="177" fontId="62" fillId="0" borderId="9" xfId="64" applyNumberFormat="1" applyFont="1" applyFill="1" applyBorder="1">
      <alignment vertical="center"/>
    </xf>
    <xf numFmtId="185" fontId="60" fillId="0" borderId="9" xfId="64" applyNumberFormat="1" applyFont="1" applyBorder="1">
      <alignment vertical="center"/>
    </xf>
    <xf numFmtId="10" fontId="60" fillId="0" borderId="9" xfId="3" applyNumberFormat="1" applyFont="1" applyBorder="1" applyAlignment="1">
      <alignment vertical="center" wrapText="1"/>
    </xf>
    <xf numFmtId="0" fontId="61" fillId="0" borderId="12" xfId="0" applyFont="1" applyBorder="1">
      <alignment vertical="center"/>
    </xf>
    <xf numFmtId="0" fontId="60" fillId="0" borderId="9" xfId="0" applyFont="1" applyBorder="1" applyAlignment="1">
      <alignment vertical="center" wrapText="1"/>
    </xf>
    <xf numFmtId="0" fontId="61" fillId="0" borderId="9" xfId="0" applyFont="1" applyBorder="1" applyAlignment="1">
      <alignment horizontal="center" vertical="center" wrapText="1"/>
    </xf>
    <xf numFmtId="177" fontId="61" fillId="0" borderId="9" xfId="64" applyNumberFormat="1" applyFont="1" applyBorder="1" applyAlignment="1">
      <alignment vertical="center" wrapText="1"/>
    </xf>
    <xf numFmtId="0" fontId="61" fillId="0" borderId="12" xfId="0" applyFont="1" applyBorder="1" applyAlignment="1">
      <alignment horizontal="center" vertical="center" wrapText="1"/>
    </xf>
    <xf numFmtId="0" fontId="61" fillId="0" borderId="9" xfId="0" applyFont="1" applyBorder="1" applyAlignment="1">
      <alignment vertical="center" wrapText="1"/>
    </xf>
    <xf numFmtId="177" fontId="60" fillId="0" borderId="9" xfId="64" applyNumberFormat="1" applyFont="1" applyBorder="1" applyAlignment="1">
      <alignment vertical="center" wrapText="1"/>
    </xf>
    <xf numFmtId="0" fontId="60" fillId="0" borderId="9" xfId="0" applyFont="1" applyBorder="1" applyAlignment="1">
      <alignment horizontal="center"/>
    </xf>
    <xf numFmtId="0" fontId="63" fillId="0" borderId="9" xfId="0" applyFont="1" applyBorder="1" applyAlignment="1">
      <alignment horizontal="center"/>
    </xf>
    <xf numFmtId="0" fontId="65" fillId="0" borderId="9" xfId="0" applyFont="1" applyBorder="1">
      <alignment vertical="center"/>
    </xf>
    <xf numFmtId="177" fontId="62" fillId="0" borderId="9" xfId="64" applyNumberFormat="1" applyFont="1" applyBorder="1" applyAlignment="1">
      <alignment vertical="center" wrapText="1"/>
    </xf>
    <xf numFmtId="0" fontId="62" fillId="0" borderId="9" xfId="0" applyFont="1" applyBorder="1" applyAlignment="1">
      <alignment horizontal="center"/>
    </xf>
    <xf numFmtId="0" fontId="62" fillId="0" borderId="9" xfId="0" applyFont="1" applyBorder="1" applyAlignment="1">
      <alignment vertical="center" wrapText="1"/>
    </xf>
    <xf numFmtId="0" fontId="60" fillId="0" borderId="9" xfId="56" applyFont="1" applyBorder="1">
      <alignment vertical="center"/>
    </xf>
    <xf numFmtId="0" fontId="62" fillId="0" borderId="9" xfId="57" applyFont="1" applyBorder="1">
      <alignment vertical="center"/>
    </xf>
    <xf numFmtId="186" fontId="60" fillId="0" borderId="9" xfId="64" applyNumberFormat="1" applyFont="1" applyBorder="1">
      <alignment vertical="center"/>
    </xf>
    <xf numFmtId="179" fontId="60" fillId="0" borderId="9" xfId="64" applyNumberFormat="1" applyFont="1" applyBorder="1">
      <alignment vertical="center"/>
    </xf>
    <xf numFmtId="0" fontId="60" fillId="0" borderId="9" xfId="6" applyFont="1" applyBorder="1" applyAlignment="1" applyProtection="1">
      <alignment horizontal="left" vertical="center"/>
    </xf>
    <xf numFmtId="0" fontId="62" fillId="0" borderId="9" xfId="6" applyFont="1" applyFill="1" applyBorder="1" applyAlignment="1" applyProtection="1">
      <alignment vertical="center"/>
    </xf>
    <xf numFmtId="0" fontId="60" fillId="0" borderId="9" xfId="6" applyFont="1" applyFill="1" applyBorder="1" applyAlignment="1" applyProtection="1">
      <alignment vertical="center"/>
    </xf>
    <xf numFmtId="0" fontId="66" fillId="0" borderId="12" xfId="6" applyFont="1" applyBorder="1" applyAlignment="1" applyProtection="1">
      <alignment horizontal="left" vertical="center"/>
    </xf>
    <xf numFmtId="177" fontId="63" fillId="0" borderId="9" xfId="64" applyNumberFormat="1" applyFont="1" applyBorder="1">
      <alignment vertical="center"/>
    </xf>
    <xf numFmtId="0" fontId="61" fillId="4" borderId="9" xfId="0" applyFont="1" applyFill="1" applyBorder="1">
      <alignment vertical="center"/>
    </xf>
    <xf numFmtId="177" fontId="62" fillId="0" borderId="9" xfId="6" applyNumberFormat="1" applyFont="1" applyBorder="1" applyAlignment="1" applyProtection="1">
      <alignment horizontal="left" vertical="center"/>
    </xf>
    <xf numFmtId="0" fontId="60" fillId="0" borderId="9" xfId="6" applyFont="1" applyFill="1" applyBorder="1" applyAlignment="1" applyProtection="1">
      <alignment horizontal="left" vertical="center"/>
    </xf>
    <xf numFmtId="10" fontId="63" fillId="0" borderId="9" xfId="3" applyNumberFormat="1" applyFont="1" applyBorder="1">
      <alignment vertical="center"/>
    </xf>
    <xf numFmtId="9" fontId="62" fillId="0" borderId="12" xfId="0" applyNumberFormat="1" applyFont="1" applyBorder="1" applyAlignment="1">
      <alignment horizontal="left" vertical="center"/>
    </xf>
    <xf numFmtId="9" fontId="60" fillId="0" borderId="12" xfId="0" applyNumberFormat="1" applyFont="1" applyBorder="1" applyAlignment="1">
      <alignment horizontal="left" vertical="center"/>
    </xf>
    <xf numFmtId="0" fontId="60" fillId="0" borderId="12" xfId="0" applyFont="1" applyBorder="1" applyAlignment="1">
      <alignment vertical="center" wrapText="1"/>
    </xf>
    <xf numFmtId="0" fontId="63" fillId="0" borderId="12" xfId="0" applyFont="1" applyBorder="1">
      <alignment vertical="center"/>
    </xf>
    <xf numFmtId="0" fontId="63" fillId="0" borderId="9" xfId="0" applyFont="1" applyBorder="1" applyAlignment="1">
      <alignment vertical="center" wrapText="1"/>
    </xf>
    <xf numFmtId="177" fontId="60" fillId="0" borderId="9" xfId="0" applyNumberFormat="1" applyFont="1" applyBorder="1">
      <alignment vertical="center"/>
    </xf>
    <xf numFmtId="0" fontId="66" fillId="0" borderId="10" xfId="6" applyFont="1" applyBorder="1" applyAlignment="1" applyProtection="1">
      <alignment vertical="center"/>
    </xf>
    <xf numFmtId="177" fontId="60" fillId="0" borderId="9" xfId="6" applyNumberFormat="1" applyFont="1" applyBorder="1" applyAlignment="1" applyProtection="1">
      <alignment vertical="center"/>
    </xf>
    <xf numFmtId="0" fontId="60" fillId="0" borderId="9" xfId="6" applyFont="1" applyBorder="1" applyAlignment="1" applyProtection="1">
      <alignment wrapText="1"/>
    </xf>
    <xf numFmtId="10" fontId="62" fillId="0" borderId="12" xfId="0" applyNumberFormat="1" applyFont="1" applyBorder="1" applyAlignment="1">
      <alignment horizontal="left" vertical="center"/>
    </xf>
    <xf numFmtId="0" fontId="62" fillId="0" borderId="9" xfId="0" applyFont="1" applyBorder="1" applyAlignment="1">
      <alignment horizontal="left" vertical="center"/>
    </xf>
    <xf numFmtId="177" fontId="60" fillId="0" borderId="0" xfId="0" applyNumberFormat="1" applyFont="1">
      <alignment vertical="center"/>
    </xf>
    <xf numFmtId="0" fontId="60" fillId="0" borderId="0" xfId="6" applyFont="1" applyBorder="1" applyAlignment="1" applyProtection="1">
      <alignment vertical="center"/>
    </xf>
    <xf numFmtId="10" fontId="60" fillId="0" borderId="0" xfId="3" applyNumberFormat="1" applyFont="1" applyBorder="1" applyAlignment="1">
      <alignment vertical="center"/>
    </xf>
    <xf numFmtId="0" fontId="67" fillId="0" borderId="12" xfId="0" applyFont="1" applyBorder="1">
      <alignment vertical="center"/>
    </xf>
    <xf numFmtId="0" fontId="68" fillId="0" borderId="12" xfId="0" applyFont="1" applyBorder="1">
      <alignment vertical="center"/>
    </xf>
    <xf numFmtId="10" fontId="60" fillId="0" borderId="9" xfId="3" applyNumberFormat="1" applyFont="1" applyBorder="1" applyAlignment="1">
      <alignment vertical="center"/>
    </xf>
    <xf numFmtId="177" fontId="61" fillId="0" borderId="9" xfId="64" applyNumberFormat="1" applyFont="1" applyBorder="1" applyAlignment="1">
      <alignment vertical="center"/>
    </xf>
    <xf numFmtId="177" fontId="60" fillId="0" borderId="9" xfId="64" applyNumberFormat="1" applyFont="1" applyBorder="1" applyAlignment="1">
      <alignment vertical="center"/>
    </xf>
    <xf numFmtId="184" fontId="62" fillId="0" borderId="9" xfId="3" applyNumberFormat="1" applyFont="1" applyFill="1" applyBorder="1">
      <alignment vertical="center"/>
    </xf>
    <xf numFmtId="177" fontId="62" fillId="0" borderId="9" xfId="64" applyNumberFormat="1" applyFont="1" applyBorder="1" applyAlignment="1">
      <alignment vertical="center"/>
    </xf>
    <xf numFmtId="10" fontId="63" fillId="0" borderId="9" xfId="64" applyNumberFormat="1" applyFont="1" applyBorder="1">
      <alignment vertical="center"/>
    </xf>
    <xf numFmtId="187" fontId="60" fillId="0" borderId="9" xfId="64" applyNumberFormat="1" applyFont="1" applyBorder="1">
      <alignment vertical="center"/>
    </xf>
    <xf numFmtId="184" fontId="63" fillId="4" borderId="9" xfId="3" applyNumberFormat="1" applyFont="1" applyFill="1" applyBorder="1">
      <alignment vertical="center"/>
    </xf>
    <xf numFmtId="10" fontId="63" fillId="4" borderId="9" xfId="3" applyNumberFormat="1" applyFont="1" applyFill="1" applyBorder="1">
      <alignment vertical="center"/>
    </xf>
    <xf numFmtId="177" fontId="63" fillId="0" borderId="9" xfId="64" applyNumberFormat="1" applyFont="1" applyFill="1" applyBorder="1">
      <alignment vertical="center"/>
    </xf>
    <xf numFmtId="0" fontId="63" fillId="0" borderId="9" xfId="6" applyFont="1" applyFill="1" applyBorder="1" applyAlignment="1" applyProtection="1">
      <alignment vertical="center"/>
    </xf>
    <xf numFmtId="184" fontId="63" fillId="0" borderId="9" xfId="3" applyNumberFormat="1" applyFont="1" applyBorder="1">
      <alignment vertical="center"/>
    </xf>
    <xf numFmtId="184" fontId="63" fillId="0" borderId="9" xfId="3" applyNumberFormat="1" applyFont="1" applyFill="1" applyBorder="1">
      <alignment vertical="center"/>
    </xf>
    <xf numFmtId="10" fontId="63" fillId="0" borderId="9" xfId="3" applyNumberFormat="1" applyFont="1" applyFill="1" applyBorder="1">
      <alignment vertical="center"/>
    </xf>
    <xf numFmtId="10" fontId="63" fillId="0" borderId="9" xfId="64" applyNumberFormat="1" applyFont="1" applyFill="1" applyBorder="1">
      <alignment vertical="center"/>
    </xf>
    <xf numFmtId="9" fontId="63" fillId="0" borderId="12" xfId="0" applyNumberFormat="1" applyFont="1" applyBorder="1" applyAlignment="1">
      <alignment horizontal="left" vertical="center"/>
    </xf>
    <xf numFmtId="0" fontId="68" fillId="0" borderId="9" xfId="0" applyFont="1" applyBorder="1">
      <alignment vertical="center"/>
    </xf>
    <xf numFmtId="0" fontId="63" fillId="0" borderId="9" xfId="6" applyFont="1" applyFill="1" applyBorder="1" applyAlignment="1" applyProtection="1">
      <alignment horizontal="left" vertical="center"/>
    </xf>
    <xf numFmtId="177" fontId="62" fillId="4" borderId="9" xfId="64" applyNumberFormat="1" applyFont="1" applyFill="1" applyBorder="1" applyAlignment="1">
      <alignment vertical="center"/>
    </xf>
    <xf numFmtId="177" fontId="60" fillId="4" borderId="9" xfId="64" applyNumberFormat="1" applyFont="1" applyFill="1" applyBorder="1" applyAlignment="1">
      <alignment vertical="center"/>
    </xf>
    <xf numFmtId="0" fontId="39" fillId="0" borderId="9" xfId="0" applyFont="1" applyBorder="1">
      <alignment vertical="center"/>
    </xf>
    <xf numFmtId="10" fontId="60" fillId="0" borderId="0" xfId="3" applyNumberFormat="1" applyFont="1" applyFill="1" applyBorder="1" applyAlignment="1">
      <alignment vertical="center"/>
    </xf>
    <xf numFmtId="10" fontId="60" fillId="0" borderId="9" xfId="3" applyNumberFormat="1" applyFont="1" applyFill="1" applyBorder="1" applyAlignment="1">
      <alignment vertical="center"/>
    </xf>
    <xf numFmtId="177" fontId="61" fillId="0" borderId="9" xfId="64" applyNumberFormat="1" applyFont="1" applyFill="1" applyBorder="1" applyAlignment="1">
      <alignment vertical="center"/>
    </xf>
    <xf numFmtId="177" fontId="60" fillId="0" borderId="9" xfId="64" applyNumberFormat="1" applyFont="1" applyFill="1" applyBorder="1" applyAlignment="1">
      <alignment vertical="center"/>
    </xf>
    <xf numFmtId="177" fontId="62" fillId="0" borderId="9" xfId="64" applyNumberFormat="1" applyFont="1" applyFill="1" applyBorder="1" applyAlignment="1">
      <alignment vertical="center"/>
    </xf>
    <xf numFmtId="14" fontId="62" fillId="0" borderId="9" xfId="0" applyNumberFormat="1" applyFont="1" applyBorder="1">
      <alignment vertical="center"/>
    </xf>
    <xf numFmtId="0" fontId="67" fillId="0" borderId="9" xfId="0" applyFont="1" applyBorder="1">
      <alignment vertical="center"/>
    </xf>
    <xf numFmtId="177" fontId="64" fillId="0" borderId="9" xfId="64" applyNumberFormat="1" applyFont="1" applyFill="1" applyBorder="1" applyAlignment="1">
      <alignment vertical="center"/>
    </xf>
    <xf numFmtId="177" fontId="69" fillId="0" borderId="9" xfId="64" applyNumberFormat="1" applyFont="1" applyFill="1" applyBorder="1" applyAlignment="1">
      <alignment vertical="center"/>
    </xf>
    <xf numFmtId="0" fontId="39" fillId="0" borderId="12" xfId="0" applyFont="1" applyBorder="1">
      <alignment vertical="center"/>
    </xf>
    <xf numFmtId="0" fontId="55" fillId="0" borderId="9" xfId="0" applyFont="1" applyBorder="1" applyAlignment="1">
      <alignment horizontal="center" vertical="top"/>
    </xf>
    <xf numFmtId="0" fontId="23" fillId="0" borderId="9" xfId="0" applyFont="1" applyBorder="1" applyAlignment="1">
      <alignment horizontal="center" vertical="top"/>
    </xf>
    <xf numFmtId="0" fontId="70" fillId="0" borderId="0" xfId="0" applyFont="1" applyAlignment="1"/>
    <xf numFmtId="10" fontId="60" fillId="0" borderId="0" xfId="3" applyNumberFormat="1" applyFont="1" applyFill="1" applyBorder="1" applyAlignment="1">
      <alignment horizontal="left" vertical="center" wrapText="1"/>
    </xf>
    <xf numFmtId="177" fontId="60" fillId="0" borderId="9" xfId="64" applyNumberFormat="1" applyFont="1" applyFill="1" applyBorder="1" applyAlignment="1">
      <alignment horizontal="left" vertical="center" wrapText="1"/>
    </xf>
    <xf numFmtId="177" fontId="61" fillId="0" borderId="9" xfId="64" applyNumberFormat="1" applyFont="1" applyFill="1" applyBorder="1" applyAlignment="1">
      <alignment horizontal="left" vertical="center" wrapText="1"/>
    </xf>
    <xf numFmtId="10" fontId="60" fillId="0" borderId="9" xfId="3" applyNumberFormat="1" applyFont="1" applyFill="1" applyBorder="1" applyAlignment="1">
      <alignment horizontal="left" vertical="center" wrapText="1"/>
    </xf>
    <xf numFmtId="0" fontId="60" fillId="0" borderId="0" xfId="0" applyFont="1" applyAlignment="1">
      <alignment horizontal="left" vertical="center" wrapText="1"/>
    </xf>
    <xf numFmtId="0" fontId="41" fillId="0" borderId="0" xfId="0" applyFont="1" applyAlignment="1">
      <alignment vertical="center" wrapText="1"/>
    </xf>
    <xf numFmtId="0" fontId="50" fillId="0" borderId="0" xfId="0" applyFont="1">
      <alignment vertical="center"/>
    </xf>
    <xf numFmtId="1" fontId="41" fillId="0" borderId="0" xfId="0" applyNumberFormat="1" applyFont="1">
      <alignment vertical="center"/>
    </xf>
    <xf numFmtId="184" fontId="41" fillId="0" borderId="0" xfId="3" applyNumberFormat="1" applyFont="1">
      <alignment vertical="center"/>
    </xf>
    <xf numFmtId="184" fontId="41" fillId="0" borderId="0" xfId="0" applyNumberFormat="1" applyFont="1">
      <alignment vertical="center"/>
    </xf>
    <xf numFmtId="10" fontId="41" fillId="0" borderId="0" xfId="0" applyNumberFormat="1" applyFont="1">
      <alignment vertical="center"/>
    </xf>
    <xf numFmtId="0" fontId="50" fillId="16" borderId="9" xfId="0" applyFont="1" applyFill="1" applyBorder="1" applyAlignment="1">
      <alignment vertical="center" wrapText="1"/>
    </xf>
    <xf numFmtId="0" fontId="51" fillId="16" borderId="9" xfId="0" applyFont="1" applyFill="1" applyBorder="1" applyAlignment="1">
      <alignment vertical="center" wrapText="1"/>
    </xf>
    <xf numFmtId="1" fontId="50" fillId="16" borderId="9" xfId="0" applyNumberFormat="1" applyFont="1" applyFill="1" applyBorder="1" applyAlignment="1">
      <alignment vertical="center" wrapText="1"/>
    </xf>
    <xf numFmtId="0" fontId="71" fillId="16" borderId="9" xfId="0" applyFont="1" applyFill="1" applyBorder="1" applyAlignment="1">
      <alignment vertical="center" wrapText="1"/>
    </xf>
    <xf numFmtId="0" fontId="41" fillId="0" borderId="9" xfId="0" applyFont="1" applyBorder="1">
      <alignment vertical="center"/>
    </xf>
    <xf numFmtId="0" fontId="42" fillId="0" borderId="9" xfId="0" applyFont="1" applyBorder="1">
      <alignment vertical="center"/>
    </xf>
    <xf numFmtId="3" fontId="58" fillId="0" borderId="9" xfId="1" applyNumberFormat="1" applyFont="1" applyBorder="1">
      <alignment vertical="center"/>
    </xf>
    <xf numFmtId="9" fontId="41" fillId="0" borderId="9" xfId="3" applyFont="1" applyBorder="1">
      <alignment vertical="center"/>
    </xf>
    <xf numFmtId="3" fontId="42" fillId="0" borderId="9" xfId="1" applyNumberFormat="1" applyFont="1" applyBorder="1">
      <alignment vertical="center"/>
    </xf>
    <xf numFmtId="0" fontId="42" fillId="0" borderId="9" xfId="6" applyFont="1" applyBorder="1" applyAlignment="1" applyProtection="1">
      <alignment vertical="center"/>
    </xf>
    <xf numFmtId="0" fontId="42" fillId="0" borderId="9" xfId="57" applyFont="1" applyBorder="1">
      <alignment vertical="center"/>
    </xf>
    <xf numFmtId="177" fontId="42" fillId="0" borderId="9" xfId="6" applyNumberFormat="1" applyFont="1" applyBorder="1" applyAlignment="1" applyProtection="1">
      <alignment horizontal="left" vertical="center"/>
    </xf>
    <xf numFmtId="0" fontId="41" fillId="0" borderId="10" xfId="0" applyFont="1" applyBorder="1">
      <alignment vertical="center"/>
    </xf>
    <xf numFmtId="0" fontId="42" fillId="0" borderId="10" xfId="0" applyFont="1" applyBorder="1">
      <alignment vertical="center"/>
    </xf>
    <xf numFmtId="0" fontId="51" fillId="0" borderId="0" xfId="0" applyFont="1">
      <alignment vertical="center"/>
    </xf>
    <xf numFmtId="3" fontId="50" fillId="0" borderId="14" xfId="0" applyNumberFormat="1" applyFont="1" applyBorder="1">
      <alignment vertical="center"/>
    </xf>
    <xf numFmtId="3" fontId="71" fillId="0" borderId="14" xfId="1" applyNumberFormat="1" applyFont="1" applyBorder="1">
      <alignment vertical="center"/>
    </xf>
    <xf numFmtId="3" fontId="51" fillId="0" borderId="14" xfId="1" applyNumberFormat="1" applyFont="1" applyBorder="1">
      <alignment vertical="center"/>
    </xf>
    <xf numFmtId="0" fontId="50" fillId="0" borderId="9" xfId="0" applyFont="1" applyBorder="1" applyAlignment="1">
      <alignment horizontal="centerContinuous" vertical="center"/>
    </xf>
    <xf numFmtId="0" fontId="50" fillId="0" borderId="0" xfId="0" applyFont="1" applyAlignment="1">
      <alignment horizontal="right" vertical="center"/>
    </xf>
    <xf numFmtId="0" fontId="51" fillId="0" borderId="0" xfId="0" applyFont="1" applyAlignment="1">
      <alignment horizontal="right" vertical="center"/>
    </xf>
    <xf numFmtId="0" fontId="50" fillId="0" borderId="9" xfId="0" applyFont="1" applyBorder="1" applyAlignment="1">
      <alignment vertical="center" wrapText="1"/>
    </xf>
    <xf numFmtId="0" fontId="51" fillId="0" borderId="9" xfId="0" applyFont="1" applyBorder="1" applyAlignment="1">
      <alignment vertical="center" wrapText="1"/>
    </xf>
    <xf numFmtId="1" fontId="50" fillId="0" borderId="9" xfId="0" applyNumberFormat="1" applyFont="1" applyBorder="1" applyAlignment="1">
      <alignment vertical="center" wrapText="1"/>
    </xf>
    <xf numFmtId="184" fontId="41" fillId="0" borderId="9" xfId="3" applyNumberFormat="1" applyFont="1" applyBorder="1">
      <alignment vertical="center"/>
    </xf>
    <xf numFmtId="3" fontId="58" fillId="0" borderId="0" xfId="1" applyNumberFormat="1" applyFont="1">
      <alignment vertical="center"/>
    </xf>
    <xf numFmtId="177" fontId="50" fillId="0" borderId="0" xfId="1" applyNumberFormat="1" applyFont="1">
      <alignment vertical="center"/>
    </xf>
    <xf numFmtId="9" fontId="41" fillId="0" borderId="0" xfId="3" applyFont="1">
      <alignment vertical="center"/>
    </xf>
    <xf numFmtId="177" fontId="41" fillId="0" borderId="0" xfId="1" applyNumberFormat="1" applyFont="1">
      <alignment vertical="center"/>
    </xf>
    <xf numFmtId="0" fontId="50" fillId="0" borderId="0" xfId="0" applyFont="1" applyAlignment="1">
      <alignment vertical="center" wrapText="1"/>
    </xf>
    <xf numFmtId="0" fontId="51" fillId="0" borderId="0" xfId="0" applyFont="1" applyAlignment="1">
      <alignment vertical="center" wrapText="1"/>
    </xf>
    <xf numFmtId="177" fontId="41" fillId="0" borderId="0" xfId="1" applyNumberFormat="1" applyFont="1" applyAlignment="1">
      <alignment vertical="center" wrapText="1"/>
    </xf>
    <xf numFmtId="3" fontId="41" fillId="0" borderId="0" xfId="1" applyNumberFormat="1" applyFont="1">
      <alignment vertical="center"/>
    </xf>
    <xf numFmtId="177" fontId="50" fillId="0" borderId="0" xfId="1" applyNumberFormat="1" applyFont="1" applyFill="1">
      <alignment vertical="center"/>
    </xf>
    <xf numFmtId="1" fontId="50" fillId="0" borderId="0" xfId="0" applyNumberFormat="1" applyFont="1">
      <alignment vertical="center"/>
    </xf>
    <xf numFmtId="184" fontId="50" fillId="0" borderId="0" xfId="3" applyNumberFormat="1" applyFont="1">
      <alignment vertical="center"/>
    </xf>
    <xf numFmtId="1" fontId="42" fillId="0" borderId="0" xfId="0" applyNumberFormat="1" applyFont="1">
      <alignment vertical="center"/>
    </xf>
    <xf numFmtId="188" fontId="41" fillId="0" borderId="0" xfId="0" applyNumberFormat="1" applyFont="1">
      <alignment vertical="center"/>
    </xf>
    <xf numFmtId="176" fontId="41" fillId="0" borderId="0" xfId="1" applyNumberFormat="1" applyFont="1">
      <alignment vertical="center"/>
    </xf>
    <xf numFmtId="184" fontId="50" fillId="16" borderId="9" xfId="0" applyNumberFormat="1" applyFont="1" applyFill="1" applyBorder="1" applyAlignment="1">
      <alignment vertical="center" wrapText="1"/>
    </xf>
    <xf numFmtId="3" fontId="41" fillId="0" borderId="9" xfId="1" applyNumberFormat="1" applyFont="1" applyBorder="1">
      <alignment vertical="center"/>
    </xf>
    <xf numFmtId="3" fontId="50" fillId="0" borderId="14" xfId="1" applyNumberFormat="1" applyFont="1" applyBorder="1">
      <alignment vertical="center"/>
    </xf>
    <xf numFmtId="3" fontId="41" fillId="0" borderId="9" xfId="1" applyNumberFormat="1" applyFont="1" applyFill="1" applyBorder="1">
      <alignment vertical="center"/>
    </xf>
    <xf numFmtId="179" fontId="41" fillId="0" borderId="9" xfId="0" applyNumberFormat="1" applyFont="1" applyBorder="1">
      <alignment vertical="center"/>
    </xf>
    <xf numFmtId="179" fontId="41" fillId="0" borderId="12" xfId="0" applyNumberFormat="1" applyFont="1" applyBorder="1">
      <alignment vertical="center"/>
    </xf>
    <xf numFmtId="3" fontId="50" fillId="0" borderId="0" xfId="1" applyNumberFormat="1" applyFont="1" applyBorder="1">
      <alignment vertical="center"/>
    </xf>
    <xf numFmtId="3" fontId="41" fillId="0" borderId="0" xfId="1" applyNumberFormat="1" applyFont="1" applyAlignment="1">
      <alignment vertical="center" wrapText="1"/>
    </xf>
    <xf numFmtId="3" fontId="50" fillId="0" borderId="0" xfId="0" applyNumberFormat="1" applyFont="1">
      <alignment vertical="center"/>
    </xf>
    <xf numFmtId="9" fontId="41" fillId="0" borderId="0" xfId="0" applyNumberFormat="1" applyFont="1">
      <alignment vertical="center"/>
    </xf>
    <xf numFmtId="184" fontId="71" fillId="16" borderId="9" xfId="3" applyNumberFormat="1" applyFont="1" applyFill="1" applyBorder="1" applyAlignment="1">
      <alignment vertical="center" wrapText="1"/>
    </xf>
    <xf numFmtId="184" fontId="51" fillId="16" borderId="9" xfId="3" applyNumberFormat="1" applyFont="1" applyFill="1" applyBorder="1" applyAlignment="1">
      <alignment vertical="center" wrapText="1"/>
    </xf>
    <xf numFmtId="3" fontId="41" fillId="0" borderId="9" xfId="0" applyNumberFormat="1" applyFont="1" applyBorder="1">
      <alignment vertical="center"/>
    </xf>
    <xf numFmtId="184" fontId="58" fillId="0" borderId="9" xfId="3" applyNumberFormat="1" applyFont="1" applyBorder="1">
      <alignment vertical="center"/>
    </xf>
    <xf numFmtId="184" fontId="42" fillId="0" borderId="9" xfId="3" applyNumberFormat="1" applyFont="1" applyBorder="1">
      <alignment vertical="center"/>
    </xf>
    <xf numFmtId="3" fontId="41" fillId="0" borderId="10" xfId="1" applyNumberFormat="1" applyFont="1" applyBorder="1">
      <alignment vertical="center"/>
    </xf>
    <xf numFmtId="179" fontId="71" fillId="0" borderId="14" xfId="3" applyNumberFormat="1" applyFont="1" applyBorder="1">
      <alignment vertical="center"/>
    </xf>
    <xf numFmtId="179" fontId="51" fillId="0" borderId="14" xfId="3" applyNumberFormat="1" applyFont="1" applyBorder="1">
      <alignment vertical="center"/>
    </xf>
    <xf numFmtId="184" fontId="50" fillId="4" borderId="9" xfId="3" applyNumberFormat="1" applyFont="1" applyFill="1" applyBorder="1" applyAlignment="1">
      <alignment horizontal="right" vertical="center"/>
    </xf>
    <xf numFmtId="184" fontId="50" fillId="0" borderId="0" xfId="3" applyNumberFormat="1" applyFont="1" applyAlignment="1">
      <alignment horizontal="right" vertical="center"/>
    </xf>
    <xf numFmtId="10" fontId="41" fillId="0" borderId="0" xfId="3" applyNumberFormat="1" applyFont="1">
      <alignment vertical="center"/>
    </xf>
    <xf numFmtId="184" fontId="41" fillId="0" borderId="0" xfId="3" applyNumberFormat="1" applyFont="1" applyAlignment="1">
      <alignment vertical="center" wrapText="1"/>
    </xf>
    <xf numFmtId="184" fontId="50" fillId="0" borderId="0" xfId="0" applyNumberFormat="1" applyFont="1">
      <alignment vertical="center"/>
    </xf>
    <xf numFmtId="184" fontId="50" fillId="16" borderId="9" xfId="3" applyNumberFormat="1" applyFont="1" applyFill="1" applyBorder="1" applyAlignment="1">
      <alignment vertical="center" wrapText="1"/>
    </xf>
    <xf numFmtId="179" fontId="50" fillId="0" borderId="14" xfId="3" applyNumberFormat="1" applyFont="1" applyBorder="1">
      <alignment vertical="center"/>
    </xf>
    <xf numFmtId="184" fontId="50" fillId="0" borderId="0" xfId="3" applyNumberFormat="1" applyFont="1" applyAlignment="1">
      <alignment vertical="center" wrapText="1"/>
    </xf>
    <xf numFmtId="184" fontId="50" fillId="0" borderId="9" xfId="3" applyNumberFormat="1" applyFont="1" applyFill="1" applyBorder="1" applyAlignment="1">
      <alignment horizontal="right" vertical="center"/>
    </xf>
    <xf numFmtId="184" fontId="41" fillId="0" borderId="9" xfId="3" applyNumberFormat="1" applyFont="1" applyFill="1" applyBorder="1">
      <alignment vertical="center"/>
    </xf>
    <xf numFmtId="3" fontId="50" fillId="0" borderId="14" xfId="3" applyNumberFormat="1" applyFont="1" applyBorder="1">
      <alignment vertical="center"/>
    </xf>
    <xf numFmtId="184" fontId="50" fillId="0" borderId="9" xfId="3" applyNumberFormat="1" applyFont="1" applyFill="1" applyBorder="1">
      <alignment vertical="center"/>
    </xf>
    <xf numFmtId="184" fontId="41" fillId="0" borderId="12" xfId="3" applyNumberFormat="1" applyFont="1" applyBorder="1">
      <alignment vertical="center"/>
    </xf>
    <xf numFmtId="3" fontId="50" fillId="0" borderId="0" xfId="3" applyNumberFormat="1" applyFont="1" applyBorder="1">
      <alignment vertical="center"/>
    </xf>
    <xf numFmtId="184" fontId="50" fillId="0" borderId="0" xfId="3" applyNumberFormat="1" applyFont="1" applyFill="1">
      <alignment vertical="center"/>
    </xf>
    <xf numFmtId="184" fontId="41" fillId="0" borderId="0" xfId="3" applyNumberFormat="1" applyFont="1" applyFill="1">
      <alignment vertical="center"/>
    </xf>
    <xf numFmtId="0" fontId="42" fillId="16" borderId="9" xfId="0" applyFont="1" applyFill="1" applyBorder="1" applyAlignment="1">
      <alignment vertical="center" wrapText="1"/>
    </xf>
    <xf numFmtId="184" fontId="72" fillId="0" borderId="9" xfId="0" applyNumberFormat="1" applyFont="1" applyBorder="1">
      <alignment vertical="center"/>
    </xf>
    <xf numFmtId="9" fontId="72" fillId="0" borderId="9" xfId="0" applyNumberFormat="1" applyFont="1" applyBorder="1">
      <alignment vertical="center"/>
    </xf>
    <xf numFmtId="184" fontId="42" fillId="0" borderId="9" xfId="3" applyNumberFormat="1" applyFont="1" applyFill="1" applyBorder="1" applyAlignment="1">
      <alignment vertical="top" wrapText="1"/>
    </xf>
    <xf numFmtId="0" fontId="42" fillId="0" borderId="14" xfId="0" applyFont="1" applyBorder="1" applyAlignment="1">
      <alignment vertical="center" wrapText="1"/>
    </xf>
    <xf numFmtId="10" fontId="42" fillId="0" borderId="9" xfId="0" applyNumberFormat="1" applyFont="1" applyBorder="1">
      <alignment vertical="center"/>
    </xf>
    <xf numFmtId="0" fontId="42" fillId="0" borderId="9" xfId="0" applyFont="1" applyBorder="1" applyAlignment="1">
      <alignment vertical="center" wrapText="1"/>
    </xf>
    <xf numFmtId="10" fontId="50" fillId="0" borderId="0" xfId="0" applyNumberFormat="1" applyFont="1">
      <alignment vertical="center"/>
    </xf>
    <xf numFmtId="184" fontId="41" fillId="0" borderId="0" xfId="0" applyNumberFormat="1" applyFont="1" applyAlignment="1">
      <alignment vertical="center" wrapText="1"/>
    </xf>
    <xf numFmtId="10" fontId="41" fillId="0" borderId="0" xfId="0" applyNumberFormat="1" applyFont="1" applyAlignment="1">
      <alignment vertical="center" wrapText="1"/>
    </xf>
    <xf numFmtId="184" fontId="50" fillId="0" borderId="0" xfId="0" applyNumberFormat="1" applyFont="1" applyAlignment="1">
      <alignment vertical="center" wrapText="1"/>
    </xf>
    <xf numFmtId="0" fontId="2" fillId="2" borderId="0" xfId="0" applyFont="1" applyFill="1">
      <alignment vertical="center"/>
    </xf>
    <xf numFmtId="14" fontId="3" fillId="0" borderId="0" xfId="0" applyNumberFormat="1" applyFont="1" applyAlignment="1">
      <alignment horizontal="left" vertical="center"/>
    </xf>
    <xf numFmtId="0" fontId="7" fillId="0" borderId="0" xfId="6" applyAlignment="1" applyProtection="1">
      <alignment vertical="center" wrapText="1"/>
    </xf>
    <xf numFmtId="0" fontId="73" fillId="0" borderId="0" xfId="6" applyFont="1" applyAlignment="1" applyProtection="1">
      <alignment vertical="center"/>
    </xf>
    <xf numFmtId="0" fontId="26" fillId="0" borderId="0" xfId="6" applyFont="1" applyAlignment="1" applyProtection="1">
      <alignment vertical="center" wrapText="1"/>
    </xf>
    <xf numFmtId="0" fontId="6" fillId="0" borderId="0" xfId="0" applyFont="1" applyAlignment="1">
      <alignment horizontal="left" vertical="center" wrapText="1"/>
    </xf>
    <xf numFmtId="0" fontId="31" fillId="0" borderId="0" xfId="0" applyFont="1">
      <alignment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8" fillId="0" borderId="0" xfId="0" applyFont="1" applyAlignment="1">
      <alignment horizontal="left" vertical="center" wrapText="1"/>
    </xf>
    <xf numFmtId="14" fontId="6" fillId="0" borderId="0" xfId="0" applyNumberFormat="1" applyFont="1" applyAlignment="1">
      <alignment horizontal="left" vertical="center" wrapText="1"/>
    </xf>
    <xf numFmtId="0" fontId="74" fillId="0" borderId="0" xfId="0" applyFont="1" applyAlignment="1">
      <alignment horizontal="left" vertical="center" wrapText="1"/>
    </xf>
    <xf numFmtId="0" fontId="0" fillId="0" borderId="21" xfId="0" applyBorder="1" applyAlignment="1">
      <alignment vertical="center" wrapText="1"/>
    </xf>
    <xf numFmtId="0" fontId="31" fillId="0" borderId="22" xfId="0" applyFont="1" applyBorder="1">
      <alignment vertical="center"/>
    </xf>
    <xf numFmtId="0" fontId="0" fillId="0" borderId="23" xfId="0" applyBorder="1" applyAlignment="1">
      <alignment vertical="center" wrapText="1"/>
    </xf>
    <xf numFmtId="9" fontId="0" fillId="0" borderId="24" xfId="0" applyNumberFormat="1" applyBorder="1">
      <alignment vertical="center"/>
    </xf>
    <xf numFmtId="0" fontId="0" fillId="0" borderId="25" xfId="0" applyBorder="1" applyAlignment="1">
      <alignment vertical="center" wrapText="1"/>
    </xf>
    <xf numFmtId="9" fontId="0" fillId="0" borderId="26" xfId="0" applyNumberFormat="1" applyBorder="1" applyAlignment="1">
      <alignment vertical="center" wrapText="1"/>
    </xf>
  </cellXfs>
  <cellStyles count="66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 2" xfId="49"/>
    <cellStyle name="常规 2" xfId="50"/>
    <cellStyle name="常规 2 2" xfId="51"/>
    <cellStyle name="常规 2 3" xfId="52"/>
    <cellStyle name="常规 2 4" xfId="53"/>
    <cellStyle name="常规 2 5" xfId="54"/>
    <cellStyle name="常规 2 6" xfId="55"/>
    <cellStyle name="常规 23" xfId="56"/>
    <cellStyle name="常规 25 2" xfId="57"/>
    <cellStyle name="常规 26" xfId="58"/>
    <cellStyle name="常规 27" xfId="59"/>
    <cellStyle name="常规 29" xfId="60"/>
    <cellStyle name="常规 3" xfId="61"/>
    <cellStyle name="常规 31" xfId="62"/>
    <cellStyle name="超链接 2" xfId="63"/>
    <cellStyle name="千位分隔 10" xfId="64"/>
    <cellStyle name="千位分隔 10 2" xfId="65"/>
  </cellStyles>
  <dxfs count="8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6" tint="0.399853511154515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9" tint="0.599993896298105"/>
        </patternFill>
      </fill>
    </dxf>
    <dxf>
      <fill>
        <patternFill patternType="solid">
          <bgColor rgb="FFFF9900"/>
        </patternFill>
      </fill>
    </dxf>
    <dxf>
      <font>
        <b val="1"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 xr9:uid="{4F4D2EA8-1CD0-45B6-B061-A79B876323F0}">
      <tableStyleElement type="wholeTable" dxfId="7"/>
      <tableStyleElement type="headerRow" dxfId="6"/>
    </tableStyle>
  </tableStyles>
  <colors>
    <mruColors>
      <color rgb="00ABF6B7"/>
      <color rgb="0017FF32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.xml"/><Relationship Id="rId38" Type="http://schemas.openxmlformats.org/officeDocument/2006/relationships/externalLink" Target="externalLinks/externalLink1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dministrator\AppData\Roaming\Foxmail7\Temp-13484-20180525110817\CompetitorSites-4&#26376;%20Matrix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ick\Documents\GPG\GPG2017\CompetitorSitesOct20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说明"/>
      <sheetName val="Summary"/>
      <sheetName val="竞争者挑选-4月"/>
      <sheetName val="3月"/>
      <sheetName val="2月"/>
      <sheetName val="1月"/>
      <sheetName val="副厂&amp;Multi-OEM"/>
      <sheetName val="No Use"/>
      <sheetName val="正厂竞争者数据汇总"/>
      <sheetName val="Chevy(No-use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说明"/>
      <sheetName val="副厂&amp;Multi-OEM"/>
      <sheetName val="Market"/>
      <sheetName val="SummaryOct"/>
      <sheetName val="竞争者挑选-10月"/>
      <sheetName val="竞争者挑选-9月"/>
      <sheetName val="竞争者挑选-8月"/>
      <sheetName val="竞争者挑选-7月"/>
      <sheetName val="竞争者挑选-6月"/>
      <sheetName val="竞争者挑选-5月"/>
      <sheetName val="竞争者挑选-4月"/>
      <sheetName val="竞争者挑选-3月 "/>
      <sheetName val="竞争者挑选-2月"/>
      <sheetName val="竞争者挑选-1月"/>
      <sheetName val="竞争者挑选-12月"/>
      <sheetName val="正厂竞争者数据汇总"/>
      <sheetName val="Sheet1"/>
      <sheetName val="Chevy(No-use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similarweb.com/website/estore.honda.com" TargetMode="External"/><Relationship Id="rId1" Type="http://schemas.openxmlformats.org/officeDocument/2006/relationships/hyperlink" Target="http://www.alexa.com/siteinfo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kiapartsnow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ubaruparts.com/" TargetMode="External"/><Relationship Id="rId2" Type="http://schemas.openxmlformats.org/officeDocument/2006/relationships/hyperlink" Target="http://www.moparfactoryparts.com/" TargetMode="External"/><Relationship Id="rId1" Type="http://schemas.openxmlformats.org/officeDocument/2006/relationships/hyperlink" Target="http://www.subarupartsplus.com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ubaruparts.com/" TargetMode="External"/><Relationship Id="rId2" Type="http://schemas.openxmlformats.org/officeDocument/2006/relationships/hyperlink" Target="http://www.moparfactoryparts.com/" TargetMode="External"/><Relationship Id="rId1" Type="http://schemas.openxmlformats.org/officeDocument/2006/relationships/hyperlink" Target="http://www.subarupartsplus.com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ubaruparts.com/" TargetMode="External"/><Relationship Id="rId2" Type="http://schemas.openxmlformats.org/officeDocument/2006/relationships/hyperlink" Target="http://www.moparfactoryparts.com/" TargetMode="External"/><Relationship Id="rId1" Type="http://schemas.openxmlformats.org/officeDocument/2006/relationships/hyperlink" Target="http://www.subarupartsplus.com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ubaruparts.com/" TargetMode="External"/><Relationship Id="rId2" Type="http://schemas.openxmlformats.org/officeDocument/2006/relationships/hyperlink" Target="http://www.moparfactoryparts.com/" TargetMode="External"/><Relationship Id="rId1" Type="http://schemas.openxmlformats.org/officeDocument/2006/relationships/hyperlink" Target="http://www.subarupartsplus.com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ubaruparts.com/" TargetMode="External"/><Relationship Id="rId2" Type="http://schemas.openxmlformats.org/officeDocument/2006/relationships/hyperlink" Target="http://www.moparfactoryparts.com/" TargetMode="External"/><Relationship Id="rId1" Type="http://schemas.openxmlformats.org/officeDocument/2006/relationships/hyperlink" Target="http://www.subarupartsplus.com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ubaruparts.com/" TargetMode="External"/><Relationship Id="rId2" Type="http://schemas.openxmlformats.org/officeDocument/2006/relationships/hyperlink" Target="http://www.moparfactoryparts.com/" TargetMode="External"/><Relationship Id="rId1" Type="http://schemas.openxmlformats.org/officeDocument/2006/relationships/hyperlink" Target="http://www.subarupartsplus.com/" TargetMode="External"/></Relationships>
</file>

<file path=xl/worksheets/_rels/sheet9.xml.rels><?xml version="1.0" encoding="UTF-8" standalone="yes"?>
<Relationships xmlns="http://schemas.openxmlformats.org/package/2006/relationships"><Relationship Id="rId4" Type="http://schemas.openxmlformats.org/officeDocument/2006/relationships/hyperlink" Target="http://www.subaruparts.com/" TargetMode="External"/><Relationship Id="rId3" Type="http://schemas.openxmlformats.org/officeDocument/2006/relationships/hyperlink" Target="http://www.moparfactoryparts.com/" TargetMode="External"/><Relationship Id="rId2" Type="http://schemas.openxmlformats.org/officeDocument/2006/relationships/hyperlink" Target="http://www.subarupartsplus.com/" TargetMode="External"/><Relationship Id="rId1" Type="http://schemas.openxmlformats.org/officeDocument/2006/relationships/hyperlink" Target="http://www.moparpartsinc.com/" TargetMode="External"/></Relationships>
</file>

<file path=xl/worksheets/_rels/sheet10.xml.rels><?xml version="1.0" encoding="UTF-8" standalone="yes"?>
<Relationships xmlns="http://schemas.openxmlformats.org/package/2006/relationships"><Relationship Id="rId4" Type="http://schemas.openxmlformats.org/officeDocument/2006/relationships/hyperlink" Target="http://www.subaruparts.com/" TargetMode="External"/><Relationship Id="rId3" Type="http://schemas.openxmlformats.org/officeDocument/2006/relationships/hyperlink" Target="http://www.moparfactoryparts.com/" TargetMode="External"/><Relationship Id="rId2" Type="http://schemas.openxmlformats.org/officeDocument/2006/relationships/hyperlink" Target="http://www.subarupartsplus.com/" TargetMode="External"/><Relationship Id="rId1" Type="http://schemas.openxmlformats.org/officeDocument/2006/relationships/hyperlink" Target="http://www.moparpartsinc.com/" TargetMode="External"/></Relationships>
</file>

<file path=xl/worksheets/_rels/sheet11.xml.rels><?xml version="1.0" encoding="UTF-8" standalone="yes"?>
<Relationships xmlns="http://schemas.openxmlformats.org/package/2006/relationships"><Relationship Id="rId5" Type="http://schemas.openxmlformats.org/officeDocument/2006/relationships/hyperlink" Target="http://www.subaruparts.com/" TargetMode="External"/><Relationship Id="rId4" Type="http://schemas.openxmlformats.org/officeDocument/2006/relationships/hyperlink" Target="http://www.moparfactoryparts.com/" TargetMode="External"/><Relationship Id="rId3" Type="http://schemas.openxmlformats.org/officeDocument/2006/relationships/hyperlink" Target="http://www.subarupartsplus.com/" TargetMode="External"/><Relationship Id="rId2" Type="http://schemas.openxmlformats.org/officeDocument/2006/relationships/hyperlink" Target="http://www.partsfornissans.com/" TargetMode="External"/><Relationship Id="rId1" Type="http://schemas.openxmlformats.org/officeDocument/2006/relationships/hyperlink" Target="http://www.moparpartsinc.com/" TargetMode="External"/></Relationships>
</file>

<file path=xl/worksheets/_rels/sheet12.xml.rels><?xml version="1.0" encoding="UTF-8" standalone="yes"?>
<Relationships xmlns="http://schemas.openxmlformats.org/package/2006/relationships"><Relationship Id="rId6" Type="http://schemas.openxmlformats.org/officeDocument/2006/relationships/hyperlink" Target="http://www.subaruparts.com/" TargetMode="External"/><Relationship Id="rId5" Type="http://schemas.openxmlformats.org/officeDocument/2006/relationships/hyperlink" Target="http://www.moparfactoryparts.com/" TargetMode="External"/><Relationship Id="rId4" Type="http://schemas.openxmlformats.org/officeDocument/2006/relationships/hyperlink" Target="http://www.subarupartsplus.com/" TargetMode="External"/><Relationship Id="rId3" Type="http://schemas.openxmlformats.org/officeDocument/2006/relationships/hyperlink" Target="http://www.partsfornissans.com/" TargetMode="External"/><Relationship Id="rId2" Type="http://schemas.openxmlformats.org/officeDocument/2006/relationships/hyperlink" Target="http://www.moparpartsinc.com/" TargetMode="External"/><Relationship Id="rId1" Type="http://schemas.openxmlformats.org/officeDocument/2006/relationships/hyperlink" Target="http://www.kiapartsnow.com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kiapartsnow.com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kiapartsnow.com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kiapartsnow.com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kiapartsnow.com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gmpartscenter.net/" TargetMode="External"/><Relationship Id="rId7" Type="http://schemas.openxmlformats.org/officeDocument/2006/relationships/hyperlink" Target="http://www.infinitiwholesaledirect.com/" TargetMode="External"/><Relationship Id="rId6" Type="http://schemas.openxmlformats.org/officeDocument/2006/relationships/hyperlink" Target="http://www.tascaparts.com/" TargetMode="External"/><Relationship Id="rId5" Type="http://schemas.openxmlformats.org/officeDocument/2006/relationships/hyperlink" Target="http://www.gmpartsdirect.com/" TargetMode="External"/><Relationship Id="rId4" Type="http://schemas.openxmlformats.org/officeDocument/2006/relationships/hyperlink" Target="http://www.gmpartsonline.net/" TargetMode="External"/><Relationship Id="rId3" Type="http://schemas.openxmlformats.org/officeDocument/2006/relationships/hyperlink" Target="http://www.kiapartsnow.com/" TargetMode="External"/><Relationship Id="rId2" Type="http://schemas.openxmlformats.org/officeDocument/2006/relationships/hyperlink" Target="http://www.subarupartsforyou.com/" TargetMode="External"/><Relationship Id="rId1" Type="http://schemas.openxmlformats.org/officeDocument/2006/relationships/hyperlink" Target="http://www.nissanparts.cc/" TargetMode="External"/></Relationships>
</file>

<file path=xl/worksheets/_rels/sheet18.xml.rels><?xml version="1.0" encoding="UTF-8" standalone="yes"?>
<Relationships xmlns="http://schemas.openxmlformats.org/package/2006/relationships"><Relationship Id="rId7" Type="http://schemas.openxmlformats.org/officeDocument/2006/relationships/hyperlink" Target="http://www.gmpartscenter.net/" TargetMode="External"/><Relationship Id="rId6" Type="http://schemas.openxmlformats.org/officeDocument/2006/relationships/hyperlink" Target="http://www.infinitiwholesaledirect.com/" TargetMode="External"/><Relationship Id="rId5" Type="http://schemas.openxmlformats.org/officeDocument/2006/relationships/hyperlink" Target="http://www.tascaparts.com/" TargetMode="External"/><Relationship Id="rId4" Type="http://schemas.openxmlformats.org/officeDocument/2006/relationships/hyperlink" Target="http://www.gmpartsdirect.com/" TargetMode="External"/><Relationship Id="rId3" Type="http://schemas.openxmlformats.org/officeDocument/2006/relationships/hyperlink" Target="http://www.gmpartsonline.net/" TargetMode="External"/><Relationship Id="rId2" Type="http://schemas.openxmlformats.org/officeDocument/2006/relationships/hyperlink" Target="http://www.kiapartsnow.com/" TargetMode="External"/><Relationship Id="rId1" Type="http://schemas.openxmlformats.org/officeDocument/2006/relationships/hyperlink" Target="http://www.nissanparts.cc/" TargetMode="External"/></Relationships>
</file>

<file path=xl/worksheets/_rels/sheet19.xml.rels><?xml version="1.0" encoding="UTF-8" standalone="yes"?>
<Relationships xmlns="http://schemas.openxmlformats.org/package/2006/relationships"><Relationship Id="rId7" Type="http://schemas.openxmlformats.org/officeDocument/2006/relationships/hyperlink" Target="http://www.infinitiwholesaledirect.com/" TargetMode="External"/><Relationship Id="rId6" Type="http://schemas.openxmlformats.org/officeDocument/2006/relationships/hyperlink" Target="http://www.tascaparts.com/" TargetMode="External"/><Relationship Id="rId5" Type="http://schemas.openxmlformats.org/officeDocument/2006/relationships/hyperlink" Target="http://www.gmpartsdirect.com/" TargetMode="External"/><Relationship Id="rId4" Type="http://schemas.openxmlformats.org/officeDocument/2006/relationships/hyperlink" Target="http://www.gmpartsonline.net/" TargetMode="External"/><Relationship Id="rId3" Type="http://schemas.openxmlformats.org/officeDocument/2006/relationships/hyperlink" Target="http://www.kiapartsnow.com/" TargetMode="External"/><Relationship Id="rId2" Type="http://schemas.openxmlformats.org/officeDocument/2006/relationships/hyperlink" Target="http://www.subarupartsforyou.com/" TargetMode="External"/><Relationship Id="rId1" Type="http://schemas.openxmlformats.org/officeDocument/2006/relationships/hyperlink" Target="http://www.nissanparts.cc/" TargetMode="External"/></Relationships>
</file>

<file path=xl/worksheets/_rels/sheet2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acurapartsnow.com/" TargetMode="External"/><Relationship Id="rId8" Type="http://schemas.openxmlformats.org/officeDocument/2006/relationships/hyperlink" Target="http://www.vwpartsprime.com/" TargetMode="External"/><Relationship Id="rId7" Type="http://schemas.openxmlformats.org/officeDocument/2006/relationships/hyperlink" Target="http://www.onlinemazdaparts.com/" TargetMode="External"/><Relationship Id="rId6" Type="http://schemas.openxmlformats.org/officeDocument/2006/relationships/hyperlink" Target="http://www.moparpartsprime.com/" TargetMode="External"/><Relationship Id="rId5" Type="http://schemas.openxmlformats.org/officeDocument/2006/relationships/hyperlink" Target="http://www.myswedishparts.com/" TargetMode="External"/><Relationship Id="rId4" Type="http://schemas.openxmlformats.org/officeDocument/2006/relationships/hyperlink" Target="http://www.volvowholesalepartsdirect.com/" TargetMode="External"/><Relationship Id="rId3" Type="http://schemas.openxmlformats.org/officeDocument/2006/relationships/hyperlink" Target="http://www.mazdapartsprime.com/" TargetMode="External"/><Relationship Id="rId20" Type="http://schemas.openxmlformats.org/officeDocument/2006/relationships/hyperlink" Target="http://www.infinitipartsonline.com/" TargetMode="External"/><Relationship Id="rId2" Type="http://schemas.openxmlformats.org/officeDocument/2006/relationships/hyperlink" Target="http://www.tascaparts.com/" TargetMode="External"/><Relationship Id="rId19" Type="http://schemas.openxmlformats.org/officeDocument/2006/relationships/hyperlink" Target="http://www.acuraoemparts.com/" TargetMode="External"/><Relationship Id="rId18" Type="http://schemas.openxmlformats.org/officeDocument/2006/relationships/hyperlink" Target="http://www.oemacuraparts.com/" TargetMode="External"/><Relationship Id="rId17" Type="http://schemas.openxmlformats.org/officeDocument/2006/relationships/hyperlink" Target="http://www.hyundaioempartsdirect.com/" TargetMode="External"/><Relationship Id="rId16" Type="http://schemas.openxmlformats.org/officeDocument/2006/relationships/hyperlink" Target="http://www.oempartsource.com/" TargetMode="External"/><Relationship Id="rId15" Type="http://schemas.openxmlformats.org/officeDocument/2006/relationships/hyperlink" Target="http://www.nissanparts.cc/" TargetMode="External"/><Relationship Id="rId14" Type="http://schemas.openxmlformats.org/officeDocument/2006/relationships/hyperlink" Target="http://www.kia.parts/" TargetMode="External"/><Relationship Id="rId13" Type="http://schemas.openxmlformats.org/officeDocument/2006/relationships/hyperlink" Target="http://www.bmwpartsupply.com/" TargetMode="External"/><Relationship Id="rId12" Type="http://schemas.openxmlformats.org/officeDocument/2006/relationships/hyperlink" Target="http://www.hondaautomotiveparts.com/" TargetMode="External"/><Relationship Id="rId11" Type="http://schemas.openxmlformats.org/officeDocument/2006/relationships/hyperlink" Target="http://www.nissanpartswebstore.com/" TargetMode="External"/><Relationship Id="rId10" Type="http://schemas.openxmlformats.org/officeDocument/2006/relationships/hyperlink" Target="http://www.hyundaionlineparts.net/" TargetMode="External"/><Relationship Id="rId1" Type="http://schemas.openxmlformats.org/officeDocument/2006/relationships/hyperlink" Target="http://www.villagefordparts.com/" TargetMode="External"/></Relationships>
</file>

<file path=xl/worksheets/_rels/sheet22.xml.rels><?xml version="1.0" encoding="UTF-8" standalone="yes"?>
<Relationships xmlns="http://schemas.openxmlformats.org/package/2006/relationships"><Relationship Id="rId7" Type="http://schemas.openxmlformats.org/officeDocument/2006/relationships/hyperlink" Target="http://www.aciauto.com/" TargetMode="External"/><Relationship Id="rId6" Type="http://schemas.openxmlformats.org/officeDocument/2006/relationships/hyperlink" Target="http://www.elring.com/" TargetMode="External"/><Relationship Id="rId5" Type="http://schemas.openxmlformats.org/officeDocument/2006/relationships/hyperlink" Target="http://www.corteco.com/" TargetMode="External"/><Relationship Id="rId4" Type="http://schemas.openxmlformats.org/officeDocument/2006/relationships/hyperlink" Target="http://www.hengst.com/" TargetMode="External"/><Relationship Id="rId3" Type="http://schemas.openxmlformats.org/officeDocument/2006/relationships/hyperlink" Target="http://www.dayco.com/" TargetMode="External"/><Relationship Id="rId2" Type="http://schemas.openxmlformats.org/officeDocument/2006/relationships/hyperlink" Target="http://www.4s.com/" TargetMode="External"/><Relationship Id="rId1" Type="http://schemas.openxmlformats.org/officeDocument/2006/relationships/hyperlink" Target="http://www.brembo.com/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oempartsource.com/" TargetMode="External"/></Relationships>
</file>

<file path=xl/worksheets/_rels/sheet26.xml.rels><?xml version="1.0" encoding="UTF-8" standalone="yes"?>
<Relationships xmlns="http://schemas.openxmlformats.org/package/2006/relationships"><Relationship Id="rId9" Type="http://schemas.openxmlformats.org/officeDocument/2006/relationships/hyperlink" Target="http://www.acuraautomotiveparts.org/" TargetMode="External"/><Relationship Id="rId8" Type="http://schemas.openxmlformats.org/officeDocument/2006/relationships/hyperlink" Target="http://www.vwpartsprime.com/" TargetMode="External"/><Relationship Id="rId7" Type="http://schemas.openxmlformats.org/officeDocument/2006/relationships/hyperlink" Target="http://www.onlinemazdaparts.com/" TargetMode="External"/><Relationship Id="rId6" Type="http://schemas.openxmlformats.org/officeDocument/2006/relationships/hyperlink" Target="http://www.moparpartsprime.com/" TargetMode="External"/><Relationship Id="rId5" Type="http://schemas.openxmlformats.org/officeDocument/2006/relationships/hyperlink" Target="http://www.myswedishparts.com/" TargetMode="External"/><Relationship Id="rId4" Type="http://schemas.openxmlformats.org/officeDocument/2006/relationships/hyperlink" Target="http://www.volvowholesalepartsdirect.com/" TargetMode="External"/><Relationship Id="rId30" Type="http://schemas.openxmlformats.org/officeDocument/2006/relationships/hyperlink" Target="http://www.gmpartsnow.com/" TargetMode="External"/><Relationship Id="rId3" Type="http://schemas.openxmlformats.org/officeDocument/2006/relationships/hyperlink" Target="http://www.mazdapartsprime.com/" TargetMode="External"/><Relationship Id="rId29" Type="http://schemas.openxmlformats.org/officeDocument/2006/relationships/hyperlink" Target="http://www.oempartsource.com/" TargetMode="External"/><Relationship Id="rId28" Type="http://schemas.openxmlformats.org/officeDocument/2006/relationships/hyperlink" Target="http://www.acurapartswarehouse.com/" TargetMode="External"/><Relationship Id="rId27" Type="http://schemas.openxmlformats.org/officeDocument/2006/relationships/hyperlink" Target="http://www.bmwpartsupply.com/" TargetMode="External"/><Relationship Id="rId26" Type="http://schemas.openxmlformats.org/officeDocument/2006/relationships/hyperlink" Target="http://www.kia.parts/" TargetMode="External"/><Relationship Id="rId25" Type="http://schemas.openxmlformats.org/officeDocument/2006/relationships/hyperlink" Target="http://www.nissanparts.cc/" TargetMode="External"/><Relationship Id="rId24" Type="http://schemas.openxmlformats.org/officeDocument/2006/relationships/hyperlink" Target="http://www.bernardiparts.com/" TargetMode="External"/><Relationship Id="rId23" Type="http://schemas.openxmlformats.org/officeDocument/2006/relationships/hyperlink" Target="http://www.gmpartsgiant.com/" TargetMode="External"/><Relationship Id="rId22" Type="http://schemas.openxmlformats.org/officeDocument/2006/relationships/hyperlink" Target="http://www.vwpartsdepartment.com/" TargetMode="External"/><Relationship Id="rId21" Type="http://schemas.openxmlformats.org/officeDocument/2006/relationships/hyperlink" Target="http://www.toyotapartsdeal.com/" TargetMode="External"/><Relationship Id="rId20" Type="http://schemas.openxmlformats.org/officeDocument/2006/relationships/hyperlink" Target="http://www.kiapartsdepartment.com/" TargetMode="External"/><Relationship Id="rId2" Type="http://schemas.openxmlformats.org/officeDocument/2006/relationships/hyperlink" Target="http://www.tascaparts.com/" TargetMode="External"/><Relationship Id="rId19" Type="http://schemas.openxmlformats.org/officeDocument/2006/relationships/hyperlink" Target="http://www.mitsubishipartswarehouse.com/" TargetMode="External"/><Relationship Id="rId18" Type="http://schemas.openxmlformats.org/officeDocument/2006/relationships/hyperlink" Target="http://www.nissaninfinitiparts.com/" TargetMode="External"/><Relationship Id="rId17" Type="http://schemas.openxmlformats.org/officeDocument/2006/relationships/hyperlink" Target="http://www.discountinfinitiparts.com/" TargetMode="External"/><Relationship Id="rId16" Type="http://schemas.openxmlformats.org/officeDocument/2006/relationships/hyperlink" Target="http://www.acuraoemparts.com/" TargetMode="External"/><Relationship Id="rId15" Type="http://schemas.openxmlformats.org/officeDocument/2006/relationships/hyperlink" Target="http://www.hyundaioemparts.com/" TargetMode="External"/><Relationship Id="rId14" Type="http://schemas.openxmlformats.org/officeDocument/2006/relationships/hyperlink" Target="http://www.hondapartscheap.com/" TargetMode="External"/><Relationship Id="rId13" Type="http://schemas.openxmlformats.org/officeDocument/2006/relationships/hyperlink" Target="http://www.newgmparts.com/" TargetMode="External"/><Relationship Id="rId12" Type="http://schemas.openxmlformats.org/officeDocument/2006/relationships/hyperlink" Target="http://www.nissanpartswebstore.com/" TargetMode="External"/><Relationship Id="rId11" Type="http://schemas.openxmlformats.org/officeDocument/2006/relationships/hyperlink" Target="http://www.hyundaionlineparts.net/" TargetMode="External"/><Relationship Id="rId10" Type="http://schemas.openxmlformats.org/officeDocument/2006/relationships/hyperlink" Target="http://www.acurapartsnow.com/" TargetMode="External"/><Relationship Id="rId1" Type="http://schemas.openxmlformats.org/officeDocument/2006/relationships/hyperlink" Target="http://www.villagefordparts.com/" TargetMode="External"/></Relationships>
</file>

<file path=xl/worksheets/_rels/sheet27.xml.rels><?xml version="1.0" encoding="UTF-8" standalone="yes"?>
<Relationships xmlns="http://schemas.openxmlformats.org/package/2006/relationships"><Relationship Id="rId9" Type="http://schemas.openxmlformats.org/officeDocument/2006/relationships/hyperlink" Target="http://www.infinitipartsusa.com/" TargetMode="External"/><Relationship Id="rId8" Type="http://schemas.openxmlformats.org/officeDocument/2006/relationships/hyperlink" Target="http://www.subaruonlineparts.com/" TargetMode="External"/><Relationship Id="rId7" Type="http://schemas.openxmlformats.org/officeDocument/2006/relationships/hyperlink" Target="http://www.nissanpartswebstore.com/" TargetMode="External"/><Relationship Id="rId6" Type="http://schemas.openxmlformats.org/officeDocument/2006/relationships/hyperlink" Target="http://www.hyundaionlineparts.net/" TargetMode="External"/><Relationship Id="rId5" Type="http://schemas.openxmlformats.org/officeDocument/2006/relationships/hyperlink" Target="http://www.acurapartsnow.com/" TargetMode="External"/><Relationship Id="rId4" Type="http://schemas.openxmlformats.org/officeDocument/2006/relationships/hyperlink" Target="http://www.onlinemazdaparts.com/" TargetMode="External"/><Relationship Id="rId3" Type="http://schemas.openxmlformats.org/officeDocument/2006/relationships/hyperlink" Target="http://www.myswedishparts.com/" TargetMode="External"/><Relationship Id="rId2" Type="http://schemas.openxmlformats.org/officeDocument/2006/relationships/hyperlink" Target="http://www.tascaparts.com/" TargetMode="External"/><Relationship Id="rId19" Type="http://schemas.openxmlformats.org/officeDocument/2006/relationships/hyperlink" Target="http://www.lexussouthatlantaparts.com/" TargetMode="External"/><Relationship Id="rId18" Type="http://schemas.openxmlformats.org/officeDocument/2006/relationships/hyperlink" Target="http://www.nissanparts.cc/" TargetMode="External"/><Relationship Id="rId17" Type="http://schemas.openxmlformats.org/officeDocument/2006/relationships/hyperlink" Target="http://www.kia.parts/" TargetMode="External"/><Relationship Id="rId16" Type="http://schemas.openxmlformats.org/officeDocument/2006/relationships/hyperlink" Target="http://www.bmwpartsupply.com/" TargetMode="External"/><Relationship Id="rId15" Type="http://schemas.openxmlformats.org/officeDocument/2006/relationships/hyperlink" Target="http://www.wholesalehyundaiparts.com/" TargetMode="External"/><Relationship Id="rId14" Type="http://schemas.openxmlformats.org/officeDocument/2006/relationships/hyperlink" Target="http://www.hyundaioemparts.com/" TargetMode="External"/><Relationship Id="rId13" Type="http://schemas.openxmlformats.org/officeDocument/2006/relationships/hyperlink" Target="http://www.vwdiscountparts.com/" TargetMode="External"/><Relationship Id="rId12" Type="http://schemas.openxmlformats.org/officeDocument/2006/relationships/hyperlink" Target="http://www.kiapartsdepartment.com/" TargetMode="External"/><Relationship Id="rId11" Type="http://schemas.openxmlformats.org/officeDocument/2006/relationships/hyperlink" Target="http://www.oemacuraparts.com/" TargetMode="External"/><Relationship Id="rId10" Type="http://schemas.openxmlformats.org/officeDocument/2006/relationships/hyperlink" Target="http://www.infinitipartsonline.com/" TargetMode="External"/><Relationship Id="rId1" Type="http://schemas.openxmlformats.org/officeDocument/2006/relationships/hyperlink" Target="http://www.villagefordparts.com/" TargetMode="External"/></Relationships>
</file>

<file path=xl/worksheets/_rels/sheet28.xml.rels><?xml version="1.0" encoding="UTF-8" standalone="yes"?>
<Relationships xmlns="http://schemas.openxmlformats.org/package/2006/relationships"><Relationship Id="rId9" Type="http://schemas.openxmlformats.org/officeDocument/2006/relationships/hyperlink" Target="http://www.bernardiparts.com/" TargetMode="External"/><Relationship Id="rId8" Type="http://schemas.openxmlformats.org/officeDocument/2006/relationships/hyperlink" Target="http://www.gmpartsgiant.com/" TargetMode="External"/><Relationship Id="rId7" Type="http://schemas.openxmlformats.org/officeDocument/2006/relationships/hyperlink" Target="http://www.toyotapartsdeal.com/" TargetMode="External"/><Relationship Id="rId6" Type="http://schemas.openxmlformats.org/officeDocument/2006/relationships/hyperlink" Target="http://www.hondapartscheap.com/" TargetMode="External"/><Relationship Id="rId5" Type="http://schemas.openxmlformats.org/officeDocument/2006/relationships/hyperlink" Target="http://www.newgmparts.com/" TargetMode="External"/><Relationship Id="rId4" Type="http://schemas.openxmlformats.org/officeDocument/2006/relationships/hyperlink" Target="http://www.nissanpartswebstore.com/" TargetMode="External"/><Relationship Id="rId3" Type="http://schemas.openxmlformats.org/officeDocument/2006/relationships/hyperlink" Target="http://www.moparpartsprime.com/" TargetMode="External"/><Relationship Id="rId29" Type="http://schemas.openxmlformats.org/officeDocument/2006/relationships/hyperlink" Target="http://www.acurapartswarehouse.com/" TargetMode="External"/><Relationship Id="rId28" Type="http://schemas.openxmlformats.org/officeDocument/2006/relationships/hyperlink" Target="http://www.bmwpartsupply.com/" TargetMode="External"/><Relationship Id="rId27" Type="http://schemas.openxmlformats.org/officeDocument/2006/relationships/hyperlink" Target="http://www.kia.parts/" TargetMode="External"/><Relationship Id="rId26" Type="http://schemas.openxmlformats.org/officeDocument/2006/relationships/hyperlink" Target="http://www.vwpartsdepartment.com/" TargetMode="External"/><Relationship Id="rId25" Type="http://schemas.openxmlformats.org/officeDocument/2006/relationships/hyperlink" Target="http://www.kiapartsdepartment.com/" TargetMode="External"/><Relationship Id="rId24" Type="http://schemas.openxmlformats.org/officeDocument/2006/relationships/hyperlink" Target="http://www.mitsubishipartswarehouse.com/" TargetMode="External"/><Relationship Id="rId23" Type="http://schemas.openxmlformats.org/officeDocument/2006/relationships/hyperlink" Target="http://www.nissaninfinitiparts.com/" TargetMode="External"/><Relationship Id="rId22" Type="http://schemas.openxmlformats.org/officeDocument/2006/relationships/hyperlink" Target="http://www.discountinfinitiparts.com/" TargetMode="External"/><Relationship Id="rId21" Type="http://schemas.openxmlformats.org/officeDocument/2006/relationships/hyperlink" Target="http://www.acuraoemparts.com/" TargetMode="External"/><Relationship Id="rId20" Type="http://schemas.openxmlformats.org/officeDocument/2006/relationships/hyperlink" Target="http://www.acurapartsnow.com/" TargetMode="External"/><Relationship Id="rId2" Type="http://schemas.openxmlformats.org/officeDocument/2006/relationships/hyperlink" Target="http://www.tascaparts.com/" TargetMode="External"/><Relationship Id="rId19" Type="http://schemas.openxmlformats.org/officeDocument/2006/relationships/hyperlink" Target="http://www.acuraautomotiveparts.org/" TargetMode="External"/><Relationship Id="rId18" Type="http://schemas.openxmlformats.org/officeDocument/2006/relationships/hyperlink" Target="http://www.vwpartsprime.com/" TargetMode="External"/><Relationship Id="rId17" Type="http://schemas.openxmlformats.org/officeDocument/2006/relationships/hyperlink" Target="http://www.onlinemazdaparts.com/" TargetMode="External"/><Relationship Id="rId16" Type="http://schemas.openxmlformats.org/officeDocument/2006/relationships/hyperlink" Target="http://www.myswedishparts.com/" TargetMode="External"/><Relationship Id="rId15" Type="http://schemas.openxmlformats.org/officeDocument/2006/relationships/hyperlink" Target="http://www.volvowholesalepartsdirect.com/" TargetMode="External"/><Relationship Id="rId14" Type="http://schemas.openxmlformats.org/officeDocument/2006/relationships/hyperlink" Target="http://www.mazdapartsprime.com/" TargetMode="External"/><Relationship Id="rId13" Type="http://schemas.openxmlformats.org/officeDocument/2006/relationships/hyperlink" Target="http://www.hyundaioemparts.com/" TargetMode="External"/><Relationship Id="rId12" Type="http://schemas.openxmlformats.org/officeDocument/2006/relationships/hyperlink" Target="http://www.hyundaionlineparts.net/" TargetMode="External"/><Relationship Id="rId11" Type="http://schemas.openxmlformats.org/officeDocument/2006/relationships/hyperlink" Target="http://www.oempartsource.com/" TargetMode="External"/><Relationship Id="rId10" Type="http://schemas.openxmlformats.org/officeDocument/2006/relationships/hyperlink" Target="http://www.nissanparts.cc/" TargetMode="External"/><Relationship Id="rId1" Type="http://schemas.openxmlformats.org/officeDocument/2006/relationships/hyperlink" Target="http://www.villagefordparts.com/" TargetMode="External"/></Relationships>
</file>

<file path=xl/worksheets/_rels/sheet29.xml.rels><?xml version="1.0" encoding="UTF-8" standalone="yes"?>
<Relationships xmlns="http://schemas.openxmlformats.org/package/2006/relationships"><Relationship Id="rId9" Type="http://schemas.openxmlformats.org/officeDocument/2006/relationships/hyperlink" Target="http://www.nissanpartswebstore.com/" TargetMode="External"/><Relationship Id="rId8" Type="http://schemas.openxmlformats.org/officeDocument/2006/relationships/hyperlink" Target="http://www.moparpartsprime.com/" TargetMode="External"/><Relationship Id="rId7" Type="http://schemas.openxmlformats.org/officeDocument/2006/relationships/hyperlink" Target="http://www.tascaparts.com/" TargetMode="External"/><Relationship Id="rId6" Type="http://schemas.openxmlformats.org/officeDocument/2006/relationships/hyperlink" Target="http://www.villagefordparts.com/" TargetMode="External"/><Relationship Id="rId5" Type="http://schemas.openxmlformats.org/officeDocument/2006/relationships/hyperlink" Target="http://www.toyotapartsdeal.com/" TargetMode="External"/><Relationship Id="rId4" Type="http://schemas.openxmlformats.org/officeDocument/2006/relationships/hyperlink" Target="http://www.bernardiparts.com/" TargetMode="External"/><Relationship Id="rId3" Type="http://schemas.openxmlformats.org/officeDocument/2006/relationships/hyperlink" Target="http://www.hondapartscheap.com/" TargetMode="External"/><Relationship Id="rId27" Type="http://schemas.openxmlformats.org/officeDocument/2006/relationships/hyperlink" Target="http://www.mitsubishipartswarehouse.com/" TargetMode="External"/><Relationship Id="rId26" Type="http://schemas.openxmlformats.org/officeDocument/2006/relationships/hyperlink" Target="http://www.onlinemazdaparts.com/" TargetMode="External"/><Relationship Id="rId25" Type="http://schemas.openxmlformats.org/officeDocument/2006/relationships/hyperlink" Target="http://www.mazdapartsprime.com/" TargetMode="External"/><Relationship Id="rId24" Type="http://schemas.openxmlformats.org/officeDocument/2006/relationships/hyperlink" Target="http://www.vwpartsdepartment.com/" TargetMode="External"/><Relationship Id="rId23" Type="http://schemas.openxmlformats.org/officeDocument/2006/relationships/hyperlink" Target="http://www.vwpartsprime.com/" TargetMode="External"/><Relationship Id="rId22" Type="http://schemas.openxmlformats.org/officeDocument/2006/relationships/hyperlink" Target="http://www.myswedishparts.com/" TargetMode="External"/><Relationship Id="rId21" Type="http://schemas.openxmlformats.org/officeDocument/2006/relationships/hyperlink" Target="http://www.volvowholesalepartsdirect.com/" TargetMode="External"/><Relationship Id="rId20" Type="http://schemas.openxmlformats.org/officeDocument/2006/relationships/hyperlink" Target="http://www.bmwpartsupply.com/" TargetMode="External"/><Relationship Id="rId2" Type="http://schemas.openxmlformats.org/officeDocument/2006/relationships/hyperlink" Target="http://www.gmpartsgiant.com/" TargetMode="External"/><Relationship Id="rId19" Type="http://schemas.openxmlformats.org/officeDocument/2006/relationships/hyperlink" Target="http://www.nissaninfinitiparts.com/" TargetMode="External"/><Relationship Id="rId18" Type="http://schemas.openxmlformats.org/officeDocument/2006/relationships/hyperlink" Target="http://www.discountinfinitiparts.com/" TargetMode="External"/><Relationship Id="rId17" Type="http://schemas.openxmlformats.org/officeDocument/2006/relationships/hyperlink" Target="http://www.kia.parts/" TargetMode="External"/><Relationship Id="rId16" Type="http://schemas.openxmlformats.org/officeDocument/2006/relationships/hyperlink" Target="http://www.kiapartsdepartment.com/" TargetMode="External"/><Relationship Id="rId15" Type="http://schemas.openxmlformats.org/officeDocument/2006/relationships/hyperlink" Target="http://www.acuraoemparts.com/" TargetMode="External"/><Relationship Id="rId14" Type="http://schemas.openxmlformats.org/officeDocument/2006/relationships/hyperlink" Target="http://www.acurapartsnow.com/" TargetMode="External"/><Relationship Id="rId13" Type="http://schemas.openxmlformats.org/officeDocument/2006/relationships/hyperlink" Target="http://www.acuraautomotiveparts.org/" TargetMode="External"/><Relationship Id="rId12" Type="http://schemas.openxmlformats.org/officeDocument/2006/relationships/hyperlink" Target="http://www.hyundaioemparts.com/" TargetMode="External"/><Relationship Id="rId11" Type="http://schemas.openxmlformats.org/officeDocument/2006/relationships/hyperlink" Target="http://www.hyundaionlineparts.net/" TargetMode="External"/><Relationship Id="rId10" Type="http://schemas.openxmlformats.org/officeDocument/2006/relationships/hyperlink" Target="http://www.nissanparts.cc/" TargetMode="External"/><Relationship Id="rId1" Type="http://schemas.openxmlformats.org/officeDocument/2006/relationships/hyperlink" Target="http://www.newgmparts.com/" TargetMode="External"/></Relationships>
</file>

<file path=xl/worksheets/_rels/sheet30.xml.rels><?xml version="1.0" encoding="UTF-8" standalone="yes"?>
<Relationships xmlns="http://schemas.openxmlformats.org/package/2006/relationships"><Relationship Id="rId9" Type="http://schemas.openxmlformats.org/officeDocument/2006/relationships/hyperlink" Target="http://www.hyundaionlineparts.net/" TargetMode="External"/><Relationship Id="rId8" Type="http://schemas.openxmlformats.org/officeDocument/2006/relationships/hyperlink" Target="http://www.acurapartsnow.com/" TargetMode="External"/><Relationship Id="rId7" Type="http://schemas.openxmlformats.org/officeDocument/2006/relationships/hyperlink" Target="http://www.vwpartsprime.com/" TargetMode="External"/><Relationship Id="rId6" Type="http://schemas.openxmlformats.org/officeDocument/2006/relationships/hyperlink" Target="http://www.onlinemazdaparts.com/" TargetMode="External"/><Relationship Id="rId5" Type="http://schemas.openxmlformats.org/officeDocument/2006/relationships/hyperlink" Target="http://www.myswedishparts.com/" TargetMode="External"/><Relationship Id="rId4" Type="http://schemas.openxmlformats.org/officeDocument/2006/relationships/hyperlink" Target="http://www.volvowholesalepartsdirect.com/" TargetMode="External"/><Relationship Id="rId3" Type="http://schemas.openxmlformats.org/officeDocument/2006/relationships/hyperlink" Target="http://www.mazdapartsprime.com/" TargetMode="External"/><Relationship Id="rId21" Type="http://schemas.openxmlformats.org/officeDocument/2006/relationships/hyperlink" Target="http://www.moparpartsprime.com/" TargetMode="External"/><Relationship Id="rId20" Type="http://schemas.openxmlformats.org/officeDocument/2006/relationships/hyperlink" Target="http://www.wholesalehyundaiparts.com/" TargetMode="External"/><Relationship Id="rId2" Type="http://schemas.openxmlformats.org/officeDocument/2006/relationships/hyperlink" Target="http://www.tascaparts.com/" TargetMode="External"/><Relationship Id="rId19" Type="http://schemas.openxmlformats.org/officeDocument/2006/relationships/hyperlink" Target="http://www.hyundaioemparts.com/" TargetMode="External"/><Relationship Id="rId18" Type="http://schemas.openxmlformats.org/officeDocument/2006/relationships/hyperlink" Target="http://www.vwdiscountparts.com/" TargetMode="External"/><Relationship Id="rId17" Type="http://schemas.openxmlformats.org/officeDocument/2006/relationships/hyperlink" Target="http://www.acuraautomotiveparts.org/" TargetMode="External"/><Relationship Id="rId16" Type="http://schemas.openxmlformats.org/officeDocument/2006/relationships/hyperlink" Target="http://www.kiapartsdepartment.com/" TargetMode="External"/><Relationship Id="rId15" Type="http://schemas.openxmlformats.org/officeDocument/2006/relationships/hyperlink" Target="http://www.oemacuraparts.com/" TargetMode="External"/><Relationship Id="rId14" Type="http://schemas.openxmlformats.org/officeDocument/2006/relationships/hyperlink" Target="http://www.infinitipartsonline.com/" TargetMode="External"/><Relationship Id="rId13" Type="http://schemas.openxmlformats.org/officeDocument/2006/relationships/hyperlink" Target="http://www.infinitipartsusa.com/" TargetMode="External"/><Relationship Id="rId12" Type="http://schemas.openxmlformats.org/officeDocument/2006/relationships/hyperlink" Target="http://www.subaruonlineparts.com/" TargetMode="External"/><Relationship Id="rId11" Type="http://schemas.openxmlformats.org/officeDocument/2006/relationships/hyperlink" Target="http://www.newgmparts.com/" TargetMode="External"/><Relationship Id="rId10" Type="http://schemas.openxmlformats.org/officeDocument/2006/relationships/hyperlink" Target="http://www.nissanpartswebstore.com/" TargetMode="External"/><Relationship Id="rId1" Type="http://schemas.openxmlformats.org/officeDocument/2006/relationships/hyperlink" Target="http://www.villagefordparts.com/" TargetMode="External"/></Relationships>
</file>

<file path=xl/worksheets/_rels/sheet3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hyundaionlineparts.net/" TargetMode="External"/><Relationship Id="rId8" Type="http://schemas.openxmlformats.org/officeDocument/2006/relationships/hyperlink" Target="http://www.acurapartsnow.com/" TargetMode="External"/><Relationship Id="rId7" Type="http://schemas.openxmlformats.org/officeDocument/2006/relationships/hyperlink" Target="http://www.vwpartsprime.com/" TargetMode="External"/><Relationship Id="rId6" Type="http://schemas.openxmlformats.org/officeDocument/2006/relationships/hyperlink" Target="http://www.onlinemazdaparts.com/" TargetMode="External"/><Relationship Id="rId5" Type="http://schemas.openxmlformats.org/officeDocument/2006/relationships/hyperlink" Target="http://www.myswedishparts.com/" TargetMode="External"/><Relationship Id="rId4" Type="http://schemas.openxmlformats.org/officeDocument/2006/relationships/hyperlink" Target="http://www.volvowholesalepartsdirect.com/" TargetMode="External"/><Relationship Id="rId3" Type="http://schemas.openxmlformats.org/officeDocument/2006/relationships/hyperlink" Target="http://www.mazdapartsprime.com/" TargetMode="External"/><Relationship Id="rId21" Type="http://schemas.openxmlformats.org/officeDocument/2006/relationships/hyperlink" Target="http://www.moparpartsprime.com/" TargetMode="External"/><Relationship Id="rId20" Type="http://schemas.openxmlformats.org/officeDocument/2006/relationships/hyperlink" Target="http://www.wholesalehyundaiparts.com/" TargetMode="External"/><Relationship Id="rId2" Type="http://schemas.openxmlformats.org/officeDocument/2006/relationships/hyperlink" Target="http://www.tascaparts.com/" TargetMode="External"/><Relationship Id="rId19" Type="http://schemas.openxmlformats.org/officeDocument/2006/relationships/hyperlink" Target="http://www.hyundaioemparts.com/" TargetMode="External"/><Relationship Id="rId18" Type="http://schemas.openxmlformats.org/officeDocument/2006/relationships/hyperlink" Target="http://www.vwdiscountparts.com/" TargetMode="External"/><Relationship Id="rId17" Type="http://schemas.openxmlformats.org/officeDocument/2006/relationships/hyperlink" Target="http://www.acuraautomotiveparts.org/" TargetMode="External"/><Relationship Id="rId16" Type="http://schemas.openxmlformats.org/officeDocument/2006/relationships/hyperlink" Target="http://www.kiapartsdepartment.com/" TargetMode="External"/><Relationship Id="rId15" Type="http://schemas.openxmlformats.org/officeDocument/2006/relationships/hyperlink" Target="http://www.oemacuraparts.com/" TargetMode="External"/><Relationship Id="rId14" Type="http://schemas.openxmlformats.org/officeDocument/2006/relationships/hyperlink" Target="http://www.infinitipartsonline.com/" TargetMode="External"/><Relationship Id="rId13" Type="http://schemas.openxmlformats.org/officeDocument/2006/relationships/hyperlink" Target="http://www.infinitipartsusa.com/" TargetMode="External"/><Relationship Id="rId12" Type="http://schemas.openxmlformats.org/officeDocument/2006/relationships/hyperlink" Target="http://www.subaruonlineparts.com/" TargetMode="External"/><Relationship Id="rId11" Type="http://schemas.openxmlformats.org/officeDocument/2006/relationships/hyperlink" Target="http://www.newgmparts.com/" TargetMode="External"/><Relationship Id="rId10" Type="http://schemas.openxmlformats.org/officeDocument/2006/relationships/hyperlink" Target="http://www.nissanpartswebstore.com/" TargetMode="External"/><Relationship Id="rId1" Type="http://schemas.openxmlformats.org/officeDocument/2006/relationships/hyperlink" Target="http://www.villagefordparts.com/" TargetMode="External"/></Relationships>
</file>

<file path=xl/worksheets/_rels/sheet32.xml.rels><?xml version="1.0" encoding="UTF-8" standalone="yes"?>
<Relationships xmlns="http://schemas.openxmlformats.org/package/2006/relationships"><Relationship Id="rId9" Type="http://schemas.openxmlformats.org/officeDocument/2006/relationships/hyperlink" Target="http://www.hyundaionlineparts.net/" TargetMode="External"/><Relationship Id="rId8" Type="http://schemas.openxmlformats.org/officeDocument/2006/relationships/hyperlink" Target="http://www.acurapartsnow.com/" TargetMode="External"/><Relationship Id="rId7" Type="http://schemas.openxmlformats.org/officeDocument/2006/relationships/hyperlink" Target="http://www.vwpartsprime.com/" TargetMode="External"/><Relationship Id="rId6" Type="http://schemas.openxmlformats.org/officeDocument/2006/relationships/hyperlink" Target="http://www.onlinemazdaparts.com/" TargetMode="External"/><Relationship Id="rId5" Type="http://schemas.openxmlformats.org/officeDocument/2006/relationships/hyperlink" Target="http://www.myswedishparts.com/" TargetMode="External"/><Relationship Id="rId4" Type="http://schemas.openxmlformats.org/officeDocument/2006/relationships/hyperlink" Target="http://www.volvowholesalepartsdirect.com/" TargetMode="External"/><Relationship Id="rId3" Type="http://schemas.openxmlformats.org/officeDocument/2006/relationships/hyperlink" Target="http://www.mazdapartsprime.com/" TargetMode="External"/><Relationship Id="rId20" Type="http://schemas.openxmlformats.org/officeDocument/2006/relationships/hyperlink" Target="http://www.wholesalehyundaiparts.com/" TargetMode="External"/><Relationship Id="rId2" Type="http://schemas.openxmlformats.org/officeDocument/2006/relationships/hyperlink" Target="http://www.tascaparts.com/" TargetMode="External"/><Relationship Id="rId19" Type="http://schemas.openxmlformats.org/officeDocument/2006/relationships/hyperlink" Target="http://www.hyundaioemparts.com/" TargetMode="External"/><Relationship Id="rId18" Type="http://schemas.openxmlformats.org/officeDocument/2006/relationships/hyperlink" Target="http://www.vwdiscountparts.com/" TargetMode="External"/><Relationship Id="rId17" Type="http://schemas.openxmlformats.org/officeDocument/2006/relationships/hyperlink" Target="http://www.acuraautomotiveparts.org/" TargetMode="External"/><Relationship Id="rId16" Type="http://schemas.openxmlformats.org/officeDocument/2006/relationships/hyperlink" Target="http://www.kiapartsdepartment.com/" TargetMode="External"/><Relationship Id="rId15" Type="http://schemas.openxmlformats.org/officeDocument/2006/relationships/hyperlink" Target="http://www.oemacuraparts.com/" TargetMode="External"/><Relationship Id="rId14" Type="http://schemas.openxmlformats.org/officeDocument/2006/relationships/hyperlink" Target="http://www.infinitipartsonline.com/" TargetMode="External"/><Relationship Id="rId13" Type="http://schemas.openxmlformats.org/officeDocument/2006/relationships/hyperlink" Target="http://www.infinitipartsusa.com/" TargetMode="External"/><Relationship Id="rId12" Type="http://schemas.openxmlformats.org/officeDocument/2006/relationships/hyperlink" Target="http://www.subaruonlineparts.com/" TargetMode="External"/><Relationship Id="rId11" Type="http://schemas.openxmlformats.org/officeDocument/2006/relationships/hyperlink" Target="http://www.newgmparts.com/" TargetMode="External"/><Relationship Id="rId10" Type="http://schemas.openxmlformats.org/officeDocument/2006/relationships/hyperlink" Target="http://www.nissanpartswebstore.com/" TargetMode="External"/><Relationship Id="rId1" Type="http://schemas.openxmlformats.org/officeDocument/2006/relationships/hyperlink" Target="http://www.villagefordparts.com/" TargetMode="External"/></Relationships>
</file>

<file path=xl/worksheets/_rels/sheet33.xml.rels><?xml version="1.0" encoding="UTF-8" standalone="yes"?>
<Relationships xmlns="http://schemas.openxmlformats.org/package/2006/relationships"><Relationship Id="rId9" Type="http://schemas.openxmlformats.org/officeDocument/2006/relationships/hyperlink" Target="http://www.hyundaionlineparts.net/" TargetMode="External"/><Relationship Id="rId8" Type="http://schemas.openxmlformats.org/officeDocument/2006/relationships/hyperlink" Target="http://www.acurapartsnow.com/" TargetMode="External"/><Relationship Id="rId7" Type="http://schemas.openxmlformats.org/officeDocument/2006/relationships/hyperlink" Target="http://www.vwpartsprime.com/" TargetMode="External"/><Relationship Id="rId6" Type="http://schemas.openxmlformats.org/officeDocument/2006/relationships/hyperlink" Target="http://www.onlinemazdaparts.com/" TargetMode="External"/><Relationship Id="rId5" Type="http://schemas.openxmlformats.org/officeDocument/2006/relationships/hyperlink" Target="http://www.myswedishparts.com/" TargetMode="External"/><Relationship Id="rId4" Type="http://schemas.openxmlformats.org/officeDocument/2006/relationships/hyperlink" Target="http://www.volvowholesalepartsdirect.com/" TargetMode="External"/><Relationship Id="rId3" Type="http://schemas.openxmlformats.org/officeDocument/2006/relationships/hyperlink" Target="http://www.mazdapartsprime.com/" TargetMode="External"/><Relationship Id="rId20" Type="http://schemas.openxmlformats.org/officeDocument/2006/relationships/hyperlink" Target="http://www.wholesalehyundaiparts.com/" TargetMode="External"/><Relationship Id="rId2" Type="http://schemas.openxmlformats.org/officeDocument/2006/relationships/hyperlink" Target="http://www.tascaparts.com/" TargetMode="External"/><Relationship Id="rId19" Type="http://schemas.openxmlformats.org/officeDocument/2006/relationships/hyperlink" Target="http://www.hyundaioemparts.com/" TargetMode="External"/><Relationship Id="rId18" Type="http://schemas.openxmlformats.org/officeDocument/2006/relationships/hyperlink" Target="http://www.vwdiscountparts.com/" TargetMode="External"/><Relationship Id="rId17" Type="http://schemas.openxmlformats.org/officeDocument/2006/relationships/hyperlink" Target="http://www.acuraautomotiveparts.org/" TargetMode="External"/><Relationship Id="rId16" Type="http://schemas.openxmlformats.org/officeDocument/2006/relationships/hyperlink" Target="http://www.kiapartsdepartment.com/" TargetMode="External"/><Relationship Id="rId15" Type="http://schemas.openxmlformats.org/officeDocument/2006/relationships/hyperlink" Target="http://www.oemacuraparts.com/" TargetMode="External"/><Relationship Id="rId14" Type="http://schemas.openxmlformats.org/officeDocument/2006/relationships/hyperlink" Target="http://www.infinitipartsonline.com/" TargetMode="External"/><Relationship Id="rId13" Type="http://schemas.openxmlformats.org/officeDocument/2006/relationships/hyperlink" Target="http://www.infinitipartsusa.com/" TargetMode="External"/><Relationship Id="rId12" Type="http://schemas.openxmlformats.org/officeDocument/2006/relationships/hyperlink" Target="http://www.subaruonlineparts.com/" TargetMode="External"/><Relationship Id="rId11" Type="http://schemas.openxmlformats.org/officeDocument/2006/relationships/hyperlink" Target="http://www.newgmparts.com/" TargetMode="External"/><Relationship Id="rId10" Type="http://schemas.openxmlformats.org/officeDocument/2006/relationships/hyperlink" Target="http://www.nissanpartswebstore.com/" TargetMode="External"/><Relationship Id="rId1" Type="http://schemas.openxmlformats.org/officeDocument/2006/relationships/hyperlink" Target="http://www.villagefordparts.com/" TargetMode="External"/></Relationships>
</file>

<file path=xl/worksheets/_rels/sheet34.xml.rels><?xml version="1.0" encoding="UTF-8" standalone="yes"?>
<Relationships xmlns="http://schemas.openxmlformats.org/package/2006/relationships"><Relationship Id="rId9" Type="http://schemas.openxmlformats.org/officeDocument/2006/relationships/hyperlink" Target="http://www.hyundaionlineparts.net/" TargetMode="External"/><Relationship Id="rId8" Type="http://schemas.openxmlformats.org/officeDocument/2006/relationships/hyperlink" Target="http://www.acurapartsnow.com/" TargetMode="External"/><Relationship Id="rId7" Type="http://schemas.openxmlformats.org/officeDocument/2006/relationships/hyperlink" Target="http://www.vwpartsprime.com/" TargetMode="External"/><Relationship Id="rId6" Type="http://schemas.openxmlformats.org/officeDocument/2006/relationships/hyperlink" Target="http://www.onlinemazdaparts.com/" TargetMode="External"/><Relationship Id="rId5" Type="http://schemas.openxmlformats.org/officeDocument/2006/relationships/hyperlink" Target="http://www.myswedishparts.com/" TargetMode="External"/><Relationship Id="rId4" Type="http://schemas.openxmlformats.org/officeDocument/2006/relationships/hyperlink" Target="http://www.volvowholesalepartsdirect.com/" TargetMode="External"/><Relationship Id="rId3" Type="http://schemas.openxmlformats.org/officeDocument/2006/relationships/hyperlink" Target="http://www.mazdapartsprime.com/" TargetMode="External"/><Relationship Id="rId2" Type="http://schemas.openxmlformats.org/officeDocument/2006/relationships/hyperlink" Target="http://www.tascaparts.com/" TargetMode="External"/><Relationship Id="rId18" Type="http://schemas.openxmlformats.org/officeDocument/2006/relationships/hyperlink" Target="http://www.vwdiscountparts.com/" TargetMode="External"/><Relationship Id="rId17" Type="http://schemas.openxmlformats.org/officeDocument/2006/relationships/hyperlink" Target="http://www.acuraautomotiveparts.org/" TargetMode="External"/><Relationship Id="rId16" Type="http://schemas.openxmlformats.org/officeDocument/2006/relationships/hyperlink" Target="http://www.kiapartsdepartment.com/" TargetMode="External"/><Relationship Id="rId15" Type="http://schemas.openxmlformats.org/officeDocument/2006/relationships/hyperlink" Target="http://www.oemacuraparts.com/" TargetMode="External"/><Relationship Id="rId14" Type="http://schemas.openxmlformats.org/officeDocument/2006/relationships/hyperlink" Target="http://www.infinitipartsonline.com/" TargetMode="External"/><Relationship Id="rId13" Type="http://schemas.openxmlformats.org/officeDocument/2006/relationships/hyperlink" Target="http://www.infinitipartsusa.com/" TargetMode="External"/><Relationship Id="rId12" Type="http://schemas.openxmlformats.org/officeDocument/2006/relationships/hyperlink" Target="http://www.subaruonlineparts.com/" TargetMode="External"/><Relationship Id="rId11" Type="http://schemas.openxmlformats.org/officeDocument/2006/relationships/hyperlink" Target="http://www.newgmparts.com/" TargetMode="External"/><Relationship Id="rId10" Type="http://schemas.openxmlformats.org/officeDocument/2006/relationships/hyperlink" Target="http://www.nissanpartswebstore.com/" TargetMode="External"/><Relationship Id="rId1" Type="http://schemas.openxmlformats.org/officeDocument/2006/relationships/hyperlink" Target="http://www.villagefordparts.com/" TargetMode="External"/></Relationships>
</file>

<file path=xl/worksheets/_rels/sheet37.xml.rels><?xml version="1.0" encoding="UTF-8" standalone="yes"?>
<Relationships xmlns="http://schemas.openxmlformats.org/package/2006/relationships"><Relationship Id="rId9" Type="http://schemas.openxmlformats.org/officeDocument/2006/relationships/hyperlink" Target="http://www.smogtips.com/classifieddetails/232-Auto-Parts-CA-Riverside.cfm" TargetMode="External"/><Relationship Id="rId8" Type="http://schemas.openxmlformats.org/officeDocument/2006/relationships/hyperlink" Target="http://www.oldchevytrucks.com/" TargetMode="External"/><Relationship Id="rId7" Type="http://schemas.openxmlformats.org/officeDocument/2006/relationships/hyperlink" Target="http://www.buychevyautoparts.com/" TargetMode="External"/><Relationship Id="rId6" Type="http://schemas.openxmlformats.org/officeDocument/2006/relationships/hyperlink" Target="http://www.stylintrucks.com/vehicles/chevrolet.aspx" TargetMode="External"/><Relationship Id="rId5" Type="http://schemas.openxmlformats.org/officeDocument/2006/relationships/hyperlink" Target="http://www.autohausaz.com/chevy-auto-parts/index.html" TargetMode="External"/><Relationship Id="rId4" Type="http://schemas.openxmlformats.org/officeDocument/2006/relationships/hyperlink" Target="http://www.delillo.com/Chevrolet-Parts-Department-Huntington-Beach.aspx&#8206;" TargetMode="External"/><Relationship Id="rId3" Type="http://schemas.openxmlformats.org/officeDocument/2006/relationships/hyperlink" Target="http://www.bunninchevrolet.com/&#8206;" TargetMode="External"/><Relationship Id="rId29" Type="http://schemas.openxmlformats.org/officeDocument/2006/relationships/hyperlink" Target="http://www.gmpartseast.com/" TargetMode="External"/><Relationship Id="rId28" Type="http://schemas.openxmlformats.org/officeDocument/2006/relationships/hyperlink" Target="http://www.ecklerstrucks.com/" TargetMode="External"/><Relationship Id="rId27" Type="http://schemas.openxmlformats.org/officeDocument/2006/relationships/hyperlink" Target="http://www.newgmparts.com/" TargetMode="External"/><Relationship Id="rId26" Type="http://schemas.openxmlformats.org/officeDocument/2006/relationships/hyperlink" Target="http://www.gmpartsgiant.com/" TargetMode="External"/><Relationship Id="rId25" Type="http://schemas.openxmlformats.org/officeDocument/2006/relationships/hyperlink" Target="http://www.classicchevroletparts.com/" TargetMode="External"/><Relationship Id="rId24" Type="http://schemas.openxmlformats.org/officeDocument/2006/relationships/hyperlink" Target="http://www.brotherstrucks.com/" TargetMode="External"/><Relationship Id="rId23" Type="http://schemas.openxmlformats.org/officeDocument/2006/relationships/hyperlink" Target="http://www.gmpartsdirect.com/" TargetMode="External"/><Relationship Id="rId22" Type="http://schemas.openxmlformats.org/officeDocument/2006/relationships/hyperlink" Target="http://www.gmpartsdepartment.com/" TargetMode="External"/><Relationship Id="rId21" Type="http://schemas.openxmlformats.org/officeDocument/2006/relationships/hyperlink" Target="http://www.chevrolet.com/" TargetMode="External"/><Relationship Id="rId20" Type="http://schemas.openxmlformats.org/officeDocument/2006/relationships/hyperlink" Target="http://www.gm-car-parts.com/" TargetMode="External"/><Relationship Id="rId2" Type="http://schemas.openxmlformats.org/officeDocument/2006/relationships/hyperlink" Target="http://www.chevroletonlineparts.com/" TargetMode="External"/><Relationship Id="rId19" Type="http://schemas.openxmlformats.org/officeDocument/2006/relationships/hyperlink" Target="http://www.classicchevroletparts.com/&#8206;" TargetMode="External"/><Relationship Id="rId18" Type="http://schemas.openxmlformats.org/officeDocument/2006/relationships/hyperlink" Target="http://www.classicmuscle.com/" TargetMode="External"/><Relationship Id="rId17" Type="http://schemas.openxmlformats.org/officeDocument/2006/relationships/hyperlink" Target="http://www.autotrucktoys.com/" TargetMode="External"/><Relationship Id="rId16" Type="http://schemas.openxmlformats.org/officeDocument/2006/relationships/hyperlink" Target="http://www.lonestarchevrolet.com/" TargetMode="External"/><Relationship Id="rId15" Type="http://schemas.openxmlformats.org/officeDocument/2006/relationships/hyperlink" Target="http://www.partstrain.com/" TargetMode="External"/><Relationship Id="rId14" Type="http://schemas.openxmlformats.org/officeDocument/2006/relationships/hyperlink" Target="http://www.summitracing.com/search/make/chevrolet/model/aveo" TargetMode="External"/><Relationship Id="rId13" Type="http://schemas.openxmlformats.org/officeDocument/2006/relationships/hyperlink" Target="http://www.1aauto.com/" TargetMode="External"/><Relationship Id="rId12" Type="http://schemas.openxmlformats.org/officeDocument/2006/relationships/hyperlink" Target="http://www.chevypartworld.com/&#8206;" TargetMode="External"/><Relationship Id="rId11" Type="http://schemas.openxmlformats.org/officeDocument/2006/relationships/hyperlink" Target="http://www.prweb.com/.../chevy-oem-parts/used-chevy-parts/prweb10609974....&#8206;" TargetMode="External"/><Relationship Id="rId10" Type="http://schemas.openxmlformats.org/officeDocument/2006/relationships/hyperlink" Target="http://www.mervsclassicchevyparts.com/57parts.html&#8206;" TargetMode="External"/><Relationship Id="rId1" Type="http://schemas.openxmlformats.org/officeDocument/2006/relationships/hyperlink" Target="http://www.lategreatchevy.com/&#8206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6"/>
  <sheetViews>
    <sheetView workbookViewId="0">
      <selection activeCell="A1" sqref="A1"/>
    </sheetView>
  </sheetViews>
  <sheetFormatPr defaultColWidth="9" defaultRowHeight="14.4" outlineLevelCol="4"/>
  <cols>
    <col min="1" max="1" width="25.2222222222222" customWidth="1"/>
    <col min="2" max="2" width="42.4444444444444" style="65" customWidth="1"/>
    <col min="3" max="3" width="44.1111111111111" customWidth="1"/>
    <col min="4" max="4" width="39.3333333333333" customWidth="1"/>
    <col min="5" max="5" width="33.2222222222222" customWidth="1"/>
    <col min="7" max="7" width="34" customWidth="1"/>
  </cols>
  <sheetData>
    <row r="1" spans="3:4">
      <c r="C1" t="s">
        <v>0</v>
      </c>
      <c r="D1" t="s">
        <v>1</v>
      </c>
    </row>
    <row r="2" ht="57.6" spans="1:5">
      <c r="A2" s="636" t="s">
        <v>2</v>
      </c>
      <c r="B2" s="637" t="s">
        <v>3</v>
      </c>
      <c r="C2" s="65" t="s">
        <v>4</v>
      </c>
      <c r="D2" s="638" t="s">
        <v>5</v>
      </c>
      <c r="E2" s="65" t="s">
        <v>6</v>
      </c>
    </row>
    <row r="3" spans="1:4">
      <c r="A3" s="636"/>
      <c r="B3" s="3" t="s">
        <v>7</v>
      </c>
      <c r="C3" s="65" t="s">
        <v>8</v>
      </c>
      <c r="D3" s="639" t="s">
        <v>9</v>
      </c>
    </row>
    <row r="4" ht="129.6" spans="1:5">
      <c r="A4" s="636"/>
      <c r="B4" s="5" t="s">
        <v>10</v>
      </c>
      <c r="C4" s="65" t="s">
        <v>11</v>
      </c>
      <c r="D4" s="638" t="s">
        <v>12</v>
      </c>
      <c r="E4" s="65"/>
    </row>
    <row r="5" ht="72" spans="1:5">
      <c r="A5" s="636"/>
      <c r="B5" s="5" t="s">
        <v>13</v>
      </c>
      <c r="C5" s="65" t="s">
        <v>14</v>
      </c>
      <c r="D5" s="640" t="s">
        <v>15</v>
      </c>
      <c r="E5" s="65"/>
    </row>
    <row r="6" ht="135" customHeight="1" spans="1:4">
      <c r="A6" s="636"/>
      <c r="B6" s="3" t="s">
        <v>16</v>
      </c>
      <c r="C6" s="65" t="s">
        <v>17</v>
      </c>
      <c r="D6" s="65" t="s">
        <v>18</v>
      </c>
    </row>
    <row r="7" ht="83.25" customHeight="1" spans="1:4">
      <c r="A7" s="2"/>
      <c r="B7" s="641" t="s">
        <v>19</v>
      </c>
      <c r="C7" s="65" t="s">
        <v>20</v>
      </c>
      <c r="D7" s="65" t="s">
        <v>21</v>
      </c>
    </row>
    <row r="8" spans="1:1">
      <c r="A8" s="642" t="s">
        <v>22</v>
      </c>
    </row>
    <row r="9" ht="15.75" customHeight="1" spans="1:3">
      <c r="A9" s="643" t="s">
        <v>23</v>
      </c>
      <c r="B9" s="641" t="s">
        <v>24</v>
      </c>
      <c r="C9" s="65"/>
    </row>
    <row r="10" spans="1:3">
      <c r="A10" s="643"/>
      <c r="B10" s="641" t="s">
        <v>25</v>
      </c>
      <c r="C10" s="65"/>
    </row>
    <row r="11" spans="1:2">
      <c r="A11" s="643"/>
      <c r="B11"/>
    </row>
    <row r="12" spans="1:2">
      <c r="A12" s="643"/>
      <c r="B12" s="641"/>
    </row>
    <row r="13" spans="1:3">
      <c r="A13" s="644" t="s">
        <v>26</v>
      </c>
      <c r="B13" s="641" t="s">
        <v>27</v>
      </c>
      <c r="C13" s="65"/>
    </row>
    <row r="14" spans="1:3">
      <c r="A14" s="644"/>
      <c r="B14" s="641" t="s">
        <v>28</v>
      </c>
      <c r="C14" s="65"/>
    </row>
    <row r="15" spans="1:2">
      <c r="A15" s="645" t="s">
        <v>29</v>
      </c>
      <c r="B15" s="646" t="s">
        <v>30</v>
      </c>
    </row>
    <row r="16" spans="1:2">
      <c r="A16" s="645"/>
      <c r="B16" s="646" t="s">
        <v>31</v>
      </c>
    </row>
    <row r="17" spans="1:2">
      <c r="A17" s="645"/>
      <c r="B17" s="646" t="s">
        <v>32</v>
      </c>
    </row>
    <row r="18" ht="18" customHeight="1" spans="1:2">
      <c r="A18" s="645"/>
      <c r="B18" s="646" t="s">
        <v>33</v>
      </c>
    </row>
    <row r="19" spans="1:3">
      <c r="A19" s="644" t="s">
        <v>34</v>
      </c>
      <c r="B19" s="641" t="s">
        <v>35</v>
      </c>
      <c r="C19" s="65"/>
    </row>
    <row r="20" ht="28.2" spans="1:3">
      <c r="A20" s="644"/>
      <c r="B20" s="647" t="s">
        <v>36</v>
      </c>
      <c r="C20" s="65"/>
    </row>
    <row r="21" spans="1:3">
      <c r="A21" s="644"/>
      <c r="B21" t="s">
        <v>37</v>
      </c>
      <c r="C21" s="65"/>
    </row>
    <row r="22" ht="15.6" spans="1:3">
      <c r="A22" s="644"/>
      <c r="B22" s="648" t="s">
        <v>38</v>
      </c>
      <c r="C22" s="65"/>
    </row>
    <row r="23" spans="1:3">
      <c r="A23" s="644"/>
      <c r="B23" s="641" t="s">
        <v>39</v>
      </c>
      <c r="C23" s="65"/>
    </row>
    <row r="26" spans="1:1">
      <c r="A26" t="s">
        <v>22</v>
      </c>
    </row>
    <row r="27" ht="27.6" spans="1:2">
      <c r="A27" t="s">
        <v>40</v>
      </c>
      <c r="B27" s="65" t="s">
        <v>41</v>
      </c>
    </row>
    <row r="28" ht="27.6" spans="1:2">
      <c r="A28" t="s">
        <v>42</v>
      </c>
      <c r="B28" s="65" t="s">
        <v>43</v>
      </c>
    </row>
    <row r="29" ht="28.8" spans="1:2">
      <c r="A29" t="s">
        <v>44</v>
      </c>
      <c r="B29" s="65" t="s">
        <v>45</v>
      </c>
    </row>
    <row r="30" spans="1:1">
      <c r="A30" s="641" t="s">
        <v>46</v>
      </c>
    </row>
    <row r="31" ht="15.15"/>
    <row r="32" spans="1:2">
      <c r="A32" s="649" t="s">
        <v>47</v>
      </c>
      <c r="B32" s="650" t="s">
        <v>48</v>
      </c>
    </row>
    <row r="33" spans="1:2">
      <c r="A33" s="651" t="s">
        <v>49</v>
      </c>
      <c r="B33" s="652">
        <v>0.15</v>
      </c>
    </row>
    <row r="34" spans="1:2">
      <c r="A34" s="651" t="s">
        <v>50</v>
      </c>
      <c r="B34" s="652">
        <v>0.3</v>
      </c>
    </row>
    <row r="35" spans="1:2">
      <c r="A35" s="651" t="s">
        <v>51</v>
      </c>
      <c r="B35" s="652">
        <v>0.3</v>
      </c>
    </row>
    <row r="36" spans="1:2">
      <c r="A36" s="651" t="s">
        <v>52</v>
      </c>
      <c r="B36" s="652">
        <v>0.3</v>
      </c>
    </row>
    <row r="37" spans="1:2">
      <c r="A37" s="651" t="s">
        <v>53</v>
      </c>
      <c r="B37" s="652">
        <v>0.3</v>
      </c>
    </row>
    <row r="38" spans="1:2">
      <c r="A38" s="651" t="s">
        <v>54</v>
      </c>
      <c r="B38" s="652">
        <v>0.3</v>
      </c>
    </row>
    <row r="39" spans="1:2">
      <c r="A39" s="651" t="s">
        <v>55</v>
      </c>
      <c r="B39" s="652">
        <v>0.3</v>
      </c>
    </row>
    <row r="40" spans="1:2">
      <c r="A40" s="651" t="s">
        <v>56</v>
      </c>
      <c r="B40" s="652">
        <v>0.3</v>
      </c>
    </row>
    <row r="41" spans="1:2">
      <c r="A41" s="651" t="s">
        <v>57</v>
      </c>
      <c r="B41" s="652">
        <v>0.3</v>
      </c>
    </row>
    <row r="42" spans="1:2">
      <c r="A42" s="651" t="s">
        <v>58</v>
      </c>
      <c r="B42" s="652">
        <v>0.3</v>
      </c>
    </row>
    <row r="43" spans="1:2">
      <c r="A43" s="651" t="s">
        <v>59</v>
      </c>
      <c r="B43" s="652">
        <v>0.3</v>
      </c>
    </row>
    <row r="44" ht="15.15" spans="1:2">
      <c r="A44" s="653" t="s">
        <v>60</v>
      </c>
      <c r="B44" s="654">
        <v>0.3</v>
      </c>
    </row>
    <row r="46" ht="28.8" spans="1:2">
      <c r="A46" s="65" t="s">
        <v>61</v>
      </c>
      <c r="B46" s="65" t="s">
        <v>62</v>
      </c>
    </row>
  </sheetData>
  <mergeCells count="4">
    <mergeCell ref="A9:A12"/>
    <mergeCell ref="A13:A14"/>
    <mergeCell ref="A15:A18"/>
    <mergeCell ref="A19:A23"/>
  </mergeCells>
  <hyperlinks>
    <hyperlink ref="D3" r:id="rId1" display="www.alexa.com/siteinfo"/>
    <hyperlink ref="D4" r:id="rId2" display="www.similarweb.com/website/estore.honda.com"/>
  </hyperlinks>
  <pageMargins left="0.7" right="0.7" top="0.75" bottom="0.75" header="0.3" footer="0.3"/>
  <pageSetup paperSize="9" orientation="portrait" horizontalDpi="2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R51"/>
  <sheetViews>
    <sheetView topLeftCell="E1" workbookViewId="0">
      <selection activeCell="CQ11" sqref="CQ11"/>
    </sheetView>
  </sheetViews>
  <sheetFormatPr defaultColWidth="8.88888888888889" defaultRowHeight="15.6"/>
  <cols>
    <col min="1" max="1" width="16.8888888888889" style="258" customWidth="1"/>
    <col min="2" max="2" width="36.5555555555556" style="260" hidden="1" customWidth="1"/>
    <col min="3" max="3" width="32.3333333333333" style="260" hidden="1" customWidth="1"/>
    <col min="4" max="4" width="13.5555555555556" style="548" customWidth="1"/>
    <col min="5" max="5" width="9.88888888888889" style="258" customWidth="1"/>
    <col min="6" max="8" width="11.5555555555556" style="258" customWidth="1"/>
    <col min="9" max="21" width="11.5555555555556" style="258" hidden="1" customWidth="1"/>
    <col min="22" max="34" width="10.2222222222222" style="258" hidden="1" customWidth="1"/>
    <col min="35" max="38" width="10.8888888888889" style="258" hidden="1" customWidth="1"/>
    <col min="39" max="40" width="11.3333333333333" style="258" hidden="1" customWidth="1"/>
    <col min="41" max="41" width="9.33333333333333" style="258" hidden="1" customWidth="1"/>
    <col min="42" max="42" width="8.44444444444444" style="258" hidden="1" customWidth="1"/>
    <col min="43" max="45" width="12" style="549" customWidth="1"/>
    <col min="46" max="56" width="12" style="549" hidden="1" customWidth="1"/>
    <col min="57" max="57" width="11.8888888888889" style="549" hidden="1" customWidth="1"/>
    <col min="58" max="61" width="12" style="549" hidden="1" customWidth="1"/>
    <col min="62" max="71" width="10.2222222222222" style="549" hidden="1" customWidth="1"/>
    <col min="72" max="73" width="10.1111111111111" style="549" hidden="1" customWidth="1"/>
    <col min="74" max="75" width="11" style="549" hidden="1" customWidth="1"/>
    <col min="76" max="80" width="11" style="258" hidden="1" customWidth="1"/>
    <col min="81" max="86" width="11" style="549" hidden="1" customWidth="1"/>
    <col min="87" max="90" width="11" style="258" hidden="1" customWidth="1"/>
    <col min="91" max="91" width="11" style="549" hidden="1" customWidth="1"/>
    <col min="92" max="92" width="11" style="258" hidden="1" customWidth="1"/>
    <col min="93" max="93" width="10" style="550" customWidth="1"/>
    <col min="94" max="94" width="8.77777777777778" style="551" hidden="1" customWidth="1"/>
    <col min="95" max="95" width="110.777777777778" style="361" customWidth="1"/>
    <col min="96" max="96" width="15.5555555555556" style="258"/>
    <col min="97" max="16384" width="8.88888888888889" style="258"/>
  </cols>
  <sheetData>
    <row r="1" s="546" customFormat="1" ht="48.6" spans="1:95">
      <c r="A1" s="552" t="s">
        <v>63</v>
      </c>
      <c r="B1" s="553" t="s">
        <v>64</v>
      </c>
      <c r="C1" s="553" t="s">
        <v>65</v>
      </c>
      <c r="D1" s="554" t="s">
        <v>66</v>
      </c>
      <c r="E1" s="552" t="s">
        <v>67</v>
      </c>
      <c r="F1" s="555" t="s">
        <v>68</v>
      </c>
      <c r="G1" s="553" t="s">
        <v>69</v>
      </c>
      <c r="H1" s="553" t="s">
        <v>70</v>
      </c>
      <c r="I1" s="553" t="s">
        <v>71</v>
      </c>
      <c r="J1" s="553" t="s">
        <v>72</v>
      </c>
      <c r="K1" s="553" t="s">
        <v>73</v>
      </c>
      <c r="L1" s="553" t="s">
        <v>74</v>
      </c>
      <c r="M1" s="553" t="s">
        <v>75</v>
      </c>
      <c r="N1" s="553" t="s">
        <v>76</v>
      </c>
      <c r="O1" s="553" t="s">
        <v>77</v>
      </c>
      <c r="P1" s="553" t="s">
        <v>78</v>
      </c>
      <c r="Q1" s="553" t="s">
        <v>79</v>
      </c>
      <c r="R1" s="553" t="s">
        <v>80</v>
      </c>
      <c r="S1" s="552" t="s">
        <v>81</v>
      </c>
      <c r="T1" s="552" t="s">
        <v>70</v>
      </c>
      <c r="U1" s="552" t="s">
        <v>71</v>
      </c>
      <c r="V1" s="552" t="s">
        <v>72</v>
      </c>
      <c r="W1" s="552" t="s">
        <v>73</v>
      </c>
      <c r="X1" s="552" t="s">
        <v>74</v>
      </c>
      <c r="Y1" s="552" t="s">
        <v>75</v>
      </c>
      <c r="Z1" s="552" t="s">
        <v>76</v>
      </c>
      <c r="AA1" s="552" t="s">
        <v>77</v>
      </c>
      <c r="AB1" s="552" t="s">
        <v>78</v>
      </c>
      <c r="AC1" s="552" t="s">
        <v>79</v>
      </c>
      <c r="AD1" s="552" t="s">
        <v>80</v>
      </c>
      <c r="AE1" s="552" t="s">
        <v>81</v>
      </c>
      <c r="AF1" s="552" t="s">
        <v>70</v>
      </c>
      <c r="AG1" s="552" t="s">
        <v>71</v>
      </c>
      <c r="AH1" s="552" t="s">
        <v>72</v>
      </c>
      <c r="AI1" s="552" t="s">
        <v>73</v>
      </c>
      <c r="AJ1" s="552" t="s">
        <v>74</v>
      </c>
      <c r="AK1" s="552" t="s">
        <v>75</v>
      </c>
      <c r="AL1" s="552" t="s">
        <v>76</v>
      </c>
      <c r="AM1" s="552" t="s">
        <v>77</v>
      </c>
      <c r="AN1" s="552" t="s">
        <v>82</v>
      </c>
      <c r="AO1" s="552" t="s">
        <v>83</v>
      </c>
      <c r="AP1" s="552" t="s">
        <v>84</v>
      </c>
      <c r="AQ1" s="601" t="s">
        <v>85</v>
      </c>
      <c r="AR1" s="602" t="s">
        <v>86</v>
      </c>
      <c r="AS1" s="602" t="s">
        <v>87</v>
      </c>
      <c r="AT1" s="602" t="s">
        <v>88</v>
      </c>
      <c r="AU1" s="602" t="s">
        <v>89</v>
      </c>
      <c r="AV1" s="602" t="s">
        <v>90</v>
      </c>
      <c r="AW1" s="602" t="s">
        <v>91</v>
      </c>
      <c r="AX1" s="602" t="s">
        <v>92</v>
      </c>
      <c r="AY1" s="602" t="s">
        <v>93</v>
      </c>
      <c r="AZ1" s="602" t="s">
        <v>94</v>
      </c>
      <c r="BA1" s="602" t="s">
        <v>95</v>
      </c>
      <c r="BB1" s="602" t="s">
        <v>96</v>
      </c>
      <c r="BC1" s="602" t="s">
        <v>97</v>
      </c>
      <c r="BD1" s="614" t="s">
        <v>98</v>
      </c>
      <c r="BE1" s="614" t="s">
        <v>99</v>
      </c>
      <c r="BF1" s="614" t="s">
        <v>100</v>
      </c>
      <c r="BG1" s="614" t="s">
        <v>101</v>
      </c>
      <c r="BH1" s="614" t="s">
        <v>102</v>
      </c>
      <c r="BI1" s="614" t="s">
        <v>103</v>
      </c>
      <c r="BJ1" s="614" t="s">
        <v>104</v>
      </c>
      <c r="BK1" s="614" t="s">
        <v>105</v>
      </c>
      <c r="BL1" s="614" t="s">
        <v>106</v>
      </c>
      <c r="BM1" s="614" t="s">
        <v>107</v>
      </c>
      <c r="BN1" s="614" t="s">
        <v>108</v>
      </c>
      <c r="BO1" s="614" t="s">
        <v>109</v>
      </c>
      <c r="BP1" s="614" t="s">
        <v>110</v>
      </c>
      <c r="BQ1" s="614" t="s">
        <v>111</v>
      </c>
      <c r="BR1" s="614" t="s">
        <v>112</v>
      </c>
      <c r="BS1" s="614" t="s">
        <v>113</v>
      </c>
      <c r="BT1" s="614" t="s">
        <v>114</v>
      </c>
      <c r="BU1" s="614" t="s">
        <v>115</v>
      </c>
      <c r="BV1" s="614" t="s">
        <v>116</v>
      </c>
      <c r="BW1" s="614" t="s">
        <v>117</v>
      </c>
      <c r="BX1" s="614" t="s">
        <v>118</v>
      </c>
      <c r="BY1" s="614" t="s">
        <v>119</v>
      </c>
      <c r="BZ1" s="614" t="s">
        <v>120</v>
      </c>
      <c r="CA1" s="614" t="s">
        <v>121</v>
      </c>
      <c r="CB1" s="614" t="s">
        <v>122</v>
      </c>
      <c r="CC1" s="614" t="s">
        <v>123</v>
      </c>
      <c r="CD1" s="614" t="s">
        <v>124</v>
      </c>
      <c r="CE1" s="614" t="s">
        <v>125</v>
      </c>
      <c r="CF1" s="614" t="s">
        <v>126</v>
      </c>
      <c r="CG1" s="614" t="s">
        <v>127</v>
      </c>
      <c r="CH1" s="614" t="s">
        <v>128</v>
      </c>
      <c r="CI1" s="614" t="s">
        <v>129</v>
      </c>
      <c r="CJ1" s="614" t="s">
        <v>130</v>
      </c>
      <c r="CK1" s="614" t="s">
        <v>131</v>
      </c>
      <c r="CL1" s="614" t="s">
        <v>132</v>
      </c>
      <c r="CM1" s="614" t="s">
        <v>133</v>
      </c>
      <c r="CN1" s="614" t="s">
        <v>134</v>
      </c>
      <c r="CO1" s="591" t="s">
        <v>135</v>
      </c>
      <c r="CP1" s="591" t="s">
        <v>136</v>
      </c>
      <c r="CQ1" s="625" t="s">
        <v>137</v>
      </c>
    </row>
    <row r="2" ht="17.4" spans="1:96">
      <c r="A2" s="556" t="s">
        <v>138</v>
      </c>
      <c r="B2" s="557" t="s">
        <v>139</v>
      </c>
      <c r="C2" s="557"/>
      <c r="D2" s="558">
        <f>'竞争者-202402'!F11</f>
        <v>2530324.072226</v>
      </c>
      <c r="E2" s="559">
        <f t="shared" ref="E2:E14" si="0">D2/$D$15</f>
        <v>0.181598662553447</v>
      </c>
      <c r="F2" s="558">
        <f>VLOOKUP(B2,'竞争者-202402'!B:F,5,FALSE)</f>
        <v>1404207.16666667</v>
      </c>
      <c r="G2" s="560">
        <v>1316000</v>
      </c>
      <c r="H2" s="560">
        <v>1332583.33333333</v>
      </c>
      <c r="I2" s="560">
        <v>1443250</v>
      </c>
      <c r="J2" s="560">
        <v>1484000</v>
      </c>
      <c r="K2" s="560">
        <v>1308250</v>
      </c>
      <c r="L2" s="560">
        <v>1236083.33333333</v>
      </c>
      <c r="M2" s="560">
        <v>1161000</v>
      </c>
      <c r="N2" s="560">
        <v>1194645.83333333</v>
      </c>
      <c r="O2" s="560">
        <v>1312041.66666667</v>
      </c>
      <c r="P2" s="560">
        <v>1378729.16666667</v>
      </c>
      <c r="Q2" s="560">
        <v>1421333.33333333</v>
      </c>
      <c r="R2" s="560">
        <v>1298833.33333333</v>
      </c>
      <c r="S2" s="592">
        <v>1149583.33333333</v>
      </c>
      <c r="T2" s="592">
        <v>1150833.33333333</v>
      </c>
      <c r="U2" s="592">
        <v>1200750</v>
      </c>
      <c r="V2" s="592">
        <v>1204466.66666667</v>
      </c>
      <c r="W2" s="592">
        <v>1094266.66666667</v>
      </c>
      <c r="X2" s="592">
        <v>1011796.58333333</v>
      </c>
      <c r="Y2" s="592">
        <v>1090293.16666667</v>
      </c>
      <c r="Z2" s="592">
        <v>1125007.16666667</v>
      </c>
      <c r="AA2" s="592">
        <v>1270218.16666667</v>
      </c>
      <c r="AB2" s="592">
        <v>1187902.25</v>
      </c>
      <c r="AC2" s="592">
        <v>1117150</v>
      </c>
      <c r="AD2" s="592">
        <v>1026466.66666667</v>
      </c>
      <c r="AE2" s="592">
        <v>1022733.33333333</v>
      </c>
      <c r="AF2" s="592">
        <v>973406.5</v>
      </c>
      <c r="AG2" s="592">
        <v>991957.916666667</v>
      </c>
      <c r="AH2" s="592">
        <v>918491.25</v>
      </c>
      <c r="AI2" s="592">
        <v>960823.583333333</v>
      </c>
      <c r="AJ2" s="592">
        <v>941346</v>
      </c>
      <c r="AK2" s="592">
        <v>964033.833333333</v>
      </c>
      <c r="AL2" s="592">
        <v>838680.583333333</v>
      </c>
      <c r="AM2" s="592">
        <v>805043.321428571</v>
      </c>
      <c r="AN2" s="592">
        <v>781550.583333333</v>
      </c>
      <c r="AO2" s="592" t="e">
        <f>#REF!</f>
        <v>#REF!</v>
      </c>
      <c r="AP2" s="603"/>
      <c r="AQ2" s="604">
        <f t="shared" ref="AQ2:AQ14" si="1">(F2+AP2)/D2</f>
        <v>0.554951510788635</v>
      </c>
      <c r="AR2" s="605">
        <v>0.566390716806567</v>
      </c>
      <c r="AS2" s="605">
        <v>0.611634474796333</v>
      </c>
      <c r="AT2" s="605">
        <v>0.617999075062569</v>
      </c>
      <c r="AU2" s="605">
        <v>0.604224111726319</v>
      </c>
      <c r="AV2" s="605">
        <v>0.571823205362833</v>
      </c>
      <c r="AW2" s="605">
        <v>0.572137832187349</v>
      </c>
      <c r="AX2" s="605">
        <v>0.544282853146901</v>
      </c>
      <c r="AY2" s="605">
        <v>0.513309550773037</v>
      </c>
      <c r="AZ2" s="605">
        <v>0.53525393620801</v>
      </c>
      <c r="BA2" s="605">
        <v>0.523149843909333</v>
      </c>
      <c r="BB2" s="605">
        <v>0.526115937370734</v>
      </c>
      <c r="BC2" s="605">
        <v>0.525844767628637</v>
      </c>
      <c r="BD2" s="576">
        <v>0.507611194743587</v>
      </c>
      <c r="BE2" s="576">
        <v>0.54213648884773</v>
      </c>
      <c r="BF2" s="576">
        <v>0.53064290615984</v>
      </c>
      <c r="BG2" s="576">
        <v>0.512622626385865</v>
      </c>
      <c r="BH2" s="576">
        <v>0.491894373969336</v>
      </c>
      <c r="BI2" s="576">
        <v>0.457447234171004</v>
      </c>
      <c r="BJ2" s="576">
        <v>0.464467479102899</v>
      </c>
      <c r="BK2" s="576">
        <v>0.492937888176988</v>
      </c>
      <c r="BL2" s="576">
        <v>0.539122614756803</v>
      </c>
      <c r="BM2" s="576">
        <v>0.515054609278011</v>
      </c>
      <c r="BN2" s="576">
        <v>0.496014068272919</v>
      </c>
      <c r="BO2" s="576">
        <v>0.498845506522827</v>
      </c>
      <c r="BP2" s="576">
        <v>0.489055069637907</v>
      </c>
      <c r="BQ2" s="576">
        <v>0.455922942324228</v>
      </c>
      <c r="BR2" s="576">
        <v>0.502601423160429</v>
      </c>
      <c r="BS2" s="576">
        <v>0.478771170090617</v>
      </c>
      <c r="BT2" s="576">
        <v>0.489093341123839</v>
      </c>
      <c r="BU2" s="576">
        <v>0.50005305466729</v>
      </c>
      <c r="BV2" s="576">
        <v>0.545875657305739</v>
      </c>
      <c r="BW2" s="576">
        <v>0.510427737838439</v>
      </c>
      <c r="BX2" s="618">
        <v>0.506681664096406</v>
      </c>
      <c r="BY2" s="576">
        <v>0.536342056800998</v>
      </c>
      <c r="BZ2" s="576">
        <v>0.548922775759764</v>
      </c>
      <c r="CA2" s="576">
        <v>0.540446346287344</v>
      </c>
      <c r="CB2" s="576">
        <v>0.526924623169366</v>
      </c>
      <c r="CC2" s="576">
        <v>0.527858368448933</v>
      </c>
      <c r="CD2" s="576">
        <v>0.57657455204413</v>
      </c>
      <c r="CE2" s="576">
        <v>0.616914578333081</v>
      </c>
      <c r="CF2" s="576">
        <v>0.638475892465985</v>
      </c>
      <c r="CG2" s="576">
        <v>0.664409449023705</v>
      </c>
      <c r="CH2" s="576">
        <v>0.632093851190284</v>
      </c>
      <c r="CI2" s="576">
        <v>0.57782246858157</v>
      </c>
      <c r="CJ2" s="576">
        <v>0.6108</v>
      </c>
      <c r="CK2" s="576">
        <v>0.576180676445119</v>
      </c>
      <c r="CL2" s="576">
        <v>0.612827907187457</v>
      </c>
      <c r="CM2" s="576">
        <v>0.570083986989318</v>
      </c>
      <c r="CN2" s="576">
        <v>0.559</v>
      </c>
      <c r="CO2" s="626">
        <f>AQ2-AR2</f>
        <v>-0.011439206017932</v>
      </c>
      <c r="CP2" s="627">
        <f t="shared" ref="CP2:CP15" si="2">F2/T2-1</f>
        <v>0.220165532223033</v>
      </c>
      <c r="CQ2" s="628" t="s">
        <v>140</v>
      </c>
      <c r="CR2" s="551"/>
    </row>
    <row r="3" ht="17.4" spans="1:96">
      <c r="A3" s="556" t="s">
        <v>141</v>
      </c>
      <c r="B3" s="561" t="s">
        <v>142</v>
      </c>
      <c r="C3" s="557" t="s">
        <v>143</v>
      </c>
      <c r="D3" s="558">
        <f>'竞争者-202402'!F23</f>
        <v>2112033.31166667</v>
      </c>
      <c r="E3" s="559">
        <f t="shared" si="0"/>
        <v>0.151578380365161</v>
      </c>
      <c r="F3" s="558">
        <f>VLOOKUP(B3,'竞争者-202402'!B:F,5,FALSE)</f>
        <v>885641.916666667</v>
      </c>
      <c r="G3" s="560">
        <v>811247.916666667</v>
      </c>
      <c r="H3" s="560">
        <v>779707.25</v>
      </c>
      <c r="I3" s="560">
        <v>753589.583333333</v>
      </c>
      <c r="J3" s="560">
        <v>748152.583333333</v>
      </c>
      <c r="K3" s="560">
        <v>635236.416666667</v>
      </c>
      <c r="L3" s="560">
        <v>612904.833333333</v>
      </c>
      <c r="M3" s="560">
        <v>621480.333333333</v>
      </c>
      <c r="N3" s="560">
        <v>562677.916666667</v>
      </c>
      <c r="O3" s="560">
        <v>599643.5</v>
      </c>
      <c r="P3" s="560">
        <v>578657.916666667</v>
      </c>
      <c r="Q3" s="560">
        <v>581837.666666667</v>
      </c>
      <c r="R3" s="560">
        <v>556573.083333333</v>
      </c>
      <c r="S3" s="592">
        <v>524740.333333333</v>
      </c>
      <c r="T3" s="592">
        <v>506654</v>
      </c>
      <c r="U3" s="592">
        <v>541471.75</v>
      </c>
      <c r="V3" s="592">
        <v>544041.166666667</v>
      </c>
      <c r="W3" s="592">
        <v>498236.083333333</v>
      </c>
      <c r="X3" s="592">
        <v>472302.75</v>
      </c>
      <c r="Y3" s="592">
        <v>479896.25</v>
      </c>
      <c r="Z3" s="592">
        <v>550809.916666667</v>
      </c>
      <c r="AA3" s="592">
        <v>598768.083333333</v>
      </c>
      <c r="AB3" s="592">
        <v>601781.166666667</v>
      </c>
      <c r="AC3" s="592">
        <v>582653.75</v>
      </c>
      <c r="AD3" s="592">
        <v>539694.416666667</v>
      </c>
      <c r="AE3" s="592">
        <v>588260.083333333</v>
      </c>
      <c r="AF3" s="592">
        <v>585865.5</v>
      </c>
      <c r="AG3" s="592">
        <v>605758.333333333</v>
      </c>
      <c r="AH3" s="592">
        <v>566473.666666667</v>
      </c>
      <c r="AI3" s="592">
        <v>509216.833333333</v>
      </c>
      <c r="AJ3" s="592">
        <v>492268.083333333</v>
      </c>
      <c r="AK3" s="592">
        <v>447346.75</v>
      </c>
      <c r="AL3" s="592">
        <v>418305.916666667</v>
      </c>
      <c r="AM3" s="592">
        <v>392823.345238095</v>
      </c>
      <c r="AN3" s="592">
        <v>410815.083333333</v>
      </c>
      <c r="AO3" s="592" t="e">
        <f>#REF!</f>
        <v>#REF!</v>
      </c>
      <c r="AP3" s="603"/>
      <c r="AQ3" s="604">
        <f t="shared" si="1"/>
        <v>0.419331414790887</v>
      </c>
      <c r="AR3" s="605">
        <v>0.408887129089049</v>
      </c>
      <c r="AS3" s="605">
        <v>0.398923002498232</v>
      </c>
      <c r="AT3" s="605">
        <v>0.371037150212323</v>
      </c>
      <c r="AU3" s="605">
        <v>0.355682331079862</v>
      </c>
      <c r="AV3" s="605">
        <v>0.30185431019603</v>
      </c>
      <c r="AW3" s="605">
        <v>0.291077547959366</v>
      </c>
      <c r="AX3" s="605">
        <v>0.29209638371747</v>
      </c>
      <c r="AY3" s="605">
        <v>0.289311855879896</v>
      </c>
      <c r="AZ3" s="605">
        <v>0.315627214435687</v>
      </c>
      <c r="BA3" s="605">
        <v>0.343691060224751</v>
      </c>
      <c r="BB3" s="605">
        <v>0.323485474711538</v>
      </c>
      <c r="BC3" s="605">
        <v>0.309889369452836</v>
      </c>
      <c r="BD3" s="576">
        <v>0.352515702409014</v>
      </c>
      <c r="BE3" s="576">
        <v>0.344259141423053</v>
      </c>
      <c r="BF3" s="576">
        <v>0.358216318392178</v>
      </c>
      <c r="BG3" s="576">
        <v>0.339016154637654</v>
      </c>
      <c r="BH3" s="576">
        <v>0.306055334581484</v>
      </c>
      <c r="BI3" s="576">
        <v>0.291560378772518</v>
      </c>
      <c r="BJ3" s="576">
        <v>0.273489004192878</v>
      </c>
      <c r="BK3" s="576">
        <v>0.292847756042342</v>
      </c>
      <c r="BL3" s="576">
        <v>0.290694287389018</v>
      </c>
      <c r="BM3" s="576">
        <v>0.283171281255112</v>
      </c>
      <c r="BN3" s="576">
        <v>0.273850981093138</v>
      </c>
      <c r="BO3" s="576">
        <v>0.289873839731993</v>
      </c>
      <c r="BP3" s="576">
        <v>0.302266507193415</v>
      </c>
      <c r="BQ3" s="576">
        <v>0.30176445388545</v>
      </c>
      <c r="BR3" s="576">
        <v>0.292554192379434</v>
      </c>
      <c r="BS3" s="576">
        <v>0.278190788356027</v>
      </c>
      <c r="BT3" s="576">
        <v>0.266403156696062</v>
      </c>
      <c r="BU3" s="576">
        <v>0.272945193993981</v>
      </c>
      <c r="BV3" s="576">
        <v>0.295932148797948</v>
      </c>
      <c r="BW3" s="576">
        <v>0.284769247924416</v>
      </c>
      <c r="BX3" s="618">
        <v>0.291113512909411</v>
      </c>
      <c r="BY3" s="576">
        <v>0.298241273315162</v>
      </c>
      <c r="BZ3" s="576">
        <v>0.324320029249997</v>
      </c>
      <c r="CA3" s="576">
        <v>0.332780705782297</v>
      </c>
      <c r="CB3" s="576">
        <v>0.344048911390019</v>
      </c>
      <c r="CC3" s="576">
        <v>0.32959575864856</v>
      </c>
      <c r="CD3" s="576">
        <v>0.341333969362752</v>
      </c>
      <c r="CE3" s="576">
        <v>0.359616382859554</v>
      </c>
      <c r="CF3" s="576">
        <v>0.362184167782506</v>
      </c>
      <c r="CG3" s="576">
        <v>0.364666914913186</v>
      </c>
      <c r="CH3" s="576">
        <v>0.352711851441476</v>
      </c>
      <c r="CI3" s="576">
        <v>0.366732880066052</v>
      </c>
      <c r="CJ3" s="576">
        <v>0.342313442533666</v>
      </c>
      <c r="CK3" s="576">
        <v>0.389828174892621</v>
      </c>
      <c r="CL3" s="576">
        <v>0.419884738950958</v>
      </c>
      <c r="CM3" s="605">
        <v>0.455</v>
      </c>
      <c r="CN3" s="576">
        <v>0.312</v>
      </c>
      <c r="CO3" s="626">
        <f t="shared" ref="CO3:CO14" si="3">AQ3-AR3</f>
        <v>0.010444285701838</v>
      </c>
      <c r="CP3" s="627">
        <f t="shared" si="2"/>
        <v>0.748021167634455</v>
      </c>
      <c r="CQ3" s="628" t="s">
        <v>144</v>
      </c>
      <c r="CR3" s="551"/>
    </row>
    <row r="4" ht="17.4" spans="1:96">
      <c r="A4" s="556" t="s">
        <v>145</v>
      </c>
      <c r="B4" s="561" t="s">
        <v>146</v>
      </c>
      <c r="C4" s="557" t="s">
        <v>147</v>
      </c>
      <c r="D4" s="558">
        <f>'竞争者-202402'!F35</f>
        <v>1816871.23333333</v>
      </c>
      <c r="E4" s="559">
        <f t="shared" si="0"/>
        <v>0.130394912504194</v>
      </c>
      <c r="F4" s="558">
        <f>VLOOKUP(B4,'竞争者-202402'!B:F,5,FALSE)</f>
        <v>596083.916666667</v>
      </c>
      <c r="G4" s="560">
        <v>582663.583333333</v>
      </c>
      <c r="H4" s="560">
        <v>617185.75</v>
      </c>
      <c r="I4" s="560">
        <v>601672.583333333</v>
      </c>
      <c r="J4" s="560">
        <v>617541.416666667</v>
      </c>
      <c r="K4" s="560">
        <v>582325.5</v>
      </c>
      <c r="L4" s="560">
        <v>544632.5</v>
      </c>
      <c r="M4" s="560">
        <v>544746.166666667</v>
      </c>
      <c r="N4" s="560">
        <v>507164.166666667</v>
      </c>
      <c r="O4" s="560">
        <v>502550.333333333</v>
      </c>
      <c r="P4" s="560">
        <v>441050.75</v>
      </c>
      <c r="Q4" s="560">
        <v>432795.5</v>
      </c>
      <c r="R4" s="560">
        <v>428907</v>
      </c>
      <c r="S4" s="592">
        <v>425861</v>
      </c>
      <c r="T4" s="592">
        <v>426970.416666667</v>
      </c>
      <c r="U4" s="592">
        <v>463014.833333333</v>
      </c>
      <c r="V4" s="592">
        <v>522581.333333333</v>
      </c>
      <c r="W4" s="592">
        <v>533290.75</v>
      </c>
      <c r="X4" s="592">
        <v>485471.416666667</v>
      </c>
      <c r="Y4" s="592">
        <v>423660.833333333</v>
      </c>
      <c r="Z4" s="592">
        <v>463051.333333333</v>
      </c>
      <c r="AA4" s="592">
        <v>509400.25</v>
      </c>
      <c r="AB4" s="592">
        <v>475086.583333333</v>
      </c>
      <c r="AC4" s="592">
        <v>440016.666666667</v>
      </c>
      <c r="AD4" s="592">
        <v>376681</v>
      </c>
      <c r="AE4" s="592">
        <v>365754.333333333</v>
      </c>
      <c r="AF4" s="592">
        <v>357323.583333333</v>
      </c>
      <c r="AG4" s="592">
        <v>395795.25</v>
      </c>
      <c r="AH4" s="592">
        <v>415057.833333333</v>
      </c>
      <c r="AI4" s="592">
        <v>425162.583333333</v>
      </c>
      <c r="AJ4" s="592">
        <v>419839.75</v>
      </c>
      <c r="AK4" s="592">
        <v>386846.25</v>
      </c>
      <c r="AL4" s="592">
        <v>348219</v>
      </c>
      <c r="AM4" s="592">
        <v>313720.05952381</v>
      </c>
      <c r="AN4" s="592">
        <v>337812</v>
      </c>
      <c r="AO4" s="592" t="e">
        <f>#REF!</f>
        <v>#REF!</v>
      </c>
      <c r="AP4" s="603"/>
      <c r="AQ4" s="604">
        <f t="shared" si="1"/>
        <v>0.328082643244375</v>
      </c>
      <c r="AR4" s="605">
        <v>0.314821266005029</v>
      </c>
      <c r="AS4" s="605">
        <v>0.323458505528608</v>
      </c>
      <c r="AT4" s="605">
        <v>0.300354830882224</v>
      </c>
      <c r="AU4" s="605">
        <v>0.299558229274056</v>
      </c>
      <c r="AV4" s="605">
        <v>0.295755001385393</v>
      </c>
      <c r="AW4" s="605">
        <v>0.26435217719107</v>
      </c>
      <c r="AX4" s="605">
        <v>0.265086266963751</v>
      </c>
      <c r="AY4" s="605">
        <v>0.222145681881585</v>
      </c>
      <c r="AZ4" s="605">
        <v>0.205876306455008</v>
      </c>
      <c r="BA4" s="605">
        <v>0.189721031094218</v>
      </c>
      <c r="BB4" s="605">
        <v>0.185589177035631</v>
      </c>
      <c r="BC4" s="605">
        <v>0.189757318069908</v>
      </c>
      <c r="BD4" s="576">
        <v>0.182728779175356</v>
      </c>
      <c r="BE4" s="576">
        <v>0.19000439472958</v>
      </c>
      <c r="BF4" s="576">
        <v>0.202720634928253</v>
      </c>
      <c r="BG4" s="576">
        <v>0.222030192263094</v>
      </c>
      <c r="BH4" s="576">
        <v>0.230664082983256</v>
      </c>
      <c r="BI4" s="576">
        <v>0.216653504707592</v>
      </c>
      <c r="BJ4" s="576">
        <v>0.200512610735208</v>
      </c>
      <c r="BK4" s="576">
        <v>0.209264305159481</v>
      </c>
      <c r="BL4" s="576">
        <v>0.212163490538808</v>
      </c>
      <c r="BM4" s="576">
        <v>0.183408164061644</v>
      </c>
      <c r="BN4" s="576">
        <v>0.166757599663691</v>
      </c>
      <c r="BO4" s="576">
        <v>0.155339134982155</v>
      </c>
      <c r="BP4" s="576">
        <v>0.158814863971226</v>
      </c>
      <c r="BQ4" s="576">
        <v>0.155905445726404</v>
      </c>
      <c r="BR4" s="576">
        <v>0.186139725101028</v>
      </c>
      <c r="BS4" s="576">
        <v>0.185602527535474</v>
      </c>
      <c r="BT4" s="576">
        <v>0.189503527569842</v>
      </c>
      <c r="BU4" s="576">
        <v>0.193548959780127</v>
      </c>
      <c r="BV4" s="576">
        <v>0.193461323786443</v>
      </c>
      <c r="BW4" s="576">
        <v>0.1795683</v>
      </c>
      <c r="BX4" s="618">
        <v>0.1779755</v>
      </c>
      <c r="BY4" s="576">
        <v>0.18161393243808</v>
      </c>
      <c r="BZ4" s="576">
        <v>0.195107431490482</v>
      </c>
      <c r="CA4" s="576">
        <v>0.2051249</v>
      </c>
      <c r="CB4" s="576">
        <v>0.208190995215593</v>
      </c>
      <c r="CC4" s="576">
        <v>0.218628524156989</v>
      </c>
      <c r="CD4" s="576">
        <v>0.229131591271934</v>
      </c>
      <c r="CE4" s="576">
        <v>0.223011603561087</v>
      </c>
      <c r="CF4" s="576">
        <v>0.232757089401653</v>
      </c>
      <c r="CG4" s="576">
        <v>0.213505212556874</v>
      </c>
      <c r="CH4" s="576">
        <v>0.265754504903001</v>
      </c>
      <c r="CI4" s="576">
        <v>0.249896368276929</v>
      </c>
      <c r="CJ4" s="576">
        <v>0.22885673694197</v>
      </c>
      <c r="CK4" s="576">
        <v>0.251131848572726</v>
      </c>
      <c r="CL4" s="576">
        <v>0.274484631844155</v>
      </c>
      <c r="CM4" s="576">
        <v>0.273209146657386</v>
      </c>
      <c r="CN4" s="576">
        <v>0.188</v>
      </c>
      <c r="CO4" s="626">
        <f t="shared" si="3"/>
        <v>0.0132613772393462</v>
      </c>
      <c r="CP4" s="627">
        <f t="shared" si="2"/>
        <v>0.396077792274835</v>
      </c>
      <c r="CQ4" s="628" t="s">
        <v>148</v>
      </c>
      <c r="CR4" s="551"/>
    </row>
    <row r="5" ht="17.4" spans="1:96">
      <c r="A5" s="556" t="s">
        <v>149</v>
      </c>
      <c r="B5" s="561" t="s">
        <v>150</v>
      </c>
      <c r="C5" s="557"/>
      <c r="D5" s="558">
        <f>'竞争者-202402'!F49</f>
        <v>1543433.55918333</v>
      </c>
      <c r="E5" s="559">
        <f t="shared" si="0"/>
        <v>0.110770581983684</v>
      </c>
      <c r="F5" s="558">
        <f>VLOOKUP(B5,'竞争者-202402'!B:F,5,FALSE)</f>
        <v>610735.833333333</v>
      </c>
      <c r="G5" s="560">
        <v>574116.096666667</v>
      </c>
      <c r="H5" s="560">
        <v>544668.026666667</v>
      </c>
      <c r="I5" s="560">
        <v>540949.623333333</v>
      </c>
      <c r="J5" s="560">
        <v>534481.333333333</v>
      </c>
      <c r="K5" s="560">
        <v>505681.666666667</v>
      </c>
      <c r="L5" s="560">
        <v>468795</v>
      </c>
      <c r="M5" s="560">
        <v>486814.166666667</v>
      </c>
      <c r="N5" s="560">
        <v>491976.083333333</v>
      </c>
      <c r="O5" s="560">
        <v>523866.333333333</v>
      </c>
      <c r="P5" s="560">
        <v>561506.25</v>
      </c>
      <c r="Q5" s="560">
        <v>610330.333333333</v>
      </c>
      <c r="R5" s="560">
        <v>559667.666666667</v>
      </c>
      <c r="S5" s="592">
        <v>500212.916666667</v>
      </c>
      <c r="T5" s="592">
        <v>521458.083333333</v>
      </c>
      <c r="U5" s="592">
        <v>566477.333333333</v>
      </c>
      <c r="V5" s="592">
        <v>589100.083333333</v>
      </c>
      <c r="W5" s="592">
        <v>528538.25</v>
      </c>
      <c r="X5" s="592">
        <v>490518.25</v>
      </c>
      <c r="Y5" s="592">
        <v>515307.666666667</v>
      </c>
      <c r="Z5" s="592">
        <v>552013.166666667</v>
      </c>
      <c r="AA5" s="592">
        <v>645504.833333333</v>
      </c>
      <c r="AB5" s="592">
        <v>628076.583333333</v>
      </c>
      <c r="AC5" s="592">
        <v>604337.083333333</v>
      </c>
      <c r="AD5" s="592">
        <v>516515.083333333</v>
      </c>
      <c r="AE5" s="592">
        <v>542618.75</v>
      </c>
      <c r="AF5" s="592">
        <v>574264.416666667</v>
      </c>
      <c r="AG5" s="592">
        <v>581068.75</v>
      </c>
      <c r="AH5" s="592">
        <v>600378</v>
      </c>
      <c r="AI5" s="592">
        <v>603352.916666667</v>
      </c>
      <c r="AJ5" s="592">
        <v>595748.833333333</v>
      </c>
      <c r="AK5" s="592">
        <v>544831.916666667</v>
      </c>
      <c r="AL5" s="592">
        <v>478748.583333333</v>
      </c>
      <c r="AM5" s="594">
        <v>440923.547619048</v>
      </c>
      <c r="AN5" s="594">
        <v>509698.833333333</v>
      </c>
      <c r="AO5" s="592" t="e">
        <f>#REF!</f>
        <v>#REF!</v>
      </c>
      <c r="AP5" s="603"/>
      <c r="AQ5" s="604">
        <f t="shared" si="1"/>
        <v>0.395699464806563</v>
      </c>
      <c r="AR5" s="605">
        <v>0.36669987750331</v>
      </c>
      <c r="AS5" s="605">
        <v>0.375582164836793</v>
      </c>
      <c r="AT5" s="605">
        <v>0.373462364909511</v>
      </c>
      <c r="AU5" s="605">
        <v>0.366332309995353</v>
      </c>
      <c r="AV5" s="605">
        <v>0.380975386744148</v>
      </c>
      <c r="AW5" s="605">
        <v>0.350949944333293</v>
      </c>
      <c r="AX5" s="605">
        <v>0.350487029270765</v>
      </c>
      <c r="AY5" s="605">
        <v>0.359343044451055</v>
      </c>
      <c r="AZ5" s="605">
        <v>0.350476492507442</v>
      </c>
      <c r="BA5" s="605">
        <v>0.355857391512726</v>
      </c>
      <c r="BB5" s="605">
        <v>0.351679812161569</v>
      </c>
      <c r="BC5" s="605">
        <v>0.336990300277897</v>
      </c>
      <c r="BD5" s="576">
        <v>0.308349215171546</v>
      </c>
      <c r="BE5" s="576">
        <v>0.355076451443855</v>
      </c>
      <c r="BF5" s="576">
        <v>0.372798507457305</v>
      </c>
      <c r="BG5" s="576">
        <v>0.368016500505677</v>
      </c>
      <c r="BH5" s="576">
        <v>0.325555573313869</v>
      </c>
      <c r="BI5" s="576">
        <v>0.296521315065844</v>
      </c>
      <c r="BJ5" s="576">
        <v>0.296222286855933</v>
      </c>
      <c r="BK5" s="576">
        <v>0.316910953542891</v>
      </c>
      <c r="BL5" s="576">
        <v>0.344136551355275</v>
      </c>
      <c r="BM5" s="576">
        <v>0.341480534494647</v>
      </c>
      <c r="BN5" s="576">
        <v>0.336092042689405</v>
      </c>
      <c r="BO5" s="576">
        <v>0.329715970152418</v>
      </c>
      <c r="BP5" s="576">
        <v>0.326929686000049</v>
      </c>
      <c r="BQ5" s="576">
        <v>0.32524248284437</v>
      </c>
      <c r="BR5" s="576">
        <v>0.360784047194142</v>
      </c>
      <c r="BS5" s="576">
        <v>0.359819756419288</v>
      </c>
      <c r="BT5" s="576">
        <v>0.420832098365869</v>
      </c>
      <c r="BU5" s="576">
        <v>0.412075743471982</v>
      </c>
      <c r="BV5" s="576">
        <v>0.388279965972096</v>
      </c>
      <c r="BW5" s="576">
        <v>0.358373288886696</v>
      </c>
      <c r="BX5" s="618">
        <v>0.353286272333839</v>
      </c>
      <c r="BY5" s="576">
        <v>0.368470310595206</v>
      </c>
      <c r="BZ5" s="576">
        <v>0.373739686093428</v>
      </c>
      <c r="CA5" s="576">
        <v>0.374174020876325</v>
      </c>
      <c r="CB5" s="576">
        <v>0.376232122690216</v>
      </c>
      <c r="CC5" s="618">
        <v>0.390726991375559</v>
      </c>
      <c r="CD5" s="618">
        <v>0.403345720952726</v>
      </c>
      <c r="CE5" s="618">
        <v>0.383244835494043</v>
      </c>
      <c r="CF5" s="618">
        <v>0.384964524362948</v>
      </c>
      <c r="CG5" s="618">
        <v>0.35242649068677</v>
      </c>
      <c r="CH5" s="618">
        <v>0.412409415419542</v>
      </c>
      <c r="CI5" s="618">
        <v>0.399360508166205</v>
      </c>
      <c r="CJ5" s="618">
        <v>0.4020732600945</v>
      </c>
      <c r="CK5" s="618">
        <v>0.454692188639964</v>
      </c>
      <c r="CL5" s="618">
        <v>0.437844298235859</v>
      </c>
      <c r="CM5" s="618">
        <v>0.443960168023896</v>
      </c>
      <c r="CN5" s="618">
        <v>0.322</v>
      </c>
      <c r="CO5" s="626">
        <f t="shared" si="3"/>
        <v>0.0289995873032534</v>
      </c>
      <c r="CP5" s="627">
        <f t="shared" si="2"/>
        <v>0.171207912684577</v>
      </c>
      <c r="CQ5" s="628" t="s">
        <v>151</v>
      </c>
      <c r="CR5" s="551"/>
    </row>
    <row r="6" ht="17.4" spans="1:96">
      <c r="A6" s="556" t="s">
        <v>152</v>
      </c>
      <c r="B6" s="557" t="s">
        <v>153</v>
      </c>
      <c r="C6" s="557" t="s">
        <v>154</v>
      </c>
      <c r="D6" s="558">
        <f>'竞争者-202402'!F60</f>
        <v>1473053.7196</v>
      </c>
      <c r="E6" s="559">
        <f t="shared" si="0"/>
        <v>0.105719495887896</v>
      </c>
      <c r="F6" s="558">
        <f>VLOOKUP(B6,'竞争者-202402'!B:F,5,FALSE)</f>
        <v>448158.68</v>
      </c>
      <c r="G6" s="560">
        <v>454377.353333333</v>
      </c>
      <c r="H6" s="560">
        <v>498129.75</v>
      </c>
      <c r="I6" s="560">
        <v>534402.25</v>
      </c>
      <c r="J6" s="560">
        <v>465682.833333333</v>
      </c>
      <c r="K6" s="560">
        <v>425781.166666667</v>
      </c>
      <c r="L6" s="560">
        <v>430847.166666667</v>
      </c>
      <c r="M6" s="560">
        <v>427443.416666667</v>
      </c>
      <c r="N6" s="560">
        <v>424786</v>
      </c>
      <c r="O6" s="560">
        <v>422460.5</v>
      </c>
      <c r="P6" s="560">
        <v>428996</v>
      </c>
      <c r="Q6" s="560">
        <v>456276.916666667</v>
      </c>
      <c r="R6" s="560">
        <v>417653.75</v>
      </c>
      <c r="S6" s="592">
        <v>382755.416666667</v>
      </c>
      <c r="T6" s="592">
        <v>436555.583333333</v>
      </c>
      <c r="U6" s="592">
        <v>490593.833333333</v>
      </c>
      <c r="V6" s="592">
        <v>536019.166666667</v>
      </c>
      <c r="W6" s="592">
        <v>504114.5</v>
      </c>
      <c r="X6" s="592">
        <v>488293.25</v>
      </c>
      <c r="Y6" s="592">
        <v>455699.25</v>
      </c>
      <c r="Z6" s="592">
        <v>447950</v>
      </c>
      <c r="AA6" s="592">
        <v>493139.583333333</v>
      </c>
      <c r="AB6" s="592">
        <v>449507.5</v>
      </c>
      <c r="AC6" s="592">
        <v>388795.833333333</v>
      </c>
      <c r="AD6" s="592">
        <v>362832.833333333</v>
      </c>
      <c r="AE6" s="592">
        <v>333586.25</v>
      </c>
      <c r="AF6" s="592">
        <v>319515.5</v>
      </c>
      <c r="AG6" s="592">
        <v>328015.583333333</v>
      </c>
      <c r="AH6" s="592">
        <v>319113.916666667</v>
      </c>
      <c r="AI6" s="592">
        <v>324228.666666667</v>
      </c>
      <c r="AJ6" s="592">
        <v>330754.333333333</v>
      </c>
      <c r="AK6" s="592">
        <v>300834.666666667</v>
      </c>
      <c r="AL6" s="592">
        <v>302312.75</v>
      </c>
      <c r="AM6" s="592">
        <v>276154.285714286</v>
      </c>
      <c r="AN6" s="592">
        <v>311226.916666667</v>
      </c>
      <c r="AO6" s="592" t="e">
        <f>#REF!</f>
        <v>#REF!</v>
      </c>
      <c r="AP6" s="603"/>
      <c r="AQ6" s="604">
        <f t="shared" si="1"/>
        <v>0.304237838740664</v>
      </c>
      <c r="AR6" s="605">
        <v>0.31386413115324</v>
      </c>
      <c r="AS6" s="605">
        <v>0.352859569343912</v>
      </c>
      <c r="AT6" s="605">
        <v>0.343653859673219</v>
      </c>
      <c r="AU6" s="605">
        <v>0.306125481709221</v>
      </c>
      <c r="AV6" s="605">
        <v>0.29314999197907</v>
      </c>
      <c r="AW6" s="605">
        <v>0.30109752738898</v>
      </c>
      <c r="AX6" s="605">
        <v>0.31266890565816</v>
      </c>
      <c r="AY6" s="605">
        <v>0.319852149745689</v>
      </c>
      <c r="AZ6" s="605">
        <v>0.301837639150851</v>
      </c>
      <c r="BA6" s="605">
        <v>0.314975117651462</v>
      </c>
      <c r="BB6" s="605">
        <v>0.30919224805022</v>
      </c>
      <c r="BC6" s="605">
        <v>0.298924449748403</v>
      </c>
      <c r="BD6" s="576">
        <v>0.26545031168208</v>
      </c>
      <c r="BE6" s="576">
        <v>0.344333612966503</v>
      </c>
      <c r="BF6" s="576">
        <v>0.392928336674198</v>
      </c>
      <c r="BG6" s="576">
        <v>0.414872779014033</v>
      </c>
      <c r="BH6" s="576">
        <v>0.395820730519786</v>
      </c>
      <c r="BI6" s="576">
        <v>0.376034914330908</v>
      </c>
      <c r="BJ6" s="576">
        <v>0.361170256968748</v>
      </c>
      <c r="BK6" s="576">
        <v>0.350967474407227</v>
      </c>
      <c r="BL6" s="576">
        <v>0.349693506385942</v>
      </c>
      <c r="BM6" s="576">
        <v>0.32442181696759</v>
      </c>
      <c r="BN6" s="576">
        <v>0.292924684662501</v>
      </c>
      <c r="BO6" s="576">
        <v>0.31092610153256</v>
      </c>
      <c r="BP6" s="576">
        <v>0.281516382701124</v>
      </c>
      <c r="BQ6" s="576">
        <v>0.265954492414971</v>
      </c>
      <c r="BR6" s="576">
        <v>0.259865856642708</v>
      </c>
      <c r="BS6" s="576">
        <v>0.25792432500958</v>
      </c>
      <c r="BT6" s="576">
        <v>0.232642144544351</v>
      </c>
      <c r="BU6" s="576">
        <v>0.226806658755213</v>
      </c>
      <c r="BV6" s="576">
        <v>0.214135230570056</v>
      </c>
      <c r="BW6" s="576">
        <v>0.2257689</v>
      </c>
      <c r="BX6" s="618">
        <v>0.23214893035476</v>
      </c>
      <c r="BY6" s="576">
        <v>0.243347804884071</v>
      </c>
      <c r="BZ6" s="576">
        <v>0.243116486063955</v>
      </c>
      <c r="CA6" s="576">
        <v>0.246047784519073</v>
      </c>
      <c r="CB6" s="576">
        <v>0.253244492549216</v>
      </c>
      <c r="CC6" s="576">
        <v>0.27037982204822</v>
      </c>
      <c r="CD6" s="576">
        <v>0.277708685376141</v>
      </c>
      <c r="CE6" s="576">
        <v>0.299320004181834</v>
      </c>
      <c r="CF6" s="576">
        <v>0.299067547237412</v>
      </c>
      <c r="CG6" s="576">
        <v>0.282098845038809</v>
      </c>
      <c r="CH6" s="576">
        <v>0.289966952825386</v>
      </c>
      <c r="CI6" s="618">
        <v>0.290523597582409</v>
      </c>
      <c r="CJ6" s="618">
        <v>0.279451878586509</v>
      </c>
      <c r="CK6" s="618">
        <v>0.29203196312706</v>
      </c>
      <c r="CL6" s="618">
        <v>0.296091748567549</v>
      </c>
      <c r="CM6" s="576">
        <v>0.367645726320098</v>
      </c>
      <c r="CN6" s="576">
        <v>0.304</v>
      </c>
      <c r="CO6" s="626">
        <f t="shared" si="3"/>
        <v>-0.00962629241257607</v>
      </c>
      <c r="CP6" s="627">
        <f t="shared" si="2"/>
        <v>0.0265787384462506</v>
      </c>
      <c r="CQ6" s="628" t="s">
        <v>155</v>
      </c>
      <c r="CR6" s="551"/>
    </row>
    <row r="7" ht="17.4" spans="1:96">
      <c r="A7" s="556" t="s">
        <v>156</v>
      </c>
      <c r="B7" s="557" t="s">
        <v>157</v>
      </c>
      <c r="C7" s="557"/>
      <c r="D7" s="558">
        <f>'竞争者-202402'!F70</f>
        <v>965318.368333333</v>
      </c>
      <c r="E7" s="559">
        <f t="shared" si="0"/>
        <v>0.0692798707295197</v>
      </c>
      <c r="F7" s="558">
        <f>VLOOKUP(B7,'竞争者-202402'!B:F,5,FALSE)</f>
        <v>395757.916666667</v>
      </c>
      <c r="G7" s="560">
        <v>345626.65</v>
      </c>
      <c r="H7" s="560">
        <v>318301.133333333</v>
      </c>
      <c r="I7" s="560">
        <v>311391.45</v>
      </c>
      <c r="J7" s="560">
        <v>315860.25</v>
      </c>
      <c r="K7" s="560">
        <v>365405.583333333</v>
      </c>
      <c r="L7" s="560">
        <v>349808.863933333</v>
      </c>
      <c r="M7" s="560">
        <v>317456.152033333</v>
      </c>
      <c r="N7" s="560">
        <v>257610.6068</v>
      </c>
      <c r="O7" s="560">
        <v>292341.605833334</v>
      </c>
      <c r="P7" s="560">
        <v>288417.166666667</v>
      </c>
      <c r="Q7" s="560">
        <v>236316.25</v>
      </c>
      <c r="R7" s="560">
        <v>248439.333333333</v>
      </c>
      <c r="S7" s="592">
        <v>253695.75</v>
      </c>
      <c r="T7" s="592">
        <v>278909.416666667</v>
      </c>
      <c r="U7" s="592">
        <v>329867.416666667</v>
      </c>
      <c r="V7" s="592">
        <v>360521.5</v>
      </c>
      <c r="W7" s="592">
        <v>285539.166666667</v>
      </c>
      <c r="X7" s="592">
        <v>282128.5</v>
      </c>
      <c r="Y7" s="592">
        <v>274217.583333333</v>
      </c>
      <c r="Z7" s="592">
        <v>296357</v>
      </c>
      <c r="AA7" s="592">
        <v>307409</v>
      </c>
      <c r="AB7" s="592">
        <v>274290.75</v>
      </c>
      <c r="AC7" s="592">
        <v>231821.5</v>
      </c>
      <c r="AD7" s="592">
        <v>245030.833333333</v>
      </c>
      <c r="AE7" s="592">
        <v>259485.416666667</v>
      </c>
      <c r="AF7" s="592">
        <v>298627.916666667</v>
      </c>
      <c r="AG7" s="592">
        <v>279929.333333333</v>
      </c>
      <c r="AH7" s="592">
        <v>247811.583333333</v>
      </c>
      <c r="AI7" s="592">
        <v>236514.333333333</v>
      </c>
      <c r="AJ7" s="592">
        <v>222871.333333333</v>
      </c>
      <c r="AK7" s="592">
        <v>237950.916666667</v>
      </c>
      <c r="AL7" s="592">
        <v>225582.5</v>
      </c>
      <c r="AM7" s="592">
        <v>211000.416666667</v>
      </c>
      <c r="AN7" s="592">
        <v>186997.333333333</v>
      </c>
      <c r="AO7" s="592" t="e">
        <f>#REF!</f>
        <v>#REF!</v>
      </c>
      <c r="AP7" s="603"/>
      <c r="AQ7" s="604">
        <f t="shared" si="1"/>
        <v>0.409976573169286</v>
      </c>
      <c r="AR7" s="605">
        <v>0.401812205375332</v>
      </c>
      <c r="AS7" s="605">
        <v>0.383039082593175</v>
      </c>
      <c r="AT7" s="605">
        <v>0.390896354722365</v>
      </c>
      <c r="AU7" s="605">
        <v>0.404547248703697</v>
      </c>
      <c r="AV7" s="605">
        <v>0.441652992912968</v>
      </c>
      <c r="AW7" s="605">
        <v>0.455972350540081</v>
      </c>
      <c r="AX7" s="605">
        <v>0.46351068070417</v>
      </c>
      <c r="AY7" s="605">
        <v>0.411132134176415</v>
      </c>
      <c r="AZ7" s="605">
        <v>0.40765605340742</v>
      </c>
      <c r="BA7" s="605">
        <v>0.387913938967853</v>
      </c>
      <c r="BB7" s="605">
        <v>0.340964303771138</v>
      </c>
      <c r="BC7" s="605">
        <v>0.372062722978586</v>
      </c>
      <c r="BD7" s="576">
        <v>0.367091785143092</v>
      </c>
      <c r="BE7" s="576">
        <v>0.395706607668159</v>
      </c>
      <c r="BF7" s="576">
        <v>0.431318061370066</v>
      </c>
      <c r="BG7" s="576">
        <v>0.428213954448711</v>
      </c>
      <c r="BH7" s="576">
        <v>0.391359295878328</v>
      </c>
      <c r="BI7" s="576">
        <v>0.387314943719049</v>
      </c>
      <c r="BJ7" s="576">
        <v>0.381270064666922</v>
      </c>
      <c r="BK7" s="576">
        <v>0.411708203695932</v>
      </c>
      <c r="BL7" s="576">
        <v>0.536111474437788</v>
      </c>
      <c r="BM7" s="576">
        <v>0.496533830789032</v>
      </c>
      <c r="BN7" s="576">
        <v>0.454898783942136</v>
      </c>
      <c r="BO7" s="576">
        <v>0.478983418833603</v>
      </c>
      <c r="BP7" s="576">
        <v>0.456872763468197</v>
      </c>
      <c r="BQ7" s="576">
        <v>0.45980183100321</v>
      </c>
      <c r="BR7" s="576">
        <v>0.40390511316647</v>
      </c>
      <c r="BS7" s="576">
        <v>0.383225937317085</v>
      </c>
      <c r="BT7" s="576">
        <v>0.380958133520284</v>
      </c>
      <c r="BU7" s="576">
        <v>0.373159738994571</v>
      </c>
      <c r="BV7" s="576">
        <v>0.399204809005548</v>
      </c>
      <c r="BW7" s="576">
        <v>0.382057432745223</v>
      </c>
      <c r="BX7" s="618">
        <v>0.394259724108605</v>
      </c>
      <c r="BY7" s="576">
        <v>0.370075993649246</v>
      </c>
      <c r="BZ7" s="576">
        <v>0.416845602149405</v>
      </c>
      <c r="CA7" s="576">
        <v>0.379947713889512</v>
      </c>
      <c r="CB7" s="576">
        <v>0.394328992327554</v>
      </c>
      <c r="CC7" s="576">
        <v>0.405396611261065</v>
      </c>
      <c r="CD7" s="576">
        <v>0.45450396186807</v>
      </c>
      <c r="CE7" s="576">
        <v>0.697778080711592</v>
      </c>
      <c r="CF7" s="576">
        <v>0.757909906417279</v>
      </c>
      <c r="CG7" s="576">
        <v>0.758235233267542</v>
      </c>
      <c r="CH7" s="576">
        <v>0.750570308095271</v>
      </c>
      <c r="CI7" s="618">
        <v>0.719731870932542</v>
      </c>
      <c r="CJ7" s="618">
        <v>0.682781748064925</v>
      </c>
      <c r="CK7" s="618">
        <v>0.729803908953699</v>
      </c>
      <c r="CL7" s="618">
        <v>0.704732395749643</v>
      </c>
      <c r="CM7" s="576">
        <v>0.66186007474432</v>
      </c>
      <c r="CN7" s="576">
        <v>0.359</v>
      </c>
      <c r="CO7" s="626">
        <f t="shared" si="3"/>
        <v>0.00816436779395446</v>
      </c>
      <c r="CP7" s="627">
        <f t="shared" si="2"/>
        <v>0.418947848360564</v>
      </c>
      <c r="CQ7" s="628" t="s">
        <v>158</v>
      </c>
      <c r="CR7" s="551"/>
    </row>
    <row r="8" ht="31.2" spans="1:96">
      <c r="A8" s="556" t="s">
        <v>159</v>
      </c>
      <c r="B8" s="562" t="s">
        <v>160</v>
      </c>
      <c r="C8" s="557"/>
      <c r="D8" s="558">
        <f>'竞争者-202402'!F80</f>
        <v>724303.229333334</v>
      </c>
      <c r="E8" s="559">
        <f t="shared" si="0"/>
        <v>0.0519824710098747</v>
      </c>
      <c r="F8" s="558">
        <f>VLOOKUP(B8,'竞争者-202402'!B:F,5,FALSE)</f>
        <v>455967.75</v>
      </c>
      <c r="G8" s="560">
        <v>434022.39</v>
      </c>
      <c r="H8" s="560">
        <v>400716.446666667</v>
      </c>
      <c r="I8" s="560">
        <v>363623.586666667</v>
      </c>
      <c r="J8" s="560">
        <v>353322.166666667</v>
      </c>
      <c r="K8" s="560">
        <v>356727.5</v>
      </c>
      <c r="L8" s="560">
        <v>343308.083333333</v>
      </c>
      <c r="M8" s="560">
        <v>405916.416666667</v>
      </c>
      <c r="N8" s="560">
        <v>357449.75</v>
      </c>
      <c r="O8" s="560">
        <v>376657.166666667</v>
      </c>
      <c r="P8" s="560">
        <v>426683</v>
      </c>
      <c r="Q8" s="560">
        <v>457647.166666667</v>
      </c>
      <c r="R8" s="560">
        <v>406453.833333333</v>
      </c>
      <c r="S8" s="592">
        <v>397256.916666667</v>
      </c>
      <c r="T8" s="592">
        <v>369856.833333333</v>
      </c>
      <c r="U8" s="592">
        <v>370810.25</v>
      </c>
      <c r="V8" s="592">
        <v>385621.333333333</v>
      </c>
      <c r="W8" s="592">
        <v>368573.916666667</v>
      </c>
      <c r="X8" s="592">
        <v>357713.916666667</v>
      </c>
      <c r="Y8" s="592">
        <v>340134.75</v>
      </c>
      <c r="Z8" s="592">
        <v>330863.5</v>
      </c>
      <c r="AA8" s="592">
        <v>361136.666666667</v>
      </c>
      <c r="AB8" s="592">
        <v>358580.666666667</v>
      </c>
      <c r="AC8" s="592">
        <v>345788.5</v>
      </c>
      <c r="AD8" s="592">
        <v>298718.583333333</v>
      </c>
      <c r="AE8" s="592">
        <v>328392.833333333</v>
      </c>
      <c r="AF8" s="592">
        <v>377214.166666667</v>
      </c>
      <c r="AG8" s="592">
        <v>413508.25</v>
      </c>
      <c r="AH8" s="592">
        <v>424899.583333333</v>
      </c>
      <c r="AI8" s="592">
        <v>382003.833333333</v>
      </c>
      <c r="AJ8" s="592">
        <v>400741.833333333</v>
      </c>
      <c r="AK8" s="592">
        <v>423757.833333333</v>
      </c>
      <c r="AL8" s="592">
        <v>388572.5</v>
      </c>
      <c r="AM8" s="592">
        <v>344971.535714286</v>
      </c>
      <c r="AN8" s="592">
        <v>384092.5</v>
      </c>
      <c r="AO8" s="592" t="e">
        <f>#REF!</f>
        <v>#REF!</v>
      </c>
      <c r="AP8" s="603"/>
      <c r="AQ8" s="604">
        <f t="shared" si="1"/>
        <v>0.629526048668434</v>
      </c>
      <c r="AR8" s="605">
        <v>0.670809127808517</v>
      </c>
      <c r="AS8" s="605">
        <v>0.620637777880631</v>
      </c>
      <c r="AT8" s="605">
        <v>0.576880211756514</v>
      </c>
      <c r="AU8" s="605">
        <v>0.543698131130185</v>
      </c>
      <c r="AV8" s="605">
        <v>0.549402843724839</v>
      </c>
      <c r="AW8" s="605">
        <v>0.550208078114157</v>
      </c>
      <c r="AX8" s="605">
        <v>0.551053400370037</v>
      </c>
      <c r="AY8" s="605">
        <v>0.494113924522347</v>
      </c>
      <c r="AZ8" s="605">
        <v>0.49972152426268</v>
      </c>
      <c r="BA8" s="605">
        <v>0.545583392749921</v>
      </c>
      <c r="BB8" s="605">
        <v>0.585736321211315</v>
      </c>
      <c r="BC8" s="605">
        <v>0.539885336095221</v>
      </c>
      <c r="BD8" s="576">
        <v>0.489210581269666</v>
      </c>
      <c r="BE8" s="576">
        <v>0.547638900515296</v>
      </c>
      <c r="BF8" s="576">
        <v>0.564460050660259</v>
      </c>
      <c r="BG8" s="576">
        <v>0.579563558727876</v>
      </c>
      <c r="BH8" s="576">
        <v>0.570819078678083</v>
      </c>
      <c r="BI8" s="576">
        <v>0.5390332015737</v>
      </c>
      <c r="BJ8" s="576">
        <v>0.513666916219956</v>
      </c>
      <c r="BK8" s="576">
        <v>0.535757954006396</v>
      </c>
      <c r="BL8" s="576">
        <v>0.541178995663375</v>
      </c>
      <c r="BM8" s="576">
        <v>0.5267683611956</v>
      </c>
      <c r="BN8" s="576">
        <v>0.520081956391994</v>
      </c>
      <c r="BO8" s="576">
        <v>0.536183664573477</v>
      </c>
      <c r="BP8" s="576">
        <v>0.560853461800651</v>
      </c>
      <c r="BQ8" s="576">
        <v>0.585001221433678</v>
      </c>
      <c r="BR8" s="576">
        <v>0.569042164265686</v>
      </c>
      <c r="BS8" s="576">
        <v>0.584713216440789</v>
      </c>
      <c r="BT8" s="576">
        <v>0.72083664014872</v>
      </c>
      <c r="BU8" s="576">
        <v>0.731914019277629</v>
      </c>
      <c r="BV8" s="576">
        <v>0.744781717814234</v>
      </c>
      <c r="BW8" s="576">
        <v>0.8142</v>
      </c>
      <c r="BX8" s="618">
        <v>0.788939521979183</v>
      </c>
      <c r="BY8" s="576">
        <v>0.800257868218784</v>
      </c>
      <c r="BZ8" s="576">
        <v>0.829348812703729</v>
      </c>
      <c r="CA8" s="576">
        <v>0.842191692397147</v>
      </c>
      <c r="CB8" s="576">
        <v>0.843890741546243</v>
      </c>
      <c r="CC8" s="576">
        <v>0.855080305593873</v>
      </c>
      <c r="CD8" s="576">
        <v>0.888863881534997</v>
      </c>
      <c r="CE8" s="576">
        <v>0.918965602699269</v>
      </c>
      <c r="CF8" s="576">
        <v>0.939047943000769</v>
      </c>
      <c r="CG8" s="576">
        <v>0.932905489483029</v>
      </c>
      <c r="CH8" s="576">
        <v>0.909986846326533</v>
      </c>
      <c r="CI8" s="618">
        <v>0.903233115933992</v>
      </c>
      <c r="CJ8" s="618">
        <v>0.895123421321106</v>
      </c>
      <c r="CK8" s="618">
        <v>0.909469814136082</v>
      </c>
      <c r="CL8" s="618">
        <v>0.877326605733647</v>
      </c>
      <c r="CM8" s="576">
        <v>0.733164629071866</v>
      </c>
      <c r="CN8" s="576">
        <v>0.601</v>
      </c>
      <c r="CO8" s="626">
        <f t="shared" si="3"/>
        <v>-0.0412830791400834</v>
      </c>
      <c r="CP8" s="627">
        <f t="shared" si="2"/>
        <v>0.23282229475279</v>
      </c>
      <c r="CQ8" s="628" t="s">
        <v>161</v>
      </c>
      <c r="CR8" s="551"/>
    </row>
    <row r="9" ht="17.4" spans="1:96">
      <c r="A9" s="556" t="s">
        <v>162</v>
      </c>
      <c r="B9" s="557" t="s">
        <v>163</v>
      </c>
      <c r="C9" s="557"/>
      <c r="D9" s="558">
        <f>'竞争者-202402'!F94</f>
        <v>657757.072666666</v>
      </c>
      <c r="E9" s="559">
        <f t="shared" si="0"/>
        <v>0.0472065242521506</v>
      </c>
      <c r="F9" s="558">
        <f>VLOOKUP(B9,'竞争者-202402'!B:F,5,FALSE)</f>
        <v>306571.707</v>
      </c>
      <c r="G9" s="560">
        <v>309670.518</v>
      </c>
      <c r="H9" s="560">
        <v>284417.828333333</v>
      </c>
      <c r="I9" s="560">
        <v>273990.333333333</v>
      </c>
      <c r="J9" s="560">
        <v>246453.734033333</v>
      </c>
      <c r="K9" s="560">
        <v>214844.0514</v>
      </c>
      <c r="L9" s="560">
        <v>227699.2021</v>
      </c>
      <c r="M9" s="560">
        <v>242528.666666667</v>
      </c>
      <c r="N9" s="560">
        <v>236144.083333333</v>
      </c>
      <c r="O9" s="560">
        <v>259910.916666667</v>
      </c>
      <c r="P9" s="560">
        <v>211016.666666667</v>
      </c>
      <c r="Q9" s="560">
        <v>221096.333333333</v>
      </c>
      <c r="R9" s="560">
        <v>202226.75</v>
      </c>
      <c r="S9" s="592">
        <v>203096.25</v>
      </c>
      <c r="T9" s="592">
        <v>213503.583333333</v>
      </c>
      <c r="U9" s="592">
        <v>235149.083333333</v>
      </c>
      <c r="V9" s="592">
        <v>237739.5</v>
      </c>
      <c r="W9" s="592">
        <v>217136.833333333</v>
      </c>
      <c r="X9" s="592">
        <v>218239.166666667</v>
      </c>
      <c r="Y9" s="592">
        <v>218457.583333333</v>
      </c>
      <c r="Z9" s="592">
        <v>233870.416666667</v>
      </c>
      <c r="AA9" s="592">
        <v>276649.833333333</v>
      </c>
      <c r="AB9" s="592">
        <v>296239.833333333</v>
      </c>
      <c r="AC9" s="592">
        <v>276344.666666667</v>
      </c>
      <c r="AD9" s="592">
        <v>207947.166666667</v>
      </c>
      <c r="AE9" s="592">
        <v>221177.75</v>
      </c>
      <c r="AF9" s="592">
        <v>200819.25</v>
      </c>
      <c r="AG9" s="592">
        <v>203625.5</v>
      </c>
      <c r="AH9" s="592">
        <v>212850.75</v>
      </c>
      <c r="AI9" s="592">
        <v>208786.416666667</v>
      </c>
      <c r="AJ9" s="592">
        <v>203862.416666667</v>
      </c>
      <c r="AK9" s="592">
        <v>160981.083333333</v>
      </c>
      <c r="AL9" s="592">
        <v>130867.916666667</v>
      </c>
      <c r="AM9" s="592">
        <v>118615.428571429</v>
      </c>
      <c r="AN9" s="592">
        <v>134461</v>
      </c>
      <c r="AO9" s="592" t="e">
        <f>#REF!</f>
        <v>#REF!</v>
      </c>
      <c r="AP9" s="603"/>
      <c r="AQ9" s="604">
        <f t="shared" si="1"/>
        <v>0.466086523033652</v>
      </c>
      <c r="AR9" s="605">
        <v>0.543379916850723</v>
      </c>
      <c r="AS9" s="605">
        <v>0.519449513894345</v>
      </c>
      <c r="AT9" s="605">
        <v>0.492874085722337</v>
      </c>
      <c r="AU9" s="605">
        <v>0.464874967102259</v>
      </c>
      <c r="AV9" s="605">
        <v>0.42639031764785</v>
      </c>
      <c r="AW9" s="605">
        <v>0.436433783334042</v>
      </c>
      <c r="AX9" s="605">
        <v>0.413692227726469</v>
      </c>
      <c r="AY9" s="605">
        <v>0.392160465993054</v>
      </c>
      <c r="AZ9" s="605">
        <v>0.404951423772567</v>
      </c>
      <c r="BA9" s="605">
        <v>0.369901319802563</v>
      </c>
      <c r="BB9" s="605">
        <v>0.390469153922742</v>
      </c>
      <c r="BC9" s="605">
        <v>0.379245723805486</v>
      </c>
      <c r="BD9" s="576">
        <v>0.395032604415077</v>
      </c>
      <c r="BE9" s="576">
        <v>0.479341358160034</v>
      </c>
      <c r="BF9" s="576">
        <v>0.548576888644367</v>
      </c>
      <c r="BG9" s="576">
        <v>0.530383702055833</v>
      </c>
      <c r="BH9" s="576">
        <v>0.50467078296504</v>
      </c>
      <c r="BI9" s="576">
        <v>0.484388828725184</v>
      </c>
      <c r="BJ9" s="576">
        <v>0.480700492034353</v>
      </c>
      <c r="BK9" s="576">
        <v>0.547298517457928</v>
      </c>
      <c r="BL9" s="576">
        <v>0.605606506214959</v>
      </c>
      <c r="BM9" s="576">
        <v>0.610437098265372</v>
      </c>
      <c r="BN9" s="576">
        <v>0.594120952045155</v>
      </c>
      <c r="BO9" s="576">
        <v>0.579999484004008</v>
      </c>
      <c r="BP9" s="576">
        <v>0.592228865037984</v>
      </c>
      <c r="BQ9" s="576">
        <v>0.61270212960703</v>
      </c>
      <c r="BR9" s="576">
        <v>0.605213966822913</v>
      </c>
      <c r="BS9" s="576">
        <v>0.639694103975597</v>
      </c>
      <c r="BT9" s="576">
        <v>0.639350043700439</v>
      </c>
      <c r="BU9" s="576">
        <v>0.57506514986467</v>
      </c>
      <c r="BV9" s="576">
        <v>0.498683702381984</v>
      </c>
      <c r="BW9" s="576">
        <v>0.48347938043559</v>
      </c>
      <c r="BX9" s="618">
        <v>0.498928627744674</v>
      </c>
      <c r="BY9" s="576">
        <v>0.537716023586386</v>
      </c>
      <c r="BZ9" s="576">
        <v>0.599141381311042</v>
      </c>
      <c r="CA9" s="576">
        <v>0.623248387437083</v>
      </c>
      <c r="CB9" s="576">
        <v>0.652321024630371</v>
      </c>
      <c r="CC9" s="576">
        <v>0.685739707116616</v>
      </c>
      <c r="CD9" s="576">
        <v>0.741769844322983</v>
      </c>
      <c r="CE9" s="576">
        <v>0.73282134182187</v>
      </c>
      <c r="CF9" s="576">
        <v>0.744826299512611</v>
      </c>
      <c r="CG9" s="576">
        <v>0.721772375344282</v>
      </c>
      <c r="CH9" s="576">
        <v>0.770359979405231</v>
      </c>
      <c r="CI9" s="618">
        <v>0.743519525962709</v>
      </c>
      <c r="CJ9" s="618">
        <v>0.865061865591048</v>
      </c>
      <c r="CK9" s="618">
        <v>0.801052021157168</v>
      </c>
      <c r="CL9" s="618">
        <v>0.834785003414114</v>
      </c>
      <c r="CM9" s="576">
        <v>0.795885309101332</v>
      </c>
      <c r="CN9" s="576">
        <v>0.737</v>
      </c>
      <c r="CO9" s="626">
        <f t="shared" si="3"/>
        <v>-0.0772933938170706</v>
      </c>
      <c r="CP9" s="627">
        <f t="shared" si="2"/>
        <v>0.435908953909051</v>
      </c>
      <c r="CQ9" s="628" t="s">
        <v>164</v>
      </c>
      <c r="CR9" s="551"/>
    </row>
    <row r="10" ht="17.4" spans="1:96">
      <c r="A10" s="556" t="s">
        <v>165</v>
      </c>
      <c r="B10" s="557" t="s">
        <v>166</v>
      </c>
      <c r="C10" s="557"/>
      <c r="D10" s="558">
        <f>'竞争者-202402'!F106</f>
        <v>496999.618566666</v>
      </c>
      <c r="E10" s="559">
        <f t="shared" si="0"/>
        <v>0.0356691330616321</v>
      </c>
      <c r="F10" s="558">
        <f>VLOOKUP(B10,'竞争者-202402'!B:F,5,FALSE)</f>
        <v>194565.663333333</v>
      </c>
      <c r="G10" s="560">
        <v>180298.203333333</v>
      </c>
      <c r="H10" s="560">
        <v>164986.846666667</v>
      </c>
      <c r="I10" s="560">
        <v>149635.083333333</v>
      </c>
      <c r="J10" s="560">
        <v>151012</v>
      </c>
      <c r="K10" s="560">
        <v>143808.083333333</v>
      </c>
      <c r="L10" s="560">
        <v>167869.583333333</v>
      </c>
      <c r="M10" s="560">
        <v>158917.58</v>
      </c>
      <c r="N10" s="560">
        <v>121578.993333333</v>
      </c>
      <c r="O10" s="560">
        <v>108080.323333333</v>
      </c>
      <c r="P10" s="560">
        <v>104477.5</v>
      </c>
      <c r="Q10" s="560">
        <v>108285.166666667</v>
      </c>
      <c r="R10" s="560">
        <v>106395.916666667</v>
      </c>
      <c r="S10" s="592">
        <v>100728.833333333</v>
      </c>
      <c r="T10" s="592">
        <v>95737.4166666667</v>
      </c>
      <c r="U10" s="592">
        <v>105629.416666666</v>
      </c>
      <c r="V10" s="592">
        <v>126232.75</v>
      </c>
      <c r="W10" s="592">
        <v>127204.083333333</v>
      </c>
      <c r="X10" s="592">
        <v>85625.0833333333</v>
      </c>
      <c r="Y10" s="592">
        <v>89720.0833333333</v>
      </c>
      <c r="Z10" s="592">
        <v>115639.416666667</v>
      </c>
      <c r="AA10" s="592">
        <v>160033.166666667</v>
      </c>
      <c r="AB10" s="592">
        <v>199051.5</v>
      </c>
      <c r="AC10" s="592">
        <v>148513</v>
      </c>
      <c r="AD10" s="592">
        <v>109931.833333333</v>
      </c>
      <c r="AE10" s="592">
        <v>96331.5</v>
      </c>
      <c r="AF10" s="592">
        <v>105195.416666667</v>
      </c>
      <c r="AG10" s="592">
        <v>120502.583333333</v>
      </c>
      <c r="AH10" s="592">
        <v>126641.083333333</v>
      </c>
      <c r="AI10" s="592">
        <v>124949.666666667</v>
      </c>
      <c r="AJ10" s="592">
        <v>88086.8333333333</v>
      </c>
      <c r="AK10" s="592">
        <v>90024.8333333333</v>
      </c>
      <c r="AL10" s="592">
        <v>82058.1666666667</v>
      </c>
      <c r="AM10" s="592">
        <v>75959.1071428571</v>
      </c>
      <c r="AN10" s="592">
        <v>84003.8333333335</v>
      </c>
      <c r="AO10" s="592" t="e">
        <f>#REF!</f>
        <v>#REF!</v>
      </c>
      <c r="AP10" s="603"/>
      <c r="AQ10" s="604">
        <f t="shared" si="1"/>
        <v>0.391480508364283</v>
      </c>
      <c r="AR10" s="605">
        <v>0.360828103677347</v>
      </c>
      <c r="AS10" s="605">
        <v>0.335331812938051</v>
      </c>
      <c r="AT10" s="605">
        <v>0.304770069373456</v>
      </c>
      <c r="AU10" s="605">
        <v>0.304419968442909</v>
      </c>
      <c r="AV10" s="605">
        <v>0.312394554537184</v>
      </c>
      <c r="AW10" s="605">
        <v>0.335992034619113</v>
      </c>
      <c r="AX10" s="605">
        <v>0.311430142358195</v>
      </c>
      <c r="AY10" s="605">
        <v>0.246207197148092</v>
      </c>
      <c r="AZ10" s="605">
        <v>0.227775632260067</v>
      </c>
      <c r="BA10" s="605">
        <v>0.227901723755255</v>
      </c>
      <c r="BB10" s="605">
        <v>0.233498382304451</v>
      </c>
      <c r="BC10" s="605">
        <v>0.252398071389644</v>
      </c>
      <c r="BD10" s="576">
        <v>0.188770024329745</v>
      </c>
      <c r="BE10" s="576">
        <v>0.223909898819963</v>
      </c>
      <c r="BF10" s="576">
        <v>0.212939136055951</v>
      </c>
      <c r="BG10" s="576">
        <v>0.241352773570124</v>
      </c>
      <c r="BH10" s="576">
        <v>0.250328479985516</v>
      </c>
      <c r="BI10" s="576">
        <v>0.18888771440573</v>
      </c>
      <c r="BJ10" s="576">
        <v>0.182333340954258</v>
      </c>
      <c r="BK10" s="576">
        <v>0.230714582369719</v>
      </c>
      <c r="BL10" s="576">
        <v>0.282656342428418</v>
      </c>
      <c r="BM10" s="576">
        <v>0.33998272628622</v>
      </c>
      <c r="BN10" s="576">
        <v>0.276289634092459</v>
      </c>
      <c r="BO10" s="576">
        <v>0.247200591250718</v>
      </c>
      <c r="BP10" s="576">
        <v>0.210119252215701</v>
      </c>
      <c r="BQ10" s="576">
        <v>0.215982290870535</v>
      </c>
      <c r="BR10" s="576">
        <v>0.231195022410726</v>
      </c>
      <c r="BS10" s="576">
        <v>0.257221252934099</v>
      </c>
      <c r="BT10" s="576">
        <v>0.250239199873295</v>
      </c>
      <c r="BU10" s="576">
        <v>0.181469490817185</v>
      </c>
      <c r="BV10" s="576">
        <v>0.173717602161994</v>
      </c>
      <c r="BW10" s="576">
        <v>0.160471673929762</v>
      </c>
      <c r="BX10" s="618">
        <v>0.157983893012283</v>
      </c>
      <c r="BY10" s="576">
        <v>0.170508284328535</v>
      </c>
      <c r="BZ10" s="576">
        <v>0.181345828856862</v>
      </c>
      <c r="CA10" s="576">
        <v>0.209962577131995</v>
      </c>
      <c r="CB10" s="576">
        <v>0.237150160485387</v>
      </c>
      <c r="CC10" s="576">
        <v>0.263562966875424</v>
      </c>
      <c r="CD10" s="576">
        <v>0.32978342397303</v>
      </c>
      <c r="CE10" s="576">
        <v>0.345861789588702</v>
      </c>
      <c r="CF10" s="576">
        <v>0.404224214177286</v>
      </c>
      <c r="CG10" s="576">
        <v>0.304722855693081</v>
      </c>
      <c r="CH10" s="576">
        <v>0.325937757728852</v>
      </c>
      <c r="CI10" s="618">
        <v>0.369472646517308</v>
      </c>
      <c r="CJ10" s="618">
        <v>0.321847374904062</v>
      </c>
      <c r="CK10" s="618">
        <v>0.335583823052399</v>
      </c>
      <c r="CL10" s="618">
        <v>0.339351781843843</v>
      </c>
      <c r="CM10" s="576">
        <v>0.400823898074867</v>
      </c>
      <c r="CN10" s="576">
        <v>0.114</v>
      </c>
      <c r="CO10" s="626">
        <f t="shared" si="3"/>
        <v>0.0306524046869357</v>
      </c>
      <c r="CP10" s="627">
        <f t="shared" si="2"/>
        <v>1.03228445165552</v>
      </c>
      <c r="CQ10" s="628" t="s">
        <v>167</v>
      </c>
      <c r="CR10" s="551"/>
    </row>
    <row r="11" ht="17.4" spans="1:96">
      <c r="A11" s="556" t="s">
        <v>168</v>
      </c>
      <c r="B11" s="563" t="s">
        <v>169</v>
      </c>
      <c r="C11" s="557"/>
      <c r="D11" s="558">
        <f>'竞争者-202402'!F119</f>
        <v>495890.9464</v>
      </c>
      <c r="E11" s="559">
        <f t="shared" si="0"/>
        <v>0.0355895648415425</v>
      </c>
      <c r="F11" s="558">
        <f>VLOOKUP(B11,'竞争者-202402'!B:F,5,FALSE)</f>
        <v>289409.166666667</v>
      </c>
      <c r="G11" s="560">
        <v>269320.403333333</v>
      </c>
      <c r="H11" s="560">
        <v>301771.5086</v>
      </c>
      <c r="I11" s="560">
        <v>307121.280533333</v>
      </c>
      <c r="J11" s="560">
        <v>270754.772466667</v>
      </c>
      <c r="K11" s="560">
        <v>271383.333333333</v>
      </c>
      <c r="L11" s="560">
        <v>283366.583333333</v>
      </c>
      <c r="M11" s="560">
        <v>262769.75</v>
      </c>
      <c r="N11" s="560">
        <v>243558.25</v>
      </c>
      <c r="O11" s="560">
        <v>252894</v>
      </c>
      <c r="P11" s="560">
        <v>272491.916666667</v>
      </c>
      <c r="Q11" s="560">
        <v>303040.666666667</v>
      </c>
      <c r="R11" s="560">
        <v>279763.75</v>
      </c>
      <c r="S11" s="592">
        <v>233390.333333333</v>
      </c>
      <c r="T11" s="592">
        <v>197584.75</v>
      </c>
      <c r="U11" s="592">
        <v>201623.666666667</v>
      </c>
      <c r="V11" s="592">
        <v>231515.333333333</v>
      </c>
      <c r="W11" s="592">
        <v>247389.25</v>
      </c>
      <c r="X11" s="592">
        <v>236360.166666667</v>
      </c>
      <c r="Y11" s="592">
        <v>227928.583333333</v>
      </c>
      <c r="Z11" s="592">
        <v>213009.166666667</v>
      </c>
      <c r="AA11" s="592">
        <v>190114.083333333</v>
      </c>
      <c r="AB11" s="592">
        <v>211083.25</v>
      </c>
      <c r="AC11" s="592">
        <v>224528.666666667</v>
      </c>
      <c r="AD11" s="592">
        <v>219345.25</v>
      </c>
      <c r="AE11" s="592">
        <v>235478.166666667</v>
      </c>
      <c r="AF11" s="592">
        <v>199310</v>
      </c>
      <c r="AG11" s="592">
        <v>194271.166666667</v>
      </c>
      <c r="AH11" s="592">
        <v>185665.333333333</v>
      </c>
      <c r="AI11" s="592">
        <v>187328.166666667</v>
      </c>
      <c r="AJ11" s="592">
        <v>193378.916666667</v>
      </c>
      <c r="AK11" s="592">
        <v>165726.583333333</v>
      </c>
      <c r="AL11" s="592">
        <v>136074.916666667</v>
      </c>
      <c r="AM11" s="592">
        <v>117196.714285714</v>
      </c>
      <c r="AN11" s="592">
        <v>126150.083333333</v>
      </c>
      <c r="AO11" s="592" t="e">
        <f>#REF!</f>
        <v>#REF!</v>
      </c>
      <c r="AP11" s="603"/>
      <c r="AQ11" s="604">
        <f t="shared" si="1"/>
        <v>0.583614540188078</v>
      </c>
      <c r="AR11" s="605">
        <v>0.587303641640761</v>
      </c>
      <c r="AS11" s="605">
        <v>0.624093948477953</v>
      </c>
      <c r="AT11" s="605">
        <v>0.62279478145527</v>
      </c>
      <c r="AU11" s="605">
        <v>0.633196949198088</v>
      </c>
      <c r="AV11" s="605">
        <v>0.61383157704042</v>
      </c>
      <c r="AW11" s="605">
        <v>0.593338473717117</v>
      </c>
      <c r="AX11" s="605">
        <v>0.525588721383758</v>
      </c>
      <c r="AY11" s="605">
        <v>0.508312278202669</v>
      </c>
      <c r="AZ11" s="605">
        <v>0.543655173964073</v>
      </c>
      <c r="BA11" s="605">
        <v>0.556814817795279</v>
      </c>
      <c r="BB11" s="605">
        <v>0.623986484056396</v>
      </c>
      <c r="BC11" s="605">
        <v>0.604762516640285</v>
      </c>
      <c r="BD11" s="576">
        <v>0.620148369158349</v>
      </c>
      <c r="BE11" s="576">
        <v>0.761590727097114</v>
      </c>
      <c r="BF11" s="576">
        <v>0.790857050212809</v>
      </c>
      <c r="BG11" s="576">
        <v>0.811924267504605</v>
      </c>
      <c r="BH11" s="576">
        <v>0.829264347877097</v>
      </c>
      <c r="BI11" s="576">
        <v>0.806862789442678</v>
      </c>
      <c r="BJ11" s="576">
        <v>0.794354770787627</v>
      </c>
      <c r="BK11" s="576">
        <v>0.767759224728713</v>
      </c>
      <c r="BL11" s="576">
        <v>0.758247386826101</v>
      </c>
      <c r="BM11" s="576">
        <v>0.767670515418006</v>
      </c>
      <c r="BN11" s="576">
        <v>0.751832174176973</v>
      </c>
      <c r="BO11" s="576">
        <v>0.758267096596885</v>
      </c>
      <c r="BP11" s="576">
        <v>0.771602504308923</v>
      </c>
      <c r="BQ11" s="576">
        <v>0.763271858076087</v>
      </c>
      <c r="BR11" s="576">
        <v>0.745896973767189</v>
      </c>
      <c r="BS11" s="576">
        <v>0.726937908681193</v>
      </c>
      <c r="BT11" s="576">
        <v>0.72147572815534</v>
      </c>
      <c r="BU11" s="576">
        <v>0.729333609073789</v>
      </c>
      <c r="BV11" s="576">
        <v>0.680343305471465</v>
      </c>
      <c r="BW11" s="576">
        <v>0.644531896039614</v>
      </c>
      <c r="BX11" s="618">
        <v>0.630073569526235</v>
      </c>
      <c r="BY11" s="576">
        <v>0.648762218389898</v>
      </c>
      <c r="BZ11" s="576">
        <v>0.636574035883094</v>
      </c>
      <c r="CA11" s="576">
        <v>0.63496755753783</v>
      </c>
      <c r="CB11" s="576">
        <v>0.644396590976464</v>
      </c>
      <c r="CC11" s="576">
        <v>0.708473687270055</v>
      </c>
      <c r="CD11" s="576">
        <v>0.776803687306492</v>
      </c>
      <c r="CE11" s="576">
        <v>0.778354613004215</v>
      </c>
      <c r="CF11" s="576">
        <v>0.773511183428676</v>
      </c>
      <c r="CG11" s="576">
        <v>0.770118799601549</v>
      </c>
      <c r="CH11" s="576">
        <v>0.819595213223928</v>
      </c>
      <c r="CI11" s="618">
        <v>0.735743056560235</v>
      </c>
      <c r="CJ11" s="618">
        <v>0.857026568481285</v>
      </c>
      <c r="CK11" s="618">
        <v>0.83118385619069</v>
      </c>
      <c r="CL11" s="618">
        <v>0.823632836857634</v>
      </c>
      <c r="CM11" s="576">
        <v>0.926975461168995</v>
      </c>
      <c r="CN11" s="576">
        <v>0.643</v>
      </c>
      <c r="CO11" s="626">
        <f t="shared" si="3"/>
        <v>-0.00368910145268275</v>
      </c>
      <c r="CP11" s="627">
        <f t="shared" si="2"/>
        <v>0.464734331301717</v>
      </c>
      <c r="CQ11" s="628" t="s">
        <v>170</v>
      </c>
      <c r="CR11" s="551"/>
    </row>
    <row r="12" ht="46.8" spans="1:96">
      <c r="A12" s="564" t="s">
        <v>171</v>
      </c>
      <c r="B12" s="561" t="s">
        <v>172</v>
      </c>
      <c r="C12" s="565"/>
      <c r="D12" s="558">
        <f>'竞争者-202402'!F131</f>
        <v>489885.37</v>
      </c>
      <c r="E12" s="559">
        <f t="shared" si="0"/>
        <v>0.0351585510223747</v>
      </c>
      <c r="F12" s="558">
        <f>VLOOKUP(B12,'竞争者-202402'!B:F,5,FALSE)</f>
        <v>78672.6166666667</v>
      </c>
      <c r="G12" s="560">
        <v>78435.06</v>
      </c>
      <c r="H12" s="560">
        <v>74442.6866666667</v>
      </c>
      <c r="I12" s="560">
        <v>89051.03</v>
      </c>
      <c r="J12" s="560">
        <v>102011.583333333</v>
      </c>
      <c r="K12" s="560">
        <v>120095.833333333</v>
      </c>
      <c r="L12" s="560">
        <v>97352.4999999998</v>
      </c>
      <c r="M12" s="560">
        <v>99801.9166666667</v>
      </c>
      <c r="N12" s="560">
        <v>96194.5</v>
      </c>
      <c r="O12" s="560">
        <v>110549.75</v>
      </c>
      <c r="P12" s="560">
        <v>124332.666666667</v>
      </c>
      <c r="Q12" s="560">
        <v>121905.583333333</v>
      </c>
      <c r="R12" s="560">
        <v>124328</v>
      </c>
      <c r="S12" s="592">
        <v>128986.833333333</v>
      </c>
      <c r="T12" s="592">
        <v>132262.583333333</v>
      </c>
      <c r="U12" s="592">
        <v>137115.416666667</v>
      </c>
      <c r="V12" s="592">
        <v>137050.666666667</v>
      </c>
      <c r="W12" s="592">
        <v>136715.666666667</v>
      </c>
      <c r="X12" s="592">
        <v>99601.1666666667</v>
      </c>
      <c r="Y12" s="592">
        <v>95360</v>
      </c>
      <c r="Z12" s="592">
        <v>84468.5</v>
      </c>
      <c r="AA12" s="592">
        <v>73722.6666666667</v>
      </c>
      <c r="AB12" s="592">
        <v>69307.0833333333</v>
      </c>
      <c r="AC12" s="592">
        <v>69231</v>
      </c>
      <c r="AD12" s="592">
        <v>57852.75</v>
      </c>
      <c r="AE12" s="592">
        <v>58009.6666666667</v>
      </c>
      <c r="AF12" s="592">
        <v>52935.75</v>
      </c>
      <c r="AG12" s="592">
        <v>51356.8333333333</v>
      </c>
      <c r="AH12" s="592">
        <v>53770.75</v>
      </c>
      <c r="AI12" s="592">
        <v>55105.4166666667</v>
      </c>
      <c r="AJ12" s="592">
        <v>60451.4166666667</v>
      </c>
      <c r="AK12" s="592">
        <v>54945.5833333333</v>
      </c>
      <c r="AL12" s="592">
        <v>61258.4166666667</v>
      </c>
      <c r="AM12" s="595">
        <v>50732.1428571429</v>
      </c>
      <c r="AN12" s="596">
        <v>39565.4166666667</v>
      </c>
      <c r="AO12" s="606" t="e">
        <f>#REF!</f>
        <v>#REF!</v>
      </c>
      <c r="AP12" s="603"/>
      <c r="AQ12" s="604">
        <f t="shared" si="1"/>
        <v>0.160593929691484</v>
      </c>
      <c r="AR12" s="605">
        <v>0.166834038244213</v>
      </c>
      <c r="AS12" s="605">
        <v>0.156773776150431</v>
      </c>
      <c r="AT12" s="605">
        <v>0.187411291085759</v>
      </c>
      <c r="AU12" s="605">
        <v>0.207698412225494</v>
      </c>
      <c r="AV12" s="605">
        <v>0.242745797490225</v>
      </c>
      <c r="AW12" s="605">
        <v>0.200357817689383</v>
      </c>
      <c r="AX12" s="605">
        <v>0.216669953973049</v>
      </c>
      <c r="AY12" s="605">
        <v>0.20064004218998</v>
      </c>
      <c r="AZ12" s="605">
        <v>0.217660428945917</v>
      </c>
      <c r="BA12" s="605">
        <v>0.237076933784312</v>
      </c>
      <c r="BB12" s="605">
        <v>0.230352042359655</v>
      </c>
      <c r="BC12" s="605">
        <v>0.237661766673676</v>
      </c>
      <c r="BD12" s="576">
        <v>0.221995550743567</v>
      </c>
      <c r="BE12" s="576">
        <v>0.29295303636222</v>
      </c>
      <c r="BF12" s="576">
        <v>0.299745030406527</v>
      </c>
      <c r="BG12" s="576">
        <v>0.313885840469815</v>
      </c>
      <c r="BH12" s="576">
        <v>0.308845167401856</v>
      </c>
      <c r="BI12" s="576">
        <v>0.220183672149763</v>
      </c>
      <c r="BJ12" s="576">
        <v>0.205197799115888</v>
      </c>
      <c r="BK12" s="576">
        <v>0.190072775891134</v>
      </c>
      <c r="BL12" s="576">
        <v>0.165980515856078</v>
      </c>
      <c r="BM12" s="576">
        <v>0.159579081236178</v>
      </c>
      <c r="BN12" s="576">
        <v>0.164527877403984</v>
      </c>
      <c r="BO12" s="576">
        <v>0.150156021171382</v>
      </c>
      <c r="BP12" s="576">
        <v>0.136887650288311</v>
      </c>
      <c r="BQ12" s="576">
        <v>0.126658882445904</v>
      </c>
      <c r="BR12" s="576">
        <v>0.118850630883283</v>
      </c>
      <c r="BS12" s="576">
        <v>0.121230892365965</v>
      </c>
      <c r="BT12" s="576">
        <v>0.124835617167628</v>
      </c>
      <c r="BU12" s="576">
        <v>0.151</v>
      </c>
      <c r="BV12" s="576">
        <v>0.142735233866255</v>
      </c>
      <c r="BW12" s="576">
        <v>0.163362239661924</v>
      </c>
      <c r="BX12" s="618">
        <v>0.148889523135315</v>
      </c>
      <c r="BY12" s="576">
        <v>0.118052685783452</v>
      </c>
      <c r="BZ12" s="576">
        <v>0.101622389899431</v>
      </c>
      <c r="CA12" s="576">
        <v>0.0747051483934913</v>
      </c>
      <c r="CB12" s="576">
        <v>0.076975160826271</v>
      </c>
      <c r="CC12" s="576">
        <v>0.0610612431351598</v>
      </c>
      <c r="CD12" s="621">
        <v>0.0689839879859102</v>
      </c>
      <c r="CE12" s="576">
        <v>0.0678085956540514</v>
      </c>
      <c r="CF12" s="576">
        <v>0.109754693543663</v>
      </c>
      <c r="CG12" s="576">
        <v>0.0341258649384858</v>
      </c>
      <c r="CH12" s="576">
        <v>0.0324783216862858</v>
      </c>
      <c r="CI12" s="576">
        <v>0.0240906472477797</v>
      </c>
      <c r="CJ12" s="576">
        <v>0.0265830957556356</v>
      </c>
      <c r="CK12" s="576">
        <v>0.0429855544296672</v>
      </c>
      <c r="CL12" s="576">
        <v>0.0325263092092243</v>
      </c>
      <c r="CM12" s="576">
        <v>0.0318074367091204</v>
      </c>
      <c r="CN12" s="576"/>
      <c r="CO12" s="626">
        <f t="shared" si="3"/>
        <v>-0.00624010855272886</v>
      </c>
      <c r="CP12" s="627">
        <f t="shared" si="2"/>
        <v>-0.405178587292575</v>
      </c>
      <c r="CQ12" s="628" t="s">
        <v>173</v>
      </c>
      <c r="CR12" s="551"/>
    </row>
    <row r="13" ht="17.4" spans="1:96">
      <c r="A13" s="556" t="s">
        <v>174</v>
      </c>
      <c r="B13" s="557" t="s">
        <v>175</v>
      </c>
      <c r="C13" s="557"/>
      <c r="D13" s="558">
        <f>'竞争者-202402'!F142</f>
        <v>470607.104766667</v>
      </c>
      <c r="E13" s="559">
        <f t="shared" si="0"/>
        <v>0.0337749704679502</v>
      </c>
      <c r="F13" s="558">
        <f>VLOOKUP(B13,'竞争者-202402'!B:F,5,FALSE)</f>
        <v>209547.25</v>
      </c>
      <c r="G13" s="560">
        <v>188125.416666667</v>
      </c>
      <c r="H13" s="560">
        <v>213035.333333333</v>
      </c>
      <c r="I13" s="560">
        <v>220176.5</v>
      </c>
      <c r="J13" s="560">
        <v>202632.833333333</v>
      </c>
      <c r="K13" s="560">
        <v>202318.333333333</v>
      </c>
      <c r="L13" s="560">
        <v>223330</v>
      </c>
      <c r="M13" s="560">
        <v>241057.833333333</v>
      </c>
      <c r="N13" s="560">
        <v>235455.75</v>
      </c>
      <c r="O13" s="560">
        <v>240569.833333333</v>
      </c>
      <c r="P13" s="560">
        <v>177277.333333333</v>
      </c>
      <c r="Q13" s="560">
        <v>175695.666666667</v>
      </c>
      <c r="R13" s="560">
        <v>186299.916666667</v>
      </c>
      <c r="S13" s="592">
        <v>204284.416666667</v>
      </c>
      <c r="T13" s="592">
        <v>187069.166666667</v>
      </c>
      <c r="U13" s="592">
        <v>185523.083333333</v>
      </c>
      <c r="V13" s="592">
        <v>200202.75</v>
      </c>
      <c r="W13" s="592">
        <v>202049.416666667</v>
      </c>
      <c r="X13" s="592">
        <v>189963.833333333</v>
      </c>
      <c r="Y13" s="592">
        <v>188000.333333333</v>
      </c>
      <c r="Z13" s="592">
        <v>195865.416666667</v>
      </c>
      <c r="AA13" s="592">
        <v>160915</v>
      </c>
      <c r="AB13" s="592">
        <v>145358.916666667</v>
      </c>
      <c r="AC13" s="592">
        <v>146926.083333333</v>
      </c>
      <c r="AD13" s="592">
        <v>140445.083333333</v>
      </c>
      <c r="AE13" s="592">
        <v>143504.166666667</v>
      </c>
      <c r="AF13" s="592">
        <v>156591.416666667</v>
      </c>
      <c r="AG13" s="592">
        <v>171031.583333333</v>
      </c>
      <c r="AH13" s="592">
        <v>169605.666666667</v>
      </c>
      <c r="AI13" s="592">
        <v>160255.916666667</v>
      </c>
      <c r="AJ13" s="592">
        <v>152125.166666667</v>
      </c>
      <c r="AK13" s="592">
        <v>118958.75</v>
      </c>
      <c r="AL13" s="592">
        <v>116760.083333333</v>
      </c>
      <c r="AM13" s="592">
        <v>105679.642857143</v>
      </c>
      <c r="AN13" s="592">
        <v>108561.75</v>
      </c>
      <c r="AO13" s="592" t="e">
        <f>#REF!</f>
        <v>#REF!</v>
      </c>
      <c r="AP13" s="603"/>
      <c r="AQ13" s="604">
        <f t="shared" si="1"/>
        <v>0.445270051976576</v>
      </c>
      <c r="AR13" s="605">
        <v>0.436450412481719</v>
      </c>
      <c r="AS13" s="605">
        <v>0.481609558245085</v>
      </c>
      <c r="AT13" s="605">
        <v>0.471712483650054</v>
      </c>
      <c r="AU13" s="605">
        <v>0.449806076053775</v>
      </c>
      <c r="AV13" s="605">
        <v>0.415524249606574</v>
      </c>
      <c r="AW13" s="605">
        <v>0.428674633804099</v>
      </c>
      <c r="AX13" s="605">
        <v>0.427185743931387</v>
      </c>
      <c r="AY13" s="605">
        <v>0.431796981188069</v>
      </c>
      <c r="AZ13" s="605">
        <v>0.441663039372345</v>
      </c>
      <c r="BA13" s="605">
        <v>0.390268077636924</v>
      </c>
      <c r="BB13" s="605">
        <v>0.403016104546461</v>
      </c>
      <c r="BC13" s="605">
        <v>0.406491384482528</v>
      </c>
      <c r="BD13" s="576">
        <v>0.402116894567786</v>
      </c>
      <c r="BE13" s="576">
        <v>0.457190770523565</v>
      </c>
      <c r="BF13" s="576">
        <v>0.416979206077475</v>
      </c>
      <c r="BG13" s="576">
        <v>0.38108354789874</v>
      </c>
      <c r="BH13" s="576">
        <v>0.467433862428762</v>
      </c>
      <c r="BI13" s="576">
        <v>0.479935204833446</v>
      </c>
      <c r="BJ13" s="576">
        <v>0.497182746290694</v>
      </c>
      <c r="BK13" s="576">
        <v>0.517790116543175</v>
      </c>
      <c r="BL13" s="576">
        <v>0.475010639266149</v>
      </c>
      <c r="BM13" s="576">
        <v>0.455017893611854</v>
      </c>
      <c r="BN13" s="576">
        <v>0.450723232769441</v>
      </c>
      <c r="BO13" s="576">
        <v>0.456480357439827</v>
      </c>
      <c r="BP13" s="576">
        <v>0.468575649750253</v>
      </c>
      <c r="BQ13" s="576">
        <v>0.48319325138072</v>
      </c>
      <c r="BR13" s="576">
        <v>0.525068544352552</v>
      </c>
      <c r="BS13" s="576">
        <v>0.509952153493678</v>
      </c>
      <c r="BT13" s="576">
        <v>0.46846834776364</v>
      </c>
      <c r="BU13" s="576">
        <v>0.434090591313727</v>
      </c>
      <c r="BV13" s="576">
        <v>0.361174954306152</v>
      </c>
      <c r="BW13" s="576">
        <v>0.386897805945948</v>
      </c>
      <c r="BX13" s="618">
        <v>0.364035330712104</v>
      </c>
      <c r="BY13" s="576">
        <v>0.357524407332821</v>
      </c>
      <c r="BZ13" s="576">
        <v>0.380215627817653</v>
      </c>
      <c r="CA13" s="576">
        <v>0.40325975127252</v>
      </c>
      <c r="CB13" s="576">
        <v>0.414712022488794</v>
      </c>
      <c r="CC13" s="576">
        <v>0.477793019843953</v>
      </c>
      <c r="CD13" s="576">
        <v>0.513355165072851</v>
      </c>
      <c r="CE13" s="576">
        <v>0.511488483570979</v>
      </c>
      <c r="CF13" s="576">
        <v>0.544128721742638</v>
      </c>
      <c r="CG13" s="576">
        <v>0.51227140369498</v>
      </c>
      <c r="CH13" s="576">
        <v>0.629529529753116</v>
      </c>
      <c r="CI13" s="618">
        <v>0.513969474962147</v>
      </c>
      <c r="CJ13" s="618">
        <v>0.484596508222979</v>
      </c>
      <c r="CK13" s="618">
        <v>0.525438848920863</v>
      </c>
      <c r="CL13" s="618">
        <v>0.596035463383056</v>
      </c>
      <c r="CM13" s="576">
        <v>0.584832021031961</v>
      </c>
      <c r="CN13" s="576">
        <v>0.353</v>
      </c>
      <c r="CO13" s="626">
        <f t="shared" si="3"/>
        <v>0.00881963949485748</v>
      </c>
      <c r="CP13" s="627">
        <f t="shared" si="2"/>
        <v>0.120159210274273</v>
      </c>
      <c r="CQ13" s="628" t="s">
        <v>176</v>
      </c>
      <c r="CR13" s="551"/>
    </row>
    <row r="14" ht="17.4" spans="1:96">
      <c r="A14" s="556" t="s">
        <v>177</v>
      </c>
      <c r="B14" s="557" t="s">
        <v>178</v>
      </c>
      <c r="C14" s="557"/>
      <c r="D14" s="558">
        <f>'竞争者-202402'!F152</f>
        <v>157127.612416667</v>
      </c>
      <c r="E14" s="559">
        <f t="shared" si="0"/>
        <v>0.0112768813205736</v>
      </c>
      <c r="F14" s="558">
        <f>VLOOKUP(B14,'竞争者-202402'!B:F,5,FALSE)</f>
        <v>105540.45</v>
      </c>
      <c r="G14" s="560">
        <v>116627.333333333</v>
      </c>
      <c r="H14" s="560">
        <v>138574.833333333</v>
      </c>
      <c r="I14" s="560">
        <v>109658.416666667</v>
      </c>
      <c r="J14" s="560">
        <v>109478.25</v>
      </c>
      <c r="K14" s="560">
        <v>92440.75</v>
      </c>
      <c r="L14" s="560">
        <v>95764.3333333333</v>
      </c>
      <c r="M14" s="560">
        <v>90538.0566666667</v>
      </c>
      <c r="N14" s="560">
        <v>87294.4466666667</v>
      </c>
      <c r="O14" s="560">
        <v>88177.3366666667</v>
      </c>
      <c r="P14" s="560">
        <v>78757.5</v>
      </c>
      <c r="Q14" s="560">
        <v>69905.9166666667</v>
      </c>
      <c r="R14" s="560">
        <v>74968.25</v>
      </c>
      <c r="S14" s="592">
        <v>84181.0833333333</v>
      </c>
      <c r="T14" s="592">
        <v>93920.4166666667</v>
      </c>
      <c r="U14" s="592">
        <v>93560.5000000002</v>
      </c>
      <c r="V14" s="592">
        <v>99136.1666666667</v>
      </c>
      <c r="W14" s="592">
        <v>103311</v>
      </c>
      <c r="X14" s="592">
        <v>84074.8333333333</v>
      </c>
      <c r="Y14" s="592">
        <v>80654.3333333333</v>
      </c>
      <c r="Z14" s="592">
        <v>72175</v>
      </c>
      <c r="AA14" s="592">
        <v>67814.5833333333</v>
      </c>
      <c r="AB14" s="592">
        <v>65249.1666666667</v>
      </c>
      <c r="AC14" s="592">
        <v>71691.5833333333</v>
      </c>
      <c r="AD14" s="592">
        <v>69921.9166666667</v>
      </c>
      <c r="AE14" s="592">
        <v>73925.5</v>
      </c>
      <c r="AF14" s="592">
        <v>73220.1666666667</v>
      </c>
      <c r="AG14" s="592">
        <v>75009.75</v>
      </c>
      <c r="AH14" s="592">
        <v>82829.4166666667</v>
      </c>
      <c r="AI14" s="592">
        <v>86473.75</v>
      </c>
      <c r="AJ14" s="592">
        <v>89133.75</v>
      </c>
      <c r="AK14" s="592">
        <v>91292.9166666667</v>
      </c>
      <c r="AL14" s="592">
        <v>65934.6666666667</v>
      </c>
      <c r="AM14" s="592">
        <v>54446.4285714286</v>
      </c>
      <c r="AN14" s="592">
        <v>63269.4166666667</v>
      </c>
      <c r="AO14" s="592" t="e">
        <f>#REF!</f>
        <v>#REF!</v>
      </c>
      <c r="AP14" s="603"/>
      <c r="AQ14" s="604">
        <f t="shared" si="1"/>
        <v>0.671686207005619</v>
      </c>
      <c r="AR14" s="605">
        <v>0.678819593089212</v>
      </c>
      <c r="AS14" s="605">
        <v>0.637542307913779</v>
      </c>
      <c r="AT14" s="605">
        <v>0.562345717937072</v>
      </c>
      <c r="AU14" s="605">
        <v>0.564777952589824</v>
      </c>
      <c r="AV14" s="605">
        <v>0.558279342406974</v>
      </c>
      <c r="AW14" s="605">
        <v>0.562325879496778</v>
      </c>
      <c r="AX14" s="605">
        <v>0.488490224047266</v>
      </c>
      <c r="AY14" s="605">
        <v>0.502880828265115</v>
      </c>
      <c r="AZ14" s="605">
        <v>0.509413657146005</v>
      </c>
      <c r="BA14" s="605">
        <v>0.504260999846335</v>
      </c>
      <c r="BB14" s="605">
        <v>0.448741554444412</v>
      </c>
      <c r="BC14" s="605">
        <v>0.431597964911769</v>
      </c>
      <c r="BD14" s="576">
        <v>0.428917087457097</v>
      </c>
      <c r="BE14" s="576">
        <v>0.580837258681289</v>
      </c>
      <c r="BF14" s="576">
        <v>0.557215643961991</v>
      </c>
      <c r="BG14" s="576">
        <v>0.523614810798059</v>
      </c>
      <c r="BH14" s="576">
        <v>0.581531447012909</v>
      </c>
      <c r="BI14" s="576">
        <v>0.558094740766718</v>
      </c>
      <c r="BJ14" s="576">
        <v>0.53826521957961</v>
      </c>
      <c r="BK14" s="576">
        <v>0.548578073725193</v>
      </c>
      <c r="BL14" s="576">
        <v>0.508791904095594</v>
      </c>
      <c r="BM14" s="576">
        <v>0.450448843775673</v>
      </c>
      <c r="BN14" s="576">
        <v>0.463993911926809</v>
      </c>
      <c r="BO14" s="576">
        <v>0.485200753363623</v>
      </c>
      <c r="BP14" s="576">
        <v>0.566482761632997</v>
      </c>
      <c r="BQ14" s="576">
        <v>0.609789562561793</v>
      </c>
      <c r="BR14" s="576">
        <v>0.635833009571577</v>
      </c>
      <c r="BS14" s="576">
        <v>0.742187990024042</v>
      </c>
      <c r="BT14" s="576">
        <v>0.764926115782165</v>
      </c>
      <c r="BU14" s="576">
        <v>0.761830178761448</v>
      </c>
      <c r="BV14" s="576">
        <v>0.743168942950778</v>
      </c>
      <c r="BW14" s="576">
        <v>0.674445822518295</v>
      </c>
      <c r="BX14" s="618">
        <v>0.637796813986319</v>
      </c>
      <c r="BY14" s="576">
        <v>0.65028213069486</v>
      </c>
      <c r="BZ14" s="576">
        <v>0.645257728160348</v>
      </c>
      <c r="CA14" s="576">
        <v>0.690672998887853</v>
      </c>
      <c r="CB14" s="576">
        <v>0.731839738529661</v>
      </c>
      <c r="CC14" s="576">
        <v>0.788991918139132</v>
      </c>
      <c r="CD14" s="576">
        <v>0.84375214424333</v>
      </c>
      <c r="CE14" s="576">
        <v>0.844766501606289</v>
      </c>
      <c r="CF14" s="576">
        <v>0.909227218723125</v>
      </c>
      <c r="CG14" s="576">
        <v>0.825192847425635</v>
      </c>
      <c r="CH14" s="576">
        <v>0.891715403392811</v>
      </c>
      <c r="CI14" s="618">
        <v>0.906580697868621</v>
      </c>
      <c r="CJ14" s="618">
        <v>0.809616667493338</v>
      </c>
      <c r="CK14" s="618">
        <v>0.888443211346672</v>
      </c>
      <c r="CL14" s="618">
        <v>0.847003143937299</v>
      </c>
      <c r="CM14" s="576">
        <v>0.814007267711054</v>
      </c>
      <c r="CN14" s="576">
        <v>0.468</v>
      </c>
      <c r="CO14" s="626">
        <f t="shared" si="3"/>
        <v>-0.00713338608359337</v>
      </c>
      <c r="CP14" s="627">
        <f t="shared" si="2"/>
        <v>0.123722122896601</v>
      </c>
      <c r="CQ14" s="628" t="s">
        <v>179</v>
      </c>
      <c r="CR14" s="551"/>
    </row>
    <row r="15" s="547" customFormat="1" ht="17.4" spans="2:95">
      <c r="B15" s="566"/>
      <c r="C15" s="566"/>
      <c r="D15" s="567">
        <f>SUM(D2:D14)</f>
        <v>13933605.2184927</v>
      </c>
      <c r="E15" s="559"/>
      <c r="F15" s="568">
        <f>SUM(F2:F14)</f>
        <v>5980860.03366667</v>
      </c>
      <c r="G15" s="569">
        <v>5660530.92466667</v>
      </c>
      <c r="H15" s="569">
        <v>5668520.72693333</v>
      </c>
      <c r="I15" s="569">
        <v>5698511.72053333</v>
      </c>
      <c r="J15" s="569">
        <v>5601383.7565</v>
      </c>
      <c r="K15" s="569">
        <v>5224298.21806667</v>
      </c>
      <c r="L15" s="569">
        <v>5081761.9827</v>
      </c>
      <c r="M15" s="569">
        <v>5060470.45536667</v>
      </c>
      <c r="N15" s="569">
        <v>4816536.38013333</v>
      </c>
      <c r="O15" s="569">
        <v>5089743.26583334</v>
      </c>
      <c r="P15" s="569">
        <v>5072393.83333334</v>
      </c>
      <c r="Q15" s="569">
        <v>5196466.5</v>
      </c>
      <c r="R15" s="569">
        <v>4890510.58333333</v>
      </c>
      <c r="S15" s="569">
        <v>4588773.41666666</v>
      </c>
      <c r="T15" s="593">
        <v>4611315.58333333</v>
      </c>
      <c r="U15" s="593">
        <v>4921586.58333333</v>
      </c>
      <c r="V15" s="593">
        <v>5174228.41666667</v>
      </c>
      <c r="W15" s="593">
        <v>4846365.58333334</v>
      </c>
      <c r="X15" s="593">
        <v>4502088.91666666</v>
      </c>
      <c r="Y15" s="593">
        <v>4479330.41666667</v>
      </c>
      <c r="Z15" s="593">
        <v>4681080</v>
      </c>
      <c r="AA15" s="593">
        <v>5114825.91666667</v>
      </c>
      <c r="AB15" s="593">
        <v>4961515.25</v>
      </c>
      <c r="AC15" s="593">
        <v>4647798.33333333</v>
      </c>
      <c r="AD15" s="593">
        <v>4171383.41666667</v>
      </c>
      <c r="AE15" s="593">
        <v>4269257.75</v>
      </c>
      <c r="AF15" s="593">
        <v>4274289.58333333</v>
      </c>
      <c r="AG15" s="593">
        <v>4411830.83333333</v>
      </c>
      <c r="AH15" s="593">
        <v>4323588.83333333</v>
      </c>
      <c r="AI15" s="593">
        <v>4264202.08333333</v>
      </c>
      <c r="AJ15" s="593">
        <v>4190608.66666667</v>
      </c>
      <c r="AK15" s="593">
        <v>3987531.91666667</v>
      </c>
      <c r="AL15" s="593">
        <v>3593376</v>
      </c>
      <c r="AM15" s="593">
        <v>3307265.97619048</v>
      </c>
      <c r="AN15" s="597">
        <v>3478204.75</v>
      </c>
      <c r="AO15" s="597"/>
      <c r="AP15" s="567">
        <f>SUM(AP2:AP14)</f>
        <v>0</v>
      </c>
      <c r="AQ15" s="607">
        <f>F15+AP15</f>
        <v>5980860.03366667</v>
      </c>
      <c r="AR15" s="608">
        <v>5660530.92466667</v>
      </c>
      <c r="AS15" s="608">
        <v>5668520.72693333</v>
      </c>
      <c r="AT15" s="608">
        <v>5698511.72053333</v>
      </c>
      <c r="AU15" s="608">
        <v>5601383.7565</v>
      </c>
      <c r="AV15" s="608">
        <v>5224298.21806667</v>
      </c>
      <c r="AW15" s="608">
        <v>5081761.9827</v>
      </c>
      <c r="AX15" s="608">
        <v>5060470.45536667</v>
      </c>
      <c r="AY15" s="608">
        <v>4816536.38013333</v>
      </c>
      <c r="AZ15" s="608">
        <v>5089743.26583334</v>
      </c>
      <c r="BA15" s="608">
        <v>5072393.83333334</v>
      </c>
      <c r="BB15" s="608">
        <v>5196466.5</v>
      </c>
      <c r="BC15" s="608">
        <v>4890510.58333333</v>
      </c>
      <c r="BD15" s="615">
        <v>4588773.41666667</v>
      </c>
      <c r="BE15" s="615">
        <v>4613260.25</v>
      </c>
      <c r="BF15" s="615">
        <v>4927566.5</v>
      </c>
      <c r="BG15" s="615">
        <v>5187328.08333334</v>
      </c>
      <c r="BH15" s="615">
        <v>4879204.91666667</v>
      </c>
      <c r="BI15" s="615">
        <v>4575343.25</v>
      </c>
      <c r="BJ15" s="615">
        <v>4611715.91666667</v>
      </c>
      <c r="BK15" s="615">
        <v>4829615.91666667</v>
      </c>
      <c r="BL15" s="615">
        <v>5253412.41666667</v>
      </c>
      <c r="BM15" s="615">
        <v>5093692.5</v>
      </c>
      <c r="BN15" s="615">
        <v>4757763.58333333</v>
      </c>
      <c r="BO15" s="615">
        <v>4254162.66666667</v>
      </c>
      <c r="BP15" s="615">
        <v>4346471.83333333</v>
      </c>
      <c r="BQ15" s="615">
        <v>4351743.33333333</v>
      </c>
      <c r="BR15" s="615">
        <v>4488107.5</v>
      </c>
      <c r="BS15" s="615">
        <v>4396578.5</v>
      </c>
      <c r="BT15" s="615">
        <v>4335924.08333333</v>
      </c>
      <c r="BU15" s="615">
        <v>4255796.33333333</v>
      </c>
      <c r="BV15" s="615">
        <v>4049784.41666667</v>
      </c>
      <c r="BW15" s="567">
        <v>3647308.33333333</v>
      </c>
      <c r="BX15" s="567">
        <v>3355179.36904762</v>
      </c>
      <c r="BY15" s="567">
        <v>3526364</v>
      </c>
      <c r="BZ15" s="619">
        <v>3637351.16666667</v>
      </c>
      <c r="CA15" s="619">
        <v>3541375.16666667</v>
      </c>
      <c r="CB15" s="619">
        <v>3717719.58333333</v>
      </c>
      <c r="CC15" s="619">
        <v>3820358.5</v>
      </c>
      <c r="CD15" s="622">
        <v>4145820.41666667</v>
      </c>
      <c r="CE15" s="622">
        <v>4264842.41666667</v>
      </c>
      <c r="CF15" s="622">
        <v>4644398.5</v>
      </c>
      <c r="CG15" s="622">
        <v>4640643.91666667</v>
      </c>
      <c r="CH15" s="622">
        <v>4924289.75</v>
      </c>
      <c r="CI15" s="622">
        <v>4486687.41666667</v>
      </c>
      <c r="CJ15" s="622">
        <v>4272833.66666667</v>
      </c>
      <c r="CK15" s="622">
        <v>4253571.66666667</v>
      </c>
      <c r="CL15" s="622">
        <v>4292456.16666667</v>
      </c>
      <c r="CM15" s="622"/>
      <c r="CO15" s="615"/>
      <c r="CP15" s="627">
        <f t="shared" si="2"/>
        <v>0.296996470005931</v>
      </c>
      <c r="CQ15" s="629" t="s">
        <v>180</v>
      </c>
    </row>
    <row r="16" ht="17.4" spans="1:95">
      <c r="A16" s="570" t="s">
        <v>181</v>
      </c>
      <c r="B16" s="570"/>
      <c r="C16" s="570"/>
      <c r="D16" s="570"/>
      <c r="E16" s="570"/>
      <c r="F16" s="570"/>
      <c r="G16" s="570"/>
      <c r="H16" s="570"/>
      <c r="I16" s="570"/>
      <c r="J16" s="570"/>
      <c r="K16" s="570"/>
      <c r="L16" s="570"/>
      <c r="M16" s="570"/>
      <c r="N16" s="570"/>
      <c r="O16" s="570"/>
      <c r="P16" s="570"/>
      <c r="Q16" s="570"/>
      <c r="R16" s="570"/>
      <c r="S16" s="570"/>
      <c r="T16" s="570"/>
      <c r="U16" s="570"/>
      <c r="V16" s="570"/>
      <c r="W16" s="570"/>
      <c r="X16" s="570"/>
      <c r="Y16" s="570"/>
      <c r="Z16" s="570"/>
      <c r="AA16" s="570"/>
      <c r="AB16" s="570"/>
      <c r="AC16" s="570"/>
      <c r="AD16" s="570"/>
      <c r="AE16" s="570"/>
      <c r="AF16" s="570"/>
      <c r="AG16" s="570"/>
      <c r="AH16" s="570"/>
      <c r="AI16" s="570"/>
      <c r="AJ16" s="570"/>
      <c r="AK16" s="570"/>
      <c r="AL16" s="570"/>
      <c r="AM16" s="570"/>
      <c r="AN16" s="570"/>
      <c r="AO16" s="570"/>
      <c r="AP16" s="570"/>
      <c r="AQ16" s="609">
        <f>AQ15/$D$15</f>
        <v>0.429239951891911</v>
      </c>
      <c r="AR16" s="609">
        <v>0.426247098393703</v>
      </c>
      <c r="AS16" s="609">
        <v>0.43478607287994</v>
      </c>
      <c r="AT16" s="609">
        <v>0.422832104864322</v>
      </c>
      <c r="AU16" s="609">
        <v>0.411227684964389</v>
      </c>
      <c r="AV16" s="609">
        <v>0.396644978727151</v>
      </c>
      <c r="AW16" s="609">
        <v>0.386</v>
      </c>
      <c r="AX16" s="609">
        <v>0.380486046571386</v>
      </c>
      <c r="AY16" s="609">
        <v>0.36</v>
      </c>
      <c r="AZ16" s="609">
        <v>0.364</v>
      </c>
      <c r="BA16" s="609">
        <v>0.369</v>
      </c>
      <c r="BB16" s="609">
        <v>0.3671277266084</v>
      </c>
      <c r="BC16" s="609">
        <v>0.36</v>
      </c>
      <c r="BD16" s="609">
        <v>0.343</v>
      </c>
      <c r="BE16" s="609">
        <v>0.38059536781914</v>
      </c>
      <c r="BF16" s="609">
        <v>0.393662568100679</v>
      </c>
      <c r="BG16" s="609">
        <v>0.394313675756859</v>
      </c>
      <c r="BH16" s="609">
        <v>0.380117076640183</v>
      </c>
      <c r="BI16" s="617">
        <v>0.354910259456004</v>
      </c>
      <c r="BJ16" s="617">
        <v>0.344996867697543</v>
      </c>
      <c r="BK16" s="617">
        <v>0.358299284558646</v>
      </c>
      <c r="BL16" s="617">
        <v>0.373027051068886</v>
      </c>
      <c r="BM16" s="617">
        <v>0.356105226312587</v>
      </c>
      <c r="BN16" s="617">
        <v>0.338513090596702</v>
      </c>
      <c r="BO16" s="617">
        <v>0.340403660073525</v>
      </c>
      <c r="BP16" s="617">
        <v>0.341906591213928</v>
      </c>
      <c r="BQ16" s="617">
        <v>0.335489679306274</v>
      </c>
      <c r="BR16" s="617">
        <v>0.350220467301796</v>
      </c>
      <c r="BS16" s="617">
        <v>0.343884121008247</v>
      </c>
      <c r="BT16" s="617">
        <v>0.349050802942264</v>
      </c>
      <c r="BU16" s="617">
        <v>0.349373251194063</v>
      </c>
      <c r="BV16" s="617">
        <v>0.353182173079095</v>
      </c>
      <c r="BW16" s="617">
        <v>0.3348848</v>
      </c>
      <c r="BX16" s="617">
        <v>0.3365871</v>
      </c>
      <c r="BY16" s="617">
        <v>0.3438668</v>
      </c>
      <c r="BZ16" s="620">
        <v>0.35983081261549</v>
      </c>
      <c r="CA16" s="620">
        <v>0.35858074294553</v>
      </c>
      <c r="CB16" s="620">
        <v>0.363562855985175</v>
      </c>
      <c r="CC16" s="620">
        <v>0.375673720066929</v>
      </c>
      <c r="CD16" s="620">
        <v>0.404659442115575</v>
      </c>
      <c r="CE16" s="620">
        <v>0.430235332307277</v>
      </c>
      <c r="CF16" s="620">
        <v>0.4532988</v>
      </c>
      <c r="CG16" s="620">
        <v>0.437548849011535</v>
      </c>
      <c r="CH16" s="620">
        <v>0.45884597535483</v>
      </c>
      <c r="CI16" s="620">
        <v>0.447908035561444</v>
      </c>
      <c r="CJ16" s="620">
        <v>0.434449892063773</v>
      </c>
      <c r="CK16" s="620">
        <v>0.466989807702433</v>
      </c>
      <c r="CL16" s="620">
        <v>0.478188980042383</v>
      </c>
      <c r="CM16" s="620">
        <v>0.490158101979616</v>
      </c>
      <c r="CN16" s="620">
        <v>0.348448691587434</v>
      </c>
      <c r="CO16" s="626">
        <f>AQ16-AR16</f>
        <v>0.00299285349820805</v>
      </c>
      <c r="CP16" s="630"/>
      <c r="CQ16" s="631" t="s">
        <v>180</v>
      </c>
    </row>
    <row r="17" ht="16.2" spans="1:94">
      <c r="A17" s="571"/>
      <c r="B17" s="572"/>
      <c r="C17" s="572"/>
      <c r="D17" s="571"/>
      <c r="E17" s="571"/>
      <c r="F17" s="571"/>
      <c r="G17" s="571"/>
      <c r="H17" s="571"/>
      <c r="I17" s="571"/>
      <c r="J17" s="571"/>
      <c r="K17" s="571"/>
      <c r="L17" s="571"/>
      <c r="M17" s="571"/>
      <c r="N17" s="571"/>
      <c r="O17" s="571"/>
      <c r="P17" s="571"/>
      <c r="Q17" s="571"/>
      <c r="R17" s="571"/>
      <c r="S17" s="571"/>
      <c r="T17" s="571"/>
      <c r="U17" s="571"/>
      <c r="V17" s="571"/>
      <c r="W17" s="571"/>
      <c r="X17" s="571"/>
      <c r="Y17" s="571"/>
      <c r="Z17" s="571"/>
      <c r="AA17" s="571"/>
      <c r="AB17" s="571"/>
      <c r="AC17" s="571"/>
      <c r="AD17" s="571"/>
      <c r="AE17" s="571"/>
      <c r="AF17" s="571"/>
      <c r="AG17" s="571"/>
      <c r="AH17" s="571"/>
      <c r="AI17" s="571"/>
      <c r="AJ17" s="571"/>
      <c r="AK17" s="571"/>
      <c r="AL17" s="571"/>
      <c r="AM17" s="571"/>
      <c r="AN17" s="571"/>
      <c r="AO17" s="571"/>
      <c r="AP17" s="571"/>
      <c r="AQ17" s="610"/>
      <c r="AR17" s="610"/>
      <c r="AS17" s="610"/>
      <c r="AT17" s="610"/>
      <c r="AU17" s="610"/>
      <c r="AV17" s="610"/>
      <c r="AW17" s="610"/>
      <c r="AX17" s="610"/>
      <c r="AY17" s="610"/>
      <c r="AZ17" s="610"/>
      <c r="BA17" s="610"/>
      <c r="BB17" s="610"/>
      <c r="BC17" s="610"/>
      <c r="BD17" s="610"/>
      <c r="BE17" s="610"/>
      <c r="BF17" s="610"/>
      <c r="BG17" s="610"/>
      <c r="BH17" s="610"/>
      <c r="BI17" s="610"/>
      <c r="BJ17" s="610"/>
      <c r="BK17" s="610"/>
      <c r="BL17" s="610"/>
      <c r="BM17" s="610"/>
      <c r="BN17" s="610"/>
      <c r="BO17" s="610"/>
      <c r="BP17" s="610"/>
      <c r="BQ17" s="610"/>
      <c r="BR17" s="610"/>
      <c r="BS17" s="610"/>
      <c r="BT17" s="610"/>
      <c r="BU17" s="610"/>
      <c r="BV17" s="610"/>
      <c r="BW17" s="610"/>
      <c r="BX17" s="571"/>
      <c r="BY17" s="571"/>
      <c r="BZ17" s="571"/>
      <c r="CA17" s="571"/>
      <c r="CB17" s="571"/>
      <c r="CC17" s="623"/>
      <c r="CD17" s="623"/>
      <c r="CE17" s="623"/>
      <c r="CF17" s="623"/>
      <c r="CG17" s="623"/>
      <c r="CH17" s="623"/>
      <c r="CI17" s="623"/>
      <c r="CJ17" s="587"/>
      <c r="CK17" s="587"/>
      <c r="CL17" s="587"/>
      <c r="CM17" s="587"/>
      <c r="CN17" s="587"/>
      <c r="CO17" s="613"/>
      <c r="CP17" s="632"/>
    </row>
    <row r="18" spans="87:87">
      <c r="CI18" s="549"/>
    </row>
    <row r="19" s="546" customFormat="1" ht="64.8" spans="1:95">
      <c r="A19" s="573" t="s">
        <v>63</v>
      </c>
      <c r="B19" s="574"/>
      <c r="C19" s="574"/>
      <c r="D19" s="575" t="s">
        <v>182</v>
      </c>
      <c r="E19" s="573" t="s">
        <v>183</v>
      </c>
      <c r="F19" s="555" t="s">
        <v>68</v>
      </c>
      <c r="G19" s="553" t="s">
        <v>69</v>
      </c>
      <c r="H19" s="553" t="s">
        <v>70</v>
      </c>
      <c r="I19" s="553" t="s">
        <v>71</v>
      </c>
      <c r="J19" s="553" t="s">
        <v>72</v>
      </c>
      <c r="K19" s="553" t="s">
        <v>73</v>
      </c>
      <c r="L19" s="591" t="s">
        <v>74</v>
      </c>
      <c r="AY19" s="616"/>
      <c r="AZ19" s="616"/>
      <c r="BA19" s="616"/>
      <c r="BB19" s="616"/>
      <c r="BC19" s="616"/>
      <c r="BD19" s="616"/>
      <c r="BE19" s="616"/>
      <c r="BF19" s="616"/>
      <c r="BG19" s="616"/>
      <c r="BH19" s="616"/>
      <c r="BI19" s="616"/>
      <c r="BJ19" s="616"/>
      <c r="BK19" s="616"/>
      <c r="BL19" s="616"/>
      <c r="BM19" s="616"/>
      <c r="BN19" s="616"/>
      <c r="BO19" s="616"/>
      <c r="BP19" s="616"/>
      <c r="BQ19" s="616"/>
      <c r="BR19" s="616"/>
      <c r="BS19" s="616"/>
      <c r="BT19" s="616"/>
      <c r="BU19" s="616"/>
      <c r="BV19" s="616"/>
      <c r="BW19" s="616"/>
      <c r="BX19" s="581"/>
      <c r="BY19" s="581"/>
      <c r="BZ19" s="581"/>
      <c r="CA19" s="581"/>
      <c r="CB19" s="581"/>
      <c r="CC19" s="616"/>
      <c r="CD19" s="616"/>
      <c r="CE19" s="616"/>
      <c r="CF19" s="616"/>
      <c r="CG19" s="616"/>
      <c r="CH19" s="616"/>
      <c r="CI19" s="258"/>
      <c r="CJ19" s="258"/>
      <c r="CK19" s="258"/>
      <c r="CL19" s="258"/>
      <c r="CM19" s="616"/>
      <c r="CN19" s="258"/>
      <c r="CO19" s="591" t="s">
        <v>184</v>
      </c>
      <c r="CP19" s="591"/>
      <c r="CQ19" s="625" t="s">
        <v>137</v>
      </c>
    </row>
    <row r="20" ht="17.4" spans="1:95">
      <c r="A20" s="556" t="s">
        <v>185</v>
      </c>
      <c r="B20" s="557"/>
      <c r="C20" s="557"/>
      <c r="D20" s="558">
        <f t="shared" ref="D20:D25" si="4">F20</f>
        <v>496415.356416666</v>
      </c>
      <c r="E20" s="576">
        <f t="shared" ref="E20:E25" si="5">D20/$D$15</f>
        <v>0.0356272011896694</v>
      </c>
      <c r="F20" s="558">
        <f>'竞争者-202402'!F167</f>
        <v>496415.356416666</v>
      </c>
      <c r="G20" s="560">
        <v>519999.606783333</v>
      </c>
      <c r="H20" s="560">
        <v>485896.35215</v>
      </c>
      <c r="I20" s="560">
        <v>493729.38685</v>
      </c>
      <c r="J20" s="560">
        <v>487604.115</v>
      </c>
      <c r="K20" s="560">
        <v>476174.43</v>
      </c>
      <c r="L20" s="560">
        <v>494565.166666667</v>
      </c>
      <c r="BX20" s="548"/>
      <c r="BY20" s="548"/>
      <c r="BZ20" s="548"/>
      <c r="CA20" s="548"/>
      <c r="CB20" s="548"/>
      <c r="CO20" s="626">
        <f t="shared" ref="CO20:CO25" si="6">F20/G20-1</f>
        <v>-0.0453543619245338</v>
      </c>
      <c r="CP20" s="581"/>
      <c r="CQ20" s="631" t="s">
        <v>186</v>
      </c>
    </row>
    <row r="21" ht="17.4" spans="1:95">
      <c r="A21" s="556" t="s">
        <v>187</v>
      </c>
      <c r="B21" s="557"/>
      <c r="C21" s="557"/>
      <c r="D21" s="558">
        <f t="shared" si="4"/>
        <v>254452.454633333</v>
      </c>
      <c r="E21" s="576">
        <f t="shared" si="5"/>
        <v>0.0182617815449245</v>
      </c>
      <c r="F21" s="558">
        <f>'竞争者-202402'!F182</f>
        <v>254452.454633333</v>
      </c>
      <c r="G21" s="560">
        <v>259436.272866667</v>
      </c>
      <c r="H21" s="560">
        <v>228943.2459</v>
      </c>
      <c r="I21" s="560">
        <v>252489.0289</v>
      </c>
      <c r="J21" s="560">
        <v>277599.86965</v>
      </c>
      <c r="K21" s="560">
        <v>301092.269033333</v>
      </c>
      <c r="L21" s="560">
        <v>254179.047666667</v>
      </c>
      <c r="BW21" s="611"/>
      <c r="BX21" s="548"/>
      <c r="BY21" s="548"/>
      <c r="BZ21" s="548"/>
      <c r="CA21" s="548"/>
      <c r="CB21" s="548"/>
      <c r="CC21" s="624"/>
      <c r="CD21" s="624"/>
      <c r="CE21" s="624"/>
      <c r="CF21" s="624"/>
      <c r="CG21" s="624"/>
      <c r="CH21" s="624"/>
      <c r="CO21" s="626">
        <f t="shared" si="6"/>
        <v>-0.0192101828254949</v>
      </c>
      <c r="CP21" s="581"/>
      <c r="CQ21" s="631" t="s">
        <v>188</v>
      </c>
    </row>
    <row r="22" ht="17.4" spans="1:95">
      <c r="A22" s="556" t="s">
        <v>189</v>
      </c>
      <c r="B22" s="557"/>
      <c r="C22" s="557"/>
      <c r="D22" s="558">
        <f t="shared" si="4"/>
        <v>194324.095</v>
      </c>
      <c r="E22" s="576">
        <f t="shared" si="5"/>
        <v>0.0139464332419935</v>
      </c>
      <c r="F22" s="558">
        <f>'竞争者-202402'!F192</f>
        <v>194324.095</v>
      </c>
      <c r="G22" s="560">
        <v>235401.931083333</v>
      </c>
      <c r="H22" s="560">
        <v>275896.9705</v>
      </c>
      <c r="I22" s="560">
        <v>284726.499116667</v>
      </c>
      <c r="J22" s="560">
        <v>269780.6984</v>
      </c>
      <c r="K22" s="560">
        <v>251154.870453333</v>
      </c>
      <c r="L22" s="560">
        <v>263725.916666666</v>
      </c>
      <c r="BX22" s="548"/>
      <c r="BY22" s="548"/>
      <c r="BZ22" s="548"/>
      <c r="CA22" s="548"/>
      <c r="CB22" s="548"/>
      <c r="CO22" s="626">
        <f t="shared" si="6"/>
        <v>-0.174500845826924</v>
      </c>
      <c r="CP22" s="581"/>
      <c r="CQ22" s="631" t="s">
        <v>190</v>
      </c>
    </row>
    <row r="23" ht="17.4" spans="1:95">
      <c r="A23" s="556" t="s">
        <v>191</v>
      </c>
      <c r="B23" s="557"/>
      <c r="C23" s="557"/>
      <c r="D23" s="558">
        <f t="shared" si="4"/>
        <v>176176.176666667</v>
      </c>
      <c r="E23" s="576">
        <f t="shared" si="5"/>
        <v>0.0126439764801752</v>
      </c>
      <c r="F23" s="558">
        <f>'竞争者-202402'!F204</f>
        <v>176176.176666667</v>
      </c>
      <c r="G23" s="560">
        <v>201313.304366666</v>
      </c>
      <c r="H23" s="560">
        <v>189473.0524</v>
      </c>
      <c r="I23" s="560">
        <v>211164.033766667</v>
      </c>
      <c r="J23" s="560">
        <v>188168.341</v>
      </c>
      <c r="K23" s="560">
        <v>172122.533333333</v>
      </c>
      <c r="L23" s="560">
        <v>173313.833333333</v>
      </c>
      <c r="BW23" s="611"/>
      <c r="BX23" s="548"/>
      <c r="BY23" s="548"/>
      <c r="BZ23" s="548"/>
      <c r="CA23" s="548"/>
      <c r="CB23" s="548"/>
      <c r="CC23" s="624"/>
      <c r="CD23" s="624"/>
      <c r="CE23" s="624"/>
      <c r="CF23" s="624"/>
      <c r="CG23" s="624"/>
      <c r="CH23" s="624"/>
      <c r="CO23" s="626">
        <f t="shared" si="6"/>
        <v>-0.124865705121085</v>
      </c>
      <c r="CP23" s="581"/>
      <c r="CQ23" s="631" t="s">
        <v>192</v>
      </c>
    </row>
    <row r="24" ht="17.4" spans="1:95">
      <c r="A24" s="556" t="s">
        <v>193</v>
      </c>
      <c r="B24" s="557"/>
      <c r="C24" s="557"/>
      <c r="D24" s="558">
        <f t="shared" si="4"/>
        <v>175626.7701</v>
      </c>
      <c r="E24" s="576">
        <f t="shared" si="5"/>
        <v>0.012604546156289</v>
      </c>
      <c r="F24" s="558">
        <f>'竞争者-202402'!F219</f>
        <v>175626.7701</v>
      </c>
      <c r="G24" s="560">
        <v>188265.3817</v>
      </c>
      <c r="H24" s="560">
        <v>200728.121566667</v>
      </c>
      <c r="I24" s="560">
        <v>202896.673866667</v>
      </c>
      <c r="J24" s="560">
        <v>202865.053716667</v>
      </c>
      <c r="K24" s="560">
        <v>215805.0037</v>
      </c>
      <c r="L24" s="560">
        <v>207828.797666667</v>
      </c>
      <c r="BX24" s="548"/>
      <c r="BY24" s="548"/>
      <c r="BZ24" s="548"/>
      <c r="CA24" s="548"/>
      <c r="CB24" s="548"/>
      <c r="CO24" s="626">
        <f t="shared" si="6"/>
        <v>-0.0671318937442231</v>
      </c>
      <c r="CP24" s="581"/>
      <c r="CQ24" s="631" t="s">
        <v>194</v>
      </c>
    </row>
    <row r="25" ht="17.4" spans="1:95">
      <c r="A25" s="556" t="s">
        <v>195</v>
      </c>
      <c r="B25" s="557"/>
      <c r="C25" s="557"/>
      <c r="D25" s="558">
        <f t="shared" si="4"/>
        <v>163564.626972667</v>
      </c>
      <c r="E25" s="576">
        <f t="shared" si="5"/>
        <v>0.0117388589964918</v>
      </c>
      <c r="F25" s="558">
        <f>'竞争者-202402'!F231</f>
        <v>163564.626972667</v>
      </c>
      <c r="G25" s="560">
        <v>155499.652434</v>
      </c>
      <c r="H25" s="560">
        <v>154656.371270333</v>
      </c>
      <c r="I25" s="560">
        <v>194291.709174</v>
      </c>
      <c r="J25" s="560">
        <v>218766.585077667</v>
      </c>
      <c r="K25" s="560">
        <v>219679.246666667</v>
      </c>
      <c r="L25" s="560">
        <v>225616.13</v>
      </c>
      <c r="BW25" s="611"/>
      <c r="BX25" s="548"/>
      <c r="BY25" s="548"/>
      <c r="BZ25" s="548"/>
      <c r="CA25" s="548"/>
      <c r="CB25" s="548"/>
      <c r="CC25" s="624"/>
      <c r="CD25" s="624"/>
      <c r="CE25" s="624"/>
      <c r="CF25" s="624"/>
      <c r="CG25" s="624"/>
      <c r="CH25" s="624"/>
      <c r="CO25" s="626">
        <f t="shared" si="6"/>
        <v>0.0518649039559091</v>
      </c>
      <c r="CP25" s="581"/>
      <c r="CQ25" s="631" t="s">
        <v>196</v>
      </c>
    </row>
    <row r="26" spans="4:80">
      <c r="D26" s="577"/>
      <c r="E26" s="549"/>
      <c r="F26" s="549"/>
      <c r="G26" s="549"/>
      <c r="H26" s="549"/>
      <c r="I26" s="549"/>
      <c r="J26" s="549"/>
      <c r="K26" s="549"/>
      <c r="L26" s="549"/>
      <c r="M26" s="549"/>
      <c r="N26" s="549"/>
      <c r="O26" s="549"/>
      <c r="P26" s="549"/>
      <c r="Q26" s="549"/>
      <c r="R26" s="549"/>
      <c r="S26" s="549"/>
      <c r="T26" s="549"/>
      <c r="U26" s="549"/>
      <c r="V26" s="549"/>
      <c r="W26" s="549"/>
      <c r="X26" s="549"/>
      <c r="Y26" s="549"/>
      <c r="Z26" s="549"/>
      <c r="AA26" s="549"/>
      <c r="AB26" s="549"/>
      <c r="AC26" s="549"/>
      <c r="AD26" s="549"/>
      <c r="AE26" s="549"/>
      <c r="AF26" s="549"/>
      <c r="AG26" s="549"/>
      <c r="AH26" s="549"/>
      <c r="AI26" s="549"/>
      <c r="AJ26" s="549"/>
      <c r="AK26" s="549"/>
      <c r="AL26" s="549"/>
      <c r="AM26" s="548"/>
      <c r="AN26" s="548"/>
      <c r="AO26" s="548"/>
      <c r="AP26" s="611"/>
      <c r="BX26" s="548"/>
      <c r="BY26" s="548"/>
      <c r="BZ26" s="548"/>
      <c r="CA26" s="548"/>
      <c r="CB26" s="548"/>
    </row>
    <row r="27" ht="16.2" spans="4:80">
      <c r="D27" s="578">
        <f>SUM(D20:D25)</f>
        <v>1460559.47978933</v>
      </c>
      <c r="E27" s="579"/>
      <c r="F27" s="579"/>
      <c r="G27" s="579"/>
      <c r="H27" s="579"/>
      <c r="I27" s="579"/>
      <c r="J27" s="579"/>
      <c r="K27" s="579"/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  <c r="AD27" s="579"/>
      <c r="AE27" s="579"/>
      <c r="AF27" s="579"/>
      <c r="AG27" s="579"/>
      <c r="AH27" s="579"/>
      <c r="AI27" s="579"/>
      <c r="AJ27" s="579"/>
      <c r="AK27" s="579"/>
      <c r="AL27" s="579"/>
      <c r="AM27" s="584"/>
      <c r="AN27" s="584"/>
      <c r="AO27" s="584"/>
      <c r="AP27" s="584"/>
      <c r="BX27" s="584"/>
      <c r="BY27" s="584"/>
      <c r="BZ27" s="584"/>
      <c r="CA27" s="584"/>
      <c r="CB27" s="584"/>
    </row>
    <row r="28" spans="4:95">
      <c r="D28" s="580"/>
      <c r="E28" s="579"/>
      <c r="F28" s="579"/>
      <c r="G28" s="579"/>
      <c r="H28" s="579"/>
      <c r="I28" s="579"/>
      <c r="J28" s="579"/>
      <c r="K28" s="579"/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  <c r="AD28" s="579"/>
      <c r="AE28" s="579"/>
      <c r="AF28" s="579"/>
      <c r="AG28" s="579"/>
      <c r="AH28" s="579"/>
      <c r="AI28" s="579"/>
      <c r="AJ28" s="579"/>
      <c r="AK28" s="579"/>
      <c r="AL28" s="579"/>
      <c r="AM28" s="584"/>
      <c r="AN28" s="584"/>
      <c r="AO28" s="584"/>
      <c r="AP28" s="584"/>
      <c r="BX28" s="584"/>
      <c r="BY28" s="584"/>
      <c r="BZ28" s="584"/>
      <c r="CA28" s="584"/>
      <c r="CB28" s="584"/>
      <c r="CQ28" s="260"/>
    </row>
    <row r="29" s="546" customFormat="1" ht="32.4" spans="1:95">
      <c r="A29" s="581" t="s">
        <v>197</v>
      </c>
      <c r="B29" s="582"/>
      <c r="C29" s="582"/>
      <c r="D29" s="583"/>
      <c r="AM29" s="598"/>
      <c r="AN29" s="598"/>
      <c r="AO29" s="598"/>
      <c r="AQ29" s="612"/>
      <c r="AR29" s="612"/>
      <c r="AS29" s="612"/>
      <c r="AT29" s="612"/>
      <c r="AU29" s="612"/>
      <c r="AV29" s="612"/>
      <c r="AW29" s="612"/>
      <c r="AX29" s="612"/>
      <c r="AY29" s="612"/>
      <c r="AZ29" s="612"/>
      <c r="BA29" s="612"/>
      <c r="BB29" s="612"/>
      <c r="BC29" s="612"/>
      <c r="BD29" s="612"/>
      <c r="BE29" s="612"/>
      <c r="BF29" s="612"/>
      <c r="BG29" s="612"/>
      <c r="BH29" s="612"/>
      <c r="BI29" s="612"/>
      <c r="BJ29" s="612"/>
      <c r="BK29" s="612"/>
      <c r="BL29" s="612"/>
      <c r="BM29" s="612"/>
      <c r="BN29" s="612"/>
      <c r="BO29" s="612"/>
      <c r="BP29" s="612"/>
      <c r="BQ29" s="612"/>
      <c r="BR29" s="612"/>
      <c r="BS29" s="612"/>
      <c r="BT29" s="612"/>
      <c r="BU29" s="612"/>
      <c r="BV29" s="612"/>
      <c r="BW29" s="612"/>
      <c r="CC29" s="612"/>
      <c r="CD29" s="612"/>
      <c r="CE29" s="612"/>
      <c r="CF29" s="612"/>
      <c r="CG29" s="612"/>
      <c r="CH29" s="612"/>
      <c r="CI29" s="258"/>
      <c r="CJ29" s="258"/>
      <c r="CK29" s="258"/>
      <c r="CL29" s="258"/>
      <c r="CM29" s="612"/>
      <c r="CN29" s="258"/>
      <c r="CO29" s="633"/>
      <c r="CP29" s="634"/>
      <c r="CQ29" s="361"/>
    </row>
    <row r="30" spans="1:80">
      <c r="A30" s="258" t="s">
        <v>198</v>
      </c>
      <c r="D30" s="584"/>
      <c r="E30" s="549"/>
      <c r="F30" s="549"/>
      <c r="G30" s="549"/>
      <c r="H30" s="549"/>
      <c r="I30" s="549"/>
      <c r="J30" s="549"/>
      <c r="K30" s="549"/>
      <c r="L30" s="549"/>
      <c r="M30" s="549"/>
      <c r="N30" s="549"/>
      <c r="O30" s="549"/>
      <c r="P30" s="549"/>
      <c r="Q30" s="549"/>
      <c r="R30" s="549"/>
      <c r="S30" s="549"/>
      <c r="T30" s="549"/>
      <c r="U30" s="549"/>
      <c r="V30" s="549"/>
      <c r="W30" s="549"/>
      <c r="X30" s="549"/>
      <c r="Y30" s="549"/>
      <c r="Z30" s="549"/>
      <c r="AA30" s="549"/>
      <c r="AB30" s="549"/>
      <c r="AC30" s="549"/>
      <c r="AD30" s="549"/>
      <c r="AE30" s="549"/>
      <c r="AF30" s="549"/>
      <c r="AG30" s="549"/>
      <c r="AH30" s="549"/>
      <c r="AI30" s="549"/>
      <c r="AJ30" s="549"/>
      <c r="AK30" s="549"/>
      <c r="AL30" s="549"/>
      <c r="AM30" s="548"/>
      <c r="AN30" s="548"/>
      <c r="AO30" s="548"/>
      <c r="AP30" s="548"/>
      <c r="BX30" s="548"/>
      <c r="BY30" s="548"/>
      <c r="BZ30" s="548"/>
      <c r="CA30" s="548"/>
      <c r="CB30" s="548"/>
    </row>
    <row r="31" spans="1:80">
      <c r="A31" s="258" t="s">
        <v>199</v>
      </c>
      <c r="D31" s="584"/>
      <c r="E31" s="549"/>
      <c r="F31" s="549"/>
      <c r="G31" s="549"/>
      <c r="H31" s="549"/>
      <c r="I31" s="549"/>
      <c r="J31" s="549"/>
      <c r="K31" s="549"/>
      <c r="L31" s="549"/>
      <c r="M31" s="549"/>
      <c r="N31" s="549"/>
      <c r="O31" s="549"/>
      <c r="P31" s="549"/>
      <c r="Q31" s="549"/>
      <c r="R31" s="549"/>
      <c r="S31" s="549"/>
      <c r="T31" s="549"/>
      <c r="U31" s="549"/>
      <c r="V31" s="549"/>
      <c r="W31" s="549"/>
      <c r="X31" s="549"/>
      <c r="Y31" s="549"/>
      <c r="Z31" s="549"/>
      <c r="AA31" s="549"/>
      <c r="AB31" s="549"/>
      <c r="AC31" s="549"/>
      <c r="AD31" s="549"/>
      <c r="AE31" s="549"/>
      <c r="AF31" s="549"/>
      <c r="AG31" s="549"/>
      <c r="AH31" s="549"/>
      <c r="AI31" s="549"/>
      <c r="AJ31" s="549"/>
      <c r="AK31" s="549"/>
      <c r="AL31" s="549"/>
      <c r="AM31" s="548"/>
      <c r="AN31" s="548"/>
      <c r="AO31" s="548"/>
      <c r="AP31" s="548"/>
      <c r="BX31" s="548"/>
      <c r="BY31" s="548"/>
      <c r="BZ31" s="548"/>
      <c r="CA31" s="548"/>
      <c r="CB31" s="548"/>
    </row>
    <row r="32" spans="1:80">
      <c r="A32" s="258" t="s">
        <v>200</v>
      </c>
      <c r="D32" s="584"/>
      <c r="E32" s="549"/>
      <c r="F32" s="549"/>
      <c r="G32" s="549"/>
      <c r="H32" s="549"/>
      <c r="I32" s="549"/>
      <c r="J32" s="549"/>
      <c r="K32" s="549"/>
      <c r="L32" s="549"/>
      <c r="M32" s="549"/>
      <c r="N32" s="549"/>
      <c r="O32" s="549"/>
      <c r="P32" s="549"/>
      <c r="Q32" s="549"/>
      <c r="R32" s="549"/>
      <c r="S32" s="549"/>
      <c r="T32" s="549"/>
      <c r="U32" s="549"/>
      <c r="V32" s="549"/>
      <c r="W32" s="549"/>
      <c r="X32" s="549"/>
      <c r="Y32" s="549"/>
      <c r="Z32" s="549"/>
      <c r="AA32" s="549"/>
      <c r="AB32" s="549"/>
      <c r="AC32" s="549"/>
      <c r="AD32" s="549"/>
      <c r="AE32" s="549"/>
      <c r="AF32" s="549"/>
      <c r="AG32" s="549"/>
      <c r="AH32" s="549"/>
      <c r="AI32" s="549"/>
      <c r="AJ32" s="549"/>
      <c r="AK32" s="549"/>
      <c r="AL32" s="549"/>
      <c r="AM32" s="548"/>
      <c r="AN32" s="548"/>
      <c r="AO32" s="548"/>
      <c r="AP32" s="548"/>
      <c r="BX32" s="548"/>
      <c r="BY32" s="548"/>
      <c r="BZ32" s="548"/>
      <c r="CA32" s="548"/>
      <c r="CB32" s="548"/>
    </row>
    <row r="33" spans="4:38">
      <c r="D33" s="580">
        <f>SUM(D30:D32)</f>
        <v>0</v>
      </c>
      <c r="E33" s="549"/>
      <c r="F33" s="549"/>
      <c r="G33" s="549"/>
      <c r="H33" s="549"/>
      <c r="I33" s="549"/>
      <c r="J33" s="549"/>
      <c r="K33" s="549"/>
      <c r="L33" s="549"/>
      <c r="M33" s="549"/>
      <c r="N33" s="549"/>
      <c r="O33" s="549"/>
      <c r="P33" s="549"/>
      <c r="Q33" s="549"/>
      <c r="R33" s="549"/>
      <c r="S33" s="549"/>
      <c r="T33" s="549"/>
      <c r="U33" s="549"/>
      <c r="V33" s="549"/>
      <c r="W33" s="549"/>
      <c r="X33" s="549"/>
      <c r="Y33" s="549"/>
      <c r="Z33" s="549"/>
      <c r="AA33" s="549"/>
      <c r="AB33" s="549"/>
      <c r="AC33" s="549"/>
      <c r="AD33" s="549"/>
      <c r="AE33" s="549"/>
      <c r="AF33" s="549"/>
      <c r="AG33" s="549"/>
      <c r="AH33" s="549"/>
      <c r="AI33" s="549"/>
      <c r="AJ33" s="549"/>
      <c r="AK33" s="549"/>
      <c r="AL33" s="549"/>
    </row>
    <row r="34" spans="4:38">
      <c r="D34" s="580">
        <f>D27+D33</f>
        <v>1460559.47978933</v>
      </c>
      <c r="E34" s="579">
        <f>D34/D35</f>
        <v>0.0948774752262024</v>
      </c>
      <c r="F34" s="579"/>
      <c r="G34" s="579"/>
      <c r="H34" s="579"/>
      <c r="I34" s="579"/>
      <c r="J34" s="579"/>
      <c r="K34" s="579"/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  <c r="AD34" s="579"/>
      <c r="AE34" s="579"/>
      <c r="AF34" s="579"/>
      <c r="AG34" s="579"/>
      <c r="AH34" s="579"/>
      <c r="AI34" s="579"/>
      <c r="AJ34" s="579"/>
      <c r="AK34" s="579"/>
      <c r="AL34" s="579"/>
    </row>
    <row r="35" s="547" customFormat="1" ht="16.2" spans="1:95">
      <c r="A35" s="547" t="s">
        <v>201</v>
      </c>
      <c r="B35" s="566"/>
      <c r="C35" s="566"/>
      <c r="D35" s="585">
        <f>D15+D34</f>
        <v>15394164.698282</v>
      </c>
      <c r="AM35" s="599"/>
      <c r="AN35" s="599"/>
      <c r="AO35" s="599"/>
      <c r="AP35" s="587"/>
      <c r="AQ35" s="587"/>
      <c r="AR35" s="587"/>
      <c r="AS35" s="587"/>
      <c r="AT35" s="587"/>
      <c r="AU35" s="587"/>
      <c r="AV35" s="587"/>
      <c r="AW35" s="587"/>
      <c r="AX35" s="587"/>
      <c r="AY35" s="587"/>
      <c r="AZ35" s="587"/>
      <c r="BA35" s="587"/>
      <c r="BB35" s="587"/>
      <c r="BC35" s="587"/>
      <c r="BD35" s="587"/>
      <c r="BE35" s="587"/>
      <c r="BF35" s="587"/>
      <c r="BG35" s="587"/>
      <c r="BH35" s="587"/>
      <c r="BI35" s="587"/>
      <c r="BJ35" s="587"/>
      <c r="BK35" s="587"/>
      <c r="BL35" s="587"/>
      <c r="BM35" s="587"/>
      <c r="BN35" s="587"/>
      <c r="BO35" s="587"/>
      <c r="BP35" s="587"/>
      <c r="BQ35" s="587"/>
      <c r="BR35" s="587"/>
      <c r="BS35" s="587"/>
      <c r="BT35" s="587"/>
      <c r="BU35" s="587"/>
      <c r="BV35" s="587"/>
      <c r="BW35" s="587"/>
      <c r="BX35" s="587"/>
      <c r="BY35" s="587"/>
      <c r="CC35" s="587"/>
      <c r="CD35" s="587"/>
      <c r="CE35" s="587"/>
      <c r="CF35" s="587"/>
      <c r="CG35" s="587"/>
      <c r="CL35" s="587"/>
      <c r="CN35" s="632"/>
      <c r="CO35" s="635"/>
      <c r="CP35" s="581"/>
      <c r="CQ35" s="260"/>
    </row>
    <row r="37" ht="16.2" spans="4:5">
      <c r="D37" s="586">
        <f>F15+AP15</f>
        <v>5980860.03366667</v>
      </c>
      <c r="E37" s="587">
        <f>D37/D35</f>
        <v>0.38851474899019</v>
      </c>
    </row>
    <row r="38" ht="16.2" spans="1:4">
      <c r="A38" s="547"/>
      <c r="B38" s="566"/>
      <c r="C38" s="566"/>
      <c r="D38" s="258"/>
    </row>
    <row r="39" spans="4:41">
      <c r="D39" s="258"/>
      <c r="AM39" s="600"/>
      <c r="AN39" s="600"/>
      <c r="AO39" s="600"/>
    </row>
    <row r="40" spans="1:80">
      <c r="A40" s="548"/>
      <c r="B40" s="588"/>
      <c r="C40" s="588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  <c r="AF40" s="589"/>
      <c r="AG40" s="589"/>
      <c r="AH40" s="589"/>
      <c r="AI40" s="589"/>
      <c r="AJ40" s="589"/>
      <c r="AK40" s="589"/>
      <c r="AL40" s="589"/>
      <c r="AM40" s="550"/>
      <c r="AN40" s="550"/>
      <c r="AO40" s="550"/>
      <c r="AP40" s="579"/>
      <c r="BX40" s="579"/>
      <c r="BY40" s="579"/>
      <c r="BZ40" s="579"/>
      <c r="CA40" s="579"/>
      <c r="CB40" s="579"/>
    </row>
    <row r="41" spans="1:41">
      <c r="A41" s="548"/>
      <c r="B41" s="588"/>
      <c r="C41" s="588"/>
      <c r="E41" s="580"/>
      <c r="F41" s="580"/>
      <c r="G41" s="580"/>
      <c r="H41" s="580"/>
      <c r="I41" s="580"/>
      <c r="J41" s="580"/>
      <c r="K41" s="580"/>
      <c r="L41" s="580"/>
      <c r="M41" s="580"/>
      <c r="N41" s="580"/>
      <c r="O41" s="580"/>
      <c r="P41" s="580"/>
      <c r="Q41" s="580"/>
      <c r="R41" s="580"/>
      <c r="S41" s="580"/>
      <c r="T41" s="580"/>
      <c r="U41" s="580"/>
      <c r="V41" s="580"/>
      <c r="W41" s="580"/>
      <c r="X41" s="580"/>
      <c r="Y41" s="580"/>
      <c r="Z41" s="580"/>
      <c r="AA41" s="580"/>
      <c r="AB41" s="580"/>
      <c r="AC41" s="580"/>
      <c r="AD41" s="580"/>
      <c r="AE41" s="580"/>
      <c r="AF41" s="580"/>
      <c r="AG41" s="580"/>
      <c r="AH41" s="580"/>
      <c r="AI41" s="580"/>
      <c r="AJ41" s="580"/>
      <c r="AK41" s="580"/>
      <c r="AL41" s="580"/>
      <c r="AM41" s="600"/>
      <c r="AN41" s="600"/>
      <c r="AO41" s="600"/>
    </row>
    <row r="42" spans="1:41">
      <c r="A42" s="548"/>
      <c r="B42" s="588"/>
      <c r="C42" s="588"/>
      <c r="E42" s="590"/>
      <c r="F42" s="590"/>
      <c r="G42" s="590"/>
      <c r="H42" s="590"/>
      <c r="I42" s="590"/>
      <c r="J42" s="590"/>
      <c r="K42" s="590"/>
      <c r="L42" s="590"/>
      <c r="M42" s="590"/>
      <c r="N42" s="590"/>
      <c r="O42" s="590"/>
      <c r="P42" s="590"/>
      <c r="Q42" s="590"/>
      <c r="R42" s="590"/>
      <c r="S42" s="590"/>
      <c r="T42" s="590"/>
      <c r="U42" s="590"/>
      <c r="V42" s="590"/>
      <c r="W42" s="590"/>
      <c r="X42" s="590"/>
      <c r="Y42" s="590"/>
      <c r="Z42" s="590"/>
      <c r="AA42" s="590"/>
      <c r="AB42" s="590"/>
      <c r="AC42" s="590"/>
      <c r="AD42" s="590"/>
      <c r="AE42" s="590"/>
      <c r="AF42" s="590"/>
      <c r="AG42" s="590"/>
      <c r="AH42" s="590"/>
      <c r="AI42" s="590"/>
      <c r="AJ42" s="590"/>
      <c r="AK42" s="590"/>
      <c r="AL42" s="590"/>
      <c r="AM42" s="600"/>
      <c r="AN42" s="600"/>
      <c r="AO42" s="600"/>
    </row>
    <row r="43" spans="1:80">
      <c r="A43" s="548"/>
      <c r="B43" s="588"/>
      <c r="C43" s="588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  <c r="AF43" s="589"/>
      <c r="AG43" s="589"/>
      <c r="AH43" s="589"/>
      <c r="AI43" s="589"/>
      <c r="AJ43" s="589"/>
      <c r="AK43" s="589"/>
      <c r="AL43" s="589"/>
      <c r="AM43" s="550"/>
      <c r="AN43" s="550"/>
      <c r="AO43" s="550"/>
      <c r="AP43" s="579"/>
      <c r="BX43" s="579"/>
      <c r="BY43" s="579"/>
      <c r="BZ43" s="579"/>
      <c r="CA43" s="579"/>
      <c r="CB43" s="579"/>
    </row>
    <row r="44" s="547" customFormat="1" ht="16.2" spans="2:95">
      <c r="B44" s="566"/>
      <c r="C44" s="566"/>
      <c r="D44" s="586"/>
      <c r="AQ44" s="613"/>
      <c r="AR44" s="613"/>
      <c r="AS44" s="613"/>
      <c r="AT44" s="613"/>
      <c r="AU44" s="613"/>
      <c r="AV44" s="613"/>
      <c r="AW44" s="613"/>
      <c r="AX44" s="613"/>
      <c r="AY44" s="613"/>
      <c r="AZ44" s="613"/>
      <c r="BA44" s="613"/>
      <c r="BB44" s="613"/>
      <c r="BC44" s="613"/>
      <c r="BD44" s="613"/>
      <c r="BE44" s="613"/>
      <c r="BF44" s="613"/>
      <c r="BG44" s="613"/>
      <c r="BH44" s="613"/>
      <c r="BI44" s="613"/>
      <c r="BJ44" s="613"/>
      <c r="BK44" s="613"/>
      <c r="BL44" s="613"/>
      <c r="BM44" s="613"/>
      <c r="BN44" s="613"/>
      <c r="BO44" s="613"/>
      <c r="BP44" s="613"/>
      <c r="BQ44" s="613"/>
      <c r="BR44" s="613"/>
      <c r="BS44" s="613"/>
      <c r="BT44" s="613"/>
      <c r="BU44" s="613"/>
      <c r="BV44" s="613"/>
      <c r="BW44" s="613"/>
      <c r="CC44" s="587"/>
      <c r="CD44" s="587"/>
      <c r="CE44" s="587"/>
      <c r="CF44" s="587"/>
      <c r="CG44" s="587"/>
      <c r="CH44" s="587"/>
      <c r="CI44" s="258"/>
      <c r="CJ44" s="258"/>
      <c r="CK44" s="258"/>
      <c r="CL44" s="258"/>
      <c r="CM44" s="587"/>
      <c r="CN44" s="258"/>
      <c r="CO44" s="613"/>
      <c r="CP44" s="632"/>
      <c r="CQ44" s="361"/>
    </row>
    <row r="45" spans="43:75">
      <c r="AQ45" s="550"/>
      <c r="AR45" s="550"/>
      <c r="AS45" s="550"/>
      <c r="AT45" s="550"/>
      <c r="AU45" s="550"/>
      <c r="AV45" s="550"/>
      <c r="AW45" s="550"/>
      <c r="AX45" s="550"/>
      <c r="AY45" s="550"/>
      <c r="AZ45" s="550"/>
      <c r="BA45" s="550"/>
      <c r="BB45" s="550"/>
      <c r="BC45" s="550"/>
      <c r="BD45" s="550"/>
      <c r="BE45" s="550"/>
      <c r="BF45" s="550"/>
      <c r="BG45" s="550"/>
      <c r="BH45" s="550"/>
      <c r="BI45" s="550"/>
      <c r="BJ45" s="550"/>
      <c r="BK45" s="550"/>
      <c r="BL45" s="550"/>
      <c r="BM45" s="550"/>
      <c r="BN45" s="550"/>
      <c r="BO45" s="550"/>
      <c r="BP45" s="550"/>
      <c r="BQ45" s="550"/>
      <c r="BR45" s="550"/>
      <c r="BS45" s="550"/>
      <c r="BT45" s="550"/>
      <c r="BU45" s="550"/>
      <c r="BV45" s="550"/>
      <c r="BW45" s="550"/>
    </row>
    <row r="46" spans="43:75">
      <c r="AQ46" s="550"/>
      <c r="AR46" s="550"/>
      <c r="AS46" s="550"/>
      <c r="AT46" s="550"/>
      <c r="AU46" s="550"/>
      <c r="AV46" s="550"/>
      <c r="AW46" s="550"/>
      <c r="AX46" s="550"/>
      <c r="AY46" s="550"/>
      <c r="AZ46" s="550"/>
      <c r="BA46" s="550"/>
      <c r="BB46" s="550"/>
      <c r="BC46" s="550"/>
      <c r="BD46" s="550"/>
      <c r="BE46" s="550"/>
      <c r="BF46" s="550"/>
      <c r="BG46" s="550"/>
      <c r="BH46" s="550"/>
      <c r="BI46" s="550"/>
      <c r="BJ46" s="550"/>
      <c r="BK46" s="550"/>
      <c r="BL46" s="550"/>
      <c r="BM46" s="550"/>
      <c r="BN46" s="550"/>
      <c r="BO46" s="550"/>
      <c r="BP46" s="550"/>
      <c r="BQ46" s="550"/>
      <c r="BR46" s="550"/>
      <c r="BS46" s="550"/>
      <c r="BT46" s="550"/>
      <c r="BU46" s="550"/>
      <c r="BV46" s="550"/>
      <c r="BW46" s="550"/>
    </row>
    <row r="47" spans="43:75">
      <c r="AQ47" s="550"/>
      <c r="AR47" s="550"/>
      <c r="AS47" s="550"/>
      <c r="AT47" s="550"/>
      <c r="AU47" s="550"/>
      <c r="AV47" s="550"/>
      <c r="AW47" s="550"/>
      <c r="AX47" s="550"/>
      <c r="AY47" s="550"/>
      <c r="AZ47" s="550"/>
      <c r="BA47" s="550"/>
      <c r="BB47" s="550"/>
      <c r="BC47" s="550"/>
      <c r="BD47" s="550"/>
      <c r="BE47" s="550"/>
      <c r="BF47" s="550"/>
      <c r="BG47" s="550"/>
      <c r="BH47" s="550"/>
      <c r="BI47" s="550"/>
      <c r="BJ47" s="550"/>
      <c r="BK47" s="550"/>
      <c r="BL47" s="550"/>
      <c r="BM47" s="550"/>
      <c r="BN47" s="550"/>
      <c r="BO47" s="550"/>
      <c r="BP47" s="550"/>
      <c r="BQ47" s="550"/>
      <c r="BR47" s="550"/>
      <c r="BS47" s="550"/>
      <c r="BT47" s="550"/>
      <c r="BU47" s="550"/>
      <c r="BV47" s="550"/>
      <c r="BW47" s="550"/>
    </row>
    <row r="48" spans="43:75">
      <c r="AQ48" s="550"/>
      <c r="AR48" s="550"/>
      <c r="AS48" s="550"/>
      <c r="AT48" s="550"/>
      <c r="AU48" s="550"/>
      <c r="AV48" s="550"/>
      <c r="AW48" s="550"/>
      <c r="AX48" s="550"/>
      <c r="AY48" s="550"/>
      <c r="AZ48" s="550"/>
      <c r="BA48" s="550"/>
      <c r="BB48" s="550"/>
      <c r="BC48" s="550"/>
      <c r="BD48" s="550"/>
      <c r="BE48" s="550"/>
      <c r="BF48" s="550"/>
      <c r="BG48" s="550"/>
      <c r="BH48" s="550"/>
      <c r="BI48" s="550"/>
      <c r="BJ48" s="550"/>
      <c r="BK48" s="550"/>
      <c r="BL48" s="550"/>
      <c r="BM48" s="550"/>
      <c r="BN48" s="550"/>
      <c r="BO48" s="550"/>
      <c r="BP48" s="550"/>
      <c r="BQ48" s="550"/>
      <c r="BR48" s="550"/>
      <c r="BS48" s="550"/>
      <c r="BT48" s="550"/>
      <c r="BU48" s="550"/>
      <c r="BV48" s="550"/>
      <c r="BW48" s="550"/>
    </row>
    <row r="49" spans="5:75">
      <c r="E49" s="580"/>
      <c r="F49" s="580"/>
      <c r="G49" s="580"/>
      <c r="H49" s="580"/>
      <c r="I49" s="580"/>
      <c r="J49" s="580"/>
      <c r="K49" s="580"/>
      <c r="L49" s="580"/>
      <c r="M49" s="580"/>
      <c r="N49" s="580"/>
      <c r="O49" s="580"/>
      <c r="P49" s="580"/>
      <c r="Q49" s="580"/>
      <c r="R49" s="580"/>
      <c r="S49" s="580"/>
      <c r="T49" s="580"/>
      <c r="U49" s="580"/>
      <c r="V49" s="580"/>
      <c r="W49" s="580"/>
      <c r="X49" s="580"/>
      <c r="Y49" s="580"/>
      <c r="Z49" s="580"/>
      <c r="AA49" s="580"/>
      <c r="AB49" s="580"/>
      <c r="AC49" s="580"/>
      <c r="AD49" s="580"/>
      <c r="AE49" s="580"/>
      <c r="AF49" s="580"/>
      <c r="AG49" s="580"/>
      <c r="AH49" s="580"/>
      <c r="AI49" s="580"/>
      <c r="AJ49" s="580"/>
      <c r="AK49" s="580"/>
      <c r="AL49" s="580"/>
      <c r="AQ49" s="550"/>
      <c r="AR49" s="550"/>
      <c r="AS49" s="550"/>
      <c r="AT49" s="550"/>
      <c r="AU49" s="550"/>
      <c r="AV49" s="550"/>
      <c r="AW49" s="550"/>
      <c r="AX49" s="550"/>
      <c r="AY49" s="550"/>
      <c r="AZ49" s="550"/>
      <c r="BA49" s="550"/>
      <c r="BB49" s="550"/>
      <c r="BC49" s="550"/>
      <c r="BD49" s="550"/>
      <c r="BE49" s="550"/>
      <c r="BF49" s="550"/>
      <c r="BG49" s="550"/>
      <c r="BH49" s="550"/>
      <c r="BI49" s="550"/>
      <c r="BJ49" s="550"/>
      <c r="BK49" s="550"/>
      <c r="BL49" s="550"/>
      <c r="BM49" s="550"/>
      <c r="BN49" s="550"/>
      <c r="BO49" s="550"/>
      <c r="BP49" s="550"/>
      <c r="BQ49" s="550"/>
      <c r="BR49" s="550"/>
      <c r="BS49" s="550"/>
      <c r="BT49" s="550"/>
      <c r="BU49" s="550"/>
      <c r="BV49" s="550"/>
      <c r="BW49" s="550"/>
    </row>
    <row r="50" ht="16.2" spans="1:75">
      <c r="A50" s="547"/>
      <c r="B50" s="566"/>
      <c r="C50" s="566"/>
      <c r="E50" s="580"/>
      <c r="F50" s="580"/>
      <c r="G50" s="580"/>
      <c r="H50" s="580"/>
      <c r="I50" s="580"/>
      <c r="J50" s="580"/>
      <c r="K50" s="580"/>
      <c r="L50" s="580"/>
      <c r="M50" s="580"/>
      <c r="N50" s="580"/>
      <c r="O50" s="580"/>
      <c r="P50" s="580"/>
      <c r="Q50" s="580"/>
      <c r="R50" s="580"/>
      <c r="S50" s="580"/>
      <c r="T50" s="580"/>
      <c r="U50" s="580"/>
      <c r="V50" s="580"/>
      <c r="W50" s="580"/>
      <c r="X50" s="580"/>
      <c r="Y50" s="580"/>
      <c r="Z50" s="580"/>
      <c r="AA50" s="580"/>
      <c r="AB50" s="580"/>
      <c r="AC50" s="580"/>
      <c r="AD50" s="580"/>
      <c r="AE50" s="580"/>
      <c r="AF50" s="580"/>
      <c r="AG50" s="580"/>
      <c r="AH50" s="580"/>
      <c r="AI50" s="580"/>
      <c r="AJ50" s="580"/>
      <c r="AK50" s="580"/>
      <c r="AL50" s="580"/>
      <c r="AQ50" s="550"/>
      <c r="AR50" s="550"/>
      <c r="AS50" s="550"/>
      <c r="AT50" s="550"/>
      <c r="AU50" s="550"/>
      <c r="AV50" s="550"/>
      <c r="AW50" s="550"/>
      <c r="AX50" s="550"/>
      <c r="AY50" s="550"/>
      <c r="AZ50" s="550"/>
      <c r="BA50" s="550"/>
      <c r="BB50" s="550"/>
      <c r="BC50" s="550"/>
      <c r="BD50" s="550"/>
      <c r="BE50" s="550"/>
      <c r="BF50" s="550"/>
      <c r="BG50" s="550"/>
      <c r="BH50" s="550"/>
      <c r="BI50" s="550"/>
      <c r="BJ50" s="550"/>
      <c r="BK50" s="550"/>
      <c r="BL50" s="550"/>
      <c r="BM50" s="550"/>
      <c r="BN50" s="550"/>
      <c r="BO50" s="550"/>
      <c r="BP50" s="550"/>
      <c r="BQ50" s="550"/>
      <c r="BR50" s="550"/>
      <c r="BS50" s="550"/>
      <c r="BT50" s="550"/>
      <c r="BU50" s="550"/>
      <c r="BV50" s="550"/>
      <c r="BW50" s="550"/>
    </row>
    <row r="51" spans="5:75">
      <c r="E51" s="580"/>
      <c r="F51" s="580"/>
      <c r="G51" s="580"/>
      <c r="H51" s="580"/>
      <c r="I51" s="580"/>
      <c r="J51" s="580"/>
      <c r="K51" s="580"/>
      <c r="L51" s="580"/>
      <c r="M51" s="580"/>
      <c r="N51" s="580"/>
      <c r="O51" s="580"/>
      <c r="P51" s="580"/>
      <c r="Q51" s="580"/>
      <c r="R51" s="580"/>
      <c r="S51" s="580"/>
      <c r="T51" s="580"/>
      <c r="U51" s="580"/>
      <c r="V51" s="580"/>
      <c r="W51" s="580"/>
      <c r="X51" s="580"/>
      <c r="Y51" s="580"/>
      <c r="Z51" s="580"/>
      <c r="AA51" s="580"/>
      <c r="AB51" s="580"/>
      <c r="AC51" s="580"/>
      <c r="AD51" s="580"/>
      <c r="AE51" s="580"/>
      <c r="AF51" s="580"/>
      <c r="AG51" s="580"/>
      <c r="AH51" s="580"/>
      <c r="AI51" s="580"/>
      <c r="AJ51" s="580"/>
      <c r="AK51" s="580"/>
      <c r="AL51" s="580"/>
      <c r="AQ51" s="550"/>
      <c r="AR51" s="550"/>
      <c r="AS51" s="550"/>
      <c r="AT51" s="550"/>
      <c r="AU51" s="550"/>
      <c r="AV51" s="550"/>
      <c r="AW51" s="550"/>
      <c r="AX51" s="550"/>
      <c r="AY51" s="550"/>
      <c r="AZ51" s="550"/>
      <c r="BA51" s="550"/>
      <c r="BB51" s="550"/>
      <c r="BC51" s="550"/>
      <c r="BD51" s="550"/>
      <c r="BE51" s="550"/>
      <c r="BF51" s="550"/>
      <c r="BG51" s="550"/>
      <c r="BH51" s="550"/>
      <c r="BI51" s="550"/>
      <c r="BJ51" s="550"/>
      <c r="BK51" s="550"/>
      <c r="BL51" s="550"/>
      <c r="BM51" s="550"/>
      <c r="BN51" s="550"/>
      <c r="BO51" s="550"/>
      <c r="BP51" s="550"/>
      <c r="BQ51" s="550"/>
      <c r="BR51" s="550"/>
      <c r="BS51" s="550"/>
      <c r="BT51" s="550"/>
      <c r="BU51" s="550"/>
      <c r="BV51" s="550"/>
      <c r="BW51" s="550"/>
    </row>
  </sheetData>
  <conditionalFormatting sqref="B2">
    <cfRule type="duplicateValues" dxfId="0" priority="8"/>
  </conditionalFormatting>
  <conditionalFormatting sqref="CO20:CO25">
    <cfRule type="cellIs" dxfId="1" priority="1" operator="greaterThan">
      <formula>0.02</formula>
    </cfRule>
    <cfRule type="cellIs" dxfId="2" priority="2" operator="lessThan">
      <formula>-0.02</formula>
    </cfRule>
  </conditionalFormatting>
  <conditionalFormatting sqref="CP2:CP15">
    <cfRule type="cellIs" dxfId="1" priority="3" operator="greaterThan">
      <formula>0.05</formula>
    </cfRule>
    <cfRule type="cellIs" dxfId="2" priority="4" operator="lessThan">
      <formula>-0.05</formula>
    </cfRule>
  </conditionalFormatting>
  <conditionalFormatting sqref="CO2:CO14 CO16">
    <cfRule type="cellIs" dxfId="1" priority="5" operator="greaterThan">
      <formula>0.02</formula>
    </cfRule>
    <cfRule type="cellIs" dxfId="2" priority="6" operator="lessThan">
      <formula>-0.02</formula>
    </cfRule>
  </conditionalFormatting>
  <hyperlinks>
    <hyperlink ref="B9" r:id="rId1" display="kiapartsnow.com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5"/>
  <sheetViews>
    <sheetView tabSelected="1" topLeftCell="A75" workbookViewId="0">
      <selection activeCell="B86" sqref="B86"/>
    </sheetView>
  </sheetViews>
  <sheetFormatPr defaultColWidth="9" defaultRowHeight="15.6"/>
  <cols>
    <col min="1" max="1" width="13.4444444444444" style="408" customWidth="1"/>
    <col min="2" max="2" width="47.4444444444444" style="408" customWidth="1"/>
    <col min="3" max="3" width="14.4444444444444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19.2222222222222" style="413" hidden="1" customWidth="1"/>
    <col min="14" max="14" width="7.33333333333333" style="414" hidden="1" customWidth="1"/>
    <col min="15" max="15" width="16.3333333333333" style="412" hidden="1" customWidth="1"/>
    <col min="16" max="16" width="96.4444444444444" style="541" customWidth="1"/>
    <col min="17" max="17" width="31.6666666666667" style="408" hidden="1" customWidth="1"/>
    <col min="18" max="18" width="14.8888888888889" style="408" hidden="1" customWidth="1"/>
    <col min="19" max="20" width="10.1111111111111" style="408" customWidth="1"/>
    <col min="21" max="21" width="17.1111111111111" style="416" customWidth="1"/>
    <col min="22" max="22" width="16.8888888888889" style="416" customWidth="1"/>
    <col min="23" max="23" width="10.8888888888889" style="408" hidden="1" customWidth="1"/>
    <col min="24" max="24" width="11.1111111111111" style="408" hidden="1" customWidth="1"/>
    <col min="25" max="27" width="9" style="200" hidden="1" customWidth="1"/>
    <col min="28" max="28" width="9.55555555555556" style="417" hidden="1" customWidth="1"/>
    <col min="29" max="29" width="9.44444444444444" style="417" hidden="1" customWidth="1"/>
    <col min="30" max="30" width="9" style="417" hidden="1" customWidth="1"/>
    <col min="31" max="16384" width="9" style="417"/>
  </cols>
  <sheetData>
    <row r="1" s="408" customFormat="1" ht="17.4" spans="1:27">
      <c r="A1" s="418" t="s">
        <v>138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43"/>
      <c r="N1" s="444"/>
      <c r="O1" s="422"/>
      <c r="P1" s="542"/>
      <c r="Q1" s="465"/>
      <c r="R1" s="424"/>
      <c r="S1" s="473"/>
      <c r="T1" s="473"/>
      <c r="U1" s="467"/>
      <c r="V1" s="467"/>
      <c r="W1" s="467"/>
      <c r="X1" s="467"/>
      <c r="Y1" s="538" t="s">
        <v>203</v>
      </c>
      <c r="Z1" s="538" t="s">
        <v>204</v>
      </c>
      <c r="AA1" s="538" t="s">
        <v>205</v>
      </c>
    </row>
    <row r="2" s="409" customFormat="1" ht="48.6" spans="1:30">
      <c r="A2" s="423" t="s">
        <v>206</v>
      </c>
      <c r="B2" s="424" t="s">
        <v>207</v>
      </c>
      <c r="C2" s="425" t="s">
        <v>208</v>
      </c>
      <c r="D2" s="424" t="s">
        <v>209</v>
      </c>
      <c r="E2" s="426" t="s">
        <v>210</v>
      </c>
      <c r="F2" s="427" t="s">
        <v>211</v>
      </c>
      <c r="G2" s="427" t="s">
        <v>212</v>
      </c>
      <c r="H2" s="427" t="s">
        <v>213</v>
      </c>
      <c r="I2" s="427" t="s">
        <v>214</v>
      </c>
      <c r="J2" s="446" t="s">
        <v>215</v>
      </c>
      <c r="K2" s="446" t="s">
        <v>216</v>
      </c>
      <c r="L2" s="446" t="s">
        <v>217</v>
      </c>
      <c r="M2" s="447" t="s">
        <v>218</v>
      </c>
      <c r="N2" s="448" t="s">
        <v>219</v>
      </c>
      <c r="O2" s="449" t="s">
        <v>220</v>
      </c>
      <c r="P2" s="543" t="s">
        <v>221</v>
      </c>
      <c r="Q2" s="469" t="s">
        <v>222</v>
      </c>
      <c r="R2" s="426" t="s">
        <v>223</v>
      </c>
      <c r="S2" s="470" t="s">
        <v>224</v>
      </c>
      <c r="T2" s="470" t="s">
        <v>205</v>
      </c>
      <c r="U2" s="467" t="s">
        <v>225</v>
      </c>
      <c r="V2" s="470" t="s">
        <v>226</v>
      </c>
      <c r="W2" s="467"/>
      <c r="X2" s="467"/>
      <c r="Y2" s="200" t="s">
        <v>207</v>
      </c>
      <c r="Z2" s="200" t="s">
        <v>180</v>
      </c>
      <c r="AA2" s="200" t="s">
        <v>180</v>
      </c>
      <c r="AC2" s="409" t="str">
        <f>IF(Y2="Competitors","Forum Link",Z2)</f>
        <v>Forum Link</v>
      </c>
      <c r="AD2" s="409" t="str">
        <f>IF(Y2="Competitors","Domains",AA2)</f>
        <v>Domains</v>
      </c>
    </row>
    <row r="3" s="410" customFormat="1" ht="17.4" spans="1:30">
      <c r="A3" s="432" t="s">
        <v>227</v>
      </c>
      <c r="B3" s="432" t="s">
        <v>139</v>
      </c>
      <c r="C3" s="434" t="str">
        <f>VLOOKUP(B3,正厂竞争者数据汇总!D:H,2,FALSE)</f>
        <v>原厂目录</v>
      </c>
      <c r="D3" s="435" t="str">
        <f>VLOOKUP(B3,正厂竞争者数据汇总!D:H,3,FALSE)</f>
        <v>CA</v>
      </c>
      <c r="E3" s="436">
        <f>VLOOKUP(B3,正厂竞争者数据汇总!D:H,4,FALSE)</f>
        <v>0</v>
      </c>
      <c r="F3" s="436">
        <f t="array" ref="F3">INDEX(正厂竞争者数据汇总!$H$2:$H$448,MATCH($A$1&amp;$B3,正厂竞争者数据汇总!$A$2:$A$448&amp;正厂竞争者数据汇总!$D$2:$D$448,0))</f>
        <v>1404207.16666667</v>
      </c>
      <c r="G3" s="436">
        <v>1150833.33333333</v>
      </c>
      <c r="H3" s="436">
        <v>1200750</v>
      </c>
      <c r="I3" s="454">
        <f>(F3/G3)-1</f>
        <v>0.220165532223033</v>
      </c>
      <c r="J3" s="455">
        <f t="shared" ref="J3:J9" si="0">F3/F$11</f>
        <v>0.554951510788634</v>
      </c>
      <c r="K3" s="455">
        <v>0.566390716806567</v>
      </c>
      <c r="L3" s="455">
        <v>0.611634474796334</v>
      </c>
      <c r="M3" s="456">
        <f>J3-K3</f>
        <v>-0.0114392060179329</v>
      </c>
      <c r="N3" s="455" t="str">
        <f>IFERROR(O3*0.5/$F$3,"")</f>
        <v/>
      </c>
      <c r="O3" s="436" t="s">
        <v>180</v>
      </c>
      <c r="P3" s="542">
        <f t="array" ref="P3">INDEX(正厂竞争者数据汇总!I:I,MATCH($A$1&amp;B3,正厂竞争者数据汇总!A:A&amp;正厂竞争者数据汇总!D:D,0))</f>
        <v>0</v>
      </c>
      <c r="Q3" s="434" t="s">
        <v>228</v>
      </c>
      <c r="R3" s="435" t="s">
        <v>229</v>
      </c>
      <c r="S3" s="476">
        <v>132668</v>
      </c>
      <c r="T3" s="476">
        <v>10591</v>
      </c>
      <c r="U3" s="477"/>
      <c r="V3" s="477"/>
      <c r="W3" s="477"/>
      <c r="X3" s="477"/>
      <c r="Y3" s="200" t="s">
        <v>139</v>
      </c>
      <c r="Z3" s="200">
        <v>169977</v>
      </c>
      <c r="AA3" s="200">
        <v>9452</v>
      </c>
      <c r="AB3" s="410">
        <f>IF(B3=Y3,1,0)</f>
        <v>1</v>
      </c>
      <c r="AC3" s="409">
        <f>IF(Y3="Competitors","Forum Link",Z3)</f>
        <v>169977</v>
      </c>
      <c r="AD3" s="409">
        <f>IF(Y3="Competitors","Domains",AA3)</f>
        <v>9452</v>
      </c>
    </row>
    <row r="4" s="408" customFormat="1" spans="1:30">
      <c r="A4" s="428" t="s">
        <v>230</v>
      </c>
      <c r="B4" s="421" t="s">
        <v>231</v>
      </c>
      <c r="C4" s="429" t="str">
        <f>VLOOKUP(B4,正厂竞争者数据汇总!D:H,2,FALSE)</f>
        <v>原厂目录</v>
      </c>
      <c r="D4" s="421" t="str">
        <f>VLOOKUP(B4,正厂竞争者数据汇总!D:H,3,FALSE)</f>
        <v>TX</v>
      </c>
      <c r="E4" s="430"/>
      <c r="F4" s="430">
        <f t="array" ref="F4">INDEX(正厂竞争者数据汇总!$H$2:$H$448,MATCH($A$1&amp;$B4,正厂竞争者数据汇总!$A$2:$A$448&amp;正厂竞争者数据汇总!$D$2:$D$448,0))</f>
        <v>372263.678333333</v>
      </c>
      <c r="G4" s="430"/>
      <c r="H4" s="430"/>
      <c r="I4" s="450"/>
      <c r="J4" s="451">
        <f t="shared" si="0"/>
        <v>0.147120948822117</v>
      </c>
      <c r="K4" s="451">
        <v>0.154363849075462</v>
      </c>
      <c r="L4" s="451">
        <v>0.16084502638765</v>
      </c>
      <c r="M4" s="452"/>
      <c r="N4" s="451"/>
      <c r="O4" s="430"/>
      <c r="P4" s="542">
        <f t="array" ref="P4">INDEX(正厂竞争者数据汇总!I:I,MATCH($A$1&amp;B4,正厂竞争者数据汇总!A:A&amp;正厂竞争者数据汇总!D:D,0))</f>
        <v>0</v>
      </c>
      <c r="Q4" s="429"/>
      <c r="R4" s="421"/>
      <c r="S4" s="472">
        <v>25321</v>
      </c>
      <c r="T4" s="472">
        <v>1162</v>
      </c>
      <c r="U4" s="466"/>
      <c r="V4" s="466"/>
      <c r="W4" s="466"/>
      <c r="X4" s="466"/>
      <c r="Y4" s="200" t="s">
        <v>231</v>
      </c>
      <c r="Z4" s="200">
        <v>60670</v>
      </c>
      <c r="AA4" s="200">
        <v>1383</v>
      </c>
      <c r="AB4" s="410">
        <f>IF(B4=Y4,1,0)</f>
        <v>1</v>
      </c>
      <c r="AC4" s="409">
        <f>IF(Y4="Competitors","Forum Link",Z4)</f>
        <v>60670</v>
      </c>
      <c r="AD4" s="409">
        <f>IF(Y4="Competitors","Domains",AA4)</f>
        <v>1383</v>
      </c>
    </row>
    <row r="5" s="408" customFormat="1" ht="62.4" spans="1:30">
      <c r="A5" s="428" t="s">
        <v>230</v>
      </c>
      <c r="B5" s="421" t="s">
        <v>232</v>
      </c>
      <c r="C5" s="429" t="s">
        <v>233</v>
      </c>
      <c r="D5" s="421" t="s">
        <v>234</v>
      </c>
      <c r="E5" s="430"/>
      <c r="F5" s="430">
        <f t="array" ref="F5">INDEX(正厂竞争者数据汇总!$H$2:$H$448,MATCH($A$1&amp;$B5,正厂竞争者数据汇总!$A$2:$A$448&amp;正厂竞争者数据汇总!$D$2:$D$448,0))</f>
        <v>171311.8284</v>
      </c>
      <c r="G5" s="430"/>
      <c r="H5" s="430"/>
      <c r="I5" s="450"/>
      <c r="J5" s="451">
        <f t="shared" si="0"/>
        <v>0.0677035128742587</v>
      </c>
      <c r="K5" s="451">
        <v>0.0536791282556651</v>
      </c>
      <c r="L5" s="451"/>
      <c r="M5" s="452"/>
      <c r="N5" s="451"/>
      <c r="O5" s="430"/>
      <c r="P5" s="542" t="str">
        <f t="array" ref="P5">INDEX(正厂竞争者数据汇总!I:I,MATCH($A$1&amp;B5,正厂竞争者数据汇总!A:A&amp;正厂竞争者数据汇总!D:D,0))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流量折算比例：Acura:8%,BMW:0%,Ford:20%,GM:5%,Honda:17%,Hyundai:8%,Infiniti:2%,Kia:5%,Lexus:2%,Mopar:9%,Nissan:14%,Subaru:5%,Toyota:6%，折算比例为0的网站按照除0外最低折算比例计。2024年1月因为市场份额超过5%加入MS监控</v>
      </c>
      <c r="Q5" s="429"/>
      <c r="R5" s="421"/>
      <c r="S5" s="472">
        <v>1405</v>
      </c>
      <c r="T5" s="472">
        <v>176</v>
      </c>
      <c r="U5" s="466"/>
      <c r="V5" s="466"/>
      <c r="W5" s="466"/>
      <c r="X5" s="466"/>
      <c r="Y5" s="200"/>
      <c r="Z5" s="200"/>
      <c r="AA5" s="200"/>
      <c r="AB5" s="410"/>
      <c r="AC5" s="409"/>
      <c r="AD5" s="409"/>
    </row>
    <row r="6" s="408" customFormat="1" spans="1:30">
      <c r="A6" s="428" t="s">
        <v>230</v>
      </c>
      <c r="B6" s="421" t="s">
        <v>235</v>
      </c>
      <c r="C6" s="429" t="str">
        <f>VLOOKUP(B6,正厂竞争者数据汇总!D:H,2,FALSE)</f>
        <v>原厂目录</v>
      </c>
      <c r="D6" s="421" t="str">
        <f>VLOOKUP(B6,正厂竞争者数据汇总!D:H,3,FALSE)</f>
        <v>NJ</v>
      </c>
      <c r="E6" s="430"/>
      <c r="F6" s="430">
        <f t="array" ref="F6">INDEX(正厂竞争者数据汇总!$H$2:$H$448,MATCH($A$1&amp;$B6,正厂竞争者数据汇总!$A$2:$A$448&amp;正厂竞争者数据汇总!$D$2:$D$448,0))</f>
        <v>163982.65</v>
      </c>
      <c r="G6" s="430"/>
      <c r="H6" s="430"/>
      <c r="I6" s="450"/>
      <c r="J6" s="451">
        <f t="shared" si="0"/>
        <v>0.0648069754384226</v>
      </c>
      <c r="K6" s="451">
        <v>0.0623308471943895</v>
      </c>
      <c r="L6" s="451">
        <v>0.0617325249547404</v>
      </c>
      <c r="M6" s="452"/>
      <c r="N6" s="451"/>
      <c r="O6" s="430"/>
      <c r="P6" s="542" t="str">
        <f t="array" ref="P6">INDEX(正厂竞争者数据汇总!I:I,MATCH($A$1&amp;B6,正厂竞争者数据汇总!A:A&amp;正厂竞争者数据汇总!D:D,0))</f>
        <v>2021年06月新加竞争者</v>
      </c>
      <c r="Q6" s="429"/>
      <c r="R6" s="421"/>
      <c r="S6" s="472">
        <v>2887</v>
      </c>
      <c r="T6" s="472">
        <v>383</v>
      </c>
      <c r="U6" s="466"/>
      <c r="V6" s="466"/>
      <c r="W6" s="466"/>
      <c r="X6" s="466"/>
      <c r="Y6" s="200" t="s">
        <v>235</v>
      </c>
      <c r="Z6" s="200">
        <v>2849</v>
      </c>
      <c r="AA6" s="200">
        <v>447</v>
      </c>
      <c r="AB6" s="410">
        <f>IF(B6=Y6,1,0)</f>
        <v>1</v>
      </c>
      <c r="AC6" s="409">
        <f>IF(Y6="Competitors","Forum Link",Z6)</f>
        <v>2849</v>
      </c>
      <c r="AD6" s="409">
        <f>IF(Y6="Competitors","Domains",AA6)</f>
        <v>447</v>
      </c>
    </row>
    <row r="7" s="408" customFormat="1" ht="31.2" spans="1:30">
      <c r="A7" s="428" t="s">
        <v>230</v>
      </c>
      <c r="B7" s="421" t="s">
        <v>236</v>
      </c>
      <c r="C7" s="429" t="str">
        <f>VLOOKUP(B7,正厂竞争者数据汇总!D:H,2,FALSE)</f>
        <v>原厂目录</v>
      </c>
      <c r="D7" s="421" t="str">
        <f>VLOOKUP(B7,正厂竞争者数据汇总!D:H,3,FALSE)</f>
        <v>AL</v>
      </c>
      <c r="E7" s="430"/>
      <c r="F7" s="430">
        <f t="array" ref="F7">INDEX(正厂竞争者数据汇总!$H$2:$H$448,MATCH($A$1&amp;$B7,正厂竞争者数据汇总!$A$2:$A$448&amp;正厂竞争者数据汇总!$D$2:$D$448,0))</f>
        <v>156926.686666667</v>
      </c>
      <c r="G7" s="430"/>
      <c r="H7" s="430"/>
      <c r="I7" s="450"/>
      <c r="J7" s="451">
        <f t="shared" si="0"/>
        <v>0.0620184143166348</v>
      </c>
      <c r="K7" s="451">
        <v>0.0602144259921406</v>
      </c>
      <c r="L7" s="451">
        <v>0.0558148254370656</v>
      </c>
      <c r="M7" s="452"/>
      <c r="N7" s="451"/>
      <c r="O7" s="430"/>
      <c r="P7" s="542" t="str">
        <f t="array" ref="P7">INDEX(正厂竞争者数据汇总!I:I,MATCH($A$1&amp;B7,正厂竞争者数据汇总!A:A&amp;正厂竞争者数据汇总!D:D,0))</f>
        <v>2022年1月 新加入 CompetitorSites
2022年1月 新加入 MarketingShare</v>
      </c>
      <c r="Q7" s="429"/>
      <c r="R7" s="421"/>
      <c r="S7" s="472">
        <v>3205</v>
      </c>
      <c r="T7" s="472">
        <v>284</v>
      </c>
      <c r="U7" s="466"/>
      <c r="V7" s="466"/>
      <c r="W7" s="466"/>
      <c r="X7" s="466"/>
      <c r="Y7" s="200" t="s">
        <v>236</v>
      </c>
      <c r="Z7" s="200">
        <v>2666</v>
      </c>
      <c r="AA7" s="200">
        <v>306</v>
      </c>
      <c r="AB7" s="410">
        <f>IF(B7=Y7,1,0)</f>
        <v>1</v>
      </c>
      <c r="AC7" s="409">
        <f>IF(Y7="Competitors","Forum Link",Z7)</f>
        <v>2666</v>
      </c>
      <c r="AD7" s="409">
        <f>IF(Y7="Competitors","Domains",AA7)</f>
        <v>306</v>
      </c>
    </row>
    <row r="8" s="408" customFormat="1" spans="1:30">
      <c r="A8" s="428" t="s">
        <v>230</v>
      </c>
      <c r="B8" s="421" t="s">
        <v>237</v>
      </c>
      <c r="C8" s="429" t="str">
        <f>VLOOKUP(B8,正厂竞争者数据汇总!D:H,2,FALSE)</f>
        <v>原厂目录</v>
      </c>
      <c r="D8" s="421" t="str">
        <f>VLOOKUP(B8,正厂竞争者数据汇总!D:H,3,FALSE)</f>
        <v>MA</v>
      </c>
      <c r="E8" s="430"/>
      <c r="F8" s="430">
        <f t="array" ref="F8">INDEX(正厂竞争者数据汇总!$H$2:$H$448,MATCH($A$1&amp;$B8,正厂竞争者数据汇总!$A$2:$A$448&amp;正厂竞争者数据汇总!$D$2:$D$448,0))</f>
        <v>131059.656666667</v>
      </c>
      <c r="G8" s="430"/>
      <c r="H8" s="430"/>
      <c r="I8" s="450"/>
      <c r="J8" s="451">
        <f t="shared" si="0"/>
        <v>0.0517956012454048</v>
      </c>
      <c r="K8" s="451">
        <v>0.0494824660236425</v>
      </c>
      <c r="L8" s="451">
        <v>0.0522325361340612</v>
      </c>
      <c r="M8" s="452"/>
      <c r="N8" s="451"/>
      <c r="O8" s="430"/>
      <c r="P8" s="542">
        <f t="array" ref="P8">INDEX(正厂竞争者数据汇总!I:I,MATCH($A$1&amp;B8,正厂竞争者数据汇总!A:A&amp;正厂竞争者数据汇总!D:D,0))</f>
        <v>0</v>
      </c>
      <c r="Q8" s="429"/>
      <c r="R8" s="421"/>
      <c r="S8" s="472">
        <v>35241</v>
      </c>
      <c r="T8" s="472">
        <v>850</v>
      </c>
      <c r="U8" s="466"/>
      <c r="V8" s="466"/>
      <c r="W8" s="466"/>
      <c r="X8" s="466"/>
      <c r="Y8" s="200" t="s">
        <v>237</v>
      </c>
      <c r="Z8" s="200">
        <v>33995</v>
      </c>
      <c r="AA8" s="200">
        <v>926</v>
      </c>
      <c r="AB8" s="410">
        <f>IF(B8=Y8,1,0)</f>
        <v>1</v>
      </c>
      <c r="AC8" s="409">
        <f>IF(Y8="Competitors","Forum Link",Z8)</f>
        <v>33995</v>
      </c>
      <c r="AD8" s="409">
        <f>IF(Y8="Competitors","Domains",AA8)</f>
        <v>926</v>
      </c>
    </row>
    <row r="9" s="408" customFormat="1" spans="1:30">
      <c r="A9" s="428" t="s">
        <v>238</v>
      </c>
      <c r="B9" s="421" t="s">
        <v>239</v>
      </c>
      <c r="C9" s="429" t="str">
        <f>VLOOKUP(B9,正厂竞争者数据汇总!D:H,2,FALSE)</f>
        <v>原厂目录</v>
      </c>
      <c r="D9" s="421" t="str">
        <f>VLOOKUP(B9,正厂竞争者数据汇总!D:H,3,FALSE)</f>
        <v>MA</v>
      </c>
      <c r="E9" s="430"/>
      <c r="F9" s="430">
        <f t="array" ref="F9">INDEX(正厂竞争者数据汇总!$H$2:$H$448,MATCH($A$1&amp;$B9,正厂竞争者数据汇总!$A$2:$A$448&amp;正厂竞争者数据汇总!$D$2:$D$448,0))</f>
        <v>130572.405492667</v>
      </c>
      <c r="G9" s="430"/>
      <c r="H9" s="430"/>
      <c r="I9" s="450"/>
      <c r="J9" s="451">
        <f t="shared" si="0"/>
        <v>0.0516030365145277</v>
      </c>
      <c r="K9" s="451">
        <v>0.0535385666521339</v>
      </c>
      <c r="L9" s="451">
        <v>0.057740612290149</v>
      </c>
      <c r="M9" s="452"/>
      <c r="N9" s="451"/>
      <c r="O9" s="430"/>
      <c r="P9" s="542" t="str">
        <f t="array" ref="P9">INDEX(正厂竞争者数据汇总!I:I,MATCH($A$1&amp;B9,正厂竞争者数据汇总!A:A&amp;正厂竞争者数据汇总!D:D,0))</f>
        <v>2023年10月，Semrush中仅能获取acura子域名流量</v>
      </c>
      <c r="Q9" s="429"/>
      <c r="R9" s="421"/>
      <c r="S9" s="472">
        <v>174422</v>
      </c>
      <c r="T9" s="472">
        <v>8239</v>
      </c>
      <c r="U9" s="466"/>
      <c r="V9" s="466"/>
      <c r="W9" s="466"/>
      <c r="X9" s="466"/>
      <c r="Y9" s="200" t="s">
        <v>239</v>
      </c>
      <c r="Z9" s="200">
        <v>147366</v>
      </c>
      <c r="AA9" s="200">
        <v>6689</v>
      </c>
      <c r="AB9" s="410">
        <f>IF(B9=Y9,1,0)</f>
        <v>1</v>
      </c>
      <c r="AC9" s="409">
        <f>IF(Y9="Competitors","Forum Link",Z9)</f>
        <v>147366</v>
      </c>
      <c r="AD9" s="409">
        <f>IF(Y9="Competitors","Domains",AA9)</f>
        <v>6689</v>
      </c>
    </row>
    <row r="10" s="410" customFormat="1" spans="1:30">
      <c r="A10" s="432"/>
      <c r="B10" s="435"/>
      <c r="C10" s="434"/>
      <c r="D10" s="435"/>
      <c r="E10" s="430"/>
      <c r="F10" s="430"/>
      <c r="G10" s="430"/>
      <c r="H10" s="430"/>
      <c r="I10" s="453"/>
      <c r="J10" s="436"/>
      <c r="K10" s="436"/>
      <c r="L10" s="436"/>
      <c r="M10" s="451"/>
      <c r="N10" s="455"/>
      <c r="O10" s="436"/>
      <c r="P10" s="542"/>
      <c r="Q10" s="434"/>
      <c r="R10" s="435"/>
      <c r="S10" s="473" t="s">
        <v>180</v>
      </c>
      <c r="T10" s="473" t="s">
        <v>180</v>
      </c>
      <c r="U10" s="477"/>
      <c r="V10" s="466"/>
      <c r="W10" s="435"/>
      <c r="X10" s="435"/>
      <c r="Y10" s="200" t="s">
        <v>240</v>
      </c>
      <c r="Z10" s="200" t="s">
        <v>180</v>
      </c>
      <c r="AA10" s="200" t="s">
        <v>180</v>
      </c>
      <c r="AB10" s="410">
        <f t="shared" ref="AB9:AB68" si="1">IF(B10=Y10,1,0)</f>
        <v>0</v>
      </c>
      <c r="AC10" s="409" t="str">
        <f t="shared" ref="AC9:AC67" si="2">IF(Y10="Competitors","Forum Link",Z10)</f>
        <v/>
      </c>
      <c r="AD10" s="409" t="str">
        <f t="shared" ref="AD9:AD67" si="3">IF(Y10="Competitors","Domains",AA10)</f>
        <v/>
      </c>
    </row>
    <row r="11" s="408" customFormat="1" spans="1:30">
      <c r="A11" s="428"/>
      <c r="B11" s="421"/>
      <c r="C11" s="439"/>
      <c r="D11" s="421"/>
      <c r="E11" s="430"/>
      <c r="F11" s="430">
        <f>SUM(F$3:F$9)</f>
        <v>2530324.072226</v>
      </c>
      <c r="G11" s="430">
        <v>2122774.16666666</v>
      </c>
      <c r="H11" s="430">
        <v>2262821.16666667</v>
      </c>
      <c r="I11" s="453">
        <f>(F11/G11)-1</f>
        <v>0.191989290221724</v>
      </c>
      <c r="J11" s="451"/>
      <c r="K11" s="451"/>
      <c r="L11" s="451"/>
      <c r="M11" s="451"/>
      <c r="N11" s="451">
        <f>SUM(N3:N4)</f>
        <v>0</v>
      </c>
      <c r="O11" s="451"/>
      <c r="P11" s="542"/>
      <c r="Q11" s="429"/>
      <c r="R11" s="421"/>
      <c r="S11" s="473" t="s">
        <v>180</v>
      </c>
      <c r="T11" s="473" t="s">
        <v>180</v>
      </c>
      <c r="U11" s="466"/>
      <c r="V11" s="466"/>
      <c r="W11" s="421"/>
      <c r="X11" s="421"/>
      <c r="Y11" s="200" t="s">
        <v>240</v>
      </c>
      <c r="Z11" s="200" t="s">
        <v>180</v>
      </c>
      <c r="AA11" s="200" t="s">
        <v>180</v>
      </c>
      <c r="AB11" s="410">
        <f t="shared" si="1"/>
        <v>0</v>
      </c>
      <c r="AC11" s="409" t="str">
        <f t="shared" si="2"/>
        <v/>
      </c>
      <c r="AD11" s="409" t="str">
        <f t="shared" si="3"/>
        <v/>
      </c>
    </row>
    <row r="12" s="408" customFormat="1" spans="1:30">
      <c r="A12" s="428"/>
      <c r="B12" s="421"/>
      <c r="C12" s="439"/>
      <c r="D12" s="421"/>
      <c r="E12" s="430"/>
      <c r="F12" s="430"/>
      <c r="G12" s="430"/>
      <c r="H12" s="430"/>
      <c r="I12" s="453"/>
      <c r="J12" s="430"/>
      <c r="K12" s="430"/>
      <c r="L12" s="430"/>
      <c r="M12" s="451"/>
      <c r="N12" s="451"/>
      <c r="O12" s="430"/>
      <c r="P12" s="542"/>
      <c r="Q12" s="429"/>
      <c r="R12" s="421"/>
      <c r="S12" s="473" t="s">
        <v>180</v>
      </c>
      <c r="T12" s="473" t="s">
        <v>180</v>
      </c>
      <c r="U12" s="466"/>
      <c r="V12" s="466"/>
      <c r="W12" s="421"/>
      <c r="X12" s="421"/>
      <c r="Y12" s="200" t="s">
        <v>240</v>
      </c>
      <c r="Z12" s="200" t="s">
        <v>180</v>
      </c>
      <c r="AA12" s="200" t="s">
        <v>180</v>
      </c>
      <c r="AB12" s="410">
        <f t="shared" si="1"/>
        <v>0</v>
      </c>
      <c r="AC12" s="409" t="str">
        <f t="shared" si="2"/>
        <v/>
      </c>
      <c r="AD12" s="409" t="str">
        <f t="shared" si="3"/>
        <v/>
      </c>
    </row>
    <row r="13" s="408" customFormat="1" ht="17.4" spans="1:30">
      <c r="A13" s="418" t="s">
        <v>141</v>
      </c>
      <c r="B13" s="441"/>
      <c r="C13" s="420"/>
      <c r="D13" s="421"/>
      <c r="E13" s="422" t="s">
        <v>202</v>
      </c>
      <c r="F13" s="422"/>
      <c r="G13" s="422"/>
      <c r="H13" s="422"/>
      <c r="I13" s="422"/>
      <c r="J13" s="422"/>
      <c r="K13" s="422"/>
      <c r="L13" s="422"/>
      <c r="M13" s="443"/>
      <c r="N13" s="444"/>
      <c r="O13" s="422"/>
      <c r="P13" s="542"/>
      <c r="Q13" s="465"/>
      <c r="R13" s="424"/>
      <c r="S13" s="473" t="s">
        <v>180</v>
      </c>
      <c r="T13" s="473" t="s">
        <v>180</v>
      </c>
      <c r="U13" s="467"/>
      <c r="V13" s="467"/>
      <c r="W13" s="467"/>
      <c r="X13" s="467"/>
      <c r="Y13" s="200" t="s">
        <v>240</v>
      </c>
      <c r="Z13" s="200" t="s">
        <v>180</v>
      </c>
      <c r="AA13" s="200" t="s">
        <v>180</v>
      </c>
      <c r="AB13" s="410">
        <f t="shared" si="1"/>
        <v>0</v>
      </c>
      <c r="AC13" s="409" t="str">
        <f t="shared" si="2"/>
        <v/>
      </c>
      <c r="AD13" s="409" t="str">
        <f t="shared" si="3"/>
        <v/>
      </c>
    </row>
    <row r="14" s="409" customFormat="1" ht="48.6" spans="1:30">
      <c r="A14" s="423" t="s">
        <v>206</v>
      </c>
      <c r="B14" s="424" t="s">
        <v>207</v>
      </c>
      <c r="C14" s="425" t="s">
        <v>208</v>
      </c>
      <c r="D14" s="424" t="s">
        <v>209</v>
      </c>
      <c r="E14" s="426" t="s">
        <v>210</v>
      </c>
      <c r="F14" s="427" t="s">
        <v>211</v>
      </c>
      <c r="G14" s="427" t="s">
        <v>212</v>
      </c>
      <c r="H14" s="427" t="s">
        <v>213</v>
      </c>
      <c r="I14" s="427" t="s">
        <v>214</v>
      </c>
      <c r="J14" s="446" t="s">
        <v>215</v>
      </c>
      <c r="K14" s="446" t="s">
        <v>216</v>
      </c>
      <c r="L14" s="446" t="s">
        <v>217</v>
      </c>
      <c r="M14" s="447" t="s">
        <v>218</v>
      </c>
      <c r="N14" s="448" t="s">
        <v>219</v>
      </c>
      <c r="O14" s="449" t="s">
        <v>220</v>
      </c>
      <c r="P14" s="543" t="s">
        <v>221</v>
      </c>
      <c r="Q14" s="469" t="s">
        <v>222</v>
      </c>
      <c r="R14" s="426" t="s">
        <v>223</v>
      </c>
      <c r="S14" s="470" t="s">
        <v>224</v>
      </c>
      <c r="T14" s="470" t="s">
        <v>205</v>
      </c>
      <c r="U14" s="467" t="s">
        <v>225</v>
      </c>
      <c r="V14" s="470" t="s">
        <v>226</v>
      </c>
      <c r="W14" s="467"/>
      <c r="X14" s="467"/>
      <c r="Y14" s="200" t="s">
        <v>207</v>
      </c>
      <c r="Z14" s="200" t="s">
        <v>180</v>
      </c>
      <c r="AA14" s="200" t="s">
        <v>180</v>
      </c>
      <c r="AB14" s="410">
        <f t="shared" si="1"/>
        <v>1</v>
      </c>
      <c r="AC14" s="409" t="str">
        <f t="shared" si="2"/>
        <v>Forum Link</v>
      </c>
      <c r="AD14" s="409" t="str">
        <f t="shared" si="3"/>
        <v>Domains</v>
      </c>
    </row>
    <row r="15" s="410" customFormat="1" ht="17.4" spans="1:30">
      <c r="A15" s="432" t="s">
        <v>227</v>
      </c>
      <c r="B15" s="432" t="s">
        <v>142</v>
      </c>
      <c r="C15" s="434" t="str">
        <f>VLOOKUP(B15,正厂竞争者数据汇总!D:H,2,FALSE)</f>
        <v>原厂目录</v>
      </c>
      <c r="D15" s="435" t="str">
        <f>VLOOKUP(B15,正厂竞争者数据汇总!D:H,3,FALSE)</f>
        <v>CA</v>
      </c>
      <c r="E15" s="436">
        <f>VLOOKUP(B15,正厂竞争者数据汇总!D:H,4,FALSE)</f>
        <v>0</v>
      </c>
      <c r="F15" s="436">
        <f t="array" ref="F15">INDEX(正厂竞争者数据汇总!$H$2:$H$448,MATCH($A$13&amp;$B15,正厂竞争者数据汇总!$A$2:$A$448&amp;正厂竞争者数据汇总!$D$2:$D$448,0))</f>
        <v>885641.916666667</v>
      </c>
      <c r="G15" s="436">
        <v>506654</v>
      </c>
      <c r="H15" s="436">
        <v>541471.75</v>
      </c>
      <c r="I15" s="454">
        <f>(F15/G15)-1</f>
        <v>0.748021167634455</v>
      </c>
      <c r="J15" s="455">
        <f t="shared" ref="J15:J21" si="4">F15/F$23</f>
        <v>0.419331414790887</v>
      </c>
      <c r="K15" s="455">
        <v>0.408887129089049</v>
      </c>
      <c r="L15" s="455">
        <v>0.398923002498233</v>
      </c>
      <c r="M15" s="456">
        <f>J15-K15</f>
        <v>0.0104442857018384</v>
      </c>
      <c r="N15" s="455" t="str">
        <f>IFERROR(O15*0.5/#REF!,"")</f>
        <v/>
      </c>
      <c r="O15" s="436" t="s">
        <v>180</v>
      </c>
      <c r="P15" s="542">
        <f t="array" ref="P15">INDEX(正厂竞争者数据汇总!I:I,MATCH($A$13&amp;B15,正厂竞争者数据汇总!A:A&amp;正厂竞争者数据汇总!D:D,0))</f>
        <v>0</v>
      </c>
      <c r="Q15" s="434" t="s">
        <v>241</v>
      </c>
      <c r="R15" s="435" t="s">
        <v>229</v>
      </c>
      <c r="S15" s="476">
        <v>44747</v>
      </c>
      <c r="T15" s="476">
        <v>5789</v>
      </c>
      <c r="U15" s="477"/>
      <c r="V15" s="477"/>
      <c r="W15" s="435"/>
      <c r="X15" s="435"/>
      <c r="Y15" s="200" t="s">
        <v>142</v>
      </c>
      <c r="Z15" s="200">
        <v>42218</v>
      </c>
      <c r="AA15" s="200">
        <v>4939</v>
      </c>
      <c r="AB15" s="410">
        <f t="shared" si="1"/>
        <v>1</v>
      </c>
      <c r="AC15" s="409">
        <f t="shared" si="2"/>
        <v>42218</v>
      </c>
      <c r="AD15" s="409">
        <f t="shared" si="3"/>
        <v>4939</v>
      </c>
    </row>
    <row r="16" s="408" customFormat="1" spans="1:30">
      <c r="A16" s="428" t="s">
        <v>230</v>
      </c>
      <c r="B16" s="421" t="s">
        <v>242</v>
      </c>
      <c r="C16" s="429" t="str">
        <f>VLOOKUP(B16,正厂竞争者数据汇总!D:H,2,FALSE)</f>
        <v>Motor目录</v>
      </c>
      <c r="D16" s="421" t="str">
        <f>VLOOKUP(B16,正厂竞争者数据汇总!D:H,3,FALSE)</f>
        <v>KS</v>
      </c>
      <c r="E16" s="430"/>
      <c r="F16" s="430">
        <f t="array" ref="F16">INDEX(正厂竞争者数据汇总!$H$2:$H$448,MATCH($A$13&amp;$B16,正厂竞争者数据汇总!$A$2:$A$448&amp;正厂竞争者数据汇总!$D$2:$D$448,0))</f>
        <v>414242.433333333</v>
      </c>
      <c r="G16" s="430"/>
      <c r="H16" s="430"/>
      <c r="I16" s="450"/>
      <c r="J16" s="451">
        <f t="shared" si="4"/>
        <v>0.196134422239033</v>
      </c>
      <c r="K16" s="451">
        <v>0.205234104371862</v>
      </c>
      <c r="L16" s="451">
        <v>0.179416855612565</v>
      </c>
      <c r="M16" s="452"/>
      <c r="N16" s="451"/>
      <c r="O16" s="430"/>
      <c r="P16" s="542">
        <f t="array" ref="P16">INDEX(正厂竞争者数据汇总!I:I,MATCH($A$13&amp;B16,正厂竞争者数据汇总!A:A&amp;正厂竞争者数据汇总!D:D,0))</f>
        <v>0</v>
      </c>
      <c r="Q16" s="429"/>
      <c r="R16" s="421"/>
      <c r="S16" s="472">
        <v>992802</v>
      </c>
      <c r="T16" s="472">
        <v>1194</v>
      </c>
      <c r="U16" s="466"/>
      <c r="V16" s="466"/>
      <c r="W16" s="466"/>
      <c r="X16" s="466"/>
      <c r="Y16" s="200" t="s">
        <v>242</v>
      </c>
      <c r="Z16" s="200">
        <v>1011324</v>
      </c>
      <c r="AA16" s="200">
        <v>1281</v>
      </c>
      <c r="AB16" s="410">
        <f t="shared" si="1"/>
        <v>1</v>
      </c>
      <c r="AC16" s="409">
        <f t="shared" si="2"/>
        <v>1011324</v>
      </c>
      <c r="AD16" s="409">
        <f t="shared" si="3"/>
        <v>1281</v>
      </c>
    </row>
    <row r="17" s="408" customFormat="1" spans="1:30">
      <c r="A17" s="428" t="s">
        <v>243</v>
      </c>
      <c r="B17" s="421" t="s">
        <v>244</v>
      </c>
      <c r="C17" s="429" t="str">
        <f>VLOOKUP(B17,正厂竞争者数据汇总!D:H,2,FALSE)</f>
        <v>旧年份原厂、新年份Motor</v>
      </c>
      <c r="D17" s="421" t="str">
        <f>VLOOKUP(B17,正厂竞争者数据汇总!D:H,3,FALSE)</f>
        <v>FL</v>
      </c>
      <c r="E17" s="430"/>
      <c r="F17" s="430">
        <f t="array" ref="F17">INDEX(正厂竞争者数据汇总!$H$2:$H$448,MATCH($A$13&amp;$B17,正厂竞争者数据汇总!$A$2:$A$448&amp;正厂竞争者数据汇总!$D$2:$D$448,0))</f>
        <v>310962.536666667</v>
      </c>
      <c r="G17" s="430"/>
      <c r="H17" s="430"/>
      <c r="I17" s="450"/>
      <c r="J17" s="451">
        <f t="shared" si="4"/>
        <v>0.147233727303892</v>
      </c>
      <c r="K17" s="451">
        <v>0.148564417082098</v>
      </c>
      <c r="L17" s="451">
        <v>0.169677757221057</v>
      </c>
      <c r="M17" s="452"/>
      <c r="N17" s="451"/>
      <c r="O17" s="430"/>
      <c r="P17" s="542">
        <f t="array" ref="P17">INDEX(正厂竞争者数据汇总!I:I,MATCH($A$13&amp;B17,正厂竞争者数据汇总!A:A&amp;正厂竞争者数据汇总!D:D,0))</f>
        <v>0</v>
      </c>
      <c r="Q17" s="429"/>
      <c r="R17" s="421"/>
      <c r="S17" s="472">
        <v>5843</v>
      </c>
      <c r="T17" s="472">
        <v>761</v>
      </c>
      <c r="U17" s="466"/>
      <c r="V17" s="466"/>
      <c r="W17" s="466"/>
      <c r="X17" s="466"/>
      <c r="Y17" s="200" t="s">
        <v>244</v>
      </c>
      <c r="Z17" s="200">
        <v>5818</v>
      </c>
      <c r="AA17" s="200">
        <v>620</v>
      </c>
      <c r="AB17" s="410">
        <f t="shared" si="1"/>
        <v>1</v>
      </c>
      <c r="AC17" s="409">
        <f t="shared" si="2"/>
        <v>5818</v>
      </c>
      <c r="AD17" s="409">
        <f t="shared" si="3"/>
        <v>620</v>
      </c>
    </row>
    <row r="18" s="408" customFormat="1" spans="1:30">
      <c r="A18" s="428" t="s">
        <v>230</v>
      </c>
      <c r="B18" s="421" t="s">
        <v>245</v>
      </c>
      <c r="C18" s="429" t="str">
        <f>VLOOKUP(B18,正厂竞争者数据汇总!D:H,2,FALSE)</f>
        <v>Motor目录</v>
      </c>
      <c r="D18" s="421" t="str">
        <f>VLOOKUP(B18,正厂竞争者数据汇总!D:H,3,FALSE)</f>
        <v>SC,NC,MS</v>
      </c>
      <c r="E18" s="430"/>
      <c r="F18" s="430">
        <f t="array" ref="F18">INDEX(正厂竞争者数据汇总!$H$2:$H$448,MATCH($A$13&amp;$B18,正厂竞争者数据汇总!$A$2:$A$448&amp;正厂竞争者数据汇总!$D$2:$D$448,0))</f>
        <v>178665.166666667</v>
      </c>
      <c r="G18" s="430"/>
      <c r="H18" s="430"/>
      <c r="I18" s="450"/>
      <c r="J18" s="451">
        <f t="shared" si="4"/>
        <v>0.0845939151052864</v>
      </c>
      <c r="K18" s="451">
        <v>0.0756885831083497</v>
      </c>
      <c r="L18" s="451">
        <v>0.075936217159009</v>
      </c>
      <c r="M18" s="452"/>
      <c r="N18" s="451"/>
      <c r="O18" s="430"/>
      <c r="P18" s="542" t="str">
        <f t="array" ref="P18">INDEX(正厂竞争者数据汇总!I:I,MATCH($A$13&amp;B18,正厂竞争者数据汇总!A:A&amp;正厂竞争者数据汇总!D:D,0))</f>
        <v>2021年02新加竞争者</v>
      </c>
      <c r="Q18" s="429"/>
      <c r="R18" s="421"/>
      <c r="S18" s="472">
        <v>3589</v>
      </c>
      <c r="T18" s="472">
        <v>334</v>
      </c>
      <c r="U18" s="466"/>
      <c r="V18" s="466"/>
      <c r="W18" s="466"/>
      <c r="X18" s="466"/>
      <c r="Y18" s="200" t="s">
        <v>245</v>
      </c>
      <c r="Z18" s="200">
        <v>3883</v>
      </c>
      <c r="AA18" s="200">
        <v>375</v>
      </c>
      <c r="AB18" s="410">
        <f t="shared" si="1"/>
        <v>1</v>
      </c>
      <c r="AC18" s="409">
        <f t="shared" si="2"/>
        <v>3883</v>
      </c>
      <c r="AD18" s="409">
        <f t="shared" si="3"/>
        <v>375</v>
      </c>
    </row>
    <row r="19" s="408" customFormat="1" ht="17.4" spans="1:30">
      <c r="A19" s="428" t="s">
        <v>230</v>
      </c>
      <c r="B19" s="421" t="s">
        <v>246</v>
      </c>
      <c r="C19" s="429" t="s">
        <v>247</v>
      </c>
      <c r="D19" s="421" t="s">
        <v>49</v>
      </c>
      <c r="E19" s="430"/>
      <c r="F19" s="430">
        <f t="array" ref="F19">INDEX(正厂竞争者数据汇总!$H$2:$H$448,MATCH($A$13&amp;$B19,正厂竞争者数据汇总!$A$2:$A$448&amp;正厂竞争者数据汇总!$D$2:$D$448,0))</f>
        <v>159595.605</v>
      </c>
      <c r="G19" s="430"/>
      <c r="H19" s="430"/>
      <c r="I19" s="450"/>
      <c r="J19" s="451">
        <f t="shared" si="4"/>
        <v>0.0755649089994979</v>
      </c>
      <c r="K19" s="451">
        <v>0.0800978106222526</v>
      </c>
      <c r="L19" s="451">
        <v>0.0696128321723665</v>
      </c>
      <c r="M19" s="452"/>
      <c r="N19" s="451"/>
      <c r="O19" s="430"/>
      <c r="P19" s="542" t="str">
        <f t="array" ref="P19">INDEX(正厂竞争者数据汇总!I:I,MATCH($A$13&amp;B19,正厂竞争者数据汇总!A:A&amp;正厂竞争者数据汇总!D:D,0))</f>
        <v>2023年2月新增正厂</v>
      </c>
      <c r="Q19" s="429"/>
      <c r="R19" s="421"/>
      <c r="S19" s="472">
        <v>1854</v>
      </c>
      <c r="T19" s="472">
        <v>157</v>
      </c>
      <c r="U19" s="466"/>
      <c r="V19" s="466"/>
      <c r="W19" s="466"/>
      <c r="X19" s="466"/>
      <c r="Y19" s="200" t="s">
        <v>246</v>
      </c>
      <c r="Z19" s="200">
        <v>1996</v>
      </c>
      <c r="AA19" s="200">
        <v>157</v>
      </c>
      <c r="AB19" s="410">
        <f t="shared" si="1"/>
        <v>1</v>
      </c>
      <c r="AC19" s="409">
        <f t="shared" si="2"/>
        <v>1996</v>
      </c>
      <c r="AD19" s="409">
        <f t="shared" si="3"/>
        <v>157</v>
      </c>
    </row>
    <row r="20" s="408" customFormat="1" ht="31.2" spans="1:30">
      <c r="A20" s="428" t="s">
        <v>230</v>
      </c>
      <c r="B20" s="421" t="s">
        <v>248</v>
      </c>
      <c r="C20" s="429" t="str">
        <f>VLOOKUP(B20,正厂竞争者数据汇总!D:H,2,FALSE)</f>
        <v>Motor</v>
      </c>
      <c r="D20" s="421" t="str">
        <f>VLOOKUP(B20,正厂竞争者数据汇总!D:H,3,FALSE)</f>
        <v>VA</v>
      </c>
      <c r="E20" s="430"/>
      <c r="F20" s="430">
        <f t="array" ref="F20">INDEX(正厂竞争者数据汇总!$H$2:$H$448,MATCH($A$13&amp;$B20,正厂竞争者数据汇总!$A$2:$A$448&amp;正厂竞争者数据汇总!$D$2:$D$448,0))</f>
        <v>154191.07</v>
      </c>
      <c r="G20" s="430"/>
      <c r="H20" s="430"/>
      <c r="I20" s="450"/>
      <c r="J20" s="451">
        <f t="shared" si="4"/>
        <v>0.0730059839247153</v>
      </c>
      <c r="K20" s="451">
        <v>0.0637991766662906</v>
      </c>
      <c r="L20" s="451">
        <v>0.0654952026113493</v>
      </c>
      <c r="M20" s="452"/>
      <c r="N20" s="451"/>
      <c r="O20" s="430"/>
      <c r="P20" s="542" t="str">
        <f t="array" ref="P20">INDEX(正厂竞争者数据汇总!I:I,MATCH($A$13&amp;B20,正厂竞争者数据汇总!A:A&amp;正厂竞争者数据汇总!D:D,0))</f>
        <v>2023年11月新增，toyotaparts.mcgeorgetoyota.com将流量导出至此网站，10月报告中更换竞品名称为toyotaparts.mcgeorgetoyota.com</v>
      </c>
      <c r="Q20" s="429"/>
      <c r="R20" s="421"/>
      <c r="S20" s="472">
        <v>248</v>
      </c>
      <c r="T20" s="472">
        <v>42</v>
      </c>
      <c r="U20" s="466"/>
      <c r="V20" s="466"/>
      <c r="W20" s="466"/>
      <c r="X20" s="466"/>
      <c r="Y20" s="200" t="s">
        <v>248</v>
      </c>
      <c r="Z20" s="200">
        <v>69</v>
      </c>
      <c r="AA20" s="200">
        <v>19</v>
      </c>
      <c r="AB20" s="410">
        <f t="shared" si="1"/>
        <v>1</v>
      </c>
      <c r="AC20" s="409">
        <f t="shared" si="2"/>
        <v>69</v>
      </c>
      <c r="AD20" s="409">
        <f t="shared" si="3"/>
        <v>19</v>
      </c>
    </row>
    <row r="21" s="408" customFormat="1" ht="17.4" spans="1:30">
      <c r="A21" s="428" t="s">
        <v>230</v>
      </c>
      <c r="B21" s="421" t="s">
        <v>249</v>
      </c>
      <c r="C21" s="429" t="s">
        <v>247</v>
      </c>
      <c r="D21" s="421" t="s">
        <v>250</v>
      </c>
      <c r="E21" s="430"/>
      <c r="F21" s="430">
        <f t="array" ref="F21">INDEX(正厂竞争者数据汇总!$H$2:$H$448,MATCH($A$13&amp;$B21,正厂竞争者数据汇总!$A$2:$A$448&amp;正厂竞争者数据汇总!$D$2:$D$448,0))</f>
        <v>8734.58333333333</v>
      </c>
      <c r="G21" s="430"/>
      <c r="H21" s="430"/>
      <c r="I21" s="450"/>
      <c r="J21" s="451">
        <f t="shared" si="4"/>
        <v>0.00413562763668752</v>
      </c>
      <c r="K21" s="451">
        <v>0.0177287790600987</v>
      </c>
      <c r="L21" s="451">
        <v>0.0409381327254202</v>
      </c>
      <c r="M21" s="452"/>
      <c r="N21" s="451"/>
      <c r="O21" s="430"/>
      <c r="P21" s="542" t="str">
        <f t="array" ref="P21">INDEX(正厂竞争者数据汇总!I:I,MATCH($A$13&amp;B21,正厂竞争者数据汇总!A:A&amp;正厂竞争者数据汇总!D:D,0))</f>
        <v>2023年2月新增正厂</v>
      </c>
      <c r="Q21" s="429"/>
      <c r="R21" s="421"/>
      <c r="S21" s="472">
        <v>2466</v>
      </c>
      <c r="T21" s="472">
        <v>168</v>
      </c>
      <c r="U21" s="466"/>
      <c r="V21" s="466"/>
      <c r="W21" s="466"/>
      <c r="X21" s="466"/>
      <c r="Y21" s="200" t="s">
        <v>249</v>
      </c>
      <c r="Z21" s="200">
        <v>2863</v>
      </c>
      <c r="AA21" s="200">
        <v>190</v>
      </c>
      <c r="AB21" s="410">
        <f t="shared" si="1"/>
        <v>1</v>
      </c>
      <c r="AC21" s="409">
        <f t="shared" si="2"/>
        <v>2863</v>
      </c>
      <c r="AD21" s="409">
        <f t="shared" si="3"/>
        <v>190</v>
      </c>
    </row>
    <row r="22" s="410" customFormat="1" spans="1:30">
      <c r="A22" s="428"/>
      <c r="B22" s="438"/>
      <c r="C22" s="429"/>
      <c r="D22" s="421"/>
      <c r="E22" s="430"/>
      <c r="F22" s="430"/>
      <c r="G22" s="430"/>
      <c r="H22" s="430"/>
      <c r="I22" s="453"/>
      <c r="J22" s="463"/>
      <c r="K22" s="463"/>
      <c r="L22" s="463"/>
      <c r="M22" s="451"/>
      <c r="N22" s="459"/>
      <c r="O22" s="430"/>
      <c r="P22" s="542"/>
      <c r="Q22" s="429"/>
      <c r="R22" s="435"/>
      <c r="S22" s="473" t="s">
        <v>180</v>
      </c>
      <c r="T22" s="473" t="s">
        <v>180</v>
      </c>
      <c r="U22" s="466"/>
      <c r="V22" s="466"/>
      <c r="W22" s="421"/>
      <c r="X22" s="421"/>
      <c r="Y22" s="200" t="s">
        <v>240</v>
      </c>
      <c r="Z22" s="200" t="s">
        <v>180</v>
      </c>
      <c r="AA22" s="200" t="s">
        <v>180</v>
      </c>
      <c r="AB22" s="410">
        <f t="shared" si="1"/>
        <v>0</v>
      </c>
      <c r="AC22" s="409" t="str">
        <f t="shared" si="2"/>
        <v/>
      </c>
      <c r="AD22" s="409" t="str">
        <f t="shared" si="3"/>
        <v/>
      </c>
    </row>
    <row r="23" s="408" customFormat="1" spans="1:30">
      <c r="A23" s="428"/>
      <c r="B23" s="421"/>
      <c r="C23" s="439"/>
      <c r="D23" s="421"/>
      <c r="E23" s="430"/>
      <c r="F23" s="430">
        <f>SUM(F15:F21)</f>
        <v>2112033.31166667</v>
      </c>
      <c r="G23" s="430">
        <v>1471722.72</v>
      </c>
      <c r="H23" s="430">
        <v>1511577.56416667</v>
      </c>
      <c r="I23" s="453">
        <f>(F23/G23)-1</f>
        <v>0.43507556346393</v>
      </c>
      <c r="J23" s="430"/>
      <c r="K23" s="513"/>
      <c r="L23" s="430"/>
      <c r="M23" s="451"/>
      <c r="N23" s="459"/>
      <c r="O23" s="430"/>
      <c r="P23" s="542"/>
      <c r="Q23" s="429" t="s">
        <v>180</v>
      </c>
      <c r="R23" s="421"/>
      <c r="S23" s="473" t="s">
        <v>180</v>
      </c>
      <c r="T23" s="473" t="s">
        <v>180</v>
      </c>
      <c r="U23" s="466"/>
      <c r="V23" s="466"/>
      <c r="W23" s="421"/>
      <c r="X23" s="421"/>
      <c r="Y23" s="200" t="s">
        <v>240</v>
      </c>
      <c r="Z23" s="200" t="s">
        <v>180</v>
      </c>
      <c r="AA23" s="200" t="s">
        <v>180</v>
      </c>
      <c r="AB23" s="410">
        <f t="shared" si="1"/>
        <v>0</v>
      </c>
      <c r="AC23" s="409" t="str">
        <f t="shared" si="2"/>
        <v/>
      </c>
      <c r="AD23" s="409" t="str">
        <f t="shared" si="3"/>
        <v/>
      </c>
    </row>
    <row r="24" s="408" customFormat="1" spans="1:30">
      <c r="A24" s="428"/>
      <c r="B24" s="421"/>
      <c r="C24" s="439"/>
      <c r="D24" s="421"/>
      <c r="E24" s="430"/>
      <c r="F24" s="430"/>
      <c r="G24" s="430"/>
      <c r="H24" s="430"/>
      <c r="I24" s="453"/>
      <c r="J24" s="430"/>
      <c r="K24" s="430"/>
      <c r="L24" s="430"/>
      <c r="M24" s="451"/>
      <c r="N24" s="451"/>
      <c r="O24" s="430"/>
      <c r="P24" s="542"/>
      <c r="Q24" s="429"/>
      <c r="R24" s="421"/>
      <c r="S24" s="473" t="s">
        <v>180</v>
      </c>
      <c r="T24" s="473" t="s">
        <v>180</v>
      </c>
      <c r="U24" s="466"/>
      <c r="V24" s="466"/>
      <c r="W24" s="421"/>
      <c r="X24" s="421"/>
      <c r="Y24" s="200" t="s">
        <v>240</v>
      </c>
      <c r="Z24" s="200" t="s">
        <v>180</v>
      </c>
      <c r="AA24" s="200" t="s">
        <v>180</v>
      </c>
      <c r="AB24" s="410">
        <f t="shared" si="1"/>
        <v>0</v>
      </c>
      <c r="AC24" s="409" t="str">
        <f t="shared" si="2"/>
        <v/>
      </c>
      <c r="AD24" s="409" t="str">
        <f t="shared" si="3"/>
        <v/>
      </c>
    </row>
    <row r="25" s="408" customFormat="1" ht="17.4" spans="1:30">
      <c r="A25" s="418" t="s">
        <v>145</v>
      </c>
      <c r="B25" s="419"/>
      <c r="C25" s="420"/>
      <c r="D25" s="421"/>
      <c r="E25" s="422" t="s">
        <v>202</v>
      </c>
      <c r="F25" s="422"/>
      <c r="G25" s="422"/>
      <c r="H25" s="422"/>
      <c r="I25" s="422"/>
      <c r="J25" s="422"/>
      <c r="K25" s="422"/>
      <c r="L25" s="422"/>
      <c r="M25" s="443"/>
      <c r="N25" s="444"/>
      <c r="O25" s="422"/>
      <c r="P25" s="544"/>
      <c r="Q25" s="465"/>
      <c r="R25" s="424"/>
      <c r="S25" s="421" t="s">
        <v>180</v>
      </c>
      <c r="T25" s="421" t="s">
        <v>180</v>
      </c>
      <c r="U25" s="466"/>
      <c r="V25" s="467"/>
      <c r="W25" s="467"/>
      <c r="X25" s="467"/>
      <c r="Y25" s="200" t="s">
        <v>240</v>
      </c>
      <c r="Z25" s="200" t="s">
        <v>180</v>
      </c>
      <c r="AA25" s="200" t="s">
        <v>180</v>
      </c>
      <c r="AB25" s="410">
        <f t="shared" si="1"/>
        <v>0</v>
      </c>
      <c r="AC25" s="409" t="str">
        <f t="shared" si="2"/>
        <v/>
      </c>
      <c r="AD25" s="409" t="str">
        <f t="shared" si="3"/>
        <v/>
      </c>
    </row>
    <row r="26" s="409" customFormat="1" ht="48.6" spans="1:30">
      <c r="A26" s="423" t="s">
        <v>206</v>
      </c>
      <c r="B26" s="424" t="s">
        <v>207</v>
      </c>
      <c r="C26" s="425" t="s">
        <v>208</v>
      </c>
      <c r="D26" s="424" t="s">
        <v>209</v>
      </c>
      <c r="E26" s="426" t="s">
        <v>210</v>
      </c>
      <c r="F26" s="427" t="s">
        <v>211</v>
      </c>
      <c r="G26" s="427" t="s">
        <v>212</v>
      </c>
      <c r="H26" s="427" t="s">
        <v>213</v>
      </c>
      <c r="I26" s="427" t="s">
        <v>214</v>
      </c>
      <c r="J26" s="446" t="s">
        <v>215</v>
      </c>
      <c r="K26" s="446" t="s">
        <v>216</v>
      </c>
      <c r="L26" s="446" t="s">
        <v>217</v>
      </c>
      <c r="M26" s="447" t="s">
        <v>218</v>
      </c>
      <c r="N26" s="448" t="s">
        <v>219</v>
      </c>
      <c r="O26" s="449" t="s">
        <v>220</v>
      </c>
      <c r="P26" s="543" t="s">
        <v>221</v>
      </c>
      <c r="Q26" s="469" t="s">
        <v>222</v>
      </c>
      <c r="R26" s="426" t="s">
        <v>223</v>
      </c>
      <c r="S26" s="470" t="s">
        <v>224</v>
      </c>
      <c r="T26" s="470" t="s">
        <v>205</v>
      </c>
      <c r="U26" s="467" t="s">
        <v>225</v>
      </c>
      <c r="V26" s="470" t="s">
        <v>226</v>
      </c>
      <c r="W26" s="467"/>
      <c r="X26" s="467"/>
      <c r="Y26" s="200" t="s">
        <v>207</v>
      </c>
      <c r="Z26" s="200" t="s">
        <v>180</v>
      </c>
      <c r="AA26" s="200" t="s">
        <v>180</v>
      </c>
      <c r="AB26" s="410">
        <f t="shared" si="1"/>
        <v>1</v>
      </c>
      <c r="AC26" s="409" t="str">
        <f t="shared" si="2"/>
        <v>Forum Link</v>
      </c>
      <c r="AD26" s="409" t="str">
        <f t="shared" si="3"/>
        <v>Domains</v>
      </c>
    </row>
    <row r="27" s="410" customFormat="1" spans="1:30">
      <c r="A27" s="432" t="s">
        <v>227</v>
      </c>
      <c r="B27" s="432" t="s">
        <v>146</v>
      </c>
      <c r="C27" s="434" t="str">
        <f>VLOOKUP(B27,正厂竞争者数据汇总!D:H,2,FALSE)</f>
        <v>原厂目录</v>
      </c>
      <c r="D27" s="435" t="str">
        <f>VLOOKUP(B27,正厂竞争者数据汇总!D:H,3,FALSE)</f>
        <v>AZ</v>
      </c>
      <c r="E27" s="436"/>
      <c r="F27" s="436">
        <f t="array" ref="F27">INDEX(正厂竞争者数据汇总!$H$2:$H$448,MATCH($A$25&amp;$B27,正厂竞争者数据汇总!$A$2:$A$448&amp;正厂竞争者数据汇总!$D$2:$D$448,0))</f>
        <v>596083.916666667</v>
      </c>
      <c r="G27" s="436"/>
      <c r="H27" s="436"/>
      <c r="I27" s="510"/>
      <c r="J27" s="457">
        <f t="shared" ref="J27:J33" si="5">F27/F$35</f>
        <v>0.328082643244375</v>
      </c>
      <c r="K27" s="457">
        <v>0.31482126600503</v>
      </c>
      <c r="L27" s="457">
        <v>0.323458505528609</v>
      </c>
      <c r="M27" s="461"/>
      <c r="N27" s="457"/>
      <c r="O27" s="436"/>
      <c r="P27" s="542">
        <f t="array" ref="P27">INDEX(正厂竞争者数据汇总!I:I,MATCH($A$25&amp;B27,正厂竞争者数据汇总!A:A&amp;正厂竞争者数据汇总!D:D,0))</f>
        <v>0</v>
      </c>
      <c r="Q27" s="434"/>
      <c r="R27" s="435"/>
      <c r="S27" s="476">
        <v>34677</v>
      </c>
      <c r="T27" s="476">
        <v>5511</v>
      </c>
      <c r="U27" s="477"/>
      <c r="V27" s="477"/>
      <c r="W27" s="477"/>
      <c r="X27" s="477"/>
      <c r="Y27" s="200" t="s">
        <v>146</v>
      </c>
      <c r="Z27" s="200">
        <v>30066</v>
      </c>
      <c r="AA27" s="200">
        <v>4690</v>
      </c>
      <c r="AB27" s="410">
        <f t="shared" si="1"/>
        <v>1</v>
      </c>
      <c r="AC27" s="409">
        <f t="shared" si="2"/>
        <v>30066</v>
      </c>
      <c r="AD27" s="409">
        <f t="shared" si="3"/>
        <v>4690</v>
      </c>
    </row>
    <row r="28" s="408" customFormat="1" spans="1:30">
      <c r="A28" s="428" t="s">
        <v>230</v>
      </c>
      <c r="B28" s="421" t="s">
        <v>251</v>
      </c>
      <c r="C28" s="429" t="str">
        <f>VLOOKUP(B28,正厂竞争者数据汇总!D:H,2,FALSE)</f>
        <v>Motor目录</v>
      </c>
      <c r="D28" s="421" t="str">
        <f>VLOOKUP(B28,正厂竞争者数据汇总!D:H,3,FALSE)</f>
        <v>NC</v>
      </c>
      <c r="E28" s="430"/>
      <c r="F28" s="430">
        <f t="array" ref="F28">INDEX(正厂竞争者数据汇总!$H$2:$H$448,MATCH($A$25&amp;$B28,正厂竞争者数据汇总!$A$2:$A$448&amp;正厂竞争者数据汇总!$D$2:$D$448,0))</f>
        <v>362304.673333334</v>
      </c>
      <c r="G28" s="430"/>
      <c r="H28" s="430"/>
      <c r="I28" s="450"/>
      <c r="J28" s="451">
        <f t="shared" si="5"/>
        <v>0.199411310326395</v>
      </c>
      <c r="K28" s="451">
        <v>0.207275663229066</v>
      </c>
      <c r="L28" s="451">
        <v>0.206619699358362</v>
      </c>
      <c r="M28" s="452"/>
      <c r="N28" s="451"/>
      <c r="O28" s="430"/>
      <c r="P28" s="542">
        <f t="array" ref="P28">INDEX(正厂竞争者数据汇总!I:I,MATCH($A$25&amp;B28,正厂竞争者数据汇总!A:A&amp;正厂竞争者数据汇总!D:D,0))</f>
        <v>0</v>
      </c>
      <c r="Q28" s="429" t="s">
        <v>180</v>
      </c>
      <c r="R28" s="421" t="s">
        <v>180</v>
      </c>
      <c r="S28" s="472">
        <v>75765</v>
      </c>
      <c r="T28" s="472">
        <v>2031</v>
      </c>
      <c r="U28" s="466"/>
      <c r="V28" s="466"/>
      <c r="W28" s="466"/>
      <c r="X28" s="466"/>
      <c r="Y28" s="200" t="s">
        <v>251</v>
      </c>
      <c r="Z28" s="200">
        <v>106261</v>
      </c>
      <c r="AA28" s="200">
        <v>2197</v>
      </c>
      <c r="AB28" s="410">
        <f t="shared" si="1"/>
        <v>1</v>
      </c>
      <c r="AC28" s="409">
        <f t="shared" si="2"/>
        <v>106261</v>
      </c>
      <c r="AD28" s="409">
        <f t="shared" si="3"/>
        <v>2197</v>
      </c>
    </row>
    <row r="29" s="408" customFormat="1" spans="1:30">
      <c r="A29" s="428" t="s">
        <v>230</v>
      </c>
      <c r="B29" s="421" t="s">
        <v>252</v>
      </c>
      <c r="C29" s="429" t="str">
        <f>VLOOKUP(B29,正厂竞争者数据汇总!D:H,2,FALSE)</f>
        <v>Motor目录</v>
      </c>
      <c r="D29" s="421" t="str">
        <f>VLOOKUP(B29,正厂竞争者数据汇总!D:H,3,FALSE)</f>
        <v>AZ</v>
      </c>
      <c r="E29" s="430"/>
      <c r="F29" s="430">
        <f t="array" ref="F29">INDEX(正厂竞争者数据汇总!$H$2:$H$448,MATCH($A$25&amp;$B29,正厂竞争者数据汇总!$A$2:$A$448&amp;正厂竞争者数据汇总!$D$2:$D$448,0))</f>
        <v>282674.693333333</v>
      </c>
      <c r="G29" s="430"/>
      <c r="H29" s="430"/>
      <c r="I29" s="450"/>
      <c r="J29" s="451">
        <f t="shared" si="5"/>
        <v>0.155583229095835</v>
      </c>
      <c r="K29" s="451">
        <v>0.136591995861721</v>
      </c>
      <c r="L29" s="451">
        <v>0.131050832969517</v>
      </c>
      <c r="M29" s="452"/>
      <c r="N29" s="451"/>
      <c r="O29" s="430"/>
      <c r="P29" s="542">
        <f t="array" ref="P29">INDEX(正厂竞争者数据汇总!I:I,MATCH($A$25&amp;B29,正厂竞争者数据汇总!A:A&amp;正厂竞争者数据汇总!D:D,0))</f>
        <v>0</v>
      </c>
      <c r="Q29" s="429" t="s">
        <v>180</v>
      </c>
      <c r="R29" s="421" t="s">
        <v>180</v>
      </c>
      <c r="S29" s="472">
        <v>10451</v>
      </c>
      <c r="T29" s="472">
        <v>875</v>
      </c>
      <c r="U29" s="466"/>
      <c r="V29" s="466"/>
      <c r="W29" s="466"/>
      <c r="X29" s="466"/>
      <c r="Y29" s="200" t="s">
        <v>252</v>
      </c>
      <c r="Z29" s="200">
        <v>10566</v>
      </c>
      <c r="AA29" s="200">
        <v>908</v>
      </c>
      <c r="AB29" s="410">
        <f t="shared" si="1"/>
        <v>1</v>
      </c>
      <c r="AC29" s="409">
        <f t="shared" si="2"/>
        <v>10566</v>
      </c>
      <c r="AD29" s="409">
        <f t="shared" si="3"/>
        <v>908</v>
      </c>
    </row>
    <row r="30" s="408" customFormat="1" ht="17.4" spans="1:30">
      <c r="A30" s="428" t="s">
        <v>230</v>
      </c>
      <c r="B30" s="421" t="s">
        <v>253</v>
      </c>
      <c r="C30" s="429" t="str">
        <f>VLOOKUP(B30,正厂竞争者数据汇总!D:H,2,FALSE)</f>
        <v>Motor目录</v>
      </c>
      <c r="D30" s="421" t="str">
        <f>VLOOKUP(B30,正厂竞争者数据汇总!D:H,3,FALSE)</f>
        <v>TX</v>
      </c>
      <c r="E30" s="430"/>
      <c r="F30" s="430">
        <f t="array" ref="F30">INDEX(正厂竞争者数据汇总!$H$2:$H$448,MATCH($A$25&amp;$B30,正厂竞争者数据汇总!$A$2:$A$448&amp;正厂竞争者数据汇总!$D$2:$D$448,0))</f>
        <v>174742.83</v>
      </c>
      <c r="G30" s="430"/>
      <c r="H30" s="430"/>
      <c r="I30" s="450"/>
      <c r="J30" s="451">
        <f t="shared" si="5"/>
        <v>0.0961778836023547</v>
      </c>
      <c r="K30" s="451">
        <v>0.0975840775017046</v>
      </c>
      <c r="L30" s="451">
        <v>0.0929130940827288</v>
      </c>
      <c r="M30" s="452"/>
      <c r="N30" s="451"/>
      <c r="O30" s="430"/>
      <c r="P30" s="542" t="str">
        <f t="array" ref="P30">INDEX(正厂竞争者数据汇总!I:I,MATCH($A$25&amp;B30,正厂竞争者数据汇总!A:A&amp;正厂竞争者数据汇总!D:D,0))</f>
        <v>202306，原竞品gmpartsonline.net将网站导流至此，现新网站正式成为新增竞品</v>
      </c>
      <c r="Q30" s="434" t="s">
        <v>254</v>
      </c>
      <c r="R30" s="421" t="s">
        <v>229</v>
      </c>
      <c r="S30" s="472">
        <v>513</v>
      </c>
      <c r="T30" s="472">
        <v>188</v>
      </c>
      <c r="U30" s="466"/>
      <c r="V30" s="466"/>
      <c r="W30" s="466"/>
      <c r="X30" s="466"/>
      <c r="Y30" s="200" t="s">
        <v>253</v>
      </c>
      <c r="Z30" s="200">
        <v>359</v>
      </c>
      <c r="AA30" s="200">
        <v>158</v>
      </c>
      <c r="AB30" s="410">
        <f t="shared" si="1"/>
        <v>1</v>
      </c>
      <c r="AC30" s="409">
        <f t="shared" si="2"/>
        <v>359</v>
      </c>
      <c r="AD30" s="409">
        <f t="shared" si="3"/>
        <v>158</v>
      </c>
    </row>
    <row r="31" s="408" customFormat="1" ht="46.8" spans="1:30">
      <c r="A31" s="428" t="s">
        <v>230</v>
      </c>
      <c r="B31" s="421" t="s">
        <v>255</v>
      </c>
      <c r="C31" s="429" t="str">
        <f>VLOOKUP(B31,正厂竞争者数据汇总!D:H,2,FALSE)</f>
        <v>Motor目录</v>
      </c>
      <c r="D31" s="421" t="str">
        <f>VLOOKUP(B31,正厂竞争者数据汇总!D:H,3,FALSE)</f>
        <v>RI</v>
      </c>
      <c r="E31" s="430"/>
      <c r="F31" s="430">
        <f t="array" ref="F31">INDEX(正厂竞争者数据汇总!$H$2:$H$448,MATCH($A$25&amp;$B31,正厂竞争者数据汇总!$A$2:$A$448&amp;正厂竞争者数据汇总!$D$2:$D$448,0))</f>
        <v>141265.396666667</v>
      </c>
      <c r="G31" s="430"/>
      <c r="H31" s="430"/>
      <c r="I31" s="450"/>
      <c r="J31" s="451">
        <f t="shared" si="5"/>
        <v>0.0777520135026265</v>
      </c>
      <c r="K31" s="451">
        <v>0.0774339802747521</v>
      </c>
      <c r="L31" s="451">
        <v>0.0590426463385106</v>
      </c>
      <c r="M31" s="452"/>
      <c r="N31" s="451"/>
      <c r="O31" s="430"/>
      <c r="P31" s="542" t="str">
        <f t="array" ref="P31">INDEX(正厂竞争者数据汇总!I:I,MATCH($A$25&amp;B31,正厂竞争者数据汇总!A:A&amp;正厂竞争者数据汇总!D:D,0))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31" s="429" t="s">
        <v>180</v>
      </c>
      <c r="R31" s="421" t="s">
        <v>180</v>
      </c>
      <c r="S31" s="472">
        <v>37922</v>
      </c>
      <c r="T31" s="472">
        <v>1648</v>
      </c>
      <c r="U31" s="466"/>
      <c r="V31" s="466"/>
      <c r="W31" s="466"/>
      <c r="X31" s="466"/>
      <c r="Y31" s="200" t="s">
        <v>255</v>
      </c>
      <c r="Z31" s="200">
        <v>38224</v>
      </c>
      <c r="AA31" s="200">
        <v>1673</v>
      </c>
      <c r="AB31" s="410">
        <f t="shared" si="1"/>
        <v>1</v>
      </c>
      <c r="AC31" s="409">
        <f t="shared" si="2"/>
        <v>38224</v>
      </c>
      <c r="AD31" s="409">
        <f t="shared" si="3"/>
        <v>1673</v>
      </c>
    </row>
    <row r="32" s="408" customFormat="1" spans="1:30">
      <c r="A32" s="428" t="s">
        <v>243</v>
      </c>
      <c r="B32" s="421" t="s">
        <v>256</v>
      </c>
      <c r="C32" s="429" t="str">
        <f>VLOOKUP(B32,正厂竞争者数据汇总!D:H,2,FALSE)</f>
        <v>原厂目录</v>
      </c>
      <c r="D32" s="421" t="str">
        <f>VLOOKUP(B32,正厂竞争者数据汇总!D:H,3,FALSE)</f>
        <v>KY</v>
      </c>
      <c r="E32" s="430"/>
      <c r="F32" s="430">
        <f t="array" ref="F32">INDEX(正厂竞争者数据汇总!$H$2:$H$448,MATCH($A$25&amp;$B32,正厂竞争者数据汇总!$A$2:$A$448&amp;正厂竞争者数据汇总!$D$2:$D$448,0))</f>
        <v>130630.14</v>
      </c>
      <c r="G32" s="430"/>
      <c r="H32" s="430"/>
      <c r="I32" s="450"/>
      <c r="J32" s="451">
        <f t="shared" si="5"/>
        <v>0.0718984029266282</v>
      </c>
      <c r="K32" s="451">
        <v>0.0749858118845605</v>
      </c>
      <c r="L32" s="451">
        <v>0.0920474173096386</v>
      </c>
      <c r="M32" s="452"/>
      <c r="N32" s="451"/>
      <c r="O32" s="430"/>
      <c r="P32" s="542">
        <f t="array" ref="P32">INDEX(正厂竞争者数据汇总!I:I,MATCH($A$25&amp;B32,正厂竞争者数据汇总!A:A&amp;正厂竞争者数据汇总!D:D,0))</f>
        <v>0</v>
      </c>
      <c r="Q32" s="429" t="s">
        <v>257</v>
      </c>
      <c r="R32" s="421" t="s">
        <v>229</v>
      </c>
      <c r="S32" s="472">
        <v>20056</v>
      </c>
      <c r="T32" s="472">
        <v>2258</v>
      </c>
      <c r="U32" s="466"/>
      <c r="V32" s="466"/>
      <c r="W32" s="466"/>
      <c r="X32" s="466"/>
      <c r="Y32" s="200" t="s">
        <v>256</v>
      </c>
      <c r="Z32" s="200">
        <v>18136</v>
      </c>
      <c r="AA32" s="200">
        <v>1815</v>
      </c>
      <c r="AB32" s="410">
        <f t="shared" si="1"/>
        <v>1</v>
      </c>
      <c r="AC32" s="409">
        <f t="shared" si="2"/>
        <v>18136</v>
      </c>
      <c r="AD32" s="409">
        <f t="shared" si="3"/>
        <v>1815</v>
      </c>
    </row>
    <row r="33" s="408" customFormat="1" spans="1:30">
      <c r="A33" s="428" t="s">
        <v>230</v>
      </c>
      <c r="B33" s="421" t="s">
        <v>258</v>
      </c>
      <c r="C33" s="429" t="str">
        <f>VLOOKUP(B33,正厂竞争者数据汇总!D:H,2,FALSE)</f>
        <v>Motor目录</v>
      </c>
      <c r="D33" s="421" t="str">
        <f>VLOOKUP(B33,正厂竞争者数据汇总!D:H,3,FALSE)</f>
        <v>NM</v>
      </c>
      <c r="E33" s="430"/>
      <c r="F33" s="430">
        <f t="array" ref="F33">INDEX(正厂竞争者数据汇总!$H$2:$H$448,MATCH($A$25&amp;$B33,正厂竞争者数据汇总!$A$2:$A$448&amp;正厂竞争者数据汇总!$D$2:$D$448,0))</f>
        <v>129169.583333333</v>
      </c>
      <c r="G33" s="430"/>
      <c r="H33" s="430"/>
      <c r="I33" s="450"/>
      <c r="J33" s="451">
        <f t="shared" si="5"/>
        <v>0.0710945173017855</v>
      </c>
      <c r="K33" s="451">
        <v>0.0913072052431657</v>
      </c>
      <c r="L33" s="451">
        <v>0.0948678044126341</v>
      </c>
      <c r="M33" s="452"/>
      <c r="N33" s="451"/>
      <c r="O33" s="430"/>
      <c r="P33" s="542">
        <f t="array" ref="P33">INDEX(正厂竞争者数据汇总!I:I,MATCH($A$25&amp;B33,正厂竞争者数据汇总!A:A&amp;正厂竞争者数据汇总!D:D,0))</f>
        <v>0</v>
      </c>
      <c r="Q33" s="429" t="s">
        <v>180</v>
      </c>
      <c r="R33" s="421"/>
      <c r="S33" s="472">
        <v>2666</v>
      </c>
      <c r="T33" s="472">
        <v>517</v>
      </c>
      <c r="U33" s="466"/>
      <c r="V33" s="466"/>
      <c r="W33" s="466"/>
      <c r="X33" s="466"/>
      <c r="Y33" s="200" t="s">
        <v>258</v>
      </c>
      <c r="Z33" s="200">
        <v>2408</v>
      </c>
      <c r="AA33" s="200">
        <v>483</v>
      </c>
      <c r="AB33" s="410">
        <f t="shared" si="1"/>
        <v>1</v>
      </c>
      <c r="AC33" s="409">
        <f t="shared" si="2"/>
        <v>2408</v>
      </c>
      <c r="AD33" s="409">
        <f t="shared" si="3"/>
        <v>483</v>
      </c>
    </row>
    <row r="34" s="410" customFormat="1" spans="1:30">
      <c r="A34" s="428"/>
      <c r="B34" s="431"/>
      <c r="C34" s="429"/>
      <c r="D34" s="421"/>
      <c r="E34" s="430"/>
      <c r="F34" s="430"/>
      <c r="G34" s="430"/>
      <c r="H34" s="430"/>
      <c r="I34" s="450"/>
      <c r="J34" s="455"/>
      <c r="K34" s="455"/>
      <c r="L34" s="455"/>
      <c r="M34" s="452"/>
      <c r="N34" s="457"/>
      <c r="O34" s="436"/>
      <c r="P34" s="542"/>
      <c r="Q34" s="434"/>
      <c r="R34" s="435"/>
      <c r="S34" s="473" t="s">
        <v>180</v>
      </c>
      <c r="T34" s="473" t="s">
        <v>180</v>
      </c>
      <c r="U34" s="477"/>
      <c r="V34" s="466"/>
      <c r="W34" s="435"/>
      <c r="X34" s="435"/>
      <c r="Y34" s="200" t="s">
        <v>240</v>
      </c>
      <c r="Z34" s="200" t="s">
        <v>180</v>
      </c>
      <c r="AA34" s="200" t="s">
        <v>180</v>
      </c>
      <c r="AB34" s="410">
        <f t="shared" si="1"/>
        <v>0</v>
      </c>
      <c r="AC34" s="409" t="str">
        <f t="shared" si="2"/>
        <v/>
      </c>
      <c r="AD34" s="409" t="str">
        <f t="shared" si="3"/>
        <v/>
      </c>
    </row>
    <row r="35" s="408" customFormat="1" spans="1:30">
      <c r="A35" s="428"/>
      <c r="B35" s="421"/>
      <c r="C35" s="439"/>
      <c r="D35" s="421"/>
      <c r="E35" s="430"/>
      <c r="F35" s="430">
        <f>SUM(F$27:F$33)</f>
        <v>1816871.23333333</v>
      </c>
      <c r="G35" s="430"/>
      <c r="H35" s="430"/>
      <c r="I35" s="453"/>
      <c r="J35" s="430"/>
      <c r="K35" s="430"/>
      <c r="L35" s="430"/>
      <c r="M35" s="451"/>
      <c r="N35" s="451"/>
      <c r="O35" s="430"/>
      <c r="P35" s="542"/>
      <c r="Q35" s="429"/>
      <c r="R35" s="421"/>
      <c r="S35" s="473" t="s">
        <v>180</v>
      </c>
      <c r="T35" s="473" t="s">
        <v>180</v>
      </c>
      <c r="U35" s="466"/>
      <c r="V35" s="466"/>
      <c r="W35" s="421"/>
      <c r="X35" s="421"/>
      <c r="Y35" s="200" t="s">
        <v>240</v>
      </c>
      <c r="Z35" s="200" t="s">
        <v>180</v>
      </c>
      <c r="AA35" s="200" t="s">
        <v>180</v>
      </c>
      <c r="AB35" s="410">
        <f t="shared" si="1"/>
        <v>0</v>
      </c>
      <c r="AC35" s="409" t="str">
        <f t="shared" si="2"/>
        <v/>
      </c>
      <c r="AD35" s="409" t="str">
        <f t="shared" si="3"/>
        <v/>
      </c>
    </row>
    <row r="36" s="408" customFormat="1" spans="1:30">
      <c r="A36" s="428"/>
      <c r="B36" s="421"/>
      <c r="C36" s="439"/>
      <c r="D36" s="421"/>
      <c r="E36" s="430"/>
      <c r="F36" s="430"/>
      <c r="G36" s="430"/>
      <c r="H36" s="430"/>
      <c r="I36" s="453"/>
      <c r="J36" s="430"/>
      <c r="K36" s="430"/>
      <c r="L36" s="430"/>
      <c r="M36" s="451"/>
      <c r="N36" s="451"/>
      <c r="O36" s="430"/>
      <c r="P36" s="542"/>
      <c r="Q36" s="429"/>
      <c r="R36" s="421"/>
      <c r="S36" s="473" t="s">
        <v>180</v>
      </c>
      <c r="T36" s="473" t="s">
        <v>180</v>
      </c>
      <c r="U36" s="466"/>
      <c r="V36" s="466"/>
      <c r="W36" s="421"/>
      <c r="X36" s="421"/>
      <c r="Y36" s="200" t="s">
        <v>240</v>
      </c>
      <c r="Z36" s="200" t="s">
        <v>180</v>
      </c>
      <c r="AA36" s="200" t="s">
        <v>180</v>
      </c>
      <c r="AB36" s="410">
        <f t="shared" si="1"/>
        <v>0</v>
      </c>
      <c r="AC36" s="409" t="str">
        <f t="shared" si="2"/>
        <v/>
      </c>
      <c r="AD36" s="409" t="str">
        <f t="shared" si="3"/>
        <v/>
      </c>
    </row>
    <row r="37" s="408" customFormat="1" ht="17.4" spans="1:30">
      <c r="A37" s="418" t="s">
        <v>149</v>
      </c>
      <c r="B37" s="419"/>
      <c r="C37" s="420"/>
      <c r="D37" s="421"/>
      <c r="E37" s="422" t="s">
        <v>202</v>
      </c>
      <c r="F37" s="422"/>
      <c r="G37" s="422"/>
      <c r="H37" s="422"/>
      <c r="I37" s="422"/>
      <c r="J37" s="422"/>
      <c r="K37" s="422"/>
      <c r="L37" s="422"/>
      <c r="M37" s="443"/>
      <c r="N37" s="444"/>
      <c r="O37" s="422"/>
      <c r="P37" s="542"/>
      <c r="Q37" s="465"/>
      <c r="R37" s="424"/>
      <c r="S37" s="473" t="s">
        <v>180</v>
      </c>
      <c r="T37" s="473" t="s">
        <v>180</v>
      </c>
      <c r="U37" s="467"/>
      <c r="V37" s="467"/>
      <c r="W37" s="467"/>
      <c r="X37" s="467"/>
      <c r="Y37" s="200" t="s">
        <v>240</v>
      </c>
      <c r="Z37" s="200" t="s">
        <v>180</v>
      </c>
      <c r="AA37" s="200" t="s">
        <v>180</v>
      </c>
      <c r="AB37" s="410">
        <f t="shared" si="1"/>
        <v>0</v>
      </c>
      <c r="AC37" s="409" t="str">
        <f t="shared" si="2"/>
        <v/>
      </c>
      <c r="AD37" s="409" t="str">
        <f t="shared" si="3"/>
        <v/>
      </c>
    </row>
    <row r="38" s="409" customFormat="1" ht="48.6" spans="1:30">
      <c r="A38" s="423" t="s">
        <v>206</v>
      </c>
      <c r="B38" s="424" t="s">
        <v>207</v>
      </c>
      <c r="C38" s="425" t="s">
        <v>208</v>
      </c>
      <c r="D38" s="424" t="s">
        <v>209</v>
      </c>
      <c r="E38" s="426" t="s">
        <v>210</v>
      </c>
      <c r="F38" s="427" t="s">
        <v>211</v>
      </c>
      <c r="G38" s="427" t="s">
        <v>212</v>
      </c>
      <c r="H38" s="427" t="s">
        <v>213</v>
      </c>
      <c r="I38" s="427" t="s">
        <v>214</v>
      </c>
      <c r="J38" s="446" t="s">
        <v>215</v>
      </c>
      <c r="K38" s="446" t="s">
        <v>216</v>
      </c>
      <c r="L38" s="446" t="s">
        <v>217</v>
      </c>
      <c r="M38" s="447" t="s">
        <v>218</v>
      </c>
      <c r="N38" s="448" t="s">
        <v>219</v>
      </c>
      <c r="O38" s="449" t="s">
        <v>220</v>
      </c>
      <c r="P38" s="543" t="s">
        <v>221</v>
      </c>
      <c r="Q38" s="469" t="s">
        <v>222</v>
      </c>
      <c r="R38" s="426" t="s">
        <v>223</v>
      </c>
      <c r="S38" s="470" t="s">
        <v>224</v>
      </c>
      <c r="T38" s="470" t="s">
        <v>205</v>
      </c>
      <c r="U38" s="467" t="s">
        <v>225</v>
      </c>
      <c r="V38" s="470" t="s">
        <v>226</v>
      </c>
      <c r="W38" s="467"/>
      <c r="X38" s="467"/>
      <c r="Y38" s="200" t="s">
        <v>207</v>
      </c>
      <c r="Z38" s="200" t="s">
        <v>180</v>
      </c>
      <c r="AA38" s="200" t="s">
        <v>180</v>
      </c>
      <c r="AB38" s="410">
        <f t="shared" si="1"/>
        <v>1</v>
      </c>
      <c r="AC38" s="409" t="str">
        <f t="shared" si="2"/>
        <v>Forum Link</v>
      </c>
      <c r="AD38" s="409" t="str">
        <f t="shared" si="3"/>
        <v>Domains</v>
      </c>
    </row>
    <row r="39" s="410" customFormat="1" ht="17.4" spans="1:30">
      <c r="A39" s="432" t="s">
        <v>227</v>
      </c>
      <c r="B39" s="432" t="s">
        <v>150</v>
      </c>
      <c r="C39" s="434" t="str">
        <f>VLOOKUP(B39,正厂竞争者数据汇总!D:H,2,FALSE)</f>
        <v>原厂目录</v>
      </c>
      <c r="D39" s="435" t="str">
        <f>VLOOKUP(B39,正厂竞争者数据汇总!D:H,3,FALSE)</f>
        <v>AZ</v>
      </c>
      <c r="E39" s="436">
        <f>VLOOKUP(B39,正厂竞争者数据汇总!D:H,4,FALSE)</f>
        <v>0</v>
      </c>
      <c r="F39" s="436">
        <f t="array" ref="F39">INDEX(正厂竞争者数据汇总!$H$2:$H$448,MATCH($A$37&amp;$B39,正厂竞争者数据汇总!$A$2:$A$448&amp;正厂竞争者数据汇总!$D$2:$D$448,0))</f>
        <v>610735.833333333</v>
      </c>
      <c r="G39" s="436">
        <v>521458.083333333</v>
      </c>
      <c r="H39" s="436">
        <v>566477.333333333</v>
      </c>
      <c r="I39" s="454">
        <f>(F39/G39)-1</f>
        <v>0.171207912684577</v>
      </c>
      <c r="J39" s="455">
        <f t="shared" ref="J39:J47" si="6">F39/F$49</f>
        <v>0.395699464806563</v>
      </c>
      <c r="K39" s="455">
        <v>0.366699877503309</v>
      </c>
      <c r="L39" s="455">
        <v>0.375582164836792</v>
      </c>
      <c r="M39" s="456">
        <f>J39-K39</f>
        <v>0.0289995873032536</v>
      </c>
      <c r="N39" s="457" t="str">
        <f>IFERROR(O39*0.5/#REF!,"")</f>
        <v/>
      </c>
      <c r="O39" s="436" t="s">
        <v>180</v>
      </c>
      <c r="P39" s="542">
        <f t="array" ref="P39">INDEX(正厂竞争者数据汇总!I:I,MATCH($A$37&amp;B39,正厂竞争者数据汇总!A:A&amp;正厂竞争者数据汇总!D:D,0))</f>
        <v>0</v>
      </c>
      <c r="Q39" s="434" t="s">
        <v>259</v>
      </c>
      <c r="R39" s="435" t="s">
        <v>229</v>
      </c>
      <c r="S39" s="476">
        <v>73436</v>
      </c>
      <c r="T39" s="476">
        <v>10279</v>
      </c>
      <c r="U39" s="477"/>
      <c r="V39" s="477"/>
      <c r="W39" s="477"/>
      <c r="X39" s="477"/>
      <c r="Y39" s="200" t="s">
        <v>150</v>
      </c>
      <c r="Z39" s="200">
        <v>56716</v>
      </c>
      <c r="AA39" s="200">
        <v>8700</v>
      </c>
      <c r="AB39" s="410">
        <f t="shared" si="1"/>
        <v>1</v>
      </c>
      <c r="AC39" s="409">
        <f t="shared" si="2"/>
        <v>56716</v>
      </c>
      <c r="AD39" s="409">
        <f t="shared" si="3"/>
        <v>8700</v>
      </c>
    </row>
    <row r="40" s="408" customFormat="1" spans="1:30">
      <c r="A40" s="428" t="s">
        <v>230</v>
      </c>
      <c r="B40" s="421" t="s">
        <v>260</v>
      </c>
      <c r="C40" s="429" t="str">
        <f>VLOOKUP(B40,正厂竞争者数据汇总!D:H,2,FALSE)</f>
        <v>Motor目录</v>
      </c>
      <c r="D40" s="421" t="str">
        <f>VLOOKUP(B40,正厂竞争者数据汇总!D:H,3,FALSE)</f>
        <v>TX</v>
      </c>
      <c r="E40" s="430"/>
      <c r="F40" s="430">
        <f t="array" ref="F40">INDEX(正厂竞争者数据汇总!$H$2:$H$448,MATCH($A$37&amp;$B40,正厂竞争者数据汇总!$A$2:$A$448&amp;正厂竞争者数据汇总!$D$2:$D$448,0))</f>
        <v>232402.333333333</v>
      </c>
      <c r="G40" s="430"/>
      <c r="H40" s="430"/>
      <c r="I40" s="450"/>
      <c r="J40" s="451">
        <f t="shared" si="6"/>
        <v>0.150574886719648</v>
      </c>
      <c r="K40" s="451">
        <v>0.131499996844453</v>
      </c>
      <c r="L40" s="451">
        <v>0.119024435301989</v>
      </c>
      <c r="M40" s="452"/>
      <c r="N40" s="451"/>
      <c r="O40" s="430"/>
      <c r="P40" s="542">
        <f t="array" ref="P40">INDEX(正厂竞争者数据汇总!I:I,MATCH($A$37&amp;B40,正厂竞争者数据汇总!A:A&amp;正厂竞争者数据汇总!D:D,0))</f>
        <v>0</v>
      </c>
      <c r="Q40" s="429"/>
      <c r="R40" s="421"/>
      <c r="S40" s="472">
        <v>4079</v>
      </c>
      <c r="T40" s="472">
        <v>551</v>
      </c>
      <c r="U40" s="466"/>
      <c r="V40" s="466"/>
      <c r="W40" s="466"/>
      <c r="X40" s="466"/>
      <c r="Y40" s="200" t="s">
        <v>260</v>
      </c>
      <c r="Z40" s="200">
        <v>3755</v>
      </c>
      <c r="AA40" s="200">
        <v>567</v>
      </c>
      <c r="AB40" s="410">
        <f t="shared" si="1"/>
        <v>1</v>
      </c>
      <c r="AC40" s="409">
        <f t="shared" si="2"/>
        <v>3755</v>
      </c>
      <c r="AD40" s="409">
        <f t="shared" si="3"/>
        <v>567</v>
      </c>
    </row>
    <row r="41" s="408" customFormat="1" ht="46.8" spans="1:30">
      <c r="A41" s="428" t="s">
        <v>230</v>
      </c>
      <c r="B41" s="421" t="s">
        <v>255</v>
      </c>
      <c r="C41" s="429" t="str">
        <f>VLOOKUP(B41,正厂竞争者数据汇总!D:H,2,FALSE)</f>
        <v>Motor目录</v>
      </c>
      <c r="D41" s="421" t="str">
        <f>VLOOKUP(B41,正厂竞争者数据汇总!D:H,3,FALSE)</f>
        <v>RI</v>
      </c>
      <c r="E41" s="430"/>
      <c r="F41" s="430">
        <f t="array" ref="F41">INDEX(正厂竞争者数据汇总!$H$2:$H$448,MATCH($A$37&amp;$B41,正厂竞争者数据汇总!$A$2:$A$448&amp;正厂竞争者数据汇总!$D$2:$D$448,0))</f>
        <v>141265.396666667</v>
      </c>
      <c r="G41" s="430"/>
      <c r="H41" s="430"/>
      <c r="I41" s="450"/>
      <c r="J41" s="451">
        <f t="shared" si="6"/>
        <v>0.0915267105773013</v>
      </c>
      <c r="K41" s="451">
        <v>0.09153695033289</v>
      </c>
      <c r="L41" s="451">
        <v>0.11857157950169</v>
      </c>
      <c r="M41" s="452"/>
      <c r="N41" s="451"/>
      <c r="O41" s="430"/>
      <c r="P41" s="542" t="str">
        <f t="array" ref="P41">INDEX(正厂竞争者数据汇总!I:I,MATCH($A$37&amp;B41,正厂竞争者数据汇总!A:A&amp;正厂竞争者数据汇总!D:D,0))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41" s="429"/>
      <c r="R41" s="421"/>
      <c r="S41" s="472">
        <v>37922</v>
      </c>
      <c r="T41" s="472">
        <v>1648</v>
      </c>
      <c r="U41" s="466"/>
      <c r="V41" s="466"/>
      <c r="W41" s="466"/>
      <c r="X41" s="466"/>
      <c r="Y41" s="200" t="s">
        <v>255</v>
      </c>
      <c r="Z41" s="200">
        <v>38224</v>
      </c>
      <c r="AA41" s="200">
        <v>1673</v>
      </c>
      <c r="AB41" s="410">
        <f t="shared" si="1"/>
        <v>1</v>
      </c>
      <c r="AC41" s="409">
        <f t="shared" si="2"/>
        <v>38224</v>
      </c>
      <c r="AD41" s="409">
        <f t="shared" si="3"/>
        <v>1673</v>
      </c>
    </row>
    <row r="42" s="408" customFormat="1" ht="31.2" spans="1:30">
      <c r="A42" s="428" t="s">
        <v>230</v>
      </c>
      <c r="B42" s="421" t="s">
        <v>261</v>
      </c>
      <c r="C42" s="429" t="str">
        <f>VLOOKUP(B42,正厂竞争者数据汇总!D:H,2,FALSE)</f>
        <v>Motor目录</v>
      </c>
      <c r="D42" s="421" t="str">
        <f>VLOOKUP(B42,正厂竞争者数据汇总!D:H,3,FALSE)</f>
        <v>MO</v>
      </c>
      <c r="E42" s="430"/>
      <c r="F42" s="430">
        <f t="array" ref="F42">INDEX(正厂竞争者数据汇总!$H$2:$H$448,MATCH($A$37&amp;$B42,正厂竞争者数据汇总!$A$2:$A$448&amp;正厂竞争者数据汇总!$D$2:$D$448,0))</f>
        <v>124563.146666667</v>
      </c>
      <c r="G42" s="430"/>
      <c r="H42" s="430"/>
      <c r="I42" s="450"/>
      <c r="J42" s="451">
        <f t="shared" si="6"/>
        <v>0.0807052211127094</v>
      </c>
      <c r="K42" s="451">
        <v>0.0897774337490485</v>
      </c>
      <c r="L42" s="451">
        <v>0.111456544831974</v>
      </c>
      <c r="M42" s="452"/>
      <c r="N42" s="451"/>
      <c r="O42" s="430"/>
      <c r="P42" s="542" t="str">
        <f t="array" ref="P42">INDEX(正厂竞争者数据汇总!I:I,MATCH($A$37&amp;B42,正厂竞争者数据汇总!A:A&amp;正厂竞争者数据汇总!D:D,0))</f>
        <v>2022年1月 新加入 CompetitorSites
2022年1月 新加入 MarketingShare</v>
      </c>
      <c r="Q42" s="429"/>
      <c r="R42" s="421"/>
      <c r="S42" s="472">
        <v>1856</v>
      </c>
      <c r="T42" s="472">
        <v>278</v>
      </c>
      <c r="U42" s="466"/>
      <c r="V42" s="466"/>
      <c r="W42" s="466"/>
      <c r="X42" s="466"/>
      <c r="Y42" s="200" t="s">
        <v>261</v>
      </c>
      <c r="Z42" s="200">
        <v>1695</v>
      </c>
      <c r="AA42" s="200">
        <v>308</v>
      </c>
      <c r="AB42" s="410">
        <f t="shared" si="1"/>
        <v>1</v>
      </c>
      <c r="AC42" s="409">
        <f t="shared" si="2"/>
        <v>1695</v>
      </c>
      <c r="AD42" s="409">
        <f t="shared" si="3"/>
        <v>308</v>
      </c>
    </row>
    <row r="43" s="408" customFormat="1" spans="1:30">
      <c r="A43" s="428" t="s">
        <v>243</v>
      </c>
      <c r="B43" s="421" t="s">
        <v>262</v>
      </c>
      <c r="C43" s="429" t="str">
        <f>VLOOKUP(B43,正厂竞争者数据汇总!D:H,2,FALSE)</f>
        <v>原厂目录</v>
      </c>
      <c r="D43" s="421" t="str">
        <f>VLOOKUP(B43,正厂竞争者数据汇总!D:H,3,FALSE)</f>
        <v>FL</v>
      </c>
      <c r="E43" s="430"/>
      <c r="F43" s="430">
        <f t="array" ref="F43">INDEX(正厂竞争者数据汇总!$H$2:$H$448,MATCH($A$37&amp;$B43,正厂竞争者数据汇总!$A$2:$A$448&amp;正厂竞争者数据汇总!$D$2:$D$448,0))</f>
        <v>113989.94</v>
      </c>
      <c r="G43" s="430"/>
      <c r="H43" s="430"/>
      <c r="I43" s="450"/>
      <c r="J43" s="451">
        <f t="shared" si="6"/>
        <v>0.0738547761397094</v>
      </c>
      <c r="K43" s="451">
        <v>0.0733361052785865</v>
      </c>
      <c r="L43" s="451">
        <v>0.0932237886708694</v>
      </c>
      <c r="M43" s="452"/>
      <c r="N43" s="451"/>
      <c r="O43" s="430"/>
      <c r="P43" s="542" t="str">
        <f t="array" ref="P43">INDEX(正厂竞争者数据汇总!I:I,MATCH($A$37&amp;B43,正厂竞争者数据汇总!A:A&amp;正厂竞争者数据汇总!D:D,0))</f>
        <v>变为精确运费</v>
      </c>
      <c r="Q43" s="429"/>
      <c r="R43" s="421"/>
      <c r="S43" s="472">
        <v>32619</v>
      </c>
      <c r="T43" s="472">
        <v>2380</v>
      </c>
      <c r="U43" s="466"/>
      <c r="V43" s="466"/>
      <c r="W43" s="466"/>
      <c r="X43" s="466"/>
      <c r="Y43" s="200" t="s">
        <v>262</v>
      </c>
      <c r="Z43" s="200">
        <v>32780</v>
      </c>
      <c r="AA43" s="200">
        <v>2182</v>
      </c>
      <c r="AB43" s="410">
        <f t="shared" si="1"/>
        <v>1</v>
      </c>
      <c r="AC43" s="409">
        <f t="shared" si="2"/>
        <v>32780</v>
      </c>
      <c r="AD43" s="409">
        <f t="shared" si="3"/>
        <v>2182</v>
      </c>
    </row>
    <row r="44" s="408" customFormat="1" ht="46.8" spans="1:30">
      <c r="A44" s="428" t="s">
        <v>230</v>
      </c>
      <c r="B44" s="421" t="s">
        <v>263</v>
      </c>
      <c r="C44" s="429" t="s">
        <v>233</v>
      </c>
      <c r="D44" s="421" t="s">
        <v>234</v>
      </c>
      <c r="E44" s="430"/>
      <c r="F44" s="430">
        <f t="array" ref="F44">INDEX(正厂竞争者数据汇总!$H$2:$H$448,MATCH($A$37&amp;$B44,正厂竞争者数据汇总!$A$2:$A$448&amp;正厂竞争者数据汇总!$D$2:$D$448,0))</f>
        <v>97142.85</v>
      </c>
      <c r="G44" s="430"/>
      <c r="H44" s="430"/>
      <c r="I44" s="450"/>
      <c r="J44" s="451">
        <f t="shared" si="6"/>
        <v>0.062939443957277</v>
      </c>
      <c r="K44" s="451">
        <v>0.0550967288613373</v>
      </c>
      <c r="L44" s="451"/>
      <c r="M44" s="452"/>
      <c r="N44" s="451"/>
      <c r="O44" s="430"/>
      <c r="P44" s="542" t="str">
        <f t="array" ref="P44">INDEX(正厂竞争者数据汇总!I:I,MATCH($A$37&amp;B44,正厂竞争者数据汇总!A:A&amp;正厂竞争者数据汇总!D:D,0))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44" s="429"/>
      <c r="R44" s="421"/>
      <c r="S44" s="472">
        <v>439</v>
      </c>
      <c r="T44" s="472">
        <v>146</v>
      </c>
      <c r="U44" s="466"/>
      <c r="V44" s="466"/>
      <c r="W44" s="466"/>
      <c r="X44" s="466"/>
      <c r="Y44" s="200"/>
      <c r="Z44" s="200"/>
      <c r="AA44" s="200"/>
      <c r="AB44" s="410"/>
      <c r="AC44" s="409"/>
      <c r="AD44" s="409"/>
    </row>
    <row r="45" s="408" customFormat="1" spans="1:30">
      <c r="A45" s="428" t="s">
        <v>243</v>
      </c>
      <c r="B45" s="421" t="s">
        <v>264</v>
      </c>
      <c r="C45" s="429" t="str">
        <f>VLOOKUP(B45,正厂竞争者数据汇总!D:H,2,FALSE)</f>
        <v>原厂目录</v>
      </c>
      <c r="D45" s="421" t="s">
        <v>60</v>
      </c>
      <c r="E45" s="430"/>
      <c r="F45" s="430">
        <f t="array" ref="F45">INDEX(正厂竞争者数据汇总!$H$2:$H$448,MATCH($A$37&amp;$B45,正厂竞争者数据汇总!$A$2:$A$448&amp;正厂竞争者数据汇总!$D$2:$D$448,0))</f>
        <v>84589.5166666665</v>
      </c>
      <c r="G45" s="430"/>
      <c r="H45" s="430"/>
      <c r="I45" s="450"/>
      <c r="J45" s="451">
        <f t="shared" si="6"/>
        <v>0.0548060628611865</v>
      </c>
      <c r="K45" s="451">
        <v>0.055020947835132</v>
      </c>
      <c r="L45" s="451">
        <v>0.0603038458792459</v>
      </c>
      <c r="M45" s="452"/>
      <c r="N45" s="451"/>
      <c r="O45" s="430"/>
      <c r="P45" s="542" t="str">
        <f t="array" ref="P45">INDEX(正厂竞争者数据汇总!I:I,MATCH($A$37&amp;B45,正厂竞争者数据汇总!A:A&amp;正厂竞争者数据汇总!D:D,0))</f>
        <v>2023年3月新增正厂，2023年10月因流量大于5%加入MS监控</v>
      </c>
      <c r="Q45" s="429"/>
      <c r="R45" s="421"/>
      <c r="S45" s="472">
        <v>3838</v>
      </c>
      <c r="T45" s="472">
        <v>625</v>
      </c>
      <c r="U45" s="466"/>
      <c r="V45" s="466"/>
      <c r="W45" s="466"/>
      <c r="X45" s="466"/>
      <c r="Y45" s="200" t="s">
        <v>264</v>
      </c>
      <c r="Z45" s="200">
        <v>3052</v>
      </c>
      <c r="AA45" s="200">
        <v>479</v>
      </c>
      <c r="AB45" s="410">
        <f>IF(B45=Y45,1,0)</f>
        <v>1</v>
      </c>
      <c r="AC45" s="409">
        <f>IF(Y45="Competitors","Forum Link",Z45)</f>
        <v>3052</v>
      </c>
      <c r="AD45" s="409">
        <f>IF(Y45="Competitors","Domains",AA45)</f>
        <v>479</v>
      </c>
    </row>
    <row r="46" s="408" customFormat="1" spans="1:30">
      <c r="A46" s="428" t="s">
        <v>243</v>
      </c>
      <c r="B46" s="421" t="s">
        <v>265</v>
      </c>
      <c r="C46" s="429" t="str">
        <f>VLOOKUP(B46,正厂竞争者数据汇总!D:H,2,FALSE)</f>
        <v>原厂目录</v>
      </c>
      <c r="D46" s="421" t="s">
        <v>266</v>
      </c>
      <c r="E46" s="430"/>
      <c r="F46" s="430">
        <f t="array" ref="F46">INDEX(正厂竞争者数据汇总!$H$2:$H$448,MATCH($A$37&amp;$B46,正厂竞争者数据汇总!$A$2:$A$448&amp;正厂竞争者数据汇总!$D$2:$D$448,0))</f>
        <v>69636.37585</v>
      </c>
      <c r="G46" s="430"/>
      <c r="H46" s="430"/>
      <c r="I46" s="450"/>
      <c r="J46" s="451">
        <f t="shared" si="6"/>
        <v>0.0451178318857122</v>
      </c>
      <c r="K46" s="451">
        <v>0.0835170056976221</v>
      </c>
      <c r="L46" s="451">
        <v>0.0743924688921257</v>
      </c>
      <c r="M46" s="452"/>
      <c r="N46" s="451"/>
      <c r="O46" s="430"/>
      <c r="P46" s="542" t="str">
        <f t="array" ref="P46">INDEX(正厂竞争者数据汇总!I:I,MATCH($A$37&amp;B46,正厂竞争者数据汇总!A:A&amp;正厂竞争者数据汇总!D:D,0))</f>
        <v>因MS大于5%，202305重新加入MS计算基准</v>
      </c>
      <c r="Q46" s="429"/>
      <c r="R46" s="421"/>
      <c r="S46" s="472">
        <v>53443</v>
      </c>
      <c r="T46" s="472">
        <v>1947</v>
      </c>
      <c r="U46" s="466"/>
      <c r="V46" s="466"/>
      <c r="W46" s="466"/>
      <c r="X46" s="466"/>
      <c r="Y46" s="200" t="s">
        <v>265</v>
      </c>
      <c r="Z46" s="200">
        <v>51136</v>
      </c>
      <c r="AA46" s="200">
        <v>1637</v>
      </c>
      <c r="AB46" s="410">
        <f>IF(B46=Y46,1,0)</f>
        <v>1</v>
      </c>
      <c r="AC46" s="409">
        <f>IF(Y46="Competitors","Forum Link",Z46)</f>
        <v>51136</v>
      </c>
      <c r="AD46" s="409">
        <f>IF(Y46="Competitors","Domains",AA46)</f>
        <v>1637</v>
      </c>
    </row>
    <row r="47" s="408" customFormat="1" spans="1:30">
      <c r="A47" s="428" t="s">
        <v>230</v>
      </c>
      <c r="B47" s="421" t="s">
        <v>267</v>
      </c>
      <c r="C47" s="429" t="str">
        <f>VLOOKUP(B47,正厂竞争者数据汇总!D:H,2,FALSE)</f>
        <v>原厂目录</v>
      </c>
      <c r="D47" s="421" t="str">
        <f>VLOOKUP(B47,正厂竞争者数据汇总!D:H,3,FALSE)</f>
        <v>AZ</v>
      </c>
      <c r="E47" s="430"/>
      <c r="F47" s="430">
        <f t="array" ref="F47">INDEX(正厂竞争者数据汇总!$H$2:$H$448,MATCH($A$37&amp;$B47,正厂竞争者数据汇总!$A$2:$A$448&amp;正厂竞争者数据汇总!$D$2:$D$448,0))</f>
        <v>69108.1666666667</v>
      </c>
      <c r="G47" s="430"/>
      <c r="H47" s="430"/>
      <c r="I47" s="450"/>
      <c r="J47" s="451">
        <f t="shared" si="6"/>
        <v>0.044775601939894</v>
      </c>
      <c r="K47" s="451">
        <v>0.0535149538976215</v>
      </c>
      <c r="L47" s="451">
        <v>0.0474451720853132</v>
      </c>
      <c r="M47" s="452"/>
      <c r="N47" s="451"/>
      <c r="O47" s="430"/>
      <c r="P47" s="542" t="str">
        <f t="array" ref="P47">INDEX(正厂竞争者数据汇总!I:I,MATCH($A$37&amp;B47,正厂竞争者数据汇总!A:A&amp;正厂竞争者数据汇总!D:D,0))</f>
        <v>2022年1月 新加入 CompetitorSites</v>
      </c>
      <c r="Q47" s="429"/>
      <c r="R47" s="421"/>
      <c r="S47" s="472">
        <v>2145</v>
      </c>
      <c r="T47" s="472">
        <v>352</v>
      </c>
      <c r="U47" s="466"/>
      <c r="V47" s="466"/>
      <c r="W47" s="466"/>
      <c r="X47" s="466"/>
      <c r="Y47" s="200" t="s">
        <v>267</v>
      </c>
      <c r="Z47" s="200">
        <v>2245</v>
      </c>
      <c r="AA47" s="200">
        <v>411</v>
      </c>
      <c r="AB47" s="410">
        <f t="shared" ref="AB46:AB69" si="7">IF(B47=Y47,1,0)</f>
        <v>1</v>
      </c>
      <c r="AC47" s="409">
        <f t="shared" ref="AC46:AC68" si="8">IF(Y47="Competitors","Forum Link",Z47)</f>
        <v>2245</v>
      </c>
      <c r="AD47" s="409">
        <f t="shared" ref="AD46:AD68" si="9">IF(Y47="Competitors","Domains",AA47)</f>
        <v>411</v>
      </c>
    </row>
    <row r="48" s="410" customFormat="1" spans="1:30">
      <c r="A48" s="428"/>
      <c r="B48" s="431"/>
      <c r="C48" s="429"/>
      <c r="D48" s="421"/>
      <c r="E48" s="430"/>
      <c r="F48" s="430"/>
      <c r="G48" s="430"/>
      <c r="H48" s="430"/>
      <c r="I48" s="453"/>
      <c r="J48" s="451"/>
      <c r="K48" s="451"/>
      <c r="L48" s="451"/>
      <c r="M48" s="451"/>
      <c r="N48" s="455"/>
      <c r="O48" s="436"/>
      <c r="P48" s="542"/>
      <c r="Q48" s="434"/>
      <c r="R48" s="435"/>
      <c r="S48" s="473" t="s">
        <v>180</v>
      </c>
      <c r="T48" s="473" t="s">
        <v>180</v>
      </c>
      <c r="U48" s="477"/>
      <c r="V48" s="466"/>
      <c r="W48" s="435"/>
      <c r="X48" s="435"/>
      <c r="Y48" s="200" t="s">
        <v>240</v>
      </c>
      <c r="Z48" s="200" t="s">
        <v>180</v>
      </c>
      <c r="AA48" s="200" t="s">
        <v>180</v>
      </c>
      <c r="AB48" s="410">
        <f t="shared" si="7"/>
        <v>0</v>
      </c>
      <c r="AC48" s="409" t="str">
        <f t="shared" si="8"/>
        <v/>
      </c>
      <c r="AD48" s="409" t="str">
        <f t="shared" si="9"/>
        <v/>
      </c>
    </row>
    <row r="49" s="408" customFormat="1" spans="1:30">
      <c r="A49" s="428"/>
      <c r="B49" s="421"/>
      <c r="C49" s="439"/>
      <c r="D49" s="421"/>
      <c r="E49" s="430"/>
      <c r="F49" s="430">
        <f>SUM(F39:F47)</f>
        <v>1543433.55918333</v>
      </c>
      <c r="G49" s="430">
        <v>1468579.74166667</v>
      </c>
      <c r="H49" s="430">
        <v>1519526.8275</v>
      </c>
      <c r="I49" s="453">
        <f>(F49/G49)-1</f>
        <v>0.0509702097835782</v>
      </c>
      <c r="J49" s="430"/>
      <c r="K49" s="430"/>
      <c r="L49" s="430"/>
      <c r="M49" s="451"/>
      <c r="N49" s="451"/>
      <c r="O49" s="430"/>
      <c r="P49" s="542"/>
      <c r="Q49" s="429"/>
      <c r="R49" s="421"/>
      <c r="S49" s="473" t="s">
        <v>180</v>
      </c>
      <c r="T49" s="473" t="s">
        <v>180</v>
      </c>
      <c r="U49" s="466"/>
      <c r="V49" s="466"/>
      <c r="W49" s="421"/>
      <c r="X49" s="421"/>
      <c r="Y49" s="200" t="s">
        <v>240</v>
      </c>
      <c r="Z49" s="200" t="s">
        <v>180</v>
      </c>
      <c r="AA49" s="200" t="s">
        <v>180</v>
      </c>
      <c r="AB49" s="410">
        <f t="shared" si="7"/>
        <v>0</v>
      </c>
      <c r="AC49" s="409" t="str">
        <f t="shared" si="8"/>
        <v/>
      </c>
      <c r="AD49" s="409" t="str">
        <f t="shared" si="9"/>
        <v/>
      </c>
    </row>
    <row r="50" s="408" customFormat="1" spans="1:30">
      <c r="A50" s="428"/>
      <c r="B50" s="421"/>
      <c r="C50" s="439"/>
      <c r="D50" s="421"/>
      <c r="E50" s="430"/>
      <c r="F50" s="430"/>
      <c r="G50" s="430"/>
      <c r="H50" s="430"/>
      <c r="I50" s="453"/>
      <c r="J50" s="430"/>
      <c r="K50" s="430"/>
      <c r="L50" s="430"/>
      <c r="M50" s="451"/>
      <c r="N50" s="451"/>
      <c r="O50" s="430"/>
      <c r="P50" s="542"/>
      <c r="Q50" s="429"/>
      <c r="R50" s="421"/>
      <c r="S50" s="473" t="s">
        <v>180</v>
      </c>
      <c r="T50" s="473" t="s">
        <v>180</v>
      </c>
      <c r="U50" s="466"/>
      <c r="V50" s="466"/>
      <c r="W50" s="421"/>
      <c r="X50" s="421"/>
      <c r="Y50" s="200" t="s">
        <v>240</v>
      </c>
      <c r="Z50" s="200" t="s">
        <v>180</v>
      </c>
      <c r="AA50" s="200" t="s">
        <v>180</v>
      </c>
      <c r="AB50" s="410">
        <f t="shared" si="7"/>
        <v>0</v>
      </c>
      <c r="AC50" s="409" t="str">
        <f t="shared" si="8"/>
        <v/>
      </c>
      <c r="AD50" s="409" t="str">
        <f t="shared" si="9"/>
        <v/>
      </c>
    </row>
    <row r="51" s="408" customFormat="1" ht="17.4" spans="1:30">
      <c r="A51" s="418" t="s">
        <v>152</v>
      </c>
      <c r="B51" s="419"/>
      <c r="C51" s="420"/>
      <c r="D51" s="421"/>
      <c r="E51" s="422" t="s">
        <v>202</v>
      </c>
      <c r="F51" s="422"/>
      <c r="G51" s="422"/>
      <c r="H51" s="422"/>
      <c r="I51" s="422"/>
      <c r="J51" s="422"/>
      <c r="K51" s="422"/>
      <c r="L51" s="422"/>
      <c r="M51" s="443"/>
      <c r="N51" s="444"/>
      <c r="O51" s="422"/>
      <c r="P51" s="542"/>
      <c r="Q51" s="465"/>
      <c r="R51" s="424"/>
      <c r="S51" s="473" t="s">
        <v>180</v>
      </c>
      <c r="T51" s="473" t="s">
        <v>180</v>
      </c>
      <c r="U51" s="467"/>
      <c r="V51" s="467"/>
      <c r="W51" s="467"/>
      <c r="X51" s="467"/>
      <c r="Y51" s="200" t="s">
        <v>240</v>
      </c>
      <c r="Z51" s="200" t="s">
        <v>180</v>
      </c>
      <c r="AA51" s="200" t="s">
        <v>180</v>
      </c>
      <c r="AB51" s="410">
        <f t="shared" si="7"/>
        <v>0</v>
      </c>
      <c r="AC51" s="409" t="str">
        <f t="shared" si="8"/>
        <v/>
      </c>
      <c r="AD51" s="409" t="str">
        <f t="shared" si="9"/>
        <v/>
      </c>
    </row>
    <row r="52" s="409" customFormat="1" ht="48.6" spans="1:30">
      <c r="A52" s="423" t="s">
        <v>206</v>
      </c>
      <c r="B52" s="424" t="s">
        <v>207</v>
      </c>
      <c r="C52" s="425" t="s">
        <v>208</v>
      </c>
      <c r="D52" s="424" t="s">
        <v>209</v>
      </c>
      <c r="E52" s="426" t="s">
        <v>210</v>
      </c>
      <c r="F52" s="427" t="s">
        <v>211</v>
      </c>
      <c r="G52" s="427" t="s">
        <v>212</v>
      </c>
      <c r="H52" s="427" t="s">
        <v>213</v>
      </c>
      <c r="I52" s="427" t="s">
        <v>214</v>
      </c>
      <c r="J52" s="446" t="s">
        <v>215</v>
      </c>
      <c r="K52" s="446" t="s">
        <v>216</v>
      </c>
      <c r="L52" s="446" t="s">
        <v>217</v>
      </c>
      <c r="M52" s="447" t="s">
        <v>218</v>
      </c>
      <c r="N52" s="448" t="s">
        <v>219</v>
      </c>
      <c r="O52" s="449" t="s">
        <v>220</v>
      </c>
      <c r="P52" s="543" t="s">
        <v>221</v>
      </c>
      <c r="Q52" s="469" t="s">
        <v>222</v>
      </c>
      <c r="R52" s="426" t="s">
        <v>223</v>
      </c>
      <c r="S52" s="470" t="s">
        <v>224</v>
      </c>
      <c r="T52" s="470" t="s">
        <v>205</v>
      </c>
      <c r="U52" s="467" t="s">
        <v>225</v>
      </c>
      <c r="V52" s="470" t="s">
        <v>226</v>
      </c>
      <c r="W52" s="467"/>
      <c r="X52" s="467"/>
      <c r="Y52" s="200" t="s">
        <v>207</v>
      </c>
      <c r="Z52" s="200" t="s">
        <v>180</v>
      </c>
      <c r="AA52" s="200" t="s">
        <v>180</v>
      </c>
      <c r="AB52" s="410">
        <f t="shared" si="7"/>
        <v>1</v>
      </c>
      <c r="AC52" s="409" t="str">
        <f t="shared" si="8"/>
        <v>Forum Link</v>
      </c>
      <c r="AD52" s="409" t="str">
        <f t="shared" si="9"/>
        <v>Domains</v>
      </c>
    </row>
    <row r="53" s="410" customFormat="1" ht="17.4" spans="1:30">
      <c r="A53" s="432" t="s">
        <v>227</v>
      </c>
      <c r="B53" s="432" t="s">
        <v>153</v>
      </c>
      <c r="C53" s="434" t="str">
        <f>VLOOKUP(B53,正厂竞争者数据汇总!D:H,2,FALSE)</f>
        <v>原厂目录</v>
      </c>
      <c r="D53" s="435" t="str">
        <f>VLOOKUP(B53,正厂竞争者数据汇总!D:H,3,FALSE)</f>
        <v>CA</v>
      </c>
      <c r="E53" s="436">
        <f>VLOOKUP(B53,正厂竞争者数据汇总!D:H,4,FALSE)</f>
        <v>0</v>
      </c>
      <c r="F53" s="436">
        <f t="array" ref="F53">INDEX(正厂竞争者数据汇总!$H$2:$H$448,MATCH($A$51&amp;$B53,正厂竞争者数据汇总!$A$2:$A$448&amp;正厂竞争者数据汇总!$D$2:$D$448,0))</f>
        <v>448158.68</v>
      </c>
      <c r="G53" s="436">
        <v>436555.583333333</v>
      </c>
      <c r="H53" s="436">
        <v>490593.833333333</v>
      </c>
      <c r="I53" s="454">
        <f>(F53/G53)-1</f>
        <v>0.0265787384462506</v>
      </c>
      <c r="J53" s="457">
        <f t="shared" ref="J53:J58" si="10">F53/F$60</f>
        <v>0.304237838740664</v>
      </c>
      <c r="K53" s="457">
        <v>0.313864131153241</v>
      </c>
      <c r="L53" s="457">
        <v>0.352859569343913</v>
      </c>
      <c r="M53" s="456">
        <f>J53-K53</f>
        <v>-0.00962629241257712</v>
      </c>
      <c r="N53" s="457" t="str">
        <f>IFERROR(O53*0.5/#REF!,"")</f>
        <v/>
      </c>
      <c r="O53" s="436" t="s">
        <v>180</v>
      </c>
      <c r="P53" s="542">
        <f t="array" ref="P53">INDEX(正厂竞争者数据汇总!I:I,MATCH($A$51&amp;B53,正厂竞争者数据汇总!A:A&amp;正厂竞争者数据汇总!D:D,0))</f>
        <v>0</v>
      </c>
      <c r="Q53" s="434" t="s">
        <v>268</v>
      </c>
      <c r="R53" s="435" t="s">
        <v>229</v>
      </c>
      <c r="S53" s="476">
        <v>30295</v>
      </c>
      <c r="T53" s="476">
        <v>4820</v>
      </c>
      <c r="U53" s="477"/>
      <c r="V53" s="477"/>
      <c r="W53" s="477"/>
      <c r="X53" s="477"/>
      <c r="Y53" s="200" t="s">
        <v>153</v>
      </c>
      <c r="Z53" s="200">
        <v>26019</v>
      </c>
      <c r="AA53" s="200">
        <v>4085</v>
      </c>
      <c r="AB53" s="410">
        <f t="shared" si="7"/>
        <v>1</v>
      </c>
      <c r="AC53" s="409">
        <f t="shared" si="8"/>
        <v>26019</v>
      </c>
      <c r="AD53" s="409">
        <f t="shared" si="9"/>
        <v>4085</v>
      </c>
    </row>
    <row r="54" s="408" customFormat="1" ht="46.8" spans="1:30">
      <c r="A54" s="428" t="s">
        <v>230</v>
      </c>
      <c r="B54" s="421" t="s">
        <v>269</v>
      </c>
      <c r="C54" s="429" t="str">
        <f>VLOOKUP(B54,正厂竞争者数据汇总!D:H,2,FALSE)</f>
        <v>Motor目录</v>
      </c>
      <c r="D54" s="421" t="str">
        <f>VLOOKUP(B54,正厂竞争者数据汇总!D:H,3,FALSE)</f>
        <v>-</v>
      </c>
      <c r="E54" s="430"/>
      <c r="F54" s="430">
        <f t="array" ref="F54">INDEX(正厂竞争者数据汇总!$H$2:$H$448,MATCH($A$51&amp;$B54,正厂竞争者数据汇总!$A$2:$A$448&amp;正厂竞争者数据汇总!$D$2:$D$448,0))</f>
        <v>306029.11</v>
      </c>
      <c r="G54" s="430"/>
      <c r="H54" s="430"/>
      <c r="I54" s="450"/>
      <c r="J54" s="451">
        <f t="shared" si="10"/>
        <v>0.207751493328499</v>
      </c>
      <c r="K54" s="451">
        <v>0.195038457468676</v>
      </c>
      <c r="L54" s="451">
        <v>0.194359157232127</v>
      </c>
      <c r="M54" s="452"/>
      <c r="N54" s="451"/>
      <c r="O54" s="430"/>
      <c r="P54" s="542" t="str">
        <f t="array" ref="P54">INDEX(正厂竞争者数据汇总!I:I,MATCH($A$51&amp;B54,正厂竞争者数据汇总!A:A&amp;正厂竞争者数据汇总!D:D,0))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54" s="429"/>
      <c r="R54" s="421"/>
      <c r="S54" s="472">
        <v>2368</v>
      </c>
      <c r="T54" s="472">
        <v>246</v>
      </c>
      <c r="U54" s="466"/>
      <c r="V54" s="466"/>
      <c r="W54" s="466"/>
      <c r="X54" s="466"/>
      <c r="Y54" s="200" t="s">
        <v>269</v>
      </c>
      <c r="Z54" s="200">
        <v>1561</v>
      </c>
      <c r="AA54" s="200">
        <v>188</v>
      </c>
      <c r="AB54" s="410">
        <f t="shared" si="7"/>
        <v>1</v>
      </c>
      <c r="AC54" s="409">
        <f t="shared" si="8"/>
        <v>1561</v>
      </c>
      <c r="AD54" s="409">
        <f t="shared" si="9"/>
        <v>188</v>
      </c>
    </row>
    <row r="55" s="408" customFormat="1" ht="17.4" spans="1:30">
      <c r="A55" s="428" t="s">
        <v>243</v>
      </c>
      <c r="B55" s="421" t="s">
        <v>270</v>
      </c>
      <c r="C55" s="429" t="s">
        <v>247</v>
      </c>
      <c r="D55" s="421" t="str">
        <f>VLOOKUP(B55,正厂竞争者数据汇总!D:H,3,FALSE)</f>
        <v>FL</v>
      </c>
      <c r="E55" s="430"/>
      <c r="F55" s="430">
        <f t="array" ref="F55">INDEX(正厂竞争者数据汇总!$H$2:$H$448,MATCH($A$51&amp;$B55,正厂竞争者数据汇总!$A$2:$A$448&amp;正厂竞争者数据汇总!$D$2:$D$448,0))</f>
        <v>252953.33</v>
      </c>
      <c r="G55" s="430"/>
      <c r="H55" s="430"/>
      <c r="I55" s="450"/>
      <c r="J55" s="451">
        <f t="shared" si="10"/>
        <v>0.171720370163206</v>
      </c>
      <c r="K55" s="451">
        <v>0.183778426954075</v>
      </c>
      <c r="L55" s="451">
        <v>0.200550479928989</v>
      </c>
      <c r="M55" s="452"/>
      <c r="N55" s="451"/>
      <c r="O55" s="430"/>
      <c r="P55" s="542">
        <f t="array" ref="P55">INDEX(正厂竞争者数据汇总!I:I,MATCH($A$51&amp;B55,正厂竞争者数据汇总!A:A&amp;正厂竞争者数据汇总!D:D,0))</f>
        <v>0</v>
      </c>
      <c r="Q55" s="429"/>
      <c r="R55" s="421"/>
      <c r="S55" s="472">
        <v>20274</v>
      </c>
      <c r="T55" s="472">
        <v>871</v>
      </c>
      <c r="U55" s="466"/>
      <c r="V55" s="466"/>
      <c r="W55" s="466"/>
      <c r="X55" s="466"/>
      <c r="Y55" s="200" t="s">
        <v>270</v>
      </c>
      <c r="Z55" s="200">
        <v>65089</v>
      </c>
      <c r="AA55" s="200">
        <v>711</v>
      </c>
      <c r="AB55" s="410">
        <f t="shared" si="7"/>
        <v>1</v>
      </c>
      <c r="AC55" s="409">
        <f t="shared" si="8"/>
        <v>65089</v>
      </c>
      <c r="AD55" s="409">
        <f t="shared" si="9"/>
        <v>711</v>
      </c>
    </row>
    <row r="56" s="408" customFormat="1" ht="46.8" spans="1:30">
      <c r="A56" s="428" t="s">
        <v>230</v>
      </c>
      <c r="B56" s="421" t="s">
        <v>255</v>
      </c>
      <c r="C56" s="429" t="s">
        <v>247</v>
      </c>
      <c r="D56" s="421" t="str">
        <f>VLOOKUP(B56,正厂竞争者数据汇总!D:H,3,FALSE)</f>
        <v>RI</v>
      </c>
      <c r="E56" s="430"/>
      <c r="F56" s="430">
        <f t="array" ref="F56">INDEX(正厂竞争者数据汇总!$H$2:$H$448,MATCH($A$51&amp;$B56,正厂竞争者数据汇总!$A$2:$A$448&amp;正厂竞争者数据汇总!$D$2:$D$448,0))</f>
        <v>203422.1712</v>
      </c>
      <c r="G56" s="430"/>
      <c r="H56" s="430"/>
      <c r="I56" s="450"/>
      <c r="J56" s="451">
        <f t="shared" si="10"/>
        <v>0.138095555167695</v>
      </c>
      <c r="K56" s="451">
        <v>0.142551863567416</v>
      </c>
      <c r="L56" s="451">
        <v>0.134406083521812</v>
      </c>
      <c r="M56" s="452"/>
      <c r="N56" s="451"/>
      <c r="O56" s="430"/>
      <c r="P56" s="542" t="str">
        <f t="array" ref="P56">INDEX(正厂竞争者数据汇总!I:I,MATCH($A$51&amp;B56,正厂竞争者数据汇总!A:A&amp;正厂竞争者数据汇总!D:D,0))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56" s="429"/>
      <c r="R56" s="421"/>
      <c r="S56" s="472">
        <v>37922</v>
      </c>
      <c r="T56" s="472">
        <v>1648</v>
      </c>
      <c r="U56" s="466"/>
      <c r="V56" s="466"/>
      <c r="W56" s="466"/>
      <c r="X56" s="466"/>
      <c r="Y56" s="200" t="s">
        <v>255</v>
      </c>
      <c r="Z56" s="200">
        <v>38224</v>
      </c>
      <c r="AA56" s="200">
        <v>1673</v>
      </c>
      <c r="AB56" s="410">
        <f t="shared" si="7"/>
        <v>1</v>
      </c>
      <c r="AC56" s="409">
        <f t="shared" si="8"/>
        <v>38224</v>
      </c>
      <c r="AD56" s="409">
        <f t="shared" si="9"/>
        <v>1673</v>
      </c>
    </row>
    <row r="57" s="408" customFormat="1" spans="1:30">
      <c r="A57" s="428" t="s">
        <v>230</v>
      </c>
      <c r="B57" s="421" t="s">
        <v>271</v>
      </c>
      <c r="C57" s="429" t="s">
        <v>233</v>
      </c>
      <c r="D57" s="421" t="s">
        <v>272</v>
      </c>
      <c r="E57" s="430"/>
      <c r="F57" s="430">
        <f t="array" ref="F57">INDEX(正厂竞争者数据汇总!$H$2:$H$448,MATCH($A$51&amp;$B57,正厂竞争者数据汇总!$A$2:$A$448&amp;正厂竞争者数据汇总!$D$2:$D$448,0))</f>
        <v>131559.1784</v>
      </c>
      <c r="G57" s="430"/>
      <c r="H57" s="430"/>
      <c r="I57" s="450"/>
      <c r="J57" s="451">
        <f t="shared" si="10"/>
        <v>0.0893105096233179</v>
      </c>
      <c r="K57" s="451">
        <v>0.0800856065584257</v>
      </c>
      <c r="L57" s="451"/>
      <c r="M57" s="452"/>
      <c r="N57" s="451"/>
      <c r="O57" s="430"/>
      <c r="P57" s="542" t="str">
        <f t="array" ref="P57">INDEX(正厂竞争者数据汇总!I:I,MATCH($A$51&amp;B57,正厂竞争者数据汇总!A:A&amp;正厂竞争者数据汇总!D:D,0))</f>
        <v>2023年2月新增正厂</v>
      </c>
      <c r="Q57" s="429"/>
      <c r="R57" s="421"/>
      <c r="S57" s="472">
        <v>1363</v>
      </c>
      <c r="T57" s="472">
        <v>196</v>
      </c>
      <c r="U57" s="466"/>
      <c r="V57" s="466"/>
      <c r="W57" s="466"/>
      <c r="X57" s="466"/>
      <c r="Y57" s="200"/>
      <c r="Z57" s="200"/>
      <c r="AA57" s="200"/>
      <c r="AB57" s="410"/>
      <c r="AC57" s="409"/>
      <c r="AD57" s="409"/>
    </row>
    <row r="58" s="408" customFormat="1" ht="17.4" spans="1:30">
      <c r="A58" s="428" t="s">
        <v>230</v>
      </c>
      <c r="B58" s="421" t="s">
        <v>273</v>
      </c>
      <c r="C58" s="429" t="s">
        <v>247</v>
      </c>
      <c r="D58" s="421" t="str">
        <f>VLOOKUP(B58,正厂竞争者数据汇总!D:H,3,FALSE)</f>
        <v>GA</v>
      </c>
      <c r="E58" s="430"/>
      <c r="F58" s="430">
        <f t="array" ref="F58">INDEX(正厂竞争者数据汇总!$H$2:$H$448,MATCH($A$51&amp;$B58,正厂竞争者数据汇总!$A$2:$A$448&amp;正厂竞争者数据汇总!$D$2:$D$448,0))</f>
        <v>130931.25</v>
      </c>
      <c r="G58" s="430"/>
      <c r="H58" s="430"/>
      <c r="I58" s="450"/>
      <c r="J58" s="451">
        <f t="shared" si="10"/>
        <v>0.0888842329766179</v>
      </c>
      <c r="K58" s="451">
        <v>0.0846815142981661</v>
      </c>
      <c r="L58" s="451">
        <v>0.0732735745919437</v>
      </c>
      <c r="M58" s="452"/>
      <c r="N58" s="451"/>
      <c r="O58" s="430"/>
      <c r="P58" s="542">
        <f t="array" ref="P58">INDEX(正厂竞争者数据汇总!I:I,MATCH($A$51&amp;B58,正厂竞争者数据汇总!A:A&amp;正厂竞争者数据汇总!D:D,0))</f>
        <v>0</v>
      </c>
      <c r="Q58" s="429"/>
      <c r="R58" s="421"/>
      <c r="S58" s="472">
        <v>6621</v>
      </c>
      <c r="T58" s="472">
        <v>383</v>
      </c>
      <c r="U58" s="466"/>
      <c r="V58" s="466"/>
      <c r="W58" s="466"/>
      <c r="X58" s="466"/>
      <c r="Y58" s="200" t="s">
        <v>273</v>
      </c>
      <c r="Z58" s="200">
        <v>6625</v>
      </c>
      <c r="AA58" s="200">
        <v>453</v>
      </c>
      <c r="AB58" s="410">
        <f>IF(B58=Y58,1,0)</f>
        <v>1</v>
      </c>
      <c r="AC58" s="409">
        <f>IF(Y58="Competitors","Forum Link",Z58)</f>
        <v>6625</v>
      </c>
      <c r="AD58" s="409">
        <f>IF(Y58="Competitors","Domains",AA58)</f>
        <v>453</v>
      </c>
    </row>
    <row r="59" s="408" customFormat="1" spans="1:30">
      <c r="A59" s="428"/>
      <c r="B59" s="421"/>
      <c r="C59" s="429"/>
      <c r="D59" s="421"/>
      <c r="E59" s="430"/>
      <c r="F59" s="430"/>
      <c r="G59" s="430"/>
      <c r="H59" s="430"/>
      <c r="I59" s="450"/>
      <c r="J59" s="451"/>
      <c r="K59" s="451"/>
      <c r="L59" s="451"/>
      <c r="M59" s="452"/>
      <c r="N59" s="451"/>
      <c r="O59" s="430"/>
      <c r="P59" s="542"/>
      <c r="Q59" s="429"/>
      <c r="R59" s="421"/>
      <c r="S59" s="472" t="s">
        <v>180</v>
      </c>
      <c r="T59" s="472" t="s">
        <v>180</v>
      </c>
      <c r="U59" s="466"/>
      <c r="V59" s="466"/>
      <c r="W59" s="421"/>
      <c r="X59" s="421"/>
      <c r="Y59" s="200" t="s">
        <v>240</v>
      </c>
      <c r="Z59" s="200" t="s">
        <v>180</v>
      </c>
      <c r="AA59" s="200" t="s">
        <v>180</v>
      </c>
      <c r="AB59" s="410">
        <f t="shared" ref="AB59:AB69" si="11">IF(B59=Y59,1,0)</f>
        <v>0</v>
      </c>
      <c r="AC59" s="409" t="str">
        <f t="shared" ref="AC59:AC68" si="12">IF(Y59="Competitors","Forum Link",Z59)</f>
        <v/>
      </c>
      <c r="AD59" s="409" t="str">
        <f t="shared" ref="AD59:AD68" si="13">IF(Y59="Competitors","Domains",AA59)</f>
        <v/>
      </c>
    </row>
    <row r="60" s="408" customFormat="1" spans="1:30">
      <c r="A60" s="428"/>
      <c r="B60" s="421"/>
      <c r="C60" s="439"/>
      <c r="D60" s="421"/>
      <c r="E60" s="430"/>
      <c r="F60" s="430">
        <f>SUM(F53:F58)</f>
        <v>1473053.7196</v>
      </c>
      <c r="G60" s="430">
        <v>1270419.34583333</v>
      </c>
      <c r="H60" s="430">
        <v>1259631.94083333</v>
      </c>
      <c r="I60" s="453">
        <f>(F60/G60)-1</f>
        <v>0.159501958492101</v>
      </c>
      <c r="J60" s="430"/>
      <c r="K60" s="451"/>
      <c r="L60" s="430"/>
      <c r="M60" s="451"/>
      <c r="N60" s="459">
        <f>SUM(N53:N57)</f>
        <v>0</v>
      </c>
      <c r="O60" s="430" t="s">
        <v>180</v>
      </c>
      <c r="P60" s="542"/>
      <c r="Q60" s="429"/>
      <c r="R60" s="421"/>
      <c r="S60" s="473" t="s">
        <v>180</v>
      </c>
      <c r="T60" s="473" t="s">
        <v>180</v>
      </c>
      <c r="U60" s="466"/>
      <c r="V60" s="466"/>
      <c r="W60" s="421"/>
      <c r="X60" s="421"/>
      <c r="Y60" s="200" t="s">
        <v>240</v>
      </c>
      <c r="Z60" s="200" t="s">
        <v>180</v>
      </c>
      <c r="AA60" s="200" t="s">
        <v>180</v>
      </c>
      <c r="AB60" s="410">
        <f t="shared" si="11"/>
        <v>0</v>
      </c>
      <c r="AC60" s="409" t="str">
        <f t="shared" si="12"/>
        <v/>
      </c>
      <c r="AD60" s="409" t="str">
        <f t="shared" si="13"/>
        <v/>
      </c>
    </row>
    <row r="61" s="408" customFormat="1" spans="1:30">
      <c r="A61" s="428"/>
      <c r="B61" s="421"/>
      <c r="C61" s="439"/>
      <c r="D61" s="421"/>
      <c r="E61" s="430"/>
      <c r="F61" s="430"/>
      <c r="G61" s="430"/>
      <c r="H61" s="430"/>
      <c r="I61" s="453"/>
      <c r="J61" s="430"/>
      <c r="K61" s="430"/>
      <c r="L61" s="430"/>
      <c r="M61" s="451"/>
      <c r="N61" s="459"/>
      <c r="O61" s="430"/>
      <c r="P61" s="542"/>
      <c r="Q61" s="429"/>
      <c r="R61" s="421"/>
      <c r="S61" s="473" t="s">
        <v>180</v>
      </c>
      <c r="T61" s="473" t="s">
        <v>180</v>
      </c>
      <c r="U61" s="466"/>
      <c r="V61" s="466"/>
      <c r="W61" s="421"/>
      <c r="X61" s="421"/>
      <c r="Y61" s="200" t="s">
        <v>240</v>
      </c>
      <c r="Z61" s="200" t="s">
        <v>180</v>
      </c>
      <c r="AA61" s="200" t="s">
        <v>180</v>
      </c>
      <c r="AB61" s="410">
        <f t="shared" si="11"/>
        <v>0</v>
      </c>
      <c r="AC61" s="409" t="str">
        <f t="shared" si="12"/>
        <v/>
      </c>
      <c r="AD61" s="409" t="str">
        <f t="shared" si="13"/>
        <v/>
      </c>
    </row>
    <row r="62" s="408" customFormat="1" ht="17.4" spans="1:30">
      <c r="A62" s="418" t="s">
        <v>274</v>
      </c>
      <c r="B62" s="419"/>
      <c r="C62" s="420"/>
      <c r="D62" s="421"/>
      <c r="E62" s="422" t="s">
        <v>202</v>
      </c>
      <c r="F62" s="422"/>
      <c r="G62" s="422"/>
      <c r="H62" s="422"/>
      <c r="I62" s="422"/>
      <c r="J62" s="422"/>
      <c r="K62" s="422"/>
      <c r="L62" s="422"/>
      <c r="M62" s="443"/>
      <c r="N62" s="444"/>
      <c r="O62" s="422"/>
      <c r="P62" s="542"/>
      <c r="Q62" s="465"/>
      <c r="R62" s="424"/>
      <c r="S62" s="473" t="s">
        <v>180</v>
      </c>
      <c r="T62" s="473" t="s">
        <v>180</v>
      </c>
      <c r="U62" s="467"/>
      <c r="V62" s="467"/>
      <c r="W62" s="467"/>
      <c r="X62" s="467"/>
      <c r="Y62" s="200" t="s">
        <v>240</v>
      </c>
      <c r="Z62" s="200" t="s">
        <v>180</v>
      </c>
      <c r="AA62" s="200" t="s">
        <v>180</v>
      </c>
      <c r="AB62" s="410">
        <f t="shared" si="11"/>
        <v>0</v>
      </c>
      <c r="AC62" s="409" t="str">
        <f t="shared" si="12"/>
        <v/>
      </c>
      <c r="AD62" s="409" t="str">
        <f t="shared" si="13"/>
        <v/>
      </c>
    </row>
    <row r="63" s="409" customFormat="1" ht="48.6" spans="1:30">
      <c r="A63" s="423" t="s">
        <v>206</v>
      </c>
      <c r="B63" s="424" t="s">
        <v>207</v>
      </c>
      <c r="C63" s="425" t="s">
        <v>208</v>
      </c>
      <c r="D63" s="424" t="s">
        <v>209</v>
      </c>
      <c r="E63" s="426" t="s">
        <v>210</v>
      </c>
      <c r="F63" s="427" t="s">
        <v>211</v>
      </c>
      <c r="G63" s="427" t="s">
        <v>212</v>
      </c>
      <c r="H63" s="427" t="s">
        <v>213</v>
      </c>
      <c r="I63" s="427" t="s">
        <v>214</v>
      </c>
      <c r="J63" s="446" t="s">
        <v>215</v>
      </c>
      <c r="K63" s="446" t="s">
        <v>216</v>
      </c>
      <c r="L63" s="446" t="s">
        <v>217</v>
      </c>
      <c r="M63" s="447" t="s">
        <v>218</v>
      </c>
      <c r="N63" s="448" t="s">
        <v>219</v>
      </c>
      <c r="O63" s="449" t="s">
        <v>220</v>
      </c>
      <c r="P63" s="543" t="s">
        <v>221</v>
      </c>
      <c r="Q63" s="469" t="s">
        <v>222</v>
      </c>
      <c r="R63" s="426" t="s">
        <v>223</v>
      </c>
      <c r="S63" s="470" t="s">
        <v>224</v>
      </c>
      <c r="T63" s="470" t="s">
        <v>205</v>
      </c>
      <c r="U63" s="467" t="s">
        <v>225</v>
      </c>
      <c r="V63" s="470" t="s">
        <v>226</v>
      </c>
      <c r="W63" s="467"/>
      <c r="X63" s="467"/>
      <c r="Y63" s="200" t="s">
        <v>207</v>
      </c>
      <c r="Z63" s="200" t="s">
        <v>180</v>
      </c>
      <c r="AA63" s="200" t="s">
        <v>180</v>
      </c>
      <c r="AB63" s="410">
        <f t="shared" si="11"/>
        <v>1</v>
      </c>
      <c r="AC63" s="409" t="str">
        <f t="shared" si="12"/>
        <v>Forum Link</v>
      </c>
      <c r="AD63" s="409" t="str">
        <f t="shared" si="13"/>
        <v>Domains</v>
      </c>
    </row>
    <row r="64" s="410" customFormat="1" ht="17.4" spans="1:30">
      <c r="A64" s="432" t="s">
        <v>227</v>
      </c>
      <c r="B64" s="432" t="s">
        <v>157</v>
      </c>
      <c r="C64" s="434" t="str">
        <f>VLOOKUP(B64,正厂竞争者数据汇总!D:H,2,FALSE)</f>
        <v>原厂目录</v>
      </c>
      <c r="D64" s="435" t="str">
        <f>VLOOKUP(B64,正厂竞争者数据汇总!D:H,3,FALSE)</f>
        <v>CA</v>
      </c>
      <c r="E64" s="436">
        <f>VLOOKUP(B64,正厂竞争者数据汇总!D:H,4,FALSE)</f>
        <v>0</v>
      </c>
      <c r="F64" s="436">
        <f t="array" ref="F64">INDEX(正厂竞争者数据汇总!$H$2:$H$448,MATCH($A$62&amp;$B64,正厂竞争者数据汇总!$A$2:$A$448&amp;正厂竞争者数据汇总!$D$2:$D$448,0))</f>
        <v>395757.916666667</v>
      </c>
      <c r="G64" s="436">
        <v>278909.416666667</v>
      </c>
      <c r="H64" s="436">
        <v>329867.416666667</v>
      </c>
      <c r="I64" s="454">
        <f>(F64/G64)-1</f>
        <v>0.418947848360564</v>
      </c>
      <c r="J64" s="457">
        <f>F64/F$70</f>
        <v>0.409976573169286</v>
      </c>
      <c r="K64" s="457">
        <v>0.401812205375332</v>
      </c>
      <c r="L64" s="457">
        <v>0.383039082593175</v>
      </c>
      <c r="M64" s="456">
        <f>J64-K64</f>
        <v>0.00816436779395446</v>
      </c>
      <c r="N64" s="457" t="str">
        <f>IFERROR(O64*0.5/$F$64,"")</f>
        <v/>
      </c>
      <c r="O64" s="436" t="s">
        <v>180</v>
      </c>
      <c r="P64" s="542">
        <f t="array" ref="P64">INDEX(正厂竞争者数据汇总!I:I,MATCH($A$62&amp;B64,正厂竞争者数据汇总!A:A&amp;正厂竞争者数据汇总!D:D,0))</f>
        <v>0</v>
      </c>
      <c r="Q64" s="434" t="s">
        <v>275</v>
      </c>
      <c r="R64" s="435" t="s">
        <v>229</v>
      </c>
      <c r="S64" s="476">
        <v>50863</v>
      </c>
      <c r="T64" s="476">
        <v>8268</v>
      </c>
      <c r="U64" s="477"/>
      <c r="V64" s="477"/>
      <c r="W64" s="435"/>
      <c r="X64" s="435"/>
      <c r="Y64" s="200" t="s">
        <v>157</v>
      </c>
      <c r="Z64" s="200">
        <v>39909</v>
      </c>
      <c r="AA64" s="200">
        <v>6992</v>
      </c>
      <c r="AB64" s="410">
        <f t="shared" si="11"/>
        <v>1</v>
      </c>
      <c r="AC64" s="409">
        <f t="shared" si="12"/>
        <v>39909</v>
      </c>
      <c r="AD64" s="409">
        <f t="shared" si="13"/>
        <v>6992</v>
      </c>
    </row>
    <row r="65" s="408" customFormat="1" ht="46.8" spans="1:30">
      <c r="A65" s="428" t="s">
        <v>230</v>
      </c>
      <c r="B65" s="421" t="s">
        <v>276</v>
      </c>
      <c r="C65" s="429" t="str">
        <f>VLOOKUP(B65,正厂竞争者数据汇总!D:H,2,FALSE)</f>
        <v>Motor目录</v>
      </c>
      <c r="D65" s="421" t="str">
        <f>VLOOKUP(B65,正厂竞争者数据汇总!D:H,3,FALSE)</f>
        <v>-</v>
      </c>
      <c r="E65" s="430"/>
      <c r="F65" s="430">
        <f t="array" ref="F65">INDEX(正厂竞争者数据汇总!$H$2:$H$448,MATCH($A$62&amp;$B65,正厂竞争者数据汇总!$A$2:$A$448&amp;正厂竞争者数据汇总!$D$2:$D$448,0))</f>
        <v>277332.828333333</v>
      </c>
      <c r="G65" s="430"/>
      <c r="H65" s="430"/>
      <c r="I65" s="450"/>
      <c r="J65" s="451">
        <f>F65/F$70</f>
        <v>0.287296748338231</v>
      </c>
      <c r="K65" s="451">
        <v>0.283916544761931</v>
      </c>
      <c r="L65" s="451">
        <v>0.299217011977069</v>
      </c>
      <c r="M65" s="452"/>
      <c r="N65" s="451"/>
      <c r="O65" s="430"/>
      <c r="P65" s="542" t="str">
        <f t="array" ref="P65">INDEX(正厂竞争者数据汇总!I:I,MATCH($A$62&amp;B65,正厂竞争者数据汇总!A:A&amp;正厂竞争者数据汇总!D:D,0))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65" s="429"/>
      <c r="R65" s="421"/>
      <c r="S65" s="472">
        <v>2425</v>
      </c>
      <c r="T65" s="472">
        <v>288</v>
      </c>
      <c r="U65" s="466"/>
      <c r="V65" s="466"/>
      <c r="W65" s="466"/>
      <c r="X65" s="466"/>
      <c r="Y65" s="200" t="s">
        <v>276</v>
      </c>
      <c r="Z65" s="200">
        <v>1945</v>
      </c>
      <c r="AA65" s="200">
        <v>226</v>
      </c>
      <c r="AB65" s="410">
        <f t="shared" si="11"/>
        <v>1</v>
      </c>
      <c r="AC65" s="409">
        <f t="shared" si="12"/>
        <v>1945</v>
      </c>
      <c r="AD65" s="409">
        <f t="shared" si="13"/>
        <v>226</v>
      </c>
    </row>
    <row r="66" s="408" customFormat="1" spans="1:30">
      <c r="A66" s="428" t="s">
        <v>243</v>
      </c>
      <c r="B66" s="421" t="s">
        <v>277</v>
      </c>
      <c r="C66" s="429" t="str">
        <f>VLOOKUP(B66,正厂竞争者数据汇总!D:H,2,FALSE)</f>
        <v>Motor目录</v>
      </c>
      <c r="D66" s="421" t="str">
        <f>VLOOKUP(B66,正厂竞争者数据汇总!D:H,3,FALSE)</f>
        <v>FL</v>
      </c>
      <c r="E66" s="430"/>
      <c r="F66" s="430">
        <f t="array" ref="F66">INDEX(正厂竞争者数据汇总!$H$2:$H$448,MATCH($A$62&amp;$B66,正厂竞争者数据汇总!$A$2:$A$448&amp;正厂竞争者数据汇总!$D$2:$D$448,0))</f>
        <v>126960.04</v>
      </c>
      <c r="G66" s="430"/>
      <c r="H66" s="430"/>
      <c r="I66" s="450"/>
      <c r="J66" s="451">
        <f>F66/F$70</f>
        <v>0.131521417352912</v>
      </c>
      <c r="K66" s="451">
        <v>0.118257099018004</v>
      </c>
      <c r="L66" s="451">
        <v>0.133485319630165</v>
      </c>
      <c r="M66" s="452"/>
      <c r="N66" s="451"/>
      <c r="O66" s="430"/>
      <c r="P66" s="542">
        <f t="array" ref="P66">INDEX(正厂竞争者数据汇总!I:I,MATCH($A$62&amp;B66,正厂竞争者数据汇总!A:A&amp;正厂竞争者数据汇总!D:D,0))</f>
        <v>0</v>
      </c>
      <c r="Q66" s="429"/>
      <c r="R66" s="421"/>
      <c r="S66" s="472">
        <v>9887</v>
      </c>
      <c r="T66" s="472">
        <v>839</v>
      </c>
      <c r="U66" s="466"/>
      <c r="V66" s="466"/>
      <c r="W66" s="466"/>
      <c r="X66" s="466"/>
      <c r="Y66" s="200" t="s">
        <v>277</v>
      </c>
      <c r="Z66" s="200">
        <v>55886</v>
      </c>
      <c r="AA66" s="200">
        <v>713</v>
      </c>
      <c r="AB66" s="410">
        <f t="shared" si="11"/>
        <v>1</v>
      </c>
      <c r="AC66" s="409">
        <f t="shared" si="12"/>
        <v>55886</v>
      </c>
      <c r="AD66" s="409">
        <f t="shared" si="13"/>
        <v>713</v>
      </c>
    </row>
    <row r="67" s="408" customFormat="1" spans="1:30">
      <c r="A67" s="428" t="s">
        <v>230</v>
      </c>
      <c r="B67" s="421" t="s">
        <v>278</v>
      </c>
      <c r="C67" s="429" t="str">
        <f>VLOOKUP(B67,正厂竞争者数据汇总!D:H,2,FALSE)</f>
        <v>Motor</v>
      </c>
      <c r="D67" s="421" t="str">
        <f>VLOOKUP(B67,正厂竞争者数据汇总!D:H,3,FALSE)</f>
        <v>NM</v>
      </c>
      <c r="E67" s="430"/>
      <c r="F67" s="430">
        <f t="array" ref="F67">INDEX(正厂竞争者数据汇总!$H$2:$H$448,MATCH($A$62&amp;$B67,正厂竞争者数据汇总!$A$2:$A$448&amp;正厂竞争者数据汇总!$D$2:$D$448,0))</f>
        <v>119984.583333333</v>
      </c>
      <c r="G67" s="430"/>
      <c r="H67" s="430"/>
      <c r="I67" s="450"/>
      <c r="J67" s="451">
        <f>F67/F$70</f>
        <v>0.12429534883967</v>
      </c>
      <c r="K67" s="451">
        <v>0.134102621144087</v>
      </c>
      <c r="L67" s="451">
        <v>0.125517180393928</v>
      </c>
      <c r="M67" s="452"/>
      <c r="N67" s="451"/>
      <c r="O67" s="430"/>
      <c r="P67" s="542" t="str">
        <f t="array" ref="P67">INDEX(正厂竞争者数据汇总!I:I,MATCH($A$62&amp;B67,正厂竞争者数据汇总!A:A&amp;正厂竞争者数据汇总!D:D,0))</f>
        <v>2020年11月新增竞争者</v>
      </c>
      <c r="Q67" s="429"/>
      <c r="R67" s="421"/>
      <c r="S67" s="472">
        <v>4445</v>
      </c>
      <c r="T67" s="472">
        <v>341</v>
      </c>
      <c r="U67" s="466"/>
      <c r="V67" s="466"/>
      <c r="W67" s="466"/>
      <c r="X67" s="466"/>
      <c r="Y67" s="200" t="s">
        <v>278</v>
      </c>
      <c r="Z67" s="200">
        <v>7789</v>
      </c>
      <c r="AA67" s="200">
        <v>414</v>
      </c>
      <c r="AB67" s="410">
        <f t="shared" si="11"/>
        <v>1</v>
      </c>
      <c r="AC67" s="409">
        <f t="shared" si="12"/>
        <v>7789</v>
      </c>
      <c r="AD67" s="409">
        <f t="shared" si="13"/>
        <v>414</v>
      </c>
    </row>
    <row r="68" s="408" customFormat="1" ht="31.2" spans="1:30">
      <c r="A68" s="428" t="s">
        <v>230</v>
      </c>
      <c r="B68" s="421" t="s">
        <v>279</v>
      </c>
      <c r="C68" s="429" t="str">
        <f>VLOOKUP(B68,正厂竞争者数据汇总!D:H,2,FALSE)</f>
        <v>Motor目录</v>
      </c>
      <c r="D68" s="421" t="str">
        <f>VLOOKUP(B68,正厂竞争者数据汇总!D:H,3,FALSE)</f>
        <v>-</v>
      </c>
      <c r="E68" s="430"/>
      <c r="F68" s="430">
        <f t="array" ref="F68">INDEX(正厂竞争者数据汇总!$H$2:$H$448,MATCH($A$62&amp;$B68,正厂竞争者数据汇总!$A$2:$A$448&amp;正厂竞争者数据汇总!$D$2:$D$448,0))</f>
        <v>45283</v>
      </c>
      <c r="G68" s="430"/>
      <c r="H68" s="430"/>
      <c r="I68" s="450"/>
      <c r="J68" s="451">
        <f>F68/F$70</f>
        <v>0.0469099122999008</v>
      </c>
      <c r="K68" s="451">
        <v>0.0619115297006471</v>
      </c>
      <c r="L68" s="451">
        <v>0.0587414054056635</v>
      </c>
      <c r="M68" s="452"/>
      <c r="N68" s="451"/>
      <c r="O68" s="430"/>
      <c r="P68" s="542" t="str">
        <f t="array" ref="P68">INDEX(正厂竞争者数据汇总!I:I,MATCH($A$62&amp;B68,正厂竞争者数据汇总!A:A&amp;正厂竞争者数据汇总!D:D,0))</f>
        <v>同时经营多品牌零件，semrush流量折算比例：Ford:0%, GM:36%, Honda:25%, Hyundai:0%, Infiniti:1%, Kia:1%, Lexus:4%, Mopar:0%, Nissan:25%, Subaru:5%, Toyota:2%</v>
      </c>
      <c r="Q68" s="429"/>
      <c r="R68" s="421"/>
      <c r="S68" s="472">
        <v>542</v>
      </c>
      <c r="T68" s="472">
        <v>67</v>
      </c>
      <c r="U68" s="466"/>
      <c r="V68" s="466"/>
      <c r="W68" s="466"/>
      <c r="X68" s="466"/>
      <c r="Y68" s="200" t="s">
        <v>279</v>
      </c>
      <c r="Z68" s="200">
        <v>498</v>
      </c>
      <c r="AA68" s="200">
        <v>70</v>
      </c>
      <c r="AB68" s="410">
        <f t="shared" si="11"/>
        <v>1</v>
      </c>
      <c r="AC68" s="409">
        <f t="shared" si="12"/>
        <v>498</v>
      </c>
      <c r="AD68" s="409">
        <f t="shared" si="13"/>
        <v>70</v>
      </c>
    </row>
    <row r="69" s="408" customFormat="1" spans="1:30">
      <c r="A69" s="428"/>
      <c r="B69" s="431"/>
      <c r="C69" s="429"/>
      <c r="D69" s="421"/>
      <c r="E69" s="430"/>
      <c r="F69" s="430"/>
      <c r="G69" s="430"/>
      <c r="H69" s="430"/>
      <c r="I69" s="453"/>
      <c r="J69" s="451"/>
      <c r="K69" s="451"/>
      <c r="L69" s="451"/>
      <c r="M69" s="451"/>
      <c r="N69" s="451"/>
      <c r="O69" s="430"/>
      <c r="P69" s="542"/>
      <c r="Q69" s="429"/>
      <c r="R69" s="435"/>
      <c r="S69" s="473" t="s">
        <v>180</v>
      </c>
      <c r="T69" s="473" t="s">
        <v>180</v>
      </c>
      <c r="U69" s="466"/>
      <c r="V69" s="466"/>
      <c r="W69" s="421"/>
      <c r="X69" s="421"/>
      <c r="Y69" s="200" t="s">
        <v>240</v>
      </c>
      <c r="Z69" s="200" t="s">
        <v>180</v>
      </c>
      <c r="AA69" s="200" t="s">
        <v>180</v>
      </c>
      <c r="AB69" s="410">
        <f t="shared" si="11"/>
        <v>0</v>
      </c>
      <c r="AC69" s="409" t="str">
        <f t="shared" ref="AC69:AC77" si="14">IF(Y69="Competitors","Forum Link",Z69)</f>
        <v/>
      </c>
      <c r="AD69" s="409" t="str">
        <f t="shared" ref="AD69:AD77" si="15">IF(Y69="Competitors","Domains",AA69)</f>
        <v/>
      </c>
    </row>
    <row r="70" s="408" customFormat="1" spans="1:30">
      <c r="A70" s="428"/>
      <c r="B70" s="421"/>
      <c r="C70" s="439"/>
      <c r="D70" s="421"/>
      <c r="E70" s="430"/>
      <c r="F70" s="430">
        <f>SUM(F64:F68)</f>
        <v>965318.368333333</v>
      </c>
      <c r="G70" s="430">
        <v>704838.916666666</v>
      </c>
      <c r="H70" s="430">
        <v>764789.250000002</v>
      </c>
      <c r="I70" s="453">
        <f>(F70/G70)-1</f>
        <v>0.369558838916741</v>
      </c>
      <c r="J70" s="490"/>
      <c r="K70" s="480"/>
      <c r="L70" s="480"/>
      <c r="M70" s="451"/>
      <c r="N70" s="451">
        <f>SUM(N64:N68)</f>
        <v>0</v>
      </c>
      <c r="O70" s="430"/>
      <c r="P70" s="542"/>
      <c r="Q70" s="429"/>
      <c r="R70" s="421"/>
      <c r="S70" s="473" t="s">
        <v>180</v>
      </c>
      <c r="T70" s="473" t="s">
        <v>180</v>
      </c>
      <c r="U70" s="466"/>
      <c r="V70" s="466"/>
      <c r="W70" s="421"/>
      <c r="X70" s="421"/>
      <c r="Y70" s="200" t="s">
        <v>240</v>
      </c>
      <c r="Z70" s="200" t="s">
        <v>180</v>
      </c>
      <c r="AA70" s="200" t="s">
        <v>180</v>
      </c>
      <c r="AB70" s="410">
        <f t="shared" ref="AB70:AB77" si="16">IF(B70=Y70,1,0)</f>
        <v>0</v>
      </c>
      <c r="AC70" s="409" t="str">
        <f t="shared" si="14"/>
        <v/>
      </c>
      <c r="AD70" s="409" t="str">
        <f t="shared" si="15"/>
        <v/>
      </c>
    </row>
    <row r="71" s="408" customFormat="1" spans="1:30">
      <c r="A71" s="428"/>
      <c r="B71" s="421"/>
      <c r="C71" s="439"/>
      <c r="D71" s="421"/>
      <c r="E71" s="430"/>
      <c r="F71" s="430"/>
      <c r="G71" s="430"/>
      <c r="H71" s="430"/>
      <c r="I71" s="453"/>
      <c r="J71" s="430"/>
      <c r="K71" s="430"/>
      <c r="L71" s="430"/>
      <c r="M71" s="451"/>
      <c r="N71" s="459"/>
      <c r="O71" s="430"/>
      <c r="P71" s="542"/>
      <c r="Q71" s="429"/>
      <c r="R71" s="421"/>
      <c r="S71" s="473" t="s">
        <v>180</v>
      </c>
      <c r="T71" s="473" t="s">
        <v>180</v>
      </c>
      <c r="U71" s="466"/>
      <c r="V71" s="466"/>
      <c r="W71" s="421"/>
      <c r="X71" s="421"/>
      <c r="Y71" s="200" t="s">
        <v>240</v>
      </c>
      <c r="Z71" s="200" t="s">
        <v>180</v>
      </c>
      <c r="AA71" s="200" t="s">
        <v>180</v>
      </c>
      <c r="AB71" s="410">
        <f t="shared" si="16"/>
        <v>0</v>
      </c>
      <c r="AC71" s="409" t="str">
        <f t="shared" si="14"/>
        <v/>
      </c>
      <c r="AD71" s="409" t="str">
        <f t="shared" si="15"/>
        <v/>
      </c>
    </row>
    <row r="72" s="408" customFormat="1" ht="17.4" spans="1:30">
      <c r="A72" s="418" t="s">
        <v>159</v>
      </c>
      <c r="B72" s="419"/>
      <c r="C72" s="420"/>
      <c r="D72" s="421"/>
      <c r="E72" s="422" t="s">
        <v>202</v>
      </c>
      <c r="F72" s="422"/>
      <c r="G72" s="422"/>
      <c r="H72" s="422"/>
      <c r="I72" s="422"/>
      <c r="J72" s="422"/>
      <c r="K72" s="422"/>
      <c r="L72" s="422"/>
      <c r="M72" s="443"/>
      <c r="N72" s="444"/>
      <c r="O72" s="422"/>
      <c r="P72" s="542"/>
      <c r="Q72" s="465"/>
      <c r="R72" s="424"/>
      <c r="S72" s="473" t="s">
        <v>180</v>
      </c>
      <c r="T72" s="473" t="s">
        <v>180</v>
      </c>
      <c r="U72" s="467"/>
      <c r="V72" s="467"/>
      <c r="W72" s="467"/>
      <c r="X72" s="467"/>
      <c r="Y72" s="200" t="s">
        <v>240</v>
      </c>
      <c r="Z72" s="200" t="s">
        <v>180</v>
      </c>
      <c r="AA72" s="200" t="s">
        <v>180</v>
      </c>
      <c r="AB72" s="410">
        <f t="shared" si="16"/>
        <v>0</v>
      </c>
      <c r="AC72" s="409" t="str">
        <f t="shared" si="14"/>
        <v/>
      </c>
      <c r="AD72" s="409" t="str">
        <f t="shared" si="15"/>
        <v/>
      </c>
    </row>
    <row r="73" s="409" customFormat="1" ht="48.6" spans="1:30">
      <c r="A73" s="423" t="s">
        <v>206</v>
      </c>
      <c r="B73" s="424" t="s">
        <v>207</v>
      </c>
      <c r="C73" s="425" t="s">
        <v>208</v>
      </c>
      <c r="D73" s="424" t="s">
        <v>209</v>
      </c>
      <c r="E73" s="426" t="s">
        <v>210</v>
      </c>
      <c r="F73" s="427" t="s">
        <v>211</v>
      </c>
      <c r="G73" s="427" t="s">
        <v>212</v>
      </c>
      <c r="H73" s="427" t="s">
        <v>213</v>
      </c>
      <c r="I73" s="427" t="s">
        <v>214</v>
      </c>
      <c r="J73" s="446" t="s">
        <v>215</v>
      </c>
      <c r="K73" s="446" t="s">
        <v>216</v>
      </c>
      <c r="L73" s="446" t="s">
        <v>217</v>
      </c>
      <c r="M73" s="447" t="s">
        <v>218</v>
      </c>
      <c r="N73" s="448" t="s">
        <v>219</v>
      </c>
      <c r="O73" s="449" t="s">
        <v>220</v>
      </c>
      <c r="P73" s="543" t="s">
        <v>221</v>
      </c>
      <c r="Q73" s="469" t="s">
        <v>222</v>
      </c>
      <c r="R73" s="426" t="s">
        <v>223</v>
      </c>
      <c r="S73" s="470" t="s">
        <v>224</v>
      </c>
      <c r="T73" s="470" t="s">
        <v>205</v>
      </c>
      <c r="U73" s="467" t="s">
        <v>225</v>
      </c>
      <c r="V73" s="470" t="s">
        <v>226</v>
      </c>
      <c r="W73" s="467"/>
      <c r="X73" s="467"/>
      <c r="Y73" s="200" t="s">
        <v>207</v>
      </c>
      <c r="Z73" s="200" t="s">
        <v>180</v>
      </c>
      <c r="AA73" s="200" t="s">
        <v>180</v>
      </c>
      <c r="AB73" s="410">
        <f t="shared" si="16"/>
        <v>1</v>
      </c>
      <c r="AC73" s="409" t="str">
        <f t="shared" si="14"/>
        <v>Forum Link</v>
      </c>
      <c r="AD73" s="409" t="str">
        <f t="shared" si="15"/>
        <v>Domains</v>
      </c>
    </row>
    <row r="74" s="410" customFormat="1" ht="17.4" spans="1:30">
      <c r="A74" s="432" t="s">
        <v>227</v>
      </c>
      <c r="B74" s="432" t="s">
        <v>160</v>
      </c>
      <c r="C74" s="434" t="str">
        <f>VLOOKUP(B74,正厂竞争者数据汇总!D:H,2,FALSE)</f>
        <v>原厂目录</v>
      </c>
      <c r="D74" s="435" t="str">
        <f>VLOOKUP(B74,正厂竞争者数据汇总!D:H,3,FALSE)</f>
        <v>CA</v>
      </c>
      <c r="E74" s="436">
        <f>VLOOKUP(B74,正厂竞争者数据汇总!D:H,4,FALSE)</f>
        <v>0</v>
      </c>
      <c r="F74" s="436">
        <f t="array" ref="F74">INDEX(正厂竞争者数据汇总!$H$2:$H$448,MATCH($A$72&amp;$B74,正厂竞争者数据汇总!$A$2:$A$448&amp;正厂竞争者数据汇总!$D$2:$D$448,0))</f>
        <v>455967.75</v>
      </c>
      <c r="G74" s="436">
        <v>369856.833333333</v>
      </c>
      <c r="H74" s="436">
        <v>370810.25</v>
      </c>
      <c r="I74" s="454">
        <f>(F74/G74)-1</f>
        <v>0.23282229475279</v>
      </c>
      <c r="J74" s="455">
        <f t="shared" ref="J74:J78" si="17">F74/F$80</f>
        <v>0.629526048668434</v>
      </c>
      <c r="K74" s="455">
        <v>0.670809127808516</v>
      </c>
      <c r="L74" s="455">
        <v>0.620637777880631</v>
      </c>
      <c r="M74" s="456">
        <f>J74-K74</f>
        <v>-0.0412830791400821</v>
      </c>
      <c r="N74" s="455" t="str">
        <f>IFERROR(O74*0.5/$F$74,"")</f>
        <v/>
      </c>
      <c r="O74" s="436" t="s">
        <v>180</v>
      </c>
      <c r="P74" s="542">
        <f t="array" ref="P74">INDEX(正厂竞争者数据汇总!I:I,MATCH($A$72&amp;B74,正厂竞争者数据汇总!A:A&amp;正厂竞争者数据汇总!D:D,0))</f>
        <v>0</v>
      </c>
      <c r="Q74" s="434" t="s">
        <v>280</v>
      </c>
      <c r="R74" s="435" t="s">
        <v>229</v>
      </c>
      <c r="S74" s="476">
        <v>62810</v>
      </c>
      <c r="T74" s="476">
        <v>8743</v>
      </c>
      <c r="U74" s="477"/>
      <c r="V74" s="477"/>
      <c r="W74" s="435"/>
      <c r="X74" s="435"/>
      <c r="Y74" s="200" t="s">
        <v>160</v>
      </c>
      <c r="Z74" s="200">
        <v>53116</v>
      </c>
      <c r="AA74" s="200">
        <v>7428</v>
      </c>
      <c r="AB74" s="410">
        <f t="shared" si="16"/>
        <v>1</v>
      </c>
      <c r="AC74" s="409">
        <f t="shared" si="14"/>
        <v>53116</v>
      </c>
      <c r="AD74" s="409">
        <f t="shared" si="15"/>
        <v>7428</v>
      </c>
    </row>
    <row r="75" s="408" customFormat="1" ht="46.8" spans="1:30">
      <c r="A75" s="428" t="s">
        <v>230</v>
      </c>
      <c r="B75" s="421" t="s">
        <v>281</v>
      </c>
      <c r="C75" s="429" t="str">
        <f>VLOOKUP(B75,正厂竞争者数据汇总!D:H,2,FALSE)</f>
        <v>Motor目录</v>
      </c>
      <c r="D75" s="421" t="str">
        <f>VLOOKUP(B75,正厂竞争者数据汇总!D:H,3,FALSE)</f>
        <v>-</v>
      </c>
      <c r="E75" s="430"/>
      <c r="F75" s="430">
        <f t="array" ref="F75">INDEX(正厂竞争者数据汇总!$H$2:$H$448,MATCH($A$72&amp;$B75,正厂竞争者数据汇总!$A$2:$A$448&amp;正厂竞争者数据汇总!$D$2:$D$448,0))</f>
        <v>135661.166666667</v>
      </c>
      <c r="G75" s="430"/>
      <c r="H75" s="430"/>
      <c r="I75" s="450"/>
      <c r="J75" s="451">
        <f t="shared" si="17"/>
        <v>0.187298856573555</v>
      </c>
      <c r="K75" s="451">
        <v>0.184402072769007</v>
      </c>
      <c r="L75" s="451">
        <v>0.153660684597687</v>
      </c>
      <c r="M75" s="452"/>
      <c r="N75" s="451"/>
      <c r="O75" s="430"/>
      <c r="P75" s="542" t="str">
        <f t="array" ref="P75">INDEX(正厂竞争者数据汇总!I:I,MATCH($A$72&amp;B75,正厂竞争者数据汇总!A:A&amp;正厂竞争者数据汇总!D:D,0))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75" s="429"/>
      <c r="R75" s="421"/>
      <c r="S75" s="472">
        <v>642</v>
      </c>
      <c r="T75" s="472">
        <v>134</v>
      </c>
      <c r="U75" s="466"/>
      <c r="V75" s="466"/>
      <c r="W75" s="466"/>
      <c r="X75" s="466"/>
      <c r="Y75" s="200" t="s">
        <v>281</v>
      </c>
      <c r="Z75" s="200">
        <v>586</v>
      </c>
      <c r="AA75" s="200">
        <v>86</v>
      </c>
      <c r="AB75" s="410">
        <f t="shared" si="16"/>
        <v>1</v>
      </c>
      <c r="AC75" s="409">
        <f t="shared" si="14"/>
        <v>586</v>
      </c>
      <c r="AD75" s="409">
        <f t="shared" si="15"/>
        <v>86</v>
      </c>
    </row>
    <row r="76" s="408" customFormat="1" spans="1:30">
      <c r="A76" s="428" t="s">
        <v>230</v>
      </c>
      <c r="B76" s="421" t="s">
        <v>282</v>
      </c>
      <c r="C76" s="429" t="str">
        <f>VLOOKUP(B76,正厂竞争者数据汇总!D:H,2,FALSE)</f>
        <v>原厂目录</v>
      </c>
      <c r="D76" s="421" t="str">
        <f>VLOOKUP(B76,正厂竞争者数据汇总!D:H,3,FALSE)</f>
        <v>MA</v>
      </c>
      <c r="E76" s="430"/>
      <c r="F76" s="430">
        <f t="array" ref="F76">INDEX(正厂竞争者数据汇总!$H$2:$H$448,MATCH($A$72&amp;$B76,正厂竞争者数据汇总!$A$2:$A$448&amp;正厂竞争者数据汇总!$D$2:$D$448,0))</f>
        <v>53669.06</v>
      </c>
      <c r="G76" s="430"/>
      <c r="H76" s="430"/>
      <c r="I76" s="450"/>
      <c r="J76" s="451">
        <f t="shared" si="17"/>
        <v>0.0740975020219064</v>
      </c>
      <c r="K76" s="451">
        <v>0.100488952767998</v>
      </c>
      <c r="L76" s="451">
        <v>0.0971318454728535</v>
      </c>
      <c r="M76" s="452"/>
      <c r="N76" s="451"/>
      <c r="O76" s="430"/>
      <c r="P76" s="542" t="str">
        <f t="array" ref="P76">INDEX(正厂竞争者数据汇总!I:I,MATCH($A$72&amp;B76,正厂竞争者数据汇总!A:A&amp;正厂竞争者数据汇总!D:D,0))</f>
        <v>2021年08月新增竞争者</v>
      </c>
      <c r="Q76" s="429"/>
      <c r="R76" s="421"/>
      <c r="S76" s="472">
        <v>3522</v>
      </c>
      <c r="T76" s="472">
        <v>364</v>
      </c>
      <c r="U76" s="466"/>
      <c r="V76" s="466"/>
      <c r="W76" s="466"/>
      <c r="X76" s="466"/>
      <c r="Y76" s="200" t="s">
        <v>282</v>
      </c>
      <c r="Z76" s="200">
        <v>3741</v>
      </c>
      <c r="AA76" s="200">
        <v>410</v>
      </c>
      <c r="AB76" s="410">
        <f t="shared" si="16"/>
        <v>1</v>
      </c>
      <c r="AC76" s="409">
        <f t="shared" si="14"/>
        <v>3741</v>
      </c>
      <c r="AD76" s="409">
        <f t="shared" si="15"/>
        <v>410</v>
      </c>
    </row>
    <row r="77" s="408" customFormat="1" ht="31.2" spans="1:30">
      <c r="A77" s="428" t="s">
        <v>230</v>
      </c>
      <c r="B77" s="421" t="s">
        <v>283</v>
      </c>
      <c r="C77" s="429" t="str">
        <f>VLOOKUP(B77,正厂竞争者数据汇总!D:H,2,FALSE)</f>
        <v>Motor目录</v>
      </c>
      <c r="D77" s="421" t="str">
        <f>VLOOKUP(B77,正厂竞争者数据汇总!D:H,3,FALSE)</f>
        <v>WA</v>
      </c>
      <c r="E77" s="430"/>
      <c r="F77" s="430">
        <f t="array" ref="F77">INDEX(正厂竞争者数据汇总!$H$2:$H$448,MATCH($A$72&amp;$B77,正厂竞争者数据汇总!$A$2:$A$448&amp;正厂竞争者数据汇总!$D$2:$D$448,0))</f>
        <v>50752.1733333333</v>
      </c>
      <c r="G77" s="430"/>
      <c r="H77" s="430"/>
      <c r="I77" s="450"/>
      <c r="J77" s="451">
        <f t="shared" si="17"/>
        <v>0.0700703397112378</v>
      </c>
      <c r="K77" s="451"/>
      <c r="L77" s="451"/>
      <c r="M77" s="452"/>
      <c r="N77" s="451"/>
      <c r="O77" s="430"/>
      <c r="P77" s="542" t="str">
        <f t="array" ref="P77">INDEX(正厂竞争者数据汇总!I:I,MATCH($A$72&amp;B77,正厂竞争者数据汇总!A:A&amp;正厂竞争者数据汇总!D:D,0))</f>
        <v>2020年10月起加入MarketingShare.2023年8月，因为连续半年市场份额低于5%移除；2024年2月因市场份额大于5%重新加入监控</v>
      </c>
      <c r="Q77" s="429"/>
      <c r="R77" s="421"/>
      <c r="S77" s="472"/>
      <c r="T77" s="472"/>
      <c r="U77" s="466"/>
      <c r="V77" s="466"/>
      <c r="W77" s="466"/>
      <c r="X77" s="466"/>
      <c r="Y77" s="200"/>
      <c r="Z77" s="200"/>
      <c r="AA77" s="200"/>
      <c r="AB77" s="410"/>
      <c r="AC77" s="409"/>
      <c r="AD77" s="409"/>
    </row>
    <row r="78" s="408" customFormat="1" ht="46.8" spans="1:30">
      <c r="A78" s="428" t="s">
        <v>230</v>
      </c>
      <c r="B78" s="421" t="s">
        <v>255</v>
      </c>
      <c r="C78" s="429" t="str">
        <f>VLOOKUP(B78,正厂竞争者数据汇总!D:H,2,FALSE)</f>
        <v>Motor目录</v>
      </c>
      <c r="D78" s="421" t="str">
        <f>VLOOKUP(B78,正厂竞争者数据汇总!D:H,3,FALSE)</f>
        <v>RI</v>
      </c>
      <c r="E78" s="430"/>
      <c r="F78" s="430">
        <f t="array" ref="F78">INDEX(正厂竞争者数据汇总!$H$2:$H$448,MATCH($A$72&amp;$B78,正厂竞争者数据汇总!$A$2:$A$448&amp;正厂竞争者数据汇总!$D$2:$D$448,0))</f>
        <v>28253.0793333333</v>
      </c>
      <c r="G78" s="430"/>
      <c r="H78" s="430"/>
      <c r="I78" s="450"/>
      <c r="J78" s="451">
        <f t="shared" si="17"/>
        <v>0.0390072530248666</v>
      </c>
      <c r="K78" s="451">
        <v>0.0442998466544785</v>
      </c>
      <c r="L78" s="451">
        <v>0.128569692048829</v>
      </c>
      <c r="M78" s="452"/>
      <c r="N78" s="451"/>
      <c r="O78" s="430"/>
      <c r="P78" s="542" t="str">
        <f t="array" ref="P78">INDEX(正厂竞争者数据汇总!I:I,MATCH($A$72&amp;B78,正厂竞争者数据汇总!A:A&amp;正厂竞争者数据汇总!D:D,0))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78" s="429"/>
      <c r="R78" s="421"/>
      <c r="S78" s="472">
        <v>37922</v>
      </c>
      <c r="T78" s="472">
        <v>1648</v>
      </c>
      <c r="U78" s="466"/>
      <c r="V78" s="466"/>
      <c r="W78" s="466"/>
      <c r="X78" s="466"/>
      <c r="Y78" s="200" t="s">
        <v>255</v>
      </c>
      <c r="Z78" s="200">
        <v>38224</v>
      </c>
      <c r="AA78" s="200">
        <v>1673</v>
      </c>
      <c r="AB78" s="410">
        <f>IF(B78=Y78,1,0)</f>
        <v>1</v>
      </c>
      <c r="AC78" s="409">
        <f>IF(Y78="Competitors","Forum Link",Z78)</f>
        <v>38224</v>
      </c>
      <c r="AD78" s="409">
        <f>IF(Y78="Competitors","Domains",AA78)</f>
        <v>1673</v>
      </c>
    </row>
    <row r="79" s="408" customFormat="1" spans="1:30">
      <c r="A79" s="428"/>
      <c r="B79" s="421"/>
      <c r="C79" s="429"/>
      <c r="D79" s="421"/>
      <c r="E79" s="430"/>
      <c r="F79" s="430"/>
      <c r="G79" s="430"/>
      <c r="H79" s="430"/>
      <c r="I79" s="453"/>
      <c r="J79" s="451"/>
      <c r="K79" s="451"/>
      <c r="L79" s="451"/>
      <c r="M79" s="451"/>
      <c r="N79" s="451"/>
      <c r="O79" s="430"/>
      <c r="P79" s="542"/>
      <c r="Q79" s="429"/>
      <c r="R79" s="421"/>
      <c r="S79" s="473" t="s">
        <v>180</v>
      </c>
      <c r="T79" s="473" t="s">
        <v>180</v>
      </c>
      <c r="U79" s="466"/>
      <c r="V79" s="466"/>
      <c r="W79" s="421"/>
      <c r="X79" s="421"/>
      <c r="Y79" s="200" t="s">
        <v>240</v>
      </c>
      <c r="Z79" s="200" t="s">
        <v>180</v>
      </c>
      <c r="AA79" s="200" t="s">
        <v>180</v>
      </c>
      <c r="AB79" s="410">
        <f t="shared" ref="AB79:AB102" si="18">IF(B79=Y79,1,0)</f>
        <v>0</v>
      </c>
      <c r="AC79" s="409" t="str">
        <f t="shared" ref="AC79:AC102" si="19">IF(Y79="Competitors","Forum Link",Z79)</f>
        <v/>
      </c>
      <c r="AD79" s="409" t="str">
        <f t="shared" ref="AD79:AD102" si="20">IF(Y79="Competitors","Domains",AA79)</f>
        <v/>
      </c>
    </row>
    <row r="80" s="408" customFormat="1" spans="1:30">
      <c r="A80" s="428"/>
      <c r="B80" s="421"/>
      <c r="C80" s="429"/>
      <c r="D80" s="421"/>
      <c r="E80" s="430"/>
      <c r="F80" s="430">
        <f>SUM(F74:F78)</f>
        <v>724303.229333334</v>
      </c>
      <c r="G80" s="430">
        <v>675366.255</v>
      </c>
      <c r="H80" s="430">
        <v>656929.13</v>
      </c>
      <c r="I80" s="453">
        <f>(F80/G80)-1</f>
        <v>0.072459904490392</v>
      </c>
      <c r="J80" s="451"/>
      <c r="K80" s="451"/>
      <c r="L80" s="451"/>
      <c r="M80" s="451"/>
      <c r="N80" s="451">
        <f>SUM(N74:N75)</f>
        <v>0</v>
      </c>
      <c r="O80" s="430"/>
      <c r="P80" s="542"/>
      <c r="Q80" s="429"/>
      <c r="R80" s="421"/>
      <c r="S80" s="473" t="s">
        <v>180</v>
      </c>
      <c r="T80" s="473" t="s">
        <v>180</v>
      </c>
      <c r="U80" s="466"/>
      <c r="V80" s="466"/>
      <c r="W80" s="421"/>
      <c r="X80" s="421"/>
      <c r="Y80" s="200" t="s">
        <v>240</v>
      </c>
      <c r="Z80" s="200" t="s">
        <v>180</v>
      </c>
      <c r="AA80" s="200" t="s">
        <v>180</v>
      </c>
      <c r="AB80" s="410">
        <f t="shared" si="18"/>
        <v>0</v>
      </c>
      <c r="AC80" s="409" t="str">
        <f t="shared" si="19"/>
        <v/>
      </c>
      <c r="AD80" s="409" t="str">
        <f t="shared" si="20"/>
        <v/>
      </c>
    </row>
    <row r="81" s="408" customFormat="1" spans="1:30">
      <c r="A81" s="428"/>
      <c r="B81" s="421"/>
      <c r="C81" s="429"/>
      <c r="D81" s="421"/>
      <c r="E81" s="430"/>
      <c r="F81" s="430"/>
      <c r="G81" s="430"/>
      <c r="H81" s="430"/>
      <c r="I81" s="453"/>
      <c r="J81" s="451"/>
      <c r="K81" s="451"/>
      <c r="L81" s="451"/>
      <c r="M81" s="451"/>
      <c r="N81" s="451"/>
      <c r="O81" s="430"/>
      <c r="P81" s="542"/>
      <c r="Q81" s="429"/>
      <c r="R81" s="421"/>
      <c r="S81" s="473" t="s">
        <v>180</v>
      </c>
      <c r="T81" s="473" t="s">
        <v>180</v>
      </c>
      <c r="U81" s="466"/>
      <c r="V81" s="466"/>
      <c r="W81" s="421"/>
      <c r="X81" s="421"/>
      <c r="Y81" s="200" t="s">
        <v>240</v>
      </c>
      <c r="Z81" s="200" t="s">
        <v>180</v>
      </c>
      <c r="AA81" s="200" t="s">
        <v>180</v>
      </c>
      <c r="AB81" s="410">
        <f t="shared" si="18"/>
        <v>0</v>
      </c>
      <c r="AC81" s="409" t="str">
        <f t="shared" si="19"/>
        <v/>
      </c>
      <c r="AD81" s="409" t="str">
        <f t="shared" si="20"/>
        <v/>
      </c>
    </row>
    <row r="82" s="408" customFormat="1" ht="17.4" spans="1:30">
      <c r="A82" s="418" t="s">
        <v>162</v>
      </c>
      <c r="B82" s="419"/>
      <c r="C82" s="420"/>
      <c r="D82" s="421"/>
      <c r="E82" s="422" t="s">
        <v>202</v>
      </c>
      <c r="F82" s="422"/>
      <c r="G82" s="422"/>
      <c r="H82" s="422"/>
      <c r="I82" s="422"/>
      <c r="J82" s="422"/>
      <c r="K82" s="422"/>
      <c r="L82" s="422"/>
      <c r="M82" s="443"/>
      <c r="N82" s="444"/>
      <c r="O82" s="422"/>
      <c r="P82" s="542"/>
      <c r="Q82" s="465"/>
      <c r="R82" s="424"/>
      <c r="S82" s="473" t="s">
        <v>180</v>
      </c>
      <c r="T82" s="473" t="s">
        <v>180</v>
      </c>
      <c r="U82" s="467"/>
      <c r="V82" s="467"/>
      <c r="W82" s="467"/>
      <c r="X82" s="467"/>
      <c r="Y82" s="200" t="s">
        <v>240</v>
      </c>
      <c r="Z82" s="200" t="s">
        <v>180</v>
      </c>
      <c r="AA82" s="200" t="s">
        <v>180</v>
      </c>
      <c r="AB82" s="410">
        <f t="shared" si="18"/>
        <v>0</v>
      </c>
      <c r="AC82" s="409" t="str">
        <f t="shared" si="19"/>
        <v/>
      </c>
      <c r="AD82" s="409" t="str">
        <f t="shared" si="20"/>
        <v/>
      </c>
    </row>
    <row r="83" s="409" customFormat="1" ht="48.6" spans="1:30">
      <c r="A83" s="423" t="s">
        <v>206</v>
      </c>
      <c r="B83" s="424" t="s">
        <v>207</v>
      </c>
      <c r="C83" s="425" t="s">
        <v>208</v>
      </c>
      <c r="D83" s="424" t="s">
        <v>209</v>
      </c>
      <c r="E83" s="426" t="s">
        <v>210</v>
      </c>
      <c r="F83" s="427" t="s">
        <v>211</v>
      </c>
      <c r="G83" s="427" t="s">
        <v>212</v>
      </c>
      <c r="H83" s="427" t="s">
        <v>213</v>
      </c>
      <c r="I83" s="427" t="s">
        <v>214</v>
      </c>
      <c r="J83" s="446" t="s">
        <v>215</v>
      </c>
      <c r="K83" s="446" t="s">
        <v>216</v>
      </c>
      <c r="L83" s="446" t="s">
        <v>217</v>
      </c>
      <c r="M83" s="447" t="s">
        <v>218</v>
      </c>
      <c r="N83" s="448" t="s">
        <v>219</v>
      </c>
      <c r="O83" s="449" t="s">
        <v>220</v>
      </c>
      <c r="P83" s="543" t="s">
        <v>221</v>
      </c>
      <c r="Q83" s="469" t="s">
        <v>222</v>
      </c>
      <c r="R83" s="426" t="s">
        <v>223</v>
      </c>
      <c r="S83" s="470" t="s">
        <v>224</v>
      </c>
      <c r="T83" s="470" t="s">
        <v>205</v>
      </c>
      <c r="U83" s="467" t="s">
        <v>225</v>
      </c>
      <c r="V83" s="470" t="s">
        <v>226</v>
      </c>
      <c r="W83" s="467"/>
      <c r="X83" s="467"/>
      <c r="Y83" s="200" t="s">
        <v>207</v>
      </c>
      <c r="Z83" s="200" t="s">
        <v>180</v>
      </c>
      <c r="AA83" s="200" t="s">
        <v>180</v>
      </c>
      <c r="AB83" s="410">
        <f t="shared" si="18"/>
        <v>1</v>
      </c>
      <c r="AC83" s="409" t="str">
        <f t="shared" si="19"/>
        <v>Forum Link</v>
      </c>
      <c r="AD83" s="409" t="str">
        <f t="shared" si="20"/>
        <v>Domains</v>
      </c>
    </row>
    <row r="84" s="410" customFormat="1" ht="17.4" spans="1:30">
      <c r="A84" s="432" t="s">
        <v>227</v>
      </c>
      <c r="B84" s="432" t="s">
        <v>163</v>
      </c>
      <c r="C84" s="434" t="str">
        <f>VLOOKUP(B84,正厂竞争者数据汇总!D:H,2,FALSE)</f>
        <v>原厂目录</v>
      </c>
      <c r="D84" s="435" t="str">
        <f>VLOOKUP(B84,正厂竞争者数据汇总!D:H,3,FALSE)</f>
        <v>CA</v>
      </c>
      <c r="E84" s="436">
        <f>VLOOKUP(B84,正厂竞争者数据汇总!D:H,4,FALSE)</f>
        <v>0</v>
      </c>
      <c r="F84" s="436">
        <f t="array" ref="F84">INDEX(正厂竞争者数据汇总!$H$2:$H$448,MATCH($A$82&amp;$B84,正厂竞争者数据汇总!$A$2:$A$448&amp;正厂竞争者数据汇总!$D$2:$D$448,0))</f>
        <v>306571.707</v>
      </c>
      <c r="G84" s="436">
        <v>213503.583333333</v>
      </c>
      <c r="H84" s="436">
        <v>235149.083333333</v>
      </c>
      <c r="I84" s="454">
        <f>(F84/G84)-1</f>
        <v>0.435908953909051</v>
      </c>
      <c r="J84" s="457">
        <f t="shared" ref="J84:J92" si="21">F84/F$94</f>
        <v>0.466086523033652</v>
      </c>
      <c r="K84" s="457">
        <v>0.543379916850723</v>
      </c>
      <c r="L84" s="457">
        <v>0.519449513894345</v>
      </c>
      <c r="M84" s="456">
        <f>J84-K84</f>
        <v>-0.0772933938170706</v>
      </c>
      <c r="N84" s="457" t="str">
        <f>IFERROR(O84*0.5/$F$84,"")</f>
        <v/>
      </c>
      <c r="O84" s="436" t="s">
        <v>180</v>
      </c>
      <c r="P84" s="542">
        <f t="array" ref="P84">INDEX(正厂竞争者数据汇总!I:I,MATCH($A$82&amp;B84,正厂竞争者数据汇总!A:A&amp;正厂竞争者数据汇总!D:D,0))</f>
        <v>0</v>
      </c>
      <c r="Q84" s="434" t="s">
        <v>284</v>
      </c>
      <c r="R84" s="435" t="s">
        <v>229</v>
      </c>
      <c r="S84" s="476">
        <v>41456</v>
      </c>
      <c r="T84" s="476">
        <v>7522</v>
      </c>
      <c r="U84" s="477"/>
      <c r="V84" s="477"/>
      <c r="W84" s="435"/>
      <c r="X84" s="435"/>
      <c r="Y84" s="200" t="s">
        <v>163</v>
      </c>
      <c r="Z84" s="200">
        <v>30521</v>
      </c>
      <c r="AA84" s="200">
        <v>6195</v>
      </c>
      <c r="AB84" s="410">
        <f t="shared" si="18"/>
        <v>1</v>
      </c>
      <c r="AC84" s="409">
        <f t="shared" si="19"/>
        <v>30521</v>
      </c>
      <c r="AD84" s="409">
        <f t="shared" si="20"/>
        <v>6195</v>
      </c>
    </row>
    <row r="85" s="408" customFormat="1" spans="1:30">
      <c r="A85" s="428" t="s">
        <v>230</v>
      </c>
      <c r="B85" s="255" t="s">
        <v>285</v>
      </c>
      <c r="C85" s="429" t="str">
        <f>VLOOKUP(B85,正厂竞争者数据汇总!D:H,2,FALSE)</f>
        <v>Motor目录</v>
      </c>
      <c r="D85" s="421" t="str">
        <f>VLOOKUP(B85,正厂竞争者数据汇总!D:H,3,FALSE)</f>
        <v>AZ</v>
      </c>
      <c r="E85" s="430"/>
      <c r="F85" s="430">
        <f t="array" ref="F85">INDEX(正厂竞争者数据汇总!$H$2:$H$448,MATCH($A$82&amp;$B85,正厂竞争者数据汇总!$A$2:$A$448&amp;正厂竞争者数据汇总!$D$2:$D$448,0))</f>
        <v>141472.890533333</v>
      </c>
      <c r="G85" s="430"/>
      <c r="H85" s="430"/>
      <c r="I85" s="450"/>
      <c r="J85" s="451">
        <f t="shared" si="21"/>
        <v>0.215083799798269</v>
      </c>
      <c r="K85" s="451">
        <v>0.108674910193533</v>
      </c>
      <c r="L85" s="451">
        <v>0.107822340954152</v>
      </c>
      <c r="M85" s="452"/>
      <c r="N85" s="451"/>
      <c r="O85" s="430"/>
      <c r="P85" s="542">
        <f t="array" ref="P85">INDEX(正厂竞争者数据汇总!I:I,MATCH($A$82&amp;B85,正厂竞争者数据汇总!A:A&amp;正厂竞争者数据汇总!D:D,0))</f>
        <v>0</v>
      </c>
      <c r="Q85" s="429"/>
      <c r="R85" s="421"/>
      <c r="S85" s="472">
        <v>5821</v>
      </c>
      <c r="T85" s="472">
        <v>402</v>
      </c>
      <c r="U85" s="466"/>
      <c r="V85" s="466"/>
      <c r="W85" s="466"/>
      <c r="X85" s="466"/>
      <c r="Y85" s="200" t="s">
        <v>285</v>
      </c>
      <c r="Z85" s="200">
        <v>5743</v>
      </c>
      <c r="AA85" s="200">
        <v>406</v>
      </c>
      <c r="AB85" s="410">
        <f t="shared" si="18"/>
        <v>1</v>
      </c>
      <c r="AC85" s="409">
        <f t="shared" si="19"/>
        <v>5743</v>
      </c>
      <c r="AD85" s="409">
        <f t="shared" si="20"/>
        <v>406</v>
      </c>
    </row>
    <row r="86" s="408" customFormat="1" ht="46.8" spans="1:30">
      <c r="A86" s="428" t="s">
        <v>230</v>
      </c>
      <c r="B86" s="421" t="s">
        <v>286</v>
      </c>
      <c r="C86" s="429" t="str">
        <f>VLOOKUP(B86,正厂竞争者数据汇总!D:H,2,FALSE)</f>
        <v>Motor目录</v>
      </c>
      <c r="D86" s="421" t="str">
        <f>VLOOKUP(B86,正厂竞争者数据汇总!D:H,3,FALSE)</f>
        <v>-</v>
      </c>
      <c r="E86" s="430"/>
      <c r="F86" s="430">
        <f t="array" ref="F86">INDEX(正厂竞争者数据汇总!$H$2:$H$448,MATCH($A$82&amp;$B86,正厂竞争者数据汇总!$A$2:$A$448&amp;正厂竞争者数据汇总!$D$2:$D$448,0))</f>
        <v>62035.7166666667</v>
      </c>
      <c r="G86" s="430"/>
      <c r="H86" s="430"/>
      <c r="I86" s="450"/>
      <c r="J86" s="451">
        <f t="shared" si="21"/>
        <v>0.0943140245002044</v>
      </c>
      <c r="K86" s="451">
        <v>0.0875013859890523</v>
      </c>
      <c r="L86" s="451">
        <v>0.0631744217327517</v>
      </c>
      <c r="M86" s="452"/>
      <c r="N86" s="451"/>
      <c r="O86" s="430"/>
      <c r="P86" s="542" t="str">
        <f t="array" ref="P86">INDEX(正厂竞争者数据汇总!I:I,MATCH($A$82&amp;B86,正厂竞争者数据汇总!A:A&amp;正厂竞争者数据汇总!D:D,0))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86" s="429"/>
      <c r="R86" s="421"/>
      <c r="S86" s="472">
        <v>1263</v>
      </c>
      <c r="T86" s="472">
        <v>88</v>
      </c>
      <c r="U86" s="466"/>
      <c r="V86" s="466"/>
      <c r="W86" s="466"/>
      <c r="X86" s="466"/>
      <c r="Y86" s="200" t="s">
        <v>286</v>
      </c>
      <c r="Z86" s="200">
        <v>269</v>
      </c>
      <c r="AA86" s="200">
        <v>58</v>
      </c>
      <c r="AB86" s="410">
        <f t="shared" si="18"/>
        <v>1</v>
      </c>
      <c r="AC86" s="409">
        <f t="shared" si="19"/>
        <v>269</v>
      </c>
      <c r="AD86" s="409">
        <f t="shared" si="20"/>
        <v>58</v>
      </c>
    </row>
    <row r="87" s="408" customFormat="1" spans="1:30">
      <c r="A87" s="428" t="s">
        <v>230</v>
      </c>
      <c r="B87" s="421" t="s">
        <v>287</v>
      </c>
      <c r="C87" s="429" t="str">
        <f>VLOOKUP(B87,正厂竞争者数据汇总!D:H,2,FALSE)</f>
        <v>Motor目录</v>
      </c>
      <c r="D87" s="421" t="str">
        <f>VLOOKUP(B87,正厂竞争者数据汇总!D:H,3,FALSE)</f>
        <v>CA</v>
      </c>
      <c r="E87" s="430"/>
      <c r="F87" s="430">
        <f t="array" ref="F87">INDEX(正厂竞争者数据汇总!$H$2:$H$448,MATCH($A$82&amp;$B87,正厂竞争者数据汇总!$A$2:$A$448&amp;正厂竞争者数据汇总!$D$2:$D$448,0))</f>
        <v>33433.1433333333</v>
      </c>
      <c r="G87" s="430"/>
      <c r="H87" s="430"/>
      <c r="I87" s="450"/>
      <c r="J87" s="451">
        <f t="shared" si="21"/>
        <v>0.0508290138147649</v>
      </c>
      <c r="K87" s="451">
        <v>0.0547149397641929</v>
      </c>
      <c r="L87" s="451">
        <v>0.0572712227371814</v>
      </c>
      <c r="M87" s="452"/>
      <c r="N87" s="451"/>
      <c r="O87" s="430"/>
      <c r="P87" s="542">
        <f t="array" ref="P87">INDEX(正厂竞争者数据汇总!I:I,MATCH($A$82&amp;B87,正厂竞争者数据汇总!A:A&amp;正厂竞争者数据汇总!D:D,0))</f>
        <v>0</v>
      </c>
      <c r="Q87" s="429"/>
      <c r="R87" s="421"/>
      <c r="S87" s="472">
        <v>432</v>
      </c>
      <c r="T87" s="472">
        <v>112</v>
      </c>
      <c r="U87" s="466"/>
      <c r="V87" s="466"/>
      <c r="W87" s="466"/>
      <c r="X87" s="466"/>
      <c r="Y87" s="200" t="s">
        <v>287</v>
      </c>
      <c r="Z87" s="200">
        <v>471</v>
      </c>
      <c r="AA87" s="200">
        <v>130</v>
      </c>
      <c r="AB87" s="410">
        <f t="shared" si="18"/>
        <v>1</v>
      </c>
      <c r="AC87" s="409">
        <f t="shared" si="19"/>
        <v>471</v>
      </c>
      <c r="AD87" s="409">
        <f t="shared" si="20"/>
        <v>130</v>
      </c>
    </row>
    <row r="88" s="408" customFormat="1" ht="31.2" spans="1:30">
      <c r="A88" s="428" t="s">
        <v>230</v>
      </c>
      <c r="B88" s="421" t="s">
        <v>288</v>
      </c>
      <c r="C88" s="429" t="str">
        <f>VLOOKUP(B88,正厂竞争者数据汇总!D:H,2,FALSE)</f>
        <v>原厂目录</v>
      </c>
      <c r="D88" s="421" t="str">
        <f>VLOOKUP(B88,正厂竞争者数据汇总!D:H,3,FALSE)</f>
        <v>CT</v>
      </c>
      <c r="E88" s="430"/>
      <c r="F88" s="430">
        <f t="array" ref="F88">INDEX(正厂竞争者数据汇总!$H$2:$H$448,MATCH($A$82&amp;$B88,正厂竞争者数据汇总!$A$2:$A$448&amp;正厂竞争者数据汇总!$D$2:$D$448,0))</f>
        <v>27180.5</v>
      </c>
      <c r="G88" s="430"/>
      <c r="H88" s="430"/>
      <c r="I88" s="450"/>
      <c r="J88" s="451">
        <f t="shared" si="21"/>
        <v>0.0413230068204441</v>
      </c>
      <c r="K88" s="451">
        <v>0.053408054204389</v>
      </c>
      <c r="L88" s="451">
        <v>0.0469452292978988</v>
      </c>
      <c r="M88" s="452"/>
      <c r="N88" s="451"/>
      <c r="O88" s="430"/>
      <c r="P88" s="542" t="str">
        <f t="array" ref="P88">INDEX(正厂竞争者数据汇总!I:I,MATCH($A$82&amp;B88,正厂竞争者数据汇总!A:A&amp;正厂竞争者数据汇总!D:D,0))</f>
        <v>2022年1月 新加入 CompetitorSites
2022年1月 新加入 MarketingShare</v>
      </c>
      <c r="Q88" s="429"/>
      <c r="R88" s="421"/>
      <c r="S88" s="472">
        <v>535</v>
      </c>
      <c r="T88" s="472">
        <v>133</v>
      </c>
      <c r="U88" s="466"/>
      <c r="V88" s="466"/>
      <c r="W88" s="466"/>
      <c r="X88" s="466"/>
      <c r="Y88" s="200" t="s">
        <v>288</v>
      </c>
      <c r="Z88" s="200">
        <v>445</v>
      </c>
      <c r="AA88" s="200">
        <v>140</v>
      </c>
      <c r="AB88" s="410">
        <f t="shared" si="18"/>
        <v>1</v>
      </c>
      <c r="AC88" s="409">
        <f t="shared" si="19"/>
        <v>445</v>
      </c>
      <c r="AD88" s="409">
        <f t="shared" si="20"/>
        <v>140</v>
      </c>
    </row>
    <row r="89" s="408" customFormat="1" ht="46.8" spans="1:30">
      <c r="A89" s="428" t="s">
        <v>230</v>
      </c>
      <c r="B89" s="421" t="s">
        <v>289</v>
      </c>
      <c r="C89" s="429" t="str">
        <f>VLOOKUP(B89,正厂竞争者数据汇总!D:H,2,FALSE)</f>
        <v>Motor目录</v>
      </c>
      <c r="D89" s="421" t="str">
        <f>VLOOKUP(B89,正厂竞争者数据汇总!D:H,3,FALSE)</f>
        <v>WA</v>
      </c>
      <c r="E89" s="430"/>
      <c r="F89" s="430">
        <f t="array" ref="F89">INDEX(正厂竞争者数据汇总!$H$2:$H$448,MATCH($A$82&amp;$B89,正厂竞争者数据汇总!$A$2:$A$448&amp;正厂竞争者数据汇总!$D$2:$D$448,0))</f>
        <v>25506.75</v>
      </c>
      <c r="G89" s="430"/>
      <c r="H89" s="430"/>
      <c r="I89" s="450"/>
      <c r="J89" s="451">
        <f t="shared" si="21"/>
        <v>0.0387783743572547</v>
      </c>
      <c r="K89" s="451">
        <v>0.0543052165157413</v>
      </c>
      <c r="L89" s="451">
        <v>0.054399453095687</v>
      </c>
      <c r="M89" s="452"/>
      <c r="N89" s="451"/>
      <c r="O89" s="430"/>
      <c r="P89" s="542" t="str">
        <f t="array" ref="P89">INDEX(正厂竞争者数据汇总!I:I,MATCH($A$82&amp;B89,正厂竞争者数据汇总!A:A&amp;正厂竞争者数据汇总!D:D,0))</f>
        <v>2021年11月重开
2021年10月临时关站
2020年10月从PartSites变成Revolution，加入MarketingShare</v>
      </c>
      <c r="Q89" s="429"/>
      <c r="R89" s="421"/>
      <c r="S89" s="472">
        <v>1194</v>
      </c>
      <c r="T89" s="472">
        <v>201</v>
      </c>
      <c r="U89" s="466"/>
      <c r="V89" s="466"/>
      <c r="W89" s="466"/>
      <c r="X89" s="466"/>
      <c r="Y89" s="200" t="s">
        <v>289</v>
      </c>
      <c r="Z89" s="200">
        <v>1195</v>
      </c>
      <c r="AA89" s="200">
        <v>202</v>
      </c>
      <c r="AB89" s="410">
        <f t="shared" si="18"/>
        <v>1</v>
      </c>
      <c r="AC89" s="409">
        <f t="shared" si="19"/>
        <v>1195</v>
      </c>
      <c r="AD89" s="409">
        <f t="shared" si="20"/>
        <v>202</v>
      </c>
    </row>
    <row r="90" s="408" customFormat="1" ht="17.4" spans="1:30">
      <c r="A90" s="428" t="s">
        <v>243</v>
      </c>
      <c r="B90" s="421" t="s">
        <v>290</v>
      </c>
      <c r="C90" s="429" t="s">
        <v>247</v>
      </c>
      <c r="D90" s="421" t="s">
        <v>291</v>
      </c>
      <c r="E90" s="430"/>
      <c r="F90" s="430">
        <f t="array" ref="F90">INDEX(正厂竞争者数据汇总!$H$2:$H$448,MATCH($A$82&amp;$B90,正厂竞争者数据汇总!$A$2:$A$448&amp;正厂竞争者数据汇总!$D$2:$D$448,0))</f>
        <v>23155.5</v>
      </c>
      <c r="G90" s="430"/>
      <c r="H90" s="430"/>
      <c r="I90" s="450"/>
      <c r="J90" s="451">
        <f t="shared" si="21"/>
        <v>0.0352037263637826</v>
      </c>
      <c r="K90" s="451">
        <v>0.0287667540844509</v>
      </c>
      <c r="L90" s="451">
        <v>0.0395280745322996</v>
      </c>
      <c r="M90" s="452"/>
      <c r="N90" s="451"/>
      <c r="O90" s="430"/>
      <c r="P90" s="542" t="str">
        <f t="array" ref="P90">INDEX(正厂竞争者数据汇总!I:I,MATCH($A$82&amp;B90,正厂竞争者数据汇总!A:A&amp;正厂竞争者数据汇总!D:D,0))</f>
        <v>2023年2月新增正厂</v>
      </c>
      <c r="Q90" s="429"/>
      <c r="R90" s="421"/>
      <c r="S90" s="472">
        <v>5186</v>
      </c>
      <c r="T90" s="472">
        <v>161</v>
      </c>
      <c r="U90" s="466"/>
      <c r="V90" s="466"/>
      <c r="W90" s="466"/>
      <c r="X90" s="466"/>
      <c r="Y90" s="200" t="s">
        <v>290</v>
      </c>
      <c r="Z90" s="200">
        <v>5059</v>
      </c>
      <c r="AA90" s="200">
        <v>132</v>
      </c>
      <c r="AB90" s="410">
        <f t="shared" si="18"/>
        <v>1</v>
      </c>
      <c r="AC90" s="409">
        <f t="shared" si="19"/>
        <v>5059</v>
      </c>
      <c r="AD90" s="409">
        <f t="shared" si="20"/>
        <v>132</v>
      </c>
    </row>
    <row r="91" s="408" customFormat="1" ht="46.8" spans="1:30">
      <c r="A91" s="428" t="s">
        <v>230</v>
      </c>
      <c r="B91" s="421" t="s">
        <v>255</v>
      </c>
      <c r="C91" s="429" t="str">
        <f>VLOOKUP(B91,正厂竞争者数据汇总!D:H,2,FALSE)</f>
        <v>Motor目录</v>
      </c>
      <c r="D91" s="421" t="str">
        <f>VLOOKUP(B91,正厂竞争者数据汇总!D:H,3,FALSE)</f>
        <v>RI</v>
      </c>
      <c r="E91" s="430"/>
      <c r="F91" s="430">
        <f t="array" ref="F91">INDEX(正厂竞争者数据汇总!$H$2:$H$448,MATCH($A$82&amp;$B91,正厂竞争者数据汇总!$A$2:$A$448&amp;正厂竞争者数据汇总!$D$2:$D$448,0))</f>
        <v>22602.4634666667</v>
      </c>
      <c r="G91" s="430"/>
      <c r="H91" s="430"/>
      <c r="I91" s="450"/>
      <c r="J91" s="451">
        <f t="shared" si="21"/>
        <v>0.0343629348978829</v>
      </c>
      <c r="K91" s="451">
        <v>0.0402354722382105</v>
      </c>
      <c r="L91" s="451">
        <v>0.0649751523997329</v>
      </c>
      <c r="M91" s="452"/>
      <c r="N91" s="451"/>
      <c r="O91" s="430"/>
      <c r="P91" s="542" t="str">
        <f t="array" ref="P91">INDEX(正厂竞争者数据汇总!I:I,MATCH($A$82&amp;B91,正厂竞争者数据汇总!A:A&amp;正厂竞争者数据汇总!D:D,0))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91" s="429"/>
      <c r="R91" s="421"/>
      <c r="S91" s="472">
        <v>37922</v>
      </c>
      <c r="T91" s="472">
        <v>1648</v>
      </c>
      <c r="U91" s="466"/>
      <c r="V91" s="466"/>
      <c r="W91" s="466"/>
      <c r="X91" s="466"/>
      <c r="Y91" s="200" t="s">
        <v>255</v>
      </c>
      <c r="Z91" s="200">
        <v>38224</v>
      </c>
      <c r="AA91" s="200">
        <v>1673</v>
      </c>
      <c r="AB91" s="410">
        <f t="shared" si="18"/>
        <v>1</v>
      </c>
      <c r="AC91" s="409">
        <f t="shared" si="19"/>
        <v>38224</v>
      </c>
      <c r="AD91" s="409">
        <f t="shared" si="20"/>
        <v>1673</v>
      </c>
    </row>
    <row r="92" s="408" customFormat="1" spans="1:30">
      <c r="A92" s="428" t="s">
        <v>230</v>
      </c>
      <c r="B92" s="421" t="s">
        <v>292</v>
      </c>
      <c r="C92" s="429" t="str">
        <f>VLOOKUP(B92,正厂竞争者数据汇总!D:H,2,FALSE)</f>
        <v>Motor目录</v>
      </c>
      <c r="D92" s="421" t="str">
        <f>VLOOKUP(B92,正厂竞争者数据汇总!D:H,3,FALSE)</f>
        <v>MA</v>
      </c>
      <c r="E92" s="430"/>
      <c r="F92" s="430">
        <f t="array" ref="F92">INDEX(正厂竞争者数据汇总!$H$2:$H$448,MATCH($A$82&amp;$B92,正厂竞争者数据汇总!$A$2:$A$448&amp;正厂竞争者数据汇总!$D$2:$D$448,0))</f>
        <v>15798.4016666667</v>
      </c>
      <c r="G92" s="430"/>
      <c r="H92" s="430"/>
      <c r="I92" s="450"/>
      <c r="J92" s="451">
        <f t="shared" si="21"/>
        <v>0.0240185964137445</v>
      </c>
      <c r="K92" s="451">
        <v>0.029013350159707</v>
      </c>
      <c r="L92" s="451">
        <v>0.0464345913559516</v>
      </c>
      <c r="M92" s="452"/>
      <c r="N92" s="451"/>
      <c r="O92" s="430"/>
      <c r="P92" s="542" t="str">
        <f t="array" ref="P92">INDEX(正厂竞争者数据汇总!I:I,MATCH($A$82&amp;B92,正厂竞争者数据汇总!A:A&amp;正厂竞争者数据汇总!D:D,0))</f>
        <v>同时经营多品牌，流量折算比例为Ford:23%,GM:23%,Infiniti:0%,Kia:13%,Mopar:31%,Nissan:10%</v>
      </c>
      <c r="Q92" s="429"/>
      <c r="R92" s="421"/>
      <c r="S92" s="472">
        <v>5897</v>
      </c>
      <c r="T92" s="472">
        <v>800</v>
      </c>
      <c r="U92" s="466"/>
      <c r="V92" s="466"/>
      <c r="W92" s="466"/>
      <c r="X92" s="466"/>
      <c r="Y92" s="200" t="s">
        <v>292</v>
      </c>
      <c r="Z92" s="200">
        <v>7144</v>
      </c>
      <c r="AA92" s="200">
        <v>831</v>
      </c>
      <c r="AB92" s="410">
        <f t="shared" si="18"/>
        <v>1</v>
      </c>
      <c r="AC92" s="409">
        <f t="shared" si="19"/>
        <v>7144</v>
      </c>
      <c r="AD92" s="409">
        <f t="shared" si="20"/>
        <v>831</v>
      </c>
    </row>
    <row r="93" s="408" customFormat="1" spans="1:30">
      <c r="A93" s="428"/>
      <c r="B93" s="421"/>
      <c r="C93" s="439"/>
      <c r="D93" s="421"/>
      <c r="E93" s="421"/>
      <c r="F93" s="430"/>
      <c r="G93" s="430"/>
      <c r="H93" s="430"/>
      <c r="I93" s="453"/>
      <c r="J93" s="430"/>
      <c r="K93" s="430"/>
      <c r="L93" s="430"/>
      <c r="M93" s="451"/>
      <c r="N93" s="451"/>
      <c r="O93" s="430"/>
      <c r="P93" s="542"/>
      <c r="Q93" s="429"/>
      <c r="R93" s="421"/>
      <c r="S93" s="473" t="s">
        <v>180</v>
      </c>
      <c r="T93" s="473" t="s">
        <v>180</v>
      </c>
      <c r="U93" s="466"/>
      <c r="V93" s="466"/>
      <c r="W93" s="421"/>
      <c r="X93" s="421"/>
      <c r="Y93" s="200" t="s">
        <v>240</v>
      </c>
      <c r="Z93" s="200" t="s">
        <v>180</v>
      </c>
      <c r="AA93" s="200" t="s">
        <v>180</v>
      </c>
      <c r="AB93" s="410">
        <f t="shared" si="18"/>
        <v>0</v>
      </c>
      <c r="AC93" s="409" t="str">
        <f t="shared" si="19"/>
        <v/>
      </c>
      <c r="AD93" s="409" t="str">
        <f t="shared" si="20"/>
        <v/>
      </c>
    </row>
    <row r="94" s="408" customFormat="1" spans="1:30">
      <c r="A94" s="428"/>
      <c r="B94" s="421"/>
      <c r="C94" s="439"/>
      <c r="D94" s="421"/>
      <c r="E94" s="421"/>
      <c r="F94" s="430">
        <f>SUM(F84:F92)</f>
        <v>657757.072666666</v>
      </c>
      <c r="G94" s="430">
        <v>445410.310833333</v>
      </c>
      <c r="H94" s="430">
        <v>428652.916666666</v>
      </c>
      <c r="I94" s="453">
        <f>(F94/G94)-1</f>
        <v>0.476744154027433</v>
      </c>
      <c r="J94" s="430"/>
      <c r="K94" s="430"/>
      <c r="L94" s="430"/>
      <c r="M94" s="451"/>
      <c r="N94" s="451">
        <f>SUM(N84:N85)</f>
        <v>0</v>
      </c>
      <c r="O94" s="430"/>
      <c r="P94" s="542"/>
      <c r="Q94" s="429"/>
      <c r="R94" s="421"/>
      <c r="S94" s="473" t="s">
        <v>180</v>
      </c>
      <c r="T94" s="473" t="s">
        <v>180</v>
      </c>
      <c r="U94" s="466"/>
      <c r="V94" s="466"/>
      <c r="W94" s="421"/>
      <c r="X94" s="421"/>
      <c r="Y94" s="200" t="s">
        <v>240</v>
      </c>
      <c r="Z94" s="200" t="s">
        <v>180</v>
      </c>
      <c r="AA94" s="200" t="s">
        <v>180</v>
      </c>
      <c r="AB94" s="410">
        <f t="shared" si="18"/>
        <v>0</v>
      </c>
      <c r="AC94" s="409" t="str">
        <f t="shared" si="19"/>
        <v/>
      </c>
      <c r="AD94" s="409" t="str">
        <f t="shared" si="20"/>
        <v/>
      </c>
    </row>
    <row r="95" s="408" customFormat="1" spans="1:30">
      <c r="A95" s="428"/>
      <c r="B95" s="421"/>
      <c r="C95" s="439"/>
      <c r="D95" s="421"/>
      <c r="E95" s="421"/>
      <c r="F95" s="430"/>
      <c r="G95" s="430"/>
      <c r="H95" s="430"/>
      <c r="I95" s="453"/>
      <c r="J95" s="430"/>
      <c r="K95" s="430"/>
      <c r="L95" s="430"/>
      <c r="M95" s="451"/>
      <c r="N95" s="451"/>
      <c r="O95" s="430"/>
      <c r="P95" s="542"/>
      <c r="Q95" s="429"/>
      <c r="R95" s="421"/>
      <c r="S95" s="473" t="s">
        <v>180</v>
      </c>
      <c r="T95" s="473" t="s">
        <v>180</v>
      </c>
      <c r="U95" s="466"/>
      <c r="V95" s="466"/>
      <c r="W95" s="421"/>
      <c r="X95" s="421"/>
      <c r="Y95" s="200" t="s">
        <v>240</v>
      </c>
      <c r="Z95" s="200" t="s">
        <v>180</v>
      </c>
      <c r="AA95" s="200" t="s">
        <v>180</v>
      </c>
      <c r="AB95" s="410">
        <f t="shared" si="18"/>
        <v>0</v>
      </c>
      <c r="AC95" s="409" t="str">
        <f t="shared" si="19"/>
        <v/>
      </c>
      <c r="AD95" s="409" t="str">
        <f t="shared" si="20"/>
        <v/>
      </c>
    </row>
    <row r="96" s="408" customFormat="1" ht="17.4" spans="1:30">
      <c r="A96" s="418" t="s">
        <v>165</v>
      </c>
      <c r="B96" s="419"/>
      <c r="C96" s="420"/>
      <c r="D96" s="421"/>
      <c r="E96" s="422" t="s">
        <v>202</v>
      </c>
      <c r="F96" s="422"/>
      <c r="G96" s="422"/>
      <c r="H96" s="422"/>
      <c r="I96" s="422"/>
      <c r="J96" s="422"/>
      <c r="K96" s="422"/>
      <c r="L96" s="422"/>
      <c r="M96" s="443"/>
      <c r="N96" s="444"/>
      <c r="O96" s="422"/>
      <c r="P96" s="542"/>
      <c r="Q96" s="465"/>
      <c r="R96" s="424"/>
      <c r="S96" s="473" t="s">
        <v>180</v>
      </c>
      <c r="T96" s="473" t="s">
        <v>180</v>
      </c>
      <c r="U96" s="467"/>
      <c r="V96" s="467"/>
      <c r="W96" s="467"/>
      <c r="X96" s="467"/>
      <c r="Y96" s="200" t="s">
        <v>240</v>
      </c>
      <c r="Z96" s="200" t="s">
        <v>180</v>
      </c>
      <c r="AA96" s="200" t="s">
        <v>180</v>
      </c>
      <c r="AB96" s="410">
        <f t="shared" si="18"/>
        <v>0</v>
      </c>
      <c r="AC96" s="409" t="str">
        <f t="shared" si="19"/>
        <v/>
      </c>
      <c r="AD96" s="409" t="str">
        <f t="shared" si="20"/>
        <v/>
      </c>
    </row>
    <row r="97" s="409" customFormat="1" ht="48.6" spans="1:30">
      <c r="A97" s="423" t="s">
        <v>206</v>
      </c>
      <c r="B97" s="424" t="s">
        <v>207</v>
      </c>
      <c r="C97" s="425" t="s">
        <v>208</v>
      </c>
      <c r="D97" s="424" t="s">
        <v>209</v>
      </c>
      <c r="E97" s="426" t="s">
        <v>210</v>
      </c>
      <c r="F97" s="427" t="s">
        <v>211</v>
      </c>
      <c r="G97" s="427" t="s">
        <v>212</v>
      </c>
      <c r="H97" s="427" t="s">
        <v>213</v>
      </c>
      <c r="I97" s="427" t="s">
        <v>214</v>
      </c>
      <c r="J97" s="446" t="s">
        <v>215</v>
      </c>
      <c r="K97" s="446" t="s">
        <v>216</v>
      </c>
      <c r="L97" s="446" t="s">
        <v>217</v>
      </c>
      <c r="M97" s="447" t="s">
        <v>218</v>
      </c>
      <c r="N97" s="448" t="s">
        <v>219</v>
      </c>
      <c r="O97" s="449" t="s">
        <v>220</v>
      </c>
      <c r="P97" s="543" t="s">
        <v>221</v>
      </c>
      <c r="Q97" s="469" t="s">
        <v>222</v>
      </c>
      <c r="R97" s="426" t="s">
        <v>223</v>
      </c>
      <c r="S97" s="470" t="s">
        <v>224</v>
      </c>
      <c r="T97" s="470" t="s">
        <v>205</v>
      </c>
      <c r="U97" s="467" t="s">
        <v>225</v>
      </c>
      <c r="V97" s="470" t="s">
        <v>226</v>
      </c>
      <c r="W97" s="467"/>
      <c r="X97" s="467"/>
      <c r="Y97" s="200" t="s">
        <v>207</v>
      </c>
      <c r="Z97" s="200" t="s">
        <v>180</v>
      </c>
      <c r="AA97" s="200" t="s">
        <v>180</v>
      </c>
      <c r="AB97" s="410">
        <f t="shared" si="18"/>
        <v>1</v>
      </c>
      <c r="AC97" s="409" t="str">
        <f t="shared" si="19"/>
        <v>Forum Link</v>
      </c>
      <c r="AD97" s="409" t="str">
        <f t="shared" si="20"/>
        <v>Domains</v>
      </c>
    </row>
    <row r="98" s="410" customFormat="1" spans="1:30">
      <c r="A98" s="432" t="s">
        <v>227</v>
      </c>
      <c r="B98" s="432" t="s">
        <v>166</v>
      </c>
      <c r="C98" s="434" t="str">
        <f>VLOOKUP(B98,正厂竞争者数据汇总!D:H,2,FALSE)</f>
        <v>原厂目录</v>
      </c>
      <c r="D98" s="435" t="str">
        <f>VLOOKUP(B98,正厂竞争者数据汇总!D:H,3,FALSE)</f>
        <v>AZ</v>
      </c>
      <c r="E98" s="462"/>
      <c r="F98" s="436">
        <f t="array" ref="F98">INDEX(正厂竞争者数据汇总!$H$2:$H$448,MATCH($A$96&amp;$B98,正厂竞争者数据汇总!$A$2:$A$448&amp;正厂竞争者数据汇总!$D$2:$D$448,0))</f>
        <v>194565.663333333</v>
      </c>
      <c r="G98" s="462"/>
      <c r="H98" s="462"/>
      <c r="I98" s="510"/>
      <c r="J98" s="461">
        <f t="shared" ref="J98:J104" si="22">F98/F$106</f>
        <v>0.391480508364283</v>
      </c>
      <c r="K98" s="457">
        <v>0.360828103677348</v>
      </c>
      <c r="L98" s="457">
        <v>0.335331812938051</v>
      </c>
      <c r="M98" s="461"/>
      <c r="N98" s="461"/>
      <c r="O98" s="462"/>
      <c r="P98" s="542">
        <f t="array" ref="P98">INDEX(正厂竞争者数据汇总!I:I,MATCH($A$96&amp;B98,正厂竞争者数据汇总!A:A&amp;正厂竞争者数据汇总!D:D,0))</f>
        <v>0</v>
      </c>
      <c r="Q98" s="434"/>
      <c r="R98" s="435"/>
      <c r="S98" s="476">
        <v>27767</v>
      </c>
      <c r="T98" s="476">
        <v>4556</v>
      </c>
      <c r="U98" s="477"/>
      <c r="V98" s="477"/>
      <c r="W98" s="435"/>
      <c r="X98" s="435"/>
      <c r="Y98" s="200" t="s">
        <v>166</v>
      </c>
      <c r="Z98" s="200">
        <v>19966</v>
      </c>
      <c r="AA98" s="200">
        <v>3700</v>
      </c>
      <c r="AB98" s="410">
        <f t="shared" si="18"/>
        <v>1</v>
      </c>
      <c r="AC98" s="409">
        <f t="shared" si="19"/>
        <v>19966</v>
      </c>
      <c r="AD98" s="409">
        <f t="shared" si="20"/>
        <v>3700</v>
      </c>
    </row>
    <row r="99" s="408" customFormat="1" spans="1:30">
      <c r="A99" s="428" t="s">
        <v>230</v>
      </c>
      <c r="B99" s="421" t="s">
        <v>293</v>
      </c>
      <c r="C99" s="429" t="str">
        <f>VLOOKUP(B99,正厂竞争者数据汇总!D:H,2,FALSE)</f>
        <v>Motor目录</v>
      </c>
      <c r="D99" s="421" t="str">
        <f>VLOOKUP(B99,正厂竞争者数据汇总!D:H,3,FALSE)</f>
        <v>WA</v>
      </c>
      <c r="E99" s="430"/>
      <c r="F99" s="430">
        <f t="array" ref="F99">INDEX(正厂竞争者数据汇总!$H$2:$H$448,MATCH($A$96&amp;$B99,正厂竞争者数据汇总!$A$2:$A$448&amp;正厂竞争者数据汇总!$D$2:$D$448,0))</f>
        <v>157431.333333333</v>
      </c>
      <c r="G99" s="430"/>
      <c r="H99" s="430"/>
      <c r="I99" s="450"/>
      <c r="J99" s="451">
        <f t="shared" si="22"/>
        <v>0.316763489250476</v>
      </c>
      <c r="K99" s="451">
        <v>0.328442067770291</v>
      </c>
      <c r="L99" s="451">
        <v>0.354720082912935</v>
      </c>
      <c r="M99" s="452"/>
      <c r="N99" s="451"/>
      <c r="O99" s="430"/>
      <c r="P99" s="542">
        <f t="array" ref="P99">INDEX(正厂竞争者数据汇总!I:I,MATCH($A$96&amp;B99,正厂竞争者数据汇总!A:A&amp;正厂竞争者数据汇总!D:D,0))</f>
        <v>0</v>
      </c>
      <c r="Q99" s="429"/>
      <c r="R99" s="421"/>
      <c r="S99" s="472">
        <v>17857</v>
      </c>
      <c r="T99" s="472">
        <v>591</v>
      </c>
      <c r="U99" s="466"/>
      <c r="V99" s="466"/>
      <c r="W99" s="466"/>
      <c r="X99" s="466"/>
      <c r="Y99" s="200" t="s">
        <v>293</v>
      </c>
      <c r="Z99" s="200">
        <v>17787</v>
      </c>
      <c r="AA99" s="200">
        <v>616</v>
      </c>
      <c r="AB99" s="410">
        <f t="shared" si="18"/>
        <v>1</v>
      </c>
      <c r="AC99" s="409">
        <f t="shared" si="19"/>
        <v>17787</v>
      </c>
      <c r="AD99" s="409">
        <f t="shared" si="20"/>
        <v>616</v>
      </c>
    </row>
    <row r="100" s="408" customFormat="1" spans="1:30">
      <c r="A100" s="428" t="s">
        <v>230</v>
      </c>
      <c r="B100" s="421" t="s">
        <v>294</v>
      </c>
      <c r="C100" s="429" t="str">
        <f>VLOOKUP(B100,正厂竞争者数据汇总!D:H,2,FALSE)</f>
        <v>Motor目录</v>
      </c>
      <c r="D100" s="421" t="str">
        <f>VLOOKUP(B100,正厂竞争者数据汇总!D:H,3,FALSE)</f>
        <v>MA</v>
      </c>
      <c r="E100" s="430"/>
      <c r="F100" s="430">
        <f t="array" ref="F100">INDEX(正厂竞争者数据汇总!$H$2:$H$448,MATCH($A$96&amp;$B100,正厂竞争者数据汇总!$A$2:$A$448&amp;正厂竞争者数据汇总!$D$2:$D$448,0))</f>
        <v>40214.4885666667</v>
      </c>
      <c r="G100" s="430"/>
      <c r="H100" s="430"/>
      <c r="I100" s="450"/>
      <c r="J100" s="451">
        <f t="shared" si="22"/>
        <v>0.0809145260164268</v>
      </c>
      <c r="K100" s="451">
        <v>0.091261475608617</v>
      </c>
      <c r="L100" s="451">
        <v>0.0824130549711102</v>
      </c>
      <c r="M100" s="452"/>
      <c r="N100" s="451"/>
      <c r="O100" s="430"/>
      <c r="P100" s="542" t="str">
        <f t="array" ref="P100">INDEX(正厂竞争者数据汇总!I:I,MATCH($A$96&amp;B100,正厂竞争者数据汇总!A:A&amp;正厂竞争者数据汇总!D:D,0))</f>
        <v>2022年1月 新加入 CompetitorSites</v>
      </c>
      <c r="Q100" s="429"/>
      <c r="R100" s="421"/>
      <c r="S100" s="472">
        <v>1882</v>
      </c>
      <c r="T100" s="472">
        <v>279</v>
      </c>
      <c r="U100" s="466"/>
      <c r="V100" s="466"/>
      <c r="W100" s="466"/>
      <c r="X100" s="466"/>
      <c r="Y100" s="200" t="s">
        <v>294</v>
      </c>
      <c r="Z100" s="200">
        <v>2913</v>
      </c>
      <c r="AA100" s="200">
        <v>301</v>
      </c>
      <c r="AB100" s="410">
        <f t="shared" si="18"/>
        <v>1</v>
      </c>
      <c r="AC100" s="409">
        <f t="shared" si="19"/>
        <v>2913</v>
      </c>
      <c r="AD100" s="409">
        <f t="shared" si="20"/>
        <v>301</v>
      </c>
    </row>
    <row r="101" s="408" customFormat="1" ht="31.2" spans="1:30">
      <c r="A101" s="428" t="s">
        <v>230</v>
      </c>
      <c r="B101" s="421" t="s">
        <v>295</v>
      </c>
      <c r="C101" s="429" t="str">
        <f>VLOOKUP(B101,正厂竞争者数据汇总!D:H,2,FALSE)</f>
        <v>Motor目录</v>
      </c>
      <c r="D101" s="421" t="str">
        <f>VLOOKUP(B101,正厂竞争者数据汇总!D:H,3,FALSE)</f>
        <v>NY</v>
      </c>
      <c r="E101" s="430"/>
      <c r="F101" s="430">
        <f t="array" ref="F101">INDEX(正厂竞争者数据汇总!$H$2:$H$448,MATCH($A$96&amp;$B101,正厂竞争者数据汇总!$A$2:$A$448&amp;正厂竞争者数据汇总!$D$2:$D$448,0))</f>
        <v>33194.35</v>
      </c>
      <c r="G101" s="430"/>
      <c r="H101" s="430"/>
      <c r="I101" s="450"/>
      <c r="J101" s="451">
        <f t="shared" si="22"/>
        <v>0.0667894878787465</v>
      </c>
      <c r="K101" s="451">
        <v>0.0639980547978691</v>
      </c>
      <c r="L101" s="451">
        <v>0.063748780400472</v>
      </c>
      <c r="M101" s="452"/>
      <c r="N101" s="451"/>
      <c r="O101" s="430"/>
      <c r="P101" s="542" t="str">
        <f t="array" ref="P101">INDEX(正厂竞争者数据汇总!I:I,MATCH($A$96&amp;B101,正厂竞争者数据汇总!A:A&amp;正厂竞争者数据汇总!D:D,0))</f>
        <v>2023年4月，流量更新为子站parts.subaruonlineparts.com，子站主营parts，此前监控域名为subaruonlineparts.com,该子域名的实际成单效率较高，流量不能完全反应其竞争力</v>
      </c>
      <c r="Q101" s="429"/>
      <c r="R101" s="421"/>
      <c r="S101" s="472">
        <v>1130</v>
      </c>
      <c r="T101" s="472">
        <v>113</v>
      </c>
      <c r="U101" s="466"/>
      <c r="V101" s="466"/>
      <c r="W101" s="466"/>
      <c r="X101" s="466"/>
      <c r="Y101" s="200" t="s">
        <v>295</v>
      </c>
      <c r="Z101" s="200">
        <v>1160</v>
      </c>
      <c r="AA101" s="200">
        <v>116</v>
      </c>
      <c r="AB101" s="410">
        <f t="shared" si="18"/>
        <v>1</v>
      </c>
      <c r="AC101" s="409">
        <f t="shared" si="19"/>
        <v>1160</v>
      </c>
      <c r="AD101" s="409">
        <f t="shared" si="20"/>
        <v>116</v>
      </c>
    </row>
    <row r="102" s="408" customFormat="1" spans="1:30">
      <c r="A102" s="428" t="s">
        <v>230</v>
      </c>
      <c r="B102" s="421" t="s">
        <v>296</v>
      </c>
      <c r="C102" s="429" t="str">
        <f>VLOOKUP(B102,正厂竞争者数据汇总!D:H,2,FALSE)</f>
        <v>Motor目录</v>
      </c>
      <c r="D102" s="421" t="str">
        <f>VLOOKUP(B102,正厂竞争者数据汇总!D:H,3,FALSE)</f>
        <v>NY</v>
      </c>
      <c r="E102" s="430"/>
      <c r="F102" s="430">
        <f t="array" ref="F102">INDEX(正厂竞争者数据汇总!$H$2:$H$448,MATCH($A$96&amp;$B102,正厂竞争者数据汇总!$A$2:$A$448&amp;正厂竞争者数据汇总!$D$2:$D$448,0))</f>
        <v>24690</v>
      </c>
      <c r="G102" s="430"/>
      <c r="H102" s="430"/>
      <c r="I102" s="450"/>
      <c r="J102" s="451">
        <f t="shared" si="22"/>
        <v>0.0496781065369936</v>
      </c>
      <c r="K102" s="451">
        <v>0.0544166089716081</v>
      </c>
      <c r="L102" s="451">
        <v>0.0509048868050764</v>
      </c>
      <c r="M102" s="452"/>
      <c r="N102" s="451"/>
      <c r="O102" s="430"/>
      <c r="P102" s="542" t="str">
        <f t="array" ref="P102">INDEX(正厂竞争者数据汇总!I:I,MATCH($A$96&amp;B102,正厂竞争者数据汇总!A:A&amp;正厂竞争者数据汇总!D:D,0))</f>
        <v>2023年2月新增正厂，Semrush子域名查不到流量。202306因流量上涨加入MS计算基准</v>
      </c>
      <c r="Q102" s="429"/>
      <c r="R102" s="421"/>
      <c r="S102" s="472">
        <v>42</v>
      </c>
      <c r="T102" s="472">
        <v>20</v>
      </c>
      <c r="U102" s="466"/>
      <c r="V102" s="466"/>
      <c r="W102" s="466"/>
      <c r="X102" s="466"/>
      <c r="Y102" s="200" t="s">
        <v>296</v>
      </c>
      <c r="Z102" s="200">
        <v>32</v>
      </c>
      <c r="AA102" s="200">
        <v>17</v>
      </c>
      <c r="AB102" s="410">
        <f t="shared" si="18"/>
        <v>1</v>
      </c>
      <c r="AC102" s="409">
        <f t="shared" si="19"/>
        <v>32</v>
      </c>
      <c r="AD102" s="409">
        <f t="shared" si="20"/>
        <v>17</v>
      </c>
    </row>
    <row r="103" s="408" customFormat="1" spans="1:30">
      <c r="A103" s="428" t="s">
        <v>230</v>
      </c>
      <c r="B103" s="421" t="s">
        <v>297</v>
      </c>
      <c r="C103" s="429" t="str">
        <f>VLOOKUP(B103,正厂竞争者数据汇总!D:H,2,FALSE)</f>
        <v>原厂目录</v>
      </c>
      <c r="D103" s="421" t="str">
        <f>VLOOKUP(B103,正厂竞争者数据汇总!D:H,3,FALSE)</f>
        <v>CT</v>
      </c>
      <c r="E103" s="430"/>
      <c r="F103" s="430">
        <f t="array" ref="F103">INDEX(正厂竞争者数据汇总!$H$2:$H$448,MATCH($A$96&amp;$B103,正厂竞争者数据汇总!$A$2:$A$448&amp;正厂竞争者数据汇总!$D$2:$D$448,0))</f>
        <v>24078.0333333333</v>
      </c>
      <c r="G103" s="430"/>
      <c r="H103" s="430"/>
      <c r="I103" s="450"/>
      <c r="J103" s="451">
        <f t="shared" si="22"/>
        <v>0.0484467843310901</v>
      </c>
      <c r="K103" s="451">
        <v>0.0537286338717594</v>
      </c>
      <c r="L103" s="451">
        <v>0.0605532538195351</v>
      </c>
      <c r="M103" s="452"/>
      <c r="N103" s="451"/>
      <c r="O103" s="430"/>
      <c r="P103" s="542" t="str">
        <f t="array" ref="P103">INDEX(正厂竞争者数据汇总!I:I,MATCH($A$96&amp;B103,正厂竞争者数据汇总!A:A&amp;正厂竞争者数据汇总!D:D,0))</f>
        <v>2024年1月，因市场份额大于5%，加入监控</v>
      </c>
      <c r="Q103" s="429"/>
      <c r="R103" s="421"/>
      <c r="S103" s="472">
        <v>8676</v>
      </c>
      <c r="T103" s="472">
        <v>113</v>
      </c>
      <c r="U103" s="466"/>
      <c r="V103" s="466"/>
      <c r="W103" s="466"/>
      <c r="X103" s="466"/>
      <c r="Y103" s="200"/>
      <c r="Z103" s="200"/>
      <c r="AA103" s="200"/>
      <c r="AB103" s="410"/>
      <c r="AC103" s="409"/>
      <c r="AD103" s="409"/>
    </row>
    <row r="104" s="408" customFormat="1" spans="1:30">
      <c r="A104" s="428" t="s">
        <v>243</v>
      </c>
      <c r="B104" s="421" t="s">
        <v>298</v>
      </c>
      <c r="C104" s="429" t="str">
        <f>VLOOKUP(B104,正厂竞争者数据汇总!D:H,2,FALSE)</f>
        <v>原厂目录</v>
      </c>
      <c r="D104" s="421" t="str">
        <f>VLOOKUP(B104,正厂竞争者数据汇总!D:H,3,FALSE)</f>
        <v>IL</v>
      </c>
      <c r="E104" s="430"/>
      <c r="F104" s="430">
        <f t="array" ref="F104">INDEX(正厂竞争者数据汇总!$H$2:$H$448,MATCH($A$96&amp;$B104,正厂竞争者数据汇总!$A$2:$A$448&amp;正厂竞争者数据汇总!$D$2:$D$448,0))</f>
        <v>22825.75</v>
      </c>
      <c r="G104" s="430"/>
      <c r="H104" s="430"/>
      <c r="I104" s="450"/>
      <c r="J104" s="451">
        <f t="shared" si="22"/>
        <v>0.0459270976219838</v>
      </c>
      <c r="K104" s="451">
        <v>0.047325055302508</v>
      </c>
      <c r="L104" s="451">
        <v>0.0523281281528202</v>
      </c>
      <c r="M104" s="452"/>
      <c r="N104" s="451"/>
      <c r="O104" s="430"/>
      <c r="P104" s="542">
        <f t="array" ref="P104">INDEX(正厂竞争者数据汇总!I:I,MATCH($A$96&amp;B104,正厂竞争者数据汇总!A:A&amp;正厂竞争者数据汇总!D:D,0))</f>
        <v>0</v>
      </c>
      <c r="Q104" s="429"/>
      <c r="R104" s="421"/>
      <c r="S104" s="472">
        <v>678</v>
      </c>
      <c r="T104" s="472">
        <v>164</v>
      </c>
      <c r="U104" s="466"/>
      <c r="V104" s="466"/>
      <c r="W104" s="466"/>
      <c r="X104" s="466"/>
      <c r="Y104" s="200" t="s">
        <v>298</v>
      </c>
      <c r="Z104" s="200">
        <v>682</v>
      </c>
      <c r="AA104" s="200">
        <v>157</v>
      </c>
      <c r="AB104" s="410">
        <f>IF(B104=Y104,1,0)</f>
        <v>1</v>
      </c>
      <c r="AC104" s="409">
        <f>IF(Y104="Competitors","Forum Link",Z104)</f>
        <v>682</v>
      </c>
      <c r="AD104" s="409">
        <f>IF(Y104="Competitors","Domains",AA104)</f>
        <v>157</v>
      </c>
    </row>
    <row r="105" s="408" customFormat="1" spans="1:30">
      <c r="A105" s="428"/>
      <c r="B105" s="421"/>
      <c r="C105" s="429"/>
      <c r="D105" s="421"/>
      <c r="E105" s="430"/>
      <c r="F105" s="481"/>
      <c r="G105" s="481"/>
      <c r="H105" s="481"/>
      <c r="I105" s="453"/>
      <c r="J105" s="451"/>
      <c r="K105" s="451"/>
      <c r="L105" s="451"/>
      <c r="M105" s="451"/>
      <c r="N105" s="451"/>
      <c r="O105" s="430"/>
      <c r="P105" s="542"/>
      <c r="Q105" s="429"/>
      <c r="R105" s="421"/>
      <c r="S105" s="473" t="s">
        <v>180</v>
      </c>
      <c r="T105" s="473" t="s">
        <v>180</v>
      </c>
      <c r="U105" s="466"/>
      <c r="V105" s="466"/>
      <c r="W105" s="421"/>
      <c r="X105" s="421"/>
      <c r="Y105" s="200" t="s">
        <v>240</v>
      </c>
      <c r="Z105" s="200" t="s">
        <v>180</v>
      </c>
      <c r="AA105" s="200" t="s">
        <v>180</v>
      </c>
      <c r="AB105" s="410">
        <f>IF(B105=Y105,1,0)</f>
        <v>0</v>
      </c>
      <c r="AC105" s="409" t="str">
        <f>IF(Y105="Competitors","Forum Link",Z105)</f>
        <v/>
      </c>
      <c r="AD105" s="409" t="str">
        <f>IF(Y105="Competitors","Domains",AA105)</f>
        <v/>
      </c>
    </row>
    <row r="106" s="408" customFormat="1" spans="1:30">
      <c r="A106" s="428"/>
      <c r="B106" s="421"/>
      <c r="C106" s="439"/>
      <c r="D106" s="421"/>
      <c r="E106" s="421"/>
      <c r="F106" s="481">
        <f>SUM(F98:F104)</f>
        <v>496999.618566666</v>
      </c>
      <c r="G106" s="481">
        <v>427571.166666666</v>
      </c>
      <c r="H106" s="481">
        <v>496054.5</v>
      </c>
      <c r="I106" s="453">
        <f>(F106/G106)-1</f>
        <v>0.162378703974037</v>
      </c>
      <c r="J106" s="430"/>
      <c r="K106" s="430"/>
      <c r="L106" s="430"/>
      <c r="M106" s="451"/>
      <c r="N106" s="451">
        <f>SUM(N98:N104)</f>
        <v>0</v>
      </c>
      <c r="O106" s="430"/>
      <c r="P106" s="542"/>
      <c r="Q106" s="429"/>
      <c r="R106" s="421"/>
      <c r="S106" s="473" t="s">
        <v>180</v>
      </c>
      <c r="T106" s="473" t="s">
        <v>180</v>
      </c>
      <c r="U106" s="466"/>
      <c r="V106" s="466"/>
      <c r="W106" s="421"/>
      <c r="X106" s="421"/>
      <c r="Y106" s="200" t="s">
        <v>240</v>
      </c>
      <c r="Z106" s="200" t="s">
        <v>180</v>
      </c>
      <c r="AA106" s="200" t="s">
        <v>180</v>
      </c>
      <c r="AB106" s="410">
        <f>IF(B106=Y106,1,0)</f>
        <v>0</v>
      </c>
      <c r="AC106" s="409" t="str">
        <f>IF(Y106="Competitors","Forum Link",Z106)</f>
        <v/>
      </c>
      <c r="AD106" s="409" t="str">
        <f>IF(Y106="Competitors","Domains",AA106)</f>
        <v/>
      </c>
    </row>
    <row r="107" s="408" customFormat="1" spans="1:30">
      <c r="A107" s="428"/>
      <c r="B107" s="421"/>
      <c r="C107" s="429"/>
      <c r="D107" s="421"/>
      <c r="E107" s="430"/>
      <c r="F107" s="451"/>
      <c r="G107" s="451"/>
      <c r="H107" s="451"/>
      <c r="I107" s="453"/>
      <c r="J107" s="451"/>
      <c r="K107" s="451"/>
      <c r="L107" s="451"/>
      <c r="M107" s="451"/>
      <c r="N107" s="451"/>
      <c r="O107" s="451"/>
      <c r="P107" s="542"/>
      <c r="Q107" s="429"/>
      <c r="R107" s="421"/>
      <c r="S107" s="473" t="s">
        <v>180</v>
      </c>
      <c r="T107" s="473" t="s">
        <v>180</v>
      </c>
      <c r="U107" s="466"/>
      <c r="V107" s="466"/>
      <c r="W107" s="421"/>
      <c r="X107" s="421"/>
      <c r="Y107" s="200" t="s">
        <v>240</v>
      </c>
      <c r="Z107" s="200" t="s">
        <v>180</v>
      </c>
      <c r="AA107" s="200" t="s">
        <v>180</v>
      </c>
      <c r="AB107" s="410">
        <f>IF(B107=Y107,1,0)</f>
        <v>0</v>
      </c>
      <c r="AC107" s="409" t="str">
        <f>IF(Y107="Competitors","Forum Link",Z107)</f>
        <v/>
      </c>
      <c r="AD107" s="409" t="str">
        <f>IF(Y107="Competitors","Domains",AA107)</f>
        <v/>
      </c>
    </row>
    <row r="108" s="408" customFormat="1" ht="17.4" spans="1:30">
      <c r="A108" s="418" t="s">
        <v>168</v>
      </c>
      <c r="B108" s="487"/>
      <c r="C108" s="420"/>
      <c r="D108" s="421"/>
      <c r="E108" s="422" t="s">
        <v>202</v>
      </c>
      <c r="F108" s="422"/>
      <c r="G108" s="422" t="s">
        <v>212</v>
      </c>
      <c r="H108" s="422"/>
      <c r="I108" s="422"/>
      <c r="J108" s="422"/>
      <c r="K108" s="422"/>
      <c r="L108" s="422"/>
      <c r="M108" s="443"/>
      <c r="N108" s="444"/>
      <c r="O108" s="422"/>
      <c r="P108" s="542"/>
      <c r="Q108" s="465"/>
      <c r="R108" s="424"/>
      <c r="S108" s="473" t="s">
        <v>180</v>
      </c>
      <c r="T108" s="473" t="s">
        <v>180</v>
      </c>
      <c r="U108" s="467"/>
      <c r="V108" s="467"/>
      <c r="W108" s="467"/>
      <c r="X108" s="467"/>
      <c r="Y108" s="200" t="s">
        <v>240</v>
      </c>
      <c r="Z108" s="200" t="s">
        <v>180</v>
      </c>
      <c r="AA108" s="200" t="s">
        <v>180</v>
      </c>
      <c r="AB108" s="410">
        <f t="shared" ref="AB108:AB120" si="23">IF(B108=Y108,1,0)</f>
        <v>0</v>
      </c>
      <c r="AC108" s="409" t="str">
        <f t="shared" ref="AC108:AC120" si="24">IF(Y108="Competitors","Forum Link",Z108)</f>
        <v/>
      </c>
      <c r="AD108" s="409" t="str">
        <f t="shared" ref="AD108:AD120" si="25">IF(Y108="Competitors","Domains",AA108)</f>
        <v/>
      </c>
    </row>
    <row r="109" s="409" customFormat="1" ht="46.8" spans="1:30">
      <c r="A109" s="423" t="s">
        <v>206</v>
      </c>
      <c r="B109" s="424" t="s">
        <v>207</v>
      </c>
      <c r="C109" s="425" t="s">
        <v>208</v>
      </c>
      <c r="D109" s="424" t="s">
        <v>209</v>
      </c>
      <c r="E109" s="426" t="s">
        <v>210</v>
      </c>
      <c r="F109" s="427" t="s">
        <v>211</v>
      </c>
      <c r="G109" s="427">
        <v>197584.75</v>
      </c>
      <c r="H109" s="427" t="s">
        <v>213</v>
      </c>
      <c r="I109" s="427" t="s">
        <v>214</v>
      </c>
      <c r="J109" s="446" t="s">
        <v>215</v>
      </c>
      <c r="K109" s="446" t="s">
        <v>216</v>
      </c>
      <c r="L109" s="446" t="s">
        <v>217</v>
      </c>
      <c r="M109" s="447" t="s">
        <v>218</v>
      </c>
      <c r="N109" s="448" t="s">
        <v>219</v>
      </c>
      <c r="O109" s="449" t="s">
        <v>220</v>
      </c>
      <c r="P109" s="543" t="s">
        <v>221</v>
      </c>
      <c r="Q109" s="469" t="s">
        <v>222</v>
      </c>
      <c r="R109" s="426" t="s">
        <v>223</v>
      </c>
      <c r="S109" s="470" t="s">
        <v>224</v>
      </c>
      <c r="T109" s="470" t="s">
        <v>205</v>
      </c>
      <c r="U109" s="467" t="s">
        <v>225</v>
      </c>
      <c r="V109" s="470" t="s">
        <v>226</v>
      </c>
      <c r="W109" s="467"/>
      <c r="X109" s="467"/>
      <c r="Y109" s="200" t="s">
        <v>207</v>
      </c>
      <c r="Z109" s="200" t="s">
        <v>180</v>
      </c>
      <c r="AA109" s="200" t="s">
        <v>180</v>
      </c>
      <c r="AB109" s="410">
        <f t="shared" si="23"/>
        <v>1</v>
      </c>
      <c r="AC109" s="409" t="str">
        <f t="shared" si="24"/>
        <v>Forum Link</v>
      </c>
      <c r="AD109" s="409" t="str">
        <f t="shared" si="25"/>
        <v>Domains</v>
      </c>
    </row>
    <row r="110" s="410" customFormat="1" ht="17.4" spans="1:30">
      <c r="A110" s="432" t="s">
        <v>227</v>
      </c>
      <c r="B110" s="432" t="s">
        <v>169</v>
      </c>
      <c r="C110" s="434" t="str">
        <f>VLOOKUP(B110,正厂竞争者数据汇总!D:H,2,FALSE)</f>
        <v>原厂目录</v>
      </c>
      <c r="D110" s="435" t="str">
        <f>VLOOKUP(B110,正厂竞争者数据汇总!D:H,3,FALSE)</f>
        <v>CA</v>
      </c>
      <c r="E110" s="436">
        <f>VLOOKUP(B110,正厂竞争者数据汇总!D:H,4,FALSE)</f>
        <v>0</v>
      </c>
      <c r="F110" s="436">
        <f t="array" ref="F110">INDEX(正厂竞争者数据汇总!$H$2:$H$448,MATCH($A$108&amp;$B110,正厂竞争者数据汇总!$A$2:$A$448&amp;正厂竞争者数据汇总!$D$2:$D$448,0))</f>
        <v>289409.166666667</v>
      </c>
      <c r="G110" s="436">
        <v>39089.5833333333</v>
      </c>
      <c r="H110" s="436">
        <v>201623.666666667</v>
      </c>
      <c r="I110" s="454">
        <f>(F110/G110)-1</f>
        <v>6.40374140595855</v>
      </c>
      <c r="J110" s="457">
        <f t="shared" ref="J110:J117" si="26">F110/F$119</f>
        <v>0.583614540188078</v>
      </c>
      <c r="K110" s="457">
        <v>0.587303641640762</v>
      </c>
      <c r="L110" s="457">
        <v>0.624093948477954</v>
      </c>
      <c r="M110" s="456">
        <f>J110-K114</f>
        <v>0.542922184223747</v>
      </c>
      <c r="N110" s="457" t="str">
        <f>IFERROR(O110*0.5/$F$110,"")</f>
        <v/>
      </c>
      <c r="O110" s="436" t="s">
        <v>180</v>
      </c>
      <c r="P110" s="542">
        <f t="array" ref="P110">INDEX(正厂竞争者数据汇总!I:I,MATCH($A$108&amp;B110,正厂竞争者数据汇总!A:A&amp;正厂竞争者数据汇总!D:D,0))</f>
        <v>0</v>
      </c>
      <c r="Q110" s="434" t="s">
        <v>299</v>
      </c>
      <c r="R110" s="435" t="s">
        <v>229</v>
      </c>
      <c r="S110" s="476">
        <v>27643</v>
      </c>
      <c r="T110" s="476">
        <v>3955</v>
      </c>
      <c r="U110" s="477"/>
      <c r="V110" s="477"/>
      <c r="W110" s="435"/>
      <c r="X110" s="435"/>
      <c r="Y110" s="200" t="s">
        <v>169</v>
      </c>
      <c r="Z110" s="200">
        <v>25098</v>
      </c>
      <c r="AA110" s="200">
        <v>3453</v>
      </c>
      <c r="AB110" s="410">
        <f t="shared" si="23"/>
        <v>1</v>
      </c>
      <c r="AC110" s="409">
        <f t="shared" si="24"/>
        <v>25098</v>
      </c>
      <c r="AD110" s="409">
        <f t="shared" si="25"/>
        <v>3453</v>
      </c>
    </row>
    <row r="111" s="408" customFormat="1" ht="17.4" spans="1:30">
      <c r="A111" s="428" t="s">
        <v>243</v>
      </c>
      <c r="B111" s="421" t="s">
        <v>300</v>
      </c>
      <c r="C111" s="429" t="s">
        <v>301</v>
      </c>
      <c r="D111" s="421" t="s">
        <v>302</v>
      </c>
      <c r="E111" s="430"/>
      <c r="F111" s="430">
        <f t="array" ref="F111">INDEX(正厂竞争者数据汇总!$H$2:$H$448,MATCH($A$108&amp;$B111,正厂竞争者数据汇总!$A$2:$A$448&amp;正厂竞争者数据汇总!$D$2:$D$448,0))</f>
        <v>41932.3366666667</v>
      </c>
      <c r="G111" s="430"/>
      <c r="H111" s="430"/>
      <c r="I111" s="450"/>
      <c r="J111" s="451">
        <f t="shared" si="26"/>
        <v>0.0845595931345011</v>
      </c>
      <c r="K111" s="451">
        <v>0.0752886508574065</v>
      </c>
      <c r="L111" s="451">
        <v>0.065333377620153</v>
      </c>
      <c r="M111" s="452"/>
      <c r="N111" s="451"/>
      <c r="O111" s="430"/>
      <c r="P111" s="542" t="str">
        <f t="array" ref="P111">INDEX(正厂竞争者数据汇总!I:I,MATCH($A$108&amp;B111,正厂竞争者数据汇总!A:A&amp;正厂竞争者数据汇总!D:D,0))</f>
        <v>2023年3月新增正厂，202305因流量超过MS5%加入MS计算基准</v>
      </c>
      <c r="Q111" s="429"/>
      <c r="R111" s="421"/>
      <c r="S111" s="472">
        <v>592</v>
      </c>
      <c r="T111" s="472">
        <v>219</v>
      </c>
      <c r="U111" s="466"/>
      <c r="V111" s="466"/>
      <c r="W111" s="466"/>
      <c r="X111" s="466"/>
      <c r="Y111" s="200" t="s">
        <v>300</v>
      </c>
      <c r="Z111" s="200">
        <v>588</v>
      </c>
      <c r="AA111" s="200">
        <v>174</v>
      </c>
      <c r="AB111" s="410">
        <f t="shared" si="23"/>
        <v>1</v>
      </c>
      <c r="AC111" s="409">
        <f t="shared" si="24"/>
        <v>588</v>
      </c>
      <c r="AD111" s="409">
        <f t="shared" si="25"/>
        <v>174</v>
      </c>
    </row>
    <row r="112" s="408" customFormat="1" ht="17.4" spans="1:30">
      <c r="A112" s="428" t="s">
        <v>243</v>
      </c>
      <c r="B112" s="421" t="s">
        <v>303</v>
      </c>
      <c r="C112" s="429" t="s">
        <v>247</v>
      </c>
      <c r="D112" s="421" t="s">
        <v>49</v>
      </c>
      <c r="E112" s="430"/>
      <c r="F112" s="430">
        <f t="array" ref="F112">INDEX(正厂竞争者数据汇总!$H$2:$H$448,MATCH($A$108&amp;$B112,正厂竞争者数据汇总!$A$2:$A$448&amp;正厂竞争者数据汇总!$D$2:$D$448,0))</f>
        <v>40924.5</v>
      </c>
      <c r="G112" s="430"/>
      <c r="H112" s="430"/>
      <c r="I112" s="450"/>
      <c r="J112" s="451">
        <f t="shared" si="26"/>
        <v>0.0825272175205011</v>
      </c>
      <c r="K112" s="451">
        <v>0.0806907081263549</v>
      </c>
      <c r="L112" s="451">
        <v>0.0837887478622763</v>
      </c>
      <c r="M112" s="452"/>
      <c r="N112" s="451"/>
      <c r="O112" s="430"/>
      <c r="P112" s="542" t="str">
        <f t="array" ref="P112">INDEX(正厂竞争者数据汇总!I:I,MATCH($A$108&amp;B112,正厂竞争者数据汇总!A:A&amp;正厂竞争者数据汇总!D:D,0))</f>
        <v>2023年3月新增正厂，202306因流量超过MS5%加入MS计算基准</v>
      </c>
      <c r="Q112" s="429"/>
      <c r="R112" s="421"/>
      <c r="S112" s="472">
        <v>704</v>
      </c>
      <c r="T112" s="472">
        <v>364</v>
      </c>
      <c r="U112" s="466"/>
      <c r="V112" s="466"/>
      <c r="W112" s="466"/>
      <c r="X112" s="466"/>
      <c r="Y112" s="200" t="s">
        <v>303</v>
      </c>
      <c r="Z112" s="200">
        <v>668</v>
      </c>
      <c r="AA112" s="200">
        <v>300</v>
      </c>
      <c r="AB112" s="410">
        <f t="shared" si="23"/>
        <v>1</v>
      </c>
      <c r="AC112" s="409">
        <f t="shared" si="24"/>
        <v>668</v>
      </c>
      <c r="AD112" s="409">
        <f t="shared" si="25"/>
        <v>300</v>
      </c>
    </row>
    <row r="113" s="408" customFormat="1" spans="1:30">
      <c r="A113" s="428" t="s">
        <v>230</v>
      </c>
      <c r="B113" s="421" t="s">
        <v>304</v>
      </c>
      <c r="C113" s="429" t="str">
        <f>VLOOKUP(B113,正厂竞争者数据汇总!D:H,2,FALSE)</f>
        <v>Motor目录</v>
      </c>
      <c r="D113" s="421" t="str">
        <f>VLOOKUP(B113,正厂竞争者数据汇总!D:H,3,FALSE)</f>
        <v>CA</v>
      </c>
      <c r="E113" s="430"/>
      <c r="F113" s="430">
        <f t="array" ref="F113">INDEX(正厂竞争者数据汇总!$H$2:$H$448,MATCH($A$108&amp;$B113,正厂竞争者数据汇总!$A$2:$A$448&amp;正厂竞争者数据汇总!$D$2:$D$448,0))</f>
        <v>32285.1666666666</v>
      </c>
      <c r="G113" s="430"/>
      <c r="H113" s="430"/>
      <c r="I113" s="450"/>
      <c r="J113" s="451">
        <f t="shared" si="26"/>
        <v>0.065105376295022</v>
      </c>
      <c r="K113" s="451">
        <v>0.0661558225015492</v>
      </c>
      <c r="L113" s="451">
        <v>0.0512922404955742</v>
      </c>
      <c r="M113" s="452"/>
      <c r="N113" s="451"/>
      <c r="O113" s="430"/>
      <c r="P113" s="542">
        <f t="array" ref="P113">INDEX(正厂竞争者数据汇总!I:I,MATCH($A$108&amp;B113,正厂竞争者数据汇总!A:A&amp;正厂竞争者数据汇总!D:D,0))</f>
        <v>0</v>
      </c>
      <c r="Q113" s="429"/>
      <c r="R113" s="421"/>
      <c r="S113" s="472">
        <v>827</v>
      </c>
      <c r="T113" s="472">
        <v>123</v>
      </c>
      <c r="U113" s="466"/>
      <c r="V113" s="466"/>
      <c r="W113" s="466"/>
      <c r="X113" s="466"/>
      <c r="Y113" s="200" t="s">
        <v>304</v>
      </c>
      <c r="Z113" s="200">
        <v>772</v>
      </c>
      <c r="AA113" s="200">
        <v>127</v>
      </c>
      <c r="AB113" s="410">
        <f t="shared" si="23"/>
        <v>1</v>
      </c>
      <c r="AC113" s="409">
        <f t="shared" si="24"/>
        <v>772</v>
      </c>
      <c r="AD113" s="409">
        <f t="shared" si="25"/>
        <v>127</v>
      </c>
    </row>
    <row r="114" s="408" customFormat="1" spans="1:30">
      <c r="A114" s="428" t="s">
        <v>305</v>
      </c>
      <c r="B114" s="421" t="s">
        <v>306</v>
      </c>
      <c r="C114" s="429" t="str">
        <f>VLOOKUP(B114,正厂竞争者数据汇总!D:H,2,FALSE)</f>
        <v>Motor目录</v>
      </c>
      <c r="D114" s="421" t="str">
        <f>VLOOKUP(B114,正厂竞争者数据汇总!D:H,3,FALSE)</f>
        <v>CA</v>
      </c>
      <c r="E114" s="430"/>
      <c r="F114" s="430">
        <f t="array" ref="F114">INDEX(正厂竞争者数据汇总!$H$2:$H$448,MATCH($A$108&amp;$B114,正厂竞争者数据汇总!$A$2:$A$448&amp;正厂竞争者数据汇总!$D$2:$D$448,0))</f>
        <v>25664.33</v>
      </c>
      <c r="G114" s="430"/>
      <c r="H114" s="430"/>
      <c r="I114" s="450"/>
      <c r="J114" s="451">
        <f t="shared" si="26"/>
        <v>0.051753979753642</v>
      </c>
      <c r="K114" s="451">
        <v>0.0406923559643308</v>
      </c>
      <c r="L114" s="451">
        <v>0.0361342047632422</v>
      </c>
      <c r="M114" s="452"/>
      <c r="N114" s="451"/>
      <c r="O114" s="430"/>
      <c r="P114" s="542">
        <f t="array" ref="P114">INDEX(正厂竞争者数据汇总!I:I,MATCH($A$108&amp;B114,正厂竞争者数据汇总!A:A&amp;正厂竞争者数据汇总!D:D,0))</f>
        <v>0</v>
      </c>
      <c r="Q114" s="429"/>
      <c r="R114" s="421"/>
      <c r="S114" s="472">
        <v>1367</v>
      </c>
      <c r="T114" s="472">
        <v>273</v>
      </c>
      <c r="U114" s="466"/>
      <c r="V114" s="466"/>
      <c r="W114" s="466"/>
      <c r="X114" s="466"/>
      <c r="Y114" s="200" t="s">
        <v>306</v>
      </c>
      <c r="Z114" s="200">
        <v>1449</v>
      </c>
      <c r="AA114" s="200">
        <v>265</v>
      </c>
      <c r="AB114" s="410">
        <f t="shared" si="23"/>
        <v>1</v>
      </c>
      <c r="AC114" s="409">
        <f t="shared" si="24"/>
        <v>1449</v>
      </c>
      <c r="AD114" s="409">
        <f t="shared" si="25"/>
        <v>265</v>
      </c>
    </row>
    <row r="115" s="408" customFormat="1" ht="17.4" spans="1:30">
      <c r="A115" s="428" t="s">
        <v>230</v>
      </c>
      <c r="B115" s="421" t="s">
        <v>307</v>
      </c>
      <c r="C115" s="429" t="s">
        <v>247</v>
      </c>
      <c r="D115" s="421" t="s">
        <v>49</v>
      </c>
      <c r="E115" s="430"/>
      <c r="F115" s="430">
        <f t="array" ref="F115">INDEX(正厂竞争者数据汇总!$H$2:$H$448,MATCH($A$108&amp;$B115,正厂竞争者数据汇总!$A$2:$A$448&amp;正厂竞争者数据汇总!$D$2:$D$448,0))</f>
        <v>24728.8333333333</v>
      </c>
      <c r="G115" s="430"/>
      <c r="H115" s="430"/>
      <c r="I115" s="450"/>
      <c r="J115" s="451">
        <f t="shared" si="26"/>
        <v>0.0498674829876533</v>
      </c>
      <c r="K115" s="451">
        <v>0.059505874069917</v>
      </c>
      <c r="L115" s="451">
        <v>0.0587943870488302</v>
      </c>
      <c r="M115" s="452"/>
      <c r="N115" s="451"/>
      <c r="O115" s="430"/>
      <c r="P115" s="542" t="str">
        <f t="array" ref="P115">INDEX(正厂竞争者数据汇总!I:I,MATCH($A$108&amp;B115,正厂竞争者数据汇总!A:A&amp;正厂竞争者数据汇总!D:D,0))</f>
        <v>2023年2月新增正厂</v>
      </c>
      <c r="Q115" s="429"/>
      <c r="R115" s="421"/>
      <c r="S115" s="472">
        <v>630</v>
      </c>
      <c r="T115" s="472">
        <v>59</v>
      </c>
      <c r="U115" s="466"/>
      <c r="V115" s="466"/>
      <c r="W115" s="466"/>
      <c r="X115" s="466"/>
      <c r="Y115" s="200" t="s">
        <v>307</v>
      </c>
      <c r="Z115" s="200">
        <v>754</v>
      </c>
      <c r="AA115" s="200">
        <v>70</v>
      </c>
      <c r="AB115" s="410">
        <f t="shared" si="23"/>
        <v>1</v>
      </c>
      <c r="AC115" s="409">
        <f t="shared" si="24"/>
        <v>754</v>
      </c>
      <c r="AD115" s="409">
        <f t="shared" si="25"/>
        <v>70</v>
      </c>
    </row>
    <row r="116" s="408" customFormat="1" spans="1:30">
      <c r="A116" s="428" t="s">
        <v>230</v>
      </c>
      <c r="B116" s="421" t="s">
        <v>308</v>
      </c>
      <c r="C116" s="429" t="str">
        <f>VLOOKUP(B116,正厂竞争者数据汇总!D:H,2,FALSE)</f>
        <v>Motor目录</v>
      </c>
      <c r="D116" s="421" t="str">
        <f>VLOOKUP(B116,正厂竞争者数据汇总!D:H,3,FALSE)</f>
        <v>OH</v>
      </c>
      <c r="E116" s="430"/>
      <c r="F116" s="430">
        <f t="array" ref="F116">INDEX(正厂竞争者数据汇总!$H$2:$H$448,MATCH($A$108&amp;$B116,正厂竞争者数据汇总!$A$2:$A$448&amp;正厂竞争者数据汇总!$D$2:$D$448,0))</f>
        <v>22470.9166666667</v>
      </c>
      <c r="G116" s="430"/>
      <c r="H116" s="430"/>
      <c r="I116" s="450"/>
      <c r="J116" s="451">
        <f t="shared" si="26"/>
        <v>0.0453142305375767</v>
      </c>
      <c r="K116" s="451">
        <v>0.0492835378857404</v>
      </c>
      <c r="L116" s="451">
        <v>0.0425556582629914</v>
      </c>
      <c r="M116" s="452"/>
      <c r="N116" s="451"/>
      <c r="O116" s="430"/>
      <c r="P116" s="542">
        <f t="array" ref="P116">INDEX(正厂竞争者数据汇总!I:I,MATCH($A$108&amp;B116,正厂竞争者数据汇总!A:A&amp;正厂竞争者数据汇总!D:D,0))</f>
        <v>0</v>
      </c>
      <c r="Q116" s="429"/>
      <c r="R116" s="421"/>
      <c r="S116" s="472">
        <v>539</v>
      </c>
      <c r="T116" s="472">
        <v>141</v>
      </c>
      <c r="U116" s="466"/>
      <c r="V116" s="466"/>
      <c r="W116" s="466"/>
      <c r="X116" s="466"/>
      <c r="Y116" s="200" t="s">
        <v>308</v>
      </c>
      <c r="Z116" s="200">
        <v>665</v>
      </c>
      <c r="AA116" s="200">
        <v>178</v>
      </c>
      <c r="AB116" s="410">
        <f t="shared" si="23"/>
        <v>1</v>
      </c>
      <c r="AC116" s="409">
        <f t="shared" si="24"/>
        <v>665</v>
      </c>
      <c r="AD116" s="409">
        <f t="shared" si="25"/>
        <v>178</v>
      </c>
    </row>
    <row r="117" s="408" customFormat="1" spans="1:30">
      <c r="A117" s="428" t="s">
        <v>230</v>
      </c>
      <c r="B117" s="421" t="s">
        <v>309</v>
      </c>
      <c r="C117" s="429" t="str">
        <f>VLOOKUP(B117,正厂竞争者数据汇总!D:H,2,FALSE)</f>
        <v>Motor目录</v>
      </c>
      <c r="D117" s="421" t="str">
        <f>VLOOKUP(B117,正厂竞争者数据汇总!D:H,3,FALSE)</f>
        <v>FL</v>
      </c>
      <c r="E117" s="430"/>
      <c r="F117" s="430">
        <f t="array" ref="F117">INDEX(正厂竞争者数据汇总!$H$2:$H$448,MATCH($A$108&amp;$B117,正厂竞争者数据汇总!$A$2:$A$448&amp;正厂竞争者数据汇总!$D$2:$D$448,0))</f>
        <v>18475.6964</v>
      </c>
      <c r="G117" s="430"/>
      <c r="H117" s="430"/>
      <c r="I117" s="450"/>
      <c r="J117" s="451">
        <f t="shared" si="26"/>
        <v>0.0372575795830258</v>
      </c>
      <c r="K117" s="451">
        <v>0.0410794089539395</v>
      </c>
      <c r="L117" s="451">
        <v>0.038007435468979</v>
      </c>
      <c r="M117" s="452"/>
      <c r="N117" s="451"/>
      <c r="O117" s="430"/>
      <c r="P117" s="542" t="str">
        <f t="array" ref="P117">INDEX(正厂竞争者数据汇总!I:I,MATCH($A$108&amp;B117,正厂竞争者数据汇总!A:A&amp;正厂竞争者数据汇总!D:D,0))</f>
        <v>同时经营多品牌网站零件，折算比例为：toyota：33%，lexus：42%，subaru:25%</v>
      </c>
      <c r="Q117" s="429"/>
      <c r="R117" s="421"/>
      <c r="S117" s="472">
        <v>1435</v>
      </c>
      <c r="T117" s="472">
        <v>254</v>
      </c>
      <c r="U117" s="466"/>
      <c r="V117" s="466"/>
      <c r="W117" s="466"/>
      <c r="X117" s="466"/>
      <c r="Y117" s="200" t="s">
        <v>309</v>
      </c>
      <c r="Z117" s="200">
        <v>1414</v>
      </c>
      <c r="AA117" s="200">
        <v>278</v>
      </c>
      <c r="AB117" s="410">
        <f t="shared" si="23"/>
        <v>1</v>
      </c>
      <c r="AC117" s="409">
        <f t="shared" si="24"/>
        <v>1414</v>
      </c>
      <c r="AD117" s="409">
        <f t="shared" si="25"/>
        <v>278</v>
      </c>
    </row>
    <row r="118" s="408" customFormat="1" spans="1:30">
      <c r="A118" s="440"/>
      <c r="B118" s="431"/>
      <c r="C118" s="429"/>
      <c r="D118" s="421"/>
      <c r="E118" s="430"/>
      <c r="F118" s="430"/>
      <c r="G118" s="430">
        <v>259436.916666667</v>
      </c>
      <c r="H118" s="430"/>
      <c r="I118" s="453"/>
      <c r="J118" s="451"/>
      <c r="K118" s="451"/>
      <c r="L118" s="451"/>
      <c r="M118" s="451"/>
      <c r="N118" s="451"/>
      <c r="O118" s="430"/>
      <c r="P118" s="542"/>
      <c r="Q118" s="429"/>
      <c r="R118" s="421"/>
      <c r="S118" s="473" t="s">
        <v>180</v>
      </c>
      <c r="T118" s="473" t="s">
        <v>180</v>
      </c>
      <c r="U118" s="466"/>
      <c r="V118" s="466"/>
      <c r="W118" s="421"/>
      <c r="X118" s="421"/>
      <c r="Y118" s="200" t="s">
        <v>240</v>
      </c>
      <c r="Z118" s="200" t="s">
        <v>180</v>
      </c>
      <c r="AA118" s="200" t="s">
        <v>180</v>
      </c>
      <c r="AB118" s="410">
        <f t="shared" si="23"/>
        <v>0</v>
      </c>
      <c r="AC118" s="409" t="str">
        <f t="shared" si="24"/>
        <v/>
      </c>
      <c r="AD118" s="409" t="str">
        <f t="shared" si="25"/>
        <v/>
      </c>
    </row>
    <row r="119" s="408" customFormat="1" spans="1:30">
      <c r="A119" s="428"/>
      <c r="B119" s="431"/>
      <c r="C119" s="439"/>
      <c r="D119" s="421"/>
      <c r="E119" s="430"/>
      <c r="F119" s="430">
        <f>SUM(F110:F117)</f>
        <v>495890.9464</v>
      </c>
      <c r="G119" s="430"/>
      <c r="H119" s="430">
        <v>254943.25</v>
      </c>
      <c r="I119" s="453" t="e">
        <f>(F119/G119)-1</f>
        <v>#DIV/0!</v>
      </c>
      <c r="J119" s="430"/>
      <c r="K119" s="430"/>
      <c r="L119" s="430"/>
      <c r="M119" s="451"/>
      <c r="N119" s="451">
        <f>SUM(N110:N116)</f>
        <v>0</v>
      </c>
      <c r="O119" s="430"/>
      <c r="P119" s="542"/>
      <c r="Q119" s="429"/>
      <c r="R119" s="421"/>
      <c r="S119" s="473" t="s">
        <v>180</v>
      </c>
      <c r="T119" s="473" t="s">
        <v>180</v>
      </c>
      <c r="U119" s="466"/>
      <c r="V119" s="466"/>
      <c r="W119" s="421"/>
      <c r="X119" s="421"/>
      <c r="Y119" s="200" t="s">
        <v>240</v>
      </c>
      <c r="Z119" s="200" t="s">
        <v>180</v>
      </c>
      <c r="AA119" s="200" t="s">
        <v>180</v>
      </c>
      <c r="AB119" s="410">
        <f t="shared" si="23"/>
        <v>0</v>
      </c>
      <c r="AC119" s="409" t="str">
        <f t="shared" si="24"/>
        <v/>
      </c>
      <c r="AD119" s="409" t="str">
        <f t="shared" si="25"/>
        <v/>
      </c>
    </row>
    <row r="120" s="408" customFormat="1" spans="1:30">
      <c r="A120" s="428"/>
      <c r="B120" s="421"/>
      <c r="C120" s="439"/>
      <c r="D120" s="421"/>
      <c r="E120" s="430"/>
      <c r="F120" s="451"/>
      <c r="G120" s="451"/>
      <c r="H120" s="451"/>
      <c r="I120" s="453"/>
      <c r="J120" s="451"/>
      <c r="K120" s="451"/>
      <c r="L120" s="451"/>
      <c r="M120" s="451"/>
      <c r="N120" s="451"/>
      <c r="O120" s="451"/>
      <c r="P120" s="542"/>
      <c r="Q120" s="429"/>
      <c r="R120" s="421"/>
      <c r="S120" s="473" t="s">
        <v>180</v>
      </c>
      <c r="T120" s="473" t="s">
        <v>180</v>
      </c>
      <c r="U120" s="466"/>
      <c r="V120" s="466"/>
      <c r="W120" s="421"/>
      <c r="X120" s="421"/>
      <c r="Y120" s="200" t="s">
        <v>240</v>
      </c>
      <c r="Z120" s="200" t="s">
        <v>180</v>
      </c>
      <c r="AA120" s="200" t="s">
        <v>180</v>
      </c>
      <c r="AB120" s="410">
        <f t="shared" si="23"/>
        <v>0</v>
      </c>
      <c r="AC120" s="409" t="str">
        <f t="shared" si="24"/>
        <v/>
      </c>
      <c r="AD120" s="409" t="str">
        <f t="shared" si="25"/>
        <v/>
      </c>
    </row>
    <row r="121" s="408" customFormat="1" ht="17.4" spans="1:30">
      <c r="A121" s="418" t="s">
        <v>171</v>
      </c>
      <c r="B121" s="419"/>
      <c r="C121" s="420"/>
      <c r="D121" s="421"/>
      <c r="E121" s="422" t="s">
        <v>202</v>
      </c>
      <c r="F121" s="422"/>
      <c r="G121" s="422"/>
      <c r="H121" s="422"/>
      <c r="I121" s="422"/>
      <c r="J121" s="422"/>
      <c r="K121" s="422"/>
      <c r="L121" s="422"/>
      <c r="M121" s="443"/>
      <c r="N121" s="422"/>
      <c r="O121" s="422"/>
      <c r="P121" s="542"/>
      <c r="Q121" s="465"/>
      <c r="R121" s="424"/>
      <c r="S121" s="473" t="s">
        <v>180</v>
      </c>
      <c r="T121" s="473" t="s">
        <v>180</v>
      </c>
      <c r="U121" s="467"/>
      <c r="V121" s="467"/>
      <c r="W121" s="467"/>
      <c r="X121" s="467"/>
      <c r="Y121" s="200" t="s">
        <v>240</v>
      </c>
      <c r="Z121" s="200" t="s">
        <v>180</v>
      </c>
      <c r="AA121" s="200" t="s">
        <v>180</v>
      </c>
      <c r="AB121" s="410">
        <f t="shared" ref="AB121:AB132" si="27">IF(B121=Y121,1,0)</f>
        <v>0</v>
      </c>
      <c r="AC121" s="409" t="str">
        <f t="shared" ref="AC121:AC132" si="28">IF(Y121="Competitors","Forum Link",Z121)</f>
        <v/>
      </c>
      <c r="AD121" s="409" t="str">
        <f t="shared" ref="AD121:AD132" si="29">IF(Y121="Competitors","Domains",AA121)</f>
        <v/>
      </c>
    </row>
    <row r="122" s="409" customFormat="1" ht="48.6" spans="1:30">
      <c r="A122" s="423" t="s">
        <v>206</v>
      </c>
      <c r="B122" s="424" t="s">
        <v>207</v>
      </c>
      <c r="C122" s="425" t="s">
        <v>208</v>
      </c>
      <c r="D122" s="424" t="s">
        <v>209</v>
      </c>
      <c r="E122" s="426" t="s">
        <v>210</v>
      </c>
      <c r="F122" s="427" t="s">
        <v>211</v>
      </c>
      <c r="G122" s="427" t="s">
        <v>212</v>
      </c>
      <c r="H122" s="427" t="s">
        <v>213</v>
      </c>
      <c r="I122" s="427" t="s">
        <v>214</v>
      </c>
      <c r="J122" s="446" t="s">
        <v>215</v>
      </c>
      <c r="K122" s="446" t="s">
        <v>216</v>
      </c>
      <c r="L122" s="446" t="s">
        <v>217</v>
      </c>
      <c r="M122" s="447" t="s">
        <v>218</v>
      </c>
      <c r="N122" s="448" t="s">
        <v>219</v>
      </c>
      <c r="O122" s="449" t="s">
        <v>220</v>
      </c>
      <c r="P122" s="543" t="s">
        <v>221</v>
      </c>
      <c r="Q122" s="469" t="s">
        <v>222</v>
      </c>
      <c r="R122" s="426" t="s">
        <v>223</v>
      </c>
      <c r="S122" s="470" t="s">
        <v>224</v>
      </c>
      <c r="T122" s="470" t="s">
        <v>205</v>
      </c>
      <c r="U122" s="467" t="s">
        <v>225</v>
      </c>
      <c r="V122" s="470" t="s">
        <v>226</v>
      </c>
      <c r="W122" s="467"/>
      <c r="X122" s="467"/>
      <c r="Y122" s="200" t="s">
        <v>207</v>
      </c>
      <c r="Z122" s="200" t="s">
        <v>180</v>
      </c>
      <c r="AA122" s="200" t="s">
        <v>180</v>
      </c>
      <c r="AB122" s="410">
        <f t="shared" si="27"/>
        <v>1</v>
      </c>
      <c r="AC122" s="409" t="str">
        <f t="shared" si="28"/>
        <v>Forum Link</v>
      </c>
      <c r="AD122" s="409" t="str">
        <f t="shared" si="29"/>
        <v>Domains</v>
      </c>
    </row>
    <row r="123" s="408" customFormat="1" spans="1:30">
      <c r="A123" s="428" t="s">
        <v>230</v>
      </c>
      <c r="B123" s="421" t="s">
        <v>310</v>
      </c>
      <c r="C123" s="429" t="str">
        <f>VLOOKUP(B123,正厂竞争者数据汇总!D:H,2,FALSE)</f>
        <v>Motor目录</v>
      </c>
      <c r="D123" s="421" t="str">
        <f>VLOOKUP(B123,正厂竞争者数据汇总!D:H,3,FALSE)</f>
        <v>MD</v>
      </c>
      <c r="E123" s="430"/>
      <c r="F123" s="430">
        <f t="array" ref="F123">INDEX(正厂竞争者数据汇总!$H$2:$H$448,MATCH($A$121&amp;$B123,正厂竞争者数据汇总!$A$2:$A$448&amp;正厂竞争者数据汇总!$D$2:$D$448,0))</f>
        <v>137534.186666667</v>
      </c>
      <c r="G123" s="430"/>
      <c r="H123" s="430"/>
      <c r="I123" s="450"/>
      <c r="J123" s="451">
        <f t="shared" ref="J123:J129" si="30">F123/F$131</f>
        <v>0.280747691376591</v>
      </c>
      <c r="K123" s="451">
        <v>0.294644433300361</v>
      </c>
      <c r="L123" s="451">
        <v>0.292393010287209</v>
      </c>
      <c r="M123" s="452"/>
      <c r="N123" s="451"/>
      <c r="O123" s="430"/>
      <c r="P123" s="542">
        <f t="array" ref="P123">INDEX(正厂竞争者数据汇总!I:I,MATCH($A$121&amp;B123,正厂竞争者数据汇总!A:A&amp;正厂竞争者数据汇总!D:D,0))</f>
        <v>0</v>
      </c>
      <c r="Q123" s="429"/>
      <c r="R123" s="421"/>
      <c r="S123" s="472">
        <v>449040</v>
      </c>
      <c r="T123" s="472">
        <v>920</v>
      </c>
      <c r="U123" s="466"/>
      <c r="V123" s="466"/>
      <c r="W123" s="466"/>
      <c r="X123" s="466"/>
      <c r="Y123" s="200" t="s">
        <v>310</v>
      </c>
      <c r="Z123" s="200">
        <v>691305</v>
      </c>
      <c r="AA123" s="200">
        <v>1012</v>
      </c>
      <c r="AB123" s="410">
        <f t="shared" si="27"/>
        <v>1</v>
      </c>
      <c r="AC123" s="409">
        <f t="shared" si="28"/>
        <v>691305</v>
      </c>
      <c r="AD123" s="409">
        <f t="shared" si="29"/>
        <v>1012</v>
      </c>
    </row>
    <row r="124" s="408" customFormat="1" spans="1:30">
      <c r="A124" s="428" t="s">
        <v>230</v>
      </c>
      <c r="B124" s="421" t="s">
        <v>311</v>
      </c>
      <c r="C124" s="429" t="str">
        <f>VLOOKUP(B124,正厂竞争者数据汇总!D:H,2,FALSE)</f>
        <v>原厂目录</v>
      </c>
      <c r="D124" s="421" t="str">
        <f>VLOOKUP(B124,正厂竞争者数据汇总!D:H,3,FALSE)</f>
        <v>GA</v>
      </c>
      <c r="E124" s="430"/>
      <c r="F124" s="430">
        <f t="array" ref="F124">INDEX(正厂竞争者数据汇总!$H$2:$H$448,MATCH($A$121&amp;$B124,正厂竞争者数据汇总!$A$2:$A$448&amp;正厂竞争者数据汇总!$D$2:$D$448,0))</f>
        <v>95372.9166666667</v>
      </c>
      <c r="G124" s="430"/>
      <c r="H124" s="430"/>
      <c r="I124" s="450"/>
      <c r="J124" s="451">
        <f t="shared" si="30"/>
        <v>0.194684149613749</v>
      </c>
      <c r="K124" s="451">
        <v>0.18804557978586</v>
      </c>
      <c r="L124" s="451">
        <v>0.177682467679001</v>
      </c>
      <c r="M124" s="452"/>
      <c r="N124" s="451"/>
      <c r="O124" s="430"/>
      <c r="P124" s="542">
        <f t="array" ref="P124">INDEX(正厂竞争者数据汇总!I:I,MATCH($A$121&amp;B124,正厂竞争者数据汇总!A:A&amp;正厂竞争者数据汇总!D:D,0))</f>
        <v>0</v>
      </c>
      <c r="Q124" s="429"/>
      <c r="R124" s="421"/>
      <c r="S124" s="472">
        <v>6536</v>
      </c>
      <c r="T124" s="472">
        <v>452</v>
      </c>
      <c r="U124" s="466"/>
      <c r="V124" s="466"/>
      <c r="W124" s="466"/>
      <c r="X124" s="466"/>
      <c r="Y124" s="200" t="s">
        <v>311</v>
      </c>
      <c r="Z124" s="200">
        <v>6523</v>
      </c>
      <c r="AA124" s="200">
        <v>424</v>
      </c>
      <c r="AB124" s="410">
        <f t="shared" si="27"/>
        <v>1</v>
      </c>
      <c r="AC124" s="409">
        <f t="shared" si="28"/>
        <v>6523</v>
      </c>
      <c r="AD124" s="409">
        <f t="shared" si="29"/>
        <v>424</v>
      </c>
    </row>
    <row r="125" s="410" customFormat="1" spans="1:30">
      <c r="A125" s="432" t="s">
        <v>227</v>
      </c>
      <c r="B125" s="432" t="s">
        <v>312</v>
      </c>
      <c r="C125" s="434" t="str">
        <f>VLOOKUP(B125,正厂竞争者数据汇总!D:H,2,FALSE)</f>
        <v>原厂目录</v>
      </c>
      <c r="D125" s="477" t="str">
        <f>VLOOKUP(B125,正厂竞争者数据汇总!D:H,3,FALSE)</f>
        <v>CA</v>
      </c>
      <c r="E125" s="436">
        <f>VLOOKUP(B125,正厂竞争者数据汇总!D:H,4,FALSE)</f>
        <v>0</v>
      </c>
      <c r="F125" s="436">
        <f t="array" ref="F125">INDEX(正厂竞争者数据汇总!$H$2:$H$448,MATCH($A$121&amp;$B125,正厂竞争者数据汇总!$A$2:$A$448&amp;正厂竞争者数据汇总!$D$2:$D$448,0))</f>
        <v>78672.6166666667</v>
      </c>
      <c r="G125" s="436">
        <v>132262.583333333</v>
      </c>
      <c r="H125" s="436">
        <v>137115.416666667</v>
      </c>
      <c r="I125" s="454">
        <f>(F125/G125)-1</f>
        <v>-0.405178587292575</v>
      </c>
      <c r="J125" s="457">
        <f t="shared" si="30"/>
        <v>0.160593929691484</v>
      </c>
      <c r="K125" s="457">
        <v>0.166834038244213</v>
      </c>
      <c r="L125" s="457">
        <v>0.156773776150431</v>
      </c>
      <c r="M125" s="456">
        <f>J125-K125</f>
        <v>-0.006240108552729</v>
      </c>
      <c r="N125" s="455"/>
      <c r="O125" s="436"/>
      <c r="P125" s="542">
        <f t="array" ref="P125">INDEX(正厂竞争者数据汇总!I:I,MATCH($A$121&amp;B125,正厂竞争者数据汇总!A:A&amp;正厂竞争者数据汇总!D:D,0))</f>
        <v>0</v>
      </c>
      <c r="Q125" s="491" t="s">
        <v>313</v>
      </c>
      <c r="R125" s="435" t="s">
        <v>180</v>
      </c>
      <c r="S125" s="476">
        <v>17794</v>
      </c>
      <c r="T125" s="476">
        <v>4882</v>
      </c>
      <c r="U125" s="477"/>
      <c r="V125" s="477"/>
      <c r="W125" s="435"/>
      <c r="X125" s="435"/>
      <c r="Y125" s="200" t="s">
        <v>172</v>
      </c>
      <c r="Z125" s="200" t="s">
        <v>180</v>
      </c>
      <c r="AA125" s="200" t="s">
        <v>180</v>
      </c>
      <c r="AB125" s="410">
        <f t="shared" si="27"/>
        <v>1</v>
      </c>
      <c r="AC125" s="409" t="str">
        <f t="shared" si="28"/>
        <v/>
      </c>
      <c r="AD125" s="409" t="str">
        <f t="shared" si="29"/>
        <v/>
      </c>
    </row>
    <row r="126" s="408" customFormat="1" spans="1:30">
      <c r="A126" s="428" t="s">
        <v>243</v>
      </c>
      <c r="B126" s="421" t="s">
        <v>314</v>
      </c>
      <c r="C126" s="429" t="str">
        <f>VLOOKUP(B126,正厂竞争者数据汇总!D:H,2,FALSE)</f>
        <v>原厂目录</v>
      </c>
      <c r="D126" s="421" t="str">
        <f>VLOOKUP(B126,正厂竞争者数据汇总!D:H,3,FALSE)</f>
        <v>WA</v>
      </c>
      <c r="E126" s="430"/>
      <c r="F126" s="430">
        <f t="array" ref="F126">INDEX(正厂竞争者数据汇总!$H$2:$H$448,MATCH($A$121&amp;$B126,正厂竞争者数据汇总!$A$2:$A$448&amp;正厂竞争者数据汇总!$D$2:$D$448,0))</f>
        <v>60722.6666666667</v>
      </c>
      <c r="G126" s="430"/>
      <c r="H126" s="430"/>
      <c r="I126" s="450"/>
      <c r="J126" s="451">
        <f t="shared" si="30"/>
        <v>0.123952806891675</v>
      </c>
      <c r="K126" s="451">
        <v>0.133855489452854</v>
      </c>
      <c r="L126" s="451">
        <v>0.130640624926072</v>
      </c>
      <c r="M126" s="452"/>
      <c r="N126" s="451"/>
      <c r="O126" s="430"/>
      <c r="P126" s="542">
        <f t="array" ref="P126">INDEX(正厂竞争者数据汇总!I:I,MATCH($A$121&amp;B126,正厂竞争者数据汇总!A:A&amp;正厂竞争者数据汇总!D:D,0))</f>
        <v>0</v>
      </c>
      <c r="Q126" s="429"/>
      <c r="R126" s="421"/>
      <c r="S126" s="472">
        <v>3086</v>
      </c>
      <c r="T126" s="472">
        <v>756</v>
      </c>
      <c r="U126" s="466"/>
      <c r="V126" s="466"/>
      <c r="W126" s="466"/>
      <c r="X126" s="466"/>
      <c r="Y126" s="200" t="s">
        <v>314</v>
      </c>
      <c r="Z126" s="200">
        <v>3346</v>
      </c>
      <c r="AA126" s="200">
        <v>649</v>
      </c>
      <c r="AB126" s="410">
        <f t="shared" si="27"/>
        <v>1</v>
      </c>
      <c r="AC126" s="409">
        <f t="shared" si="28"/>
        <v>3346</v>
      </c>
      <c r="AD126" s="409">
        <f t="shared" si="29"/>
        <v>649</v>
      </c>
    </row>
    <row r="127" s="408" customFormat="1" spans="1:30">
      <c r="A127" s="428" t="s">
        <v>230</v>
      </c>
      <c r="B127" s="421" t="s">
        <v>315</v>
      </c>
      <c r="C127" s="429" t="str">
        <f>VLOOKUP(B127,正厂竞争者数据汇总!D:H,2,FALSE)</f>
        <v>Motor目录</v>
      </c>
      <c r="D127" s="421" t="str">
        <f>VLOOKUP(B127,正厂竞争者数据汇总!D:H,3,FALSE)</f>
        <v>IL</v>
      </c>
      <c r="E127" s="430"/>
      <c r="F127" s="430">
        <f t="array" ref="F127">INDEX(正厂竞争者数据汇总!$H$2:$H$448,MATCH($A$121&amp;$B127,正厂竞争者数据汇总!$A$2:$A$448&amp;正厂竞争者数据汇总!$D$2:$D$448,0))</f>
        <v>59929.6233333334</v>
      </c>
      <c r="G127" s="430"/>
      <c r="H127" s="430"/>
      <c r="I127" s="450"/>
      <c r="J127" s="451">
        <f t="shared" si="30"/>
        <v>0.122333972401203</v>
      </c>
      <c r="K127" s="451">
        <v>0.119591904423571</v>
      </c>
      <c r="L127" s="451">
        <v>0.0927667546909026</v>
      </c>
      <c r="M127" s="452"/>
      <c r="N127" s="451"/>
      <c r="O127" s="430"/>
      <c r="P127" s="542">
        <f t="array" ref="P127">INDEX(正厂竞争者数据汇总!I:I,MATCH($A$121&amp;B127,正厂竞争者数据汇总!A:A&amp;正厂竞争者数据汇总!D:D,0))</f>
        <v>0</v>
      </c>
      <c r="Q127" s="429"/>
      <c r="R127" s="421"/>
      <c r="S127" s="472">
        <v>895</v>
      </c>
      <c r="T127" s="472">
        <v>176</v>
      </c>
      <c r="U127" s="466"/>
      <c r="V127" s="466"/>
      <c r="W127" s="466"/>
      <c r="X127" s="466"/>
      <c r="Y127" s="200" t="s">
        <v>315</v>
      </c>
      <c r="Z127" s="200">
        <v>1051</v>
      </c>
      <c r="AA127" s="200">
        <v>207</v>
      </c>
      <c r="AB127" s="410">
        <f t="shared" si="27"/>
        <v>1</v>
      </c>
      <c r="AC127" s="409">
        <f t="shared" si="28"/>
        <v>1051</v>
      </c>
      <c r="AD127" s="409">
        <f t="shared" si="29"/>
        <v>207</v>
      </c>
    </row>
    <row r="128" s="408" customFormat="1" spans="1:30">
      <c r="A128" s="428" t="s">
        <v>230</v>
      </c>
      <c r="B128" s="421" t="s">
        <v>316</v>
      </c>
      <c r="C128" s="429" t="str">
        <f>VLOOKUP(B128,正厂竞争者数据汇总!D:H,2,FALSE)</f>
        <v>Motor目录</v>
      </c>
      <c r="D128" s="421" t="str">
        <f>VLOOKUP(B128,正厂竞争者数据汇总!D:H,3,FALSE)</f>
        <v>NE</v>
      </c>
      <c r="E128" s="430"/>
      <c r="F128" s="430">
        <f t="array" ref="F128">INDEX(正厂竞争者数据汇总!$H$2:$H$448,MATCH($A$121&amp;$B128,正厂竞争者数据汇总!$A$2:$A$448&amp;正厂竞争者数据汇总!$D$2:$D$448,0))</f>
        <v>30905.6933333333</v>
      </c>
      <c r="G128" s="430"/>
      <c r="H128" s="430"/>
      <c r="I128" s="450"/>
      <c r="J128" s="451">
        <f t="shared" si="30"/>
        <v>0.0630876021738173</v>
      </c>
      <c r="K128" s="451"/>
      <c r="L128" s="451"/>
      <c r="M128" s="452"/>
      <c r="N128" s="451"/>
      <c r="O128" s="430"/>
      <c r="P128" s="542"/>
      <c r="Q128" s="429"/>
      <c r="R128" s="421"/>
      <c r="S128" s="472">
        <v>482</v>
      </c>
      <c r="T128" s="472">
        <v>115</v>
      </c>
      <c r="U128" s="466"/>
      <c r="V128" s="466"/>
      <c r="W128" s="466"/>
      <c r="X128" s="466"/>
      <c r="Y128" s="200"/>
      <c r="Z128" s="200"/>
      <c r="AA128" s="200"/>
      <c r="AB128" s="410"/>
      <c r="AC128" s="409"/>
      <c r="AD128" s="409"/>
    </row>
    <row r="129" s="408" customFormat="1" spans="1:30">
      <c r="A129" s="428" t="s">
        <v>230</v>
      </c>
      <c r="B129" s="421" t="s">
        <v>317</v>
      </c>
      <c r="C129" s="429" t="str">
        <f>VLOOKUP(B129,正厂竞争者数据汇总!D:H,2,FALSE)</f>
        <v>Motor目录</v>
      </c>
      <c r="D129" s="421" t="str">
        <f>VLOOKUP(B129,正厂竞争者数据汇总!D:H,3,FALSE)</f>
        <v>PA</v>
      </c>
      <c r="E129" s="430"/>
      <c r="F129" s="430">
        <f t="array" ref="F129">INDEX(正厂竞争者数据汇总!$H$2:$H$448,MATCH($A$121&amp;$B129,正厂竞争者数据汇总!$A$2:$A$448&amp;正厂竞争者数据汇总!$D$2:$D$448,0))</f>
        <v>26747.6666666667</v>
      </c>
      <c r="G129" s="430"/>
      <c r="H129" s="430"/>
      <c r="I129" s="450"/>
      <c r="J129" s="451">
        <f t="shared" si="30"/>
        <v>0.0545998478514814</v>
      </c>
      <c r="K129" s="451">
        <v>0.053009940976934</v>
      </c>
      <c r="L129" s="451">
        <v>0.0448854036428749</v>
      </c>
      <c r="M129" s="452"/>
      <c r="N129" s="451"/>
      <c r="O129" s="430"/>
      <c r="P129" s="542">
        <f t="array" ref="P129">INDEX(正厂竞争者数据汇总!I:I,MATCH($A$121&amp;B129,正厂竞争者数据汇总!A:A&amp;正厂竞争者数据汇总!D:D,0))</f>
        <v>0</v>
      </c>
      <c r="Q129" s="429"/>
      <c r="R129" s="421"/>
      <c r="S129" s="472">
        <v>673</v>
      </c>
      <c r="T129" s="472">
        <v>151</v>
      </c>
      <c r="U129" s="466"/>
      <c r="V129" s="466"/>
      <c r="W129" s="466"/>
      <c r="X129" s="466"/>
      <c r="Y129" s="200" t="s">
        <v>317</v>
      </c>
      <c r="Z129" s="200">
        <v>588</v>
      </c>
      <c r="AA129" s="200">
        <v>181</v>
      </c>
      <c r="AB129" s="410">
        <f>IF(B129=Y129,1,0)</f>
        <v>1</v>
      </c>
      <c r="AC129" s="409">
        <f>IF(Y129="Competitors","Forum Link",Z129)</f>
        <v>588</v>
      </c>
      <c r="AD129" s="409">
        <f>IF(Y129="Competitors","Domains",AA129)</f>
        <v>181</v>
      </c>
    </row>
    <row r="130" s="408" customFormat="1" spans="1:30">
      <c r="A130" s="428"/>
      <c r="B130" s="438"/>
      <c r="C130" s="429"/>
      <c r="D130" s="466"/>
      <c r="E130" s="430"/>
      <c r="F130" s="430"/>
      <c r="G130" s="430"/>
      <c r="H130" s="430"/>
      <c r="I130" s="453"/>
      <c r="J130" s="451"/>
      <c r="K130" s="451"/>
      <c r="L130" s="451"/>
      <c r="M130" s="451"/>
      <c r="N130" s="459"/>
      <c r="O130" s="430"/>
      <c r="P130" s="542"/>
      <c r="Q130" s="492"/>
      <c r="R130" s="421"/>
      <c r="S130" s="473" t="s">
        <v>180</v>
      </c>
      <c r="T130" s="473" t="s">
        <v>180</v>
      </c>
      <c r="U130" s="466"/>
      <c r="V130" s="466"/>
      <c r="W130" s="421"/>
      <c r="X130" s="421"/>
      <c r="Y130" s="200" t="s">
        <v>240</v>
      </c>
      <c r="Z130" s="200" t="s">
        <v>180</v>
      </c>
      <c r="AA130" s="200" t="s">
        <v>180</v>
      </c>
      <c r="AB130" s="410">
        <f>IF(B130=Y130,1,0)</f>
        <v>0</v>
      </c>
      <c r="AC130" s="409" t="str">
        <f>IF(Y130="Competitors","Forum Link",Z130)</f>
        <v/>
      </c>
      <c r="AD130" s="409" t="str">
        <f>IF(Y130="Competitors","Domains",AA130)</f>
        <v/>
      </c>
    </row>
    <row r="131" s="408" customFormat="1" spans="1:30">
      <c r="A131" s="428"/>
      <c r="B131" s="421"/>
      <c r="C131" s="439"/>
      <c r="D131" s="421"/>
      <c r="E131" s="430"/>
      <c r="F131" s="430">
        <f>SUM(F123:F129)</f>
        <v>489885.37</v>
      </c>
      <c r="G131" s="430">
        <v>451480.499999999</v>
      </c>
      <c r="H131" s="430">
        <v>457440.166666667</v>
      </c>
      <c r="I131" s="453">
        <f>(F131/G131)-1</f>
        <v>0.0850642940282063</v>
      </c>
      <c r="J131" s="430"/>
      <c r="K131" s="430"/>
      <c r="L131" s="430"/>
      <c r="M131" s="451"/>
      <c r="N131" s="451"/>
      <c r="O131" s="430"/>
      <c r="P131" s="542"/>
      <c r="Q131" s="493"/>
      <c r="R131" s="421"/>
      <c r="S131" s="473" t="s">
        <v>180</v>
      </c>
      <c r="T131" s="473" t="s">
        <v>180</v>
      </c>
      <c r="U131" s="466"/>
      <c r="V131" s="466"/>
      <c r="W131" s="421"/>
      <c r="X131" s="421"/>
      <c r="Y131" s="200" t="s">
        <v>240</v>
      </c>
      <c r="Z131" s="200" t="s">
        <v>180</v>
      </c>
      <c r="AA131" s="200" t="s">
        <v>180</v>
      </c>
      <c r="AB131" s="410">
        <f>IF(B131=Y131,1,0)</f>
        <v>0</v>
      </c>
      <c r="AC131" s="409" t="str">
        <f>IF(Y131="Competitors","Forum Link",Z131)</f>
        <v/>
      </c>
      <c r="AD131" s="409" t="str">
        <f>IF(Y131="Competitors","Domains",AA131)</f>
        <v/>
      </c>
    </row>
    <row r="132" s="408" customFormat="1" spans="1:30">
      <c r="A132" s="428"/>
      <c r="B132" s="421"/>
      <c r="C132" s="439"/>
      <c r="D132" s="421"/>
      <c r="E132" s="430"/>
      <c r="F132" s="430"/>
      <c r="G132" s="430"/>
      <c r="H132" s="430"/>
      <c r="I132" s="453"/>
      <c r="J132" s="430"/>
      <c r="K132" s="430"/>
      <c r="L132" s="430"/>
      <c r="M132" s="451"/>
      <c r="N132" s="451"/>
      <c r="O132" s="430"/>
      <c r="P132" s="542"/>
      <c r="Q132" s="493"/>
      <c r="R132" s="421"/>
      <c r="S132" s="473" t="s">
        <v>180</v>
      </c>
      <c r="T132" s="473" t="s">
        <v>180</v>
      </c>
      <c r="U132" s="466"/>
      <c r="V132" s="466"/>
      <c r="W132" s="421"/>
      <c r="X132" s="421"/>
      <c r="Y132" s="200" t="s">
        <v>240</v>
      </c>
      <c r="Z132" s="200" t="s">
        <v>180</v>
      </c>
      <c r="AA132" s="200" t="s">
        <v>180</v>
      </c>
      <c r="AB132" s="410">
        <f>IF(B132=Y132,1,0)</f>
        <v>0</v>
      </c>
      <c r="AC132" s="409" t="str">
        <f>IF(Y132="Competitors","Forum Link",Z132)</f>
        <v/>
      </c>
      <c r="AD132" s="409" t="str">
        <f>IF(Y132="Competitors","Domains",AA132)</f>
        <v/>
      </c>
    </row>
    <row r="133" s="408" customFormat="1" ht="17.4" spans="1:30">
      <c r="A133" s="418" t="s">
        <v>174</v>
      </c>
      <c r="B133" s="419"/>
      <c r="C133" s="420"/>
      <c r="D133" s="421"/>
      <c r="E133" s="422" t="s">
        <v>202</v>
      </c>
      <c r="F133" s="422"/>
      <c r="G133" s="422"/>
      <c r="H133" s="422"/>
      <c r="I133" s="422"/>
      <c r="J133" s="422"/>
      <c r="K133" s="422"/>
      <c r="L133" s="422"/>
      <c r="M133" s="443"/>
      <c r="N133" s="444"/>
      <c r="O133" s="422"/>
      <c r="P133" s="542"/>
      <c r="Q133" s="465"/>
      <c r="R133" s="424"/>
      <c r="S133" s="473" t="s">
        <v>180</v>
      </c>
      <c r="T133" s="473" t="s">
        <v>180</v>
      </c>
      <c r="U133" s="467"/>
      <c r="V133" s="467"/>
      <c r="W133" s="467"/>
      <c r="X133" s="467"/>
      <c r="Y133" s="200" t="s">
        <v>240</v>
      </c>
      <c r="Z133" s="200" t="s">
        <v>180</v>
      </c>
      <c r="AA133" s="200" t="s">
        <v>180</v>
      </c>
      <c r="AB133" s="410">
        <f t="shared" ref="AB130:AB162" si="31">IF(B133=Y133,1,0)</f>
        <v>0</v>
      </c>
      <c r="AC133" s="409" t="str">
        <f t="shared" ref="AC130:AC162" si="32">IF(Y133="Competitors","Forum Link",Z133)</f>
        <v/>
      </c>
      <c r="AD133" s="409" t="str">
        <f t="shared" ref="AD130:AD162" si="33">IF(Y133="Competitors","Domains",AA133)</f>
        <v/>
      </c>
    </row>
    <row r="134" s="409" customFormat="1" ht="48.6" spans="1:30">
      <c r="A134" s="423" t="s">
        <v>206</v>
      </c>
      <c r="B134" s="424" t="s">
        <v>207</v>
      </c>
      <c r="C134" s="425" t="s">
        <v>208</v>
      </c>
      <c r="D134" s="424" t="s">
        <v>209</v>
      </c>
      <c r="E134" s="426" t="s">
        <v>210</v>
      </c>
      <c r="F134" s="427" t="s">
        <v>211</v>
      </c>
      <c r="G134" s="427" t="s">
        <v>212</v>
      </c>
      <c r="H134" s="427" t="s">
        <v>213</v>
      </c>
      <c r="I134" s="427" t="s">
        <v>214</v>
      </c>
      <c r="J134" s="446" t="s">
        <v>215</v>
      </c>
      <c r="K134" s="446" t="s">
        <v>216</v>
      </c>
      <c r="L134" s="446" t="s">
        <v>217</v>
      </c>
      <c r="M134" s="447" t="s">
        <v>218</v>
      </c>
      <c r="N134" s="448" t="s">
        <v>219</v>
      </c>
      <c r="O134" s="449" t="s">
        <v>220</v>
      </c>
      <c r="P134" s="543" t="s">
        <v>221</v>
      </c>
      <c r="Q134" s="469" t="s">
        <v>222</v>
      </c>
      <c r="R134" s="426" t="s">
        <v>223</v>
      </c>
      <c r="S134" s="470" t="s">
        <v>224</v>
      </c>
      <c r="T134" s="470" t="s">
        <v>205</v>
      </c>
      <c r="U134" s="467" t="s">
        <v>225</v>
      </c>
      <c r="V134" s="470" t="s">
        <v>226</v>
      </c>
      <c r="W134" s="467"/>
      <c r="X134" s="467"/>
      <c r="Y134" s="200" t="s">
        <v>207</v>
      </c>
      <c r="Z134" s="200" t="s">
        <v>180</v>
      </c>
      <c r="AA134" s="200" t="s">
        <v>180</v>
      </c>
      <c r="AB134" s="410">
        <f t="shared" si="31"/>
        <v>1</v>
      </c>
      <c r="AC134" s="409" t="str">
        <f t="shared" si="32"/>
        <v>Forum Link</v>
      </c>
      <c r="AD134" s="409" t="str">
        <f t="shared" si="33"/>
        <v>Domains</v>
      </c>
    </row>
    <row r="135" s="410" customFormat="1" ht="17.4" spans="1:30">
      <c r="A135" s="435" t="s">
        <v>227</v>
      </c>
      <c r="B135" s="435" t="s">
        <v>175</v>
      </c>
      <c r="C135" s="435" t="str">
        <f>VLOOKUP(B135,正厂竞争者数据汇总!D:H,2,FALSE)</f>
        <v>原厂目录</v>
      </c>
      <c r="D135" s="435" t="str">
        <f>VLOOKUP(B135,正厂竞争者数据汇总!D:H,3,FALSE)</f>
        <v>CA</v>
      </c>
      <c r="E135" s="436">
        <f>VLOOKUP(B135,正厂竞争者数据汇总!D:H,4,FALSE)</f>
        <v>325311</v>
      </c>
      <c r="F135" s="436">
        <f t="array" ref="F135">INDEX(正厂竞争者数据汇总!$H$2:$H$448,MATCH($A$133&amp;$B135,正厂竞争者数据汇总!$A$2:$A$448&amp;正厂竞争者数据汇总!$D$2:$D$448,0))</f>
        <v>209547.25</v>
      </c>
      <c r="G135" s="436">
        <f t="array" ref="G135">INDEX(正厂竞争者数据汇总!$H$2:$H$448,MATCH($A$133&amp;$B135,正厂竞争者数据汇总!$A$2:$A$448&amp;正厂竞争者数据汇总!$D$2:$D$448,0))</f>
        <v>209547.25</v>
      </c>
      <c r="H135" s="436">
        <f t="array" ref="H135">INDEX(正厂竞争者数据汇总!$H$2:$H$448,MATCH($A$133&amp;$B135,正厂竞争者数据汇总!$A$2:$A$448&amp;正厂竞争者数据汇总!$D$2:$D$448,0))</f>
        <v>209547.25</v>
      </c>
      <c r="I135" s="436">
        <f t="array" ref="I135">INDEX(正厂竞争者数据汇总!$H$2:$H$448,MATCH($A$133&amp;$B135,正厂竞争者数据汇总!$A$2:$A$448&amp;正厂竞争者数据汇总!$D$2:$D$448,0))</f>
        <v>209547.25</v>
      </c>
      <c r="J135" s="457">
        <f t="shared" ref="J135:J140" si="34">F135/F$142</f>
        <v>0.445270051976577</v>
      </c>
      <c r="K135" s="457">
        <v>0.436450412481719</v>
      </c>
      <c r="L135" s="457">
        <v>0.481609558245086</v>
      </c>
      <c r="M135" s="456">
        <f>J135-K135</f>
        <v>0.00881963949485787</v>
      </c>
      <c r="N135" s="457" t="str">
        <f>IFERROR(O135*0.5/$F$135,"")</f>
        <v/>
      </c>
      <c r="O135" s="436" t="s">
        <v>180</v>
      </c>
      <c r="P135" s="542">
        <f t="array" ref="P135">INDEX(正厂竞争者数据汇总!I:I,MATCH($A$133&amp;B135,正厂竞争者数据汇总!A:A&amp;正厂竞争者数据汇总!D:D,0))</f>
        <v>0</v>
      </c>
      <c r="Q135" s="434" t="s">
        <v>318</v>
      </c>
      <c r="R135" s="435" t="s">
        <v>229</v>
      </c>
      <c r="S135" s="476">
        <v>18872</v>
      </c>
      <c r="T135" s="476">
        <v>4286</v>
      </c>
      <c r="U135" s="477"/>
      <c r="V135" s="477"/>
      <c r="W135" s="435"/>
      <c r="X135" s="435"/>
      <c r="Y135" s="200" t="s">
        <v>175</v>
      </c>
      <c r="Z135" s="200">
        <v>16859</v>
      </c>
      <c r="AA135" s="200">
        <v>3644</v>
      </c>
      <c r="AB135" s="410">
        <f t="shared" si="31"/>
        <v>1</v>
      </c>
      <c r="AC135" s="409">
        <f t="shared" si="32"/>
        <v>16859</v>
      </c>
      <c r="AD135" s="409">
        <f t="shared" si="33"/>
        <v>3644</v>
      </c>
    </row>
    <row r="136" s="408" customFormat="1" ht="46.8" spans="1:30">
      <c r="A136" s="428" t="s">
        <v>230</v>
      </c>
      <c r="B136" s="421" t="s">
        <v>319</v>
      </c>
      <c r="C136" s="429" t="str">
        <f>VLOOKUP(B136,正厂竞争者数据汇总!D:H,2,FALSE)</f>
        <v>Motor目录</v>
      </c>
      <c r="D136" s="421" t="str">
        <f>VLOOKUP(B136,正厂竞争者数据汇总!D:H,3,FALSE)</f>
        <v>-</v>
      </c>
      <c r="E136" s="430"/>
      <c r="F136" s="430">
        <f t="array" ref="F136">INDEX(正厂竞争者数据汇总!$H$2:$H$448,MATCH($A$133&amp;$B136,正厂竞争者数据汇总!$A$2:$A$448&amp;正厂竞争者数据汇总!$D$2:$D$448,0))</f>
        <v>99307.6833333333</v>
      </c>
      <c r="G136" s="430"/>
      <c r="H136" s="430"/>
      <c r="I136" s="450"/>
      <c r="J136" s="451">
        <f t="shared" si="34"/>
        <v>0.211020365666964</v>
      </c>
      <c r="K136" s="451">
        <v>0.214661478099253</v>
      </c>
      <c r="L136" s="451">
        <v>0.207285867340133</v>
      </c>
      <c r="M136" s="452"/>
      <c r="N136" s="451"/>
      <c r="O136" s="430"/>
      <c r="P136" s="542" t="str">
        <f t="array" ref="P136">INDEX(正厂竞争者数据汇总!I:I,MATCH($A$133&amp;B136,正厂竞争者数据汇总!A:A&amp;正厂竞争者数据汇总!D:D,0))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36" s="429"/>
      <c r="R136" s="421"/>
      <c r="S136" s="472">
        <v>985</v>
      </c>
      <c r="T136" s="472">
        <v>178</v>
      </c>
      <c r="U136" s="466"/>
      <c r="V136" s="466"/>
      <c r="W136" s="466"/>
      <c r="X136" s="466"/>
      <c r="Y136" s="200" t="s">
        <v>319</v>
      </c>
      <c r="Z136" s="200">
        <v>569</v>
      </c>
      <c r="AA136" s="200">
        <v>92</v>
      </c>
      <c r="AB136" s="410">
        <f t="shared" si="31"/>
        <v>1</v>
      </c>
      <c r="AC136" s="409">
        <f t="shared" si="32"/>
        <v>569</v>
      </c>
      <c r="AD136" s="409">
        <f t="shared" si="33"/>
        <v>92</v>
      </c>
    </row>
    <row r="137" s="408" customFormat="1" spans="1:30">
      <c r="A137" s="428" t="s">
        <v>230</v>
      </c>
      <c r="B137" s="421" t="s">
        <v>320</v>
      </c>
      <c r="C137" s="429" t="str">
        <f>VLOOKUP(B137,正厂竞争者数据汇总!D:H,2,FALSE)</f>
        <v>原厂目录</v>
      </c>
      <c r="D137" s="421" t="str">
        <f>VLOOKUP(B137,正厂竞争者数据汇总!D:H,3,FALSE)</f>
        <v>AZ</v>
      </c>
      <c r="E137" s="430"/>
      <c r="F137" s="430">
        <f t="array" ref="F137">INDEX(正厂竞争者数据汇总!$H$2:$H$448,MATCH($A$133&amp;$B137,正厂竞争者数据汇总!$A$2:$A$448&amp;正厂竞争者数据汇总!$D$2:$D$448,0))</f>
        <v>53020.75</v>
      </c>
      <c r="G137" s="430"/>
      <c r="H137" s="430"/>
      <c r="I137" s="450"/>
      <c r="J137" s="451">
        <f t="shared" si="34"/>
        <v>0.112664576167605</v>
      </c>
      <c r="K137" s="451">
        <v>0.118315113102166</v>
      </c>
      <c r="L137" s="451">
        <v>0.111622950534984</v>
      </c>
      <c r="M137" s="452"/>
      <c r="N137" s="451"/>
      <c r="O137" s="430"/>
      <c r="P137" s="542">
        <f t="array" ref="P137">INDEX(正厂竞争者数据汇总!I:I,MATCH($A$133&amp;B137,正厂竞争者数据汇总!A:A&amp;正厂竞争者数据汇总!D:D,0))</f>
        <v>0</v>
      </c>
      <c r="Q137" s="429"/>
      <c r="R137" s="421"/>
      <c r="S137" s="472">
        <v>8041</v>
      </c>
      <c r="T137" s="472">
        <v>365</v>
      </c>
      <c r="U137" s="466"/>
      <c r="V137" s="466"/>
      <c r="W137" s="466"/>
      <c r="X137" s="466"/>
      <c r="Y137" s="200" t="s">
        <v>320</v>
      </c>
      <c r="Z137" s="200">
        <v>8420</v>
      </c>
      <c r="AA137" s="200">
        <v>396</v>
      </c>
      <c r="AB137" s="410">
        <f t="shared" si="31"/>
        <v>1</v>
      </c>
      <c r="AC137" s="409">
        <f t="shared" si="32"/>
        <v>8420</v>
      </c>
      <c r="AD137" s="409">
        <f t="shared" si="33"/>
        <v>396</v>
      </c>
    </row>
    <row r="138" s="408" customFormat="1" spans="1:30">
      <c r="A138" s="428" t="s">
        <v>230</v>
      </c>
      <c r="B138" s="421" t="s">
        <v>321</v>
      </c>
      <c r="C138" s="429" t="str">
        <f>VLOOKUP(B138,正厂竞争者数据汇总!D:H,2,FALSE)</f>
        <v>原厂目录</v>
      </c>
      <c r="D138" s="421" t="str">
        <f>VLOOKUP(B138,正厂竞争者数据汇总!D:H,3,FALSE)</f>
        <v>CO</v>
      </c>
      <c r="E138" s="430"/>
      <c r="F138" s="430">
        <f t="array" ref="F138">INDEX(正厂竞争者数据汇总!$H$2:$H$448,MATCH($A$133&amp;$B138,正厂竞争者数据汇总!$A$2:$A$448&amp;正厂竞争者数据汇总!$D$2:$D$448,0))</f>
        <v>46909.7625</v>
      </c>
      <c r="G138" s="430"/>
      <c r="H138" s="430"/>
      <c r="I138" s="450"/>
      <c r="J138" s="451">
        <f t="shared" si="34"/>
        <v>0.0996792484109616</v>
      </c>
      <c r="K138" s="451">
        <v>0.104294423571669</v>
      </c>
      <c r="L138" s="451">
        <v>0.0859815365168241</v>
      </c>
      <c r="M138" s="452"/>
      <c r="N138" s="451"/>
      <c r="O138" s="430"/>
      <c r="P138" s="542" t="str">
        <f t="array" ref="P138">INDEX(正厂竞争者数据汇总!I:I,MATCH($A$133&amp;B138,正厂竞争者数据汇总!A:A&amp;正厂竞争者数据汇总!D:D,0))</f>
        <v>同时经营honda/acura，折算比例：acura75%，honda25%</v>
      </c>
      <c r="Q138" s="429"/>
      <c r="R138" s="421"/>
      <c r="S138" s="472">
        <v>1355</v>
      </c>
      <c r="T138" s="472">
        <v>262</v>
      </c>
      <c r="U138" s="466"/>
      <c r="V138" s="466"/>
      <c r="W138" s="466"/>
      <c r="X138" s="466"/>
      <c r="Y138" s="200" t="s">
        <v>321</v>
      </c>
      <c r="Z138" s="200">
        <v>1330</v>
      </c>
      <c r="AA138" s="200">
        <v>264</v>
      </c>
      <c r="AB138" s="410">
        <f t="shared" si="31"/>
        <v>1</v>
      </c>
      <c r="AC138" s="409">
        <f t="shared" si="32"/>
        <v>1330</v>
      </c>
      <c r="AD138" s="409">
        <f t="shared" si="33"/>
        <v>264</v>
      </c>
    </row>
    <row r="139" s="408" customFormat="1" spans="1:30">
      <c r="A139" s="428" t="s">
        <v>238</v>
      </c>
      <c r="B139" s="421" t="s">
        <v>322</v>
      </c>
      <c r="C139" s="429" t="str">
        <f>VLOOKUP(B139,正厂竞争者数据汇总!D:H,2,FALSE)</f>
        <v>原厂目录</v>
      </c>
      <c r="D139" s="421" t="str">
        <f>VLOOKUP(B139,正厂竞争者数据汇总!D:H,3,FALSE)</f>
        <v>MA</v>
      </c>
      <c r="E139" s="430"/>
      <c r="F139" s="430">
        <f t="array" ref="F139">INDEX(正厂竞争者数据汇总!$H$2:$H$448,MATCH($A$133&amp;$B139,正厂竞争者数据汇总!$A$2:$A$448&amp;正厂竞争者数据汇总!$D$2:$D$448,0))</f>
        <v>39498.8256</v>
      </c>
      <c r="G139" s="430"/>
      <c r="H139" s="430"/>
      <c r="I139" s="450"/>
      <c r="J139" s="451">
        <f t="shared" si="34"/>
        <v>0.0839316389402664</v>
      </c>
      <c r="K139" s="451">
        <v>0.0712859425723417</v>
      </c>
      <c r="L139" s="451">
        <v>0.0558580080652153</v>
      </c>
      <c r="M139" s="452"/>
      <c r="N139" s="451"/>
      <c r="O139" s="430"/>
      <c r="P139" s="542">
        <f t="array" ref="P139">INDEX(正厂竞争者数据汇总!I:I,MATCH($A$133&amp;B139,正厂竞争者数据汇总!A:A&amp;正厂竞争者数据汇总!D:D,0))</f>
        <v>0</v>
      </c>
      <c r="Q139" s="429"/>
      <c r="R139" s="421"/>
      <c r="S139" s="472">
        <v>38934</v>
      </c>
      <c r="T139" s="472">
        <v>2298</v>
      </c>
      <c r="U139" s="466"/>
      <c r="V139" s="466"/>
      <c r="W139" s="466"/>
      <c r="X139" s="466"/>
      <c r="Y139" s="200" t="s">
        <v>322</v>
      </c>
      <c r="Z139" s="200">
        <v>28657</v>
      </c>
      <c r="AA139" s="200">
        <v>1803</v>
      </c>
      <c r="AB139" s="410">
        <f t="shared" si="31"/>
        <v>1</v>
      </c>
      <c r="AC139" s="409">
        <f t="shared" si="32"/>
        <v>28657</v>
      </c>
      <c r="AD139" s="409">
        <f t="shared" si="33"/>
        <v>1803</v>
      </c>
    </row>
    <row r="140" s="408" customFormat="1" ht="31.2" spans="1:30">
      <c r="A140" s="428" t="s">
        <v>230</v>
      </c>
      <c r="B140" s="421" t="s">
        <v>323</v>
      </c>
      <c r="C140" s="429" t="str">
        <f>VLOOKUP(B140,正厂竞争者数据汇总!D:H,2,FALSE)</f>
        <v>原厂目录</v>
      </c>
      <c r="D140" s="421" t="str">
        <f>VLOOKUP(B140,正厂竞争者数据汇总!D:H,3,FALSE)</f>
        <v>NJ</v>
      </c>
      <c r="E140" s="430"/>
      <c r="F140" s="430">
        <f t="array" ref="F140">INDEX(正厂竞争者数据汇总!$H$2:$H$448,MATCH($A$133&amp;$B140,正厂竞争者数据汇总!$A$2:$A$448&amp;正厂竞争者数据汇总!$D$2:$D$448,0))</f>
        <v>22322.8333333333</v>
      </c>
      <c r="G140" s="430"/>
      <c r="H140" s="430"/>
      <c r="I140" s="450"/>
      <c r="J140" s="451">
        <f t="shared" si="34"/>
        <v>0.0474341188376263</v>
      </c>
      <c r="K140" s="451">
        <v>0.0549926301728512</v>
      </c>
      <c r="L140" s="451">
        <v>0.0576420792977577</v>
      </c>
      <c r="M140" s="452"/>
      <c r="N140" s="451"/>
      <c r="O140" s="430"/>
      <c r="P140" s="542" t="str">
        <f t="array" ref="P140">INDEX(正厂竞争者数据汇总!I:I,MATCH($A$133&amp;B140,正厂竞争者数据汇总!A:A&amp;正厂竞争者数据汇总!D:D,0))</f>
        <v>2022年1月 新加入 CompetitorSites
2022年1月 新加入 MarketingShare</v>
      </c>
      <c r="Q140" s="429"/>
      <c r="R140" s="421"/>
      <c r="S140" s="472">
        <v>1140</v>
      </c>
      <c r="T140" s="472">
        <v>175</v>
      </c>
      <c r="U140" s="466"/>
      <c r="V140" s="466"/>
      <c r="W140" s="466"/>
      <c r="X140" s="466"/>
      <c r="Y140" s="200" t="s">
        <v>323</v>
      </c>
      <c r="Z140" s="200">
        <v>1111</v>
      </c>
      <c r="AA140" s="200">
        <v>183</v>
      </c>
      <c r="AB140" s="410">
        <f t="shared" si="31"/>
        <v>1</v>
      </c>
      <c r="AC140" s="409">
        <f t="shared" si="32"/>
        <v>1111</v>
      </c>
      <c r="AD140" s="409">
        <f t="shared" si="33"/>
        <v>183</v>
      </c>
    </row>
    <row r="141" s="408" customFormat="1" spans="1:30">
      <c r="A141" s="428"/>
      <c r="B141" s="438"/>
      <c r="C141" s="429"/>
      <c r="D141" s="421"/>
      <c r="E141" s="430"/>
      <c r="F141" s="486"/>
      <c r="G141" s="486">
        <v>409170.916666667</v>
      </c>
      <c r="H141" s="486"/>
      <c r="I141" s="453"/>
      <c r="J141" s="451"/>
      <c r="K141" s="430"/>
      <c r="L141" s="430"/>
      <c r="M141" s="451"/>
      <c r="N141" s="451"/>
      <c r="O141" s="430"/>
      <c r="P141" s="542"/>
      <c r="Q141" s="429"/>
      <c r="R141" s="421"/>
      <c r="S141" s="473" t="s">
        <v>180</v>
      </c>
      <c r="T141" s="473" t="s">
        <v>180</v>
      </c>
      <c r="U141" s="466"/>
      <c r="V141" s="466"/>
      <c r="W141" s="421"/>
      <c r="X141" s="421"/>
      <c r="Y141" s="200" t="s">
        <v>240</v>
      </c>
      <c r="Z141" s="200" t="s">
        <v>180</v>
      </c>
      <c r="AA141" s="200" t="s">
        <v>180</v>
      </c>
      <c r="AB141" s="410">
        <f t="shared" si="31"/>
        <v>0</v>
      </c>
      <c r="AC141" s="409" t="str">
        <f t="shared" si="32"/>
        <v/>
      </c>
      <c r="AD141" s="409" t="str">
        <f t="shared" si="33"/>
        <v/>
      </c>
    </row>
    <row r="142" s="408" customFormat="1" spans="1:30">
      <c r="A142" s="428"/>
      <c r="B142" s="421"/>
      <c r="C142" s="439"/>
      <c r="D142" s="421"/>
      <c r="E142" s="421"/>
      <c r="F142" s="430">
        <f>SUM(F135:F140)</f>
        <v>470607.104766667</v>
      </c>
      <c r="G142" s="430"/>
      <c r="H142" s="430">
        <v>444921.666666667</v>
      </c>
      <c r="I142" s="453" t="e">
        <f>(F142/G142)-1</f>
        <v>#DIV/0!</v>
      </c>
      <c r="J142" s="430"/>
      <c r="K142" s="430"/>
      <c r="L142" s="430"/>
      <c r="M142" s="451"/>
      <c r="N142" s="451">
        <f>SUM(N135:N141)</f>
        <v>0</v>
      </c>
      <c r="O142" s="430"/>
      <c r="P142" s="542"/>
      <c r="Q142" s="429" t="s">
        <v>180</v>
      </c>
      <c r="R142" s="421" t="s">
        <v>180</v>
      </c>
      <c r="S142" s="473" t="s">
        <v>180</v>
      </c>
      <c r="T142" s="473" t="s">
        <v>180</v>
      </c>
      <c r="U142" s="466"/>
      <c r="V142" s="466"/>
      <c r="W142" s="421"/>
      <c r="X142" s="421"/>
      <c r="Y142" s="200" t="s">
        <v>240</v>
      </c>
      <c r="Z142" s="200" t="s">
        <v>180</v>
      </c>
      <c r="AA142" s="200" t="s">
        <v>180</v>
      </c>
      <c r="AB142" s="410">
        <f t="shared" si="31"/>
        <v>0</v>
      </c>
      <c r="AC142" s="409" t="str">
        <f t="shared" si="32"/>
        <v/>
      </c>
      <c r="AD142" s="409" t="str">
        <f t="shared" si="33"/>
        <v/>
      </c>
    </row>
    <row r="143" s="408" customFormat="1" spans="1:30">
      <c r="A143" s="428"/>
      <c r="B143" s="421"/>
      <c r="C143" s="439"/>
      <c r="D143" s="421"/>
      <c r="E143" s="430"/>
      <c r="F143" s="430"/>
      <c r="G143" s="430"/>
      <c r="H143" s="430"/>
      <c r="I143" s="453"/>
      <c r="J143" s="430"/>
      <c r="K143" s="430"/>
      <c r="L143" s="430"/>
      <c r="M143" s="451"/>
      <c r="N143" s="459"/>
      <c r="O143" s="430"/>
      <c r="P143" s="542"/>
      <c r="Q143" s="429"/>
      <c r="R143" s="421" t="s">
        <v>180</v>
      </c>
      <c r="S143" s="473" t="s">
        <v>180</v>
      </c>
      <c r="T143" s="473" t="s">
        <v>180</v>
      </c>
      <c r="U143" s="466"/>
      <c r="V143" s="466"/>
      <c r="W143" s="421"/>
      <c r="X143" s="421"/>
      <c r="Y143" s="200" t="s">
        <v>240</v>
      </c>
      <c r="Z143" s="200" t="s">
        <v>180</v>
      </c>
      <c r="AA143" s="200" t="s">
        <v>180</v>
      </c>
      <c r="AB143" s="410">
        <f t="shared" si="31"/>
        <v>0</v>
      </c>
      <c r="AC143" s="409" t="str">
        <f t="shared" si="32"/>
        <v/>
      </c>
      <c r="AD143" s="409" t="str">
        <f t="shared" si="33"/>
        <v/>
      </c>
    </row>
    <row r="144" s="408" customFormat="1" ht="17.4" spans="1:30">
      <c r="A144" s="418" t="s">
        <v>177</v>
      </c>
      <c r="B144" s="419"/>
      <c r="C144" s="420"/>
      <c r="D144" s="421"/>
      <c r="E144" s="422" t="s">
        <v>202</v>
      </c>
      <c r="F144" s="422"/>
      <c r="G144" s="422" t="s">
        <v>212</v>
      </c>
      <c r="H144" s="422"/>
      <c r="I144" s="422"/>
      <c r="J144" s="422"/>
      <c r="K144" s="422"/>
      <c r="L144" s="422"/>
      <c r="M144" s="443"/>
      <c r="N144" s="444"/>
      <c r="O144" s="422"/>
      <c r="P144" s="542"/>
      <c r="Q144" s="465"/>
      <c r="R144" s="424"/>
      <c r="S144" s="473" t="s">
        <v>180</v>
      </c>
      <c r="T144" s="473" t="s">
        <v>180</v>
      </c>
      <c r="U144" s="467"/>
      <c r="V144" s="467"/>
      <c r="W144" s="467"/>
      <c r="X144" s="467"/>
      <c r="Y144" s="200" t="s">
        <v>240</v>
      </c>
      <c r="Z144" s="200" t="s">
        <v>180</v>
      </c>
      <c r="AA144" s="200" t="s">
        <v>180</v>
      </c>
      <c r="AB144" s="410">
        <f t="shared" si="31"/>
        <v>0</v>
      </c>
      <c r="AC144" s="409" t="str">
        <f t="shared" si="32"/>
        <v/>
      </c>
      <c r="AD144" s="409" t="str">
        <f t="shared" si="33"/>
        <v/>
      </c>
    </row>
    <row r="145" s="409" customFormat="1" ht="46.8" spans="1:30">
      <c r="A145" s="423" t="s">
        <v>206</v>
      </c>
      <c r="B145" s="424" t="s">
        <v>207</v>
      </c>
      <c r="C145" s="425" t="s">
        <v>208</v>
      </c>
      <c r="D145" s="424" t="s">
        <v>209</v>
      </c>
      <c r="E145" s="426" t="s">
        <v>210</v>
      </c>
      <c r="F145" s="427" t="s">
        <v>211</v>
      </c>
      <c r="G145" s="427">
        <v>93920.4166666667</v>
      </c>
      <c r="H145" s="427" t="s">
        <v>213</v>
      </c>
      <c r="I145" s="427" t="s">
        <v>214</v>
      </c>
      <c r="J145" s="446" t="s">
        <v>215</v>
      </c>
      <c r="K145" s="446" t="s">
        <v>216</v>
      </c>
      <c r="L145" s="446" t="s">
        <v>217</v>
      </c>
      <c r="M145" s="447" t="s">
        <v>218</v>
      </c>
      <c r="N145" s="448" t="s">
        <v>219</v>
      </c>
      <c r="O145" s="449" t="s">
        <v>220</v>
      </c>
      <c r="P145" s="543" t="s">
        <v>221</v>
      </c>
      <c r="Q145" s="469" t="s">
        <v>222</v>
      </c>
      <c r="R145" s="426" t="s">
        <v>223</v>
      </c>
      <c r="S145" s="470" t="s">
        <v>224</v>
      </c>
      <c r="T145" s="470" t="s">
        <v>205</v>
      </c>
      <c r="U145" s="467" t="s">
        <v>225</v>
      </c>
      <c r="V145" s="470" t="s">
        <v>226</v>
      </c>
      <c r="W145" s="467"/>
      <c r="X145" s="467"/>
      <c r="Y145" s="200" t="s">
        <v>207</v>
      </c>
      <c r="Z145" s="200" t="s">
        <v>180</v>
      </c>
      <c r="AA145" s="200" t="s">
        <v>180</v>
      </c>
      <c r="AB145" s="410">
        <f t="shared" si="31"/>
        <v>1</v>
      </c>
      <c r="AC145" s="409" t="str">
        <f t="shared" si="32"/>
        <v>Forum Link</v>
      </c>
      <c r="AD145" s="409" t="str">
        <f t="shared" si="33"/>
        <v>Domains</v>
      </c>
    </row>
    <row r="146" s="410" customFormat="1" ht="17.4" spans="1:30">
      <c r="A146" s="432" t="s">
        <v>227</v>
      </c>
      <c r="B146" s="432" t="s">
        <v>178</v>
      </c>
      <c r="C146" s="434" t="str">
        <f>VLOOKUP(B146,正厂竞争者数据汇总!D:H,2,FALSE)</f>
        <v>原厂目录</v>
      </c>
      <c r="D146" s="435" t="str">
        <f>VLOOKUP(B146,正厂竞争者数据汇总!D:H,3,FALSE)</f>
        <v>CA</v>
      </c>
      <c r="E146" s="436">
        <f>VLOOKUP(B146,正厂竞争者数据汇总!D:H,4,FALSE)</f>
        <v>0</v>
      </c>
      <c r="F146" s="436">
        <f t="array" ref="F146">INDEX(正厂竞争者数据汇总!$H$2:$H$448,MATCH($A$144&amp;$B146,正厂竞争者数据汇总!$A$2:$A$448&amp;正厂竞争者数据汇总!$D$2:$D$448,0))</f>
        <v>105540.45</v>
      </c>
      <c r="G146" s="436">
        <v>19160.4166666667</v>
      </c>
      <c r="H146" s="436">
        <v>93560.5000000002</v>
      </c>
      <c r="I146" s="454">
        <f>(F146/G146)-1</f>
        <v>4.50825443079264</v>
      </c>
      <c r="J146" s="457">
        <f>F146/F$152</f>
        <v>0.67168620700562</v>
      </c>
      <c r="K146" s="457">
        <v>0.678819593089211</v>
      </c>
      <c r="L146" s="457">
        <v>0.63754230791378</v>
      </c>
      <c r="M146" s="456" t="e">
        <f>J146-#REF!</f>
        <v>#REF!</v>
      </c>
      <c r="N146" s="457" t="str">
        <f>IFERROR(O146*0.5/#REF!,"")</f>
        <v/>
      </c>
      <c r="O146" s="436" t="s">
        <v>180</v>
      </c>
      <c r="P146" s="542">
        <f t="array" ref="P146">INDEX(正厂竞争者数据汇总!I:I,MATCH($A$144&amp;B146,正厂竞争者数据汇总!A:A&amp;正厂竞争者数据汇总!D:D,0))</f>
        <v>0</v>
      </c>
      <c r="Q146" s="434" t="s">
        <v>324</v>
      </c>
      <c r="R146" s="435" t="s">
        <v>229</v>
      </c>
      <c r="S146" s="476">
        <v>24985</v>
      </c>
      <c r="T146" s="476">
        <v>5071</v>
      </c>
      <c r="U146" s="477"/>
      <c r="V146" s="477"/>
      <c r="W146" s="435"/>
      <c r="X146" s="435"/>
      <c r="Y146" s="200" t="s">
        <v>178</v>
      </c>
      <c r="Z146" s="200">
        <v>20931</v>
      </c>
      <c r="AA146" s="200">
        <v>4210</v>
      </c>
      <c r="AB146" s="410">
        <f t="shared" si="31"/>
        <v>1</v>
      </c>
      <c r="AC146" s="409">
        <f t="shared" si="32"/>
        <v>20931</v>
      </c>
      <c r="AD146" s="409">
        <f t="shared" si="33"/>
        <v>4210</v>
      </c>
    </row>
    <row r="147" s="408" customFormat="1" spans="1:30">
      <c r="A147" s="428" t="s">
        <v>325</v>
      </c>
      <c r="B147" s="421" t="s">
        <v>326</v>
      </c>
      <c r="C147" s="429" t="str">
        <f>VLOOKUP(B147,正厂竞争者数据汇总!D:H,2,FALSE)</f>
        <v>原厂目录</v>
      </c>
      <c r="D147" s="421" t="str">
        <f>VLOOKUP(B147,正厂竞争者数据汇总!D:H,3,FALSE)</f>
        <v>IL</v>
      </c>
      <c r="E147" s="430"/>
      <c r="F147" s="430">
        <f t="array" ref="F147">INDEX(正厂竞争者数据汇总!$H$2:$H$448,MATCH($A$144&amp;$B147,正厂竞争者数据汇总!$A$2:$A$448&amp;正厂竞争者数据汇总!$D$2:$D$448,0))</f>
        <v>15414.8272166667</v>
      </c>
      <c r="G147" s="430"/>
      <c r="H147" s="430"/>
      <c r="I147" s="450"/>
      <c r="J147" s="451">
        <f>F147/F$152</f>
        <v>0.0981038722576023</v>
      </c>
      <c r="K147" s="451">
        <v>0.0784553597424068</v>
      </c>
      <c r="L147" s="451">
        <v>0.0847930405359059</v>
      </c>
      <c r="M147" s="452"/>
      <c r="N147" s="451"/>
      <c r="O147" s="430"/>
      <c r="P147" s="542">
        <f t="array" ref="P147">INDEX(正厂竞争者数据汇总!I:I,MATCH($A$144&amp;B147,正厂竞争者数据汇总!A:A&amp;正厂竞争者数据汇总!D:D,0))</f>
        <v>0</v>
      </c>
      <c r="Q147" s="429"/>
      <c r="R147" s="421"/>
      <c r="S147" s="472">
        <v>551</v>
      </c>
      <c r="T147" s="472">
        <v>49</v>
      </c>
      <c r="U147" s="466"/>
      <c r="V147" s="466"/>
      <c r="W147" s="466"/>
      <c r="X147" s="466"/>
      <c r="Y147" s="200" t="s">
        <v>326</v>
      </c>
      <c r="Z147" s="200">
        <v>624</v>
      </c>
      <c r="AA147" s="200">
        <v>78</v>
      </c>
      <c r="AB147" s="410">
        <f t="shared" si="31"/>
        <v>1</v>
      </c>
      <c r="AC147" s="409">
        <f t="shared" si="32"/>
        <v>624</v>
      </c>
      <c r="AD147" s="409">
        <f t="shared" si="33"/>
        <v>78</v>
      </c>
    </row>
    <row r="148" s="408" customFormat="1" ht="46.8" spans="1:30">
      <c r="A148" s="428" t="s">
        <v>230</v>
      </c>
      <c r="B148" s="421" t="s">
        <v>327</v>
      </c>
      <c r="C148" s="429" t="str">
        <f>VLOOKUP(B148,正厂竞争者数据汇总!D:H,2,FALSE)</f>
        <v>Motor目录</v>
      </c>
      <c r="D148" s="421" t="str">
        <f>VLOOKUP(B148,正厂竞争者数据汇总!D:H,3,FALSE)</f>
        <v>-</v>
      </c>
      <c r="E148" s="430"/>
      <c r="F148" s="430">
        <f t="array" ref="F148">INDEX(正厂竞争者数据汇总!$H$2:$H$448,MATCH($A$144&amp;$B148,正厂竞争者数据汇总!$A$2:$A$448&amp;正厂竞争者数据汇总!$D$2:$D$448,0))</f>
        <v>14710.6833333333</v>
      </c>
      <c r="G148" s="430"/>
      <c r="H148" s="430"/>
      <c r="I148" s="450"/>
      <c r="J148" s="451">
        <f>F148/F$152</f>
        <v>0.0936225218921033</v>
      </c>
      <c r="K148" s="451">
        <v>0.124369872321393</v>
      </c>
      <c r="L148" s="451">
        <v>0.13095255139491</v>
      </c>
      <c r="M148" s="452"/>
      <c r="N148" s="451"/>
      <c r="O148" s="430"/>
      <c r="P148" s="542" t="str">
        <f t="array" ref="P148">INDEX(正厂竞争者数据汇总!I:I,MATCH($A$144&amp;B148,正厂竞争者数据汇总!A:A&amp;正厂竞争者数据汇总!D:D,0))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48" s="429"/>
      <c r="R148" s="421"/>
      <c r="S148" s="472">
        <v>143</v>
      </c>
      <c r="T148" s="472">
        <v>50</v>
      </c>
      <c r="U148" s="466"/>
      <c r="V148" s="466"/>
      <c r="W148" s="466"/>
      <c r="X148" s="466"/>
      <c r="Y148" s="200" t="s">
        <v>327</v>
      </c>
      <c r="Z148" s="200">
        <v>248</v>
      </c>
      <c r="AA148" s="200">
        <v>26</v>
      </c>
      <c r="AB148" s="410">
        <f t="shared" si="31"/>
        <v>1</v>
      </c>
      <c r="AC148" s="409">
        <f t="shared" si="32"/>
        <v>248</v>
      </c>
      <c r="AD148" s="409">
        <f t="shared" si="33"/>
        <v>26</v>
      </c>
    </row>
    <row r="149" s="408" customFormat="1" spans="1:30">
      <c r="A149" s="428" t="s">
        <v>230</v>
      </c>
      <c r="B149" s="421" t="s">
        <v>328</v>
      </c>
      <c r="C149" s="429" t="str">
        <f>VLOOKUP(B149,正厂竞争者数据汇总!D:H,2,FALSE)</f>
        <v>Motor目录</v>
      </c>
      <c r="D149" s="421" t="str">
        <f>VLOOKUP(B149,正厂竞争者数据汇总!D:H,3,FALSE)</f>
        <v>AZ</v>
      </c>
      <c r="E149" s="430"/>
      <c r="F149" s="430">
        <f t="array" ref="F149">INDEX(正厂竞争者数据汇总!$H$2:$H$448,MATCH($A$144&amp;$B149,正厂竞争者数据汇总!$A$2:$A$448&amp;正厂竞争者数据汇总!$D$2:$D$448,0))</f>
        <v>13227.0833333333</v>
      </c>
      <c r="G149" s="430"/>
      <c r="H149" s="430"/>
      <c r="I149" s="450"/>
      <c r="J149" s="451">
        <f>F149/F$152</f>
        <v>0.0841805149960409</v>
      </c>
      <c r="K149" s="451">
        <v>0.0572311801314218</v>
      </c>
      <c r="L149" s="451">
        <v>0.0530236320790196</v>
      </c>
      <c r="M149" s="452"/>
      <c r="N149" s="451"/>
      <c r="O149" s="430"/>
      <c r="P149" s="542" t="str">
        <f t="array" ref="P149">INDEX(正厂竞争者数据汇总!I:I,MATCH($A$144&amp;B149,正厂竞争者数据汇总!A:A&amp;正厂竞争者数据汇总!D:D,0))</f>
        <v>2022年1月 新加入 MarketingShare</v>
      </c>
      <c r="Q149" s="429"/>
      <c r="R149" s="421"/>
      <c r="S149" s="472">
        <v>325</v>
      </c>
      <c r="T149" s="472">
        <v>76</v>
      </c>
      <c r="U149" s="466"/>
      <c r="V149" s="466"/>
      <c r="W149" s="466"/>
      <c r="X149" s="466"/>
      <c r="Y149" s="200" t="s">
        <v>328</v>
      </c>
      <c r="Z149" s="200">
        <v>327</v>
      </c>
      <c r="AA149" s="200">
        <v>78</v>
      </c>
      <c r="AB149" s="410">
        <f t="shared" si="31"/>
        <v>1</v>
      </c>
      <c r="AC149" s="409">
        <f t="shared" si="32"/>
        <v>327</v>
      </c>
      <c r="AD149" s="409">
        <f t="shared" si="33"/>
        <v>78</v>
      </c>
    </row>
    <row r="150" s="408" customFormat="1" spans="1:30">
      <c r="A150" s="428" t="s">
        <v>230</v>
      </c>
      <c r="B150" s="421" t="s">
        <v>329</v>
      </c>
      <c r="C150" s="429" t="str">
        <f>VLOOKUP(B150,正厂竞争者数据汇总!D:H,2,FALSE)</f>
        <v>Motor目录</v>
      </c>
      <c r="D150" s="421" t="str">
        <f>VLOOKUP(B150,正厂竞争者数据汇总!D:H,3,FALSE)</f>
        <v>AZ</v>
      </c>
      <c r="E150" s="430"/>
      <c r="F150" s="430">
        <f t="array" ref="F150">INDEX(正厂竞争者数据汇总!$H$2:$H$448,MATCH($A$144&amp;$B150,正厂竞争者数据汇总!$A$2:$A$448&amp;正厂竞争者数据汇总!$D$2:$D$448,0))</f>
        <v>8234.56853333335</v>
      </c>
      <c r="G150" s="430"/>
      <c r="H150" s="430"/>
      <c r="I150" s="450"/>
      <c r="J150" s="451">
        <f>F150/F$152</f>
        <v>0.0524068838486335</v>
      </c>
      <c r="K150" s="451">
        <v>0.0611239947155674</v>
      </c>
      <c r="L150" s="451">
        <v>0.0484666956284748</v>
      </c>
      <c r="M150" s="452"/>
      <c r="N150" s="451"/>
      <c r="O150" s="430"/>
      <c r="P150" s="542">
        <f t="array" ref="P150">INDEX(正厂竞争者数据汇总!I:I,MATCH($A$144&amp;B150,正厂竞争者数据汇总!A:A&amp;正厂竞争者数据汇总!D:D,0))</f>
        <v>0</v>
      </c>
      <c r="Q150" s="429"/>
      <c r="R150" s="421"/>
      <c r="S150" s="472">
        <v>652</v>
      </c>
      <c r="T150" s="472">
        <v>111</v>
      </c>
      <c r="U150" s="466"/>
      <c r="V150" s="466"/>
      <c r="W150" s="466"/>
      <c r="X150" s="466"/>
      <c r="Y150" s="200" t="s">
        <v>329</v>
      </c>
      <c r="Z150" s="200">
        <v>807</v>
      </c>
      <c r="AA150" s="200">
        <v>152</v>
      </c>
      <c r="AB150" s="410">
        <f t="shared" si="31"/>
        <v>1</v>
      </c>
      <c r="AC150" s="409">
        <f t="shared" si="32"/>
        <v>807</v>
      </c>
      <c r="AD150" s="409">
        <f t="shared" si="33"/>
        <v>152</v>
      </c>
    </row>
    <row r="151" s="408" customFormat="1" spans="1:30">
      <c r="A151" s="428"/>
      <c r="B151" s="431"/>
      <c r="C151" s="429"/>
      <c r="D151" s="421"/>
      <c r="E151" s="430"/>
      <c r="F151" s="430"/>
      <c r="G151" s="430">
        <v>161698.333333333</v>
      </c>
      <c r="H151" s="430"/>
      <c r="I151" s="453"/>
      <c r="J151" s="451"/>
      <c r="K151" s="451"/>
      <c r="L151" s="451"/>
      <c r="M151" s="451"/>
      <c r="N151" s="451"/>
      <c r="O151" s="430"/>
      <c r="P151" s="542"/>
      <c r="Q151" s="429"/>
      <c r="R151" s="421"/>
      <c r="S151" s="473" t="s">
        <v>180</v>
      </c>
      <c r="T151" s="473" t="s">
        <v>180</v>
      </c>
      <c r="U151" s="466"/>
      <c r="V151" s="466"/>
      <c r="W151" s="421"/>
      <c r="X151" s="421"/>
      <c r="Y151" s="200" t="s">
        <v>240</v>
      </c>
      <c r="Z151" s="200" t="s">
        <v>180</v>
      </c>
      <c r="AA151" s="200" t="s">
        <v>180</v>
      </c>
      <c r="AB151" s="410">
        <f t="shared" si="31"/>
        <v>0</v>
      </c>
      <c r="AC151" s="409" t="str">
        <f t="shared" si="32"/>
        <v/>
      </c>
      <c r="AD151" s="409" t="str">
        <f t="shared" si="33"/>
        <v/>
      </c>
    </row>
    <row r="152" s="408" customFormat="1" spans="1:30">
      <c r="A152" s="428"/>
      <c r="B152" s="421"/>
      <c r="C152" s="439"/>
      <c r="D152" s="421"/>
      <c r="E152" s="430"/>
      <c r="F152" s="430">
        <f>SUM(F146:F150)</f>
        <v>157127.612416667</v>
      </c>
      <c r="G152" s="430"/>
      <c r="H152" s="430">
        <v>167907.166666667</v>
      </c>
      <c r="I152" s="453" t="e">
        <f>(F152/G152)-1</f>
        <v>#DIV/0!</v>
      </c>
      <c r="J152" s="430"/>
      <c r="K152" s="430"/>
      <c r="L152" s="430"/>
      <c r="M152" s="451"/>
      <c r="N152" s="451">
        <f>SUM(N146:N148)</f>
        <v>0</v>
      </c>
      <c r="O152" s="430"/>
      <c r="P152" s="542"/>
      <c r="Q152" s="493"/>
      <c r="R152" s="421"/>
      <c r="S152" s="473" t="s">
        <v>180</v>
      </c>
      <c r="T152" s="473" t="s">
        <v>180</v>
      </c>
      <c r="U152" s="466"/>
      <c r="V152" s="466"/>
      <c r="W152" s="421"/>
      <c r="X152" s="421"/>
      <c r="Y152" s="200" t="s">
        <v>240</v>
      </c>
      <c r="Z152" s="200" t="s">
        <v>180</v>
      </c>
      <c r="AA152" s="200" t="s">
        <v>180</v>
      </c>
      <c r="AB152" s="410">
        <f t="shared" si="31"/>
        <v>0</v>
      </c>
      <c r="AC152" s="409" t="str">
        <f t="shared" si="32"/>
        <v/>
      </c>
      <c r="AD152" s="409" t="str">
        <f t="shared" si="33"/>
        <v/>
      </c>
    </row>
    <row r="153" s="408" customFormat="1" spans="1:30">
      <c r="A153" s="428"/>
      <c r="B153" s="421"/>
      <c r="C153" s="439"/>
      <c r="D153" s="421"/>
      <c r="E153" s="430"/>
      <c r="F153" s="430"/>
      <c r="G153" s="430"/>
      <c r="H153" s="430"/>
      <c r="I153" s="453"/>
      <c r="J153" s="430"/>
      <c r="K153" s="430"/>
      <c r="L153" s="430"/>
      <c r="M153" s="451"/>
      <c r="N153" s="451"/>
      <c r="O153" s="430"/>
      <c r="P153" s="542"/>
      <c r="Q153" s="493"/>
      <c r="R153" s="421"/>
      <c r="S153" s="473" t="s">
        <v>180</v>
      </c>
      <c r="T153" s="473" t="s">
        <v>180</v>
      </c>
      <c r="U153" s="466"/>
      <c r="V153" s="466"/>
      <c r="W153" s="421"/>
      <c r="X153" s="421"/>
      <c r="Y153" s="200" t="s">
        <v>240</v>
      </c>
      <c r="Z153" s="200" t="s">
        <v>180</v>
      </c>
      <c r="AA153" s="200" t="s">
        <v>180</v>
      </c>
      <c r="AB153" s="410">
        <f t="shared" si="31"/>
        <v>0</v>
      </c>
      <c r="AC153" s="409" t="str">
        <f t="shared" si="32"/>
        <v/>
      </c>
      <c r="AD153" s="409" t="str">
        <f t="shared" si="33"/>
        <v/>
      </c>
    </row>
    <row r="154" s="408" customFormat="1" ht="17.4" spans="1:30">
      <c r="A154" s="418" t="s">
        <v>185</v>
      </c>
      <c r="B154" s="419"/>
      <c r="C154" s="420"/>
      <c r="D154" s="421"/>
      <c r="E154" s="422" t="s">
        <v>202</v>
      </c>
      <c r="F154" s="422"/>
      <c r="G154" s="422" t="s">
        <v>212</v>
      </c>
      <c r="H154" s="422"/>
      <c r="I154" s="422"/>
      <c r="J154" s="422"/>
      <c r="K154" s="422"/>
      <c r="L154" s="422"/>
      <c r="M154" s="443"/>
      <c r="N154" s="444"/>
      <c r="O154" s="422"/>
      <c r="P154" s="542"/>
      <c r="Q154" s="465"/>
      <c r="R154" s="424"/>
      <c r="S154" s="473" t="s">
        <v>180</v>
      </c>
      <c r="T154" s="473" t="s">
        <v>180</v>
      </c>
      <c r="U154" s="467"/>
      <c r="V154" s="467"/>
      <c r="W154" s="467"/>
      <c r="X154" s="467"/>
      <c r="Y154" s="200" t="s">
        <v>240</v>
      </c>
      <c r="Z154" s="200" t="s">
        <v>180</v>
      </c>
      <c r="AA154" s="200" t="s">
        <v>180</v>
      </c>
      <c r="AB154" s="410">
        <f t="shared" si="31"/>
        <v>0</v>
      </c>
      <c r="AC154" s="409" t="str">
        <f t="shared" si="32"/>
        <v/>
      </c>
      <c r="AD154" s="409" t="str">
        <f t="shared" si="33"/>
        <v/>
      </c>
    </row>
    <row r="155" s="409" customFormat="1" ht="46.8" spans="1:30">
      <c r="A155" s="423" t="s">
        <v>206</v>
      </c>
      <c r="B155" s="424" t="s">
        <v>207</v>
      </c>
      <c r="C155" s="425" t="s">
        <v>208</v>
      </c>
      <c r="D155" s="424" t="s">
        <v>209</v>
      </c>
      <c r="E155" s="426" t="s">
        <v>210</v>
      </c>
      <c r="F155" s="427" t="s">
        <v>211</v>
      </c>
      <c r="G155" s="427">
        <v>116448.583333333</v>
      </c>
      <c r="H155" s="427" t="s">
        <v>213</v>
      </c>
      <c r="I155" s="427" t="s">
        <v>214</v>
      </c>
      <c r="J155" s="446" t="s">
        <v>215</v>
      </c>
      <c r="K155" s="446" t="s">
        <v>216</v>
      </c>
      <c r="L155" s="446" t="s">
        <v>217</v>
      </c>
      <c r="M155" s="447" t="s">
        <v>218</v>
      </c>
      <c r="N155" s="448" t="s">
        <v>219</v>
      </c>
      <c r="O155" s="449" t="s">
        <v>220</v>
      </c>
      <c r="P155" s="543" t="s">
        <v>221</v>
      </c>
      <c r="Q155" s="469" t="s">
        <v>222</v>
      </c>
      <c r="R155" s="426" t="s">
        <v>223</v>
      </c>
      <c r="S155" s="470" t="s">
        <v>224</v>
      </c>
      <c r="T155" s="470" t="s">
        <v>205</v>
      </c>
      <c r="U155" s="467" t="s">
        <v>225</v>
      </c>
      <c r="V155" s="470" t="s">
        <v>226</v>
      </c>
      <c r="W155" s="467"/>
      <c r="X155" s="467"/>
      <c r="Y155" s="200" t="s">
        <v>207</v>
      </c>
      <c r="Z155" s="200" t="s">
        <v>180</v>
      </c>
      <c r="AA155" s="200" t="s">
        <v>180</v>
      </c>
      <c r="AB155" s="410">
        <f t="shared" si="31"/>
        <v>1</v>
      </c>
      <c r="AC155" s="409" t="str">
        <f t="shared" si="32"/>
        <v>Forum Link</v>
      </c>
      <c r="AD155" s="409" t="str">
        <f t="shared" si="33"/>
        <v>Domains</v>
      </c>
    </row>
    <row r="156" s="408" customFormat="1" spans="1:30">
      <c r="A156" s="428" t="s">
        <v>230</v>
      </c>
      <c r="B156" s="438" t="s">
        <v>330</v>
      </c>
      <c r="C156" s="429" t="str">
        <f>VLOOKUP(B156,正厂竞争者数据汇总!D:H,2,FALSE)</f>
        <v>Motor目录</v>
      </c>
      <c r="D156" s="421" t="str">
        <f>VLOOKUP(B156,正厂竞争者数据汇总!D:H,3,FALSE)</f>
        <v>NM</v>
      </c>
      <c r="E156" s="430"/>
      <c r="F156" s="430">
        <f>VLOOKUP(B156,正厂竞争者数据汇总!D:H,5,FALSE)</f>
        <v>117452.19475</v>
      </c>
      <c r="G156" s="430"/>
      <c r="H156" s="430"/>
      <c r="I156" s="453"/>
      <c r="J156" s="451">
        <f t="shared" ref="J156:J165" si="35">F156/F$167</f>
        <v>0.236600647485644</v>
      </c>
      <c r="K156" s="451">
        <v>0.238775308635444</v>
      </c>
      <c r="L156" s="451">
        <v>0.191540894208241</v>
      </c>
      <c r="M156" s="451"/>
      <c r="N156" s="459"/>
      <c r="O156" s="430"/>
      <c r="P156" s="542">
        <f>VLOOKUP(B156,正厂竞争者数据汇总!D:M,6,FALSE)</f>
        <v>0</v>
      </c>
      <c r="Q156" s="429"/>
      <c r="R156" s="421"/>
      <c r="S156" s="473">
        <v>3699</v>
      </c>
      <c r="T156" s="473">
        <v>399</v>
      </c>
      <c r="U156" s="466"/>
      <c r="V156" s="466"/>
      <c r="W156" s="421"/>
      <c r="X156" s="421"/>
      <c r="Y156" s="200" t="s">
        <v>330</v>
      </c>
      <c r="Z156" s="200">
        <v>4008</v>
      </c>
      <c r="AA156" s="200">
        <v>431</v>
      </c>
      <c r="AB156" s="410">
        <f t="shared" si="31"/>
        <v>1</v>
      </c>
      <c r="AC156" s="409">
        <f t="shared" si="32"/>
        <v>4008</v>
      </c>
      <c r="AD156" s="409">
        <f t="shared" si="33"/>
        <v>431</v>
      </c>
    </row>
    <row r="157" s="408" customFormat="1" spans="1:30">
      <c r="A157" s="428" t="s">
        <v>243</v>
      </c>
      <c r="B157" s="438" t="s">
        <v>331</v>
      </c>
      <c r="C157" s="429" t="str">
        <f>VLOOKUP(B157,正厂竞争者数据汇总!D:H,2,FALSE)</f>
        <v>旧年份原厂、新年份Motor</v>
      </c>
      <c r="D157" s="421" t="str">
        <f>VLOOKUP(B157,正厂竞争者数据汇总!D:H,3,FALSE)</f>
        <v>GA</v>
      </c>
      <c r="E157" s="430" t="str">
        <f>VLOOKUP(B155,正厂竞争者数据汇总!D:H,4,FALSE)</f>
        <v>Alexa Traffic Rank</v>
      </c>
      <c r="F157" s="430">
        <f>VLOOKUP(B157,正厂竞争者数据汇总!D:H,5,FALSE)</f>
        <v>82318.4933333333</v>
      </c>
      <c r="G157" s="430">
        <v>148204.583333333</v>
      </c>
      <c r="H157" s="430">
        <v>93790.0833333333</v>
      </c>
      <c r="I157" s="453">
        <f>(F157/G157)-1</f>
        <v>-0.444561757255594</v>
      </c>
      <c r="J157" s="451">
        <f t="shared" si="35"/>
        <v>0.165825839731354</v>
      </c>
      <c r="K157" s="451">
        <v>0.166780372911838</v>
      </c>
      <c r="L157" s="451">
        <v>0.172851781307616</v>
      </c>
      <c r="M157" s="451" t="e">
        <f>J157-#REF!</f>
        <v>#REF!</v>
      </c>
      <c r="N157" s="459"/>
      <c r="O157" s="430"/>
      <c r="P157" s="542">
        <f>VLOOKUP(B157,正厂竞争者数据汇总!D:M,6,FALSE)</f>
        <v>0</v>
      </c>
      <c r="Q157" s="429" t="s">
        <v>180</v>
      </c>
      <c r="R157" s="421" t="s">
        <v>180</v>
      </c>
      <c r="S157" s="473">
        <v>8486</v>
      </c>
      <c r="T157" s="473">
        <v>1704</v>
      </c>
      <c r="U157" s="466"/>
      <c r="V157" s="466"/>
      <c r="W157" s="421"/>
      <c r="X157" s="421"/>
      <c r="Y157" s="200" t="s">
        <v>331</v>
      </c>
      <c r="Z157" s="200">
        <v>8715</v>
      </c>
      <c r="AA157" s="200">
        <v>1502</v>
      </c>
      <c r="AB157" s="410">
        <f t="shared" si="31"/>
        <v>1</v>
      </c>
      <c r="AC157" s="409">
        <f t="shared" si="32"/>
        <v>8715</v>
      </c>
      <c r="AD157" s="409">
        <f t="shared" si="33"/>
        <v>1502</v>
      </c>
    </row>
    <row r="158" s="408" customFormat="1" spans="1:30">
      <c r="A158" s="428" t="s">
        <v>332</v>
      </c>
      <c r="B158" s="438" t="s">
        <v>333</v>
      </c>
      <c r="C158" s="429" t="str">
        <f>VLOOKUP(B158,正厂竞争者数据汇总!D:H,2,FALSE)</f>
        <v>Motor目录</v>
      </c>
      <c r="D158" s="421" t="str">
        <f>VLOOKUP(B158,正厂竞争者数据汇总!D:H,3,FALSE)</f>
        <v>TX</v>
      </c>
      <c r="E158" s="430"/>
      <c r="F158" s="430">
        <f>VLOOKUP(B158,正厂竞争者数据汇总!D:H,5,FALSE)</f>
        <v>75592.5783333333</v>
      </c>
      <c r="G158" s="430"/>
      <c r="H158" s="430"/>
      <c r="I158" s="453"/>
      <c r="J158" s="451">
        <f t="shared" si="35"/>
        <v>0.152276873300198</v>
      </c>
      <c r="K158" s="451">
        <v>0.127065233905451</v>
      </c>
      <c r="L158" s="451">
        <v>0.108373472587306</v>
      </c>
      <c r="M158" s="451"/>
      <c r="N158" s="459"/>
      <c r="O158" s="430"/>
      <c r="P158" s="542" t="str">
        <f>VLOOKUP(B158,正厂竞争者数据汇总!D:M,6,FALSE)</f>
        <v>2023年9月新增，用区号确定的地址</v>
      </c>
      <c r="Q158" s="429"/>
      <c r="R158" s="421"/>
      <c r="S158" s="473">
        <v>3091</v>
      </c>
      <c r="T158" s="473">
        <v>402</v>
      </c>
      <c r="U158" s="466"/>
      <c r="V158" s="466"/>
      <c r="W158" s="421"/>
      <c r="X158" s="421"/>
      <c r="Y158" s="200" t="s">
        <v>333</v>
      </c>
      <c r="Z158" s="200">
        <v>3846</v>
      </c>
      <c r="AA158" s="200">
        <v>373</v>
      </c>
      <c r="AB158" s="410">
        <f t="shared" si="31"/>
        <v>1</v>
      </c>
      <c r="AC158" s="409">
        <f t="shared" si="32"/>
        <v>3846</v>
      </c>
      <c r="AD158" s="409">
        <f t="shared" si="33"/>
        <v>373</v>
      </c>
    </row>
    <row r="159" s="408" customFormat="1" spans="1:30">
      <c r="A159" s="428" t="s">
        <v>230</v>
      </c>
      <c r="B159" s="438" t="s">
        <v>334</v>
      </c>
      <c r="C159" s="429" t="str">
        <f>VLOOKUP(B159,正厂竞争者数据汇总!D:H,2,FALSE)</f>
        <v>Motor目录</v>
      </c>
      <c r="D159" s="421" t="str">
        <f>VLOOKUP(B159,正厂竞争者数据汇总!D:H,3,FALSE)</f>
        <v>WA</v>
      </c>
      <c r="E159" s="430"/>
      <c r="F159" s="430">
        <f>VLOOKUP(B159,正厂竞争者数据汇总!D:H,5,FALSE)</f>
        <v>67602.2333333333</v>
      </c>
      <c r="G159" s="430"/>
      <c r="H159" s="430"/>
      <c r="I159" s="453"/>
      <c r="J159" s="451">
        <f t="shared" si="35"/>
        <v>0.136180785826842</v>
      </c>
      <c r="K159" s="451">
        <v>0.131651872117392</v>
      </c>
      <c r="L159" s="451">
        <v>0.125331448151862</v>
      </c>
      <c r="M159" s="451"/>
      <c r="N159" s="459"/>
      <c r="O159" s="430"/>
      <c r="P159" s="542">
        <f>VLOOKUP(B159,正厂竞争者数据汇总!D:M,6,FALSE)</f>
        <v>0</v>
      </c>
      <c r="Q159" s="429"/>
      <c r="R159" s="421"/>
      <c r="S159" s="473">
        <v>2611</v>
      </c>
      <c r="T159" s="473">
        <v>288</v>
      </c>
      <c r="U159" s="466"/>
      <c r="V159" s="466"/>
      <c r="W159" s="421"/>
      <c r="X159" s="421"/>
      <c r="Y159" s="200" t="s">
        <v>334</v>
      </c>
      <c r="Z159" s="200">
        <v>4038</v>
      </c>
      <c r="AA159" s="200">
        <v>370</v>
      </c>
      <c r="AB159" s="410">
        <f t="shared" si="31"/>
        <v>1</v>
      </c>
      <c r="AC159" s="409">
        <f t="shared" si="32"/>
        <v>4038</v>
      </c>
      <c r="AD159" s="409">
        <f t="shared" si="33"/>
        <v>370</v>
      </c>
    </row>
    <row r="160" s="408" customFormat="1" spans="1:30">
      <c r="A160" s="428" t="s">
        <v>230</v>
      </c>
      <c r="B160" s="438" t="s">
        <v>335</v>
      </c>
      <c r="C160" s="429" t="str">
        <f>VLOOKUP(B160,正厂竞争者数据汇总!D:H,2,FALSE)</f>
        <v>Motor目录</v>
      </c>
      <c r="D160" s="421" t="str">
        <f>VLOOKUP(B160,正厂竞争者数据汇总!D:H,3,FALSE)</f>
        <v>NH</v>
      </c>
      <c r="E160" s="430"/>
      <c r="F160" s="430">
        <f>VLOOKUP(B160,正厂竞争者数据汇总!D:H,5,FALSE)</f>
        <v>41856.5833333333</v>
      </c>
      <c r="G160" s="430"/>
      <c r="H160" s="430"/>
      <c r="I160" s="453"/>
      <c r="J160" s="451">
        <f t="shared" si="35"/>
        <v>0.084317664214644</v>
      </c>
      <c r="K160" s="451">
        <v>0.0671900443979077</v>
      </c>
      <c r="L160" s="451">
        <v>0.0840126908122951</v>
      </c>
      <c r="M160" s="451"/>
      <c r="N160" s="459"/>
      <c r="O160" s="430"/>
      <c r="P160" s="542" t="str">
        <f>VLOOKUP(B160,正厂竞争者数据汇总!D:M,6,FALSE)</f>
        <v>2023年9月新增</v>
      </c>
      <c r="Q160" s="429"/>
      <c r="R160" s="421"/>
      <c r="S160" s="473">
        <v>883</v>
      </c>
      <c r="T160" s="473">
        <v>115</v>
      </c>
      <c r="U160" s="466"/>
      <c r="V160" s="466"/>
      <c r="W160" s="421"/>
      <c r="X160" s="421"/>
      <c r="Y160" s="200" t="s">
        <v>335</v>
      </c>
      <c r="Z160" s="200">
        <v>424</v>
      </c>
      <c r="AA160" s="200">
        <v>119</v>
      </c>
      <c r="AB160" s="410">
        <f t="shared" si="31"/>
        <v>1</v>
      </c>
      <c r="AC160" s="409">
        <f t="shared" si="32"/>
        <v>424</v>
      </c>
      <c r="AD160" s="409">
        <f t="shared" si="33"/>
        <v>119</v>
      </c>
    </row>
    <row r="161" s="408" customFormat="1" spans="1:30">
      <c r="A161" s="428" t="s">
        <v>230</v>
      </c>
      <c r="B161" s="438" t="s">
        <v>336</v>
      </c>
      <c r="C161" s="429" t="str">
        <f>VLOOKUP(B161,正厂竞争者数据汇总!D:H,2,FALSE)</f>
        <v>Motor目录</v>
      </c>
      <c r="D161" s="421" t="str">
        <f>VLOOKUP(B161,正厂竞争者数据汇总!D:H,3,FALSE)</f>
        <v>IL</v>
      </c>
      <c r="E161" s="430"/>
      <c r="F161" s="430">
        <f>VLOOKUP(B161,正厂竞争者数据汇总!D:H,5,FALSE)</f>
        <v>39683.9166666666</v>
      </c>
      <c r="G161" s="430"/>
      <c r="H161" s="430"/>
      <c r="I161" s="453"/>
      <c r="J161" s="451">
        <f t="shared" si="35"/>
        <v>0.0799409529816356</v>
      </c>
      <c r="K161" s="451">
        <v>0.0906947562744034</v>
      </c>
      <c r="L161" s="451">
        <v>0.102255810277542</v>
      </c>
      <c r="M161" s="451"/>
      <c r="N161" s="459"/>
      <c r="O161" s="430"/>
      <c r="P161" s="542" t="str">
        <f>VLOOKUP(B161,正厂竞争者数据汇总!D:M,6,FALSE)</f>
        <v>2023年9月新增</v>
      </c>
      <c r="Q161" s="429"/>
      <c r="R161" s="421"/>
      <c r="S161" s="473">
        <v>2248</v>
      </c>
      <c r="T161" s="473">
        <v>330</v>
      </c>
      <c r="U161" s="466"/>
      <c r="V161" s="466"/>
      <c r="W161" s="421"/>
      <c r="X161" s="421"/>
      <c r="Y161" s="200" t="s">
        <v>336</v>
      </c>
      <c r="Z161" s="200">
        <v>2320</v>
      </c>
      <c r="AA161" s="200">
        <v>356</v>
      </c>
      <c r="AB161" s="410">
        <f t="shared" si="31"/>
        <v>1</v>
      </c>
      <c r="AC161" s="409">
        <f t="shared" si="32"/>
        <v>2320</v>
      </c>
      <c r="AD161" s="409">
        <f t="shared" si="33"/>
        <v>356</v>
      </c>
    </row>
    <row r="162" s="408" customFormat="1" spans="1:30">
      <c r="A162" s="428" t="s">
        <v>230</v>
      </c>
      <c r="B162" s="438" t="s">
        <v>337</v>
      </c>
      <c r="C162" s="429" t="str">
        <f>VLOOKUP(B162,正厂竞争者数据汇总!D:H,2,FALSE)</f>
        <v>Acc目录</v>
      </c>
      <c r="D162" s="421" t="str">
        <f>VLOOKUP(B162,正厂竞争者数据汇总!D:H,3,FALSE)</f>
        <v>AL</v>
      </c>
      <c r="E162" s="430"/>
      <c r="F162" s="430">
        <f>VLOOKUP(B162,正厂竞争者数据汇总!D:H,5,FALSE)</f>
        <v>28293.3333333333</v>
      </c>
      <c r="G162" s="430"/>
      <c r="H162" s="430"/>
      <c r="I162" s="453"/>
      <c r="J162" s="451">
        <f t="shared" si="35"/>
        <v>0.0569952822119896</v>
      </c>
      <c r="K162" s="451">
        <v>0.0568623338638796</v>
      </c>
      <c r="L162" s="451">
        <v>0.0446915905773863</v>
      </c>
      <c r="M162" s="451"/>
      <c r="N162" s="459"/>
      <c r="O162" s="430"/>
      <c r="P162" s="542" t="str">
        <f>VLOOKUP(B162,正厂竞争者数据汇总!D:M,6,FALSE)</f>
        <v>主营Acc</v>
      </c>
      <c r="Q162" s="429"/>
      <c r="R162" s="421"/>
      <c r="S162" s="473">
        <v>3067</v>
      </c>
      <c r="T162" s="473">
        <v>363</v>
      </c>
      <c r="U162" s="466"/>
      <c r="V162" s="466"/>
      <c r="W162" s="421"/>
      <c r="X162" s="421"/>
      <c r="Y162" s="200" t="s">
        <v>337</v>
      </c>
      <c r="Z162" s="200">
        <v>3235</v>
      </c>
      <c r="AA162" s="200">
        <v>406</v>
      </c>
      <c r="AB162" s="410">
        <f t="shared" si="31"/>
        <v>1</v>
      </c>
      <c r="AC162" s="409">
        <f t="shared" si="32"/>
        <v>3235</v>
      </c>
      <c r="AD162" s="409">
        <f t="shared" si="33"/>
        <v>406</v>
      </c>
    </row>
    <row r="163" s="408" customFormat="1" spans="1:30">
      <c r="A163" s="428" t="s">
        <v>243</v>
      </c>
      <c r="B163" s="258" t="s">
        <v>338</v>
      </c>
      <c r="C163" s="429" t="str">
        <f>VLOOKUP(B163,正厂竞争者数据汇总!D:H,2,FALSE)</f>
        <v>原厂目录</v>
      </c>
      <c r="D163" s="421" t="str">
        <f>VLOOKUP(B163,正厂竞争者数据汇总!D:H,3,FALSE)</f>
        <v>WA</v>
      </c>
      <c r="E163" s="430"/>
      <c r="F163" s="430">
        <f>VLOOKUP(B163,正厂竞争者数据汇总!D:H,5,FALSE)</f>
        <v>16355.0833333333</v>
      </c>
      <c r="G163" s="430"/>
      <c r="H163" s="430"/>
      <c r="I163" s="453"/>
      <c r="J163" s="451">
        <f t="shared" si="35"/>
        <v>0.0329463686445785</v>
      </c>
      <c r="K163" s="451">
        <v>0.0481543633367274</v>
      </c>
      <c r="L163" s="451">
        <v>0.0696341922516736</v>
      </c>
      <c r="M163" s="451"/>
      <c r="N163" s="459"/>
      <c r="O163" s="430"/>
      <c r="P163" s="542" t="str">
        <f>VLOOKUP(B163,正厂竞争者数据汇总!D:M,6,FALSE)</f>
        <v>2023年9月新增，2024年1月因流量占比大于Brand Traffic 5%，加入MS监控</v>
      </c>
      <c r="Q163" s="429"/>
      <c r="R163" s="421"/>
      <c r="S163" s="473">
        <v>5</v>
      </c>
      <c r="T163" s="473">
        <v>3</v>
      </c>
      <c r="U163" s="466"/>
      <c r="V163" s="466"/>
      <c r="W163" s="421"/>
      <c r="X163" s="421"/>
      <c r="Y163" s="200"/>
      <c r="Z163" s="200"/>
      <c r="AA163" s="200"/>
      <c r="AB163" s="410"/>
      <c r="AC163" s="409"/>
      <c r="AD163" s="409"/>
    </row>
    <row r="164" s="408" customFormat="1" spans="1:30">
      <c r="A164" s="428" t="s">
        <v>243</v>
      </c>
      <c r="B164" s="438" t="s">
        <v>339</v>
      </c>
      <c r="C164" s="429" t="str">
        <f>VLOOKUP(B164,正厂竞争者数据汇总!D:H,2,FALSE)</f>
        <v>Motor目录</v>
      </c>
      <c r="D164" s="421" t="str">
        <f>VLOOKUP(B164,正厂竞争者数据汇总!D:H,3,FALSE)</f>
        <v>TX</v>
      </c>
      <c r="E164" s="430"/>
      <c r="F164" s="430">
        <f>VLOOKUP(B164,正厂竞争者数据汇总!D:H,5,FALSE)</f>
        <v>16150.8333333333</v>
      </c>
      <c r="G164" s="430"/>
      <c r="H164" s="430"/>
      <c r="I164" s="453"/>
      <c r="J164" s="451">
        <f t="shared" si="35"/>
        <v>0.0325349188427948</v>
      </c>
      <c r="K164" s="451">
        <v>0.0432838468331986</v>
      </c>
      <c r="L164" s="451">
        <v>0.0572658137417136</v>
      </c>
      <c r="M164" s="451"/>
      <c r="N164" s="459"/>
      <c r="O164" s="430"/>
      <c r="P164" s="542"/>
      <c r="Q164" s="429"/>
      <c r="R164" s="421"/>
      <c r="S164" s="473">
        <v>10779</v>
      </c>
      <c r="T164" s="473">
        <v>88</v>
      </c>
      <c r="U164" s="466"/>
      <c r="V164" s="466"/>
      <c r="W164" s="421"/>
      <c r="X164" s="421"/>
      <c r="Y164" s="200" t="s">
        <v>339</v>
      </c>
      <c r="Z164" s="200">
        <v>11114</v>
      </c>
      <c r="AA164" s="200">
        <v>107</v>
      </c>
      <c r="AB164" s="410">
        <f t="shared" ref="AB164:AB183" si="36">IF(B164=Y164,1,0)</f>
        <v>1</v>
      </c>
      <c r="AC164" s="409">
        <f t="shared" ref="AC164:AC183" si="37">IF(Y164="Competitors","Forum Link",Z164)</f>
        <v>11114</v>
      </c>
      <c r="AD164" s="409">
        <f t="shared" ref="AD164:AD183" si="38">IF(Y164="Competitors","Domains",AA164)</f>
        <v>107</v>
      </c>
    </row>
    <row r="165" s="408" customFormat="1" spans="1:30">
      <c r="A165" s="428" t="s">
        <v>243</v>
      </c>
      <c r="B165" s="438" t="s">
        <v>340</v>
      </c>
      <c r="C165" s="429" t="str">
        <f>VLOOKUP(B165,正厂竞争者数据汇总!D:H,2,FALSE)</f>
        <v>Motor目录</v>
      </c>
      <c r="D165" s="421" t="str">
        <f>VLOOKUP(B165,正厂竞争者数据汇总!D:H,3,FALSE)</f>
        <v>NC</v>
      </c>
      <c r="E165" s="430"/>
      <c r="F165" s="430">
        <f>VLOOKUP(B165,正厂竞争者数据汇总!D:H,5,FALSE)</f>
        <v>11110.1066666667</v>
      </c>
      <c r="G165" s="430"/>
      <c r="H165" s="430"/>
      <c r="I165" s="453"/>
      <c r="J165" s="451">
        <f t="shared" si="35"/>
        <v>0.0223806667603196</v>
      </c>
      <c r="K165" s="451">
        <v>0.0295418677237591</v>
      </c>
      <c r="L165" s="451">
        <v>0.0440423060843648</v>
      </c>
      <c r="M165" s="451"/>
      <c r="N165" s="459"/>
      <c r="O165" s="430"/>
      <c r="P165" s="542"/>
      <c r="Q165" s="429"/>
      <c r="R165" s="421"/>
      <c r="S165" s="473">
        <v>7042</v>
      </c>
      <c r="T165" s="473">
        <v>376</v>
      </c>
      <c r="U165" s="466"/>
      <c r="V165" s="466"/>
      <c r="W165" s="421"/>
      <c r="X165" s="421"/>
      <c r="Y165" s="200" t="s">
        <v>340</v>
      </c>
      <c r="Z165" s="200">
        <v>7335</v>
      </c>
      <c r="AA165" s="200">
        <v>427</v>
      </c>
      <c r="AB165" s="410">
        <f t="shared" si="36"/>
        <v>1</v>
      </c>
      <c r="AC165" s="409">
        <f t="shared" si="37"/>
        <v>7335</v>
      </c>
      <c r="AD165" s="409">
        <f t="shared" si="38"/>
        <v>427</v>
      </c>
    </row>
    <row r="166" s="410" customFormat="1" spans="1:30">
      <c r="A166" s="428"/>
      <c r="B166" s="255"/>
      <c r="C166" s="429"/>
      <c r="D166" s="421"/>
      <c r="E166" s="436"/>
      <c r="F166" s="436"/>
      <c r="G166" s="436"/>
      <c r="H166" s="436"/>
      <c r="I166" s="453"/>
      <c r="J166" s="457"/>
      <c r="K166" s="457"/>
      <c r="L166" s="457"/>
      <c r="M166" s="451"/>
      <c r="N166" s="455"/>
      <c r="O166" s="436"/>
      <c r="P166" s="542"/>
      <c r="Q166" s="500"/>
      <c r="R166" s="501"/>
      <c r="S166" s="473" t="s">
        <v>180</v>
      </c>
      <c r="T166" s="473" t="s">
        <v>180</v>
      </c>
      <c r="U166" s="466"/>
      <c r="V166" s="466"/>
      <c r="W166" s="435"/>
      <c r="X166" s="435"/>
      <c r="Y166" s="200" t="s">
        <v>240</v>
      </c>
      <c r="Z166" s="200" t="s">
        <v>180</v>
      </c>
      <c r="AA166" s="200" t="s">
        <v>180</v>
      </c>
      <c r="AB166" s="410">
        <f t="shared" si="36"/>
        <v>0</v>
      </c>
      <c r="AC166" s="409" t="str">
        <f t="shared" si="37"/>
        <v/>
      </c>
      <c r="AD166" s="409" t="str">
        <f t="shared" si="38"/>
        <v/>
      </c>
    </row>
    <row r="167" s="408" customFormat="1" spans="1:30">
      <c r="A167" s="428"/>
      <c r="B167" s="421"/>
      <c r="C167" s="439"/>
      <c r="D167" s="421"/>
      <c r="E167" s="430"/>
      <c r="F167" s="430">
        <f>SUM(F156:F165)</f>
        <v>496415.356416666</v>
      </c>
      <c r="G167" s="430"/>
      <c r="H167" s="430">
        <v>484652.583333333</v>
      </c>
      <c r="I167" s="453" t="e">
        <f>(F167/G167)-1</f>
        <v>#DIV/0!</v>
      </c>
      <c r="J167" s="430"/>
      <c r="K167" s="430"/>
      <c r="L167" s="430"/>
      <c r="M167" s="451"/>
      <c r="N167" s="459"/>
      <c r="O167" s="430"/>
      <c r="P167" s="542"/>
      <c r="Q167" s="429"/>
      <c r="R167" s="421"/>
      <c r="S167" s="473" t="s">
        <v>180</v>
      </c>
      <c r="T167" s="473" t="s">
        <v>180</v>
      </c>
      <c r="U167" s="466"/>
      <c r="V167" s="466"/>
      <c r="W167" s="421"/>
      <c r="X167" s="421"/>
      <c r="Y167" s="200" t="s">
        <v>240</v>
      </c>
      <c r="Z167" s="200" t="s">
        <v>180</v>
      </c>
      <c r="AA167" s="200" t="s">
        <v>180</v>
      </c>
      <c r="AB167" s="410">
        <f t="shared" si="36"/>
        <v>0</v>
      </c>
      <c r="AC167" s="409" t="str">
        <f t="shared" si="37"/>
        <v/>
      </c>
      <c r="AD167" s="409" t="str">
        <f t="shared" si="38"/>
        <v/>
      </c>
    </row>
    <row r="168" s="408" customFormat="1" spans="1:30">
      <c r="A168" s="423"/>
      <c r="B168" s="421"/>
      <c r="C168" s="425"/>
      <c r="D168" s="421"/>
      <c r="E168" s="430"/>
      <c r="F168" s="430"/>
      <c r="G168" s="430"/>
      <c r="H168" s="430"/>
      <c r="I168" s="453"/>
      <c r="J168" s="430"/>
      <c r="K168" s="430"/>
      <c r="L168" s="430"/>
      <c r="M168" s="451"/>
      <c r="N168" s="459"/>
      <c r="O168" s="430"/>
      <c r="P168" s="542"/>
      <c r="Q168" s="429"/>
      <c r="R168" s="421"/>
      <c r="S168" s="473" t="s">
        <v>180</v>
      </c>
      <c r="T168" s="473" t="s">
        <v>180</v>
      </c>
      <c r="U168" s="466"/>
      <c r="V168" s="466"/>
      <c r="W168" s="421"/>
      <c r="X168" s="421"/>
      <c r="Y168" s="200" t="s">
        <v>240</v>
      </c>
      <c r="Z168" s="200" t="s">
        <v>180</v>
      </c>
      <c r="AA168" s="200" t="s">
        <v>180</v>
      </c>
      <c r="AB168" s="410">
        <f t="shared" si="36"/>
        <v>0</v>
      </c>
      <c r="AC168" s="409" t="str">
        <f t="shared" si="37"/>
        <v/>
      </c>
      <c r="AD168" s="409" t="str">
        <f t="shared" si="38"/>
        <v/>
      </c>
    </row>
    <row r="169" s="408" customFormat="1" ht="17.4" spans="1:30">
      <c r="A169" s="418" t="s">
        <v>187</v>
      </c>
      <c r="B169" s="419"/>
      <c r="C169" s="420"/>
      <c r="D169" s="421"/>
      <c r="E169" s="422" t="s">
        <v>202</v>
      </c>
      <c r="F169" s="422"/>
      <c r="G169" s="422" t="s">
        <v>212</v>
      </c>
      <c r="H169" s="422"/>
      <c r="I169" s="422"/>
      <c r="J169" s="422"/>
      <c r="K169" s="422"/>
      <c r="L169" s="422"/>
      <c r="M169" s="443"/>
      <c r="N169" s="422"/>
      <c r="O169" s="422"/>
      <c r="P169" s="542"/>
      <c r="Q169" s="465"/>
      <c r="R169" s="424"/>
      <c r="S169" s="473" t="s">
        <v>180</v>
      </c>
      <c r="T169" s="473" t="s">
        <v>180</v>
      </c>
      <c r="U169" s="467"/>
      <c r="V169" s="467"/>
      <c r="W169" s="467"/>
      <c r="X169" s="467"/>
      <c r="Y169" s="200" t="s">
        <v>240</v>
      </c>
      <c r="Z169" s="200" t="s">
        <v>180</v>
      </c>
      <c r="AA169" s="200" t="s">
        <v>180</v>
      </c>
      <c r="AB169" s="410">
        <f t="shared" si="36"/>
        <v>0</v>
      </c>
      <c r="AC169" s="409" t="str">
        <f t="shared" si="37"/>
        <v/>
      </c>
      <c r="AD169" s="409" t="str">
        <f t="shared" si="38"/>
        <v/>
      </c>
    </row>
    <row r="170" s="409" customFormat="1" ht="46.8" spans="1:30">
      <c r="A170" s="423" t="s">
        <v>206</v>
      </c>
      <c r="B170" s="424" t="s">
        <v>207</v>
      </c>
      <c r="C170" s="425" t="s">
        <v>208</v>
      </c>
      <c r="D170" s="424" t="s">
        <v>209</v>
      </c>
      <c r="E170" s="426" t="s">
        <v>210</v>
      </c>
      <c r="F170" s="427" t="s">
        <v>211</v>
      </c>
      <c r="G170" s="427">
        <v>116448.583333333</v>
      </c>
      <c r="H170" s="427" t="s">
        <v>213</v>
      </c>
      <c r="I170" s="427" t="s">
        <v>214</v>
      </c>
      <c r="J170" s="446" t="s">
        <v>215</v>
      </c>
      <c r="K170" s="446" t="s">
        <v>216</v>
      </c>
      <c r="L170" s="446" t="s">
        <v>217</v>
      </c>
      <c r="M170" s="447" t="s">
        <v>218</v>
      </c>
      <c r="N170" s="448" t="s">
        <v>219</v>
      </c>
      <c r="O170" s="449" t="s">
        <v>220</v>
      </c>
      <c r="P170" s="543" t="s">
        <v>221</v>
      </c>
      <c r="Q170" s="469" t="s">
        <v>222</v>
      </c>
      <c r="R170" s="426" t="s">
        <v>223</v>
      </c>
      <c r="S170" s="470" t="s">
        <v>224</v>
      </c>
      <c r="T170" s="470" t="s">
        <v>205</v>
      </c>
      <c r="U170" s="467" t="s">
        <v>225</v>
      </c>
      <c r="V170" s="470" t="s">
        <v>226</v>
      </c>
      <c r="W170" s="467"/>
      <c r="X170" s="467"/>
      <c r="Y170" s="200" t="s">
        <v>207</v>
      </c>
      <c r="Z170" s="200" t="s">
        <v>180</v>
      </c>
      <c r="AA170" s="200" t="s">
        <v>180</v>
      </c>
      <c r="AB170" s="410">
        <f t="shared" si="36"/>
        <v>1</v>
      </c>
      <c r="AC170" s="409" t="str">
        <f t="shared" si="37"/>
        <v>Forum Link</v>
      </c>
      <c r="AD170" s="409" t="str">
        <f t="shared" si="38"/>
        <v>Domains</v>
      </c>
    </row>
    <row r="171" s="408" customFormat="1" spans="1:30">
      <c r="A171" s="428" t="s">
        <v>230</v>
      </c>
      <c r="B171" s="438" t="s">
        <v>341</v>
      </c>
      <c r="C171" s="429" t="str">
        <f>VLOOKUP(B171,正厂竞争者数据汇总!D:H,2,FALSE)</f>
        <v>Motor目录</v>
      </c>
      <c r="D171" s="421" t="str">
        <f>VLOOKUP(B171,正厂竞争者数据汇总!D:H,3,FALSE)</f>
        <v>IL</v>
      </c>
      <c r="E171" s="430">
        <f>VLOOKUP(B171,正厂竞争者数据汇总!D:H,4,FALSE)</f>
        <v>0</v>
      </c>
      <c r="F171" s="430">
        <f>VLOOKUP(B171,正厂竞争者数据汇总!D:H,5,FALSE)</f>
        <v>78254.1666666667</v>
      </c>
      <c r="G171" s="430">
        <v>1355.75</v>
      </c>
      <c r="H171" s="430">
        <v>65360.75</v>
      </c>
      <c r="I171" s="453">
        <f t="shared" ref="I171:I180" si="39">(F171/G171)-1</f>
        <v>56.7202040690885</v>
      </c>
      <c r="J171" s="451">
        <f t="shared" ref="J171:J180" si="40">F171/F$182</f>
        <v>0.307539444960086</v>
      </c>
      <c r="K171" s="451">
        <v>0.289616723610383</v>
      </c>
      <c r="L171" s="451">
        <v>0.285790988982683</v>
      </c>
      <c r="M171" s="451" t="e">
        <f>J171-#REF!</f>
        <v>#REF!</v>
      </c>
      <c r="N171" s="459"/>
      <c r="O171" s="430"/>
      <c r="P171" s="542">
        <f>VLOOKUP(B171,正厂竞争者数据汇总!D:M,6,FALSE)</f>
        <v>0</v>
      </c>
      <c r="Q171" s="429" t="s">
        <v>180</v>
      </c>
      <c r="R171" s="421" t="s">
        <v>180</v>
      </c>
      <c r="S171" s="473">
        <v>1597</v>
      </c>
      <c r="T171" s="473">
        <v>262</v>
      </c>
      <c r="U171" s="466"/>
      <c r="V171" s="466"/>
      <c r="W171" s="421"/>
      <c r="X171" s="421"/>
      <c r="Y171" s="200" t="s">
        <v>341</v>
      </c>
      <c r="Z171" s="200">
        <v>1801</v>
      </c>
      <c r="AA171" s="200">
        <v>292</v>
      </c>
      <c r="AB171" s="410">
        <f t="shared" si="36"/>
        <v>1</v>
      </c>
      <c r="AC171" s="409">
        <f t="shared" si="37"/>
        <v>1801</v>
      </c>
      <c r="AD171" s="409">
        <f t="shared" si="38"/>
        <v>292</v>
      </c>
    </row>
    <row r="172" s="408" customFormat="1" spans="1:30">
      <c r="A172" s="428" t="s">
        <v>230</v>
      </c>
      <c r="B172" s="438" t="s">
        <v>342</v>
      </c>
      <c r="C172" s="429" t="str">
        <f>VLOOKUP(B172,正厂竞争者数据汇总!D:H,2,FALSE)</f>
        <v>Motor目录</v>
      </c>
      <c r="D172" s="421" t="str">
        <f>VLOOKUP(B172,正厂竞争者数据汇总!D:H,3,FALSE)</f>
        <v>NE</v>
      </c>
      <c r="E172" s="430">
        <f>VLOOKUP(B172,正厂竞争者数据汇总!D:H,4,FALSE)</f>
        <v>0</v>
      </c>
      <c r="F172" s="430">
        <f>VLOOKUP(B172,正厂竞争者数据汇总!D:H,5,FALSE)</f>
        <v>32498.5372333333</v>
      </c>
      <c r="G172" s="430">
        <v>1360.75</v>
      </c>
      <c r="H172" s="430">
        <v>65365.75</v>
      </c>
      <c r="I172" s="453">
        <f t="shared" si="39"/>
        <v>22.8828125910956</v>
      </c>
      <c r="J172" s="451">
        <f t="shared" si="40"/>
        <v>0.127719488028378</v>
      </c>
      <c r="K172" s="451">
        <v>0.138959418440797</v>
      </c>
      <c r="L172" s="451">
        <v>0.102461566072636</v>
      </c>
      <c r="M172" s="451"/>
      <c r="N172" s="459"/>
      <c r="O172" s="430"/>
      <c r="P172" s="542" t="str">
        <f>VLOOKUP(B172,正厂竞争者数据汇总!D:M,6,FALSE)</f>
        <v>2023年9月新增</v>
      </c>
      <c r="Q172" s="429"/>
      <c r="R172" s="421"/>
      <c r="S172" s="473">
        <v>1028</v>
      </c>
      <c r="T172" s="473">
        <v>247</v>
      </c>
      <c r="U172" s="466"/>
      <c r="V172" s="466"/>
      <c r="W172" s="421"/>
      <c r="X172" s="421"/>
      <c r="Y172" s="200" t="s">
        <v>342</v>
      </c>
      <c r="Z172" s="200">
        <v>1156</v>
      </c>
      <c r="AA172" s="200">
        <v>256</v>
      </c>
      <c r="AB172" s="410">
        <f t="shared" si="36"/>
        <v>1</v>
      </c>
      <c r="AC172" s="409">
        <f t="shared" si="37"/>
        <v>1156</v>
      </c>
      <c r="AD172" s="409">
        <f t="shared" si="38"/>
        <v>256</v>
      </c>
    </row>
    <row r="173" s="408" customFormat="1" spans="1:30">
      <c r="A173" s="428" t="s">
        <v>230</v>
      </c>
      <c r="B173" s="438" t="s">
        <v>343</v>
      </c>
      <c r="C173" s="429" t="str">
        <f>VLOOKUP(B173,正厂竞争者数据汇总!D:H,2,FALSE)</f>
        <v>Motor目录</v>
      </c>
      <c r="D173" s="421" t="str">
        <f>VLOOKUP(B173,正厂竞争者数据汇总!D:H,3,FALSE)</f>
        <v>-</v>
      </c>
      <c r="E173" s="430">
        <f>VLOOKUP(B173,正厂竞争者数据汇总!D:H,4,FALSE)</f>
        <v>0</v>
      </c>
      <c r="F173" s="430">
        <f>VLOOKUP(B173,正厂竞争者数据汇总!D:H,5,FALSE)</f>
        <v>25717.5</v>
      </c>
      <c r="G173" s="430">
        <v>1368.75</v>
      </c>
      <c r="H173" s="430">
        <v>65373.75</v>
      </c>
      <c r="I173" s="453">
        <f t="shared" si="39"/>
        <v>17.7890410958904</v>
      </c>
      <c r="J173" s="451">
        <f t="shared" si="40"/>
        <v>0.101069962312052</v>
      </c>
      <c r="K173" s="451">
        <v>0.122389722078886</v>
      </c>
      <c r="L173" s="451">
        <v>0.0637672593307689</v>
      </c>
      <c r="M173" s="451"/>
      <c r="N173" s="459"/>
      <c r="O173" s="430"/>
      <c r="P173" s="542" t="str">
        <f>VLOOKUP(B173,正厂竞争者数据汇总!D:M,6,FALSE)</f>
        <v>2023年9月新增</v>
      </c>
      <c r="Q173" s="429"/>
      <c r="R173" s="421"/>
      <c r="S173" s="473">
        <v>172</v>
      </c>
      <c r="T173" s="473">
        <v>75</v>
      </c>
      <c r="U173" s="466"/>
      <c r="V173" s="466"/>
      <c r="W173" s="421"/>
      <c r="X173" s="421"/>
      <c r="Y173" s="200" t="s">
        <v>343</v>
      </c>
      <c r="Z173" s="200">
        <v>164</v>
      </c>
      <c r="AA173" s="200">
        <v>77</v>
      </c>
      <c r="AB173" s="410">
        <f t="shared" si="36"/>
        <v>1</v>
      </c>
      <c r="AC173" s="409">
        <f t="shared" si="37"/>
        <v>164</v>
      </c>
      <c r="AD173" s="409">
        <f t="shared" si="38"/>
        <v>77</v>
      </c>
    </row>
    <row r="174" s="408" customFormat="1" spans="1:30">
      <c r="A174" s="428" t="s">
        <v>230</v>
      </c>
      <c r="B174" s="438" t="s">
        <v>344</v>
      </c>
      <c r="C174" s="429" t="str">
        <f>VLOOKUP(B174,正厂竞争者数据汇总!D:H,2,FALSE)</f>
        <v>Motor目录</v>
      </c>
      <c r="D174" s="421" t="str">
        <f>VLOOKUP(B174,正厂竞争者数据汇总!D:H,3,FALSE)</f>
        <v>-</v>
      </c>
      <c r="E174" s="430">
        <f>VLOOKUP(B174,正厂竞争者数据汇总!D:H,4,FALSE)</f>
        <v>0</v>
      </c>
      <c r="F174" s="430">
        <f>VLOOKUP(B174,正厂竞争者数据汇总!D:H,5,FALSE)</f>
        <v>22653.1633333333</v>
      </c>
      <c r="G174" s="430">
        <v>1363.75</v>
      </c>
      <c r="H174" s="430">
        <v>65368.75</v>
      </c>
      <c r="I174" s="453">
        <f t="shared" si="39"/>
        <v>15.61093553315</v>
      </c>
      <c r="J174" s="451">
        <f t="shared" si="40"/>
        <v>0.0890270968931173</v>
      </c>
      <c r="K174" s="451">
        <v>0.0795465482600662</v>
      </c>
      <c r="L174" s="451">
        <v>0.0861480899154723</v>
      </c>
      <c r="M174" s="451"/>
      <c r="N174" s="459"/>
      <c r="O174" s="430"/>
      <c r="P174" s="542">
        <f>VLOOKUP(B174,正厂竞争者数据汇总!D:M,6,FALSE)</f>
        <v>0</v>
      </c>
      <c r="Q174" s="429"/>
      <c r="R174" s="421"/>
      <c r="S174" s="473">
        <v>1338</v>
      </c>
      <c r="T174" s="473">
        <v>183</v>
      </c>
      <c r="U174" s="466"/>
      <c r="V174" s="466"/>
      <c r="W174" s="421"/>
      <c r="X174" s="421"/>
      <c r="Y174" s="200" t="s">
        <v>344</v>
      </c>
      <c r="Z174" s="200">
        <v>1277</v>
      </c>
      <c r="AA174" s="200">
        <v>236</v>
      </c>
      <c r="AB174" s="410">
        <f t="shared" si="36"/>
        <v>1</v>
      </c>
      <c r="AC174" s="409">
        <f t="shared" si="37"/>
        <v>1277</v>
      </c>
      <c r="AD174" s="409">
        <f t="shared" si="38"/>
        <v>236</v>
      </c>
    </row>
    <row r="175" s="408" customFormat="1" spans="1:30">
      <c r="A175" s="428" t="s">
        <v>230</v>
      </c>
      <c r="B175" s="438" t="s">
        <v>345</v>
      </c>
      <c r="C175" s="429" t="str">
        <f>VLOOKUP(B175,正厂竞争者数据汇总!D:H,2,FALSE)</f>
        <v>Motor目录</v>
      </c>
      <c r="D175" s="421" t="str">
        <f>VLOOKUP(B175,正厂竞争者数据汇总!D:H,3,FALSE)</f>
        <v>CA</v>
      </c>
      <c r="E175" s="430">
        <f>VLOOKUP(B175,正厂竞争者数据汇总!D:H,4,FALSE)</f>
        <v>0</v>
      </c>
      <c r="F175" s="430">
        <f>VLOOKUP(B175,正厂竞争者数据汇总!D:H,5,FALSE)</f>
        <v>19827.4766666667</v>
      </c>
      <c r="G175" s="430">
        <v>1363.75</v>
      </c>
      <c r="H175" s="430">
        <v>65368.75</v>
      </c>
      <c r="I175" s="453">
        <f t="shared" si="39"/>
        <v>13.5389379773908</v>
      </c>
      <c r="J175" s="451">
        <f t="shared" si="40"/>
        <v>0.0779221277123781</v>
      </c>
      <c r="K175" s="451">
        <v>0.0763256095528456</v>
      </c>
      <c r="L175" s="451">
        <v>0.0951760624385674</v>
      </c>
      <c r="M175" s="451"/>
      <c r="N175" s="459"/>
      <c r="O175" s="430"/>
      <c r="P175" s="542"/>
      <c r="Q175" s="429"/>
      <c r="R175" s="421"/>
      <c r="S175" s="473">
        <v>897</v>
      </c>
      <c r="T175" s="473">
        <v>137</v>
      </c>
      <c r="U175" s="466"/>
      <c r="V175" s="466"/>
      <c r="W175" s="421"/>
      <c r="X175" s="421"/>
      <c r="Y175" s="200" t="s">
        <v>345</v>
      </c>
      <c r="Z175" s="200">
        <v>726</v>
      </c>
      <c r="AA175" s="200">
        <v>146</v>
      </c>
      <c r="AB175" s="410">
        <f t="shared" si="36"/>
        <v>1</v>
      </c>
      <c r="AC175" s="409">
        <f t="shared" si="37"/>
        <v>726</v>
      </c>
      <c r="AD175" s="409">
        <f t="shared" si="38"/>
        <v>146</v>
      </c>
    </row>
    <row r="176" s="408" customFormat="1" spans="1:30">
      <c r="A176" s="428" t="s">
        <v>230</v>
      </c>
      <c r="B176" s="438" t="s">
        <v>346</v>
      </c>
      <c r="C176" s="429" t="str">
        <f>VLOOKUP(B176,正厂竞争者数据汇总!D:H,2,FALSE)</f>
        <v>Motor目录</v>
      </c>
      <c r="D176" s="421" t="str">
        <f>VLOOKUP(B176,正厂竞争者数据汇总!D:H,3,FALSE)</f>
        <v>AZ</v>
      </c>
      <c r="E176" s="430">
        <f>VLOOKUP(B176,正厂竞争者数据汇总!D:H,4,FALSE)</f>
        <v>0</v>
      </c>
      <c r="F176" s="430">
        <f>VLOOKUP(B176,正厂竞争者数据汇总!D:H,5,FALSE)</f>
        <v>19217.0833333333</v>
      </c>
      <c r="G176" s="430">
        <v>1364.75</v>
      </c>
      <c r="H176" s="430">
        <v>65369.75</v>
      </c>
      <c r="I176" s="453">
        <f t="shared" si="39"/>
        <v>13.0810282713561</v>
      </c>
      <c r="J176" s="451">
        <f t="shared" si="40"/>
        <v>0.0755232774666103</v>
      </c>
      <c r="K176" s="451">
        <v>0.077924081740579</v>
      </c>
      <c r="L176" s="451">
        <v>0.0963128070451922</v>
      </c>
      <c r="M176" s="451"/>
      <c r="N176" s="459"/>
      <c r="O176" s="430"/>
      <c r="P176" s="542" t="str">
        <f>VLOOKUP(B176,正厂竞争者数据汇总!D:M,6,FALSE)</f>
        <v>2023年9月新增</v>
      </c>
      <c r="Q176" s="429"/>
      <c r="R176" s="421"/>
      <c r="S176" s="473">
        <v>1625</v>
      </c>
      <c r="T176" s="473">
        <v>191</v>
      </c>
      <c r="U176" s="466"/>
      <c r="V176" s="466"/>
      <c r="W176" s="421"/>
      <c r="X176" s="421"/>
      <c r="Y176" s="200" t="s">
        <v>346</v>
      </c>
      <c r="Z176" s="200">
        <v>1785</v>
      </c>
      <c r="AA176" s="200">
        <v>206</v>
      </c>
      <c r="AB176" s="410">
        <f t="shared" si="36"/>
        <v>1</v>
      </c>
      <c r="AC176" s="409">
        <f t="shared" si="37"/>
        <v>1785</v>
      </c>
      <c r="AD176" s="409">
        <f t="shared" si="38"/>
        <v>206</v>
      </c>
    </row>
    <row r="177" s="408" customFormat="1" spans="1:30">
      <c r="A177" s="428" t="s">
        <v>230</v>
      </c>
      <c r="B177" s="438" t="s">
        <v>347</v>
      </c>
      <c r="C177" s="429" t="str">
        <f>VLOOKUP(B177,正厂竞争者数据汇总!D:H,2,FALSE)</f>
        <v>Motor目录</v>
      </c>
      <c r="D177" s="421" t="str">
        <f>VLOOKUP(B177,正厂竞争者数据汇总!D:H,3,FALSE)</f>
        <v>-</v>
      </c>
      <c r="E177" s="430">
        <f>VLOOKUP(B177,正厂竞争者数据汇总!D:H,4,FALSE)</f>
        <v>0</v>
      </c>
      <c r="F177" s="430">
        <f>VLOOKUP(B177,正厂竞争者数据汇总!D:H,5,FALSE)</f>
        <v>18848.9440666667</v>
      </c>
      <c r="G177" s="430">
        <v>1361.75</v>
      </c>
      <c r="H177" s="430">
        <v>65366.75</v>
      </c>
      <c r="I177" s="453">
        <f t="shared" si="39"/>
        <v>12.841706676458</v>
      </c>
      <c r="J177" s="451">
        <f t="shared" si="40"/>
        <v>0.0740764874672877</v>
      </c>
      <c r="K177" s="451">
        <v>0.0715083158123681</v>
      </c>
      <c r="L177" s="451">
        <v>0.0870954912353092</v>
      </c>
      <c r="M177" s="451"/>
      <c r="N177" s="459"/>
      <c r="O177" s="430"/>
      <c r="P177" s="542" t="str">
        <f>VLOOKUP(B177,正厂竞争者数据汇总!D:M,6,FALSE)</f>
        <v>2023年9月新增</v>
      </c>
      <c r="Q177" s="429"/>
      <c r="R177" s="421"/>
      <c r="S177" s="473">
        <v>864</v>
      </c>
      <c r="T177" s="473">
        <v>179</v>
      </c>
      <c r="U177" s="466"/>
      <c r="V177" s="466"/>
      <c r="W177" s="421"/>
      <c r="X177" s="421"/>
      <c r="Y177" s="200" t="s">
        <v>347</v>
      </c>
      <c r="Z177" s="200">
        <v>935</v>
      </c>
      <c r="AA177" s="200">
        <v>223</v>
      </c>
      <c r="AB177" s="410">
        <f t="shared" si="36"/>
        <v>1</v>
      </c>
      <c r="AC177" s="409">
        <f t="shared" si="37"/>
        <v>935</v>
      </c>
      <c r="AD177" s="409">
        <f t="shared" si="38"/>
        <v>223</v>
      </c>
    </row>
    <row r="178" s="408" customFormat="1" spans="1:30">
      <c r="A178" s="428" t="s">
        <v>230</v>
      </c>
      <c r="B178" s="438" t="s">
        <v>348</v>
      </c>
      <c r="C178" s="429" t="str">
        <f>VLOOKUP(B178,正厂竞争者数据汇总!D:H,2,FALSE)</f>
        <v>Motor目录</v>
      </c>
      <c r="D178" s="421" t="str">
        <f>VLOOKUP(B178,正厂竞争者数据汇总!D:H,3,FALSE)</f>
        <v>-</v>
      </c>
      <c r="E178" s="430">
        <f>VLOOKUP(B178,正厂竞争者数据汇总!D:H,4,FALSE)</f>
        <v>0</v>
      </c>
      <c r="F178" s="430">
        <f>VLOOKUP(B178,正厂竞争者数据汇总!D:H,5,FALSE)</f>
        <v>17011.75</v>
      </c>
      <c r="G178" s="430">
        <v>1362.75</v>
      </c>
      <c r="H178" s="430">
        <v>65367.75</v>
      </c>
      <c r="I178" s="453">
        <f t="shared" si="39"/>
        <v>11.4833975417355</v>
      </c>
      <c r="J178" s="451">
        <f t="shared" si="40"/>
        <v>0.0668563014041817</v>
      </c>
      <c r="K178" s="451">
        <v>0.07284062398519</v>
      </c>
      <c r="L178" s="451">
        <v>0.086422437384222</v>
      </c>
      <c r="M178" s="451"/>
      <c r="N178" s="459"/>
      <c r="O178" s="430"/>
      <c r="P178" s="542" t="str">
        <f>VLOOKUP(B178,正厂竞争者数据汇总!D:M,6,FALSE)</f>
        <v>2023年9月新增</v>
      </c>
      <c r="Q178" s="429"/>
      <c r="R178" s="421"/>
      <c r="S178" s="473">
        <v>524</v>
      </c>
      <c r="T178" s="473">
        <v>158</v>
      </c>
      <c r="U178" s="466"/>
      <c r="V178" s="466"/>
      <c r="W178" s="421"/>
      <c r="X178" s="421"/>
      <c r="Y178" s="200" t="s">
        <v>348</v>
      </c>
      <c r="Z178" s="200">
        <v>436</v>
      </c>
      <c r="AA178" s="200">
        <v>140</v>
      </c>
      <c r="AB178" s="410">
        <f t="shared" si="36"/>
        <v>1</v>
      </c>
      <c r="AC178" s="409">
        <f t="shared" si="37"/>
        <v>436</v>
      </c>
      <c r="AD178" s="409">
        <f t="shared" si="38"/>
        <v>140</v>
      </c>
    </row>
    <row r="179" s="408" customFormat="1" spans="1:30">
      <c r="A179" s="428" t="s">
        <v>230</v>
      </c>
      <c r="B179" s="438" t="s">
        <v>349</v>
      </c>
      <c r="C179" s="429" t="str">
        <f>VLOOKUP(B179,正厂竞争者数据汇总!D:H,2,FALSE)</f>
        <v>Motor目录</v>
      </c>
      <c r="D179" s="421" t="str">
        <f>VLOOKUP(B179,正厂竞争者数据汇总!D:H,3,FALSE)</f>
        <v>-</v>
      </c>
      <c r="E179" s="430">
        <f>VLOOKUP(B179,正厂竞争者数据汇总!D:H,4,FALSE)</f>
        <v>0</v>
      </c>
      <c r="F179" s="430">
        <f>VLOOKUP(B179,正厂竞争者数据汇总!D:H,5,FALSE)</f>
        <v>13491</v>
      </c>
      <c r="G179" s="430">
        <v>1374.75</v>
      </c>
      <c r="H179" s="430">
        <v>65379.75</v>
      </c>
      <c r="I179" s="453">
        <f t="shared" si="39"/>
        <v>8.81342062193126</v>
      </c>
      <c r="J179" s="451">
        <f t="shared" si="40"/>
        <v>0.0530197282609852</v>
      </c>
      <c r="K179" s="451">
        <v>0.0425711481203562</v>
      </c>
      <c r="L179" s="451">
        <v>0.0530375258968638</v>
      </c>
      <c r="M179" s="451"/>
      <c r="N179" s="459"/>
      <c r="O179" s="430"/>
      <c r="P179" s="542" t="str">
        <f>VLOOKUP(B179,正厂竞争者数据汇总!D:M,6,FALSE)</f>
        <v>2023年9月新增</v>
      </c>
      <c r="Q179" s="429"/>
      <c r="R179" s="421"/>
      <c r="S179" s="473">
        <v>273</v>
      </c>
      <c r="T179" s="473">
        <v>99</v>
      </c>
      <c r="U179" s="466"/>
      <c r="V179" s="466"/>
      <c r="W179" s="421"/>
      <c r="X179" s="421"/>
      <c r="Y179" s="200" t="s">
        <v>349</v>
      </c>
      <c r="Z179" s="200">
        <v>273</v>
      </c>
      <c r="AA179" s="200">
        <v>111</v>
      </c>
      <c r="AB179" s="410">
        <f t="shared" si="36"/>
        <v>1</v>
      </c>
      <c r="AC179" s="409">
        <f t="shared" si="37"/>
        <v>273</v>
      </c>
      <c r="AD179" s="409">
        <f t="shared" si="38"/>
        <v>111</v>
      </c>
    </row>
    <row r="180" s="408" customFormat="1" spans="1:30">
      <c r="A180" s="428" t="s">
        <v>230</v>
      </c>
      <c r="B180" s="438" t="s">
        <v>350</v>
      </c>
      <c r="C180" s="255" t="s">
        <v>351</v>
      </c>
      <c r="D180" s="421" t="str">
        <f>VLOOKUP(B180,正厂竞争者数据汇总!D:H,3,FALSE)</f>
        <v>UT</v>
      </c>
      <c r="E180" s="430">
        <f>VLOOKUP(B180,正厂竞争者数据汇总!D:H,4,FALSE)</f>
        <v>0</v>
      </c>
      <c r="F180" s="430">
        <f>VLOOKUP(B180,正厂竞争者数据汇总!D:H,5,FALSE)</f>
        <v>6932.83333333333</v>
      </c>
      <c r="G180" s="430">
        <v>1374.75</v>
      </c>
      <c r="H180" s="430">
        <v>65379.75</v>
      </c>
      <c r="I180" s="453">
        <f t="shared" si="39"/>
        <v>4.04297751106261</v>
      </c>
      <c r="J180" s="451">
        <f t="shared" si="40"/>
        <v>0.027246085494925</v>
      </c>
      <c r="K180" s="451">
        <v>0.0283178083985287</v>
      </c>
      <c r="L180" s="451">
        <v>0.0325575594249637</v>
      </c>
      <c r="M180" s="451"/>
      <c r="N180" s="459"/>
      <c r="O180" s="430"/>
      <c r="P180" s="542"/>
      <c r="Q180" s="429"/>
      <c r="R180" s="421"/>
      <c r="S180" s="473">
        <v>244</v>
      </c>
      <c r="T180" s="473">
        <v>75</v>
      </c>
      <c r="U180" s="466"/>
      <c r="V180" s="466"/>
      <c r="W180" s="421"/>
      <c r="X180" s="421"/>
      <c r="Y180" s="200" t="s">
        <v>350</v>
      </c>
      <c r="Z180" s="200">
        <v>4789</v>
      </c>
      <c r="AA180" s="200">
        <v>75</v>
      </c>
      <c r="AB180" s="410">
        <f t="shared" si="36"/>
        <v>1</v>
      </c>
      <c r="AC180" s="409">
        <f t="shared" si="37"/>
        <v>4789</v>
      </c>
      <c r="AD180" s="409">
        <f t="shared" si="38"/>
        <v>75</v>
      </c>
    </row>
    <row r="181" s="408" customFormat="1" spans="1:30">
      <c r="A181" s="428"/>
      <c r="B181" s="421"/>
      <c r="C181" s="429"/>
      <c r="D181" s="421"/>
      <c r="E181" s="430"/>
      <c r="F181" s="430"/>
      <c r="G181" s="430">
        <v>100126.666666667</v>
      </c>
      <c r="H181" s="430"/>
      <c r="I181" s="453"/>
      <c r="J181" s="451"/>
      <c r="K181" s="451"/>
      <c r="L181" s="451"/>
      <c r="M181" s="451"/>
      <c r="N181" s="459"/>
      <c r="O181" s="430"/>
      <c r="P181" s="542"/>
      <c r="Q181" s="429"/>
      <c r="R181" s="421"/>
      <c r="S181" s="473" t="s">
        <v>180</v>
      </c>
      <c r="T181" s="473" t="s">
        <v>180</v>
      </c>
      <c r="U181" s="466"/>
      <c r="V181" s="466"/>
      <c r="W181" s="421"/>
      <c r="X181" s="421"/>
      <c r="Y181" s="200" t="s">
        <v>240</v>
      </c>
      <c r="Z181" s="200" t="s">
        <v>180</v>
      </c>
      <c r="AA181" s="200" t="s">
        <v>180</v>
      </c>
      <c r="AB181" s="410">
        <f t="shared" si="36"/>
        <v>0</v>
      </c>
      <c r="AC181" s="409" t="str">
        <f t="shared" si="37"/>
        <v/>
      </c>
      <c r="AD181" s="409" t="str">
        <f t="shared" si="38"/>
        <v/>
      </c>
    </row>
    <row r="182" s="408" customFormat="1" spans="1:30">
      <c r="A182" s="428"/>
      <c r="B182" s="421"/>
      <c r="C182" s="439"/>
      <c r="D182" s="421"/>
      <c r="E182" s="430"/>
      <c r="F182" s="430">
        <f>SUM(F171:F180)</f>
        <v>254452.454633333</v>
      </c>
      <c r="G182" s="430"/>
      <c r="H182" s="430">
        <v>96860.5</v>
      </c>
      <c r="I182" s="453" t="e">
        <f>(F182/G182)-1</f>
        <v>#DIV/0!</v>
      </c>
      <c r="J182" s="430"/>
      <c r="K182" s="430"/>
      <c r="L182" s="430"/>
      <c r="M182" s="451"/>
      <c r="N182" s="459"/>
      <c r="O182" s="430"/>
      <c r="P182" s="542"/>
      <c r="Q182" s="429"/>
      <c r="R182" s="421"/>
      <c r="S182" s="473" t="s">
        <v>180</v>
      </c>
      <c r="T182" s="473" t="s">
        <v>180</v>
      </c>
      <c r="U182" s="466"/>
      <c r="V182" s="466"/>
      <c r="W182" s="421"/>
      <c r="X182" s="421"/>
      <c r="Y182" s="200" t="s">
        <v>240</v>
      </c>
      <c r="Z182" s="200" t="s">
        <v>180</v>
      </c>
      <c r="AA182" s="200" t="s">
        <v>180</v>
      </c>
      <c r="AB182" s="410">
        <f t="shared" si="36"/>
        <v>0</v>
      </c>
      <c r="AC182" s="409" t="str">
        <f t="shared" si="37"/>
        <v/>
      </c>
      <c r="AD182" s="409" t="str">
        <f t="shared" si="38"/>
        <v/>
      </c>
    </row>
    <row r="183" s="408" customFormat="1" spans="1:30">
      <c r="A183" s="428"/>
      <c r="B183" s="421"/>
      <c r="C183" s="439"/>
      <c r="D183" s="421"/>
      <c r="E183" s="421"/>
      <c r="F183" s="430"/>
      <c r="G183" s="430"/>
      <c r="H183" s="430"/>
      <c r="I183" s="453"/>
      <c r="J183" s="430"/>
      <c r="K183" s="430"/>
      <c r="L183" s="430"/>
      <c r="M183" s="451"/>
      <c r="N183" s="459"/>
      <c r="O183" s="430"/>
      <c r="P183" s="542"/>
      <c r="Q183" s="429"/>
      <c r="R183" s="421"/>
      <c r="S183" s="473" t="s">
        <v>180</v>
      </c>
      <c r="T183" s="473" t="s">
        <v>180</v>
      </c>
      <c r="U183" s="466"/>
      <c r="V183" s="466"/>
      <c r="W183" s="421"/>
      <c r="X183" s="421"/>
      <c r="Y183" s="200" t="s">
        <v>240</v>
      </c>
      <c r="Z183" s="200" t="s">
        <v>180</v>
      </c>
      <c r="AA183" s="200" t="s">
        <v>180</v>
      </c>
      <c r="AB183" s="410">
        <f t="shared" si="36"/>
        <v>0</v>
      </c>
      <c r="AC183" s="409" t="str">
        <f t="shared" si="37"/>
        <v/>
      </c>
      <c r="AD183" s="409" t="str">
        <f t="shared" si="38"/>
        <v/>
      </c>
    </row>
    <row r="184" s="408" customFormat="1" ht="17.4" spans="1:30">
      <c r="A184" s="418" t="s">
        <v>189</v>
      </c>
      <c r="B184" s="419"/>
      <c r="C184" s="420"/>
      <c r="D184" s="421"/>
      <c r="E184" s="422" t="s">
        <v>202</v>
      </c>
      <c r="F184" s="422"/>
      <c r="G184" s="422" t="s">
        <v>212</v>
      </c>
      <c r="H184" s="422"/>
      <c r="I184" s="422"/>
      <c r="J184" s="422"/>
      <c r="K184" s="422"/>
      <c r="L184" s="422"/>
      <c r="M184" s="443"/>
      <c r="N184" s="422"/>
      <c r="O184" s="422"/>
      <c r="P184" s="542"/>
      <c r="Q184" s="465"/>
      <c r="R184" s="424"/>
      <c r="S184" s="473" t="s">
        <v>180</v>
      </c>
      <c r="T184" s="473" t="s">
        <v>180</v>
      </c>
      <c r="U184" s="467"/>
      <c r="V184" s="467"/>
      <c r="W184" s="467"/>
      <c r="X184" s="467"/>
      <c r="Y184" s="200" t="s">
        <v>240</v>
      </c>
      <c r="Z184" s="200" t="s">
        <v>180</v>
      </c>
      <c r="AA184" s="200" t="s">
        <v>180</v>
      </c>
      <c r="AB184" s="410">
        <f t="shared" ref="AB184:AB199" si="41">IF(B184=Y184,1,0)</f>
        <v>0</v>
      </c>
      <c r="AC184" s="409" t="str">
        <f t="shared" ref="AC184:AC199" si="42">IF(Y184="Competitors","Forum Link",Z184)</f>
        <v/>
      </c>
      <c r="AD184" s="409" t="str">
        <f t="shared" ref="AD184:AD199" si="43">IF(Y184="Competitors","Domains",AA184)</f>
        <v/>
      </c>
    </row>
    <row r="185" s="409" customFormat="1" ht="46.8" spans="1:30">
      <c r="A185" s="423" t="s">
        <v>206</v>
      </c>
      <c r="B185" s="424" t="s">
        <v>207</v>
      </c>
      <c r="C185" s="425" t="s">
        <v>208</v>
      </c>
      <c r="D185" s="424" t="s">
        <v>209</v>
      </c>
      <c r="E185" s="426" t="s">
        <v>210</v>
      </c>
      <c r="F185" s="427" t="s">
        <v>211</v>
      </c>
      <c r="G185" s="427">
        <v>116448.583333333</v>
      </c>
      <c r="H185" s="427" t="s">
        <v>213</v>
      </c>
      <c r="I185" s="427" t="s">
        <v>214</v>
      </c>
      <c r="J185" s="446" t="s">
        <v>215</v>
      </c>
      <c r="K185" s="446" t="s">
        <v>216</v>
      </c>
      <c r="L185" s="446" t="s">
        <v>217</v>
      </c>
      <c r="M185" s="447" t="s">
        <v>218</v>
      </c>
      <c r="N185" s="448" t="s">
        <v>219</v>
      </c>
      <c r="O185" s="449" t="s">
        <v>220</v>
      </c>
      <c r="P185" s="543" t="s">
        <v>221</v>
      </c>
      <c r="Q185" s="469" t="s">
        <v>222</v>
      </c>
      <c r="R185" s="426" t="s">
        <v>223</v>
      </c>
      <c r="S185" s="470" t="s">
        <v>224</v>
      </c>
      <c r="T185" s="470" t="s">
        <v>205</v>
      </c>
      <c r="U185" s="467" t="s">
        <v>225</v>
      </c>
      <c r="V185" s="470" t="s">
        <v>226</v>
      </c>
      <c r="W185" s="467"/>
      <c r="X185" s="467"/>
      <c r="Y185" s="200" t="s">
        <v>207</v>
      </c>
      <c r="Z185" s="200" t="s">
        <v>180</v>
      </c>
      <c r="AA185" s="200" t="s">
        <v>180</v>
      </c>
      <c r="AB185" s="410">
        <f t="shared" si="41"/>
        <v>1</v>
      </c>
      <c r="AC185" s="409" t="str">
        <f t="shared" si="42"/>
        <v>Forum Link</v>
      </c>
      <c r="AD185" s="409" t="str">
        <f t="shared" si="43"/>
        <v>Domains</v>
      </c>
    </row>
    <row r="186" s="408" customFormat="1" ht="46.8" spans="1:30">
      <c r="A186" s="428" t="s">
        <v>230</v>
      </c>
      <c r="B186" s="421" t="s">
        <v>352</v>
      </c>
      <c r="C186" s="429" t="str">
        <f>VLOOKUP(B186,正厂竞争者数据汇总!D:H,2,FALSE)</f>
        <v>Motor目录</v>
      </c>
      <c r="D186" s="421" t="str">
        <f>VLOOKUP(B186,正厂竞争者数据汇总!D:H,3,FALSE)</f>
        <v>-</v>
      </c>
      <c r="E186" s="430" t="e">
        <f>VLOOKUP(B192,正厂竞争者数据汇总!D:H,4,FALSE)</f>
        <v>#N/A</v>
      </c>
      <c r="F186" s="430">
        <f>VLOOKUP(B186,正厂竞争者数据汇总!D:H,5,FALSE)</f>
        <v>93911.175</v>
      </c>
      <c r="G186" s="430">
        <v>129</v>
      </c>
      <c r="H186" s="430">
        <v>27912.6666666667</v>
      </c>
      <c r="I186" s="453">
        <f>(F186/G186)-1</f>
        <v>726.993604651163</v>
      </c>
      <c r="J186" s="451">
        <f>F186/F$192</f>
        <v>0.483270872816878</v>
      </c>
      <c r="K186" s="451">
        <v>0.350735898257232</v>
      </c>
      <c r="L186" s="451">
        <v>0.202107730284048</v>
      </c>
      <c r="M186" s="451"/>
      <c r="N186" s="459"/>
      <c r="O186" s="430"/>
      <c r="P186" s="542" t="str">
        <f>VLOOKUP(B186,正厂竞争者数据汇总!D:M,6,FALSE)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86" s="429"/>
      <c r="R186" s="421"/>
      <c r="S186" s="473">
        <v>8776</v>
      </c>
      <c r="T186" s="473">
        <v>243</v>
      </c>
      <c r="U186" s="466"/>
      <c r="V186" s="466"/>
      <c r="W186" s="421"/>
      <c r="X186" s="421"/>
      <c r="Y186" s="200" t="s">
        <v>352</v>
      </c>
      <c r="Z186" s="200">
        <v>232</v>
      </c>
      <c r="AA186" s="200">
        <v>84</v>
      </c>
      <c r="AB186" s="410">
        <f t="shared" si="41"/>
        <v>1</v>
      </c>
      <c r="AC186" s="409">
        <f t="shared" si="42"/>
        <v>232</v>
      </c>
      <c r="AD186" s="409">
        <f t="shared" si="43"/>
        <v>84</v>
      </c>
    </row>
    <row r="187" s="408" customFormat="1" spans="1:30">
      <c r="A187" s="428" t="s">
        <v>243</v>
      </c>
      <c r="B187" s="421" t="s">
        <v>353</v>
      </c>
      <c r="C187" s="429" t="str">
        <f>VLOOKUP(B187,正厂竞争者数据汇总!D:H,2,FALSE)</f>
        <v>Motor目录</v>
      </c>
      <c r="D187" s="421" t="str">
        <f>VLOOKUP(B187,正厂竞争者数据汇总!D:H,3,FALSE)</f>
        <v>WI</v>
      </c>
      <c r="E187" s="430">
        <f>VLOOKUP(B190,正厂竞争者数据汇总!D:H,4,FALSE)</f>
        <v>0</v>
      </c>
      <c r="F187" s="430">
        <f>VLOOKUP(B187,正厂竞争者数据汇总!D:H,5,FALSE)</f>
        <v>40509.5</v>
      </c>
      <c r="G187" s="430">
        <v>127</v>
      </c>
      <c r="H187" s="430">
        <v>27910.6666666667</v>
      </c>
      <c r="I187" s="453">
        <f>(F187/G187)-1</f>
        <v>317.972440944882</v>
      </c>
      <c r="J187" s="451">
        <f>F187/F$192</f>
        <v>0.208463597887848</v>
      </c>
      <c r="K187" s="451">
        <v>0.201852634688791</v>
      </c>
      <c r="L187" s="451">
        <v>0.210507023309268</v>
      </c>
      <c r="M187" s="451" t="e">
        <f>J187-#REF!</f>
        <v>#REF!</v>
      </c>
      <c r="N187" s="459"/>
      <c r="O187" s="430"/>
      <c r="P187" s="542" t="str">
        <f>VLOOKUP(B187,正厂竞争者数据汇总!D:M,6,FALSE)</f>
        <v>2023年9月新增</v>
      </c>
      <c r="Q187" s="429" t="s">
        <v>180</v>
      </c>
      <c r="R187" s="421" t="s">
        <v>180</v>
      </c>
      <c r="S187" s="473">
        <v>1613</v>
      </c>
      <c r="T187" s="473">
        <v>206</v>
      </c>
      <c r="U187" s="466"/>
      <c r="V187" s="466"/>
      <c r="W187" s="421"/>
      <c r="X187" s="421"/>
      <c r="Y187" s="200" t="s">
        <v>353</v>
      </c>
      <c r="Z187" s="200">
        <v>1814</v>
      </c>
      <c r="AA187" s="200">
        <v>197</v>
      </c>
      <c r="AB187" s="410">
        <f t="shared" si="41"/>
        <v>1</v>
      </c>
      <c r="AC187" s="409">
        <f t="shared" si="42"/>
        <v>1814</v>
      </c>
      <c r="AD187" s="409">
        <f t="shared" si="43"/>
        <v>197</v>
      </c>
    </row>
    <row r="188" s="408" customFormat="1" spans="1:30">
      <c r="A188" s="428" t="s">
        <v>230</v>
      </c>
      <c r="B188" s="421" t="s">
        <v>354</v>
      </c>
      <c r="C188" s="429" t="str">
        <f>VLOOKUP(B188,正厂竞争者数据汇总!D:H,2,FALSE)</f>
        <v>Motor目录</v>
      </c>
      <c r="D188" s="421" t="str">
        <f>VLOOKUP(B188,正厂竞争者数据汇总!D:H,3,FALSE)</f>
        <v>NJ</v>
      </c>
      <c r="E188" s="430"/>
      <c r="F188" s="430">
        <f>VLOOKUP(B188,正厂竞争者数据汇总!D:H,5,FALSE)</f>
        <v>22955.6416666667</v>
      </c>
      <c r="G188" s="430"/>
      <c r="H188" s="430"/>
      <c r="I188" s="453"/>
      <c r="J188" s="451">
        <f>F188/F$192</f>
        <v>0.118130701530691</v>
      </c>
      <c r="K188" s="451">
        <v>0.264977223053954</v>
      </c>
      <c r="L188" s="451">
        <v>0.406611598996638</v>
      </c>
      <c r="M188" s="451"/>
      <c r="N188" s="459"/>
      <c r="O188" s="430"/>
      <c r="P188" s="542">
        <f>VLOOKUP(B188,正厂竞争者数据汇总!D:M,6,FALSE)</f>
        <v>0</v>
      </c>
      <c r="Q188" s="429"/>
      <c r="R188" s="421"/>
      <c r="S188" s="473">
        <v>6091</v>
      </c>
      <c r="T188" s="473">
        <v>612</v>
      </c>
      <c r="U188" s="466"/>
      <c r="V188" s="466"/>
      <c r="W188" s="421"/>
      <c r="X188" s="421"/>
      <c r="Y188" s="200" t="s">
        <v>354</v>
      </c>
      <c r="Z188" s="200">
        <v>6564</v>
      </c>
      <c r="AA188" s="200">
        <v>676</v>
      </c>
      <c r="AB188" s="410">
        <f t="shared" si="41"/>
        <v>1</v>
      </c>
      <c r="AC188" s="409">
        <f t="shared" si="42"/>
        <v>6564</v>
      </c>
      <c r="AD188" s="409">
        <f t="shared" si="43"/>
        <v>676</v>
      </c>
    </row>
    <row r="189" s="408" customFormat="1" spans="1:30">
      <c r="A189" s="428" t="s">
        <v>243</v>
      </c>
      <c r="B189" s="421" t="s">
        <v>355</v>
      </c>
      <c r="C189" s="429" t="str">
        <f>VLOOKUP(B189,正厂竞争者数据汇总!D:H,2,FALSE)</f>
        <v>旧年份原厂、新年份Motor</v>
      </c>
      <c r="D189" s="421" t="str">
        <f>VLOOKUP(B189,正厂竞争者数据汇总!D:H,3,FALSE)</f>
        <v>GA</v>
      </c>
      <c r="E189" s="430" t="e">
        <f>VLOOKUP(B191,正厂竞争者数据汇总!D:H,4,FALSE)</f>
        <v>#N/A</v>
      </c>
      <c r="F189" s="430">
        <f>VLOOKUP(B189,正厂竞争者数据汇总!D:H,5,FALSE)</f>
        <v>19601.9116666667</v>
      </c>
      <c r="G189" s="430">
        <v>128</v>
      </c>
      <c r="H189" s="430">
        <v>27911.6666666667</v>
      </c>
      <c r="I189" s="453">
        <f>(F189/G189)-1</f>
        <v>152.139934895834</v>
      </c>
      <c r="J189" s="451">
        <f>F189/F$192</f>
        <v>0.100872265308462</v>
      </c>
      <c r="K189" s="451">
        <v>0.0963797955929612</v>
      </c>
      <c r="L189" s="451">
        <v>0.115579926843259</v>
      </c>
      <c r="M189" s="451"/>
      <c r="N189" s="459"/>
      <c r="O189" s="430"/>
      <c r="P189" s="542">
        <f>VLOOKUP(B189,正厂竞争者数据汇总!D:M,6,FALSE)</f>
        <v>0</v>
      </c>
      <c r="Q189" s="429" t="s">
        <v>180</v>
      </c>
      <c r="R189" s="421" t="s">
        <v>180</v>
      </c>
      <c r="S189" s="473">
        <v>5534</v>
      </c>
      <c r="T189" s="473">
        <v>1352</v>
      </c>
      <c r="U189" s="466"/>
      <c r="V189" s="466"/>
      <c r="W189" s="421"/>
      <c r="X189" s="421"/>
      <c r="Y189" s="200" t="s">
        <v>355</v>
      </c>
      <c r="Z189" s="200">
        <v>4795</v>
      </c>
      <c r="AA189" s="200">
        <v>1196</v>
      </c>
      <c r="AB189" s="410">
        <f t="shared" si="41"/>
        <v>1</v>
      </c>
      <c r="AC189" s="409">
        <f t="shared" si="42"/>
        <v>4795</v>
      </c>
      <c r="AD189" s="409">
        <f t="shared" si="43"/>
        <v>1196</v>
      </c>
    </row>
    <row r="190" s="408" customFormat="1" spans="1:30">
      <c r="A190" s="428" t="s">
        <v>230</v>
      </c>
      <c r="B190" s="431" t="s">
        <v>356</v>
      </c>
      <c r="C190" s="429" t="str">
        <f>VLOOKUP(B190,正厂竞争者数据汇总!D:H,2,FALSE)</f>
        <v>Motor目录</v>
      </c>
      <c r="D190" s="421" t="str">
        <f>VLOOKUP(B190,正厂竞争者数据汇总!D:H,3,FALSE)</f>
        <v>KS</v>
      </c>
      <c r="E190" s="430">
        <f>VLOOKUP(B190,正厂竞争者数据汇总!D:H,4,FALSE)</f>
        <v>0</v>
      </c>
      <c r="F190" s="430">
        <f>VLOOKUP(B190,正厂竞争者数据汇总!D:H,5,FALSE)</f>
        <v>17345.8666666667</v>
      </c>
      <c r="G190" s="430">
        <v>23846.5</v>
      </c>
      <c r="H190" s="430">
        <v>201650.166666667</v>
      </c>
      <c r="I190" s="453">
        <f>(F190/G190)-1</f>
        <v>-0.272603247157163</v>
      </c>
      <c r="J190" s="451">
        <f>F190/F$192</f>
        <v>0.089262562456121</v>
      </c>
      <c r="K190" s="451">
        <v>0.0860544484070613</v>
      </c>
      <c r="L190" s="451">
        <v>0.0651937205667868</v>
      </c>
      <c r="M190" s="451" t="e">
        <f>J190-#REF!</f>
        <v>#REF!</v>
      </c>
      <c r="N190" s="459"/>
      <c r="O190" s="430"/>
      <c r="P190" s="542">
        <f>VLOOKUP(B190,正厂竞争者数据汇总!D:M,6,FALSE)</f>
        <v>0</v>
      </c>
      <c r="Q190" s="429" t="s">
        <v>180</v>
      </c>
      <c r="R190" s="421" t="s">
        <v>180</v>
      </c>
      <c r="S190" s="473">
        <v>703</v>
      </c>
      <c r="T190" s="473">
        <v>145</v>
      </c>
      <c r="U190" s="466"/>
      <c r="V190" s="466"/>
      <c r="W190" s="421"/>
      <c r="X190" s="421"/>
      <c r="Y190" s="200" t="s">
        <v>356</v>
      </c>
      <c r="Z190" s="200">
        <v>695</v>
      </c>
      <c r="AA190" s="200">
        <v>138</v>
      </c>
      <c r="AB190" s="410">
        <f t="shared" si="41"/>
        <v>1</v>
      </c>
      <c r="AC190" s="409">
        <f t="shared" si="42"/>
        <v>695</v>
      </c>
      <c r="AD190" s="409">
        <f t="shared" si="43"/>
        <v>138</v>
      </c>
    </row>
    <row r="191" s="410" customFormat="1" spans="1:30">
      <c r="A191" s="432"/>
      <c r="B191" s="433"/>
      <c r="C191" s="434"/>
      <c r="D191" s="421"/>
      <c r="E191" s="436"/>
      <c r="F191" s="436"/>
      <c r="G191" s="436">
        <v>749876.416666666</v>
      </c>
      <c r="H191" s="436"/>
      <c r="I191" s="453"/>
      <c r="J191" s="457"/>
      <c r="K191" s="457"/>
      <c r="L191" s="457"/>
      <c r="M191" s="451"/>
      <c r="N191" s="455"/>
      <c r="O191" s="436"/>
      <c r="P191" s="542"/>
      <c r="Q191" s="434"/>
      <c r="R191" s="435"/>
      <c r="S191" s="473" t="s">
        <v>180</v>
      </c>
      <c r="T191" s="473" t="s">
        <v>180</v>
      </c>
      <c r="U191" s="466"/>
      <c r="V191" s="466"/>
      <c r="W191" s="435"/>
      <c r="X191" s="435"/>
      <c r="Y191" s="200" t="s">
        <v>240</v>
      </c>
      <c r="Z191" s="200" t="s">
        <v>180</v>
      </c>
      <c r="AA191" s="200" t="s">
        <v>180</v>
      </c>
      <c r="AB191" s="410">
        <f t="shared" si="41"/>
        <v>0</v>
      </c>
      <c r="AC191" s="409" t="str">
        <f t="shared" si="42"/>
        <v/>
      </c>
      <c r="AD191" s="409" t="str">
        <f t="shared" si="43"/>
        <v/>
      </c>
    </row>
    <row r="192" s="408" customFormat="1" spans="1:30">
      <c r="A192" s="428"/>
      <c r="B192" s="421"/>
      <c r="C192" s="439"/>
      <c r="D192" s="421"/>
      <c r="E192" s="430"/>
      <c r="F192" s="430">
        <f>SUM(F186:F190)</f>
        <v>194324.095</v>
      </c>
      <c r="G192" s="430"/>
      <c r="H192" s="430">
        <v>829193.583333334</v>
      </c>
      <c r="I192" s="453" t="e">
        <f>(F192/G192)-1</f>
        <v>#DIV/0!</v>
      </c>
      <c r="J192" s="430"/>
      <c r="K192" s="430"/>
      <c r="L192" s="430"/>
      <c r="M192" s="451"/>
      <c r="N192" s="459"/>
      <c r="O192" s="430"/>
      <c r="P192" s="542"/>
      <c r="Q192" s="429"/>
      <c r="R192" s="421"/>
      <c r="S192" s="473" t="s">
        <v>180</v>
      </c>
      <c r="T192" s="473" t="s">
        <v>180</v>
      </c>
      <c r="U192" s="466"/>
      <c r="V192" s="466"/>
      <c r="W192" s="421"/>
      <c r="X192" s="421"/>
      <c r="Y192" s="200" t="s">
        <v>240</v>
      </c>
      <c r="Z192" s="200" t="s">
        <v>180</v>
      </c>
      <c r="AA192" s="200" t="s">
        <v>180</v>
      </c>
      <c r="AB192" s="410">
        <f t="shared" si="41"/>
        <v>0</v>
      </c>
      <c r="AC192" s="409" t="str">
        <f t="shared" si="42"/>
        <v/>
      </c>
      <c r="AD192" s="409" t="str">
        <f t="shared" si="43"/>
        <v/>
      </c>
    </row>
    <row r="193" s="408" customFormat="1" spans="1:30">
      <c r="A193" s="428"/>
      <c r="B193" s="421"/>
      <c r="C193" s="439"/>
      <c r="D193" s="421"/>
      <c r="E193" s="430"/>
      <c r="F193" s="430"/>
      <c r="G193" s="430"/>
      <c r="H193" s="430"/>
      <c r="I193" s="453"/>
      <c r="J193" s="430"/>
      <c r="K193" s="430"/>
      <c r="L193" s="430"/>
      <c r="M193" s="451"/>
      <c r="N193" s="459"/>
      <c r="O193" s="430"/>
      <c r="P193" s="542"/>
      <c r="Q193" s="429"/>
      <c r="R193" s="421"/>
      <c r="S193" s="473" t="s">
        <v>180</v>
      </c>
      <c r="T193" s="473" t="s">
        <v>180</v>
      </c>
      <c r="U193" s="466"/>
      <c r="V193" s="466"/>
      <c r="W193" s="421"/>
      <c r="X193" s="421"/>
      <c r="Y193" s="200" t="s">
        <v>240</v>
      </c>
      <c r="Z193" s="200" t="s">
        <v>180</v>
      </c>
      <c r="AA193" s="200" t="s">
        <v>180</v>
      </c>
      <c r="AB193" s="410">
        <f t="shared" si="41"/>
        <v>0</v>
      </c>
      <c r="AC193" s="409" t="str">
        <f t="shared" si="42"/>
        <v/>
      </c>
      <c r="AD193" s="409" t="str">
        <f t="shared" si="43"/>
        <v/>
      </c>
    </row>
    <row r="194" s="408" customFormat="1" ht="17.4" spans="1:30">
      <c r="A194" s="418" t="s">
        <v>191</v>
      </c>
      <c r="B194" s="419"/>
      <c r="C194" s="420"/>
      <c r="D194" s="421"/>
      <c r="E194" s="422" t="s">
        <v>202</v>
      </c>
      <c r="F194" s="422"/>
      <c r="G194" s="422" t="s">
        <v>212</v>
      </c>
      <c r="H194" s="422"/>
      <c r="I194" s="422"/>
      <c r="J194" s="422"/>
      <c r="K194" s="422"/>
      <c r="L194" s="422"/>
      <c r="M194" s="443"/>
      <c r="N194" s="422"/>
      <c r="O194" s="422"/>
      <c r="P194" s="542"/>
      <c r="Q194" s="465"/>
      <c r="R194" s="424"/>
      <c r="S194" s="473" t="s">
        <v>180</v>
      </c>
      <c r="T194" s="473" t="s">
        <v>180</v>
      </c>
      <c r="U194" s="467"/>
      <c r="V194" s="467"/>
      <c r="W194" s="467"/>
      <c r="X194" s="467"/>
      <c r="Y194" s="200" t="s">
        <v>240</v>
      </c>
      <c r="Z194" s="200" t="s">
        <v>180</v>
      </c>
      <c r="AA194" s="200" t="s">
        <v>180</v>
      </c>
      <c r="AB194" s="410">
        <f t="shared" si="41"/>
        <v>0</v>
      </c>
      <c r="AC194" s="409" t="str">
        <f t="shared" si="42"/>
        <v/>
      </c>
      <c r="AD194" s="409" t="str">
        <f t="shared" si="43"/>
        <v/>
      </c>
    </row>
    <row r="195" s="409" customFormat="1" ht="46.8" spans="1:30">
      <c r="A195" s="423" t="s">
        <v>206</v>
      </c>
      <c r="B195" s="424" t="s">
        <v>207</v>
      </c>
      <c r="C195" s="425" t="s">
        <v>208</v>
      </c>
      <c r="D195" s="424" t="s">
        <v>209</v>
      </c>
      <c r="E195" s="426" t="s">
        <v>210</v>
      </c>
      <c r="F195" s="427" t="s">
        <v>211</v>
      </c>
      <c r="G195" s="427">
        <v>116448.583333333</v>
      </c>
      <c r="H195" s="427" t="s">
        <v>213</v>
      </c>
      <c r="I195" s="427" t="s">
        <v>214</v>
      </c>
      <c r="J195" s="446" t="s">
        <v>215</v>
      </c>
      <c r="K195" s="446" t="s">
        <v>216</v>
      </c>
      <c r="L195" s="446" t="s">
        <v>217</v>
      </c>
      <c r="M195" s="447" t="s">
        <v>218</v>
      </c>
      <c r="N195" s="448" t="s">
        <v>219</v>
      </c>
      <c r="O195" s="449" t="s">
        <v>220</v>
      </c>
      <c r="P195" s="543" t="s">
        <v>221</v>
      </c>
      <c r="Q195" s="469" t="s">
        <v>222</v>
      </c>
      <c r="R195" s="426" t="s">
        <v>223</v>
      </c>
      <c r="S195" s="470" t="s">
        <v>224</v>
      </c>
      <c r="T195" s="470" t="s">
        <v>205</v>
      </c>
      <c r="U195" s="467" t="s">
        <v>225</v>
      </c>
      <c r="V195" s="470" t="s">
        <v>226</v>
      </c>
      <c r="W195" s="467"/>
      <c r="X195" s="467"/>
      <c r="Y195" s="200" t="s">
        <v>207</v>
      </c>
      <c r="Z195" s="200" t="s">
        <v>180</v>
      </c>
      <c r="AA195" s="200" t="s">
        <v>180</v>
      </c>
      <c r="AB195" s="410">
        <f t="shared" si="41"/>
        <v>1</v>
      </c>
      <c r="AC195" s="409" t="str">
        <f t="shared" si="42"/>
        <v>Forum Link</v>
      </c>
      <c r="AD195" s="409" t="str">
        <f t="shared" si="43"/>
        <v>Domains</v>
      </c>
    </row>
    <row r="196" s="408" customFormat="1" spans="1:30">
      <c r="A196" s="428" t="s">
        <v>325</v>
      </c>
      <c r="B196" s="421" t="s">
        <v>357</v>
      </c>
      <c r="C196" s="429" t="str">
        <f>VLOOKUP(B196,正厂竞争者数据汇总!D:H,2,FALSE)</f>
        <v>原厂目录</v>
      </c>
      <c r="D196" s="421" t="str">
        <f>VLOOKUP(B196,正厂竞争者数据汇总!D:H,3,FALSE)</f>
        <v>IL</v>
      </c>
      <c r="E196" s="430">
        <f>VLOOKUP(B196,正厂竞争者数据汇总!D:H,4,FALSE)</f>
        <v>0</v>
      </c>
      <c r="F196" s="430">
        <f>VLOOKUP(B196,正厂竞争者数据汇总!D:H,5,FALSE)</f>
        <v>107339.58</v>
      </c>
      <c r="G196" s="430">
        <v>0</v>
      </c>
      <c r="H196" s="430">
        <v>99768.6666666667</v>
      </c>
      <c r="I196" s="453" t="e">
        <f>(F196/G196)-1</f>
        <v>#DIV/0!</v>
      </c>
      <c r="J196" s="451">
        <f t="shared" ref="J196:J202" si="44">F196/F$204</f>
        <v>0.60927409159918</v>
      </c>
      <c r="K196" s="451">
        <v>0.586087874509116</v>
      </c>
      <c r="L196" s="451">
        <v>0.561884070855872</v>
      </c>
      <c r="M196" s="451" t="e">
        <f>J196-#REF!</f>
        <v>#REF!</v>
      </c>
      <c r="N196" s="459"/>
      <c r="O196" s="430"/>
      <c r="P196" s="542">
        <f>VLOOKUP(B196,正厂竞争者数据汇总!D:M,6,FALSE)</f>
        <v>0</v>
      </c>
      <c r="Q196" s="429" t="s">
        <v>180</v>
      </c>
      <c r="R196" s="421" t="s">
        <v>180</v>
      </c>
      <c r="S196" s="473">
        <v>30348</v>
      </c>
      <c r="T196" s="473">
        <v>2748</v>
      </c>
      <c r="U196" s="466"/>
      <c r="V196" s="466"/>
      <c r="W196" s="421"/>
      <c r="X196" s="421"/>
      <c r="Y196" s="200" t="s">
        <v>357</v>
      </c>
      <c r="Z196" s="200">
        <v>28892</v>
      </c>
      <c r="AA196" s="200">
        <v>2244</v>
      </c>
      <c r="AB196" s="410">
        <f t="shared" si="41"/>
        <v>1</v>
      </c>
      <c r="AC196" s="409">
        <f t="shared" si="42"/>
        <v>28892</v>
      </c>
      <c r="AD196" s="409">
        <f t="shared" si="43"/>
        <v>2244</v>
      </c>
    </row>
    <row r="197" s="408" customFormat="1" spans="1:30">
      <c r="A197" s="428" t="s">
        <v>230</v>
      </c>
      <c r="B197" s="421" t="s">
        <v>358</v>
      </c>
      <c r="C197" s="429" t="str">
        <f>VLOOKUP(B197,正厂竞争者数据汇总!D:H,2,FALSE)</f>
        <v>Motor目录</v>
      </c>
      <c r="D197" s="421" t="str">
        <f>VLOOKUP(B197,正厂竞争者数据汇总!D:H,3,FALSE)</f>
        <v>CT</v>
      </c>
      <c r="E197" s="430"/>
      <c r="F197" s="430">
        <f>VLOOKUP(B197,正厂竞争者数据汇总!D:H,5,FALSE)</f>
        <v>21908.25</v>
      </c>
      <c r="G197" s="430"/>
      <c r="H197" s="430"/>
      <c r="I197" s="453"/>
      <c r="J197" s="451">
        <f t="shared" si="44"/>
        <v>0.124354214142423</v>
      </c>
      <c r="K197" s="451">
        <v>0.137547209909681</v>
      </c>
      <c r="L197" s="451">
        <v>0.144943637026314</v>
      </c>
      <c r="M197" s="451"/>
      <c r="N197" s="459"/>
      <c r="O197" s="430"/>
      <c r="P197" s="542" t="str">
        <f>VLOOKUP(B197,正厂竞争者数据汇总!D:M,6,FALSE)</f>
        <v>2023年9月新增</v>
      </c>
      <c r="Q197" s="429"/>
      <c r="R197" s="421"/>
      <c r="S197" s="473">
        <v>447</v>
      </c>
      <c r="T197" s="473">
        <v>97</v>
      </c>
      <c r="U197" s="466"/>
      <c r="V197" s="466"/>
      <c r="W197" s="421"/>
      <c r="X197" s="421"/>
      <c r="Y197" s="200" t="s">
        <v>358</v>
      </c>
      <c r="Z197" s="200">
        <v>449</v>
      </c>
      <c r="AA197" s="200">
        <v>99</v>
      </c>
      <c r="AB197" s="410">
        <f t="shared" si="41"/>
        <v>1</v>
      </c>
      <c r="AC197" s="409">
        <f t="shared" si="42"/>
        <v>449</v>
      </c>
      <c r="AD197" s="409">
        <f t="shared" si="43"/>
        <v>99</v>
      </c>
    </row>
    <row r="198" s="408" customFormat="1" spans="1:30">
      <c r="A198" s="428" t="s">
        <v>230</v>
      </c>
      <c r="B198" s="421" t="s">
        <v>359</v>
      </c>
      <c r="C198" s="429" t="str">
        <f>VLOOKUP(B198,正厂竞争者数据汇总!D:H,2,FALSE)</f>
        <v>Motor目录</v>
      </c>
      <c r="D198" s="421" t="str">
        <f>VLOOKUP(B198,正厂竞争者数据汇总!D:H,3,FALSE)</f>
        <v>NY</v>
      </c>
      <c r="E198" s="430"/>
      <c r="F198" s="430">
        <f>VLOOKUP(B198,正厂竞争者数据汇总!D:H,5,FALSE)</f>
        <v>17323.3466666666</v>
      </c>
      <c r="G198" s="430"/>
      <c r="H198" s="430"/>
      <c r="I198" s="453"/>
      <c r="J198" s="451">
        <f t="shared" si="44"/>
        <v>0.0983296776807864</v>
      </c>
      <c r="K198" s="451">
        <v>0.095070020633813</v>
      </c>
      <c r="L198" s="451">
        <v>0.0501051919859537</v>
      </c>
      <c r="M198" s="451"/>
      <c r="N198" s="459"/>
      <c r="O198" s="430"/>
      <c r="P198" s="542" t="str">
        <f>VLOOKUP(B198,正厂竞争者数据汇总!D:M,6,FALSE)</f>
        <v>2023年9月新增</v>
      </c>
      <c r="Q198" s="429"/>
      <c r="R198" s="421"/>
      <c r="S198" s="473">
        <v>291</v>
      </c>
      <c r="T198" s="473">
        <v>116</v>
      </c>
      <c r="U198" s="466"/>
      <c r="V198" s="466"/>
      <c r="W198" s="421"/>
      <c r="X198" s="421"/>
      <c r="Y198" s="200" t="s">
        <v>359</v>
      </c>
      <c r="Z198" s="200">
        <v>356</v>
      </c>
      <c r="AA198" s="200">
        <v>114</v>
      </c>
      <c r="AB198" s="410">
        <f t="shared" si="41"/>
        <v>1</v>
      </c>
      <c r="AC198" s="409">
        <f t="shared" si="42"/>
        <v>356</v>
      </c>
      <c r="AD198" s="409">
        <f t="shared" si="43"/>
        <v>114</v>
      </c>
    </row>
    <row r="199" s="408" customFormat="1" spans="1:30">
      <c r="A199" s="428" t="s">
        <v>230</v>
      </c>
      <c r="B199" s="421" t="s">
        <v>360</v>
      </c>
      <c r="C199" s="429" t="s">
        <v>361</v>
      </c>
      <c r="D199" s="421" t="s">
        <v>60</v>
      </c>
      <c r="E199" s="430"/>
      <c r="F199" s="430">
        <f>VLOOKUP(B199,正厂竞争者数据汇总!D:H,5,FALSE)</f>
        <v>14692.5833333333</v>
      </c>
      <c r="G199" s="430"/>
      <c r="H199" s="430"/>
      <c r="I199" s="453"/>
      <c r="J199" s="451">
        <f t="shared" si="44"/>
        <v>0.0833971063019056</v>
      </c>
      <c r="K199" s="451">
        <v>0.057573194362206</v>
      </c>
      <c r="L199" s="451"/>
      <c r="M199" s="451"/>
      <c r="N199" s="459"/>
      <c r="O199" s="430"/>
      <c r="P199" s="542"/>
      <c r="Q199" s="429"/>
      <c r="R199" s="421"/>
      <c r="S199" s="473">
        <v>707</v>
      </c>
      <c r="T199" s="473">
        <v>91</v>
      </c>
      <c r="U199" s="466"/>
      <c r="V199" s="466"/>
      <c r="W199" s="421"/>
      <c r="X199" s="421"/>
      <c r="Y199" s="200"/>
      <c r="Z199" s="200"/>
      <c r="AA199" s="200"/>
      <c r="AB199" s="410"/>
      <c r="AC199" s="409"/>
      <c r="AD199" s="409"/>
    </row>
    <row r="200" s="408" customFormat="1" spans="1:30">
      <c r="A200" s="428" t="s">
        <v>325</v>
      </c>
      <c r="B200" s="421" t="s">
        <v>362</v>
      </c>
      <c r="C200" s="429" t="str">
        <f>VLOOKUP(B200,正厂竞争者数据汇总!D:H,2,FALSE)</f>
        <v>原厂目录</v>
      </c>
      <c r="D200" s="421" t="str">
        <f>VLOOKUP(B200,正厂竞争者数据汇总!D:H,3,FALSE)</f>
        <v>CA</v>
      </c>
      <c r="E200" s="430"/>
      <c r="F200" s="430">
        <f>VLOOKUP(B200,正厂竞争者数据汇总!D:H,5,FALSE)</f>
        <v>8469.75</v>
      </c>
      <c r="G200" s="430"/>
      <c r="H200" s="430"/>
      <c r="I200" s="453"/>
      <c r="J200" s="451">
        <f t="shared" si="44"/>
        <v>0.0480754558320627</v>
      </c>
      <c r="K200" s="451">
        <v>0.0440841620540349</v>
      </c>
      <c r="L200" s="451">
        <v>0.0584257577868983</v>
      </c>
      <c r="M200" s="451"/>
      <c r="N200" s="459"/>
      <c r="O200" s="430"/>
      <c r="P200" s="542">
        <f>VLOOKUP(B200,正厂竞争者数据汇总!D:M,6,FALSE)</f>
        <v>0</v>
      </c>
      <c r="Q200" s="429"/>
      <c r="R200" s="421"/>
      <c r="S200" s="473">
        <v>663</v>
      </c>
      <c r="T200" s="473">
        <v>193</v>
      </c>
      <c r="U200" s="466"/>
      <c r="V200" s="466"/>
      <c r="W200" s="421"/>
      <c r="X200" s="421"/>
      <c r="Y200" s="200" t="s">
        <v>362</v>
      </c>
      <c r="Z200" s="200">
        <v>687</v>
      </c>
      <c r="AA200" s="200">
        <v>173</v>
      </c>
      <c r="AB200" s="410">
        <f t="shared" ref="AB200:AB205" si="45">IF(B200=Y200,1,0)</f>
        <v>1</v>
      </c>
      <c r="AC200" s="409">
        <f t="shared" ref="AC200:AC205" si="46">IF(Y200="Competitors","Forum Link",Z200)</f>
        <v>687</v>
      </c>
      <c r="AD200" s="409">
        <f t="shared" ref="AD200:AD205" si="47">IF(Y200="Competitors","Domains",AA200)</f>
        <v>173</v>
      </c>
    </row>
    <row r="201" s="408" customFormat="1" spans="1:30">
      <c r="A201" s="428" t="s">
        <v>325</v>
      </c>
      <c r="B201" s="421" t="s">
        <v>363</v>
      </c>
      <c r="C201" s="429" t="str">
        <f>VLOOKUP(B201,正厂竞争者数据汇总!D:H,2,FALSE)</f>
        <v>原厂目录</v>
      </c>
      <c r="D201" s="421" t="str">
        <f>VLOOKUP(B201,正厂竞争者数据汇总!D:H,3,FALSE)</f>
        <v>MD</v>
      </c>
      <c r="E201" s="430"/>
      <c r="F201" s="430">
        <f>VLOOKUP(B201,正厂竞争者数据汇总!D:H,5,FALSE)</f>
        <v>4346.58333333333</v>
      </c>
      <c r="G201" s="430"/>
      <c r="H201" s="430"/>
      <c r="I201" s="453"/>
      <c r="J201" s="451">
        <f t="shared" si="44"/>
        <v>0.0246717996472206</v>
      </c>
      <c r="K201" s="451">
        <v>0.0220787692794733</v>
      </c>
      <c r="L201" s="451">
        <v>0.0376988525607701</v>
      </c>
      <c r="M201" s="451"/>
      <c r="N201" s="459"/>
      <c r="O201" s="430"/>
      <c r="P201" s="542"/>
      <c r="Q201" s="429"/>
      <c r="R201" s="421"/>
      <c r="S201" s="473">
        <v>82</v>
      </c>
      <c r="T201" s="473">
        <v>34</v>
      </c>
      <c r="U201" s="466"/>
      <c r="V201" s="466"/>
      <c r="W201" s="421"/>
      <c r="X201" s="421"/>
      <c r="Y201" s="200" t="s">
        <v>363</v>
      </c>
      <c r="Z201" s="200">
        <v>147</v>
      </c>
      <c r="AA201" s="200">
        <v>41</v>
      </c>
      <c r="AB201" s="410">
        <f t="shared" si="45"/>
        <v>1</v>
      </c>
      <c r="AC201" s="409">
        <f t="shared" si="46"/>
        <v>147</v>
      </c>
      <c r="AD201" s="409">
        <f t="shared" si="47"/>
        <v>41</v>
      </c>
    </row>
    <row r="202" s="408" customFormat="1" spans="1:30">
      <c r="A202" s="428" t="s">
        <v>230</v>
      </c>
      <c r="B202" s="421" t="s">
        <v>364</v>
      </c>
      <c r="C202" s="429" t="str">
        <f>VLOOKUP(B202,正厂竞争者数据汇总!D:H,2,FALSE)</f>
        <v>Motor目录</v>
      </c>
      <c r="D202" s="421" t="str">
        <f>VLOOKUP(B202,正厂竞争者数据汇总!D:H,3,FALSE)</f>
        <v>TX</v>
      </c>
      <c r="E202" s="430"/>
      <c r="F202" s="430">
        <f>VLOOKUP(B202,正厂竞争者数据汇总!D:H,5,FALSE)</f>
        <v>2096.08333333333</v>
      </c>
      <c r="G202" s="430"/>
      <c r="H202" s="430"/>
      <c r="I202" s="453"/>
      <c r="J202" s="451">
        <f t="shared" si="44"/>
        <v>0.0118976547964213</v>
      </c>
      <c r="K202" s="451">
        <v>0.0575587692516758</v>
      </c>
      <c r="L202" s="451">
        <v>0.146942489784192</v>
      </c>
      <c r="M202" s="451"/>
      <c r="N202" s="459"/>
      <c r="O202" s="430"/>
      <c r="P202" s="542" t="str">
        <f>VLOOKUP(B202,正厂竞争者数据汇总!D:M,6,FALSE)</f>
        <v>2023年9月新增，202402导流到myswedishparts.com</v>
      </c>
      <c r="Q202" s="429"/>
      <c r="R202" s="421"/>
      <c r="S202" s="473">
        <v>1712</v>
      </c>
      <c r="T202" s="473">
        <v>275</v>
      </c>
      <c r="U202" s="466"/>
      <c r="V202" s="466"/>
      <c r="W202" s="421"/>
      <c r="X202" s="421"/>
      <c r="Y202" s="200" t="s">
        <v>364</v>
      </c>
      <c r="Z202" s="200">
        <v>1813</v>
      </c>
      <c r="AA202" s="200">
        <v>302</v>
      </c>
      <c r="AB202" s="410">
        <f t="shared" si="45"/>
        <v>1</v>
      </c>
      <c r="AC202" s="409">
        <f t="shared" si="46"/>
        <v>1813</v>
      </c>
      <c r="AD202" s="409">
        <f t="shared" si="47"/>
        <v>302</v>
      </c>
    </row>
    <row r="203" s="408" customFormat="1" spans="1:30">
      <c r="A203" s="428"/>
      <c r="B203" s="438"/>
      <c r="C203" s="429"/>
      <c r="D203" s="421"/>
      <c r="E203" s="430"/>
      <c r="F203" s="430"/>
      <c r="G203" s="430">
        <v>131075.583333333</v>
      </c>
      <c r="H203" s="430"/>
      <c r="I203" s="453"/>
      <c r="J203" s="451"/>
      <c r="K203" s="451"/>
      <c r="L203" s="451"/>
      <c r="M203" s="451"/>
      <c r="N203" s="459"/>
      <c r="O203" s="430"/>
      <c r="P203" s="542"/>
      <c r="Q203" s="429"/>
      <c r="R203" s="421"/>
      <c r="S203" s="473" t="s">
        <v>180</v>
      </c>
      <c r="T203" s="473" t="s">
        <v>180</v>
      </c>
      <c r="U203" s="466"/>
      <c r="V203" s="466"/>
      <c r="W203" s="421"/>
      <c r="X203" s="421"/>
      <c r="Y203" s="200" t="s">
        <v>240</v>
      </c>
      <c r="Z203" s="200" t="s">
        <v>180</v>
      </c>
      <c r="AA203" s="200" t="s">
        <v>180</v>
      </c>
      <c r="AB203" s="410">
        <f t="shared" si="45"/>
        <v>0</v>
      </c>
      <c r="AC203" s="409" t="str">
        <f t="shared" si="46"/>
        <v/>
      </c>
      <c r="AD203" s="409" t="str">
        <f t="shared" si="47"/>
        <v/>
      </c>
    </row>
    <row r="204" s="408" customFormat="1" spans="1:30">
      <c r="A204" s="428"/>
      <c r="B204" s="421"/>
      <c r="C204" s="439"/>
      <c r="D204" s="421"/>
      <c r="E204" s="421"/>
      <c r="F204" s="496">
        <f>SUM(F196:F202)</f>
        <v>176176.176666667</v>
      </c>
      <c r="G204" s="496"/>
      <c r="H204" s="496">
        <v>117816.916666667</v>
      </c>
      <c r="I204" s="453" t="e">
        <f>(F204/G204)-1</f>
        <v>#DIV/0!</v>
      </c>
      <c r="J204" s="430"/>
      <c r="K204" s="430"/>
      <c r="L204" s="430"/>
      <c r="M204" s="451"/>
      <c r="N204" s="459"/>
      <c r="O204" s="430"/>
      <c r="P204" s="542"/>
      <c r="Q204" s="429"/>
      <c r="R204" s="421"/>
      <c r="S204" s="473" t="s">
        <v>180</v>
      </c>
      <c r="T204" s="473" t="s">
        <v>180</v>
      </c>
      <c r="U204" s="466"/>
      <c r="V204" s="466"/>
      <c r="W204" s="421"/>
      <c r="X204" s="421"/>
      <c r="Y204" s="200" t="s">
        <v>240</v>
      </c>
      <c r="Z204" s="200" t="s">
        <v>180</v>
      </c>
      <c r="AA204" s="200" t="s">
        <v>180</v>
      </c>
      <c r="AB204" s="410">
        <f t="shared" si="45"/>
        <v>0</v>
      </c>
      <c r="AC204" s="409" t="str">
        <f t="shared" si="46"/>
        <v/>
      </c>
      <c r="AD204" s="409" t="str">
        <f t="shared" si="47"/>
        <v/>
      </c>
    </row>
    <row r="205" s="408" customFormat="1" spans="1:30">
      <c r="A205" s="428"/>
      <c r="B205" s="438"/>
      <c r="C205" s="439"/>
      <c r="D205" s="421"/>
      <c r="E205" s="430"/>
      <c r="F205" s="430"/>
      <c r="G205" s="430"/>
      <c r="H205" s="430"/>
      <c r="I205" s="453"/>
      <c r="J205" s="430"/>
      <c r="K205" s="430"/>
      <c r="L205" s="430"/>
      <c r="M205" s="451"/>
      <c r="N205" s="459"/>
      <c r="O205" s="430"/>
      <c r="P205" s="542"/>
      <c r="Q205" s="429"/>
      <c r="R205" s="421"/>
      <c r="S205" s="473" t="s">
        <v>180</v>
      </c>
      <c r="T205" s="473" t="s">
        <v>180</v>
      </c>
      <c r="U205" s="466"/>
      <c r="V205" s="466"/>
      <c r="W205" s="421"/>
      <c r="X205" s="421"/>
      <c r="Y205" s="200" t="s">
        <v>240</v>
      </c>
      <c r="Z205" s="200" t="s">
        <v>180</v>
      </c>
      <c r="AA205" s="200" t="s">
        <v>180</v>
      </c>
      <c r="AB205" s="410">
        <f t="shared" si="45"/>
        <v>0</v>
      </c>
      <c r="AC205" s="409" t="str">
        <f t="shared" si="46"/>
        <v/>
      </c>
      <c r="AD205" s="409" t="str">
        <f t="shared" si="47"/>
        <v/>
      </c>
    </row>
    <row r="206" s="408" customFormat="1" ht="17.4" spans="1:30">
      <c r="A206" s="418" t="s">
        <v>193</v>
      </c>
      <c r="B206" s="419"/>
      <c r="C206" s="420"/>
      <c r="D206" s="421"/>
      <c r="E206" s="422" t="s">
        <v>202</v>
      </c>
      <c r="F206" s="422"/>
      <c r="G206" s="422" t="s">
        <v>212</v>
      </c>
      <c r="H206" s="422"/>
      <c r="I206" s="422"/>
      <c r="J206" s="422"/>
      <c r="K206" s="422"/>
      <c r="L206" s="422"/>
      <c r="M206" s="443"/>
      <c r="N206" s="422"/>
      <c r="O206" s="422"/>
      <c r="P206" s="542"/>
      <c r="Q206" s="465"/>
      <c r="R206" s="424"/>
      <c r="S206" s="473" t="s">
        <v>180</v>
      </c>
      <c r="T206" s="473" t="s">
        <v>180</v>
      </c>
      <c r="U206" s="467"/>
      <c r="V206" s="467"/>
      <c r="W206" s="467"/>
      <c r="X206" s="467"/>
      <c r="Y206" s="200" t="s">
        <v>240</v>
      </c>
      <c r="Z206" s="200" t="s">
        <v>180</v>
      </c>
      <c r="AA206" s="200" t="s">
        <v>180</v>
      </c>
      <c r="AB206" s="410">
        <f t="shared" ref="AB206:AB220" si="48">IF(B206=Y206,1,0)</f>
        <v>0</v>
      </c>
      <c r="AC206" s="409" t="str">
        <f t="shared" ref="AC206:AC220" si="49">IF(Y206="Competitors","Forum Link",Z206)</f>
        <v/>
      </c>
      <c r="AD206" s="409" t="str">
        <f t="shared" ref="AD206:AD220" si="50">IF(Y206="Competitors","Domains",AA206)</f>
        <v/>
      </c>
    </row>
    <row r="207" s="409" customFormat="1" ht="46.8" spans="1:30">
      <c r="A207" s="423" t="s">
        <v>206</v>
      </c>
      <c r="B207" s="424" t="s">
        <v>207</v>
      </c>
      <c r="C207" s="425" t="s">
        <v>208</v>
      </c>
      <c r="D207" s="424" t="s">
        <v>209</v>
      </c>
      <c r="E207" s="426" t="s">
        <v>210</v>
      </c>
      <c r="F207" s="427" t="s">
        <v>211</v>
      </c>
      <c r="G207" s="427">
        <v>116448.583333333</v>
      </c>
      <c r="H207" s="427" t="s">
        <v>213</v>
      </c>
      <c r="I207" s="427" t="s">
        <v>214</v>
      </c>
      <c r="J207" s="446" t="s">
        <v>215</v>
      </c>
      <c r="K207" s="446" t="s">
        <v>216</v>
      </c>
      <c r="L207" s="446" t="s">
        <v>217</v>
      </c>
      <c r="M207" s="447" t="s">
        <v>218</v>
      </c>
      <c r="N207" s="448" t="s">
        <v>219</v>
      </c>
      <c r="O207" s="449" t="s">
        <v>220</v>
      </c>
      <c r="P207" s="543" t="s">
        <v>221</v>
      </c>
      <c r="Q207" s="469" t="s">
        <v>222</v>
      </c>
      <c r="R207" s="426" t="s">
        <v>223</v>
      </c>
      <c r="S207" s="470" t="s">
        <v>224</v>
      </c>
      <c r="T207" s="470" t="s">
        <v>205</v>
      </c>
      <c r="U207" s="467" t="s">
        <v>225</v>
      </c>
      <c r="V207" s="470" t="s">
        <v>226</v>
      </c>
      <c r="W207" s="467"/>
      <c r="X207" s="467"/>
      <c r="Y207" s="200" t="s">
        <v>207</v>
      </c>
      <c r="Z207" s="200" t="s">
        <v>180</v>
      </c>
      <c r="AA207" s="200" t="s">
        <v>180</v>
      </c>
      <c r="AB207" s="410">
        <f t="shared" si="48"/>
        <v>1</v>
      </c>
      <c r="AC207" s="409" t="str">
        <f t="shared" si="49"/>
        <v>Forum Link</v>
      </c>
      <c r="AD207" s="409" t="str">
        <f t="shared" si="50"/>
        <v>Domains</v>
      </c>
    </row>
    <row r="208" s="408" customFormat="1" spans="1:30">
      <c r="A208" s="428" t="s">
        <v>230</v>
      </c>
      <c r="B208" s="438" t="s">
        <v>365</v>
      </c>
      <c r="C208" s="429" t="str">
        <f>VLOOKUP(B208,正厂竞争者数据汇总!D:H,2,FALSE)</f>
        <v>Motor目录</v>
      </c>
      <c r="D208" s="421" t="str">
        <f>VLOOKUP(B208,正厂竞争者数据汇总!D:H,3,FALSE)</f>
        <v>OR</v>
      </c>
      <c r="E208" s="430">
        <f>VLOOKUP(B208,正厂竞争者数据汇总!D:H,4,FALSE)</f>
        <v>0</v>
      </c>
      <c r="F208" s="430">
        <f>VLOOKUP(B208,正厂竞争者数据汇总!D:H,5,FALSE)</f>
        <v>47997.4999333334</v>
      </c>
      <c r="G208" s="430">
        <v>38319.6666666667</v>
      </c>
      <c r="H208" s="430">
        <v>273188.083333333</v>
      </c>
      <c r="I208" s="453"/>
      <c r="J208" s="451">
        <f t="shared" ref="J208:J217" si="51">F208/F$219</f>
        <v>0.273292618807509</v>
      </c>
      <c r="K208" s="451">
        <v>0.270671853776433</v>
      </c>
      <c r="L208" s="451">
        <v>0.306665433753</v>
      </c>
      <c r="M208" s="451"/>
      <c r="N208" s="459"/>
      <c r="O208" s="430"/>
      <c r="P208" s="542">
        <f>VLOOKUP(B208,正厂竞争者数据汇总!D:M,6,FALSE)</f>
        <v>0</v>
      </c>
      <c r="Q208" s="429" t="s">
        <v>180</v>
      </c>
      <c r="R208" s="421" t="s">
        <v>180</v>
      </c>
      <c r="S208" s="473">
        <v>1820</v>
      </c>
      <c r="T208" s="473">
        <v>328</v>
      </c>
      <c r="U208" s="466"/>
      <c r="V208" s="466"/>
      <c r="W208" s="421"/>
      <c r="X208" s="421"/>
      <c r="Y208" s="200" t="s">
        <v>365</v>
      </c>
      <c r="Z208" s="200">
        <v>1749</v>
      </c>
      <c r="AA208" s="200">
        <v>336</v>
      </c>
      <c r="AB208" s="410">
        <f t="shared" si="48"/>
        <v>1</v>
      </c>
      <c r="AC208" s="409">
        <f t="shared" si="49"/>
        <v>1749</v>
      </c>
      <c r="AD208" s="409">
        <f t="shared" si="50"/>
        <v>336</v>
      </c>
    </row>
    <row r="209" s="408" customFormat="1" spans="1:30">
      <c r="A209" s="428" t="s">
        <v>230</v>
      </c>
      <c r="B209" s="438" t="s">
        <v>366</v>
      </c>
      <c r="C209" s="429" t="s">
        <v>65</v>
      </c>
      <c r="D209" s="421" t="s">
        <v>49</v>
      </c>
      <c r="E209" s="430"/>
      <c r="F209" s="430">
        <f>VLOOKUP(B209,正厂竞争者数据汇总!D:H,5,FALSE)</f>
        <v>46498.7983333333</v>
      </c>
      <c r="G209" s="430">
        <v>38321.6666666667</v>
      </c>
      <c r="H209" s="430">
        <v>273190.083333333</v>
      </c>
      <c r="I209" s="453"/>
      <c r="J209" s="451">
        <f t="shared" si="51"/>
        <v>0.264759172572936</v>
      </c>
      <c r="K209" s="451">
        <v>0.247496448431407</v>
      </c>
      <c r="L209" s="451">
        <v>0.210916099529211</v>
      </c>
      <c r="M209" s="451"/>
      <c r="N209" s="459"/>
      <c r="O209" s="430"/>
      <c r="P209" s="542"/>
      <c r="Q209" s="429"/>
      <c r="R209" s="421"/>
      <c r="S209" s="473">
        <v>517</v>
      </c>
      <c r="T209" s="473">
        <v>135</v>
      </c>
      <c r="U209" s="466"/>
      <c r="V209" s="466"/>
      <c r="W209" s="421"/>
      <c r="X209" s="421"/>
      <c r="Y209" s="200" t="s">
        <v>366</v>
      </c>
      <c r="Z209" s="200">
        <v>415</v>
      </c>
      <c r="AA209" s="200">
        <v>134</v>
      </c>
      <c r="AB209" s="410">
        <f t="shared" si="48"/>
        <v>1</v>
      </c>
      <c r="AC209" s="409">
        <f t="shared" si="49"/>
        <v>415</v>
      </c>
      <c r="AD209" s="409">
        <f t="shared" si="50"/>
        <v>134</v>
      </c>
    </row>
    <row r="210" s="408" customFormat="1" spans="1:30">
      <c r="A210" s="428" t="s">
        <v>367</v>
      </c>
      <c r="B210" s="438" t="s">
        <v>368</v>
      </c>
      <c r="C210" s="429" t="str">
        <f>VLOOKUP(B210,正厂竞争者数据汇总!D:H,2,FALSE)</f>
        <v>Motor目录</v>
      </c>
      <c r="D210" s="421" t="str">
        <f>VLOOKUP(B210,正厂竞争者数据汇总!D:H,3,FALSE)</f>
        <v>-</v>
      </c>
      <c r="E210" s="430">
        <f>VLOOKUP(B210,正厂竞争者数据汇总!D:H,4,FALSE)</f>
        <v>0</v>
      </c>
      <c r="F210" s="430">
        <f>VLOOKUP(B210,正厂竞争者数据汇总!D:H,5,FALSE)</f>
        <v>26592.75</v>
      </c>
      <c r="G210" s="430">
        <v>38320.6666666667</v>
      </c>
      <c r="H210" s="430">
        <v>273189.083333333</v>
      </c>
      <c r="I210" s="453"/>
      <c r="J210" s="451">
        <f t="shared" si="51"/>
        <v>0.151416267490761</v>
      </c>
      <c r="K210" s="451">
        <v>0.130476280051367</v>
      </c>
      <c r="L210" s="451">
        <v>0.118477005020784</v>
      </c>
      <c r="M210" s="451"/>
      <c r="N210" s="459"/>
      <c r="O210" s="430"/>
      <c r="P210" s="542">
        <f>VLOOKUP(B210,正厂竞争者数据汇总!D:M,6,FALSE)</f>
        <v>0</v>
      </c>
      <c r="Q210" s="429"/>
      <c r="R210" s="421"/>
      <c r="S210" s="473">
        <v>5337</v>
      </c>
      <c r="T210" s="473">
        <v>414</v>
      </c>
      <c r="U210" s="466"/>
      <c r="V210" s="466"/>
      <c r="W210" s="421"/>
      <c r="X210" s="421"/>
      <c r="Y210" s="200" t="s">
        <v>368</v>
      </c>
      <c r="Z210" s="200">
        <v>6126</v>
      </c>
      <c r="AA210" s="200">
        <v>459</v>
      </c>
      <c r="AB210" s="410">
        <f t="shared" si="48"/>
        <v>1</v>
      </c>
      <c r="AC210" s="409">
        <f t="shared" si="49"/>
        <v>6126</v>
      </c>
      <c r="AD210" s="409">
        <f t="shared" si="50"/>
        <v>459</v>
      </c>
    </row>
    <row r="211" s="408" customFormat="1" spans="1:30">
      <c r="A211" s="428" t="s">
        <v>243</v>
      </c>
      <c r="B211" s="438" t="s">
        <v>369</v>
      </c>
      <c r="C211" s="429" t="str">
        <f>VLOOKUP(B211,正厂竞争者数据汇总!D:H,2,FALSE)</f>
        <v>旧年份原厂、新年份Motor</v>
      </c>
      <c r="D211" s="421" t="str">
        <f>VLOOKUP(B211,正厂竞争者数据汇总!D:H,3,FALSE)</f>
        <v>GA</v>
      </c>
      <c r="E211" s="430">
        <f>VLOOKUP(B211,正厂竞争者数据汇总!D:H,4,FALSE)</f>
        <v>0</v>
      </c>
      <c r="F211" s="430">
        <f>VLOOKUP(B211,正厂竞争者数据汇总!D:H,5,FALSE)</f>
        <v>13591.8333333333</v>
      </c>
      <c r="G211" s="430">
        <v>38322.6666666667</v>
      </c>
      <c r="H211" s="430">
        <v>273191.083333333</v>
      </c>
      <c r="I211" s="453"/>
      <c r="J211" s="451">
        <f t="shared" si="51"/>
        <v>0.0773904418192868</v>
      </c>
      <c r="K211" s="451">
        <v>0.0978707104847768</v>
      </c>
      <c r="L211" s="451">
        <v>0.101410182628078</v>
      </c>
      <c r="M211" s="451"/>
      <c r="N211" s="459"/>
      <c r="O211" s="430"/>
      <c r="P211" s="542">
        <f>VLOOKUP(B211,正厂竞争者数据汇总!D:M,6,FALSE)</f>
        <v>0</v>
      </c>
      <c r="Q211" s="429"/>
      <c r="R211" s="421"/>
      <c r="S211" s="473">
        <v>9141</v>
      </c>
      <c r="T211" s="473">
        <v>1451</v>
      </c>
      <c r="U211" s="466"/>
      <c r="V211" s="466"/>
      <c r="W211" s="421"/>
      <c r="X211" s="421"/>
      <c r="Y211" s="200" t="s">
        <v>369</v>
      </c>
      <c r="Z211" s="200">
        <v>9481</v>
      </c>
      <c r="AA211" s="200">
        <v>1271</v>
      </c>
      <c r="AB211" s="410">
        <f t="shared" si="48"/>
        <v>1</v>
      </c>
      <c r="AC211" s="409">
        <f t="shared" si="49"/>
        <v>9481</v>
      </c>
      <c r="AD211" s="409">
        <f t="shared" si="50"/>
        <v>1271</v>
      </c>
    </row>
    <row r="212" s="408" customFormat="1" ht="17.4" spans="1:30">
      <c r="A212" s="428" t="s">
        <v>230</v>
      </c>
      <c r="B212" s="438" t="s">
        <v>370</v>
      </c>
      <c r="C212" s="429" t="s">
        <v>247</v>
      </c>
      <c r="D212" s="421" t="s">
        <v>371</v>
      </c>
      <c r="E212" s="430"/>
      <c r="F212" s="430">
        <f>VLOOKUP(B212,正厂竞争者数据汇总!D:H,5,FALSE)</f>
        <v>13764.5833333333</v>
      </c>
      <c r="G212" s="430">
        <v>38321.6666666667</v>
      </c>
      <c r="H212" s="430">
        <v>273190.083333333</v>
      </c>
      <c r="I212" s="453"/>
      <c r="J212" s="451">
        <f t="shared" si="51"/>
        <v>0.0783740617987559</v>
      </c>
      <c r="K212" s="451">
        <v>0.0737434211641539</v>
      </c>
      <c r="L212" s="451">
        <v>0.0515705850574039</v>
      </c>
      <c r="M212" s="451"/>
      <c r="N212" s="459"/>
      <c r="O212" s="430"/>
      <c r="P212" s="542"/>
      <c r="Q212" s="429"/>
      <c r="R212" s="421"/>
      <c r="S212" s="473">
        <v>16303</v>
      </c>
      <c r="T212" s="473">
        <v>131</v>
      </c>
      <c r="U212" s="466"/>
      <c r="V212" s="466"/>
      <c r="W212" s="421"/>
      <c r="X212" s="421"/>
      <c r="Y212" s="200" t="s">
        <v>370</v>
      </c>
      <c r="Z212" s="200">
        <v>16539</v>
      </c>
      <c r="AA212" s="200">
        <v>147</v>
      </c>
      <c r="AB212" s="410">
        <f t="shared" si="48"/>
        <v>1</v>
      </c>
      <c r="AC212" s="409">
        <f t="shared" si="49"/>
        <v>16539</v>
      </c>
      <c r="AD212" s="409">
        <f t="shared" si="50"/>
        <v>147</v>
      </c>
    </row>
    <row r="213" s="408" customFormat="1" spans="1:30">
      <c r="A213" s="428" t="s">
        <v>230</v>
      </c>
      <c r="B213" s="438" t="s">
        <v>372</v>
      </c>
      <c r="C213" s="429" t="str">
        <f>VLOOKUP(B213,正厂竞争者数据汇总!D:H,2,FALSE)</f>
        <v>Motor目录</v>
      </c>
      <c r="D213" s="421" t="str">
        <f>VLOOKUP(B213,正厂竞争者数据汇总!D:H,3,FALSE)</f>
        <v>NV</v>
      </c>
      <c r="E213" s="430">
        <f>VLOOKUP(B213,正厂竞争者数据汇总!D:H,4,FALSE)</f>
        <v>0</v>
      </c>
      <c r="F213" s="430">
        <f>VLOOKUP(B213,正厂竞争者数据汇总!D:H,5,FALSE)</f>
        <v>8490.33333333333</v>
      </c>
      <c r="G213" s="430">
        <v>38326.6666666667</v>
      </c>
      <c r="H213" s="430">
        <v>273195.083333333</v>
      </c>
      <c r="I213" s="453"/>
      <c r="J213" s="451">
        <f t="shared" si="51"/>
        <v>0.0483430477512</v>
      </c>
      <c r="K213" s="451">
        <v>0.0552048739540876</v>
      </c>
      <c r="L213" s="451">
        <v>0.0626975249827507</v>
      </c>
      <c r="M213" s="451"/>
      <c r="N213" s="459"/>
      <c r="O213" s="430"/>
      <c r="P213" s="542" t="str">
        <f>VLOOKUP(B213,正厂竞争者数据汇总!D:M,6,FALSE)</f>
        <v>2023年9月新增</v>
      </c>
      <c r="Q213" s="429"/>
      <c r="R213" s="421"/>
      <c r="S213" s="473">
        <v>487</v>
      </c>
      <c r="T213" s="473">
        <v>70</v>
      </c>
      <c r="U213" s="466"/>
      <c r="V213" s="466"/>
      <c r="W213" s="421"/>
      <c r="X213" s="421"/>
      <c r="Y213" s="200" t="s">
        <v>372</v>
      </c>
      <c r="Z213" s="200">
        <v>330</v>
      </c>
      <c r="AA213" s="200">
        <v>54</v>
      </c>
      <c r="AB213" s="410">
        <f t="shared" si="48"/>
        <v>1</v>
      </c>
      <c r="AC213" s="409">
        <f t="shared" si="49"/>
        <v>330</v>
      </c>
      <c r="AD213" s="409">
        <f t="shared" si="50"/>
        <v>54</v>
      </c>
    </row>
    <row r="214" s="408" customFormat="1" spans="1:30">
      <c r="A214" s="428" t="s">
        <v>230</v>
      </c>
      <c r="B214" s="438" t="s">
        <v>373</v>
      </c>
      <c r="C214" s="429" t="str">
        <f>VLOOKUP(B214,正厂竞争者数据汇总!D:H,2,FALSE)</f>
        <v>Motor目录</v>
      </c>
      <c r="D214" s="421" t="str">
        <f>VLOOKUP(B214,正厂竞争者数据汇总!D:H,3,FALSE)</f>
        <v>MA</v>
      </c>
      <c r="E214" s="430">
        <f>VLOOKUP(B214,正厂竞争者数据汇总!D:H,4,FALSE)</f>
        <v>3939</v>
      </c>
      <c r="F214" s="430">
        <f>VLOOKUP(B214,正厂竞争者数据汇总!D:H,5,FALSE)</f>
        <v>6411.20983333333</v>
      </c>
      <c r="G214" s="430">
        <v>38321.6666666667</v>
      </c>
      <c r="H214" s="430">
        <v>273190.083333333</v>
      </c>
      <c r="I214" s="453"/>
      <c r="J214" s="451">
        <f t="shared" si="51"/>
        <v>0.0365047414450705</v>
      </c>
      <c r="K214" s="451">
        <v>0.0525959839806279</v>
      </c>
      <c r="L214" s="451">
        <v>0.0694581941210602</v>
      </c>
      <c r="M214" s="451"/>
      <c r="N214" s="459"/>
      <c r="O214" s="430"/>
      <c r="P214" s="542">
        <f>VLOOKUP(B214,正厂竞争者数据汇总!D:M,6,FALSE)</f>
        <v>0</v>
      </c>
      <c r="Q214" s="429"/>
      <c r="R214" s="421"/>
      <c r="S214" s="473">
        <v>45888</v>
      </c>
      <c r="T214" s="473">
        <v>84</v>
      </c>
      <c r="U214" s="466"/>
      <c r="V214" s="466"/>
      <c r="W214" s="421"/>
      <c r="X214" s="421"/>
      <c r="Y214" s="200" t="s">
        <v>373</v>
      </c>
      <c r="Z214" s="200">
        <v>43107</v>
      </c>
      <c r="AA214" s="200">
        <v>86</v>
      </c>
      <c r="AB214" s="410">
        <f t="shared" si="48"/>
        <v>1</v>
      </c>
      <c r="AC214" s="409">
        <f t="shared" si="49"/>
        <v>43107</v>
      </c>
      <c r="AD214" s="409">
        <f t="shared" si="50"/>
        <v>86</v>
      </c>
    </row>
    <row r="215" s="408" customFormat="1" ht="31.2" spans="1:30">
      <c r="A215" s="255" t="s">
        <v>230</v>
      </c>
      <c r="B215" s="438" t="s">
        <v>374</v>
      </c>
      <c r="C215" s="429" t="str">
        <f>VLOOKUP(B215,正厂竞争者数据汇总!D:H,2,FALSE)</f>
        <v>Motor目录</v>
      </c>
      <c r="D215" s="421" t="str">
        <f>VLOOKUP(B215,正厂竞争者数据汇总!D:H,3,FALSE)</f>
        <v>CT</v>
      </c>
      <c r="E215" s="430">
        <f>VLOOKUP(B215,正厂竞争者数据汇总!D:H,4,FALSE)</f>
        <v>0</v>
      </c>
      <c r="F215" s="430">
        <f>VLOOKUP(B215,正厂竞争者数据汇总!D:H,5,FALSE)</f>
        <v>5162.7975</v>
      </c>
      <c r="G215" s="430">
        <v>38327.6666666667</v>
      </c>
      <c r="H215" s="430">
        <v>273196.083333333</v>
      </c>
      <c r="I215" s="453"/>
      <c r="J215" s="451">
        <f t="shared" si="51"/>
        <v>0.0293964154613807</v>
      </c>
      <c r="K215" s="451">
        <v>0.0330590517693673</v>
      </c>
      <c r="L215" s="451">
        <v>0.0460389402734023</v>
      </c>
      <c r="M215" s="451"/>
      <c r="N215" s="459"/>
      <c r="O215" s="430"/>
      <c r="P215" s="542" t="str">
        <f>VLOOKUP(B215,正厂竞争者数据汇总!D:M,6,FALSE)</f>
        <v>2023年9月同时经营Audi，Volkswagen，Volvo.计算折算比例：Audi:63%, VW:0%, Volvo:37%.2023年12月，因流量大于5%加入监控</v>
      </c>
      <c r="Q215" s="429"/>
      <c r="R215" s="421"/>
      <c r="S215" s="473">
        <v>1381</v>
      </c>
      <c r="T215" s="473">
        <v>107</v>
      </c>
      <c r="U215" s="466"/>
      <c r="V215" s="466"/>
      <c r="W215" s="421"/>
      <c r="X215" s="421"/>
      <c r="Y215" s="200" t="s">
        <v>374</v>
      </c>
      <c r="Z215" s="200">
        <v>1881</v>
      </c>
      <c r="AA215" s="200">
        <v>105</v>
      </c>
      <c r="AB215" s="410">
        <f t="shared" si="48"/>
        <v>1</v>
      </c>
      <c r="AC215" s="409">
        <f t="shared" si="49"/>
        <v>1881</v>
      </c>
      <c r="AD215" s="409">
        <f t="shared" si="50"/>
        <v>105</v>
      </c>
    </row>
    <row r="216" s="408" customFormat="1" ht="31.2" spans="1:30">
      <c r="A216" s="428" t="s">
        <v>375</v>
      </c>
      <c r="B216" s="438" t="s">
        <v>376</v>
      </c>
      <c r="C216" s="429" t="str">
        <f>VLOOKUP(B216,正厂竞争者数据汇总!D:H,2,FALSE)</f>
        <v>无完整目录，category下放的PD</v>
      </c>
      <c r="D216" s="421" t="str">
        <f>VLOOKUP(B216,正厂竞争者数据汇总!D:H,3,FALSE)</f>
        <v>NY</v>
      </c>
      <c r="E216" s="430">
        <f>VLOOKUP(B216,正厂竞争者数据汇总!D:H,4,FALSE)</f>
        <v>0</v>
      </c>
      <c r="F216" s="430">
        <f>VLOOKUP(B216,正厂竞争者数据汇总!D:H,5,FALSE)</f>
        <v>4394.96449999999</v>
      </c>
      <c r="G216" s="430">
        <v>38329.6666666667</v>
      </c>
      <c r="H216" s="430">
        <v>273198.083333333</v>
      </c>
      <c r="I216" s="453"/>
      <c r="J216" s="451">
        <f t="shared" si="51"/>
        <v>0.0250244566787714</v>
      </c>
      <c r="K216" s="451">
        <v>0.0221165222326161</v>
      </c>
      <c r="L216" s="451">
        <v>0.0128087745251284</v>
      </c>
      <c r="M216" s="451" t="e">
        <f>J216-#REF!</f>
        <v>#REF!</v>
      </c>
      <c r="N216" s="459"/>
      <c r="O216" s="430"/>
      <c r="P216" s="542" t="str">
        <f>VLOOKUP(B216,正厂竞争者数据汇总!D:M,6,FALSE)</f>
        <v>同时经营Audi，BMW、Dodge、Jaguar、Land Rover、Mercedes-Benz、Mini、Porsche、Saab、Volkswagen、Volvo。折算比例：Audi：30.3%，MB：69.7%</v>
      </c>
      <c r="Q216" s="429" t="s">
        <v>180</v>
      </c>
      <c r="R216" s="421" t="s">
        <v>180</v>
      </c>
      <c r="S216" s="473">
        <v>24678</v>
      </c>
      <c r="T216" s="473">
        <v>1702</v>
      </c>
      <c r="U216" s="466"/>
      <c r="V216" s="466"/>
      <c r="W216" s="421"/>
      <c r="X216" s="421"/>
      <c r="Y216" s="200" t="s">
        <v>376</v>
      </c>
      <c r="Z216" s="200">
        <v>23721</v>
      </c>
      <c r="AA216" s="200">
        <v>1471</v>
      </c>
      <c r="AB216" s="410">
        <f t="shared" si="48"/>
        <v>1</v>
      </c>
      <c r="AC216" s="409">
        <f t="shared" si="49"/>
        <v>23721</v>
      </c>
      <c r="AD216" s="409">
        <f t="shared" si="50"/>
        <v>1471</v>
      </c>
    </row>
    <row r="217" s="408" customFormat="1" spans="1:30">
      <c r="A217" s="428" t="s">
        <v>230</v>
      </c>
      <c r="B217" s="438" t="s">
        <v>377</v>
      </c>
      <c r="C217" s="429" t="str">
        <f>VLOOKUP(B217,正厂竞争者数据汇总!D:H,2,FALSE)</f>
        <v>Motor目录</v>
      </c>
      <c r="D217" s="421" t="str">
        <f>VLOOKUP(B217,正厂竞争者数据汇总!D:H,3,FALSE)</f>
        <v>CA</v>
      </c>
      <c r="E217" s="430">
        <f>VLOOKUP(B217,正厂竞争者数据汇总!D:H,4,FALSE)</f>
        <v>0</v>
      </c>
      <c r="F217" s="430">
        <f>VLOOKUP(B217,正厂竞争者数据汇总!D:H,5,FALSE)</f>
        <v>2722</v>
      </c>
      <c r="G217" s="430">
        <v>38327.6666666667</v>
      </c>
      <c r="H217" s="430">
        <v>273196.083333333</v>
      </c>
      <c r="I217" s="453"/>
      <c r="J217" s="451">
        <f t="shared" si="51"/>
        <v>0.0154987761743277</v>
      </c>
      <c r="K217" s="451">
        <v>0.0167648541551634</v>
      </c>
      <c r="L217" s="451">
        <v>0.0199572601091813</v>
      </c>
      <c r="M217" s="451"/>
      <c r="N217" s="459"/>
      <c r="O217" s="430"/>
      <c r="P217" s="542" t="str">
        <f>VLOOKUP(B217,正厂竞争者数据汇总!D:M,6,FALSE)</f>
        <v>2023年9月新增</v>
      </c>
      <c r="Q217" s="429"/>
      <c r="R217" s="421"/>
      <c r="S217" s="473">
        <v>213</v>
      </c>
      <c r="T217" s="473">
        <v>51</v>
      </c>
      <c r="U217" s="466"/>
      <c r="V217" s="466"/>
      <c r="W217" s="421"/>
      <c r="X217" s="421"/>
      <c r="Y217" s="200" t="s">
        <v>377</v>
      </c>
      <c r="Z217" s="200">
        <v>232</v>
      </c>
      <c r="AA217" s="200">
        <v>80</v>
      </c>
      <c r="AB217" s="410">
        <f t="shared" si="48"/>
        <v>1</v>
      </c>
      <c r="AC217" s="409">
        <f t="shared" si="49"/>
        <v>232</v>
      </c>
      <c r="AD217" s="409">
        <f t="shared" si="50"/>
        <v>80</v>
      </c>
    </row>
    <row r="218" s="410" customFormat="1" spans="1:30">
      <c r="A218" s="432"/>
      <c r="B218" s="435"/>
      <c r="C218" s="429"/>
      <c r="D218" s="421"/>
      <c r="E218" s="430"/>
      <c r="F218" s="436"/>
      <c r="G218" s="436">
        <v>335229.333333333</v>
      </c>
      <c r="H218" s="436"/>
      <c r="I218" s="453"/>
      <c r="J218" s="457"/>
      <c r="K218" s="457"/>
      <c r="L218" s="457"/>
      <c r="M218" s="451"/>
      <c r="N218" s="455"/>
      <c r="O218" s="436"/>
      <c r="P218" s="542"/>
      <c r="Q218" s="434"/>
      <c r="R218" s="435"/>
      <c r="S218" s="473" t="s">
        <v>180</v>
      </c>
      <c r="T218" s="473" t="s">
        <v>180</v>
      </c>
      <c r="U218" s="466"/>
      <c r="V218" s="466"/>
      <c r="W218" s="435"/>
      <c r="X218" s="435"/>
      <c r="Y218" s="200" t="s">
        <v>240</v>
      </c>
      <c r="Z218" s="200" t="s">
        <v>180</v>
      </c>
      <c r="AA218" s="200" t="s">
        <v>180</v>
      </c>
      <c r="AB218" s="410">
        <f t="shared" si="48"/>
        <v>0</v>
      </c>
      <c r="AC218" s="409" t="str">
        <f t="shared" si="49"/>
        <v/>
      </c>
      <c r="AD218" s="409" t="str">
        <f t="shared" si="50"/>
        <v/>
      </c>
    </row>
    <row r="219" s="408" customFormat="1" spans="1:30">
      <c r="A219" s="428"/>
      <c r="B219" s="421"/>
      <c r="C219" s="439"/>
      <c r="D219" s="421"/>
      <c r="E219" s="421"/>
      <c r="F219" s="496">
        <f>SUM(F208:F217)</f>
        <v>175626.7701</v>
      </c>
      <c r="G219" s="496"/>
      <c r="H219" s="496">
        <v>377262.166666666</v>
      </c>
      <c r="I219" s="453" t="e">
        <f>(F219/G219)-1</f>
        <v>#DIV/0!</v>
      </c>
      <c r="J219" s="430"/>
      <c r="K219" s="430"/>
      <c r="L219" s="430"/>
      <c r="M219" s="451"/>
      <c r="N219" s="459"/>
      <c r="O219" s="430"/>
      <c r="P219" s="542"/>
      <c r="Q219" s="429"/>
      <c r="R219" s="421"/>
      <c r="S219" s="473" t="s">
        <v>180</v>
      </c>
      <c r="T219" s="473" t="s">
        <v>180</v>
      </c>
      <c r="U219" s="466"/>
      <c r="V219" s="466"/>
      <c r="W219" s="421"/>
      <c r="X219" s="421"/>
      <c r="Y219" s="200" t="s">
        <v>240</v>
      </c>
      <c r="Z219" s="200" t="s">
        <v>180</v>
      </c>
      <c r="AA219" s="200" t="s">
        <v>180</v>
      </c>
      <c r="AB219" s="410">
        <f t="shared" si="48"/>
        <v>0</v>
      </c>
      <c r="AC219" s="409" t="str">
        <f t="shared" si="49"/>
        <v/>
      </c>
      <c r="AD219" s="409" t="str">
        <f t="shared" si="50"/>
        <v/>
      </c>
    </row>
    <row r="220" s="408" customFormat="1" spans="1:30">
      <c r="A220" s="428"/>
      <c r="B220" s="421"/>
      <c r="C220" s="439"/>
      <c r="D220" s="421"/>
      <c r="E220" s="421"/>
      <c r="F220" s="496"/>
      <c r="G220" s="496"/>
      <c r="H220" s="496"/>
      <c r="I220" s="453"/>
      <c r="J220" s="430"/>
      <c r="K220" s="430"/>
      <c r="L220" s="430"/>
      <c r="M220" s="451"/>
      <c r="N220" s="459"/>
      <c r="O220" s="430"/>
      <c r="P220" s="542"/>
      <c r="Q220" s="429"/>
      <c r="R220" s="421"/>
      <c r="S220" s="473" t="s">
        <v>180</v>
      </c>
      <c r="T220" s="473" t="s">
        <v>180</v>
      </c>
      <c r="U220" s="466"/>
      <c r="V220" s="466"/>
      <c r="W220" s="421"/>
      <c r="X220" s="421"/>
      <c r="Y220" s="200" t="s">
        <v>240</v>
      </c>
      <c r="Z220" s="200" t="s">
        <v>180</v>
      </c>
      <c r="AA220" s="200" t="s">
        <v>180</v>
      </c>
      <c r="AB220" s="410">
        <f t="shared" si="48"/>
        <v>0</v>
      </c>
      <c r="AC220" s="409" t="str">
        <f t="shared" si="49"/>
        <v/>
      </c>
      <c r="AD220" s="409" t="str">
        <f t="shared" si="50"/>
        <v/>
      </c>
    </row>
    <row r="221" s="408" customFormat="1" ht="17.4" spans="1:30">
      <c r="A221" s="418" t="s">
        <v>195</v>
      </c>
      <c r="B221" s="419"/>
      <c r="C221" s="420"/>
      <c r="D221" s="421"/>
      <c r="E221" s="422" t="s">
        <v>202</v>
      </c>
      <c r="F221" s="422"/>
      <c r="G221" s="422" t="s">
        <v>212</v>
      </c>
      <c r="H221" s="422"/>
      <c r="I221" s="422"/>
      <c r="J221" s="422"/>
      <c r="K221" s="422"/>
      <c r="L221" s="422"/>
      <c r="M221" s="443"/>
      <c r="N221" s="444"/>
      <c r="O221" s="422"/>
      <c r="P221" s="542"/>
      <c r="Q221" s="465"/>
      <c r="R221" s="424"/>
      <c r="S221" s="473" t="s">
        <v>180</v>
      </c>
      <c r="T221" s="473" t="s">
        <v>180</v>
      </c>
      <c r="U221" s="467"/>
      <c r="V221" s="467"/>
      <c r="W221" s="467"/>
      <c r="X221" s="467"/>
      <c r="Y221" s="200" t="s">
        <v>240</v>
      </c>
      <c r="Z221" s="200" t="s">
        <v>180</v>
      </c>
      <c r="AA221" s="200" t="s">
        <v>180</v>
      </c>
      <c r="AB221" s="410">
        <f t="shared" ref="AB217:AB232" si="52">IF(B221=Y221,1,0)</f>
        <v>0</v>
      </c>
      <c r="AC221" s="409" t="str">
        <f t="shared" ref="AC217:AC232" si="53">IF(Y221="Competitors","Forum Link",Z221)</f>
        <v/>
      </c>
      <c r="AD221" s="409" t="str">
        <f t="shared" ref="AD217:AD232" si="54">IF(Y221="Competitors","Domains",AA221)</f>
        <v/>
      </c>
    </row>
    <row r="222" s="409" customFormat="1" ht="46.8" spans="1:30">
      <c r="A222" s="423" t="s">
        <v>206</v>
      </c>
      <c r="B222" s="424" t="s">
        <v>207</v>
      </c>
      <c r="C222" s="425" t="s">
        <v>208</v>
      </c>
      <c r="D222" s="424" t="s">
        <v>209</v>
      </c>
      <c r="E222" s="426" t="s">
        <v>210</v>
      </c>
      <c r="F222" s="427" t="s">
        <v>211</v>
      </c>
      <c r="G222" s="427">
        <v>116448.583333333</v>
      </c>
      <c r="H222" s="427" t="s">
        <v>213</v>
      </c>
      <c r="I222" s="427" t="s">
        <v>214</v>
      </c>
      <c r="J222" s="446" t="s">
        <v>215</v>
      </c>
      <c r="K222" s="446" t="s">
        <v>216</v>
      </c>
      <c r="L222" s="446" t="s">
        <v>217</v>
      </c>
      <c r="M222" s="447" t="s">
        <v>218</v>
      </c>
      <c r="N222" s="448" t="s">
        <v>219</v>
      </c>
      <c r="O222" s="449" t="s">
        <v>220</v>
      </c>
      <c r="P222" s="543" t="s">
        <v>221</v>
      </c>
      <c r="Q222" s="469" t="s">
        <v>222</v>
      </c>
      <c r="R222" s="426" t="s">
        <v>223</v>
      </c>
      <c r="S222" s="470" t="s">
        <v>224</v>
      </c>
      <c r="T222" s="470" t="s">
        <v>205</v>
      </c>
      <c r="U222" s="467" t="s">
        <v>225</v>
      </c>
      <c r="V222" s="470" t="s">
        <v>226</v>
      </c>
      <c r="W222" s="467"/>
      <c r="X222" s="467"/>
      <c r="Y222" s="200" t="s">
        <v>207</v>
      </c>
      <c r="Z222" s="200" t="s">
        <v>180</v>
      </c>
      <c r="AA222" s="200" t="s">
        <v>180</v>
      </c>
      <c r="AB222" s="410">
        <f t="shared" si="52"/>
        <v>1</v>
      </c>
      <c r="AC222" s="409" t="str">
        <f t="shared" si="53"/>
        <v>Forum Link</v>
      </c>
      <c r="AD222" s="409" t="str">
        <f t="shared" si="54"/>
        <v>Domains</v>
      </c>
    </row>
    <row r="223" s="408" customFormat="1" spans="1:30">
      <c r="A223" s="428" t="s">
        <v>230</v>
      </c>
      <c r="B223" s="421" t="s">
        <v>378</v>
      </c>
      <c r="C223" s="429" t="str">
        <f>VLOOKUP(B223,正厂竞争者数据汇总!D:H,2,FALSE)</f>
        <v>Motor目录</v>
      </c>
      <c r="D223" s="421" t="str">
        <f>VLOOKUP(B223,正厂竞争者数据汇总!D:H,3,FALSE)</f>
        <v>FL</v>
      </c>
      <c r="E223" s="430" t="str">
        <f>VLOOKUP(B222,正厂竞争者数据汇总!D:H,4,FALSE)</f>
        <v>Alexa Traffic Rank</v>
      </c>
      <c r="F223" s="430">
        <f>VLOOKUP(B223,正厂竞争者数据汇总!D:H,5,FALSE)</f>
        <v>67287.7447</v>
      </c>
      <c r="G223" s="430">
        <v>0</v>
      </c>
      <c r="H223" s="430">
        <v>88546.8333333332</v>
      </c>
      <c r="I223" s="453" t="e">
        <f t="shared" ref="I223:I228" si="55">(F223/G223)-1</f>
        <v>#DIV/0!</v>
      </c>
      <c r="J223" s="451">
        <f t="shared" ref="J223:J229" si="56">F223/F$231</f>
        <v>0.411383230869621</v>
      </c>
      <c r="K223" s="451">
        <v>0.457133004183643</v>
      </c>
      <c r="L223" s="451">
        <v>0.464650723685497</v>
      </c>
      <c r="M223" s="451">
        <f>J223-K224</f>
        <v>0.243397860755989</v>
      </c>
      <c r="N223" s="459"/>
      <c r="O223" s="430"/>
      <c r="P223" s="542">
        <f>VLOOKUP(B223,正厂竞争者数据汇总!D:M,6,FALSE)</f>
        <v>0</v>
      </c>
      <c r="Q223" s="429" t="s">
        <v>180</v>
      </c>
      <c r="R223" s="421" t="s">
        <v>180</v>
      </c>
      <c r="S223" s="473">
        <v>2240</v>
      </c>
      <c r="T223" s="473">
        <v>198</v>
      </c>
      <c r="U223" s="466"/>
      <c r="V223" s="466"/>
      <c r="W223" s="421"/>
      <c r="X223" s="421"/>
      <c r="Y223" s="200" t="s">
        <v>378</v>
      </c>
      <c r="Z223" s="200">
        <v>4811</v>
      </c>
      <c r="AA223" s="200">
        <v>246</v>
      </c>
      <c r="AB223" s="410">
        <f t="shared" si="52"/>
        <v>1</v>
      </c>
      <c r="AC223" s="409">
        <f t="shared" si="53"/>
        <v>4811</v>
      </c>
      <c r="AD223" s="409">
        <f t="shared" si="54"/>
        <v>246</v>
      </c>
    </row>
    <row r="224" s="408" customFormat="1" spans="1:30">
      <c r="A224" s="428" t="s">
        <v>230</v>
      </c>
      <c r="B224" s="421" t="s">
        <v>379</v>
      </c>
      <c r="C224" s="429" t="str">
        <f>VLOOKUP(B224,正厂竞争者数据汇总!D:H,2,FALSE)</f>
        <v>Motor目录</v>
      </c>
      <c r="D224" s="421" t="str">
        <f>VLOOKUP(B224,正厂竞争者数据汇总!D:H,3,FALSE)</f>
        <v>FL</v>
      </c>
      <c r="E224" s="430">
        <f>VLOOKUP(B228,正厂竞争者数据汇总!D:H,4,FALSE)</f>
        <v>0</v>
      </c>
      <c r="F224" s="430">
        <f>VLOOKUP(B224,正厂竞争者数据汇总!D:H,5,FALSE)</f>
        <v>24481.8333333334</v>
      </c>
      <c r="G224" s="430">
        <v>4</v>
      </c>
      <c r="H224" s="430">
        <v>88550.8333333332</v>
      </c>
      <c r="I224" s="453">
        <f t="shared" si="55"/>
        <v>6119.45833333335</v>
      </c>
      <c r="J224" s="451">
        <f t="shared" si="56"/>
        <v>0.149676820633257</v>
      </c>
      <c r="K224" s="451">
        <v>0.167985370113632</v>
      </c>
      <c r="L224" s="451">
        <v>0.15371119084675</v>
      </c>
      <c r="M224" s="451"/>
      <c r="N224" s="459"/>
      <c r="O224" s="430"/>
      <c r="P224" s="542" t="str">
        <f>VLOOKUP(B224,正厂竞争者数据汇总!D:M,6,FALSE)</f>
        <v>2023年9月新增</v>
      </c>
      <c r="Q224" s="429" t="s">
        <v>180</v>
      </c>
      <c r="R224" s="421" t="s">
        <v>180</v>
      </c>
      <c r="S224" s="473">
        <v>77963</v>
      </c>
      <c r="T224" s="473">
        <v>85</v>
      </c>
      <c r="U224" s="466"/>
      <c r="V224" s="466"/>
      <c r="W224" s="421"/>
      <c r="X224" s="421"/>
      <c r="Y224" s="200" t="s">
        <v>379</v>
      </c>
      <c r="Z224" s="200">
        <v>79039</v>
      </c>
      <c r="AA224" s="200">
        <v>128</v>
      </c>
      <c r="AB224" s="410">
        <f t="shared" si="52"/>
        <v>1</v>
      </c>
      <c r="AC224" s="409">
        <f t="shared" si="53"/>
        <v>79039</v>
      </c>
      <c r="AD224" s="409">
        <f t="shared" si="54"/>
        <v>128</v>
      </c>
    </row>
    <row r="225" s="408" customFormat="1" spans="1:30">
      <c r="A225" s="428" t="s">
        <v>230</v>
      </c>
      <c r="B225" s="421" t="s">
        <v>380</v>
      </c>
      <c r="C225" s="429" t="str">
        <f>VLOOKUP(B225,正厂竞争者数据汇总!D:H,2,FALSE)</f>
        <v>Motor目录</v>
      </c>
      <c r="D225" s="421" t="str">
        <f>VLOOKUP(B225,正厂竞争者数据汇总!D:H,3,FALSE)</f>
        <v>FL</v>
      </c>
      <c r="E225" s="430">
        <f>VLOOKUP(B223,正厂竞争者数据汇总!D:H,4,FALSE)</f>
        <v>0</v>
      </c>
      <c r="F225" s="430">
        <f>VLOOKUP(B225,正厂竞争者数据汇总!D:H,5,FALSE)</f>
        <v>24315.8703</v>
      </c>
      <c r="G225" s="430">
        <v>1</v>
      </c>
      <c r="H225" s="430">
        <v>88547.8333333332</v>
      </c>
      <c r="I225" s="453">
        <f t="shared" si="55"/>
        <v>24314.8703</v>
      </c>
      <c r="J225" s="451">
        <f t="shared" si="56"/>
        <v>0.148662157277218</v>
      </c>
      <c r="K225" s="451">
        <v>0.101571367434644</v>
      </c>
      <c r="L225" s="451">
        <v>0.111616841204424</v>
      </c>
      <c r="M225" s="451"/>
      <c r="N225" s="459"/>
      <c r="O225" s="430"/>
      <c r="P225" s="542"/>
      <c r="Q225" s="429"/>
      <c r="R225" s="421"/>
      <c r="S225" s="473">
        <v>871</v>
      </c>
      <c r="T225" s="473">
        <v>169</v>
      </c>
      <c r="U225" s="466"/>
      <c r="V225" s="466"/>
      <c r="W225" s="421"/>
      <c r="X225" s="421"/>
      <c r="Y225" s="200" t="s">
        <v>380</v>
      </c>
      <c r="Z225" s="200">
        <v>974</v>
      </c>
      <c r="AA225" s="200">
        <v>209</v>
      </c>
      <c r="AB225" s="410">
        <f t="shared" si="52"/>
        <v>1</v>
      </c>
      <c r="AC225" s="409">
        <f t="shared" si="53"/>
        <v>974</v>
      </c>
      <c r="AD225" s="409">
        <f t="shared" si="54"/>
        <v>209</v>
      </c>
    </row>
    <row r="226" s="408" customFormat="1" spans="1:30">
      <c r="A226" s="428" t="s">
        <v>230</v>
      </c>
      <c r="B226" s="421" t="s">
        <v>381</v>
      </c>
      <c r="C226" s="429" t="str">
        <f>VLOOKUP(B226,正厂竞争者数据汇总!D:H,2,FALSE)</f>
        <v>Motor目录</v>
      </c>
      <c r="D226" s="421" t="str">
        <f>VLOOKUP(B226,正厂竞争者数据汇总!D:H,3,FALSE)</f>
        <v>CA</v>
      </c>
      <c r="E226" s="430">
        <f>VLOOKUP(B225,正厂竞争者数据汇总!D:H,4,FALSE)</f>
        <v>0</v>
      </c>
      <c r="F226" s="430">
        <f>VLOOKUP(B226,正厂竞争者数据汇总!D:H,5,FALSE)</f>
        <v>14583.5833333333</v>
      </c>
      <c r="G226" s="430">
        <v>2</v>
      </c>
      <c r="H226" s="430">
        <v>88548.8333333332</v>
      </c>
      <c r="I226" s="453">
        <f t="shared" si="55"/>
        <v>7290.79166666665</v>
      </c>
      <c r="J226" s="451">
        <f t="shared" si="56"/>
        <v>0.089160985497007</v>
      </c>
      <c r="K226" s="451">
        <v>0.0741850532746124</v>
      </c>
      <c r="L226" s="451">
        <v>0.0695466121332042</v>
      </c>
      <c r="M226" s="451"/>
      <c r="N226" s="459"/>
      <c r="O226" s="430"/>
      <c r="P226" s="542"/>
      <c r="Q226" s="429"/>
      <c r="R226" s="421"/>
      <c r="S226" s="473">
        <v>416</v>
      </c>
      <c r="T226" s="473">
        <v>91</v>
      </c>
      <c r="U226" s="466"/>
      <c r="V226" s="466"/>
      <c r="W226" s="421"/>
      <c r="X226" s="421"/>
      <c r="Y226" s="200" t="s">
        <v>381</v>
      </c>
      <c r="Z226" s="200">
        <v>342</v>
      </c>
      <c r="AA226" s="200">
        <v>78</v>
      </c>
      <c r="AB226" s="410">
        <f t="shared" si="52"/>
        <v>1</v>
      </c>
      <c r="AC226" s="409">
        <f t="shared" si="53"/>
        <v>342</v>
      </c>
      <c r="AD226" s="409">
        <f t="shared" si="54"/>
        <v>78</v>
      </c>
    </row>
    <row r="227" s="408" customFormat="1" spans="1:30">
      <c r="A227" s="428" t="s">
        <v>230</v>
      </c>
      <c r="B227" s="421" t="s">
        <v>382</v>
      </c>
      <c r="C227" s="429" t="str">
        <f>VLOOKUP(B227,正厂竞争者数据汇总!D:H,2,FALSE)</f>
        <v>Motor目录</v>
      </c>
      <c r="D227" s="421" t="str">
        <f>VLOOKUP(B227,正厂竞争者数据汇总!D:H,3,FALSE)</f>
        <v>NJ</v>
      </c>
      <c r="E227" s="430">
        <f>VLOOKUP(B224,正厂竞争者数据汇总!D:H,4,FALSE)</f>
        <v>0</v>
      </c>
      <c r="F227" s="430">
        <f>VLOOKUP(B227,正厂竞争者数据汇总!D:H,5,FALSE)</f>
        <v>13328.9719393333</v>
      </c>
      <c r="G227" s="430">
        <v>5</v>
      </c>
      <c r="H227" s="430">
        <v>88551.8333333332</v>
      </c>
      <c r="I227" s="453">
        <f t="shared" si="55"/>
        <v>2664.79438786666</v>
      </c>
      <c r="J227" s="451">
        <f t="shared" si="56"/>
        <v>0.0814905532206588</v>
      </c>
      <c r="K227" s="451">
        <v>0.0678578556425515</v>
      </c>
      <c r="L227" s="451">
        <v>0.0674501564424137</v>
      </c>
      <c r="M227" s="451"/>
      <c r="N227" s="459"/>
      <c r="O227" s="430"/>
      <c r="P227" s="542" t="str">
        <f>VLOOKUP(B227,正厂竞争者数据汇总!D:M,6,FALSE)</f>
        <v>2023年9月新增</v>
      </c>
      <c r="Q227" s="429" t="s">
        <v>180</v>
      </c>
      <c r="R227" s="421" t="s">
        <v>180</v>
      </c>
      <c r="S227" s="473">
        <v>167105</v>
      </c>
      <c r="T227" s="473">
        <v>208</v>
      </c>
      <c r="U227" s="466"/>
      <c r="V227" s="466"/>
      <c r="W227" s="421"/>
      <c r="X227" s="421"/>
      <c r="Y227" s="200" t="s">
        <v>382</v>
      </c>
      <c r="Z227" s="200">
        <v>145396</v>
      </c>
      <c r="AA227" s="200">
        <v>239</v>
      </c>
      <c r="AB227" s="410">
        <f t="shared" si="52"/>
        <v>1</v>
      </c>
      <c r="AC227" s="409">
        <f t="shared" si="53"/>
        <v>145396</v>
      </c>
      <c r="AD227" s="409">
        <f t="shared" si="54"/>
        <v>239</v>
      </c>
    </row>
    <row r="228" s="408" customFormat="1" spans="1:30">
      <c r="A228" s="428" t="s">
        <v>325</v>
      </c>
      <c r="B228" s="421" t="s">
        <v>383</v>
      </c>
      <c r="C228" s="429" t="str">
        <f>VLOOKUP(B228,正厂竞争者数据汇总!D:H,2,FALSE)</f>
        <v>Motor目录</v>
      </c>
      <c r="D228" s="421" t="str">
        <f>VLOOKUP(B228,正厂竞争者数据汇总!D:H,3,FALSE)</f>
        <v>CA</v>
      </c>
      <c r="E228" s="430">
        <f>VLOOKUP(B226,正厂竞争者数据汇总!D:H,4,FALSE)</f>
        <v>0</v>
      </c>
      <c r="F228" s="430">
        <f>VLOOKUP(B228,正厂竞争者数据汇总!D:H,5,FALSE)</f>
        <v>12766.1367</v>
      </c>
      <c r="G228" s="430">
        <v>3</v>
      </c>
      <c r="H228" s="430">
        <v>88549.8333333332</v>
      </c>
      <c r="I228" s="453">
        <f t="shared" si="55"/>
        <v>4254.3789</v>
      </c>
      <c r="J228" s="451">
        <f t="shared" si="56"/>
        <v>0.0780494960082864</v>
      </c>
      <c r="K228" s="451">
        <v>0.079931886269706</v>
      </c>
      <c r="L228" s="451">
        <v>0.108643273010051</v>
      </c>
      <c r="M228" s="451"/>
      <c r="N228" s="459"/>
      <c r="O228" s="430"/>
      <c r="P228" s="542"/>
      <c r="Q228" s="429"/>
      <c r="R228" s="421"/>
      <c r="S228" s="473">
        <v>226</v>
      </c>
      <c r="T228" s="473">
        <v>39</v>
      </c>
      <c r="U228" s="466"/>
      <c r="V228" s="466"/>
      <c r="W228" s="421"/>
      <c r="X228" s="421"/>
      <c r="Y228" s="200" t="s">
        <v>383</v>
      </c>
      <c r="Z228" s="200">
        <v>249</v>
      </c>
      <c r="AA228" s="200">
        <v>36</v>
      </c>
      <c r="AB228" s="410">
        <f t="shared" si="52"/>
        <v>1</v>
      </c>
      <c r="AC228" s="409">
        <f t="shared" si="53"/>
        <v>249</v>
      </c>
      <c r="AD228" s="409">
        <f t="shared" si="54"/>
        <v>36</v>
      </c>
    </row>
    <row r="229" s="408" customFormat="1" spans="1:30">
      <c r="A229" s="428" t="s">
        <v>230</v>
      </c>
      <c r="B229" s="421" t="s">
        <v>384</v>
      </c>
      <c r="C229" s="255" t="s">
        <v>351</v>
      </c>
      <c r="D229" s="270" t="s">
        <v>49</v>
      </c>
      <c r="E229" s="430"/>
      <c r="F229" s="430">
        <f>VLOOKUP(B229,正厂竞争者数据汇总!D:H,5,FALSE)</f>
        <v>6800.48666666667</v>
      </c>
      <c r="G229" s="430"/>
      <c r="H229" s="430"/>
      <c r="I229" s="453"/>
      <c r="J229" s="451">
        <f t="shared" si="56"/>
        <v>0.0415767564939521</v>
      </c>
      <c r="K229" s="451">
        <v>0.0513354630812105</v>
      </c>
      <c r="L229" s="451">
        <v>0.0243812026776594</v>
      </c>
      <c r="M229" s="451"/>
      <c r="N229" s="459"/>
      <c r="O229" s="430"/>
      <c r="P229" s="542"/>
      <c r="Q229" s="429"/>
      <c r="R229" s="421"/>
      <c r="S229" s="473">
        <v>143</v>
      </c>
      <c r="T229" s="473">
        <v>58</v>
      </c>
      <c r="U229" s="466"/>
      <c r="V229" s="466"/>
      <c r="W229" s="421"/>
      <c r="X229" s="421"/>
      <c r="Y229" s="200" t="s">
        <v>384</v>
      </c>
      <c r="Z229" s="200">
        <v>150</v>
      </c>
      <c r="AA229" s="200">
        <v>66</v>
      </c>
      <c r="AB229" s="410">
        <f t="shared" si="52"/>
        <v>1</v>
      </c>
      <c r="AC229" s="409">
        <f t="shared" si="53"/>
        <v>150</v>
      </c>
      <c r="AD229" s="409">
        <f t="shared" si="54"/>
        <v>66</v>
      </c>
    </row>
    <row r="230" s="408" customFormat="1" spans="1:30">
      <c r="A230" s="428"/>
      <c r="B230" s="421"/>
      <c r="C230" s="429"/>
      <c r="D230" s="421"/>
      <c r="E230" s="430"/>
      <c r="F230" s="430"/>
      <c r="G230" s="430"/>
      <c r="H230" s="430"/>
      <c r="I230" s="453"/>
      <c r="J230" s="451"/>
      <c r="K230" s="451"/>
      <c r="L230" s="451"/>
      <c r="M230" s="451"/>
      <c r="N230" s="459"/>
      <c r="O230" s="430"/>
      <c r="P230" s="542"/>
      <c r="Q230" s="429"/>
      <c r="R230" s="421"/>
      <c r="S230" s="473" t="s">
        <v>180</v>
      </c>
      <c r="T230" s="473" t="s">
        <v>180</v>
      </c>
      <c r="U230" s="466"/>
      <c r="V230" s="466"/>
      <c r="W230" s="421"/>
      <c r="X230" s="421"/>
      <c r="Y230" s="200" t="s">
        <v>240</v>
      </c>
      <c r="Z230" s="200" t="s">
        <v>180</v>
      </c>
      <c r="AA230" s="200" t="s">
        <v>180</v>
      </c>
      <c r="AB230" s="410">
        <f t="shared" si="52"/>
        <v>0</v>
      </c>
      <c r="AC230" s="409" t="str">
        <f t="shared" si="53"/>
        <v/>
      </c>
      <c r="AD230" s="409" t="str">
        <f t="shared" si="54"/>
        <v/>
      </c>
    </row>
    <row r="231" s="408" customFormat="1" spans="1:30">
      <c r="A231" s="428"/>
      <c r="B231" s="421"/>
      <c r="C231" s="439"/>
      <c r="D231" s="421"/>
      <c r="E231" s="430"/>
      <c r="F231" s="430">
        <f>SUM(F223:F229)</f>
        <v>163564.626972667</v>
      </c>
      <c r="G231" s="430"/>
      <c r="H231" s="430">
        <v>88546.8333333332</v>
      </c>
      <c r="I231" s="453" t="e">
        <f>(F231/G231)-1</f>
        <v>#DIV/0!</v>
      </c>
      <c r="J231" s="430"/>
      <c r="K231" s="430"/>
      <c r="L231" s="430"/>
      <c r="M231" s="451"/>
      <c r="N231" s="459"/>
      <c r="O231" s="430"/>
      <c r="P231" s="542"/>
      <c r="Q231" s="429"/>
      <c r="R231" s="421"/>
      <c r="S231" s="473" t="s">
        <v>180</v>
      </c>
      <c r="T231" s="473" t="s">
        <v>180</v>
      </c>
      <c r="U231" s="466"/>
      <c r="V231" s="466"/>
      <c r="W231" s="421"/>
      <c r="X231" s="421"/>
      <c r="Y231" s="200" t="s">
        <v>240</v>
      </c>
      <c r="Z231" s="200" t="s">
        <v>180</v>
      </c>
      <c r="AA231" s="200" t="s">
        <v>180</v>
      </c>
      <c r="AB231" s="410">
        <f t="shared" si="52"/>
        <v>0</v>
      </c>
      <c r="AC231" s="409" t="str">
        <f t="shared" si="53"/>
        <v/>
      </c>
      <c r="AD231" s="409" t="str">
        <f t="shared" si="54"/>
        <v/>
      </c>
    </row>
    <row r="232" s="408" customFormat="1" spans="1:30">
      <c r="A232" s="423"/>
      <c r="B232" s="421"/>
      <c r="C232" s="425"/>
      <c r="D232" s="421"/>
      <c r="E232" s="430"/>
      <c r="F232" s="430"/>
      <c r="G232" s="430"/>
      <c r="H232" s="430"/>
      <c r="I232" s="453"/>
      <c r="J232" s="430"/>
      <c r="K232" s="430"/>
      <c r="L232" s="430"/>
      <c r="M232" s="451"/>
      <c r="N232" s="459"/>
      <c r="O232" s="430"/>
      <c r="P232" s="542"/>
      <c r="Q232" s="429"/>
      <c r="R232" s="421"/>
      <c r="S232" s="473" t="s">
        <v>180</v>
      </c>
      <c r="T232" s="473" t="s">
        <v>180</v>
      </c>
      <c r="U232" s="466"/>
      <c r="V232" s="466"/>
      <c r="W232" s="421"/>
      <c r="X232" s="421"/>
      <c r="Y232" s="200" t="s">
        <v>240</v>
      </c>
      <c r="Z232" s="200" t="s">
        <v>180</v>
      </c>
      <c r="AA232" s="200" t="s">
        <v>180</v>
      </c>
      <c r="AB232" s="410">
        <f t="shared" si="52"/>
        <v>0</v>
      </c>
      <c r="AC232" s="409" t="str">
        <f t="shared" si="53"/>
        <v/>
      </c>
      <c r="AD232" s="409" t="str">
        <f t="shared" si="54"/>
        <v/>
      </c>
    </row>
    <row r="233" s="408" customFormat="1" spans="3:27">
      <c r="C233" s="411"/>
      <c r="F233" s="502"/>
      <c r="G233" s="502"/>
      <c r="H233" s="502"/>
      <c r="I233" s="502"/>
      <c r="J233" s="412"/>
      <c r="K233" s="412"/>
      <c r="L233" s="412"/>
      <c r="M233" s="413"/>
      <c r="N233" s="414"/>
      <c r="O233" s="412"/>
      <c r="P233" s="541"/>
      <c r="U233" s="416"/>
      <c r="V233" s="416"/>
      <c r="Y233" s="200"/>
      <c r="Z233" s="200" t="s">
        <v>180</v>
      </c>
      <c r="AA233" s="200" t="s">
        <v>180</v>
      </c>
    </row>
    <row r="234" s="408" customFormat="1" spans="3:27">
      <c r="C234" s="411"/>
      <c r="E234" s="412"/>
      <c r="F234" s="412"/>
      <c r="G234" s="412"/>
      <c r="H234" s="412"/>
      <c r="I234" s="412"/>
      <c r="J234" s="412"/>
      <c r="K234" s="412"/>
      <c r="L234" s="412"/>
      <c r="M234" s="413"/>
      <c r="N234" s="414"/>
      <c r="O234" s="412"/>
      <c r="P234" s="545"/>
      <c r="U234" s="416"/>
      <c r="V234" s="416"/>
      <c r="Y234" s="200"/>
      <c r="Z234" s="200" t="s">
        <v>180</v>
      </c>
      <c r="AA234" s="200" t="s">
        <v>180</v>
      </c>
    </row>
    <row r="235" s="408" customFormat="1" spans="3:27">
      <c r="C235" s="411"/>
      <c r="F235" s="412"/>
      <c r="G235" s="412"/>
      <c r="H235" s="412"/>
      <c r="I235" s="412"/>
      <c r="J235" s="412"/>
      <c r="K235" s="412"/>
      <c r="L235" s="412"/>
      <c r="M235" s="413"/>
      <c r="N235" s="414"/>
      <c r="O235" s="412"/>
      <c r="P235" s="541"/>
      <c r="U235" s="416"/>
      <c r="V235" s="416"/>
      <c r="Y235" s="200"/>
      <c r="Z235" s="200" t="s">
        <v>180</v>
      </c>
      <c r="AA235" s="200" t="s">
        <v>180</v>
      </c>
    </row>
    <row r="236" s="408" customFormat="1" spans="3:27">
      <c r="C236" s="411"/>
      <c r="F236" s="412"/>
      <c r="G236" s="412"/>
      <c r="H236" s="412"/>
      <c r="I236" s="412"/>
      <c r="J236" s="412"/>
      <c r="K236" s="412"/>
      <c r="L236" s="412"/>
      <c r="M236" s="413"/>
      <c r="N236" s="414"/>
      <c r="O236" s="412"/>
      <c r="P236" s="541"/>
      <c r="U236" s="416"/>
      <c r="V236" s="416"/>
      <c r="Y236" s="200"/>
      <c r="Z236" s="200" t="s">
        <v>180</v>
      </c>
      <c r="AA236" s="200" t="s">
        <v>180</v>
      </c>
    </row>
    <row r="237" s="408" customFormat="1" spans="3:27">
      <c r="C237" s="411"/>
      <c r="F237" s="412"/>
      <c r="G237" s="412"/>
      <c r="H237" s="412"/>
      <c r="I237" s="412"/>
      <c r="J237" s="412"/>
      <c r="K237" s="412"/>
      <c r="L237" s="412"/>
      <c r="M237" s="413"/>
      <c r="N237" s="414"/>
      <c r="O237" s="412"/>
      <c r="P237" s="541"/>
      <c r="U237" s="416"/>
      <c r="V237" s="416"/>
      <c r="Y237" s="200"/>
      <c r="Z237" s="200" t="s">
        <v>180</v>
      </c>
      <c r="AA237" s="200" t="s">
        <v>180</v>
      </c>
    </row>
    <row r="238" s="408" customFormat="1" spans="3:27">
      <c r="C238" s="411"/>
      <c r="F238" s="412"/>
      <c r="G238" s="412"/>
      <c r="H238" s="412"/>
      <c r="I238" s="412"/>
      <c r="J238" s="412"/>
      <c r="K238" s="412"/>
      <c r="L238" s="412"/>
      <c r="M238" s="413"/>
      <c r="N238" s="414"/>
      <c r="O238" s="412"/>
      <c r="P238" s="541"/>
      <c r="U238" s="416"/>
      <c r="V238" s="416"/>
      <c r="Y238" s="200"/>
      <c r="Z238" s="200" t="s">
        <v>180</v>
      </c>
      <c r="AA238" s="200" t="s">
        <v>180</v>
      </c>
    </row>
    <row r="239" s="408" customFormat="1" spans="3:27">
      <c r="C239" s="411"/>
      <c r="F239" s="412"/>
      <c r="G239" s="412"/>
      <c r="H239" s="412"/>
      <c r="I239" s="412"/>
      <c r="J239" s="412"/>
      <c r="K239" s="412"/>
      <c r="L239" s="412"/>
      <c r="M239" s="413"/>
      <c r="N239" s="414"/>
      <c r="O239" s="412"/>
      <c r="P239" s="541"/>
      <c r="U239" s="416"/>
      <c r="V239" s="416"/>
      <c r="Y239" s="200"/>
      <c r="Z239" s="200" t="s">
        <v>180</v>
      </c>
      <c r="AA239" s="200" t="s">
        <v>180</v>
      </c>
    </row>
    <row r="240" s="408" customFormat="1" spans="3:27">
      <c r="C240" s="411"/>
      <c r="F240" s="412"/>
      <c r="G240" s="412"/>
      <c r="H240" s="412"/>
      <c r="I240" s="412"/>
      <c r="J240" s="412"/>
      <c r="K240" s="412"/>
      <c r="L240" s="412"/>
      <c r="M240" s="413"/>
      <c r="N240" s="414"/>
      <c r="O240" s="412"/>
      <c r="P240" s="541"/>
      <c r="U240" s="416"/>
      <c r="V240" s="416"/>
      <c r="Y240" s="200"/>
      <c r="Z240" s="200" t="s">
        <v>180</v>
      </c>
      <c r="AA240" s="200" t="s">
        <v>180</v>
      </c>
    </row>
    <row r="241" s="408" customFormat="1" spans="3:27">
      <c r="C241" s="411"/>
      <c r="F241" s="412"/>
      <c r="G241" s="412"/>
      <c r="H241" s="412"/>
      <c r="I241" s="412"/>
      <c r="J241" s="412"/>
      <c r="K241" s="412"/>
      <c r="L241" s="412"/>
      <c r="M241" s="413"/>
      <c r="N241" s="414"/>
      <c r="O241" s="412"/>
      <c r="P241" s="541"/>
      <c r="U241" s="416"/>
      <c r="V241" s="416"/>
      <c r="Y241" s="200"/>
      <c r="Z241" s="200" t="s">
        <v>180</v>
      </c>
      <c r="AA241" s="200" t="s">
        <v>180</v>
      </c>
    </row>
    <row r="242" s="408" customFormat="1" spans="3:27">
      <c r="C242" s="411"/>
      <c r="F242" s="412"/>
      <c r="G242" s="412"/>
      <c r="H242" s="412"/>
      <c r="I242" s="412"/>
      <c r="J242" s="412"/>
      <c r="K242" s="412"/>
      <c r="L242" s="412"/>
      <c r="M242" s="413"/>
      <c r="N242" s="414"/>
      <c r="O242" s="412"/>
      <c r="P242" s="541"/>
      <c r="U242" s="416"/>
      <c r="V242" s="416"/>
      <c r="Y242" s="200"/>
      <c r="Z242" s="200" t="s">
        <v>180</v>
      </c>
      <c r="AA242" s="200" t="s">
        <v>180</v>
      </c>
    </row>
    <row r="243" s="408" customFormat="1" spans="3:27">
      <c r="C243" s="411"/>
      <c r="F243" s="412"/>
      <c r="G243" s="412"/>
      <c r="H243" s="412"/>
      <c r="I243" s="412"/>
      <c r="J243" s="412"/>
      <c r="K243" s="412"/>
      <c r="L243" s="412"/>
      <c r="M243" s="413"/>
      <c r="N243" s="414"/>
      <c r="O243" s="412"/>
      <c r="P243" s="541"/>
      <c r="U243" s="416"/>
      <c r="V243" s="416"/>
      <c r="Y243" s="200"/>
      <c r="Z243" s="200" t="s">
        <v>180</v>
      </c>
      <c r="AA243" s="200" t="s">
        <v>180</v>
      </c>
    </row>
    <row r="244" s="408" customFormat="1" spans="3:27">
      <c r="C244" s="411"/>
      <c r="F244" s="412"/>
      <c r="G244" s="412"/>
      <c r="H244" s="412"/>
      <c r="I244" s="412"/>
      <c r="J244" s="412"/>
      <c r="K244" s="412"/>
      <c r="L244" s="412"/>
      <c r="M244" s="413"/>
      <c r="N244" s="414"/>
      <c r="O244" s="412"/>
      <c r="P244" s="541"/>
      <c r="U244" s="416"/>
      <c r="V244" s="416"/>
      <c r="Y244" s="200"/>
      <c r="Z244" s="200" t="s">
        <v>180</v>
      </c>
      <c r="AA244" s="200" t="s">
        <v>180</v>
      </c>
    </row>
    <row r="245" s="411" customFormat="1" spans="1:27">
      <c r="A245" s="408"/>
      <c r="B245" s="503"/>
      <c r="D245" s="408"/>
      <c r="E245" s="408"/>
      <c r="F245" s="412"/>
      <c r="G245" s="412"/>
      <c r="H245" s="412"/>
      <c r="I245" s="412"/>
      <c r="J245" s="412"/>
      <c r="K245" s="412"/>
      <c r="L245" s="412"/>
      <c r="M245" s="413"/>
      <c r="N245" s="414"/>
      <c r="O245" s="412"/>
      <c r="P245" s="541"/>
      <c r="Q245" s="408"/>
      <c r="R245" s="408"/>
      <c r="S245" s="408"/>
      <c r="T245" s="408"/>
      <c r="U245" s="416"/>
      <c r="V245" s="416"/>
      <c r="W245" s="408"/>
      <c r="X245" s="408"/>
      <c r="Y245" s="200"/>
      <c r="Z245" s="200" t="s">
        <v>180</v>
      </c>
      <c r="AA245" s="200" t="s">
        <v>180</v>
      </c>
    </row>
  </sheetData>
  <mergeCells count="19">
    <mergeCell ref="V1:X1"/>
    <mergeCell ref="V13:X13"/>
    <mergeCell ref="V25:X25"/>
    <mergeCell ref="V37:X37"/>
    <mergeCell ref="V51:X51"/>
    <mergeCell ref="V62:X62"/>
    <mergeCell ref="V72:X72"/>
    <mergeCell ref="V82:X82"/>
    <mergeCell ref="V96:X96"/>
    <mergeCell ref="V108:X108"/>
    <mergeCell ref="V121:X121"/>
    <mergeCell ref="V133:X133"/>
    <mergeCell ref="V144:X144"/>
    <mergeCell ref="V154:X154"/>
    <mergeCell ref="V169:X169"/>
    <mergeCell ref="V184:X184"/>
    <mergeCell ref="V194:X194"/>
    <mergeCell ref="V206:X206"/>
    <mergeCell ref="V221:X221"/>
  </mergeCells>
  <conditionalFormatting sqref="M3">
    <cfRule type="dataBar" priority="1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{5f0fb2e4-f165-4a81-b843-cd9a40837285}</x14:id>
        </ext>
      </extLst>
    </cfRule>
  </conditionalFormatting>
  <conditionalFormatting sqref="M15">
    <cfRule type="dataBar" priority="1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{1782d2b2-135e-4753-bea6-37de7f8ad1c6}</x14:id>
        </ext>
      </extLst>
    </cfRule>
  </conditionalFormatting>
  <conditionalFormatting sqref="I27">
    <cfRule type="dataBar" priority="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{ac5aafbd-e488-424e-8703-bc095867bae5}</x14:id>
        </ext>
      </extLst>
    </cfRule>
  </conditionalFormatting>
  <conditionalFormatting sqref="M27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{8e2d1d7d-8bac-46f5-af57-dbd81beedec5}</x14:id>
        </ext>
      </extLst>
    </cfRule>
  </conditionalFormatting>
  <conditionalFormatting sqref="M34">
    <cfRule type="dataBar" priority="1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{65cd5f3a-27f0-4081-aa10-402bc79c793a}</x14:id>
        </ext>
      </extLst>
    </cfRule>
  </conditionalFormatting>
  <conditionalFormatting sqref="M39">
    <cfRule type="dataBar" priority="1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{af2012b8-7e82-43e8-bb72-09c68984331d}</x14:id>
        </ext>
      </extLst>
    </cfRule>
  </conditionalFormatting>
  <conditionalFormatting sqref="M53">
    <cfRule type="dataBar" priority="1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{cc391d8d-5062-4499-ad38-3571e05dc7da}</x14:id>
        </ext>
      </extLst>
    </cfRule>
  </conditionalFormatting>
  <conditionalFormatting sqref="M64">
    <cfRule type="dataBar" priority="1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{36614b95-0ac3-4374-8408-194a397a8c92}</x14:id>
        </ext>
      </extLst>
    </cfRule>
  </conditionalFormatting>
  <conditionalFormatting sqref="M74">
    <cfRule type="dataBar" priority="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{2d34e486-14f0-4229-b135-823ce8f5b490}</x14:id>
        </ext>
      </extLst>
    </cfRule>
  </conditionalFormatting>
  <conditionalFormatting sqref="I7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{cdb5dd31-a7cc-4ef0-a80e-77be23ca61c0}</x14:id>
        </ext>
      </extLst>
    </cfRule>
  </conditionalFormatting>
  <conditionalFormatting sqref="M84">
    <cfRule type="dataBar" priority="1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{2006d3d5-1341-4254-bfce-e37557232d9e}</x14:id>
        </ext>
      </extLst>
    </cfRule>
  </conditionalFormatting>
  <conditionalFormatting sqref="I9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{9a0f13af-1d01-4816-8a4c-d826631d2be9}</x14:id>
        </ext>
      </extLst>
    </cfRule>
  </conditionalFormatting>
  <conditionalFormatting sqref="M98">
    <cfRule type="dataBar" priority="1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{8c05c838-684f-4746-8de2-fd980efd5360}</x14:id>
        </ext>
      </extLst>
    </cfRule>
  </conditionalFormatting>
  <conditionalFormatting sqref="I99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{c967ecff-6be6-46f0-8acc-f7815739b603}</x14:id>
        </ext>
      </extLst>
    </cfRule>
  </conditionalFormatting>
  <conditionalFormatting sqref="M99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{67d6c70a-be86-4511-bc1e-5f3e45cb879a}</x14:id>
        </ext>
      </extLst>
    </cfRule>
  </conditionalFormatting>
  <conditionalFormatting sqref="M110">
    <cfRule type="dataBar" priority="1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{dc88abf9-fbd4-4db1-85a5-487ae8c8821f}</x14:id>
        </ext>
      </extLst>
    </cfRule>
  </conditionalFormatting>
  <conditionalFormatting sqref="I123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{6e5c7561-8724-4861-859c-53a8f03c6cbc}</x14:id>
        </ext>
      </extLst>
    </cfRule>
  </conditionalFormatting>
  <conditionalFormatting sqref="M123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{54e08ff7-2035-4ad3-9296-b919c57b8cfc}</x14:id>
        </ext>
      </extLst>
    </cfRule>
  </conditionalFormatting>
  <conditionalFormatting sqref="M125">
    <cfRule type="dataBar" priority="1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{90a58014-02b6-4ae0-a69b-ed34793144cc}</x14:id>
        </ext>
      </extLst>
    </cfRule>
  </conditionalFormatting>
  <conditionalFormatting sqref="M135">
    <cfRule type="dataBar" priority="1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{eb97bce1-0b3e-4765-b961-e1d1936d5166}</x14:id>
        </ext>
      </extLst>
    </cfRule>
  </conditionalFormatting>
  <conditionalFormatting sqref="M146">
    <cfRule type="dataBar" priority="1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{3646bc17-399a-4ddf-89dc-308bfe3598b3}</x14:id>
        </ext>
      </extLst>
    </cfRule>
  </conditionalFormatting>
  <conditionalFormatting sqref="I4:I9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{f946f37b-2d5b-413e-b186-8338e56eb0b2}</x14:id>
        </ext>
      </extLst>
    </cfRule>
  </conditionalFormatting>
  <conditionalFormatting sqref="I16:I21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{9aa11ec2-2c51-4895-b2ca-5d4794adec01}</x14:id>
        </ext>
      </extLst>
    </cfRule>
  </conditionalFormatting>
  <conditionalFormatting sqref="I34:I35">
    <cfRule type="dataBar" priority="1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{5edb4258-8597-4746-a0e7-da5e672e249b}</x14:id>
        </ext>
      </extLst>
    </cfRule>
  </conditionalFormatting>
  <conditionalFormatting sqref="I40:I47">
    <cfRule type="dataBar" priority="2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{057e3b37-8037-40be-b81b-28557d4b7e67}</x14:id>
        </ext>
      </extLst>
    </cfRule>
  </conditionalFormatting>
  <conditionalFormatting sqref="I54:I5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{a9440322-fc01-48e9-b19d-e5b275c04918}</x14:id>
        </ext>
      </extLst>
    </cfRule>
  </conditionalFormatting>
  <conditionalFormatting sqref="I65:I68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{ec4879ed-dd8b-4f45-b93f-5908feb98482}</x14:id>
        </ext>
      </extLst>
    </cfRule>
  </conditionalFormatting>
  <conditionalFormatting sqref="I85:I92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{40aec4b5-c7c9-46ef-ac91-fb4416a25af5}</x14:id>
        </ext>
      </extLst>
    </cfRule>
  </conditionalFormatting>
  <conditionalFormatting sqref="I100:I104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{77bfbad7-a9b1-4046-ad30-cf74d1d96af1}</x14:id>
        </ext>
      </extLst>
    </cfRule>
  </conditionalFormatting>
  <conditionalFormatting sqref="I111:I117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{da4fcaf1-8177-49e4-b3da-7eab2c3bc66c}</x14:id>
        </ext>
      </extLst>
    </cfRule>
  </conditionalFormatting>
  <conditionalFormatting sqref="I136:I14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{f6a7c2ca-2a54-47ba-b75e-197aaca9e083}</x14:id>
        </ext>
      </extLst>
    </cfRule>
  </conditionalFormatting>
  <conditionalFormatting sqref="I141:I142">
    <cfRule type="dataBar" priority="10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{aef49ec8-d63b-4292-9780-e1a84e915c46}</x14:id>
        </ext>
      </extLst>
    </cfRule>
  </conditionalFormatting>
  <conditionalFormatting sqref="I147:I15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{ce677e09-6b1c-4a50-a2eb-36ad8bdaf424}</x14:id>
        </ext>
      </extLst>
    </cfRule>
  </conditionalFormatting>
  <conditionalFormatting sqref="M4:M9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{a205e875-3973-4a68-839d-946adf7ca921}</x14:id>
        </ext>
      </extLst>
    </cfRule>
  </conditionalFormatting>
  <conditionalFormatting sqref="M16:M21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{1c8e3a5c-a7a0-4f47-a1fa-b1ca44178331}</x14:id>
        </ext>
      </extLst>
    </cfRule>
  </conditionalFormatting>
  <conditionalFormatting sqref="M40:M47">
    <cfRule type="dataBar" priority="2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{31538d69-521a-49c9-bc0c-61c924ac4b3d}</x14:id>
        </ext>
      </extLst>
    </cfRule>
  </conditionalFormatting>
  <conditionalFormatting sqref="M54:M58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{649a3f07-df82-4437-8aea-859acfc268b6}</x14:id>
        </ext>
      </extLst>
    </cfRule>
  </conditionalFormatting>
  <conditionalFormatting sqref="M65:M6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{e0191908-78c4-4a2a-a06b-bddf313ffcf4}</x14:id>
        </ext>
      </extLst>
    </cfRule>
  </conditionalFormatting>
  <conditionalFormatting sqref="M75:M7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{f48dbf68-53d4-415a-8270-2ebb36e8d1bb}</x14:id>
        </ext>
      </extLst>
    </cfRule>
  </conditionalFormatting>
  <conditionalFormatting sqref="M85:M9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{9f60e1b5-e686-4417-9fa0-a8ce392d0262}</x14:id>
        </ext>
      </extLst>
    </cfRule>
  </conditionalFormatting>
  <conditionalFormatting sqref="M100:M104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{285b05d8-92d8-4f53-adb6-1fc61846191a}</x14:id>
        </ext>
      </extLst>
    </cfRule>
  </conditionalFormatting>
  <conditionalFormatting sqref="M111:M11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{d2056b4c-3b17-4ea8-a9dc-881b67cdd37b}</x14:id>
        </ext>
      </extLst>
    </cfRule>
  </conditionalFormatting>
  <conditionalFormatting sqref="M136:M140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{5a9248e9-7e56-41b7-b4be-b2ad68983e53}</x14:id>
        </ext>
      </extLst>
    </cfRule>
  </conditionalFormatting>
  <conditionalFormatting sqref="M147:M150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{ee127a56-d256-405b-86c9-4d829c821988}</x14:id>
        </ext>
      </extLst>
    </cfRule>
  </conditionalFormatting>
  <conditionalFormatting sqref="I3 I10:I11">
    <cfRule type="dataBar" priority="1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{88af03aa-667b-4852-8afa-94f1aac72752}</x14:id>
        </ext>
      </extLst>
    </cfRule>
  </conditionalFormatting>
  <conditionalFormatting sqref="I22:I23 I15">
    <cfRule type="dataBar" priority="1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{928e6c97-b300-487c-94d6-02e2169b1f20}</x14:id>
        </ext>
      </extLst>
    </cfRule>
  </conditionalFormatting>
  <conditionalFormatting sqref="I28 I30">
    <cfRule type="dataBar" priority="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{16c7c747-2637-4d60-957a-ca2a4cd242a4}</x14:id>
        </ext>
      </extLst>
    </cfRule>
  </conditionalFormatting>
  <conditionalFormatting sqref="M28 M30">
    <cfRule type="dataBar" priority="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{e4f2bf11-0b8b-4c03-89b6-6861e70fed4e}</x14:id>
        </ext>
      </extLst>
    </cfRule>
  </conditionalFormatting>
  <conditionalFormatting sqref="I29 I31:I33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{aa65302b-a9ea-40ac-8465-d24f2c2f5a85}</x14:id>
        </ext>
      </extLst>
    </cfRule>
  </conditionalFormatting>
  <conditionalFormatting sqref="M29 M31:M33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{49714fd6-2a84-4b76-a7a0-0c10a60cb984}</x14:id>
        </ext>
      </extLst>
    </cfRule>
  </conditionalFormatting>
  <conditionalFormatting sqref="I39 I48:I49">
    <cfRule type="dataBar" priority="1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{7f09a8a5-407b-4e44-822d-3fdec505fcc8}</x14:id>
        </ext>
      </extLst>
    </cfRule>
  </conditionalFormatting>
  <conditionalFormatting sqref="I53 I59:I60">
    <cfRule type="dataBar" priority="1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{5c7ff8b5-2843-4671-a37c-c10685a25019}</x14:id>
        </ext>
      </extLst>
    </cfRule>
  </conditionalFormatting>
  <conditionalFormatting sqref="I69:I70 I64">
    <cfRule type="dataBar" priority="1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{0ce5a07e-4008-4484-bfab-1ffb6c11dfbe}</x14:id>
        </ext>
      </extLst>
    </cfRule>
  </conditionalFormatting>
  <conditionalFormatting sqref="I74 I79:I80">
    <cfRule type="dataBar" priority="1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{bd5d731f-fc85-472d-b0d1-a0d7f13e4a34}</x14:id>
        </ext>
      </extLst>
    </cfRule>
  </conditionalFormatting>
  <conditionalFormatting sqref="I75:I76 I78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{4c7d0ca6-4fb4-4d36-bd38-3dca37f985c9}</x14:id>
        </ext>
      </extLst>
    </cfRule>
  </conditionalFormatting>
  <conditionalFormatting sqref="I93:I94 I84">
    <cfRule type="dataBar" priority="1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{ad6684c8-d88a-41a9-9978-04ddec335324}</x14:id>
        </ext>
      </extLst>
    </cfRule>
  </conditionalFormatting>
  <conditionalFormatting sqref="I105:I106 I98">
    <cfRule type="dataBar" priority="1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{8543fac0-0f9e-4357-923a-de8ae14d9f0f}</x14:id>
        </ext>
      </extLst>
    </cfRule>
  </conditionalFormatting>
  <conditionalFormatting sqref="I118:I119 I110">
    <cfRule type="dataBar" priority="1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{8668bbd5-79bf-4b28-8987-e6f33b909ef9}</x14:id>
        </ext>
      </extLst>
    </cfRule>
  </conditionalFormatting>
  <conditionalFormatting sqref="I126:I129 I124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{d4d6abed-1762-4cbb-96be-af5ad6852c1e}</x14:id>
        </ext>
      </extLst>
    </cfRule>
  </conditionalFormatting>
  <conditionalFormatting sqref="M126:M129 M124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{898dc442-5894-47c3-b8c0-9e88ac319651}</x14:id>
        </ext>
      </extLst>
    </cfRule>
  </conditionalFormatting>
  <conditionalFormatting sqref="I125 I130:I131">
    <cfRule type="dataBar" priority="1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{3948c485-c4eb-415c-9dfd-ef5fc07ebf0d}</x14:id>
        </ext>
      </extLst>
    </cfRule>
  </conditionalFormatting>
  <conditionalFormatting sqref="I146 I151:I152">
    <cfRule type="dataBar" priority="1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{aa6035e3-24a4-4c2c-890d-ea2f2f7567ef}</x14:id>
        </ext>
      </extLst>
    </cfRule>
  </conditionalFormatting>
  <hyperlinks>
    <hyperlink ref="B100" r:id="rId1" display="subarupartsplus.com" tooltip="http://www.subarupartsplus.com"/>
    <hyperlink ref="B42" r:id="rId2" display="moparfactoryparts.com" tooltip="http://www.moparfactoryparts.com"/>
    <hyperlink ref="B99" r:id="rId3" display="subaruparts.com" tooltip="http://www.subaruparts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f0fb2e4-f165-4a81-b843-cd9a408372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</xm:sqref>
        </x14:conditionalFormatting>
        <x14:conditionalFormatting xmlns:xm="http://schemas.microsoft.com/office/excel/2006/main">
          <x14:cfRule type="dataBar" id="{1782d2b2-135e-4753-bea6-37de7f8ad1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</xm:sqref>
        </x14:conditionalFormatting>
        <x14:conditionalFormatting xmlns:xm="http://schemas.microsoft.com/office/excel/2006/main">
          <x14:cfRule type="dataBar" id="{ac5aafbd-e488-424e-8703-bc095867ba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I27</xm:sqref>
        </x14:conditionalFormatting>
        <x14:conditionalFormatting xmlns:xm="http://schemas.microsoft.com/office/excel/2006/main">
          <x14:cfRule type="dataBar" id="{8e2d1d7d-8bac-46f5-af57-dbd81beedec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M27</xm:sqref>
        </x14:conditionalFormatting>
        <x14:conditionalFormatting xmlns:xm="http://schemas.microsoft.com/office/excel/2006/main">
          <x14:cfRule type="dataBar" id="{65cd5f3a-27f0-4081-aa10-402bc79c79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M34</xm:sqref>
        </x14:conditionalFormatting>
        <x14:conditionalFormatting xmlns:xm="http://schemas.microsoft.com/office/excel/2006/main">
          <x14:cfRule type="dataBar" id="{af2012b8-7e82-43e8-bb72-09c68984331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M39</xm:sqref>
        </x14:conditionalFormatting>
        <x14:conditionalFormatting xmlns:xm="http://schemas.microsoft.com/office/excel/2006/main">
          <x14:cfRule type="dataBar" id="{cc391d8d-5062-4499-ad38-3571e05dc7d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36614b95-0ac3-4374-8408-194a397a8c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M64</xm:sqref>
        </x14:conditionalFormatting>
        <x14:conditionalFormatting xmlns:xm="http://schemas.microsoft.com/office/excel/2006/main">
          <x14:cfRule type="dataBar" id="{2d34e486-14f0-4229-b135-823ce8f5b4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M74</xm:sqref>
        </x14:conditionalFormatting>
        <x14:conditionalFormatting xmlns:xm="http://schemas.microsoft.com/office/excel/2006/main">
          <x14:cfRule type="dataBar" id="{cdb5dd31-a7cc-4ef0-a80e-77be23ca61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I77</xm:sqref>
        </x14:conditionalFormatting>
        <x14:conditionalFormatting xmlns:xm="http://schemas.microsoft.com/office/excel/2006/main">
          <x14:cfRule type="dataBar" id="{2006d3d5-1341-4254-bfce-e37557232d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M84</xm:sqref>
        </x14:conditionalFormatting>
        <x14:conditionalFormatting xmlns:xm="http://schemas.microsoft.com/office/excel/2006/main">
          <x14:cfRule type="dataBar" id="{9a0f13af-1d01-4816-8a4c-d826631d2b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I95</xm:sqref>
        </x14:conditionalFormatting>
        <x14:conditionalFormatting xmlns:xm="http://schemas.microsoft.com/office/excel/2006/main">
          <x14:cfRule type="dataBar" id="{8c05c838-684f-4746-8de2-fd980efd536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M98</xm:sqref>
        </x14:conditionalFormatting>
        <x14:conditionalFormatting xmlns:xm="http://schemas.microsoft.com/office/excel/2006/main">
          <x14:cfRule type="dataBar" id="{c967ecff-6be6-46f0-8acc-f7815739b6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I99</xm:sqref>
        </x14:conditionalFormatting>
        <x14:conditionalFormatting xmlns:xm="http://schemas.microsoft.com/office/excel/2006/main">
          <x14:cfRule type="dataBar" id="{67d6c70a-be86-4511-bc1e-5f3e45cb87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M99</xm:sqref>
        </x14:conditionalFormatting>
        <x14:conditionalFormatting xmlns:xm="http://schemas.microsoft.com/office/excel/2006/main">
          <x14:cfRule type="dataBar" id="{dc88abf9-fbd4-4db1-85a5-487ae8c8821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M110</xm:sqref>
        </x14:conditionalFormatting>
        <x14:conditionalFormatting xmlns:xm="http://schemas.microsoft.com/office/excel/2006/main">
          <x14:cfRule type="dataBar" id="{6e5c7561-8724-4861-859c-53a8f03c6c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I123</xm:sqref>
        </x14:conditionalFormatting>
        <x14:conditionalFormatting xmlns:xm="http://schemas.microsoft.com/office/excel/2006/main">
          <x14:cfRule type="dataBar" id="{54e08ff7-2035-4ad3-9296-b919c57b8c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M123</xm:sqref>
        </x14:conditionalFormatting>
        <x14:conditionalFormatting xmlns:xm="http://schemas.microsoft.com/office/excel/2006/main">
          <x14:cfRule type="dataBar" id="{90a58014-02b6-4ae0-a69b-ed34793144c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M125</xm:sqref>
        </x14:conditionalFormatting>
        <x14:conditionalFormatting xmlns:xm="http://schemas.microsoft.com/office/excel/2006/main">
          <x14:cfRule type="dataBar" id="{eb97bce1-0b3e-4765-b961-e1d1936d51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M135</xm:sqref>
        </x14:conditionalFormatting>
        <x14:conditionalFormatting xmlns:xm="http://schemas.microsoft.com/office/excel/2006/main">
          <x14:cfRule type="dataBar" id="{3646bc17-399a-4ddf-89dc-308bfe3598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M146</xm:sqref>
        </x14:conditionalFormatting>
        <x14:conditionalFormatting xmlns:xm="http://schemas.microsoft.com/office/excel/2006/main">
          <x14:cfRule type="dataBar" id="{f946f37b-2d5b-413e-b186-8338e56eb0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I4:I9</xm:sqref>
        </x14:conditionalFormatting>
        <x14:conditionalFormatting xmlns:xm="http://schemas.microsoft.com/office/excel/2006/main">
          <x14:cfRule type="dataBar" id="{9aa11ec2-2c51-4895-b2ca-5d4794adec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I16:I21</xm:sqref>
        </x14:conditionalFormatting>
        <x14:conditionalFormatting xmlns:xm="http://schemas.microsoft.com/office/excel/2006/main">
          <x14:cfRule type="dataBar" id="{5edb4258-8597-4746-a0e7-da5e672e24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I34:I35</xm:sqref>
        </x14:conditionalFormatting>
        <x14:conditionalFormatting xmlns:xm="http://schemas.microsoft.com/office/excel/2006/main">
          <x14:cfRule type="dataBar" id="{057e3b37-8037-40be-b81b-28557d4b7e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I40:I47</xm:sqref>
        </x14:conditionalFormatting>
        <x14:conditionalFormatting xmlns:xm="http://schemas.microsoft.com/office/excel/2006/main">
          <x14:cfRule type="dataBar" id="{a9440322-fc01-48e9-b19d-e5b275c0491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I54:I58</xm:sqref>
        </x14:conditionalFormatting>
        <x14:conditionalFormatting xmlns:xm="http://schemas.microsoft.com/office/excel/2006/main">
          <x14:cfRule type="dataBar" id="{ec4879ed-dd8b-4f45-b93f-5908feb984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I65:I68</xm:sqref>
        </x14:conditionalFormatting>
        <x14:conditionalFormatting xmlns:xm="http://schemas.microsoft.com/office/excel/2006/main">
          <x14:cfRule type="dataBar" id="{40aec4b5-c7c9-46ef-ac91-fb4416a25a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I85:I92</xm:sqref>
        </x14:conditionalFormatting>
        <x14:conditionalFormatting xmlns:xm="http://schemas.microsoft.com/office/excel/2006/main">
          <x14:cfRule type="dataBar" id="{77bfbad7-a9b1-4046-ad30-cf74d1d96a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I100:I104</xm:sqref>
        </x14:conditionalFormatting>
        <x14:conditionalFormatting xmlns:xm="http://schemas.microsoft.com/office/excel/2006/main">
          <x14:cfRule type="dataBar" id="{da4fcaf1-8177-49e4-b3da-7eab2c3bc66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I111:I117</xm:sqref>
        </x14:conditionalFormatting>
        <x14:conditionalFormatting xmlns:xm="http://schemas.microsoft.com/office/excel/2006/main">
          <x14:cfRule type="dataBar" id="{f6a7c2ca-2a54-47ba-b75e-197aaca9e0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I136:I140</xm:sqref>
        </x14:conditionalFormatting>
        <x14:conditionalFormatting xmlns:xm="http://schemas.microsoft.com/office/excel/2006/main">
          <x14:cfRule type="dataBar" id="{aef49ec8-d63b-4292-9780-e1a84e915c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I141:I142</xm:sqref>
        </x14:conditionalFormatting>
        <x14:conditionalFormatting xmlns:xm="http://schemas.microsoft.com/office/excel/2006/main">
          <x14:cfRule type="dataBar" id="{ce677e09-6b1c-4a50-a2eb-36ad8bdaf4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I147:I150</xm:sqref>
        </x14:conditionalFormatting>
        <x14:conditionalFormatting xmlns:xm="http://schemas.microsoft.com/office/excel/2006/main">
          <x14:cfRule type="dataBar" id="{a205e875-3973-4a68-839d-946adf7ca9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M4:M9</xm:sqref>
        </x14:conditionalFormatting>
        <x14:conditionalFormatting xmlns:xm="http://schemas.microsoft.com/office/excel/2006/main">
          <x14:cfRule type="dataBar" id="{1c8e3a5c-a7a0-4f47-a1fa-b1ca441783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M16:M21</xm:sqref>
        </x14:conditionalFormatting>
        <x14:conditionalFormatting xmlns:xm="http://schemas.microsoft.com/office/excel/2006/main">
          <x14:cfRule type="dataBar" id="{31538d69-521a-49c9-bc0c-61c924ac4b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M40:M47</xm:sqref>
        </x14:conditionalFormatting>
        <x14:conditionalFormatting xmlns:xm="http://schemas.microsoft.com/office/excel/2006/main">
          <x14:cfRule type="dataBar" id="{649a3f07-df82-4437-8aea-859acfc268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M54:M58</xm:sqref>
        </x14:conditionalFormatting>
        <x14:conditionalFormatting xmlns:xm="http://schemas.microsoft.com/office/excel/2006/main">
          <x14:cfRule type="dataBar" id="{e0191908-78c4-4a2a-a06b-bddf313ffc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M65:M68</xm:sqref>
        </x14:conditionalFormatting>
        <x14:conditionalFormatting xmlns:xm="http://schemas.microsoft.com/office/excel/2006/main">
          <x14:cfRule type="dataBar" id="{f48dbf68-53d4-415a-8270-2ebb36e8d1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M75:M78</xm:sqref>
        </x14:conditionalFormatting>
        <x14:conditionalFormatting xmlns:xm="http://schemas.microsoft.com/office/excel/2006/main">
          <x14:cfRule type="dataBar" id="{9f60e1b5-e686-4417-9fa0-a8ce392d02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M85:M92</xm:sqref>
        </x14:conditionalFormatting>
        <x14:conditionalFormatting xmlns:xm="http://schemas.microsoft.com/office/excel/2006/main">
          <x14:cfRule type="dataBar" id="{285b05d8-92d8-4f53-adb6-1fc6184619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M100:M104</xm:sqref>
        </x14:conditionalFormatting>
        <x14:conditionalFormatting xmlns:xm="http://schemas.microsoft.com/office/excel/2006/main">
          <x14:cfRule type="dataBar" id="{d2056b4c-3b17-4ea8-a9dc-881b67cdd3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M111:M117</xm:sqref>
        </x14:conditionalFormatting>
        <x14:conditionalFormatting xmlns:xm="http://schemas.microsoft.com/office/excel/2006/main">
          <x14:cfRule type="dataBar" id="{5a9248e9-7e56-41b7-b4be-b2ad68983e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M136:M140</xm:sqref>
        </x14:conditionalFormatting>
        <x14:conditionalFormatting xmlns:xm="http://schemas.microsoft.com/office/excel/2006/main">
          <x14:cfRule type="dataBar" id="{ee127a56-d256-405b-86c9-4d829c8219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M147:M150</xm:sqref>
        </x14:conditionalFormatting>
        <x14:conditionalFormatting xmlns:xm="http://schemas.microsoft.com/office/excel/2006/main">
          <x14:cfRule type="dataBar" id="{88af03aa-667b-4852-8afa-94f1aac7275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 I10:I11</xm:sqref>
        </x14:conditionalFormatting>
        <x14:conditionalFormatting xmlns:xm="http://schemas.microsoft.com/office/excel/2006/main">
          <x14:cfRule type="dataBar" id="{928e6c97-b300-487c-94d6-02e2169b1f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I22:I23 I15</xm:sqref>
        </x14:conditionalFormatting>
        <x14:conditionalFormatting xmlns:xm="http://schemas.microsoft.com/office/excel/2006/main">
          <x14:cfRule type="dataBar" id="{16c7c747-2637-4d60-957a-ca2a4cd242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I28 I30</xm:sqref>
        </x14:conditionalFormatting>
        <x14:conditionalFormatting xmlns:xm="http://schemas.microsoft.com/office/excel/2006/main">
          <x14:cfRule type="dataBar" id="{e4f2bf11-0b8b-4c03-89b6-6861e70fed4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M28 M30</xm:sqref>
        </x14:conditionalFormatting>
        <x14:conditionalFormatting xmlns:xm="http://schemas.microsoft.com/office/excel/2006/main">
          <x14:cfRule type="dataBar" id="{aa65302b-a9ea-40ac-8465-d24f2c2f5a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I29 I31:I33</xm:sqref>
        </x14:conditionalFormatting>
        <x14:conditionalFormatting xmlns:xm="http://schemas.microsoft.com/office/excel/2006/main">
          <x14:cfRule type="dataBar" id="{49714fd6-2a84-4b76-a7a0-0c10a60cb98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M29 M31:M33</xm:sqref>
        </x14:conditionalFormatting>
        <x14:conditionalFormatting xmlns:xm="http://schemas.microsoft.com/office/excel/2006/main">
          <x14:cfRule type="dataBar" id="{7f09a8a5-407b-4e44-822d-3fdec505fc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I39 I48:I49</xm:sqref>
        </x14:conditionalFormatting>
        <x14:conditionalFormatting xmlns:xm="http://schemas.microsoft.com/office/excel/2006/main">
          <x14:cfRule type="dataBar" id="{5c7ff8b5-2843-4671-a37c-c10685a250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I53 I59:I60</xm:sqref>
        </x14:conditionalFormatting>
        <x14:conditionalFormatting xmlns:xm="http://schemas.microsoft.com/office/excel/2006/main">
          <x14:cfRule type="dataBar" id="{0ce5a07e-4008-4484-bfab-1ffb6c11df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I69:I70 I64</xm:sqref>
        </x14:conditionalFormatting>
        <x14:conditionalFormatting xmlns:xm="http://schemas.microsoft.com/office/excel/2006/main">
          <x14:cfRule type="dataBar" id="{bd5d731f-fc85-472d-b0d1-a0d7f13e4a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I74 I79:I80</xm:sqref>
        </x14:conditionalFormatting>
        <x14:conditionalFormatting xmlns:xm="http://schemas.microsoft.com/office/excel/2006/main">
          <x14:cfRule type="dataBar" id="{4c7d0ca6-4fb4-4d36-bd38-3dca37f985c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I75:I76 I78</xm:sqref>
        </x14:conditionalFormatting>
        <x14:conditionalFormatting xmlns:xm="http://schemas.microsoft.com/office/excel/2006/main">
          <x14:cfRule type="dataBar" id="{ad6684c8-d88a-41a9-9978-04ddec3353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I93:I94 I84</xm:sqref>
        </x14:conditionalFormatting>
        <x14:conditionalFormatting xmlns:xm="http://schemas.microsoft.com/office/excel/2006/main">
          <x14:cfRule type="dataBar" id="{8543fac0-0f9e-4357-923a-de8ae14d9f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I105:I106 I98</xm:sqref>
        </x14:conditionalFormatting>
        <x14:conditionalFormatting xmlns:xm="http://schemas.microsoft.com/office/excel/2006/main">
          <x14:cfRule type="dataBar" id="{8668bbd5-79bf-4b28-8987-e6f33b909ef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I118:I119 I110</xm:sqref>
        </x14:conditionalFormatting>
        <x14:conditionalFormatting xmlns:xm="http://schemas.microsoft.com/office/excel/2006/main">
          <x14:cfRule type="dataBar" id="{d4d6abed-1762-4cbb-96be-af5ad6852c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I126:I129 I124</xm:sqref>
        </x14:conditionalFormatting>
        <x14:conditionalFormatting xmlns:xm="http://schemas.microsoft.com/office/excel/2006/main">
          <x14:cfRule type="dataBar" id="{898dc442-5894-47c3-b8c0-9e88ac3196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M126:M129 M124</xm:sqref>
        </x14:conditionalFormatting>
        <x14:conditionalFormatting xmlns:xm="http://schemas.microsoft.com/office/excel/2006/main">
          <x14:cfRule type="dataBar" id="{3948c485-c4eb-415c-9dfd-ef5fc07ebf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I125 I130:I131</xm:sqref>
        </x14:conditionalFormatting>
        <x14:conditionalFormatting xmlns:xm="http://schemas.microsoft.com/office/excel/2006/main">
          <x14:cfRule type="dataBar" id="{aa6035e3-24a4-4c2c-890d-ea2f2f7567e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I146 I151:I152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4"/>
  <sheetViews>
    <sheetView topLeftCell="A4" workbookViewId="0">
      <selection activeCell="A1" sqref="A1"/>
    </sheetView>
  </sheetViews>
  <sheetFormatPr defaultColWidth="9" defaultRowHeight="15.6"/>
  <cols>
    <col min="1" max="1" width="13.4444444444444" style="408" customWidth="1"/>
    <col min="2" max="2" width="47.4444444444444" style="408" customWidth="1"/>
    <col min="3" max="3" width="14.4444444444444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19.2222222222222" style="413" hidden="1" customWidth="1"/>
    <col min="14" max="14" width="7.33333333333333" style="414" hidden="1" customWidth="1"/>
    <col min="15" max="15" width="16.3333333333333" style="412" hidden="1" customWidth="1"/>
    <col min="16" max="16" width="96.4444444444444" style="541" customWidth="1"/>
    <col min="17" max="17" width="31.6666666666667" style="408" hidden="1" customWidth="1"/>
    <col min="18" max="18" width="14.8888888888889" style="408" hidden="1" customWidth="1"/>
    <col min="19" max="20" width="10.1111111111111" style="408" customWidth="1"/>
    <col min="21" max="21" width="17.1111111111111" style="416" customWidth="1"/>
    <col min="22" max="22" width="16.8888888888889" style="416" customWidth="1"/>
    <col min="23" max="23" width="10.8888888888889" style="408" hidden="1" customWidth="1"/>
    <col min="24" max="24" width="11.1111111111111" style="408" hidden="1" customWidth="1"/>
    <col min="25" max="27" width="9" style="200" hidden="1" customWidth="1"/>
    <col min="28" max="28" width="9.55555555555556" style="417" hidden="1" customWidth="1"/>
    <col min="29" max="29" width="9.44444444444444" style="417" hidden="1" customWidth="1"/>
    <col min="30" max="30" width="9" style="417" hidden="1" customWidth="1"/>
    <col min="31" max="16384" width="9" style="417"/>
  </cols>
  <sheetData>
    <row r="1" s="408" customFormat="1" ht="17.4" spans="1:27">
      <c r="A1" s="418" t="s">
        <v>138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43"/>
      <c r="N1" s="444"/>
      <c r="O1" s="422"/>
      <c r="P1" s="542"/>
      <c r="Q1" s="465"/>
      <c r="R1" s="424"/>
      <c r="S1" s="473"/>
      <c r="T1" s="473"/>
      <c r="U1" s="467"/>
      <c r="V1" s="467"/>
      <c r="W1" s="467"/>
      <c r="X1" s="467"/>
      <c r="Y1" s="538" t="s">
        <v>203</v>
      </c>
      <c r="Z1" s="538" t="s">
        <v>204</v>
      </c>
      <c r="AA1" s="538" t="s">
        <v>205</v>
      </c>
    </row>
    <row r="2" s="409" customFormat="1" ht="46.8" spans="1:30">
      <c r="A2" s="423" t="s">
        <v>206</v>
      </c>
      <c r="B2" s="424" t="s">
        <v>207</v>
      </c>
      <c r="C2" s="425" t="s">
        <v>208</v>
      </c>
      <c r="D2" s="424" t="s">
        <v>209</v>
      </c>
      <c r="E2" s="426" t="s">
        <v>210</v>
      </c>
      <c r="F2" s="427" t="s">
        <v>385</v>
      </c>
      <c r="G2" s="427" t="s">
        <v>213</v>
      </c>
      <c r="H2" s="427" t="s">
        <v>213</v>
      </c>
      <c r="I2" s="427" t="s">
        <v>386</v>
      </c>
      <c r="J2" s="446" t="s">
        <v>216</v>
      </c>
      <c r="K2" s="446" t="s">
        <v>217</v>
      </c>
      <c r="L2" s="446" t="s">
        <v>387</v>
      </c>
      <c r="M2" s="447" t="s">
        <v>218</v>
      </c>
      <c r="N2" s="448" t="s">
        <v>219</v>
      </c>
      <c r="O2" s="449" t="s">
        <v>220</v>
      </c>
      <c r="P2" s="543" t="s">
        <v>221</v>
      </c>
      <c r="Q2" s="469" t="s">
        <v>222</v>
      </c>
      <c r="R2" s="426" t="s">
        <v>223</v>
      </c>
      <c r="S2" s="470" t="s">
        <v>224</v>
      </c>
      <c r="T2" s="470" t="s">
        <v>205</v>
      </c>
      <c r="U2" s="467" t="s">
        <v>225</v>
      </c>
      <c r="V2" s="470" t="s">
        <v>226</v>
      </c>
      <c r="W2" s="467"/>
      <c r="X2" s="467"/>
      <c r="Y2" s="200" t="s">
        <v>207</v>
      </c>
      <c r="Z2" s="200" t="s">
        <v>180</v>
      </c>
      <c r="AA2" s="200" t="s">
        <v>180</v>
      </c>
      <c r="AC2" s="409" t="str">
        <f t="shared" ref="AC2:AC6" si="0">IF(Y2="Competitors","Forum Link",Z2)</f>
        <v>Forum Link</v>
      </c>
      <c r="AD2" s="409" t="str">
        <f t="shared" ref="AD2:AD6" si="1">IF(Y2="Competitors","Domains",AA2)</f>
        <v>Domains</v>
      </c>
    </row>
    <row r="3" s="410" customFormat="1" ht="17.4" spans="1:30">
      <c r="A3" s="432" t="s">
        <v>227</v>
      </c>
      <c r="B3" s="432" t="s">
        <v>139</v>
      </c>
      <c r="C3" s="434" t="str">
        <f>VLOOKUP(B3,正厂竞争者数据汇总!D:H,2,FALSE)</f>
        <v>原厂目录</v>
      </c>
      <c r="D3" s="435" t="str">
        <f>VLOOKUP(B3,正厂竞争者数据汇总!D:H,3,FALSE)</f>
        <v>CA</v>
      </c>
      <c r="E3" s="436">
        <f>VLOOKUP(B3,正厂竞争者数据汇总!D:H,4,FALSE)</f>
        <v>0</v>
      </c>
      <c r="F3" s="436">
        <v>1316000</v>
      </c>
      <c r="G3" s="436">
        <v>1150833.33333333</v>
      </c>
      <c r="H3" s="436">
        <v>1200750</v>
      </c>
      <c r="I3" s="454">
        <v>0.143519188993486</v>
      </c>
      <c r="J3" s="455">
        <v>0.566390716806567</v>
      </c>
      <c r="K3" s="455">
        <v>0.611634474796334</v>
      </c>
      <c r="L3" s="455">
        <v>0.617999075062569</v>
      </c>
      <c r="M3" s="456">
        <f>J3-K3</f>
        <v>-0.0452437579897674</v>
      </c>
      <c r="N3" s="455" t="str">
        <f>IFERROR(O3*0.5/$F$3,"")</f>
        <v/>
      </c>
      <c r="O3" s="436" t="s">
        <v>180</v>
      </c>
      <c r="P3" s="542">
        <f t="array" ref="P3">INDEX(正厂竞争者数据汇总!I:I,MATCH($A$1&amp;B3,正厂竞争者数据汇总!A:A&amp;正厂竞争者数据汇总!D:D,0))</f>
        <v>0</v>
      </c>
      <c r="Q3" s="434" t="s">
        <v>228</v>
      </c>
      <c r="R3" s="435" t="s">
        <v>229</v>
      </c>
      <c r="S3" s="476">
        <v>154957</v>
      </c>
      <c r="T3" s="476">
        <v>10464</v>
      </c>
      <c r="U3" s="477"/>
      <c r="V3" s="477"/>
      <c r="W3" s="477"/>
      <c r="X3" s="477"/>
      <c r="Y3" s="200" t="s">
        <v>139</v>
      </c>
      <c r="Z3" s="200">
        <v>169977</v>
      </c>
      <c r="AA3" s="200">
        <v>9452</v>
      </c>
      <c r="AB3" s="410">
        <f t="shared" ref="AB3:AB6" si="2">IF(B3=Y3,1,0)</f>
        <v>1</v>
      </c>
      <c r="AC3" s="409">
        <f t="shared" si="0"/>
        <v>169977</v>
      </c>
      <c r="AD3" s="409">
        <f t="shared" si="1"/>
        <v>9452</v>
      </c>
    </row>
    <row r="4" s="408" customFormat="1" spans="1:30">
      <c r="A4" s="428" t="s">
        <v>230</v>
      </c>
      <c r="B4" s="421" t="s">
        <v>231</v>
      </c>
      <c r="C4" s="429" t="str">
        <f>VLOOKUP(B4,正厂竞争者数据汇总!D:H,2,FALSE)</f>
        <v>原厂目录</v>
      </c>
      <c r="D4" s="421" t="str">
        <f>VLOOKUP(B4,正厂竞争者数据汇总!D:H,3,FALSE)</f>
        <v>TX</v>
      </c>
      <c r="E4" s="430"/>
      <c r="F4" s="430">
        <v>358661.996666667</v>
      </c>
      <c r="G4" s="430"/>
      <c r="H4" s="430"/>
      <c r="I4" s="450"/>
      <c r="J4" s="451">
        <v>0.154363849075462</v>
      </c>
      <c r="K4" s="451">
        <v>0.16084502638765</v>
      </c>
      <c r="L4" s="451">
        <v>0.160723435875635</v>
      </c>
      <c r="M4" s="452"/>
      <c r="N4" s="451"/>
      <c r="O4" s="430"/>
      <c r="P4" s="542">
        <f t="array" ref="P4">INDEX(正厂竞争者数据汇总!I:I,MATCH($A$1&amp;B4,正厂竞争者数据汇总!A:A&amp;正厂竞争者数据汇总!D:D,0))</f>
        <v>0</v>
      </c>
      <c r="Q4" s="429"/>
      <c r="R4" s="421"/>
      <c r="S4" s="472">
        <v>43448</v>
      </c>
      <c r="T4" s="472">
        <v>1231</v>
      </c>
      <c r="U4" s="466"/>
      <c r="V4" s="466"/>
      <c r="W4" s="466"/>
      <c r="X4" s="466"/>
      <c r="Y4" s="200" t="s">
        <v>231</v>
      </c>
      <c r="Z4" s="200">
        <v>60670</v>
      </c>
      <c r="AA4" s="200">
        <v>1383</v>
      </c>
      <c r="AB4" s="410">
        <f t="shared" si="2"/>
        <v>1</v>
      </c>
      <c r="AC4" s="409">
        <f t="shared" si="0"/>
        <v>60670</v>
      </c>
      <c r="AD4" s="409">
        <f t="shared" si="1"/>
        <v>1383</v>
      </c>
    </row>
    <row r="5" s="408" customFormat="1" spans="1:30">
      <c r="A5" s="428" t="s">
        <v>230</v>
      </c>
      <c r="B5" s="421" t="s">
        <v>235</v>
      </c>
      <c r="C5" s="429" t="str">
        <f>VLOOKUP(B5,正厂竞争者数据汇总!D:H,2,FALSE)</f>
        <v>原厂目录</v>
      </c>
      <c r="D5" s="421" t="str">
        <f>VLOOKUP(B5,正厂竞争者数据汇总!D:H,3,FALSE)</f>
        <v>NJ</v>
      </c>
      <c r="E5" s="430"/>
      <c r="F5" s="430">
        <v>144824.751666667</v>
      </c>
      <c r="G5" s="430"/>
      <c r="H5" s="430"/>
      <c r="I5" s="450"/>
      <c r="J5" s="451">
        <v>0.0623308471943895</v>
      </c>
      <c r="K5" s="451">
        <v>0.0617325249547404</v>
      </c>
      <c r="L5" s="451">
        <v>0.0612259202135829</v>
      </c>
      <c r="M5" s="452"/>
      <c r="N5" s="451"/>
      <c r="O5" s="430"/>
      <c r="P5" s="542" t="str">
        <f t="array" ref="P5">INDEX(正厂竞争者数据汇总!I:I,MATCH($A$1&amp;B5,正厂竞争者数据汇总!A:A&amp;正厂竞争者数据汇总!D:D,0))</f>
        <v>2021年06月新加竞争者</v>
      </c>
      <c r="Q5" s="429"/>
      <c r="R5" s="421"/>
      <c r="S5" s="472">
        <v>2804</v>
      </c>
      <c r="T5" s="472">
        <v>388</v>
      </c>
      <c r="U5" s="466"/>
      <c r="V5" s="466"/>
      <c r="W5" s="466"/>
      <c r="X5" s="466"/>
      <c r="Y5" s="200" t="s">
        <v>235</v>
      </c>
      <c r="Z5" s="200">
        <v>2849</v>
      </c>
      <c r="AA5" s="200">
        <v>447</v>
      </c>
      <c r="AB5" s="410">
        <f t="shared" si="2"/>
        <v>1</v>
      </c>
      <c r="AC5" s="409">
        <f t="shared" si="0"/>
        <v>2849</v>
      </c>
      <c r="AD5" s="409">
        <f t="shared" si="1"/>
        <v>447</v>
      </c>
    </row>
    <row r="6" s="408" customFormat="1" ht="31.2" spans="1:30">
      <c r="A6" s="428" t="s">
        <v>230</v>
      </c>
      <c r="B6" s="421" t="s">
        <v>236</v>
      </c>
      <c r="C6" s="429" t="str">
        <f>VLOOKUP(B6,正厂竞争者数据汇总!D:H,2,FALSE)</f>
        <v>原厂目录</v>
      </c>
      <c r="D6" s="421" t="str">
        <f>VLOOKUP(B6,正厂竞争者数据汇总!D:H,3,FALSE)</f>
        <v>AL</v>
      </c>
      <c r="E6" s="430"/>
      <c r="F6" s="430">
        <v>139907.28</v>
      </c>
      <c r="G6" s="430"/>
      <c r="H6" s="430"/>
      <c r="I6" s="450"/>
      <c r="J6" s="451">
        <v>0.0602144259921406</v>
      </c>
      <c r="K6" s="451">
        <v>0.0558148254370656</v>
      </c>
      <c r="L6" s="451">
        <v>0.0495675209223013</v>
      </c>
      <c r="M6" s="452"/>
      <c r="N6" s="451"/>
      <c r="O6" s="430"/>
      <c r="P6" s="542" t="str">
        <f t="array" ref="P6">INDEX(正厂竞争者数据汇总!I:I,MATCH($A$1&amp;B6,正厂竞争者数据汇总!A:A&amp;正厂竞争者数据汇总!D:D,0))</f>
        <v>2022年1月 新加入 CompetitorSites
2022年1月 新加入 MarketingShare</v>
      </c>
      <c r="Q6" s="429"/>
      <c r="R6" s="421"/>
      <c r="S6" s="472">
        <v>3035</v>
      </c>
      <c r="T6" s="472">
        <v>279</v>
      </c>
      <c r="U6" s="466"/>
      <c r="V6" s="466"/>
      <c r="W6" s="466"/>
      <c r="X6" s="466"/>
      <c r="Y6" s="200" t="s">
        <v>236</v>
      </c>
      <c r="Z6" s="200">
        <v>2666</v>
      </c>
      <c r="AA6" s="200">
        <v>306</v>
      </c>
      <c r="AB6" s="410">
        <f t="shared" si="2"/>
        <v>1</v>
      </c>
      <c r="AC6" s="409">
        <f t="shared" si="0"/>
        <v>2666</v>
      </c>
      <c r="AD6" s="409">
        <f t="shared" si="1"/>
        <v>306</v>
      </c>
    </row>
    <row r="7" s="408" customFormat="1" ht="62.4" spans="1:30">
      <c r="A7" s="428" t="s">
        <v>230</v>
      </c>
      <c r="B7" s="421" t="s">
        <v>232</v>
      </c>
      <c r="C7" s="429" t="s">
        <v>233</v>
      </c>
      <c r="D7" s="421" t="s">
        <v>234</v>
      </c>
      <c r="E7" s="430"/>
      <c r="F7" s="430">
        <v>124722.6176</v>
      </c>
      <c r="G7" s="430"/>
      <c r="H7" s="430"/>
      <c r="I7" s="450"/>
      <c r="J7" s="451">
        <v>0.0536791282556651</v>
      </c>
      <c r="K7" s="451"/>
      <c r="L7" s="451"/>
      <c r="M7" s="452"/>
      <c r="N7" s="451"/>
      <c r="O7" s="430"/>
      <c r="P7" s="542" t="str">
        <f t="array" ref="P7">INDEX(正厂竞争者数据汇总!I:I,MATCH($A$1&amp;B7,正厂竞争者数据汇总!A:A&amp;正厂竞争者数据汇总!D:D,0))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流量折算比例：Acura:8%,BMW:0%,Ford:20%,GM:5%,Honda:17%,Hyundai:8%,Infiniti:2%,Kia:5%,Lexus:2%,Mopar:9%,Nissan:14%,Subaru:5%,Toyota:6%，折算比例为0的网站按照除0外最低折算比例计。2024年1月因为市场份额超过5%加入MS监控</v>
      </c>
      <c r="Q7" s="429"/>
      <c r="R7" s="421"/>
      <c r="S7" s="472">
        <v>1186</v>
      </c>
      <c r="T7" s="472">
        <v>156</v>
      </c>
      <c r="U7" s="466"/>
      <c r="V7" s="466"/>
      <c r="W7" s="466"/>
      <c r="X7" s="466"/>
      <c r="Y7" s="200"/>
      <c r="Z7" s="200"/>
      <c r="AA7" s="200"/>
      <c r="AB7" s="410"/>
      <c r="AC7" s="409"/>
      <c r="AD7" s="409"/>
    </row>
    <row r="8" s="408" customFormat="1" spans="1:30">
      <c r="A8" s="428" t="s">
        <v>238</v>
      </c>
      <c r="B8" s="421" t="s">
        <v>239</v>
      </c>
      <c r="C8" s="429" t="str">
        <f>VLOOKUP(B8,正厂竞争者数据汇总!D:H,2,FALSE)</f>
        <v>原厂目录</v>
      </c>
      <c r="D8" s="421" t="str">
        <f>VLOOKUP(B8,正厂竞争者数据汇总!D:H,3,FALSE)</f>
        <v>MA</v>
      </c>
      <c r="E8" s="430"/>
      <c r="F8" s="430">
        <v>124396.024905667</v>
      </c>
      <c r="G8" s="430"/>
      <c r="H8" s="430"/>
      <c r="I8" s="450"/>
      <c r="J8" s="451">
        <v>0.0535385666521339</v>
      </c>
      <c r="K8" s="451">
        <v>0.057740612290149</v>
      </c>
      <c r="L8" s="451">
        <v>0.056794396896321</v>
      </c>
      <c r="M8" s="452"/>
      <c r="N8" s="451"/>
      <c r="O8" s="430"/>
      <c r="P8" s="542" t="str">
        <f t="array" ref="P8">INDEX(正厂竞争者数据汇总!I:I,MATCH($A$1&amp;B8,正厂竞争者数据汇总!A:A&amp;正厂竞争者数据汇总!D:D,0))</f>
        <v>2023年10月，Semrush中仅能获取acura子域名流量</v>
      </c>
      <c r="Q8" s="429"/>
      <c r="R8" s="421"/>
      <c r="S8" s="472">
        <v>174661</v>
      </c>
      <c r="T8" s="472">
        <v>7891</v>
      </c>
      <c r="U8" s="466"/>
      <c r="V8" s="466"/>
      <c r="W8" s="466"/>
      <c r="X8" s="466"/>
      <c r="Y8" s="200" t="s">
        <v>239</v>
      </c>
      <c r="Z8" s="200">
        <v>147366</v>
      </c>
      <c r="AA8" s="200">
        <v>6689</v>
      </c>
      <c r="AB8" s="410">
        <f t="shared" ref="AB8:AB44" si="3">IF(B8=Y8,1,0)</f>
        <v>1</v>
      </c>
      <c r="AC8" s="409">
        <f t="shared" ref="AC8:AC44" si="4">IF(Y8="Competitors","Forum Link",Z8)</f>
        <v>147366</v>
      </c>
      <c r="AD8" s="409">
        <f t="shared" ref="AD8:AD44" si="5">IF(Y8="Competitors","Domains",AA8)</f>
        <v>6689</v>
      </c>
    </row>
    <row r="9" s="408" customFormat="1" spans="1:30">
      <c r="A9" s="428" t="s">
        <v>230</v>
      </c>
      <c r="B9" s="421" t="s">
        <v>237</v>
      </c>
      <c r="C9" s="429" t="str">
        <f>VLOOKUP(B9,正厂竞争者数据汇总!D:H,2,FALSE)</f>
        <v>原厂目录</v>
      </c>
      <c r="D9" s="421" t="str">
        <f>VLOOKUP(B9,正厂竞争者数据汇总!D:H,3,FALSE)</f>
        <v>MA</v>
      </c>
      <c r="E9" s="430"/>
      <c r="F9" s="430">
        <v>114971.738333333</v>
      </c>
      <c r="G9" s="430"/>
      <c r="H9" s="430"/>
      <c r="I9" s="450"/>
      <c r="J9" s="451">
        <v>0.0494824660236425</v>
      </c>
      <c r="K9" s="451">
        <v>0.0522325361340612</v>
      </c>
      <c r="L9" s="451">
        <v>0.0536896510295909</v>
      </c>
      <c r="M9" s="452"/>
      <c r="N9" s="451"/>
      <c r="O9" s="430"/>
      <c r="P9" s="542">
        <f t="array" ref="P9">INDEX(正厂竞争者数据汇总!I:I,MATCH($A$1&amp;B9,正厂竞争者数据汇总!A:A&amp;正厂竞争者数据汇总!D:D,0))</f>
        <v>0</v>
      </c>
      <c r="Q9" s="429"/>
      <c r="R9" s="421"/>
      <c r="S9" s="472">
        <v>34787</v>
      </c>
      <c r="T9" s="472">
        <v>861</v>
      </c>
      <c r="U9" s="466"/>
      <c r="V9" s="466"/>
      <c r="W9" s="466"/>
      <c r="X9" s="466"/>
      <c r="Y9" s="200" t="s">
        <v>237</v>
      </c>
      <c r="Z9" s="200">
        <v>33995</v>
      </c>
      <c r="AA9" s="200">
        <v>926</v>
      </c>
      <c r="AB9" s="410">
        <f t="shared" si="3"/>
        <v>1</v>
      </c>
      <c r="AC9" s="409">
        <f t="shared" si="4"/>
        <v>33995</v>
      </c>
      <c r="AD9" s="409">
        <f t="shared" si="5"/>
        <v>926</v>
      </c>
    </row>
    <row r="10" s="410" customFormat="1" spans="1:30">
      <c r="A10" s="432"/>
      <c r="B10" s="435"/>
      <c r="C10" s="434"/>
      <c r="D10" s="435"/>
      <c r="E10" s="430"/>
      <c r="F10" s="430"/>
      <c r="G10" s="430"/>
      <c r="H10" s="430"/>
      <c r="I10" s="453"/>
      <c r="J10" s="436"/>
      <c r="K10" s="436"/>
      <c r="L10" s="436"/>
      <c r="M10" s="451"/>
      <c r="N10" s="455"/>
      <c r="O10" s="436"/>
      <c r="P10" s="542"/>
      <c r="Q10" s="434"/>
      <c r="R10" s="435"/>
      <c r="S10" s="473" t="s">
        <v>180</v>
      </c>
      <c r="T10" s="473" t="s">
        <v>180</v>
      </c>
      <c r="U10" s="477"/>
      <c r="V10" s="466"/>
      <c r="W10" s="435"/>
      <c r="X10" s="435"/>
      <c r="Y10" s="200" t="s">
        <v>240</v>
      </c>
      <c r="Z10" s="200" t="s">
        <v>180</v>
      </c>
      <c r="AA10" s="200" t="s">
        <v>180</v>
      </c>
      <c r="AB10" s="410">
        <f t="shared" si="3"/>
        <v>0</v>
      </c>
      <c r="AC10" s="409" t="str">
        <f t="shared" si="4"/>
        <v/>
      </c>
      <c r="AD10" s="409" t="str">
        <f t="shared" si="5"/>
        <v/>
      </c>
    </row>
    <row r="11" s="408" customFormat="1" spans="1:30">
      <c r="A11" s="428"/>
      <c r="B11" s="421"/>
      <c r="C11" s="439"/>
      <c r="D11" s="421"/>
      <c r="E11" s="430"/>
      <c r="F11" s="430">
        <v>2323484.40917233</v>
      </c>
      <c r="G11" s="430">
        <v>2122774.16666666</v>
      </c>
      <c r="H11" s="430">
        <v>2262821.16666667</v>
      </c>
      <c r="I11" s="453">
        <v>0.0945509162761502</v>
      </c>
      <c r="J11" s="451"/>
      <c r="K11" s="451"/>
      <c r="L11" s="451"/>
      <c r="M11" s="451"/>
      <c r="N11" s="451">
        <f>SUM(N3:N4)</f>
        <v>0</v>
      </c>
      <c r="O11" s="451"/>
      <c r="P11" s="542"/>
      <c r="Q11" s="429"/>
      <c r="R11" s="421"/>
      <c r="S11" s="473" t="s">
        <v>180</v>
      </c>
      <c r="T11" s="473" t="s">
        <v>180</v>
      </c>
      <c r="U11" s="466"/>
      <c r="V11" s="466"/>
      <c r="W11" s="421"/>
      <c r="X11" s="421"/>
      <c r="Y11" s="200" t="s">
        <v>240</v>
      </c>
      <c r="Z11" s="200" t="s">
        <v>180</v>
      </c>
      <c r="AA11" s="200" t="s">
        <v>180</v>
      </c>
      <c r="AB11" s="410">
        <f t="shared" si="3"/>
        <v>0</v>
      </c>
      <c r="AC11" s="409" t="str">
        <f t="shared" si="4"/>
        <v/>
      </c>
      <c r="AD11" s="409" t="str">
        <f t="shared" si="5"/>
        <v/>
      </c>
    </row>
    <row r="12" s="408" customFormat="1" spans="1:30">
      <c r="A12" s="428"/>
      <c r="B12" s="421"/>
      <c r="C12" s="439"/>
      <c r="D12" s="421"/>
      <c r="E12" s="430"/>
      <c r="F12" s="430"/>
      <c r="G12" s="430"/>
      <c r="H12" s="430"/>
      <c r="I12" s="453"/>
      <c r="J12" s="430"/>
      <c r="K12" s="430"/>
      <c r="L12" s="430"/>
      <c r="M12" s="451"/>
      <c r="N12" s="451"/>
      <c r="O12" s="430"/>
      <c r="P12" s="542"/>
      <c r="Q12" s="429"/>
      <c r="R12" s="421"/>
      <c r="S12" s="473" t="s">
        <v>180</v>
      </c>
      <c r="T12" s="473" t="s">
        <v>180</v>
      </c>
      <c r="U12" s="466"/>
      <c r="V12" s="466"/>
      <c r="W12" s="421"/>
      <c r="X12" s="421"/>
      <c r="Y12" s="200" t="s">
        <v>240</v>
      </c>
      <c r="Z12" s="200" t="s">
        <v>180</v>
      </c>
      <c r="AA12" s="200" t="s">
        <v>180</v>
      </c>
      <c r="AB12" s="410">
        <f t="shared" si="3"/>
        <v>0</v>
      </c>
      <c r="AC12" s="409" t="str">
        <f t="shared" si="4"/>
        <v/>
      </c>
      <c r="AD12" s="409" t="str">
        <f t="shared" si="5"/>
        <v/>
      </c>
    </row>
    <row r="13" s="408" customFormat="1" ht="17.4" spans="1:30">
      <c r="A13" s="418" t="s">
        <v>141</v>
      </c>
      <c r="B13" s="441"/>
      <c r="C13" s="420"/>
      <c r="D13" s="421"/>
      <c r="E13" s="422" t="s">
        <v>202</v>
      </c>
      <c r="F13" s="422"/>
      <c r="G13" s="422"/>
      <c r="H13" s="422"/>
      <c r="I13" s="422"/>
      <c r="J13" s="422"/>
      <c r="K13" s="422"/>
      <c r="L13" s="422"/>
      <c r="M13" s="443"/>
      <c r="N13" s="444"/>
      <c r="O13" s="422"/>
      <c r="P13" s="542"/>
      <c r="Q13" s="465"/>
      <c r="R13" s="424"/>
      <c r="S13" s="473" t="s">
        <v>180</v>
      </c>
      <c r="T13" s="473" t="s">
        <v>180</v>
      </c>
      <c r="U13" s="467"/>
      <c r="V13" s="467"/>
      <c r="W13" s="467"/>
      <c r="X13" s="467"/>
      <c r="Y13" s="200" t="s">
        <v>240</v>
      </c>
      <c r="Z13" s="200" t="s">
        <v>180</v>
      </c>
      <c r="AA13" s="200" t="s">
        <v>180</v>
      </c>
      <c r="AB13" s="410">
        <f t="shared" si="3"/>
        <v>0</v>
      </c>
      <c r="AC13" s="409" t="str">
        <f t="shared" si="4"/>
        <v/>
      </c>
      <c r="AD13" s="409" t="str">
        <f t="shared" si="5"/>
        <v/>
      </c>
    </row>
    <row r="14" s="409" customFormat="1" ht="46.8" spans="1:30">
      <c r="A14" s="423" t="s">
        <v>206</v>
      </c>
      <c r="B14" s="424" t="s">
        <v>207</v>
      </c>
      <c r="C14" s="425" t="s">
        <v>208</v>
      </c>
      <c r="D14" s="424" t="s">
        <v>209</v>
      </c>
      <c r="E14" s="426" t="s">
        <v>210</v>
      </c>
      <c r="F14" s="427" t="s">
        <v>385</v>
      </c>
      <c r="G14" s="427" t="s">
        <v>213</v>
      </c>
      <c r="H14" s="427" t="s">
        <v>213</v>
      </c>
      <c r="I14" s="427" t="s">
        <v>386</v>
      </c>
      <c r="J14" s="446" t="s">
        <v>216</v>
      </c>
      <c r="K14" s="446" t="s">
        <v>217</v>
      </c>
      <c r="L14" s="446" t="s">
        <v>387</v>
      </c>
      <c r="M14" s="447" t="s">
        <v>218</v>
      </c>
      <c r="N14" s="448" t="s">
        <v>219</v>
      </c>
      <c r="O14" s="449" t="s">
        <v>220</v>
      </c>
      <c r="P14" s="543" t="s">
        <v>221</v>
      </c>
      <c r="Q14" s="469" t="s">
        <v>222</v>
      </c>
      <c r="R14" s="426" t="s">
        <v>223</v>
      </c>
      <c r="S14" s="470" t="s">
        <v>224</v>
      </c>
      <c r="T14" s="470" t="s">
        <v>205</v>
      </c>
      <c r="U14" s="467" t="s">
        <v>225</v>
      </c>
      <c r="V14" s="470" t="s">
        <v>226</v>
      </c>
      <c r="W14" s="467"/>
      <c r="X14" s="467"/>
      <c r="Y14" s="200" t="s">
        <v>207</v>
      </c>
      <c r="Z14" s="200" t="s">
        <v>180</v>
      </c>
      <c r="AA14" s="200" t="s">
        <v>180</v>
      </c>
      <c r="AB14" s="410">
        <f t="shared" si="3"/>
        <v>1</v>
      </c>
      <c r="AC14" s="409" t="str">
        <f t="shared" si="4"/>
        <v>Forum Link</v>
      </c>
      <c r="AD14" s="409" t="str">
        <f t="shared" si="5"/>
        <v>Domains</v>
      </c>
    </row>
    <row r="15" s="410" customFormat="1" ht="17.4" spans="1:30">
      <c r="A15" s="432" t="s">
        <v>227</v>
      </c>
      <c r="B15" s="432" t="s">
        <v>142</v>
      </c>
      <c r="C15" s="434" t="str">
        <f>VLOOKUP(B15,正厂竞争者数据汇总!D:H,2,FALSE)</f>
        <v>原厂目录</v>
      </c>
      <c r="D15" s="435" t="str">
        <f>VLOOKUP(B15,正厂竞争者数据汇总!D:H,3,FALSE)</f>
        <v>CA</v>
      </c>
      <c r="E15" s="436">
        <f>VLOOKUP(B15,正厂竞争者数据汇总!D:H,4,FALSE)</f>
        <v>0</v>
      </c>
      <c r="F15" s="436">
        <v>811247.916666667</v>
      </c>
      <c r="G15" s="436">
        <v>506654</v>
      </c>
      <c r="H15" s="436">
        <v>541471.75</v>
      </c>
      <c r="I15" s="454">
        <v>0.60118723362821</v>
      </c>
      <c r="J15" s="455">
        <v>0.408887129089049</v>
      </c>
      <c r="K15" s="455">
        <v>0.398923002498233</v>
      </c>
      <c r="L15" s="455">
        <v>0.371037150212324</v>
      </c>
      <c r="M15" s="456">
        <f>J15-K15</f>
        <v>0.00996412659081553</v>
      </c>
      <c r="N15" s="455" t="str">
        <f>IFERROR(O15*0.5/#REF!,"")</f>
        <v/>
      </c>
      <c r="O15" s="436" t="s">
        <v>180</v>
      </c>
      <c r="P15" s="542">
        <f t="array" ref="P15">INDEX(正厂竞争者数据汇总!I:I,MATCH($A$13&amp;B15,正厂竞争者数据汇总!A:A&amp;正厂竞争者数据汇总!D:D,0))</f>
        <v>0</v>
      </c>
      <c r="Q15" s="434" t="s">
        <v>241</v>
      </c>
      <c r="R15" s="435" t="s">
        <v>229</v>
      </c>
      <c r="S15" s="476">
        <v>44135</v>
      </c>
      <c r="T15" s="476">
        <v>5639</v>
      </c>
      <c r="U15" s="477"/>
      <c r="V15" s="477"/>
      <c r="W15" s="435"/>
      <c r="X15" s="435"/>
      <c r="Y15" s="200" t="s">
        <v>142</v>
      </c>
      <c r="Z15" s="200">
        <v>42218</v>
      </c>
      <c r="AA15" s="200">
        <v>4939</v>
      </c>
      <c r="AB15" s="410">
        <f t="shared" si="3"/>
        <v>1</v>
      </c>
      <c r="AC15" s="409">
        <f t="shared" si="4"/>
        <v>42218</v>
      </c>
      <c r="AD15" s="409">
        <f t="shared" si="5"/>
        <v>4939</v>
      </c>
    </row>
    <row r="16" s="408" customFormat="1" spans="1:30">
      <c r="A16" s="428" t="s">
        <v>230</v>
      </c>
      <c r="B16" s="421" t="s">
        <v>242</v>
      </c>
      <c r="C16" s="429" t="str">
        <f>VLOOKUP(B16,正厂竞争者数据汇总!D:H,2,FALSE)</f>
        <v>Motor目录</v>
      </c>
      <c r="D16" s="421" t="str">
        <f>VLOOKUP(B16,正厂竞争者数据汇总!D:H,3,FALSE)</f>
        <v>KS</v>
      </c>
      <c r="E16" s="430"/>
      <c r="F16" s="430">
        <v>407192.42</v>
      </c>
      <c r="G16" s="430"/>
      <c r="H16" s="430"/>
      <c r="I16" s="450"/>
      <c r="J16" s="451">
        <v>0.205234104371862</v>
      </c>
      <c r="K16" s="451">
        <v>0.179416855612565</v>
      </c>
      <c r="L16" s="451">
        <v>0.175725805488229</v>
      </c>
      <c r="M16" s="452"/>
      <c r="N16" s="451"/>
      <c r="O16" s="430"/>
      <c r="P16" s="542">
        <f t="array" ref="P16">INDEX(正厂竞争者数据汇总!I:I,MATCH($A$13&amp;B16,正厂竞争者数据汇总!A:A&amp;正厂竞争者数据汇总!D:D,0))</f>
        <v>0</v>
      </c>
      <c r="Q16" s="429"/>
      <c r="R16" s="421"/>
      <c r="S16" s="472">
        <v>998673</v>
      </c>
      <c r="T16" s="472">
        <v>1234</v>
      </c>
      <c r="U16" s="466"/>
      <c r="V16" s="466"/>
      <c r="W16" s="466"/>
      <c r="X16" s="466"/>
      <c r="Y16" s="200" t="s">
        <v>242</v>
      </c>
      <c r="Z16" s="200">
        <v>1011324</v>
      </c>
      <c r="AA16" s="200">
        <v>1281</v>
      </c>
      <c r="AB16" s="410">
        <f t="shared" si="3"/>
        <v>1</v>
      </c>
      <c r="AC16" s="409">
        <f t="shared" si="4"/>
        <v>1011324</v>
      </c>
      <c r="AD16" s="409">
        <f t="shared" si="5"/>
        <v>1281</v>
      </c>
    </row>
    <row r="17" s="408" customFormat="1" spans="1:30">
      <c r="A17" s="428" t="s">
        <v>243</v>
      </c>
      <c r="B17" s="421" t="s">
        <v>244</v>
      </c>
      <c r="C17" s="429" t="str">
        <f>VLOOKUP(B17,正厂竞争者数据汇总!D:H,2,FALSE)</f>
        <v>旧年份原厂、新年份Motor</v>
      </c>
      <c r="D17" s="421" t="str">
        <f>VLOOKUP(B17,正厂竞争者数据汇总!D:H,3,FALSE)</f>
        <v>FL</v>
      </c>
      <c r="E17" s="430"/>
      <c r="F17" s="430">
        <v>294757.563333333</v>
      </c>
      <c r="G17" s="430"/>
      <c r="H17" s="430"/>
      <c r="I17" s="450"/>
      <c r="J17" s="451">
        <v>0.148564417082098</v>
      </c>
      <c r="K17" s="451">
        <v>0.169677757221057</v>
      </c>
      <c r="L17" s="451">
        <v>0.183050355354944</v>
      </c>
      <c r="M17" s="452"/>
      <c r="N17" s="451"/>
      <c r="O17" s="430"/>
      <c r="P17" s="542">
        <f t="array" ref="P17">INDEX(正厂竞争者数据汇总!I:I,MATCH($A$13&amp;B17,正厂竞争者数据汇总!A:A&amp;正厂竞争者数据汇总!D:D,0))</f>
        <v>0</v>
      </c>
      <c r="Q17" s="429"/>
      <c r="R17" s="421"/>
      <c r="S17" s="472">
        <v>5977</v>
      </c>
      <c r="T17" s="472">
        <v>733</v>
      </c>
      <c r="U17" s="466"/>
      <c r="V17" s="466"/>
      <c r="W17" s="466"/>
      <c r="X17" s="466"/>
      <c r="Y17" s="200" t="s">
        <v>244</v>
      </c>
      <c r="Z17" s="200">
        <v>5818</v>
      </c>
      <c r="AA17" s="200">
        <v>620</v>
      </c>
      <c r="AB17" s="410">
        <f t="shared" si="3"/>
        <v>1</v>
      </c>
      <c r="AC17" s="409">
        <f t="shared" si="4"/>
        <v>5818</v>
      </c>
      <c r="AD17" s="409">
        <f t="shared" si="5"/>
        <v>620</v>
      </c>
    </row>
    <row r="18" s="408" customFormat="1" spans="1:30">
      <c r="A18" s="428" t="s">
        <v>230</v>
      </c>
      <c r="B18" s="421" t="s">
        <v>245</v>
      </c>
      <c r="C18" s="429" t="str">
        <f>VLOOKUP(B18,正厂竞争者数据汇总!D:H,2,FALSE)</f>
        <v>Motor目录</v>
      </c>
      <c r="D18" s="421" t="str">
        <f>VLOOKUP(B18,正厂竞争者数据汇总!D:H,3,FALSE)</f>
        <v>SC,NC,MS</v>
      </c>
      <c r="E18" s="430"/>
      <c r="F18" s="430">
        <v>150169.083333333</v>
      </c>
      <c r="G18" s="430"/>
      <c r="H18" s="430"/>
      <c r="I18" s="450"/>
      <c r="J18" s="451">
        <v>0.0756885831083497</v>
      </c>
      <c r="K18" s="451">
        <v>0.075936217159009</v>
      </c>
      <c r="L18" s="451">
        <v>0.0869240556538917</v>
      </c>
      <c r="M18" s="452"/>
      <c r="N18" s="451"/>
      <c r="O18" s="430"/>
      <c r="P18" s="542" t="str">
        <f t="array" ref="P18">INDEX(正厂竞争者数据汇总!I:I,MATCH($A$13&amp;B18,正厂竞争者数据汇总!A:A&amp;正厂竞争者数据汇总!D:D,0))</f>
        <v>2021年02新加竞争者</v>
      </c>
      <c r="Q18" s="429"/>
      <c r="R18" s="421"/>
      <c r="S18" s="472">
        <v>3691</v>
      </c>
      <c r="T18" s="472">
        <v>346</v>
      </c>
      <c r="U18" s="466"/>
      <c r="V18" s="466"/>
      <c r="W18" s="466"/>
      <c r="X18" s="466"/>
      <c r="Y18" s="200" t="s">
        <v>245</v>
      </c>
      <c r="Z18" s="200">
        <v>3883</v>
      </c>
      <c r="AA18" s="200">
        <v>375</v>
      </c>
      <c r="AB18" s="410">
        <f t="shared" si="3"/>
        <v>1</v>
      </c>
      <c r="AC18" s="409">
        <f t="shared" si="4"/>
        <v>3883</v>
      </c>
      <c r="AD18" s="409">
        <f t="shared" si="5"/>
        <v>375</v>
      </c>
    </row>
    <row r="19" s="408" customFormat="1" ht="17.4" spans="1:30">
      <c r="A19" s="428" t="s">
        <v>230</v>
      </c>
      <c r="B19" s="421" t="s">
        <v>246</v>
      </c>
      <c r="C19" s="429" t="s">
        <v>247</v>
      </c>
      <c r="D19" s="421" t="s">
        <v>49</v>
      </c>
      <c r="E19" s="430"/>
      <c r="F19" s="430">
        <v>158917.161666667</v>
      </c>
      <c r="G19" s="430"/>
      <c r="H19" s="430"/>
      <c r="I19" s="450"/>
      <c r="J19" s="451">
        <v>0.0800978106222526</v>
      </c>
      <c r="K19" s="451">
        <v>0.0696128321723665</v>
      </c>
      <c r="L19" s="451">
        <v>0.0588068868135914</v>
      </c>
      <c r="M19" s="452"/>
      <c r="N19" s="451"/>
      <c r="O19" s="430"/>
      <c r="P19" s="542" t="str">
        <f t="array" ref="P19">INDEX(正厂竞争者数据汇总!I:I,MATCH($A$13&amp;B19,正厂竞争者数据汇总!A:A&amp;正厂竞争者数据汇总!D:D,0))</f>
        <v>2023年2月新增正厂</v>
      </c>
      <c r="Q19" s="429"/>
      <c r="R19" s="421"/>
      <c r="S19" s="472">
        <v>1929</v>
      </c>
      <c r="T19" s="472">
        <v>155</v>
      </c>
      <c r="U19" s="466"/>
      <c r="V19" s="466"/>
      <c r="W19" s="466"/>
      <c r="X19" s="466"/>
      <c r="Y19" s="200" t="s">
        <v>246</v>
      </c>
      <c r="Z19" s="200">
        <v>1996</v>
      </c>
      <c r="AA19" s="200">
        <v>157</v>
      </c>
      <c r="AB19" s="410">
        <f t="shared" si="3"/>
        <v>1</v>
      </c>
      <c r="AC19" s="409">
        <f t="shared" si="4"/>
        <v>1996</v>
      </c>
      <c r="AD19" s="409">
        <f t="shared" si="5"/>
        <v>157</v>
      </c>
    </row>
    <row r="20" s="408" customFormat="1" ht="31.2" spans="1:30">
      <c r="A20" s="428" t="s">
        <v>230</v>
      </c>
      <c r="B20" s="421" t="s">
        <v>248</v>
      </c>
      <c r="C20" s="429" t="str">
        <f>VLOOKUP(B20,正厂竞争者数据汇总!D:H,2,FALSE)</f>
        <v>Motor</v>
      </c>
      <c r="D20" s="421" t="str">
        <f>VLOOKUP(B20,正厂竞争者数据汇总!D:H,3,FALSE)</f>
        <v>VA</v>
      </c>
      <c r="E20" s="430"/>
      <c r="F20" s="430">
        <v>126580.04</v>
      </c>
      <c r="G20" s="430"/>
      <c r="H20" s="430"/>
      <c r="I20" s="450"/>
      <c r="J20" s="451">
        <v>0.0637991766662906</v>
      </c>
      <c r="K20" s="451">
        <v>0.0654952026113493</v>
      </c>
      <c r="L20" s="451">
        <v>0.0649206333902038</v>
      </c>
      <c r="M20" s="452"/>
      <c r="N20" s="451"/>
      <c r="O20" s="430"/>
      <c r="P20" s="542" t="str">
        <f t="array" ref="P20">INDEX(正厂竞争者数据汇总!I:I,MATCH($A$13&amp;B20,正厂竞争者数据汇总!A:A&amp;正厂竞争者数据汇总!D:D,0))</f>
        <v>2023年11月新增，toyotaparts.mcgeorgetoyota.com将流量导出至此网站，10月报告中更换竞品名称为toyotaparts.mcgeorgetoyota.com</v>
      </c>
      <c r="Q20" s="429"/>
      <c r="R20" s="421"/>
      <c r="S20" s="472">
        <v>178</v>
      </c>
      <c r="T20" s="472">
        <v>35</v>
      </c>
      <c r="U20" s="466"/>
      <c r="V20" s="466"/>
      <c r="W20" s="466"/>
      <c r="X20" s="466"/>
      <c r="Y20" s="200" t="s">
        <v>248</v>
      </c>
      <c r="Z20" s="200">
        <v>69</v>
      </c>
      <c r="AA20" s="200">
        <v>19</v>
      </c>
      <c r="AB20" s="410">
        <f t="shared" si="3"/>
        <v>1</v>
      </c>
      <c r="AC20" s="409">
        <f t="shared" si="4"/>
        <v>69</v>
      </c>
      <c r="AD20" s="409">
        <f t="shared" si="5"/>
        <v>19</v>
      </c>
    </row>
    <row r="21" s="408" customFormat="1" ht="17.4" spans="1:30">
      <c r="A21" s="428" t="s">
        <v>230</v>
      </c>
      <c r="B21" s="421" t="s">
        <v>249</v>
      </c>
      <c r="C21" s="429" t="s">
        <v>247</v>
      </c>
      <c r="D21" s="421" t="s">
        <v>250</v>
      </c>
      <c r="E21" s="430"/>
      <c r="F21" s="430">
        <v>35174.585</v>
      </c>
      <c r="G21" s="430"/>
      <c r="H21" s="430"/>
      <c r="I21" s="450"/>
      <c r="J21" s="451">
        <v>0.0177287790600987</v>
      </c>
      <c r="K21" s="451">
        <v>0.0409381327254202</v>
      </c>
      <c r="L21" s="451">
        <v>0.0595351130868167</v>
      </c>
      <c r="M21" s="452"/>
      <c r="N21" s="451"/>
      <c r="O21" s="430"/>
      <c r="P21" s="542" t="str">
        <f t="array" ref="P21">INDEX(正厂竞争者数据汇总!I:I,MATCH($A$13&amp;B21,正厂竞争者数据汇总!A:A&amp;正厂竞争者数据汇总!D:D,0))</f>
        <v>2023年2月新增正厂</v>
      </c>
      <c r="Q21" s="429"/>
      <c r="R21" s="421"/>
      <c r="S21" s="472">
        <v>2694</v>
      </c>
      <c r="T21" s="472">
        <v>175</v>
      </c>
      <c r="U21" s="466"/>
      <c r="V21" s="466"/>
      <c r="W21" s="466"/>
      <c r="X21" s="466"/>
      <c r="Y21" s="200" t="s">
        <v>249</v>
      </c>
      <c r="Z21" s="200">
        <v>2863</v>
      </c>
      <c r="AA21" s="200">
        <v>190</v>
      </c>
      <c r="AB21" s="410">
        <f t="shared" si="3"/>
        <v>1</v>
      </c>
      <c r="AC21" s="409">
        <f t="shared" si="4"/>
        <v>2863</v>
      </c>
      <c r="AD21" s="409">
        <f t="shared" si="5"/>
        <v>190</v>
      </c>
    </row>
    <row r="22" s="410" customFormat="1" spans="1:30">
      <c r="A22" s="428"/>
      <c r="B22" s="438"/>
      <c r="C22" s="429"/>
      <c r="D22" s="421"/>
      <c r="E22" s="430"/>
      <c r="F22" s="430"/>
      <c r="G22" s="430"/>
      <c r="H22" s="430"/>
      <c r="I22" s="453"/>
      <c r="J22" s="463"/>
      <c r="K22" s="463"/>
      <c r="L22" s="463"/>
      <c r="M22" s="451"/>
      <c r="N22" s="459"/>
      <c r="O22" s="430"/>
      <c r="P22" s="542"/>
      <c r="Q22" s="429"/>
      <c r="R22" s="435"/>
      <c r="S22" s="473" t="s">
        <v>180</v>
      </c>
      <c r="T22" s="473" t="s">
        <v>180</v>
      </c>
      <c r="U22" s="466"/>
      <c r="V22" s="466"/>
      <c r="W22" s="421"/>
      <c r="X22" s="421"/>
      <c r="Y22" s="200" t="s">
        <v>240</v>
      </c>
      <c r="Z22" s="200" t="s">
        <v>180</v>
      </c>
      <c r="AA22" s="200" t="s">
        <v>180</v>
      </c>
      <c r="AB22" s="410">
        <f t="shared" si="3"/>
        <v>0</v>
      </c>
      <c r="AC22" s="409" t="str">
        <f t="shared" si="4"/>
        <v/>
      </c>
      <c r="AD22" s="409" t="str">
        <f t="shared" si="5"/>
        <v/>
      </c>
    </row>
    <row r="23" s="408" customFormat="1" spans="1:30">
      <c r="A23" s="428"/>
      <c r="B23" s="421"/>
      <c r="C23" s="439"/>
      <c r="D23" s="421"/>
      <c r="E23" s="430"/>
      <c r="F23" s="430">
        <v>1984038.77</v>
      </c>
      <c r="G23" s="430">
        <v>1471722.72</v>
      </c>
      <c r="H23" s="430">
        <v>1511577.56416667</v>
      </c>
      <c r="I23" s="453">
        <v>0.348106367482049</v>
      </c>
      <c r="J23" s="430"/>
      <c r="K23" s="513"/>
      <c r="L23" s="430"/>
      <c r="M23" s="451"/>
      <c r="N23" s="459"/>
      <c r="O23" s="430"/>
      <c r="P23" s="542"/>
      <c r="Q23" s="429" t="s">
        <v>180</v>
      </c>
      <c r="R23" s="421"/>
      <c r="S23" s="473" t="s">
        <v>180</v>
      </c>
      <c r="T23" s="473" t="s">
        <v>180</v>
      </c>
      <c r="U23" s="466"/>
      <c r="V23" s="466"/>
      <c r="W23" s="421"/>
      <c r="X23" s="421"/>
      <c r="Y23" s="200" t="s">
        <v>240</v>
      </c>
      <c r="Z23" s="200" t="s">
        <v>180</v>
      </c>
      <c r="AA23" s="200" t="s">
        <v>180</v>
      </c>
      <c r="AB23" s="410">
        <f t="shared" si="3"/>
        <v>0</v>
      </c>
      <c r="AC23" s="409" t="str">
        <f t="shared" si="4"/>
        <v/>
      </c>
      <c r="AD23" s="409" t="str">
        <f t="shared" si="5"/>
        <v/>
      </c>
    </row>
    <row r="24" s="408" customFormat="1" spans="1:30">
      <c r="A24" s="428"/>
      <c r="B24" s="421"/>
      <c r="C24" s="439"/>
      <c r="D24" s="421"/>
      <c r="E24" s="430"/>
      <c r="F24" s="430"/>
      <c r="G24" s="430"/>
      <c r="H24" s="430"/>
      <c r="I24" s="453"/>
      <c r="J24" s="430"/>
      <c r="K24" s="430"/>
      <c r="L24" s="430"/>
      <c r="M24" s="451"/>
      <c r="N24" s="451"/>
      <c r="O24" s="430"/>
      <c r="P24" s="542"/>
      <c r="Q24" s="429"/>
      <c r="R24" s="421"/>
      <c r="S24" s="473" t="s">
        <v>180</v>
      </c>
      <c r="T24" s="473" t="s">
        <v>180</v>
      </c>
      <c r="U24" s="466"/>
      <c r="V24" s="466"/>
      <c r="W24" s="421"/>
      <c r="X24" s="421"/>
      <c r="Y24" s="200" t="s">
        <v>240</v>
      </c>
      <c r="Z24" s="200" t="s">
        <v>180</v>
      </c>
      <c r="AA24" s="200" t="s">
        <v>180</v>
      </c>
      <c r="AB24" s="410">
        <f t="shared" si="3"/>
        <v>0</v>
      </c>
      <c r="AC24" s="409" t="str">
        <f t="shared" si="4"/>
        <v/>
      </c>
      <c r="AD24" s="409" t="str">
        <f t="shared" si="5"/>
        <v/>
      </c>
    </row>
    <row r="25" s="408" customFormat="1" ht="17.4" spans="1:30">
      <c r="A25" s="418" t="s">
        <v>145</v>
      </c>
      <c r="B25" s="419"/>
      <c r="C25" s="420"/>
      <c r="D25" s="421"/>
      <c r="E25" s="422" t="s">
        <v>202</v>
      </c>
      <c r="F25" s="422"/>
      <c r="G25" s="422"/>
      <c r="H25" s="422"/>
      <c r="I25" s="422"/>
      <c r="J25" s="422"/>
      <c r="K25" s="422"/>
      <c r="L25" s="422"/>
      <c r="M25" s="443"/>
      <c r="N25" s="444"/>
      <c r="O25" s="422"/>
      <c r="P25" s="544"/>
      <c r="Q25" s="465"/>
      <c r="R25" s="424"/>
      <c r="S25" s="421" t="s">
        <v>180</v>
      </c>
      <c r="T25" s="421" t="s">
        <v>180</v>
      </c>
      <c r="U25" s="466"/>
      <c r="V25" s="467"/>
      <c r="W25" s="467"/>
      <c r="X25" s="467"/>
      <c r="Y25" s="200" t="s">
        <v>240</v>
      </c>
      <c r="Z25" s="200" t="s">
        <v>180</v>
      </c>
      <c r="AA25" s="200" t="s">
        <v>180</v>
      </c>
      <c r="AB25" s="410">
        <f t="shared" si="3"/>
        <v>0</v>
      </c>
      <c r="AC25" s="409" t="str">
        <f t="shared" si="4"/>
        <v/>
      </c>
      <c r="AD25" s="409" t="str">
        <f t="shared" si="5"/>
        <v/>
      </c>
    </row>
    <row r="26" s="409" customFormat="1" ht="46.8" spans="1:30">
      <c r="A26" s="423" t="s">
        <v>206</v>
      </c>
      <c r="B26" s="424" t="s">
        <v>207</v>
      </c>
      <c r="C26" s="425" t="s">
        <v>208</v>
      </c>
      <c r="D26" s="424" t="s">
        <v>209</v>
      </c>
      <c r="E26" s="426" t="s">
        <v>210</v>
      </c>
      <c r="F26" s="427" t="s">
        <v>385</v>
      </c>
      <c r="G26" s="427" t="s">
        <v>213</v>
      </c>
      <c r="H26" s="427" t="s">
        <v>213</v>
      </c>
      <c r="I26" s="427" t="s">
        <v>386</v>
      </c>
      <c r="J26" s="446" t="s">
        <v>216</v>
      </c>
      <c r="K26" s="446" t="s">
        <v>217</v>
      </c>
      <c r="L26" s="446" t="s">
        <v>387</v>
      </c>
      <c r="M26" s="447" t="s">
        <v>218</v>
      </c>
      <c r="N26" s="448" t="s">
        <v>219</v>
      </c>
      <c r="O26" s="449" t="s">
        <v>220</v>
      </c>
      <c r="P26" s="543" t="s">
        <v>221</v>
      </c>
      <c r="Q26" s="469" t="s">
        <v>222</v>
      </c>
      <c r="R26" s="426" t="s">
        <v>223</v>
      </c>
      <c r="S26" s="470" t="s">
        <v>224</v>
      </c>
      <c r="T26" s="470" t="s">
        <v>205</v>
      </c>
      <c r="U26" s="467" t="s">
        <v>225</v>
      </c>
      <c r="V26" s="470" t="s">
        <v>226</v>
      </c>
      <c r="W26" s="467"/>
      <c r="X26" s="467"/>
      <c r="Y26" s="200" t="s">
        <v>207</v>
      </c>
      <c r="Z26" s="200" t="s">
        <v>180</v>
      </c>
      <c r="AA26" s="200" t="s">
        <v>180</v>
      </c>
      <c r="AB26" s="410">
        <f t="shared" si="3"/>
        <v>1</v>
      </c>
      <c r="AC26" s="409" t="str">
        <f t="shared" si="4"/>
        <v>Forum Link</v>
      </c>
      <c r="AD26" s="409" t="str">
        <f t="shared" si="5"/>
        <v>Domains</v>
      </c>
    </row>
    <row r="27" s="410" customFormat="1" spans="1:30">
      <c r="A27" s="432" t="s">
        <v>227</v>
      </c>
      <c r="B27" s="432" t="s">
        <v>146</v>
      </c>
      <c r="C27" s="434" t="str">
        <f>VLOOKUP(B27,正厂竞争者数据汇总!D:H,2,FALSE)</f>
        <v>原厂目录</v>
      </c>
      <c r="D27" s="435" t="str">
        <f>VLOOKUP(B27,正厂竞争者数据汇总!D:H,3,FALSE)</f>
        <v>AZ</v>
      </c>
      <c r="E27" s="436"/>
      <c r="F27" s="436">
        <v>582663.583333333</v>
      </c>
      <c r="G27" s="436"/>
      <c r="H27" s="436"/>
      <c r="I27" s="510"/>
      <c r="J27" s="457">
        <v>0.31482126600503</v>
      </c>
      <c r="K27" s="457">
        <v>0.323458505528609</v>
      </c>
      <c r="L27" s="457">
        <v>0.300354830882225</v>
      </c>
      <c r="M27" s="461"/>
      <c r="N27" s="457"/>
      <c r="O27" s="436"/>
      <c r="P27" s="542">
        <f t="array" ref="P27">INDEX(正厂竞争者数据汇总!I:I,MATCH($A$25&amp;B27,正厂竞争者数据汇总!A:A&amp;正厂竞争者数据汇总!D:D,0))</f>
        <v>0</v>
      </c>
      <c r="Q27" s="434"/>
      <c r="R27" s="435"/>
      <c r="S27" s="476">
        <v>33634</v>
      </c>
      <c r="T27" s="476">
        <v>5401</v>
      </c>
      <c r="U27" s="477"/>
      <c r="V27" s="477"/>
      <c r="W27" s="477"/>
      <c r="X27" s="477"/>
      <c r="Y27" s="200" t="s">
        <v>146</v>
      </c>
      <c r="Z27" s="200">
        <v>30066</v>
      </c>
      <c r="AA27" s="200">
        <v>4690</v>
      </c>
      <c r="AB27" s="410">
        <f t="shared" si="3"/>
        <v>1</v>
      </c>
      <c r="AC27" s="409">
        <f t="shared" si="4"/>
        <v>30066</v>
      </c>
      <c r="AD27" s="409">
        <f t="shared" si="5"/>
        <v>4690</v>
      </c>
    </row>
    <row r="28" s="408" customFormat="1" spans="1:30">
      <c r="A28" s="428" t="s">
        <v>230</v>
      </c>
      <c r="B28" s="421" t="s">
        <v>251</v>
      </c>
      <c r="C28" s="429" t="str">
        <f>VLOOKUP(B28,正厂竞争者数据汇总!D:H,2,FALSE)</f>
        <v>Motor目录</v>
      </c>
      <c r="D28" s="421" t="str">
        <f>VLOOKUP(B28,正厂竞争者数据汇总!D:H,3,FALSE)</f>
        <v>NC</v>
      </c>
      <c r="E28" s="430"/>
      <c r="F28" s="430">
        <v>383620.783333333</v>
      </c>
      <c r="G28" s="430"/>
      <c r="H28" s="430"/>
      <c r="I28" s="450"/>
      <c r="J28" s="451">
        <v>0.207275663229066</v>
      </c>
      <c r="K28" s="451">
        <v>0.206619699358362</v>
      </c>
      <c r="L28" s="451">
        <v>0.20914466334851</v>
      </c>
      <c r="M28" s="452"/>
      <c r="N28" s="451"/>
      <c r="O28" s="430"/>
      <c r="P28" s="542">
        <f t="array" ref="P28">INDEX(正厂竞争者数据汇总!I:I,MATCH($A$25&amp;B28,正厂竞争者数据汇总!A:A&amp;正厂竞争者数据汇总!D:D,0))</f>
        <v>0</v>
      </c>
      <c r="Q28" s="429" t="s">
        <v>180</v>
      </c>
      <c r="R28" s="421" t="s">
        <v>180</v>
      </c>
      <c r="S28" s="472">
        <v>91693</v>
      </c>
      <c r="T28" s="472">
        <v>2075</v>
      </c>
      <c r="U28" s="466"/>
      <c r="V28" s="466"/>
      <c r="W28" s="466"/>
      <c r="X28" s="466"/>
      <c r="Y28" s="200" t="s">
        <v>251</v>
      </c>
      <c r="Z28" s="200">
        <v>106261</v>
      </c>
      <c r="AA28" s="200">
        <v>2197</v>
      </c>
      <c r="AB28" s="410">
        <f t="shared" si="3"/>
        <v>1</v>
      </c>
      <c r="AC28" s="409">
        <f t="shared" si="4"/>
        <v>106261</v>
      </c>
      <c r="AD28" s="409">
        <f t="shared" si="5"/>
        <v>2197</v>
      </c>
    </row>
    <row r="29" s="408" customFormat="1" spans="1:30">
      <c r="A29" s="428" t="s">
        <v>230</v>
      </c>
      <c r="B29" s="421" t="s">
        <v>252</v>
      </c>
      <c r="C29" s="429" t="str">
        <f>VLOOKUP(B29,正厂竞争者数据汇总!D:H,2,FALSE)</f>
        <v>Motor目录</v>
      </c>
      <c r="D29" s="421" t="str">
        <f>VLOOKUP(B29,正厂竞争者数据汇总!D:H,3,FALSE)</f>
        <v>AZ</v>
      </c>
      <c r="E29" s="430"/>
      <c r="F29" s="430">
        <v>252801.161666667</v>
      </c>
      <c r="G29" s="430"/>
      <c r="H29" s="430"/>
      <c r="I29" s="450"/>
      <c r="J29" s="451">
        <v>0.136591995861721</v>
      </c>
      <c r="K29" s="451">
        <v>0.131050832969517</v>
      </c>
      <c r="L29" s="451">
        <v>0.141237641493689</v>
      </c>
      <c r="M29" s="452"/>
      <c r="N29" s="451"/>
      <c r="O29" s="430"/>
      <c r="P29" s="542">
        <f t="array" ref="P29">INDEX(正厂竞争者数据汇总!I:I,MATCH($A$25&amp;B29,正厂竞争者数据汇总!A:A&amp;正厂竞争者数据汇总!D:D,0))</f>
        <v>0</v>
      </c>
      <c r="Q29" s="429" t="s">
        <v>180</v>
      </c>
      <c r="R29" s="421" t="s">
        <v>180</v>
      </c>
      <c r="S29" s="472">
        <v>10773</v>
      </c>
      <c r="T29" s="472">
        <v>887</v>
      </c>
      <c r="U29" s="466"/>
      <c r="V29" s="466"/>
      <c r="W29" s="466"/>
      <c r="X29" s="466"/>
      <c r="Y29" s="200" t="s">
        <v>252</v>
      </c>
      <c r="Z29" s="200">
        <v>10566</v>
      </c>
      <c r="AA29" s="200">
        <v>908</v>
      </c>
      <c r="AB29" s="410">
        <f t="shared" si="3"/>
        <v>1</v>
      </c>
      <c r="AC29" s="409">
        <f t="shared" si="4"/>
        <v>10566</v>
      </c>
      <c r="AD29" s="409">
        <f t="shared" si="5"/>
        <v>908</v>
      </c>
    </row>
    <row r="30" s="408" customFormat="1" ht="17.4" spans="1:30">
      <c r="A30" s="428" t="s">
        <v>230</v>
      </c>
      <c r="B30" s="421" t="s">
        <v>253</v>
      </c>
      <c r="C30" s="429" t="str">
        <f>VLOOKUP(B30,正厂竞争者数据汇总!D:H,2,FALSE)</f>
        <v>Motor目录</v>
      </c>
      <c r="D30" s="421" t="str">
        <f>VLOOKUP(B30,正厂竞争者数据汇总!D:H,3,FALSE)</f>
        <v>TX</v>
      </c>
      <c r="E30" s="430"/>
      <c r="F30" s="430">
        <v>180606.25</v>
      </c>
      <c r="G30" s="430"/>
      <c r="H30" s="430"/>
      <c r="I30" s="450"/>
      <c r="J30" s="451">
        <v>0.0975840775017046</v>
      </c>
      <c r="K30" s="451">
        <v>0.0929130940827288</v>
      </c>
      <c r="L30" s="451">
        <v>0.0825075326254024</v>
      </c>
      <c r="M30" s="452"/>
      <c r="N30" s="451"/>
      <c r="O30" s="430"/>
      <c r="P30" s="542" t="str">
        <f t="array" ref="P30">INDEX(正厂竞争者数据汇总!I:I,MATCH($A$25&amp;B30,正厂竞争者数据汇总!A:A&amp;正厂竞争者数据汇总!D:D,0))</f>
        <v>202306，原竞品gmpartsonline.net将网站导流至此，现新网站正式成为新增竞品</v>
      </c>
      <c r="Q30" s="434" t="s">
        <v>254</v>
      </c>
      <c r="R30" s="421" t="s">
        <v>229</v>
      </c>
      <c r="S30" s="472">
        <v>494</v>
      </c>
      <c r="T30" s="472">
        <v>182</v>
      </c>
      <c r="U30" s="466"/>
      <c r="V30" s="466"/>
      <c r="W30" s="466"/>
      <c r="X30" s="466"/>
      <c r="Y30" s="200" t="s">
        <v>253</v>
      </c>
      <c r="Z30" s="200">
        <v>359</v>
      </c>
      <c r="AA30" s="200">
        <v>158</v>
      </c>
      <c r="AB30" s="410">
        <f t="shared" si="3"/>
        <v>1</v>
      </c>
      <c r="AC30" s="409">
        <f t="shared" si="4"/>
        <v>359</v>
      </c>
      <c r="AD30" s="409">
        <f t="shared" si="5"/>
        <v>158</v>
      </c>
    </row>
    <row r="31" s="408" customFormat="1" spans="1:30">
      <c r="A31" s="428" t="s">
        <v>230</v>
      </c>
      <c r="B31" s="421" t="s">
        <v>258</v>
      </c>
      <c r="C31" s="429" t="str">
        <f>VLOOKUP(B31,正厂竞争者数据汇总!D:H,2,FALSE)</f>
        <v>Motor目录</v>
      </c>
      <c r="D31" s="421" t="str">
        <f>VLOOKUP(B31,正厂竞争者数据汇总!D:H,3,FALSE)</f>
        <v>NM</v>
      </c>
      <c r="E31" s="430"/>
      <c r="F31" s="430">
        <v>168989.166666667</v>
      </c>
      <c r="G31" s="430"/>
      <c r="H31" s="430"/>
      <c r="I31" s="450"/>
      <c r="J31" s="451">
        <v>0.0913072052431657</v>
      </c>
      <c r="K31" s="451">
        <v>0.0948678044126341</v>
      </c>
      <c r="L31" s="451">
        <v>0.0960979159366981</v>
      </c>
      <c r="M31" s="452"/>
      <c r="N31" s="451"/>
      <c r="O31" s="430"/>
      <c r="P31" s="542">
        <f t="array" ref="P31">INDEX(正厂竞争者数据汇总!I:I,MATCH($A$25&amp;B31,正厂竞争者数据汇总!A:A&amp;正厂竞争者数据汇总!D:D,0))</f>
        <v>0</v>
      </c>
      <c r="Q31" s="429" t="s">
        <v>180</v>
      </c>
      <c r="R31" s="421"/>
      <c r="S31" s="472">
        <v>2632</v>
      </c>
      <c r="T31" s="472">
        <v>519</v>
      </c>
      <c r="U31" s="466"/>
      <c r="V31" s="466"/>
      <c r="W31" s="466"/>
      <c r="X31" s="466"/>
      <c r="Y31" s="200" t="s">
        <v>258</v>
      </c>
      <c r="Z31" s="200">
        <v>2408</v>
      </c>
      <c r="AA31" s="200">
        <v>483</v>
      </c>
      <c r="AB31" s="410">
        <f t="shared" si="3"/>
        <v>1</v>
      </c>
      <c r="AC31" s="409">
        <f t="shared" si="4"/>
        <v>2408</v>
      </c>
      <c r="AD31" s="409">
        <f t="shared" si="5"/>
        <v>483</v>
      </c>
    </row>
    <row r="32" s="408" customFormat="1" ht="46.8" spans="1:30">
      <c r="A32" s="428" t="s">
        <v>230</v>
      </c>
      <c r="B32" s="421" t="s">
        <v>255</v>
      </c>
      <c r="C32" s="429" t="str">
        <f>VLOOKUP(B32,正厂竞争者数据汇总!D:H,2,FALSE)</f>
        <v>Motor目录</v>
      </c>
      <c r="D32" s="421" t="str">
        <f>VLOOKUP(B32,正厂竞争者数据汇总!D:H,3,FALSE)</f>
        <v>RI</v>
      </c>
      <c r="E32" s="430"/>
      <c r="F32" s="430">
        <v>143312.9375</v>
      </c>
      <c r="G32" s="430"/>
      <c r="H32" s="430"/>
      <c r="I32" s="450"/>
      <c r="J32" s="451">
        <v>0.0774339802747521</v>
      </c>
      <c r="K32" s="451">
        <v>0.0590426463385106</v>
      </c>
      <c r="L32" s="451">
        <v>0.0713397359722959</v>
      </c>
      <c r="M32" s="452"/>
      <c r="N32" s="451"/>
      <c r="O32" s="430"/>
      <c r="P32" s="542" t="str">
        <f t="array" ref="P32">INDEX(正厂竞争者数据汇总!I:I,MATCH($A$25&amp;B32,正厂竞争者数据汇总!A:A&amp;正厂竞争者数据汇总!D:D,0))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32" s="429" t="s">
        <v>180</v>
      </c>
      <c r="R32" s="421" t="s">
        <v>180</v>
      </c>
      <c r="S32" s="472">
        <v>37873</v>
      </c>
      <c r="T32" s="472">
        <v>1673</v>
      </c>
      <c r="U32" s="466"/>
      <c r="V32" s="466"/>
      <c r="W32" s="466"/>
      <c r="X32" s="466"/>
      <c r="Y32" s="200" t="s">
        <v>255</v>
      </c>
      <c r="Z32" s="200">
        <v>38224</v>
      </c>
      <c r="AA32" s="200">
        <v>1673</v>
      </c>
      <c r="AB32" s="410">
        <f t="shared" si="3"/>
        <v>1</v>
      </c>
      <c r="AC32" s="409">
        <f t="shared" si="4"/>
        <v>38224</v>
      </c>
      <c r="AD32" s="409">
        <f t="shared" si="5"/>
        <v>1673</v>
      </c>
    </row>
    <row r="33" s="408" customFormat="1" spans="1:30">
      <c r="A33" s="428" t="s">
        <v>243</v>
      </c>
      <c r="B33" s="421" t="s">
        <v>256</v>
      </c>
      <c r="C33" s="429" t="str">
        <f>VLOOKUP(B33,正厂竞争者数据汇总!D:H,2,FALSE)</f>
        <v>原厂目录</v>
      </c>
      <c r="D33" s="421" t="str">
        <f>VLOOKUP(B33,正厂竞争者数据汇总!D:H,3,FALSE)</f>
        <v>KY</v>
      </c>
      <c r="E33" s="430"/>
      <c r="F33" s="430">
        <v>138781.926666667</v>
      </c>
      <c r="G33" s="430"/>
      <c r="H33" s="430"/>
      <c r="I33" s="450"/>
      <c r="J33" s="451">
        <v>0.0749858118845605</v>
      </c>
      <c r="K33" s="451">
        <v>0.0920474173096386</v>
      </c>
      <c r="L33" s="451">
        <v>0.0993176797411799</v>
      </c>
      <c r="M33" s="452"/>
      <c r="N33" s="451"/>
      <c r="O33" s="430"/>
      <c r="P33" s="542">
        <f t="array" ref="P33">INDEX(正厂竞争者数据汇总!I:I,MATCH($A$25&amp;B33,正厂竞争者数据汇总!A:A&amp;正厂竞争者数据汇总!D:D,0))</f>
        <v>0</v>
      </c>
      <c r="Q33" s="429" t="s">
        <v>257</v>
      </c>
      <c r="R33" s="421" t="s">
        <v>229</v>
      </c>
      <c r="S33" s="472">
        <v>20001</v>
      </c>
      <c r="T33" s="472">
        <v>2188</v>
      </c>
      <c r="U33" s="466"/>
      <c r="V33" s="466"/>
      <c r="W33" s="466"/>
      <c r="X33" s="466"/>
      <c r="Y33" s="200" t="s">
        <v>256</v>
      </c>
      <c r="Z33" s="200">
        <v>18136</v>
      </c>
      <c r="AA33" s="200">
        <v>1815</v>
      </c>
      <c r="AB33" s="410">
        <f t="shared" si="3"/>
        <v>1</v>
      </c>
      <c r="AC33" s="409">
        <f t="shared" si="4"/>
        <v>18136</v>
      </c>
      <c r="AD33" s="409">
        <f t="shared" si="5"/>
        <v>1815</v>
      </c>
    </row>
    <row r="34" s="410" customFormat="1" spans="1:30">
      <c r="A34" s="428"/>
      <c r="B34" s="431"/>
      <c r="C34" s="429"/>
      <c r="D34" s="421"/>
      <c r="E34" s="430"/>
      <c r="F34" s="430"/>
      <c r="G34" s="430"/>
      <c r="H34" s="430"/>
      <c r="I34" s="450"/>
      <c r="J34" s="455"/>
      <c r="K34" s="455"/>
      <c r="L34" s="455"/>
      <c r="M34" s="452"/>
      <c r="N34" s="457"/>
      <c r="O34" s="436"/>
      <c r="P34" s="542"/>
      <c r="Q34" s="434"/>
      <c r="R34" s="435"/>
      <c r="S34" s="473" t="s">
        <v>180</v>
      </c>
      <c r="T34" s="473" t="s">
        <v>180</v>
      </c>
      <c r="U34" s="477"/>
      <c r="V34" s="466"/>
      <c r="W34" s="435"/>
      <c r="X34" s="435"/>
      <c r="Y34" s="200" t="s">
        <v>240</v>
      </c>
      <c r="Z34" s="200" t="s">
        <v>180</v>
      </c>
      <c r="AA34" s="200" t="s">
        <v>180</v>
      </c>
      <c r="AB34" s="410">
        <f t="shared" si="3"/>
        <v>0</v>
      </c>
      <c r="AC34" s="409" t="str">
        <f t="shared" si="4"/>
        <v/>
      </c>
      <c r="AD34" s="409" t="str">
        <f t="shared" si="5"/>
        <v/>
      </c>
    </row>
    <row r="35" s="408" customFormat="1" spans="1:30">
      <c r="A35" s="428"/>
      <c r="B35" s="421"/>
      <c r="C35" s="439"/>
      <c r="D35" s="421"/>
      <c r="E35" s="430"/>
      <c r="F35" s="430">
        <v>1850775.80916667</v>
      </c>
      <c r="G35" s="430"/>
      <c r="H35" s="430"/>
      <c r="I35" s="453"/>
      <c r="J35" s="430"/>
      <c r="K35" s="430"/>
      <c r="L35" s="430"/>
      <c r="M35" s="451"/>
      <c r="N35" s="451"/>
      <c r="O35" s="430"/>
      <c r="P35" s="542"/>
      <c r="Q35" s="429"/>
      <c r="R35" s="421"/>
      <c r="S35" s="473" t="s">
        <v>180</v>
      </c>
      <c r="T35" s="473" t="s">
        <v>180</v>
      </c>
      <c r="U35" s="466"/>
      <c r="V35" s="466"/>
      <c r="W35" s="421"/>
      <c r="X35" s="421"/>
      <c r="Y35" s="200" t="s">
        <v>240</v>
      </c>
      <c r="Z35" s="200" t="s">
        <v>180</v>
      </c>
      <c r="AA35" s="200" t="s">
        <v>180</v>
      </c>
      <c r="AB35" s="410">
        <f t="shared" si="3"/>
        <v>0</v>
      </c>
      <c r="AC35" s="409" t="str">
        <f t="shared" si="4"/>
        <v/>
      </c>
      <c r="AD35" s="409" t="str">
        <f t="shared" si="5"/>
        <v/>
      </c>
    </row>
    <row r="36" s="408" customFormat="1" spans="1:30">
      <c r="A36" s="428"/>
      <c r="B36" s="421"/>
      <c r="C36" s="439"/>
      <c r="D36" s="421"/>
      <c r="E36" s="430"/>
      <c r="F36" s="430"/>
      <c r="G36" s="430"/>
      <c r="H36" s="430"/>
      <c r="I36" s="453"/>
      <c r="J36" s="430"/>
      <c r="K36" s="430"/>
      <c r="L36" s="430"/>
      <c r="M36" s="451"/>
      <c r="N36" s="451"/>
      <c r="O36" s="430"/>
      <c r="P36" s="542"/>
      <c r="Q36" s="429"/>
      <c r="R36" s="421"/>
      <c r="S36" s="473" t="s">
        <v>180</v>
      </c>
      <c r="T36" s="473" t="s">
        <v>180</v>
      </c>
      <c r="U36" s="466"/>
      <c r="V36" s="466"/>
      <c r="W36" s="421"/>
      <c r="X36" s="421"/>
      <c r="Y36" s="200" t="s">
        <v>240</v>
      </c>
      <c r="Z36" s="200" t="s">
        <v>180</v>
      </c>
      <c r="AA36" s="200" t="s">
        <v>180</v>
      </c>
      <c r="AB36" s="410">
        <f t="shared" si="3"/>
        <v>0</v>
      </c>
      <c r="AC36" s="409" t="str">
        <f t="shared" si="4"/>
        <v/>
      </c>
      <c r="AD36" s="409" t="str">
        <f t="shared" si="5"/>
        <v/>
      </c>
    </row>
    <row r="37" s="408" customFormat="1" ht="17.4" spans="1:30">
      <c r="A37" s="418" t="s">
        <v>149</v>
      </c>
      <c r="B37" s="419"/>
      <c r="C37" s="420"/>
      <c r="D37" s="421"/>
      <c r="E37" s="422" t="s">
        <v>202</v>
      </c>
      <c r="F37" s="422"/>
      <c r="G37" s="422"/>
      <c r="H37" s="422"/>
      <c r="I37" s="422"/>
      <c r="J37" s="422"/>
      <c r="K37" s="422"/>
      <c r="L37" s="422"/>
      <c r="M37" s="443"/>
      <c r="N37" s="444"/>
      <c r="O37" s="422"/>
      <c r="P37" s="542"/>
      <c r="Q37" s="465"/>
      <c r="R37" s="424"/>
      <c r="S37" s="473" t="s">
        <v>180</v>
      </c>
      <c r="T37" s="473" t="s">
        <v>180</v>
      </c>
      <c r="U37" s="467"/>
      <c r="V37" s="467"/>
      <c r="W37" s="467"/>
      <c r="X37" s="467"/>
      <c r="Y37" s="200" t="s">
        <v>240</v>
      </c>
      <c r="Z37" s="200" t="s">
        <v>180</v>
      </c>
      <c r="AA37" s="200" t="s">
        <v>180</v>
      </c>
      <c r="AB37" s="410">
        <f t="shared" si="3"/>
        <v>0</v>
      </c>
      <c r="AC37" s="409" t="str">
        <f t="shared" si="4"/>
        <v/>
      </c>
      <c r="AD37" s="409" t="str">
        <f t="shared" si="5"/>
        <v/>
      </c>
    </row>
    <row r="38" s="409" customFormat="1" ht="46.8" spans="1:30">
      <c r="A38" s="423" t="s">
        <v>206</v>
      </c>
      <c r="B38" s="424" t="s">
        <v>207</v>
      </c>
      <c r="C38" s="425" t="s">
        <v>208</v>
      </c>
      <c r="D38" s="424" t="s">
        <v>209</v>
      </c>
      <c r="E38" s="426" t="s">
        <v>210</v>
      </c>
      <c r="F38" s="427" t="s">
        <v>385</v>
      </c>
      <c r="G38" s="427" t="s">
        <v>213</v>
      </c>
      <c r="H38" s="427" t="s">
        <v>213</v>
      </c>
      <c r="I38" s="427" t="s">
        <v>386</v>
      </c>
      <c r="J38" s="446" t="s">
        <v>216</v>
      </c>
      <c r="K38" s="446" t="s">
        <v>217</v>
      </c>
      <c r="L38" s="446" t="s">
        <v>387</v>
      </c>
      <c r="M38" s="447" t="s">
        <v>218</v>
      </c>
      <c r="N38" s="448" t="s">
        <v>219</v>
      </c>
      <c r="O38" s="449" t="s">
        <v>220</v>
      </c>
      <c r="P38" s="543" t="s">
        <v>221</v>
      </c>
      <c r="Q38" s="469" t="s">
        <v>222</v>
      </c>
      <c r="R38" s="426" t="s">
        <v>223</v>
      </c>
      <c r="S38" s="470" t="s">
        <v>224</v>
      </c>
      <c r="T38" s="470" t="s">
        <v>205</v>
      </c>
      <c r="U38" s="467" t="s">
        <v>225</v>
      </c>
      <c r="V38" s="470" t="s">
        <v>226</v>
      </c>
      <c r="W38" s="467"/>
      <c r="X38" s="467"/>
      <c r="Y38" s="200" t="s">
        <v>207</v>
      </c>
      <c r="Z38" s="200" t="s">
        <v>180</v>
      </c>
      <c r="AA38" s="200" t="s">
        <v>180</v>
      </c>
      <c r="AB38" s="410">
        <f t="shared" si="3"/>
        <v>1</v>
      </c>
      <c r="AC38" s="409" t="str">
        <f t="shared" si="4"/>
        <v>Forum Link</v>
      </c>
      <c r="AD38" s="409" t="str">
        <f t="shared" si="5"/>
        <v>Domains</v>
      </c>
    </row>
    <row r="39" s="410" customFormat="1" ht="17.4" spans="1:30">
      <c r="A39" s="432" t="s">
        <v>227</v>
      </c>
      <c r="B39" s="432" t="s">
        <v>150</v>
      </c>
      <c r="C39" s="434" t="str">
        <f>VLOOKUP(B39,正厂竞争者数据汇总!D:H,2,FALSE)</f>
        <v>原厂目录</v>
      </c>
      <c r="D39" s="435" t="str">
        <f>VLOOKUP(B39,正厂竞争者数据汇总!D:H,3,FALSE)</f>
        <v>AZ</v>
      </c>
      <c r="E39" s="436">
        <f>VLOOKUP(B39,正厂竞争者数据汇总!D:H,4,FALSE)</f>
        <v>0</v>
      </c>
      <c r="F39" s="436">
        <v>574116.096666667</v>
      </c>
      <c r="G39" s="436">
        <v>521458.083333333</v>
      </c>
      <c r="H39" s="436">
        <v>566477.333333333</v>
      </c>
      <c r="I39" s="454">
        <v>0.100982255365046</v>
      </c>
      <c r="J39" s="455">
        <v>0.366699877503309</v>
      </c>
      <c r="K39" s="455">
        <v>0.375582164836792</v>
      </c>
      <c r="L39" s="455">
        <v>0.373462364909511</v>
      </c>
      <c r="M39" s="456">
        <f>J39-K39</f>
        <v>-0.00888228733348306</v>
      </c>
      <c r="N39" s="457" t="str">
        <f>IFERROR(O39*0.5/#REF!,"")</f>
        <v/>
      </c>
      <c r="O39" s="436" t="s">
        <v>180</v>
      </c>
      <c r="P39" s="542">
        <f t="array" ref="P39">INDEX(正厂竞争者数据汇总!I:I,MATCH($A$37&amp;B39,正厂竞争者数据汇总!A:A&amp;正厂竞争者数据汇总!D:D,0))</f>
        <v>0</v>
      </c>
      <c r="Q39" s="434" t="s">
        <v>259</v>
      </c>
      <c r="R39" s="435" t="s">
        <v>229</v>
      </c>
      <c r="S39" s="476">
        <v>70325</v>
      </c>
      <c r="T39" s="476">
        <v>10019</v>
      </c>
      <c r="U39" s="477"/>
      <c r="V39" s="477"/>
      <c r="W39" s="477"/>
      <c r="X39" s="477"/>
      <c r="Y39" s="200" t="s">
        <v>150</v>
      </c>
      <c r="Z39" s="200">
        <v>56716</v>
      </c>
      <c r="AA39" s="200">
        <v>8700</v>
      </c>
      <c r="AB39" s="410">
        <f t="shared" si="3"/>
        <v>1</v>
      </c>
      <c r="AC39" s="409">
        <f t="shared" si="4"/>
        <v>56716</v>
      </c>
      <c r="AD39" s="409">
        <f t="shared" si="5"/>
        <v>8700</v>
      </c>
    </row>
    <row r="40" s="408" customFormat="1" spans="1:30">
      <c r="A40" s="428" t="s">
        <v>230</v>
      </c>
      <c r="B40" s="421" t="s">
        <v>260</v>
      </c>
      <c r="C40" s="429" t="str">
        <f>VLOOKUP(B40,正厂竞争者数据汇总!D:H,2,FALSE)</f>
        <v>Motor目录</v>
      </c>
      <c r="D40" s="421" t="str">
        <f>VLOOKUP(B40,正厂竞争者数据汇总!D:H,3,FALSE)</f>
        <v>TX</v>
      </c>
      <c r="E40" s="430"/>
      <c r="F40" s="430">
        <v>205880.256666667</v>
      </c>
      <c r="G40" s="430"/>
      <c r="H40" s="430"/>
      <c r="I40" s="450"/>
      <c r="J40" s="451">
        <v>0.131499996844453</v>
      </c>
      <c r="K40" s="451">
        <v>0.119024435301989</v>
      </c>
      <c r="L40" s="451">
        <v>0.111481276273047</v>
      </c>
      <c r="M40" s="452"/>
      <c r="N40" s="451"/>
      <c r="O40" s="430"/>
      <c r="P40" s="542">
        <f t="array" ref="P40">INDEX(正厂竞争者数据汇总!I:I,MATCH($A$37&amp;B40,正厂竞争者数据汇总!A:A&amp;正厂竞争者数据汇总!D:D,0))</f>
        <v>0</v>
      </c>
      <c r="Q40" s="429"/>
      <c r="R40" s="421"/>
      <c r="S40" s="472">
        <v>3978</v>
      </c>
      <c r="T40" s="472">
        <v>559</v>
      </c>
      <c r="U40" s="466"/>
      <c r="V40" s="466"/>
      <c r="W40" s="466"/>
      <c r="X40" s="466"/>
      <c r="Y40" s="200" t="s">
        <v>260</v>
      </c>
      <c r="Z40" s="200">
        <v>3755</v>
      </c>
      <c r="AA40" s="200">
        <v>567</v>
      </c>
      <c r="AB40" s="410">
        <f t="shared" si="3"/>
        <v>1</v>
      </c>
      <c r="AC40" s="409">
        <f t="shared" si="4"/>
        <v>3755</v>
      </c>
      <c r="AD40" s="409">
        <f t="shared" si="5"/>
        <v>567</v>
      </c>
    </row>
    <row r="41" s="408" customFormat="1" ht="46.8" spans="1:30">
      <c r="A41" s="428" t="s">
        <v>230</v>
      </c>
      <c r="B41" s="421" t="s">
        <v>255</v>
      </c>
      <c r="C41" s="429" t="str">
        <f>VLOOKUP(B41,正厂竞争者数据汇总!D:H,2,FALSE)</f>
        <v>Motor目录</v>
      </c>
      <c r="D41" s="421" t="str">
        <f>VLOOKUP(B41,正厂竞争者数据汇总!D:H,3,FALSE)</f>
        <v>RI</v>
      </c>
      <c r="E41" s="430"/>
      <c r="F41" s="430">
        <v>143312.9375</v>
      </c>
      <c r="G41" s="430"/>
      <c r="H41" s="430"/>
      <c r="I41" s="450"/>
      <c r="J41" s="451">
        <v>0.09153695033289</v>
      </c>
      <c r="K41" s="451">
        <v>0.11857157950169</v>
      </c>
      <c r="L41" s="451">
        <v>0.150588398867105</v>
      </c>
      <c r="M41" s="452"/>
      <c r="N41" s="451"/>
      <c r="O41" s="430"/>
      <c r="P41" s="542" t="str">
        <f t="array" ref="P41">INDEX(正厂竞争者数据汇总!I:I,MATCH($A$37&amp;B41,正厂竞争者数据汇总!A:A&amp;正厂竞争者数据汇总!D:D,0))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41" s="429"/>
      <c r="R41" s="421"/>
      <c r="S41" s="472">
        <v>37873</v>
      </c>
      <c r="T41" s="472">
        <v>1673</v>
      </c>
      <c r="U41" s="466"/>
      <c r="V41" s="466"/>
      <c r="W41" s="466"/>
      <c r="X41" s="466"/>
      <c r="Y41" s="200" t="s">
        <v>255</v>
      </c>
      <c r="Z41" s="200">
        <v>38224</v>
      </c>
      <c r="AA41" s="200">
        <v>1673</v>
      </c>
      <c r="AB41" s="410">
        <f t="shared" si="3"/>
        <v>1</v>
      </c>
      <c r="AC41" s="409">
        <f t="shared" si="4"/>
        <v>38224</v>
      </c>
      <c r="AD41" s="409">
        <f t="shared" si="5"/>
        <v>1673</v>
      </c>
    </row>
    <row r="42" s="408" customFormat="1" ht="31.2" spans="1:30">
      <c r="A42" s="428" t="s">
        <v>230</v>
      </c>
      <c r="B42" s="421" t="s">
        <v>261</v>
      </c>
      <c r="C42" s="429" t="str">
        <f>VLOOKUP(B42,正厂竞争者数据汇总!D:H,2,FALSE)</f>
        <v>Motor目录</v>
      </c>
      <c r="D42" s="421" t="str">
        <f>VLOOKUP(B42,正厂竞争者数据汇总!D:H,3,FALSE)</f>
        <v>MO</v>
      </c>
      <c r="E42" s="430"/>
      <c r="F42" s="430">
        <v>140558.186666667</v>
      </c>
      <c r="G42" s="430"/>
      <c r="H42" s="430"/>
      <c r="I42" s="450"/>
      <c r="J42" s="451">
        <v>0.0897774337490485</v>
      </c>
      <c r="K42" s="451">
        <v>0.111456544831974</v>
      </c>
      <c r="L42" s="451">
        <v>0.0969152598731493</v>
      </c>
      <c r="M42" s="452"/>
      <c r="N42" s="451"/>
      <c r="O42" s="430"/>
      <c r="P42" s="542" t="str">
        <f t="array" ref="P42">INDEX(正厂竞争者数据汇总!I:I,MATCH($A$37&amp;B42,正厂竞争者数据汇总!A:A&amp;正厂竞争者数据汇总!D:D,0))</f>
        <v>2022年1月 新加入 CompetitorSites
2022年1月 新加入 MarketingShare</v>
      </c>
      <c r="Q42" s="429"/>
      <c r="R42" s="421"/>
      <c r="S42" s="472">
        <v>1816</v>
      </c>
      <c r="T42" s="472">
        <v>284</v>
      </c>
      <c r="U42" s="466"/>
      <c r="V42" s="466"/>
      <c r="W42" s="466"/>
      <c r="X42" s="466"/>
      <c r="Y42" s="200" t="s">
        <v>261</v>
      </c>
      <c r="Z42" s="200">
        <v>1695</v>
      </c>
      <c r="AA42" s="200">
        <v>308</v>
      </c>
      <c r="AB42" s="410">
        <f t="shared" si="3"/>
        <v>1</v>
      </c>
      <c r="AC42" s="409">
        <f t="shared" si="4"/>
        <v>1695</v>
      </c>
      <c r="AD42" s="409">
        <f t="shared" si="5"/>
        <v>308</v>
      </c>
    </row>
    <row r="43" s="408" customFormat="1" spans="1:30">
      <c r="A43" s="428" t="s">
        <v>243</v>
      </c>
      <c r="B43" s="421" t="s">
        <v>265</v>
      </c>
      <c r="C43" s="429" t="str">
        <f>VLOOKUP(B43,正厂竞争者数据汇总!D:H,2,FALSE)</f>
        <v>原厂目录</v>
      </c>
      <c r="D43" s="421" t="s">
        <v>266</v>
      </c>
      <c r="E43" s="430"/>
      <c r="F43" s="430">
        <v>130756.676666667</v>
      </c>
      <c r="G43" s="430"/>
      <c r="H43" s="430"/>
      <c r="I43" s="450"/>
      <c r="J43" s="451">
        <v>0.0835170056976221</v>
      </c>
      <c r="K43" s="451">
        <v>0.0743924688921257</v>
      </c>
      <c r="L43" s="451">
        <v>0.072754670843439</v>
      </c>
      <c r="M43" s="452"/>
      <c r="N43" s="451"/>
      <c r="O43" s="430"/>
      <c r="P43" s="542" t="str">
        <f t="array" ref="P43">INDEX(正厂竞争者数据汇总!I:I,MATCH($A$37&amp;B43,正厂竞争者数据汇总!A:A&amp;正厂竞争者数据汇总!D:D,0))</f>
        <v>因MS大于5%，202305重新加入MS计算基准</v>
      </c>
      <c r="Q43" s="429"/>
      <c r="R43" s="421"/>
      <c r="S43" s="472">
        <v>52996</v>
      </c>
      <c r="T43" s="472">
        <v>1896</v>
      </c>
      <c r="U43" s="466"/>
      <c r="V43" s="466"/>
      <c r="W43" s="466"/>
      <c r="X43" s="466"/>
      <c r="Y43" s="200" t="s">
        <v>265</v>
      </c>
      <c r="Z43" s="200">
        <v>51136</v>
      </c>
      <c r="AA43" s="200">
        <v>1637</v>
      </c>
      <c r="AB43" s="410">
        <f t="shared" si="3"/>
        <v>1</v>
      </c>
      <c r="AC43" s="409">
        <f t="shared" si="4"/>
        <v>51136</v>
      </c>
      <c r="AD43" s="409">
        <f t="shared" si="5"/>
        <v>1637</v>
      </c>
    </row>
    <row r="44" s="408" customFormat="1" spans="1:30">
      <c r="A44" s="428" t="s">
        <v>243</v>
      </c>
      <c r="B44" s="421" t="s">
        <v>262</v>
      </c>
      <c r="C44" s="429" t="str">
        <f>VLOOKUP(B44,正厂竞争者数据汇总!D:H,2,FALSE)</f>
        <v>原厂目录</v>
      </c>
      <c r="D44" s="421" t="str">
        <f>VLOOKUP(B44,正厂竞争者数据汇总!D:H,3,FALSE)</f>
        <v>FL</v>
      </c>
      <c r="E44" s="430"/>
      <c r="F44" s="430">
        <v>114817.16</v>
      </c>
      <c r="G44" s="430"/>
      <c r="H44" s="430"/>
      <c r="I44" s="450"/>
      <c r="J44" s="451">
        <v>0.0733361052785865</v>
      </c>
      <c r="K44" s="451">
        <v>0.0932237886708694</v>
      </c>
      <c r="L44" s="451">
        <v>0.090618967906095</v>
      </c>
      <c r="M44" s="452"/>
      <c r="N44" s="451"/>
      <c r="O44" s="430"/>
      <c r="P44" s="542" t="str">
        <f t="array" ref="P44">INDEX(正厂竞争者数据汇总!I:I,MATCH($A$37&amp;B44,正厂竞争者数据汇总!A:A&amp;正厂竞争者数据汇总!D:D,0))</f>
        <v>变为精确运费</v>
      </c>
      <c r="Q44" s="429"/>
      <c r="R44" s="421"/>
      <c r="S44" s="472">
        <v>33240</v>
      </c>
      <c r="T44" s="472">
        <v>2370</v>
      </c>
      <c r="U44" s="466"/>
      <c r="V44" s="466"/>
      <c r="W44" s="466"/>
      <c r="X44" s="466"/>
      <c r="Y44" s="200" t="s">
        <v>262</v>
      </c>
      <c r="Z44" s="200">
        <v>32780</v>
      </c>
      <c r="AA44" s="200">
        <v>2182</v>
      </c>
      <c r="AB44" s="410">
        <f t="shared" si="3"/>
        <v>1</v>
      </c>
      <c r="AC44" s="409">
        <f t="shared" si="4"/>
        <v>32780</v>
      </c>
      <c r="AD44" s="409">
        <f t="shared" si="5"/>
        <v>2182</v>
      </c>
    </row>
    <row r="45" s="408" customFormat="1" ht="46.8" spans="1:30">
      <c r="A45" s="428" t="s">
        <v>230</v>
      </c>
      <c r="B45" s="421" t="s">
        <v>263</v>
      </c>
      <c r="C45" s="429" t="s">
        <v>233</v>
      </c>
      <c r="D45" s="421" t="s">
        <v>234</v>
      </c>
      <c r="E45" s="430"/>
      <c r="F45" s="430">
        <v>86261.0566666667</v>
      </c>
      <c r="G45" s="430"/>
      <c r="H45" s="430"/>
      <c r="I45" s="450"/>
      <c r="J45" s="451">
        <v>0.0550967288613373</v>
      </c>
      <c r="K45" s="451"/>
      <c r="L45" s="451"/>
      <c r="M45" s="452"/>
      <c r="N45" s="451"/>
      <c r="O45" s="430"/>
      <c r="P45" s="542" t="str">
        <f t="array" ref="P45">INDEX(正厂竞争者数据汇总!I:I,MATCH($A$37&amp;B45,正厂竞争者数据汇总!A:A&amp;正厂竞争者数据汇总!D:D,0))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45" s="429"/>
      <c r="R45" s="421"/>
      <c r="S45" s="472">
        <v>369</v>
      </c>
      <c r="T45" s="472">
        <v>135</v>
      </c>
      <c r="U45" s="466"/>
      <c r="V45" s="466"/>
      <c r="W45" s="466"/>
      <c r="X45" s="466"/>
      <c r="Y45" s="200"/>
      <c r="Z45" s="200"/>
      <c r="AA45" s="200"/>
      <c r="AB45" s="410"/>
      <c r="AC45" s="409"/>
      <c r="AD45" s="409"/>
    </row>
    <row r="46" s="408" customFormat="1" spans="1:30">
      <c r="A46" s="428" t="s">
        <v>243</v>
      </c>
      <c r="B46" s="421" t="s">
        <v>264</v>
      </c>
      <c r="C46" s="429" t="str">
        <f>VLOOKUP(B46,正厂竞争者数据汇总!D:H,2,FALSE)</f>
        <v>原厂目录</v>
      </c>
      <c r="D46" s="421" t="s">
        <v>60</v>
      </c>
      <c r="E46" s="430"/>
      <c r="F46" s="430">
        <v>86142.4116666667</v>
      </c>
      <c r="G46" s="430"/>
      <c r="H46" s="430"/>
      <c r="I46" s="450"/>
      <c r="J46" s="451">
        <v>0.055020947835132</v>
      </c>
      <c r="K46" s="451">
        <v>0.0603038458792459</v>
      </c>
      <c r="L46" s="451">
        <v>0.0582495560064696</v>
      </c>
      <c r="M46" s="452"/>
      <c r="N46" s="451"/>
      <c r="O46" s="430"/>
      <c r="P46" s="542" t="str">
        <f t="array" ref="P46">INDEX(正厂竞争者数据汇总!I:I,MATCH($A$37&amp;B46,正厂竞争者数据汇总!A:A&amp;正厂竞争者数据汇总!D:D,0))</f>
        <v>2023年3月新增正厂，2023年10月因流量大于5%加入MS监控</v>
      </c>
      <c r="Q46" s="429"/>
      <c r="R46" s="421"/>
      <c r="S46" s="472">
        <v>3657</v>
      </c>
      <c r="T46" s="472">
        <v>595</v>
      </c>
      <c r="U46" s="466"/>
      <c r="V46" s="466"/>
      <c r="W46" s="466"/>
      <c r="X46" s="466"/>
      <c r="Y46" s="200" t="s">
        <v>264</v>
      </c>
      <c r="Z46" s="200">
        <v>3052</v>
      </c>
      <c r="AA46" s="200">
        <v>479</v>
      </c>
      <c r="AB46" s="410">
        <f t="shared" ref="AB46:AB57" si="6">IF(B46=Y46,1,0)</f>
        <v>1</v>
      </c>
      <c r="AC46" s="409">
        <f t="shared" ref="AC46:AC57" si="7">IF(Y46="Competitors","Forum Link",Z46)</f>
        <v>3052</v>
      </c>
      <c r="AD46" s="409">
        <f t="shared" ref="AD46:AD57" si="8">IF(Y46="Competitors","Domains",AA46)</f>
        <v>479</v>
      </c>
    </row>
    <row r="47" s="408" customFormat="1" spans="1:30">
      <c r="A47" s="428" t="s">
        <v>230</v>
      </c>
      <c r="B47" s="421" t="s">
        <v>267</v>
      </c>
      <c r="C47" s="429" t="str">
        <f>VLOOKUP(B47,正厂竞争者数据汇总!D:H,2,FALSE)</f>
        <v>原厂目录</v>
      </c>
      <c r="D47" s="421" t="str">
        <f>VLOOKUP(B47,正厂竞争者数据汇总!D:H,3,FALSE)</f>
        <v>AZ</v>
      </c>
      <c r="E47" s="430"/>
      <c r="F47" s="430">
        <v>83784.5833333333</v>
      </c>
      <c r="G47" s="430"/>
      <c r="H47" s="430"/>
      <c r="I47" s="450"/>
      <c r="J47" s="451">
        <v>0.0535149538976215</v>
      </c>
      <c r="K47" s="451">
        <v>0.0474451720853132</v>
      </c>
      <c r="L47" s="451">
        <v>0.0459295053211847</v>
      </c>
      <c r="M47" s="452"/>
      <c r="N47" s="451"/>
      <c r="O47" s="430"/>
      <c r="P47" s="542" t="str">
        <f t="array" ref="P47">INDEX(正厂竞争者数据汇总!I:I,MATCH($A$37&amp;B47,正厂竞争者数据汇总!A:A&amp;正厂竞争者数据汇总!D:D,0))</f>
        <v>2022年1月 新加入 CompetitorSites</v>
      </c>
      <c r="Q47" s="429"/>
      <c r="R47" s="421"/>
      <c r="S47" s="472">
        <v>2161</v>
      </c>
      <c r="T47" s="472">
        <v>351</v>
      </c>
      <c r="U47" s="466"/>
      <c r="V47" s="466"/>
      <c r="W47" s="466"/>
      <c r="X47" s="466"/>
      <c r="Y47" s="200" t="s">
        <v>267</v>
      </c>
      <c r="Z47" s="200">
        <v>2245</v>
      </c>
      <c r="AA47" s="200">
        <v>411</v>
      </c>
      <c r="AB47" s="410">
        <f t="shared" si="6"/>
        <v>1</v>
      </c>
      <c r="AC47" s="409">
        <f t="shared" si="7"/>
        <v>2245</v>
      </c>
      <c r="AD47" s="409">
        <f t="shared" si="8"/>
        <v>411</v>
      </c>
    </row>
    <row r="48" s="410" customFormat="1" spans="1:30">
      <c r="A48" s="428"/>
      <c r="B48" s="431"/>
      <c r="C48" s="429"/>
      <c r="D48" s="421"/>
      <c r="E48" s="430"/>
      <c r="F48" s="430"/>
      <c r="G48" s="430"/>
      <c r="H48" s="430"/>
      <c r="I48" s="453"/>
      <c r="J48" s="451"/>
      <c r="K48" s="451"/>
      <c r="L48" s="451"/>
      <c r="M48" s="451"/>
      <c r="N48" s="455"/>
      <c r="O48" s="436"/>
      <c r="P48" s="542"/>
      <c r="Q48" s="434"/>
      <c r="R48" s="435"/>
      <c r="S48" s="473" t="s">
        <v>180</v>
      </c>
      <c r="T48" s="473" t="s">
        <v>180</v>
      </c>
      <c r="U48" s="477"/>
      <c r="V48" s="466"/>
      <c r="W48" s="435"/>
      <c r="X48" s="435"/>
      <c r="Y48" s="200" t="s">
        <v>240</v>
      </c>
      <c r="Z48" s="200" t="s">
        <v>180</v>
      </c>
      <c r="AA48" s="200" t="s">
        <v>180</v>
      </c>
      <c r="AB48" s="410">
        <f t="shared" si="6"/>
        <v>0</v>
      </c>
      <c r="AC48" s="409" t="str">
        <f t="shared" si="7"/>
        <v/>
      </c>
      <c r="AD48" s="409" t="str">
        <f t="shared" si="8"/>
        <v/>
      </c>
    </row>
    <row r="49" s="408" customFormat="1" spans="1:30">
      <c r="A49" s="428"/>
      <c r="B49" s="421"/>
      <c r="C49" s="439"/>
      <c r="D49" s="421"/>
      <c r="E49" s="430"/>
      <c r="F49" s="430">
        <v>1565629.36583333</v>
      </c>
      <c r="G49" s="430">
        <v>1468579.74166667</v>
      </c>
      <c r="H49" s="430">
        <v>1519526.8275</v>
      </c>
      <c r="I49" s="453">
        <v>0.0660840003529697</v>
      </c>
      <c r="J49" s="430"/>
      <c r="K49" s="430"/>
      <c r="L49" s="430"/>
      <c r="M49" s="451"/>
      <c r="N49" s="451"/>
      <c r="O49" s="430"/>
      <c r="P49" s="542"/>
      <c r="Q49" s="429"/>
      <c r="R49" s="421"/>
      <c r="S49" s="473" t="s">
        <v>180</v>
      </c>
      <c r="T49" s="473" t="s">
        <v>180</v>
      </c>
      <c r="U49" s="466"/>
      <c r="V49" s="466"/>
      <c r="W49" s="421"/>
      <c r="X49" s="421"/>
      <c r="Y49" s="200" t="s">
        <v>240</v>
      </c>
      <c r="Z49" s="200" t="s">
        <v>180</v>
      </c>
      <c r="AA49" s="200" t="s">
        <v>180</v>
      </c>
      <c r="AB49" s="410">
        <f t="shared" si="6"/>
        <v>0</v>
      </c>
      <c r="AC49" s="409" t="str">
        <f t="shared" si="7"/>
        <v/>
      </c>
      <c r="AD49" s="409" t="str">
        <f t="shared" si="8"/>
        <v/>
      </c>
    </row>
    <row r="50" s="408" customFormat="1" spans="1:30">
      <c r="A50" s="428"/>
      <c r="B50" s="421"/>
      <c r="C50" s="439"/>
      <c r="D50" s="421"/>
      <c r="E50" s="430"/>
      <c r="F50" s="430"/>
      <c r="G50" s="430"/>
      <c r="H50" s="430"/>
      <c r="I50" s="453"/>
      <c r="J50" s="430"/>
      <c r="K50" s="430"/>
      <c r="L50" s="430"/>
      <c r="M50" s="451"/>
      <c r="N50" s="451"/>
      <c r="O50" s="430"/>
      <c r="P50" s="542"/>
      <c r="Q50" s="429"/>
      <c r="R50" s="421"/>
      <c r="S50" s="473" t="s">
        <v>180</v>
      </c>
      <c r="T50" s="473" t="s">
        <v>180</v>
      </c>
      <c r="U50" s="466"/>
      <c r="V50" s="466"/>
      <c r="W50" s="421"/>
      <c r="X50" s="421"/>
      <c r="Y50" s="200" t="s">
        <v>240</v>
      </c>
      <c r="Z50" s="200" t="s">
        <v>180</v>
      </c>
      <c r="AA50" s="200" t="s">
        <v>180</v>
      </c>
      <c r="AB50" s="410">
        <f t="shared" si="6"/>
        <v>0</v>
      </c>
      <c r="AC50" s="409" t="str">
        <f t="shared" si="7"/>
        <v/>
      </c>
      <c r="AD50" s="409" t="str">
        <f t="shared" si="8"/>
        <v/>
      </c>
    </row>
    <row r="51" s="408" customFormat="1" ht="17.4" spans="1:30">
      <c r="A51" s="418" t="s">
        <v>152</v>
      </c>
      <c r="B51" s="419"/>
      <c r="C51" s="420"/>
      <c r="D51" s="421"/>
      <c r="E51" s="422" t="s">
        <v>202</v>
      </c>
      <c r="F51" s="422"/>
      <c r="G51" s="422"/>
      <c r="H51" s="422"/>
      <c r="I51" s="422"/>
      <c r="J51" s="422"/>
      <c r="K51" s="422"/>
      <c r="L51" s="422"/>
      <c r="M51" s="443"/>
      <c r="N51" s="444"/>
      <c r="O51" s="422"/>
      <c r="P51" s="542"/>
      <c r="Q51" s="465"/>
      <c r="R51" s="424"/>
      <c r="S51" s="473" t="s">
        <v>180</v>
      </c>
      <c r="T51" s="473" t="s">
        <v>180</v>
      </c>
      <c r="U51" s="467"/>
      <c r="V51" s="467"/>
      <c r="W51" s="467"/>
      <c r="X51" s="467"/>
      <c r="Y51" s="200" t="s">
        <v>240</v>
      </c>
      <c r="Z51" s="200" t="s">
        <v>180</v>
      </c>
      <c r="AA51" s="200" t="s">
        <v>180</v>
      </c>
      <c r="AB51" s="410">
        <f t="shared" si="6"/>
        <v>0</v>
      </c>
      <c r="AC51" s="409" t="str">
        <f t="shared" si="7"/>
        <v/>
      </c>
      <c r="AD51" s="409" t="str">
        <f t="shared" si="8"/>
        <v/>
      </c>
    </row>
    <row r="52" s="409" customFormat="1" ht="46.8" spans="1:30">
      <c r="A52" s="423" t="s">
        <v>206</v>
      </c>
      <c r="B52" s="424" t="s">
        <v>207</v>
      </c>
      <c r="C52" s="425" t="s">
        <v>208</v>
      </c>
      <c r="D52" s="424" t="s">
        <v>209</v>
      </c>
      <c r="E52" s="426" t="s">
        <v>210</v>
      </c>
      <c r="F52" s="427" t="s">
        <v>385</v>
      </c>
      <c r="G52" s="427" t="s">
        <v>213</v>
      </c>
      <c r="H52" s="427" t="s">
        <v>213</v>
      </c>
      <c r="I52" s="427" t="s">
        <v>386</v>
      </c>
      <c r="J52" s="446" t="s">
        <v>216</v>
      </c>
      <c r="K52" s="446" t="s">
        <v>217</v>
      </c>
      <c r="L52" s="446" t="s">
        <v>387</v>
      </c>
      <c r="M52" s="447" t="s">
        <v>218</v>
      </c>
      <c r="N52" s="448" t="s">
        <v>219</v>
      </c>
      <c r="O52" s="449" t="s">
        <v>220</v>
      </c>
      <c r="P52" s="543" t="s">
        <v>221</v>
      </c>
      <c r="Q52" s="469" t="s">
        <v>222</v>
      </c>
      <c r="R52" s="426" t="s">
        <v>223</v>
      </c>
      <c r="S52" s="470" t="s">
        <v>224</v>
      </c>
      <c r="T52" s="470" t="s">
        <v>205</v>
      </c>
      <c r="U52" s="467" t="s">
        <v>225</v>
      </c>
      <c r="V52" s="470" t="s">
        <v>226</v>
      </c>
      <c r="W52" s="467"/>
      <c r="X52" s="467"/>
      <c r="Y52" s="200" t="s">
        <v>207</v>
      </c>
      <c r="Z52" s="200" t="s">
        <v>180</v>
      </c>
      <c r="AA52" s="200" t="s">
        <v>180</v>
      </c>
      <c r="AB52" s="410">
        <f t="shared" si="6"/>
        <v>1</v>
      </c>
      <c r="AC52" s="409" t="str">
        <f t="shared" si="7"/>
        <v>Forum Link</v>
      </c>
      <c r="AD52" s="409" t="str">
        <f t="shared" si="8"/>
        <v>Domains</v>
      </c>
    </row>
    <row r="53" s="410" customFormat="1" ht="17.4" spans="1:30">
      <c r="A53" s="432" t="s">
        <v>227</v>
      </c>
      <c r="B53" s="432" t="s">
        <v>153</v>
      </c>
      <c r="C53" s="434" t="str">
        <f>VLOOKUP(B53,正厂竞争者数据汇总!D:H,2,FALSE)</f>
        <v>原厂目录</v>
      </c>
      <c r="D53" s="435" t="str">
        <f>VLOOKUP(B53,正厂竞争者数据汇总!D:H,3,FALSE)</f>
        <v>CA</v>
      </c>
      <c r="E53" s="436">
        <f>VLOOKUP(B53,正厂竞争者数据汇总!D:H,4,FALSE)</f>
        <v>0</v>
      </c>
      <c r="F53" s="436">
        <v>454377.353333333</v>
      </c>
      <c r="G53" s="436">
        <v>436555.583333333</v>
      </c>
      <c r="H53" s="436">
        <v>490593.833333333</v>
      </c>
      <c r="I53" s="454">
        <v>0.040823598827717</v>
      </c>
      <c r="J53" s="457">
        <v>0.313864131153241</v>
      </c>
      <c r="K53" s="457">
        <v>0.352859569343913</v>
      </c>
      <c r="L53" s="457">
        <v>0.343653859673218</v>
      </c>
      <c r="M53" s="456">
        <f>J53-K53</f>
        <v>-0.0389954381906721</v>
      </c>
      <c r="N53" s="457" t="str">
        <f>IFERROR(O53*0.5/#REF!,"")</f>
        <v/>
      </c>
      <c r="O53" s="436" t="s">
        <v>180</v>
      </c>
      <c r="P53" s="542">
        <f t="array" ref="P53">INDEX(正厂竞争者数据汇总!I:I,MATCH($A$51&amp;B53,正厂竞争者数据汇总!A:A&amp;正厂竞争者数据汇总!D:D,0))</f>
        <v>0</v>
      </c>
      <c r="Q53" s="434" t="s">
        <v>268</v>
      </c>
      <c r="R53" s="435" t="s">
        <v>229</v>
      </c>
      <c r="S53" s="476">
        <v>29127</v>
      </c>
      <c r="T53" s="476">
        <v>4698</v>
      </c>
      <c r="U53" s="477"/>
      <c r="V53" s="477"/>
      <c r="W53" s="477"/>
      <c r="X53" s="477"/>
      <c r="Y53" s="200" t="s">
        <v>153</v>
      </c>
      <c r="Z53" s="200">
        <v>26019</v>
      </c>
      <c r="AA53" s="200">
        <v>4085</v>
      </c>
      <c r="AB53" s="410">
        <f t="shared" si="6"/>
        <v>1</v>
      </c>
      <c r="AC53" s="409">
        <f t="shared" si="7"/>
        <v>26019</v>
      </c>
      <c r="AD53" s="409">
        <f t="shared" si="8"/>
        <v>4085</v>
      </c>
    </row>
    <row r="54" s="408" customFormat="1" ht="46.8" spans="1:30">
      <c r="A54" s="428" t="s">
        <v>230</v>
      </c>
      <c r="B54" s="421" t="s">
        <v>269</v>
      </c>
      <c r="C54" s="429" t="str">
        <f>VLOOKUP(B54,正厂竞争者数据汇总!D:H,2,FALSE)</f>
        <v>Motor目录</v>
      </c>
      <c r="D54" s="421" t="str">
        <f>VLOOKUP(B54,正厂竞争者数据汇总!D:H,3,FALSE)</f>
        <v>-</v>
      </c>
      <c r="E54" s="430"/>
      <c r="F54" s="430">
        <v>282354.845</v>
      </c>
      <c r="G54" s="430"/>
      <c r="H54" s="430"/>
      <c r="I54" s="450"/>
      <c r="J54" s="451">
        <v>0.195038457468676</v>
      </c>
      <c r="K54" s="451">
        <v>0.194359157232127</v>
      </c>
      <c r="L54" s="451">
        <v>0.166044916900624</v>
      </c>
      <c r="M54" s="452"/>
      <c r="N54" s="451"/>
      <c r="O54" s="430"/>
      <c r="P54" s="542" t="str">
        <f t="array" ref="P54">INDEX(正厂竞争者数据汇总!I:I,MATCH($A$51&amp;B54,正厂竞争者数据汇总!A:A&amp;正厂竞争者数据汇总!D:D,0))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54" s="429"/>
      <c r="R54" s="421"/>
      <c r="S54" s="472">
        <v>2093</v>
      </c>
      <c r="T54" s="472">
        <v>232</v>
      </c>
      <c r="U54" s="466"/>
      <c r="V54" s="466"/>
      <c r="W54" s="466"/>
      <c r="X54" s="466"/>
      <c r="Y54" s="200" t="s">
        <v>269</v>
      </c>
      <c r="Z54" s="200">
        <v>1561</v>
      </c>
      <c r="AA54" s="200">
        <v>188</v>
      </c>
      <c r="AB54" s="410">
        <f t="shared" si="6"/>
        <v>1</v>
      </c>
      <c r="AC54" s="409">
        <f t="shared" si="7"/>
        <v>1561</v>
      </c>
      <c r="AD54" s="409">
        <f t="shared" si="8"/>
        <v>188</v>
      </c>
    </row>
    <row r="55" s="408" customFormat="1" ht="17.4" spans="1:30">
      <c r="A55" s="428" t="s">
        <v>243</v>
      </c>
      <c r="B55" s="421" t="s">
        <v>270</v>
      </c>
      <c r="C55" s="429" t="s">
        <v>247</v>
      </c>
      <c r="D55" s="421" t="str">
        <f>VLOOKUP(B55,正厂竞争者数据汇总!D:H,3,FALSE)</f>
        <v>FL</v>
      </c>
      <c r="E55" s="430"/>
      <c r="F55" s="430">
        <v>266053.833333333</v>
      </c>
      <c r="G55" s="430"/>
      <c r="H55" s="430"/>
      <c r="I55" s="450"/>
      <c r="J55" s="451">
        <v>0.183778426954075</v>
      </c>
      <c r="K55" s="451">
        <v>0.200550479928989</v>
      </c>
      <c r="L55" s="451">
        <v>0.184105210197067</v>
      </c>
      <c r="M55" s="452"/>
      <c r="N55" s="451"/>
      <c r="O55" s="430"/>
      <c r="P55" s="542">
        <f t="array" ref="P55">INDEX(正厂竞争者数据汇总!I:I,MATCH($A$51&amp;B55,正厂竞争者数据汇总!A:A&amp;正厂竞争者数据汇总!D:D,0))</f>
        <v>0</v>
      </c>
      <c r="Q55" s="429"/>
      <c r="R55" s="421"/>
      <c r="S55" s="472">
        <v>28813</v>
      </c>
      <c r="T55" s="472">
        <v>837</v>
      </c>
      <c r="U55" s="466"/>
      <c r="V55" s="466"/>
      <c r="W55" s="466"/>
      <c r="X55" s="466"/>
      <c r="Y55" s="200" t="s">
        <v>270</v>
      </c>
      <c r="Z55" s="200">
        <v>65089</v>
      </c>
      <c r="AA55" s="200">
        <v>711</v>
      </c>
      <c r="AB55" s="410">
        <f t="shared" si="6"/>
        <v>1</v>
      </c>
      <c r="AC55" s="409">
        <f t="shared" si="7"/>
        <v>65089</v>
      </c>
      <c r="AD55" s="409">
        <f t="shared" si="8"/>
        <v>711</v>
      </c>
    </row>
    <row r="56" s="408" customFormat="1" ht="46.8" spans="1:30">
      <c r="A56" s="428" t="s">
        <v>230</v>
      </c>
      <c r="B56" s="421" t="s">
        <v>255</v>
      </c>
      <c r="C56" s="429" t="s">
        <v>247</v>
      </c>
      <c r="D56" s="421" t="str">
        <f>VLOOKUP(B56,正厂竞争者数据汇总!D:H,3,FALSE)</f>
        <v>RI</v>
      </c>
      <c r="E56" s="430"/>
      <c r="F56" s="430">
        <v>206370.63</v>
      </c>
      <c r="G56" s="430"/>
      <c r="H56" s="430"/>
      <c r="I56" s="450"/>
      <c r="J56" s="451">
        <v>0.142551863567416</v>
      </c>
      <c r="K56" s="451">
        <v>0.134406083521812</v>
      </c>
      <c r="L56" s="451">
        <v>0.154776999713173</v>
      </c>
      <c r="M56" s="452"/>
      <c r="N56" s="451"/>
      <c r="O56" s="430"/>
      <c r="P56" s="542" t="str">
        <f t="array" ref="P56">INDEX(正厂竞争者数据汇总!I:I,MATCH($A$51&amp;B56,正厂竞争者数据汇总!A:A&amp;正厂竞争者数据汇总!D:D,0))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56" s="429"/>
      <c r="R56" s="421"/>
      <c r="S56" s="472">
        <v>37873</v>
      </c>
      <c r="T56" s="472">
        <v>1673</v>
      </c>
      <c r="U56" s="466"/>
      <c r="V56" s="466"/>
      <c r="W56" s="466"/>
      <c r="X56" s="466"/>
      <c r="Y56" s="200" t="s">
        <v>255</v>
      </c>
      <c r="Z56" s="200">
        <v>38224</v>
      </c>
      <c r="AA56" s="200">
        <v>1673</v>
      </c>
      <c r="AB56" s="410">
        <f t="shared" si="6"/>
        <v>1</v>
      </c>
      <c r="AC56" s="409">
        <f t="shared" si="7"/>
        <v>38224</v>
      </c>
      <c r="AD56" s="409">
        <f t="shared" si="8"/>
        <v>1673</v>
      </c>
    </row>
    <row r="57" s="408" customFormat="1" ht="17.4" spans="1:30">
      <c r="A57" s="428" t="s">
        <v>230</v>
      </c>
      <c r="B57" s="421" t="s">
        <v>273</v>
      </c>
      <c r="C57" s="429" t="s">
        <v>247</v>
      </c>
      <c r="D57" s="421" t="str">
        <f>VLOOKUP(B57,正厂竞争者数据汇总!D:H,3,FALSE)</f>
        <v>GA</v>
      </c>
      <c r="E57" s="430"/>
      <c r="F57" s="430">
        <v>122592.416666667</v>
      </c>
      <c r="G57" s="430"/>
      <c r="H57" s="430"/>
      <c r="I57" s="450"/>
      <c r="J57" s="451">
        <v>0.0846815142981661</v>
      </c>
      <c r="K57" s="451">
        <v>0.0732735745919437</v>
      </c>
      <c r="L57" s="451">
        <v>0.0673153621336538</v>
      </c>
      <c r="M57" s="452"/>
      <c r="N57" s="451"/>
      <c r="O57" s="430"/>
      <c r="P57" s="542">
        <f t="array" ref="P57">INDEX(正厂竞争者数据汇总!I:I,MATCH($A$51&amp;B57,正厂竞争者数据汇总!A:A&amp;正厂竞争者数据汇总!D:D,0))</f>
        <v>0</v>
      </c>
      <c r="Q57" s="429"/>
      <c r="R57" s="421"/>
      <c r="S57" s="472">
        <v>6670</v>
      </c>
      <c r="T57" s="472">
        <v>389</v>
      </c>
      <c r="U57" s="466"/>
      <c r="V57" s="466"/>
      <c r="W57" s="466"/>
      <c r="X57" s="466"/>
      <c r="Y57" s="200" t="s">
        <v>273</v>
      </c>
      <c r="Z57" s="200">
        <v>6625</v>
      </c>
      <c r="AA57" s="200">
        <v>453</v>
      </c>
      <c r="AB57" s="410">
        <f t="shared" si="6"/>
        <v>1</v>
      </c>
      <c r="AC57" s="409">
        <f t="shared" si="7"/>
        <v>6625</v>
      </c>
      <c r="AD57" s="409">
        <f t="shared" si="8"/>
        <v>453</v>
      </c>
    </row>
    <row r="58" s="408" customFormat="1" spans="1:30">
      <c r="A58" s="428" t="s">
        <v>230</v>
      </c>
      <c r="B58" s="421" t="s">
        <v>271</v>
      </c>
      <c r="C58" s="429" t="s">
        <v>233</v>
      </c>
      <c r="D58" s="421" t="s">
        <v>272</v>
      </c>
      <c r="E58" s="430"/>
      <c r="F58" s="430">
        <v>115938.975933333</v>
      </c>
      <c r="G58" s="430"/>
      <c r="H58" s="430"/>
      <c r="I58" s="450"/>
      <c r="J58" s="451">
        <v>0.0800856065584257</v>
      </c>
      <c r="K58" s="451"/>
      <c r="L58" s="451"/>
      <c r="M58" s="452"/>
      <c r="N58" s="451"/>
      <c r="O58" s="430"/>
      <c r="P58" s="542" t="str">
        <f t="array" ref="P58">INDEX(正厂竞争者数据汇总!I:I,MATCH($A$51&amp;B58,正厂竞争者数据汇总!A:A&amp;正厂竞争者数据汇总!D:D,0))</f>
        <v>2023年2月新增正厂</v>
      </c>
      <c r="Q58" s="429"/>
      <c r="R58" s="421"/>
      <c r="S58" s="472">
        <v>1126</v>
      </c>
      <c r="T58" s="472">
        <v>196</v>
      </c>
      <c r="U58" s="466"/>
      <c r="V58" s="466"/>
      <c r="W58" s="466"/>
      <c r="X58" s="466"/>
      <c r="Y58" s="200"/>
      <c r="Z58" s="200"/>
      <c r="AA58" s="200"/>
      <c r="AB58" s="410"/>
      <c r="AC58" s="409"/>
      <c r="AD58" s="409"/>
    </row>
    <row r="59" s="408" customFormat="1" spans="1:30">
      <c r="A59" s="428"/>
      <c r="B59" s="421"/>
      <c r="C59" s="429"/>
      <c r="D59" s="421"/>
      <c r="E59" s="430"/>
      <c r="F59" s="430"/>
      <c r="G59" s="430"/>
      <c r="H59" s="430"/>
      <c r="I59" s="450"/>
      <c r="J59" s="451"/>
      <c r="K59" s="451"/>
      <c r="L59" s="451"/>
      <c r="M59" s="452"/>
      <c r="N59" s="451"/>
      <c r="O59" s="430"/>
      <c r="P59" s="542"/>
      <c r="Q59" s="429"/>
      <c r="R59" s="421"/>
      <c r="S59" s="472" t="s">
        <v>180</v>
      </c>
      <c r="T59" s="472" t="s">
        <v>180</v>
      </c>
      <c r="U59" s="466"/>
      <c r="V59" s="466"/>
      <c r="W59" s="421"/>
      <c r="X59" s="421"/>
      <c r="Y59" s="200" t="s">
        <v>240</v>
      </c>
      <c r="Z59" s="200" t="s">
        <v>180</v>
      </c>
      <c r="AA59" s="200" t="s">
        <v>180</v>
      </c>
      <c r="AB59" s="410">
        <f t="shared" ref="AB59:AB100" si="9">IF(B59=Y59,1,0)</f>
        <v>0</v>
      </c>
      <c r="AC59" s="409" t="str">
        <f t="shared" ref="AC59:AC100" si="10">IF(Y59="Competitors","Forum Link",Z59)</f>
        <v/>
      </c>
      <c r="AD59" s="409" t="str">
        <f t="shared" ref="AD59:AD100" si="11">IF(Y59="Competitors","Domains",AA59)</f>
        <v/>
      </c>
    </row>
    <row r="60" s="408" customFormat="1" spans="1:30">
      <c r="A60" s="428"/>
      <c r="B60" s="421"/>
      <c r="C60" s="439"/>
      <c r="D60" s="421"/>
      <c r="E60" s="430"/>
      <c r="F60" s="430">
        <v>1447688.05426667</v>
      </c>
      <c r="G60" s="430">
        <v>1270419.34583333</v>
      </c>
      <c r="H60" s="430">
        <v>1259631.94083333</v>
      </c>
      <c r="I60" s="453">
        <v>0.139535586430366</v>
      </c>
      <c r="J60" s="430"/>
      <c r="K60" s="451"/>
      <c r="L60" s="430"/>
      <c r="M60" s="451"/>
      <c r="N60" s="459">
        <f>SUM(N53:N58)</f>
        <v>0</v>
      </c>
      <c r="O60" s="430" t="s">
        <v>180</v>
      </c>
      <c r="P60" s="542"/>
      <c r="Q60" s="429"/>
      <c r="R60" s="421"/>
      <c r="S60" s="473" t="s">
        <v>180</v>
      </c>
      <c r="T60" s="473" t="s">
        <v>180</v>
      </c>
      <c r="U60" s="466"/>
      <c r="V60" s="466"/>
      <c r="W60" s="421"/>
      <c r="X60" s="421"/>
      <c r="Y60" s="200" t="s">
        <v>240</v>
      </c>
      <c r="Z60" s="200" t="s">
        <v>180</v>
      </c>
      <c r="AA60" s="200" t="s">
        <v>180</v>
      </c>
      <c r="AB60" s="410">
        <f t="shared" si="9"/>
        <v>0</v>
      </c>
      <c r="AC60" s="409" t="str">
        <f t="shared" si="10"/>
        <v/>
      </c>
      <c r="AD60" s="409" t="str">
        <f t="shared" si="11"/>
        <v/>
      </c>
    </row>
    <row r="61" s="408" customFormat="1" spans="1:30">
      <c r="A61" s="428"/>
      <c r="B61" s="421"/>
      <c r="C61" s="439"/>
      <c r="D61" s="421"/>
      <c r="E61" s="430"/>
      <c r="F61" s="430"/>
      <c r="G61" s="430"/>
      <c r="H61" s="430"/>
      <c r="I61" s="453"/>
      <c r="J61" s="430"/>
      <c r="K61" s="430"/>
      <c r="L61" s="430"/>
      <c r="M61" s="451"/>
      <c r="N61" s="459"/>
      <c r="O61" s="430"/>
      <c r="P61" s="542"/>
      <c r="Q61" s="429"/>
      <c r="R61" s="421"/>
      <c r="S61" s="473" t="s">
        <v>180</v>
      </c>
      <c r="T61" s="473" t="s">
        <v>180</v>
      </c>
      <c r="U61" s="466"/>
      <c r="V61" s="466"/>
      <c r="W61" s="421"/>
      <c r="X61" s="421"/>
      <c r="Y61" s="200" t="s">
        <v>240</v>
      </c>
      <c r="Z61" s="200" t="s">
        <v>180</v>
      </c>
      <c r="AA61" s="200" t="s">
        <v>180</v>
      </c>
      <c r="AB61" s="410">
        <f t="shared" si="9"/>
        <v>0</v>
      </c>
      <c r="AC61" s="409" t="str">
        <f t="shared" si="10"/>
        <v/>
      </c>
      <c r="AD61" s="409" t="str">
        <f t="shared" si="11"/>
        <v/>
      </c>
    </row>
    <row r="62" s="408" customFormat="1" ht="17.4" spans="1:30">
      <c r="A62" s="418" t="s">
        <v>274</v>
      </c>
      <c r="B62" s="419"/>
      <c r="C62" s="420"/>
      <c r="D62" s="421"/>
      <c r="E62" s="422" t="s">
        <v>202</v>
      </c>
      <c r="F62" s="422"/>
      <c r="G62" s="422"/>
      <c r="H62" s="422"/>
      <c r="I62" s="422"/>
      <c r="J62" s="422"/>
      <c r="K62" s="422"/>
      <c r="L62" s="422"/>
      <c r="M62" s="443"/>
      <c r="N62" s="444"/>
      <c r="O62" s="422"/>
      <c r="P62" s="542"/>
      <c r="Q62" s="465"/>
      <c r="R62" s="424"/>
      <c r="S62" s="473" t="s">
        <v>180</v>
      </c>
      <c r="T62" s="473" t="s">
        <v>180</v>
      </c>
      <c r="U62" s="467"/>
      <c r="V62" s="467"/>
      <c r="W62" s="467"/>
      <c r="X62" s="467"/>
      <c r="Y62" s="200" t="s">
        <v>240</v>
      </c>
      <c r="Z62" s="200" t="s">
        <v>180</v>
      </c>
      <c r="AA62" s="200" t="s">
        <v>180</v>
      </c>
      <c r="AB62" s="410">
        <f t="shared" si="9"/>
        <v>0</v>
      </c>
      <c r="AC62" s="409" t="str">
        <f t="shared" si="10"/>
        <v/>
      </c>
      <c r="AD62" s="409" t="str">
        <f t="shared" si="11"/>
        <v/>
      </c>
    </row>
    <row r="63" s="409" customFormat="1" ht="46.8" spans="1:30">
      <c r="A63" s="423" t="s">
        <v>206</v>
      </c>
      <c r="B63" s="424" t="s">
        <v>207</v>
      </c>
      <c r="C63" s="425" t="s">
        <v>208</v>
      </c>
      <c r="D63" s="424" t="s">
        <v>209</v>
      </c>
      <c r="E63" s="426" t="s">
        <v>210</v>
      </c>
      <c r="F63" s="427" t="s">
        <v>385</v>
      </c>
      <c r="G63" s="427" t="s">
        <v>213</v>
      </c>
      <c r="H63" s="427" t="s">
        <v>213</v>
      </c>
      <c r="I63" s="427" t="s">
        <v>386</v>
      </c>
      <c r="J63" s="446" t="s">
        <v>216</v>
      </c>
      <c r="K63" s="446" t="s">
        <v>217</v>
      </c>
      <c r="L63" s="446" t="s">
        <v>387</v>
      </c>
      <c r="M63" s="447" t="s">
        <v>218</v>
      </c>
      <c r="N63" s="448" t="s">
        <v>219</v>
      </c>
      <c r="O63" s="449" t="s">
        <v>220</v>
      </c>
      <c r="P63" s="543" t="s">
        <v>221</v>
      </c>
      <c r="Q63" s="469" t="s">
        <v>222</v>
      </c>
      <c r="R63" s="426" t="s">
        <v>223</v>
      </c>
      <c r="S63" s="470" t="s">
        <v>224</v>
      </c>
      <c r="T63" s="470" t="s">
        <v>205</v>
      </c>
      <c r="U63" s="467" t="s">
        <v>225</v>
      </c>
      <c r="V63" s="470" t="s">
        <v>226</v>
      </c>
      <c r="W63" s="467"/>
      <c r="X63" s="467"/>
      <c r="Y63" s="200" t="s">
        <v>207</v>
      </c>
      <c r="Z63" s="200" t="s">
        <v>180</v>
      </c>
      <c r="AA63" s="200" t="s">
        <v>180</v>
      </c>
      <c r="AB63" s="410">
        <f t="shared" si="9"/>
        <v>1</v>
      </c>
      <c r="AC63" s="409" t="str">
        <f t="shared" si="10"/>
        <v>Forum Link</v>
      </c>
      <c r="AD63" s="409" t="str">
        <f t="shared" si="11"/>
        <v>Domains</v>
      </c>
    </row>
    <row r="64" s="410" customFormat="1" ht="17.4" spans="1:30">
      <c r="A64" s="432" t="s">
        <v>227</v>
      </c>
      <c r="B64" s="432" t="s">
        <v>157</v>
      </c>
      <c r="C64" s="434" t="str">
        <f>VLOOKUP(B64,正厂竞争者数据汇总!D:H,2,FALSE)</f>
        <v>原厂目录</v>
      </c>
      <c r="D64" s="435" t="str">
        <f>VLOOKUP(B64,正厂竞争者数据汇总!D:H,3,FALSE)</f>
        <v>CA</v>
      </c>
      <c r="E64" s="436">
        <f>VLOOKUP(B64,正厂竞争者数据汇总!D:H,4,FALSE)</f>
        <v>0</v>
      </c>
      <c r="F64" s="436">
        <v>345626.65</v>
      </c>
      <c r="G64" s="436">
        <v>278909.416666667</v>
      </c>
      <c r="H64" s="436">
        <v>329867.416666667</v>
      </c>
      <c r="I64" s="454">
        <v>0.239207532433617</v>
      </c>
      <c r="J64" s="457">
        <v>0.401812205375332</v>
      </c>
      <c r="K64" s="457">
        <v>0.383039082593175</v>
      </c>
      <c r="L64" s="457">
        <v>0.390896354722365</v>
      </c>
      <c r="M64" s="456">
        <f>J64-K64</f>
        <v>0.0187731227821569</v>
      </c>
      <c r="N64" s="457" t="str">
        <f>IFERROR(O64*0.5/$F$64,"")</f>
        <v/>
      </c>
      <c r="O64" s="436" t="s">
        <v>180</v>
      </c>
      <c r="P64" s="542">
        <f t="array" ref="P64">INDEX(正厂竞争者数据汇总!I:I,MATCH($A$62&amp;B64,正厂竞争者数据汇总!A:A&amp;正厂竞争者数据汇总!D:D,0))</f>
        <v>0</v>
      </c>
      <c r="Q64" s="434" t="s">
        <v>275</v>
      </c>
      <c r="R64" s="435" t="s">
        <v>229</v>
      </c>
      <c r="S64" s="476">
        <v>48813</v>
      </c>
      <c r="T64" s="476">
        <v>8185</v>
      </c>
      <c r="U64" s="477"/>
      <c r="V64" s="477"/>
      <c r="W64" s="435"/>
      <c r="X64" s="435"/>
      <c r="Y64" s="200" t="s">
        <v>157</v>
      </c>
      <c r="Z64" s="200">
        <v>39909</v>
      </c>
      <c r="AA64" s="200">
        <v>6992</v>
      </c>
      <c r="AB64" s="410">
        <f t="shared" si="9"/>
        <v>1</v>
      </c>
      <c r="AC64" s="409">
        <f t="shared" si="10"/>
        <v>39909</v>
      </c>
      <c r="AD64" s="409">
        <f t="shared" si="11"/>
        <v>6992</v>
      </c>
    </row>
    <row r="65" s="408" customFormat="1" ht="46.8" spans="1:30">
      <c r="A65" s="428" t="s">
        <v>230</v>
      </c>
      <c r="B65" s="421" t="s">
        <v>276</v>
      </c>
      <c r="C65" s="429" t="str">
        <f>VLOOKUP(B65,正厂竞争者数据汇总!D:H,2,FALSE)</f>
        <v>Motor目录</v>
      </c>
      <c r="D65" s="421" t="str">
        <f>VLOOKUP(B65,正厂竞争者数据汇总!D:H,3,FALSE)</f>
        <v>-</v>
      </c>
      <c r="E65" s="430"/>
      <c r="F65" s="430">
        <v>244216.385</v>
      </c>
      <c r="G65" s="430"/>
      <c r="H65" s="430"/>
      <c r="I65" s="450"/>
      <c r="J65" s="451">
        <v>0.283916544761931</v>
      </c>
      <c r="K65" s="451">
        <v>0.299217011977069</v>
      </c>
      <c r="L65" s="451">
        <v>0.303593449598971</v>
      </c>
      <c r="M65" s="452"/>
      <c r="N65" s="451"/>
      <c r="O65" s="430"/>
      <c r="P65" s="542" t="str">
        <f t="array" ref="P65">INDEX(正厂竞争者数据汇总!I:I,MATCH($A$62&amp;B65,正厂竞争者数据汇总!A:A&amp;正厂竞争者数据汇总!D:D,0))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65" s="429"/>
      <c r="R65" s="421"/>
      <c r="S65" s="472">
        <v>2373</v>
      </c>
      <c r="T65" s="472">
        <v>276</v>
      </c>
      <c r="U65" s="466"/>
      <c r="V65" s="466"/>
      <c r="W65" s="466"/>
      <c r="X65" s="466"/>
      <c r="Y65" s="200" t="s">
        <v>276</v>
      </c>
      <c r="Z65" s="200">
        <v>1945</v>
      </c>
      <c r="AA65" s="200">
        <v>226</v>
      </c>
      <c r="AB65" s="410">
        <f t="shared" si="9"/>
        <v>1</v>
      </c>
      <c r="AC65" s="409">
        <f t="shared" si="10"/>
        <v>1945</v>
      </c>
      <c r="AD65" s="409">
        <f t="shared" si="11"/>
        <v>226</v>
      </c>
    </row>
    <row r="66" s="408" customFormat="1" spans="1:30">
      <c r="A66" s="428" t="s">
        <v>230</v>
      </c>
      <c r="B66" s="421" t="s">
        <v>278</v>
      </c>
      <c r="C66" s="429" t="str">
        <f>VLOOKUP(B66,正厂竞争者数据汇总!D:H,2,FALSE)</f>
        <v>Motor</v>
      </c>
      <c r="D66" s="421" t="str">
        <f>VLOOKUP(B66,正厂竞争者数据汇总!D:H,3,FALSE)</f>
        <v>NM</v>
      </c>
      <c r="E66" s="430"/>
      <c r="F66" s="430">
        <v>115351</v>
      </c>
      <c r="G66" s="430"/>
      <c r="H66" s="430"/>
      <c r="I66" s="450"/>
      <c r="J66" s="451">
        <v>0.134102621144087</v>
      </c>
      <c r="K66" s="451">
        <v>0.125517180393928</v>
      </c>
      <c r="L66" s="451">
        <v>0.125857424276292</v>
      </c>
      <c r="M66" s="452"/>
      <c r="N66" s="451"/>
      <c r="O66" s="430"/>
      <c r="P66" s="542" t="str">
        <f t="array" ref="P66">INDEX(正厂竞争者数据汇总!I:I,MATCH($A$62&amp;B66,正厂竞争者数据汇总!A:A&amp;正厂竞争者数据汇总!D:D,0))</f>
        <v>2020年11月新增竞争者</v>
      </c>
      <c r="Q66" s="429"/>
      <c r="R66" s="421"/>
      <c r="S66" s="472">
        <v>6886</v>
      </c>
      <c r="T66" s="472">
        <v>352</v>
      </c>
      <c r="U66" s="466"/>
      <c r="V66" s="466"/>
      <c r="W66" s="466"/>
      <c r="X66" s="466"/>
      <c r="Y66" s="200" t="s">
        <v>278</v>
      </c>
      <c r="Z66" s="200">
        <v>7789</v>
      </c>
      <c r="AA66" s="200">
        <v>414</v>
      </c>
      <c r="AB66" s="410">
        <f t="shared" si="9"/>
        <v>1</v>
      </c>
      <c r="AC66" s="409">
        <f t="shared" si="10"/>
        <v>7789</v>
      </c>
      <c r="AD66" s="409">
        <f t="shared" si="11"/>
        <v>414</v>
      </c>
    </row>
    <row r="67" s="408" customFormat="1" spans="1:30">
      <c r="A67" s="428" t="s">
        <v>243</v>
      </c>
      <c r="B67" s="421" t="s">
        <v>277</v>
      </c>
      <c r="C67" s="429" t="str">
        <f>VLOOKUP(B67,正厂竞争者数据汇总!D:H,2,FALSE)</f>
        <v>Motor目录</v>
      </c>
      <c r="D67" s="421" t="str">
        <f>VLOOKUP(B67,正厂竞争者数据汇总!D:H,3,FALSE)</f>
        <v>FL</v>
      </c>
      <c r="E67" s="430"/>
      <c r="F67" s="430">
        <v>101721.163333333</v>
      </c>
      <c r="G67" s="430"/>
      <c r="H67" s="430"/>
      <c r="I67" s="450"/>
      <c r="J67" s="451">
        <v>0.118257099018004</v>
      </c>
      <c r="K67" s="451">
        <v>0.133485319630165</v>
      </c>
      <c r="L67" s="451">
        <v>0.116695096907047</v>
      </c>
      <c r="M67" s="452"/>
      <c r="N67" s="451"/>
      <c r="O67" s="430"/>
      <c r="P67" s="542">
        <f t="array" ref="P67">INDEX(正厂竞争者数据汇总!I:I,MATCH($A$62&amp;B67,正厂竞争者数据汇总!A:A&amp;正厂竞争者数据汇总!D:D,0))</f>
        <v>0</v>
      </c>
      <c r="Q67" s="429"/>
      <c r="R67" s="421"/>
      <c r="S67" s="472">
        <v>18919</v>
      </c>
      <c r="T67" s="472">
        <v>819</v>
      </c>
      <c r="U67" s="466"/>
      <c r="V67" s="466"/>
      <c r="W67" s="466"/>
      <c r="X67" s="466"/>
      <c r="Y67" s="200" t="s">
        <v>277</v>
      </c>
      <c r="Z67" s="200">
        <v>55886</v>
      </c>
      <c r="AA67" s="200">
        <v>713</v>
      </c>
      <c r="AB67" s="410">
        <f t="shared" si="9"/>
        <v>1</v>
      </c>
      <c r="AC67" s="409">
        <f t="shared" si="10"/>
        <v>55886</v>
      </c>
      <c r="AD67" s="409">
        <f t="shared" si="11"/>
        <v>713</v>
      </c>
    </row>
    <row r="68" s="408" customFormat="1" ht="31.2" spans="1:30">
      <c r="A68" s="428" t="s">
        <v>230</v>
      </c>
      <c r="B68" s="421" t="s">
        <v>279</v>
      </c>
      <c r="C68" s="429" t="str">
        <f>VLOOKUP(B68,正厂竞争者数据汇总!D:H,2,FALSE)</f>
        <v>Motor目录</v>
      </c>
      <c r="D68" s="421" t="str">
        <f>VLOOKUP(B68,正厂竞争者数据汇总!D:H,3,FALSE)</f>
        <v>-</v>
      </c>
      <c r="E68" s="430"/>
      <c r="F68" s="430">
        <v>53254.4166666667</v>
      </c>
      <c r="G68" s="430"/>
      <c r="H68" s="430"/>
      <c r="I68" s="450"/>
      <c r="J68" s="451">
        <v>0.0619115297006471</v>
      </c>
      <c r="K68" s="451">
        <v>0.0587414054056635</v>
      </c>
      <c r="L68" s="451">
        <v>0.0629576744953252</v>
      </c>
      <c r="M68" s="452"/>
      <c r="N68" s="451"/>
      <c r="O68" s="430"/>
      <c r="P68" s="542" t="str">
        <f t="array" ref="P68">INDEX(正厂竞争者数据汇总!I:I,MATCH($A$62&amp;B68,正厂竞争者数据汇总!A:A&amp;正厂竞争者数据汇总!D:D,0))</f>
        <v>同时经营多品牌零件，semrush流量折算比例：Ford:0%, GM:36%, Honda:25%, Hyundai:0%, Infiniti:1%, Kia:1%, Lexus:4%, Mopar:0%, Nissan:25%, Subaru:5%, Toyota:2%</v>
      </c>
      <c r="Q68" s="429"/>
      <c r="R68" s="421"/>
      <c r="S68" s="472">
        <v>547</v>
      </c>
      <c r="T68" s="472">
        <v>68</v>
      </c>
      <c r="U68" s="466"/>
      <c r="V68" s="466"/>
      <c r="W68" s="466"/>
      <c r="X68" s="466"/>
      <c r="Y68" s="200" t="s">
        <v>279</v>
      </c>
      <c r="Z68" s="200">
        <v>498</v>
      </c>
      <c r="AA68" s="200">
        <v>70</v>
      </c>
      <c r="AB68" s="410">
        <f t="shared" si="9"/>
        <v>1</v>
      </c>
      <c r="AC68" s="409">
        <f t="shared" si="10"/>
        <v>498</v>
      </c>
      <c r="AD68" s="409">
        <f t="shared" si="11"/>
        <v>70</v>
      </c>
    </row>
    <row r="69" s="408" customFormat="1" spans="1:30">
      <c r="A69" s="428"/>
      <c r="B69" s="431"/>
      <c r="C69" s="429"/>
      <c r="D69" s="421"/>
      <c r="E69" s="430"/>
      <c r="F69" s="430"/>
      <c r="G69" s="430"/>
      <c r="H69" s="430"/>
      <c r="I69" s="453"/>
      <c r="J69" s="451"/>
      <c r="K69" s="451"/>
      <c r="L69" s="451"/>
      <c r="M69" s="451"/>
      <c r="N69" s="451"/>
      <c r="O69" s="430"/>
      <c r="P69" s="542"/>
      <c r="Q69" s="429"/>
      <c r="R69" s="435"/>
      <c r="S69" s="473" t="s">
        <v>180</v>
      </c>
      <c r="T69" s="473" t="s">
        <v>180</v>
      </c>
      <c r="U69" s="466"/>
      <c r="V69" s="466"/>
      <c r="W69" s="421"/>
      <c r="X69" s="421"/>
      <c r="Y69" s="200" t="s">
        <v>240</v>
      </c>
      <c r="Z69" s="200" t="s">
        <v>180</v>
      </c>
      <c r="AA69" s="200" t="s">
        <v>180</v>
      </c>
      <c r="AB69" s="410">
        <f t="shared" si="9"/>
        <v>0</v>
      </c>
      <c r="AC69" s="409" t="str">
        <f t="shared" si="10"/>
        <v/>
      </c>
      <c r="AD69" s="409" t="str">
        <f t="shared" si="11"/>
        <v/>
      </c>
    </row>
    <row r="70" s="408" customFormat="1" spans="1:30">
      <c r="A70" s="428"/>
      <c r="B70" s="421"/>
      <c r="C70" s="439"/>
      <c r="D70" s="421"/>
      <c r="E70" s="430"/>
      <c r="F70" s="430">
        <v>860169.615</v>
      </c>
      <c r="G70" s="430">
        <v>704838.916666666</v>
      </c>
      <c r="H70" s="430">
        <v>764789.250000002</v>
      </c>
      <c r="I70" s="453">
        <v>0.220377585091251</v>
      </c>
      <c r="J70" s="490"/>
      <c r="K70" s="480"/>
      <c r="L70" s="480"/>
      <c r="M70" s="451"/>
      <c r="N70" s="451">
        <f>SUM(N64:N68)</f>
        <v>0</v>
      </c>
      <c r="O70" s="430"/>
      <c r="P70" s="542"/>
      <c r="Q70" s="429"/>
      <c r="R70" s="421"/>
      <c r="S70" s="473" t="s">
        <v>180</v>
      </c>
      <c r="T70" s="473" t="s">
        <v>180</v>
      </c>
      <c r="U70" s="466"/>
      <c r="V70" s="466"/>
      <c r="W70" s="421"/>
      <c r="X70" s="421"/>
      <c r="Y70" s="200" t="s">
        <v>240</v>
      </c>
      <c r="Z70" s="200" t="s">
        <v>180</v>
      </c>
      <c r="AA70" s="200" t="s">
        <v>180</v>
      </c>
      <c r="AB70" s="410">
        <f t="shared" si="9"/>
        <v>0</v>
      </c>
      <c r="AC70" s="409" t="str">
        <f t="shared" si="10"/>
        <v/>
      </c>
      <c r="AD70" s="409" t="str">
        <f t="shared" si="11"/>
        <v/>
      </c>
    </row>
    <row r="71" s="408" customFormat="1" spans="1:30">
      <c r="A71" s="428"/>
      <c r="B71" s="421"/>
      <c r="C71" s="439"/>
      <c r="D71" s="421"/>
      <c r="E71" s="430"/>
      <c r="F71" s="430"/>
      <c r="G71" s="430"/>
      <c r="H71" s="430"/>
      <c r="I71" s="453"/>
      <c r="J71" s="430"/>
      <c r="K71" s="430"/>
      <c r="L71" s="430"/>
      <c r="M71" s="451"/>
      <c r="N71" s="459"/>
      <c r="O71" s="430"/>
      <c r="P71" s="542"/>
      <c r="Q71" s="429"/>
      <c r="R71" s="421"/>
      <c r="S71" s="473" t="s">
        <v>180</v>
      </c>
      <c r="T71" s="473" t="s">
        <v>180</v>
      </c>
      <c r="U71" s="466"/>
      <c r="V71" s="466"/>
      <c r="W71" s="421"/>
      <c r="X71" s="421"/>
      <c r="Y71" s="200" t="s">
        <v>240</v>
      </c>
      <c r="Z71" s="200" t="s">
        <v>180</v>
      </c>
      <c r="AA71" s="200" t="s">
        <v>180</v>
      </c>
      <c r="AB71" s="410">
        <f t="shared" si="9"/>
        <v>0</v>
      </c>
      <c r="AC71" s="409" t="str">
        <f t="shared" si="10"/>
        <v/>
      </c>
      <c r="AD71" s="409" t="str">
        <f t="shared" si="11"/>
        <v/>
      </c>
    </row>
    <row r="72" s="408" customFormat="1" ht="17.4" spans="1:30">
      <c r="A72" s="418" t="s">
        <v>159</v>
      </c>
      <c r="B72" s="419"/>
      <c r="C72" s="420"/>
      <c r="D72" s="421"/>
      <c r="E72" s="422" t="s">
        <v>202</v>
      </c>
      <c r="F72" s="422"/>
      <c r="G72" s="422"/>
      <c r="H72" s="422"/>
      <c r="I72" s="422"/>
      <c r="J72" s="422"/>
      <c r="K72" s="422"/>
      <c r="L72" s="422"/>
      <c r="M72" s="443"/>
      <c r="N72" s="444"/>
      <c r="O72" s="422"/>
      <c r="P72" s="542"/>
      <c r="Q72" s="465"/>
      <c r="R72" s="424"/>
      <c r="S72" s="473" t="s">
        <v>180</v>
      </c>
      <c r="T72" s="473" t="s">
        <v>180</v>
      </c>
      <c r="U72" s="467"/>
      <c r="V72" s="467"/>
      <c r="W72" s="467"/>
      <c r="X72" s="467"/>
      <c r="Y72" s="200" t="s">
        <v>240</v>
      </c>
      <c r="Z72" s="200" t="s">
        <v>180</v>
      </c>
      <c r="AA72" s="200" t="s">
        <v>180</v>
      </c>
      <c r="AB72" s="410">
        <f t="shared" si="9"/>
        <v>0</v>
      </c>
      <c r="AC72" s="409" t="str">
        <f t="shared" si="10"/>
        <v/>
      </c>
      <c r="AD72" s="409" t="str">
        <f t="shared" si="11"/>
        <v/>
      </c>
    </row>
    <row r="73" s="409" customFormat="1" ht="46.8" spans="1:30">
      <c r="A73" s="423" t="s">
        <v>206</v>
      </c>
      <c r="B73" s="424" t="s">
        <v>207</v>
      </c>
      <c r="C73" s="425" t="s">
        <v>208</v>
      </c>
      <c r="D73" s="424" t="s">
        <v>209</v>
      </c>
      <c r="E73" s="426" t="s">
        <v>210</v>
      </c>
      <c r="F73" s="427" t="s">
        <v>385</v>
      </c>
      <c r="G73" s="427" t="s">
        <v>213</v>
      </c>
      <c r="H73" s="427" t="s">
        <v>213</v>
      </c>
      <c r="I73" s="427" t="s">
        <v>386</v>
      </c>
      <c r="J73" s="446" t="s">
        <v>216</v>
      </c>
      <c r="K73" s="446" t="s">
        <v>217</v>
      </c>
      <c r="L73" s="446" t="s">
        <v>387</v>
      </c>
      <c r="M73" s="447" t="s">
        <v>218</v>
      </c>
      <c r="N73" s="448" t="s">
        <v>219</v>
      </c>
      <c r="O73" s="449" t="s">
        <v>220</v>
      </c>
      <c r="P73" s="543" t="s">
        <v>221</v>
      </c>
      <c r="Q73" s="469" t="s">
        <v>222</v>
      </c>
      <c r="R73" s="426" t="s">
        <v>223</v>
      </c>
      <c r="S73" s="470" t="s">
        <v>224</v>
      </c>
      <c r="T73" s="470" t="s">
        <v>205</v>
      </c>
      <c r="U73" s="467" t="s">
        <v>225</v>
      </c>
      <c r="V73" s="470" t="s">
        <v>226</v>
      </c>
      <c r="W73" s="467"/>
      <c r="X73" s="467"/>
      <c r="Y73" s="200" t="s">
        <v>207</v>
      </c>
      <c r="Z73" s="200" t="s">
        <v>180</v>
      </c>
      <c r="AA73" s="200" t="s">
        <v>180</v>
      </c>
      <c r="AB73" s="410">
        <f t="shared" si="9"/>
        <v>1</v>
      </c>
      <c r="AC73" s="409" t="str">
        <f t="shared" si="10"/>
        <v>Forum Link</v>
      </c>
      <c r="AD73" s="409" t="str">
        <f t="shared" si="11"/>
        <v>Domains</v>
      </c>
    </row>
    <row r="74" s="410" customFormat="1" ht="17.4" spans="1:30">
      <c r="A74" s="432" t="s">
        <v>227</v>
      </c>
      <c r="B74" s="432" t="s">
        <v>160</v>
      </c>
      <c r="C74" s="434" t="str">
        <f>VLOOKUP(B74,正厂竞争者数据汇总!D:H,2,FALSE)</f>
        <v>原厂目录</v>
      </c>
      <c r="D74" s="435" t="str">
        <f>VLOOKUP(B74,正厂竞争者数据汇总!D:H,3,FALSE)</f>
        <v>CA</v>
      </c>
      <c r="E74" s="436">
        <f>VLOOKUP(B74,正厂竞争者数据汇总!D:H,4,FALSE)</f>
        <v>0</v>
      </c>
      <c r="F74" s="436">
        <v>434022.39</v>
      </c>
      <c r="G74" s="436">
        <v>369856.833333333</v>
      </c>
      <c r="H74" s="436">
        <v>370810.25</v>
      </c>
      <c r="I74" s="454">
        <v>0.173487552165456</v>
      </c>
      <c r="J74" s="455">
        <v>0.670809127808516</v>
      </c>
      <c r="K74" s="455">
        <v>0.620637777880631</v>
      </c>
      <c r="L74" s="455">
        <v>0.576880211756514</v>
      </c>
      <c r="M74" s="456">
        <f>J74-K74</f>
        <v>0.0501713499278852</v>
      </c>
      <c r="N74" s="455" t="str">
        <f>IFERROR(O74*0.5/$F$74,"")</f>
        <v/>
      </c>
      <c r="O74" s="436" t="s">
        <v>180</v>
      </c>
      <c r="P74" s="542">
        <f t="array" ref="P74">INDEX(正厂竞争者数据汇总!I:I,MATCH($A$72&amp;B74,正厂竞争者数据汇总!A:A&amp;正厂竞争者数据汇总!D:D,0))</f>
        <v>0</v>
      </c>
      <c r="Q74" s="434" t="s">
        <v>280</v>
      </c>
      <c r="R74" s="435" t="s">
        <v>229</v>
      </c>
      <c r="S74" s="476">
        <v>61076</v>
      </c>
      <c r="T74" s="476">
        <v>8585</v>
      </c>
      <c r="U74" s="477"/>
      <c r="V74" s="477"/>
      <c r="W74" s="435"/>
      <c r="X74" s="435"/>
      <c r="Y74" s="200" t="s">
        <v>160</v>
      </c>
      <c r="Z74" s="200">
        <v>53116</v>
      </c>
      <c r="AA74" s="200">
        <v>7428</v>
      </c>
      <c r="AB74" s="410">
        <f t="shared" si="9"/>
        <v>1</v>
      </c>
      <c r="AC74" s="409">
        <f t="shared" si="10"/>
        <v>53116</v>
      </c>
      <c r="AD74" s="409">
        <f t="shared" si="11"/>
        <v>7428</v>
      </c>
    </row>
    <row r="75" s="408" customFormat="1" ht="46.8" spans="1:30">
      <c r="A75" s="428" t="s">
        <v>230</v>
      </c>
      <c r="B75" s="421" t="s">
        <v>281</v>
      </c>
      <c r="C75" s="429" t="str">
        <f>VLOOKUP(B75,正厂竞争者数据汇总!D:H,2,FALSE)</f>
        <v>Motor目录</v>
      </c>
      <c r="D75" s="421" t="str">
        <f>VLOOKUP(B75,正厂竞争者数据汇总!D:H,3,FALSE)</f>
        <v>-</v>
      </c>
      <c r="E75" s="430"/>
      <c r="F75" s="430">
        <v>119310.583333333</v>
      </c>
      <c r="G75" s="430"/>
      <c r="H75" s="430"/>
      <c r="I75" s="450"/>
      <c r="J75" s="451">
        <v>0.184402072769007</v>
      </c>
      <c r="K75" s="451">
        <v>0.153660684597687</v>
      </c>
      <c r="L75" s="451">
        <v>0.144211491255223</v>
      </c>
      <c r="M75" s="452"/>
      <c r="N75" s="451"/>
      <c r="O75" s="430"/>
      <c r="P75" s="542" t="str">
        <f t="array" ref="P75">INDEX(正厂竞争者数据汇总!I:I,MATCH($A$72&amp;B75,正厂竞争者数据汇总!A:A&amp;正厂竞争者数据汇总!D:D,0))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75" s="429"/>
      <c r="R75" s="421"/>
      <c r="S75" s="472">
        <v>547</v>
      </c>
      <c r="T75" s="472">
        <v>108</v>
      </c>
      <c r="U75" s="466"/>
      <c r="V75" s="466"/>
      <c r="W75" s="466"/>
      <c r="X75" s="466"/>
      <c r="Y75" s="200" t="s">
        <v>281</v>
      </c>
      <c r="Z75" s="200">
        <v>586</v>
      </c>
      <c r="AA75" s="200">
        <v>86</v>
      </c>
      <c r="AB75" s="410">
        <f t="shared" si="9"/>
        <v>1</v>
      </c>
      <c r="AC75" s="409">
        <f t="shared" si="10"/>
        <v>586</v>
      </c>
      <c r="AD75" s="409">
        <f t="shared" si="11"/>
        <v>86</v>
      </c>
    </row>
    <row r="76" s="408" customFormat="1" spans="1:30">
      <c r="A76" s="428" t="s">
        <v>230</v>
      </c>
      <c r="B76" s="421" t="s">
        <v>282</v>
      </c>
      <c r="C76" s="429" t="str">
        <f>VLOOKUP(B76,正厂竞争者数据汇总!D:H,2,FALSE)</f>
        <v>原厂目录</v>
      </c>
      <c r="D76" s="421" t="str">
        <f>VLOOKUP(B76,正厂竞争者数据汇总!D:H,3,FALSE)</f>
        <v>MA</v>
      </c>
      <c r="E76" s="430"/>
      <c r="F76" s="430">
        <v>65017.6833333333</v>
      </c>
      <c r="G76" s="430"/>
      <c r="H76" s="430"/>
      <c r="I76" s="450"/>
      <c r="J76" s="451">
        <v>0.100488952767998</v>
      </c>
      <c r="K76" s="451">
        <v>0.0971318454728535</v>
      </c>
      <c r="L76" s="451">
        <v>0.0939251309563492</v>
      </c>
      <c r="M76" s="452"/>
      <c r="N76" s="451"/>
      <c r="O76" s="430"/>
      <c r="P76" s="542" t="str">
        <f t="array" ref="P76">INDEX(正厂竞争者数据汇总!I:I,MATCH($A$72&amp;B76,正厂竞争者数据汇总!A:A&amp;正厂竞争者数据汇总!D:D,0))</f>
        <v>2021年08月新增竞争者</v>
      </c>
      <c r="Q76" s="429"/>
      <c r="R76" s="421"/>
      <c r="S76" s="472">
        <v>3644</v>
      </c>
      <c r="T76" s="472">
        <v>364</v>
      </c>
      <c r="U76" s="466"/>
      <c r="V76" s="466"/>
      <c r="W76" s="466"/>
      <c r="X76" s="466"/>
      <c r="Y76" s="200" t="s">
        <v>282</v>
      </c>
      <c r="Z76" s="200">
        <v>3741</v>
      </c>
      <c r="AA76" s="200">
        <v>410</v>
      </c>
      <c r="AB76" s="410">
        <f t="shared" si="9"/>
        <v>1</v>
      </c>
      <c r="AC76" s="409">
        <f t="shared" si="10"/>
        <v>3741</v>
      </c>
      <c r="AD76" s="409">
        <f t="shared" si="11"/>
        <v>410</v>
      </c>
    </row>
    <row r="77" s="408" customFormat="1" ht="46.8" spans="1:30">
      <c r="A77" s="428" t="s">
        <v>230</v>
      </c>
      <c r="B77" s="421" t="s">
        <v>255</v>
      </c>
      <c r="C77" s="429" t="str">
        <f>VLOOKUP(B77,正厂竞争者数据汇总!D:H,2,FALSE)</f>
        <v>Motor目录</v>
      </c>
      <c r="D77" s="421" t="str">
        <f>VLOOKUP(B77,正厂竞争者数据汇总!D:H,3,FALSE)</f>
        <v>RI</v>
      </c>
      <c r="E77" s="430"/>
      <c r="F77" s="430">
        <v>28662.5875</v>
      </c>
      <c r="G77" s="430"/>
      <c r="H77" s="430"/>
      <c r="I77" s="450"/>
      <c r="J77" s="451">
        <v>0.0442998466544785</v>
      </c>
      <c r="K77" s="451">
        <v>0.128569692048829</v>
      </c>
      <c r="L77" s="451">
        <v>0.167057173407389</v>
      </c>
      <c r="M77" s="452"/>
      <c r="N77" s="451"/>
      <c r="O77" s="430"/>
      <c r="P77" s="542" t="str">
        <f t="array" ref="P77">INDEX(正厂竞争者数据汇总!I:I,MATCH($A$72&amp;B77,正厂竞争者数据汇总!A:A&amp;正厂竞争者数据汇总!D:D,0))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77" s="429"/>
      <c r="R77" s="421"/>
      <c r="S77" s="472">
        <v>37873</v>
      </c>
      <c r="T77" s="472">
        <v>1673</v>
      </c>
      <c r="U77" s="466"/>
      <c r="V77" s="466"/>
      <c r="W77" s="466"/>
      <c r="X77" s="466"/>
      <c r="Y77" s="200" t="s">
        <v>255</v>
      </c>
      <c r="Z77" s="200">
        <v>38224</v>
      </c>
      <c r="AA77" s="200">
        <v>1673</v>
      </c>
      <c r="AB77" s="410">
        <f t="shared" si="9"/>
        <v>1</v>
      </c>
      <c r="AC77" s="409">
        <f t="shared" si="10"/>
        <v>38224</v>
      </c>
      <c r="AD77" s="409">
        <f t="shared" si="11"/>
        <v>1673</v>
      </c>
    </row>
    <row r="78" s="408" customFormat="1" spans="1:30">
      <c r="A78" s="428"/>
      <c r="B78" s="421"/>
      <c r="C78" s="429"/>
      <c r="D78" s="421"/>
      <c r="E78" s="430"/>
      <c r="F78" s="430"/>
      <c r="G78" s="430"/>
      <c r="H78" s="430"/>
      <c r="I78" s="453"/>
      <c r="J78" s="451"/>
      <c r="K78" s="451"/>
      <c r="L78" s="451"/>
      <c r="M78" s="451"/>
      <c r="N78" s="451"/>
      <c r="O78" s="430"/>
      <c r="P78" s="542"/>
      <c r="Q78" s="429"/>
      <c r="R78" s="421"/>
      <c r="S78" s="473" t="s">
        <v>180</v>
      </c>
      <c r="T78" s="473" t="s">
        <v>180</v>
      </c>
      <c r="U78" s="466"/>
      <c r="V78" s="466"/>
      <c r="W78" s="421"/>
      <c r="X78" s="421"/>
      <c r="Y78" s="200" t="s">
        <v>240</v>
      </c>
      <c r="Z78" s="200" t="s">
        <v>180</v>
      </c>
      <c r="AA78" s="200" t="s">
        <v>180</v>
      </c>
      <c r="AB78" s="410">
        <f t="shared" si="9"/>
        <v>0</v>
      </c>
      <c r="AC78" s="409" t="str">
        <f t="shared" si="10"/>
        <v/>
      </c>
      <c r="AD78" s="409" t="str">
        <f t="shared" si="11"/>
        <v/>
      </c>
    </row>
    <row r="79" s="408" customFormat="1" spans="1:30">
      <c r="A79" s="428"/>
      <c r="B79" s="421"/>
      <c r="C79" s="429"/>
      <c r="D79" s="421"/>
      <c r="E79" s="430"/>
      <c r="F79" s="430">
        <v>647013.244166666</v>
      </c>
      <c r="G79" s="430">
        <v>675366.255</v>
      </c>
      <c r="H79" s="430">
        <v>656929.13</v>
      </c>
      <c r="I79" s="453">
        <v>-0.0419816812335903</v>
      </c>
      <c r="J79" s="451"/>
      <c r="K79" s="451"/>
      <c r="L79" s="451"/>
      <c r="M79" s="451"/>
      <c r="N79" s="451">
        <f>SUM(N74:N75)</f>
        <v>0</v>
      </c>
      <c r="O79" s="430"/>
      <c r="P79" s="542"/>
      <c r="Q79" s="429"/>
      <c r="R79" s="421"/>
      <c r="S79" s="473" t="s">
        <v>180</v>
      </c>
      <c r="T79" s="473" t="s">
        <v>180</v>
      </c>
      <c r="U79" s="466"/>
      <c r="V79" s="466"/>
      <c r="W79" s="421"/>
      <c r="X79" s="421"/>
      <c r="Y79" s="200" t="s">
        <v>240</v>
      </c>
      <c r="Z79" s="200" t="s">
        <v>180</v>
      </c>
      <c r="AA79" s="200" t="s">
        <v>180</v>
      </c>
      <c r="AB79" s="410">
        <f t="shared" si="9"/>
        <v>0</v>
      </c>
      <c r="AC79" s="409" t="str">
        <f t="shared" si="10"/>
        <v/>
      </c>
      <c r="AD79" s="409" t="str">
        <f t="shared" si="11"/>
        <v/>
      </c>
    </row>
    <row r="80" s="408" customFormat="1" spans="1:30">
      <c r="A80" s="428"/>
      <c r="B80" s="421"/>
      <c r="C80" s="429"/>
      <c r="D80" s="421"/>
      <c r="E80" s="430"/>
      <c r="F80" s="430"/>
      <c r="G80" s="430"/>
      <c r="H80" s="430"/>
      <c r="I80" s="453"/>
      <c r="J80" s="451"/>
      <c r="K80" s="451"/>
      <c r="L80" s="451"/>
      <c r="M80" s="451"/>
      <c r="N80" s="451"/>
      <c r="O80" s="430"/>
      <c r="P80" s="542"/>
      <c r="Q80" s="429"/>
      <c r="R80" s="421"/>
      <c r="S80" s="473" t="s">
        <v>180</v>
      </c>
      <c r="T80" s="473" t="s">
        <v>180</v>
      </c>
      <c r="U80" s="466"/>
      <c r="V80" s="466"/>
      <c r="W80" s="421"/>
      <c r="X80" s="421"/>
      <c r="Y80" s="200" t="s">
        <v>240</v>
      </c>
      <c r="Z80" s="200" t="s">
        <v>180</v>
      </c>
      <c r="AA80" s="200" t="s">
        <v>180</v>
      </c>
      <c r="AB80" s="410">
        <f t="shared" si="9"/>
        <v>0</v>
      </c>
      <c r="AC80" s="409" t="str">
        <f t="shared" si="10"/>
        <v/>
      </c>
      <c r="AD80" s="409" t="str">
        <f t="shared" si="11"/>
        <v/>
      </c>
    </row>
    <row r="81" s="408" customFormat="1" ht="17.4" spans="1:30">
      <c r="A81" s="418" t="s">
        <v>162</v>
      </c>
      <c r="B81" s="419"/>
      <c r="C81" s="420"/>
      <c r="D81" s="421"/>
      <c r="E81" s="422" t="s">
        <v>202</v>
      </c>
      <c r="F81" s="422"/>
      <c r="G81" s="422"/>
      <c r="H81" s="422"/>
      <c r="I81" s="422"/>
      <c r="J81" s="422"/>
      <c r="K81" s="422"/>
      <c r="L81" s="422"/>
      <c r="M81" s="443"/>
      <c r="N81" s="444"/>
      <c r="O81" s="422"/>
      <c r="P81" s="542"/>
      <c r="Q81" s="465"/>
      <c r="R81" s="424"/>
      <c r="S81" s="473" t="s">
        <v>180</v>
      </c>
      <c r="T81" s="473" t="s">
        <v>180</v>
      </c>
      <c r="U81" s="467"/>
      <c r="V81" s="467"/>
      <c r="W81" s="467"/>
      <c r="X81" s="467"/>
      <c r="Y81" s="200" t="s">
        <v>240</v>
      </c>
      <c r="Z81" s="200" t="s">
        <v>180</v>
      </c>
      <c r="AA81" s="200" t="s">
        <v>180</v>
      </c>
      <c r="AB81" s="410">
        <f t="shared" si="9"/>
        <v>0</v>
      </c>
      <c r="AC81" s="409" t="str">
        <f t="shared" si="10"/>
        <v/>
      </c>
      <c r="AD81" s="409" t="str">
        <f t="shared" si="11"/>
        <v/>
      </c>
    </row>
    <row r="82" s="409" customFormat="1" ht="46.8" spans="1:30">
      <c r="A82" s="423" t="s">
        <v>206</v>
      </c>
      <c r="B82" s="424" t="s">
        <v>207</v>
      </c>
      <c r="C82" s="425" t="s">
        <v>208</v>
      </c>
      <c r="D82" s="424" t="s">
        <v>209</v>
      </c>
      <c r="E82" s="426" t="s">
        <v>210</v>
      </c>
      <c r="F82" s="427" t="s">
        <v>385</v>
      </c>
      <c r="G82" s="427" t="s">
        <v>213</v>
      </c>
      <c r="H82" s="427" t="s">
        <v>213</v>
      </c>
      <c r="I82" s="427" t="s">
        <v>386</v>
      </c>
      <c r="J82" s="446" t="s">
        <v>216</v>
      </c>
      <c r="K82" s="446" t="s">
        <v>217</v>
      </c>
      <c r="L82" s="446" t="s">
        <v>387</v>
      </c>
      <c r="M82" s="447" t="s">
        <v>218</v>
      </c>
      <c r="N82" s="448" t="s">
        <v>219</v>
      </c>
      <c r="O82" s="449" t="s">
        <v>220</v>
      </c>
      <c r="P82" s="543" t="s">
        <v>221</v>
      </c>
      <c r="Q82" s="469" t="s">
        <v>222</v>
      </c>
      <c r="R82" s="426" t="s">
        <v>223</v>
      </c>
      <c r="S82" s="470" t="s">
        <v>224</v>
      </c>
      <c r="T82" s="470" t="s">
        <v>205</v>
      </c>
      <c r="U82" s="467" t="s">
        <v>225</v>
      </c>
      <c r="V82" s="470" t="s">
        <v>226</v>
      </c>
      <c r="W82" s="467"/>
      <c r="X82" s="467"/>
      <c r="Y82" s="200" t="s">
        <v>207</v>
      </c>
      <c r="Z82" s="200" t="s">
        <v>180</v>
      </c>
      <c r="AA82" s="200" t="s">
        <v>180</v>
      </c>
      <c r="AB82" s="410">
        <f t="shared" si="9"/>
        <v>1</v>
      </c>
      <c r="AC82" s="409" t="str">
        <f t="shared" si="10"/>
        <v>Forum Link</v>
      </c>
      <c r="AD82" s="409" t="str">
        <f t="shared" si="11"/>
        <v>Domains</v>
      </c>
    </row>
    <row r="83" s="410" customFormat="1" ht="17.4" spans="1:30">
      <c r="A83" s="432" t="s">
        <v>227</v>
      </c>
      <c r="B83" s="432" t="s">
        <v>163</v>
      </c>
      <c r="C83" s="434" t="str">
        <f>VLOOKUP(B83,正厂竞争者数据汇总!D:H,2,FALSE)</f>
        <v>原厂目录</v>
      </c>
      <c r="D83" s="435" t="str">
        <f>VLOOKUP(B83,正厂竞争者数据汇总!D:H,3,FALSE)</f>
        <v>CA</v>
      </c>
      <c r="E83" s="436">
        <f>VLOOKUP(B83,正厂竞争者数据汇总!D:H,4,FALSE)</f>
        <v>0</v>
      </c>
      <c r="F83" s="436">
        <v>309670.518</v>
      </c>
      <c r="G83" s="436">
        <v>213503.583333333</v>
      </c>
      <c r="H83" s="436">
        <v>235149.083333333</v>
      </c>
      <c r="I83" s="454">
        <v>0.450423047544481</v>
      </c>
      <c r="J83" s="457">
        <v>0.543379916850723</v>
      </c>
      <c r="K83" s="457">
        <v>0.519449513894345</v>
      </c>
      <c r="L83" s="457">
        <v>0.492874085722336</v>
      </c>
      <c r="M83" s="456">
        <f>J83-K83</f>
        <v>0.0239304029563779</v>
      </c>
      <c r="N83" s="457" t="str">
        <f>IFERROR(O83*0.5/$F$83,"")</f>
        <v/>
      </c>
      <c r="O83" s="436" t="s">
        <v>180</v>
      </c>
      <c r="P83" s="542">
        <f t="array" ref="P83">INDEX(正厂竞争者数据汇总!I:I,MATCH($A$81&amp;B83,正厂竞争者数据汇总!A:A&amp;正厂竞争者数据汇总!D:D,0))</f>
        <v>0</v>
      </c>
      <c r="Q83" s="434" t="s">
        <v>284</v>
      </c>
      <c r="R83" s="435" t="s">
        <v>229</v>
      </c>
      <c r="S83" s="476">
        <v>39185</v>
      </c>
      <c r="T83" s="476">
        <v>7277</v>
      </c>
      <c r="U83" s="477"/>
      <c r="V83" s="477"/>
      <c r="W83" s="435"/>
      <c r="X83" s="435"/>
      <c r="Y83" s="200" t="s">
        <v>163</v>
      </c>
      <c r="Z83" s="200">
        <v>30521</v>
      </c>
      <c r="AA83" s="200">
        <v>6195</v>
      </c>
      <c r="AB83" s="410">
        <f t="shared" si="9"/>
        <v>1</v>
      </c>
      <c r="AC83" s="409">
        <f t="shared" si="10"/>
        <v>30521</v>
      </c>
      <c r="AD83" s="409">
        <f t="shared" si="11"/>
        <v>6195</v>
      </c>
    </row>
    <row r="84" s="408" customFormat="1" spans="1:30">
      <c r="A84" s="428" t="s">
        <v>230</v>
      </c>
      <c r="B84" s="255" t="s">
        <v>285</v>
      </c>
      <c r="C84" s="429" t="str">
        <f>VLOOKUP(B84,正厂竞争者数据汇总!D:H,2,FALSE)</f>
        <v>Motor目录</v>
      </c>
      <c r="D84" s="421" t="str">
        <f>VLOOKUP(B84,正厂竞争者数据汇总!D:H,3,FALSE)</f>
        <v>AZ</v>
      </c>
      <c r="E84" s="430"/>
      <c r="F84" s="430">
        <v>61933.492</v>
      </c>
      <c r="G84" s="430"/>
      <c r="H84" s="430"/>
      <c r="I84" s="450"/>
      <c r="J84" s="451">
        <v>0.108674910193533</v>
      </c>
      <c r="K84" s="451">
        <v>0.107822340954152</v>
      </c>
      <c r="L84" s="451">
        <v>0.118975274788613</v>
      </c>
      <c r="M84" s="452"/>
      <c r="N84" s="451"/>
      <c r="O84" s="430"/>
      <c r="P84" s="542">
        <f t="array" ref="P84">INDEX(正厂竞争者数据汇总!I:I,MATCH($A$81&amp;B84,正厂竞争者数据汇总!A:A&amp;正厂竞争者数据汇总!D:D,0))</f>
        <v>0</v>
      </c>
      <c r="Q84" s="429"/>
      <c r="R84" s="421"/>
      <c r="S84" s="472">
        <v>6025</v>
      </c>
      <c r="T84" s="472">
        <v>399</v>
      </c>
      <c r="U84" s="466"/>
      <c r="V84" s="466"/>
      <c r="W84" s="466"/>
      <c r="X84" s="466"/>
      <c r="Y84" s="200" t="s">
        <v>285</v>
      </c>
      <c r="Z84" s="200">
        <v>5743</v>
      </c>
      <c r="AA84" s="200">
        <v>406</v>
      </c>
      <c r="AB84" s="410">
        <f t="shared" si="9"/>
        <v>1</v>
      </c>
      <c r="AC84" s="409">
        <f t="shared" si="10"/>
        <v>5743</v>
      </c>
      <c r="AD84" s="409">
        <f t="shared" si="11"/>
        <v>406</v>
      </c>
    </row>
    <row r="85" s="408" customFormat="1" ht="46.8" spans="1:30">
      <c r="A85" s="428" t="s">
        <v>230</v>
      </c>
      <c r="B85" s="421" t="s">
        <v>286</v>
      </c>
      <c r="C85" s="429" t="str">
        <f>VLOOKUP(B85,正厂竞争者数据汇总!D:H,2,FALSE)</f>
        <v>Motor目录</v>
      </c>
      <c r="D85" s="421" t="str">
        <f>VLOOKUP(B85,正厂竞争者数据汇总!D:H,3,FALSE)</f>
        <v>-</v>
      </c>
      <c r="E85" s="430"/>
      <c r="F85" s="430">
        <v>49866.7666666667</v>
      </c>
      <c r="G85" s="430"/>
      <c r="H85" s="430"/>
      <c r="I85" s="450"/>
      <c r="J85" s="451">
        <v>0.0875013859890523</v>
      </c>
      <c r="K85" s="451">
        <v>0.0631744217327517</v>
      </c>
      <c r="L85" s="451">
        <v>0.0584542605859825</v>
      </c>
      <c r="M85" s="452"/>
      <c r="N85" s="451"/>
      <c r="O85" s="430"/>
      <c r="P85" s="542" t="str">
        <f t="array" ref="P85">INDEX(正厂竞争者数据汇总!I:I,MATCH($A$81&amp;B85,正厂竞争者数据汇总!A:A&amp;正厂竞争者数据汇总!D:D,0))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85" s="429"/>
      <c r="R85" s="421"/>
      <c r="S85" s="472">
        <v>557</v>
      </c>
      <c r="T85" s="472">
        <v>79</v>
      </c>
      <c r="U85" s="466"/>
      <c r="V85" s="466"/>
      <c r="W85" s="466"/>
      <c r="X85" s="466"/>
      <c r="Y85" s="200" t="s">
        <v>286</v>
      </c>
      <c r="Z85" s="200">
        <v>269</v>
      </c>
      <c r="AA85" s="200">
        <v>58</v>
      </c>
      <c r="AB85" s="410">
        <f t="shared" si="9"/>
        <v>1</v>
      </c>
      <c r="AC85" s="409">
        <f t="shared" si="10"/>
        <v>269</v>
      </c>
      <c r="AD85" s="409">
        <f t="shared" si="11"/>
        <v>58</v>
      </c>
    </row>
    <row r="86" s="408" customFormat="1" spans="1:30">
      <c r="A86" s="428" t="s">
        <v>230</v>
      </c>
      <c r="B86" s="421" t="s">
        <v>287</v>
      </c>
      <c r="C86" s="429" t="str">
        <f>VLOOKUP(B86,正厂竞争者数据汇总!D:H,2,FALSE)</f>
        <v>Motor目录</v>
      </c>
      <c r="D86" s="421" t="str">
        <f>VLOOKUP(B86,正厂竞争者数据汇总!D:H,3,FALSE)</f>
        <v>CA</v>
      </c>
      <c r="E86" s="430"/>
      <c r="F86" s="430">
        <v>31181.8733333333</v>
      </c>
      <c r="G86" s="430"/>
      <c r="H86" s="430"/>
      <c r="I86" s="450"/>
      <c r="J86" s="451">
        <v>0.0547149397641929</v>
      </c>
      <c r="K86" s="451">
        <v>0.0572712227371814</v>
      </c>
      <c r="L86" s="451">
        <v>0.0630635338937522</v>
      </c>
      <c r="M86" s="452"/>
      <c r="N86" s="451"/>
      <c r="O86" s="430"/>
      <c r="P86" s="542">
        <f t="array" ref="P86">INDEX(正厂竞争者数据汇总!I:I,MATCH($A$81&amp;B86,正厂竞争者数据汇总!A:A&amp;正厂竞争者数据汇总!D:D,0))</f>
        <v>0</v>
      </c>
      <c r="Q86" s="429"/>
      <c r="R86" s="421"/>
      <c r="S86" s="472">
        <v>438</v>
      </c>
      <c r="T86" s="472">
        <v>110</v>
      </c>
      <c r="U86" s="466"/>
      <c r="V86" s="466"/>
      <c r="W86" s="466"/>
      <c r="X86" s="466"/>
      <c r="Y86" s="200" t="s">
        <v>287</v>
      </c>
      <c r="Z86" s="200">
        <v>471</v>
      </c>
      <c r="AA86" s="200">
        <v>130</v>
      </c>
      <c r="AB86" s="410">
        <f t="shared" si="9"/>
        <v>1</v>
      </c>
      <c r="AC86" s="409">
        <f t="shared" si="10"/>
        <v>471</v>
      </c>
      <c r="AD86" s="409">
        <f t="shared" si="11"/>
        <v>130</v>
      </c>
    </row>
    <row r="87" s="408" customFormat="1" ht="46.8" spans="1:30">
      <c r="A87" s="428" t="s">
        <v>230</v>
      </c>
      <c r="B87" s="421" t="s">
        <v>289</v>
      </c>
      <c r="C87" s="429" t="str">
        <f>VLOOKUP(B87,正厂竞争者数据汇总!D:H,2,FALSE)</f>
        <v>Motor目录</v>
      </c>
      <c r="D87" s="421" t="str">
        <f>VLOOKUP(B87,正厂竞争者数据汇总!D:H,3,FALSE)</f>
        <v>WA</v>
      </c>
      <c r="E87" s="430"/>
      <c r="F87" s="430">
        <v>30948.3733333333</v>
      </c>
      <c r="G87" s="430"/>
      <c r="H87" s="430"/>
      <c r="I87" s="450"/>
      <c r="J87" s="451">
        <v>0.0543052165157413</v>
      </c>
      <c r="K87" s="451">
        <v>0.054399453095687</v>
      </c>
      <c r="L87" s="451">
        <v>0.0439167563292125</v>
      </c>
      <c r="M87" s="452"/>
      <c r="N87" s="451"/>
      <c r="O87" s="430"/>
      <c r="P87" s="542" t="str">
        <f t="array" ref="P87">INDEX(正厂竞争者数据汇总!I:I,MATCH($A$81&amp;B87,正厂竞争者数据汇总!A:A&amp;正厂竞争者数据汇总!D:D,0))</f>
        <v>2021年11月重开
2021年10月临时关站
2020年10月从PartSites变成Revolution，加入MarketingShare</v>
      </c>
      <c r="Q87" s="429"/>
      <c r="R87" s="421"/>
      <c r="S87" s="472">
        <v>1198</v>
      </c>
      <c r="T87" s="472">
        <v>198</v>
      </c>
      <c r="U87" s="466"/>
      <c r="V87" s="466"/>
      <c r="W87" s="466"/>
      <c r="X87" s="466"/>
      <c r="Y87" s="200" t="s">
        <v>289</v>
      </c>
      <c r="Z87" s="200">
        <v>1195</v>
      </c>
      <c r="AA87" s="200">
        <v>202</v>
      </c>
      <c r="AB87" s="410">
        <f t="shared" si="9"/>
        <v>1</v>
      </c>
      <c r="AC87" s="409">
        <f t="shared" si="10"/>
        <v>1195</v>
      </c>
      <c r="AD87" s="409">
        <f t="shared" si="11"/>
        <v>202</v>
      </c>
    </row>
    <row r="88" s="408" customFormat="1" ht="31.2" spans="1:30">
      <c r="A88" s="428" t="s">
        <v>230</v>
      </c>
      <c r="B88" s="421" t="s">
        <v>288</v>
      </c>
      <c r="C88" s="429" t="str">
        <f>VLOOKUP(B88,正厂竞争者数据汇总!D:H,2,FALSE)</f>
        <v>原厂目录</v>
      </c>
      <c r="D88" s="421" t="str">
        <f>VLOOKUP(B88,正厂竞争者数据汇总!D:H,3,FALSE)</f>
        <v>CT</v>
      </c>
      <c r="E88" s="430"/>
      <c r="F88" s="430">
        <v>30437.0833333334</v>
      </c>
      <c r="G88" s="430"/>
      <c r="H88" s="430"/>
      <c r="I88" s="450"/>
      <c r="J88" s="451">
        <v>0.053408054204389</v>
      </c>
      <c r="K88" s="451">
        <v>0.0469452292978988</v>
      </c>
      <c r="L88" s="451">
        <v>0.0411095175188861</v>
      </c>
      <c r="M88" s="452"/>
      <c r="N88" s="451"/>
      <c r="O88" s="430"/>
      <c r="P88" s="542" t="str">
        <f t="array" ref="P88">INDEX(正厂竞争者数据汇总!I:I,MATCH($A$81&amp;B88,正厂竞争者数据汇总!A:A&amp;正厂竞争者数据汇总!D:D,0))</f>
        <v>2022年1月 新加入 CompetitorSites
2022年1月 新加入 MarketingShare</v>
      </c>
      <c r="Q88" s="429"/>
      <c r="R88" s="421"/>
      <c r="S88" s="472">
        <v>535</v>
      </c>
      <c r="T88" s="472">
        <v>127</v>
      </c>
      <c r="U88" s="466"/>
      <c r="V88" s="466"/>
      <c r="W88" s="466"/>
      <c r="X88" s="466"/>
      <c r="Y88" s="200" t="s">
        <v>288</v>
      </c>
      <c r="Z88" s="200">
        <v>445</v>
      </c>
      <c r="AA88" s="200">
        <v>140</v>
      </c>
      <c r="AB88" s="410">
        <f t="shared" si="9"/>
        <v>1</v>
      </c>
      <c r="AC88" s="409">
        <f t="shared" si="10"/>
        <v>445</v>
      </c>
      <c r="AD88" s="409">
        <f t="shared" si="11"/>
        <v>140</v>
      </c>
    </row>
    <row r="89" s="408" customFormat="1" ht="46.8" spans="1:30">
      <c r="A89" s="428" t="s">
        <v>230</v>
      </c>
      <c r="B89" s="421" t="s">
        <v>255</v>
      </c>
      <c r="C89" s="429" t="str">
        <f>VLOOKUP(B89,正厂竞争者数据汇总!D:H,2,FALSE)</f>
        <v>Motor目录</v>
      </c>
      <c r="D89" s="421" t="str">
        <f>VLOOKUP(B89,正厂竞争者数据汇总!D:H,3,FALSE)</f>
        <v>RI</v>
      </c>
      <c r="E89" s="430"/>
      <c r="F89" s="430">
        <v>22930.07</v>
      </c>
      <c r="G89" s="430"/>
      <c r="H89" s="430"/>
      <c r="I89" s="450"/>
      <c r="J89" s="451">
        <v>0.0402354722382105</v>
      </c>
      <c r="K89" s="451">
        <v>0.0649751523997329</v>
      </c>
      <c r="L89" s="451">
        <v>0.0811812046671529</v>
      </c>
      <c r="M89" s="452"/>
      <c r="N89" s="451"/>
      <c r="O89" s="430"/>
      <c r="P89" s="542" t="str">
        <f t="array" ref="P89">INDEX(正厂竞争者数据汇总!I:I,MATCH($A$81&amp;B89,正厂竞争者数据汇总!A:A&amp;正厂竞争者数据汇总!D:D,0))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89" s="429"/>
      <c r="R89" s="421"/>
      <c r="S89" s="472">
        <v>37873</v>
      </c>
      <c r="T89" s="472">
        <v>1673</v>
      </c>
      <c r="U89" s="466"/>
      <c r="V89" s="466"/>
      <c r="W89" s="466"/>
      <c r="X89" s="466"/>
      <c r="Y89" s="200" t="s">
        <v>255</v>
      </c>
      <c r="Z89" s="200">
        <v>38224</v>
      </c>
      <c r="AA89" s="200">
        <v>1673</v>
      </c>
      <c r="AB89" s="410">
        <f t="shared" si="9"/>
        <v>1</v>
      </c>
      <c r="AC89" s="409">
        <f t="shared" si="10"/>
        <v>38224</v>
      </c>
      <c r="AD89" s="409">
        <f t="shared" si="11"/>
        <v>1673</v>
      </c>
    </row>
    <row r="90" s="408" customFormat="1" spans="1:30">
      <c r="A90" s="428" t="s">
        <v>230</v>
      </c>
      <c r="B90" s="421" t="s">
        <v>292</v>
      </c>
      <c r="C90" s="429" t="str">
        <f>VLOOKUP(B90,正厂竞争者数据汇总!D:H,2,FALSE)</f>
        <v>Motor目录</v>
      </c>
      <c r="D90" s="421" t="str">
        <f>VLOOKUP(B90,正厂竞争者数据汇总!D:H,3,FALSE)</f>
        <v>MA</v>
      </c>
      <c r="E90" s="430"/>
      <c r="F90" s="430">
        <v>16534.6176666667</v>
      </c>
      <c r="G90" s="430"/>
      <c r="H90" s="430"/>
      <c r="I90" s="450"/>
      <c r="J90" s="451">
        <v>0.029013350159707</v>
      </c>
      <c r="K90" s="451">
        <v>0.0464345913559516</v>
      </c>
      <c r="L90" s="451">
        <v>0.0529168044537689</v>
      </c>
      <c r="M90" s="452"/>
      <c r="N90" s="451"/>
      <c r="O90" s="430"/>
      <c r="P90" s="542" t="str">
        <f t="array" ref="P90">INDEX(正厂竞争者数据汇总!I:I,MATCH($A$81&amp;B90,正厂竞争者数据汇总!A:A&amp;正厂竞争者数据汇总!D:D,0))</f>
        <v>同时经营多品牌，流量折算比例为Ford:23%,GM:23%,Infiniti:0%,Kia:13%,Mopar:31%,Nissan:10%</v>
      </c>
      <c r="Q90" s="429"/>
      <c r="R90" s="421"/>
      <c r="S90" s="472">
        <v>6053</v>
      </c>
      <c r="T90" s="472">
        <v>802</v>
      </c>
      <c r="U90" s="466"/>
      <c r="V90" s="466"/>
      <c r="W90" s="466"/>
      <c r="X90" s="466"/>
      <c r="Y90" s="200" t="s">
        <v>292</v>
      </c>
      <c r="Z90" s="200">
        <v>7144</v>
      </c>
      <c r="AA90" s="200">
        <v>831</v>
      </c>
      <c r="AB90" s="410">
        <f t="shared" si="9"/>
        <v>1</v>
      </c>
      <c r="AC90" s="409">
        <f t="shared" si="10"/>
        <v>7144</v>
      </c>
      <c r="AD90" s="409">
        <f t="shared" si="11"/>
        <v>831</v>
      </c>
    </row>
    <row r="91" s="408" customFormat="1" ht="17.4" spans="1:30">
      <c r="A91" s="428" t="s">
        <v>243</v>
      </c>
      <c r="B91" s="421" t="s">
        <v>290</v>
      </c>
      <c r="C91" s="429" t="s">
        <v>247</v>
      </c>
      <c r="D91" s="421" t="s">
        <v>291</v>
      </c>
      <c r="E91" s="430"/>
      <c r="F91" s="430">
        <v>16394.0833333334</v>
      </c>
      <c r="G91" s="430"/>
      <c r="H91" s="430"/>
      <c r="I91" s="450"/>
      <c r="J91" s="451">
        <v>0.0287667540844509</v>
      </c>
      <c r="K91" s="451">
        <v>0.0395280745322996</v>
      </c>
      <c r="L91" s="451">
        <v>0.0475085620402954</v>
      </c>
      <c r="M91" s="452"/>
      <c r="N91" s="451"/>
      <c r="O91" s="430"/>
      <c r="P91" s="542" t="str">
        <f t="array" ref="P91">INDEX(正厂竞争者数据汇总!I:I,MATCH($A$81&amp;B91,正厂竞争者数据汇总!A:A&amp;正厂竞争者数据汇总!D:D,0))</f>
        <v>2023年2月新增正厂</v>
      </c>
      <c r="Q91" s="429"/>
      <c r="R91" s="421"/>
      <c r="S91" s="472">
        <v>5334</v>
      </c>
      <c r="T91" s="472">
        <v>156</v>
      </c>
      <c r="U91" s="466"/>
      <c r="V91" s="466"/>
      <c r="W91" s="466"/>
      <c r="X91" s="466"/>
      <c r="Y91" s="200" t="s">
        <v>290</v>
      </c>
      <c r="Z91" s="200">
        <v>5059</v>
      </c>
      <c r="AA91" s="200">
        <v>132</v>
      </c>
      <c r="AB91" s="410">
        <f t="shared" si="9"/>
        <v>1</v>
      </c>
      <c r="AC91" s="409">
        <f t="shared" si="10"/>
        <v>5059</v>
      </c>
      <c r="AD91" s="409">
        <f t="shared" si="11"/>
        <v>132</v>
      </c>
    </row>
    <row r="92" s="408" customFormat="1" spans="1:30">
      <c r="A92" s="428"/>
      <c r="B92" s="421"/>
      <c r="C92" s="439"/>
      <c r="D92" s="421"/>
      <c r="E92" s="421"/>
      <c r="F92" s="430"/>
      <c r="G92" s="430"/>
      <c r="H92" s="430"/>
      <c r="I92" s="453"/>
      <c r="J92" s="430"/>
      <c r="K92" s="430"/>
      <c r="L92" s="430"/>
      <c r="M92" s="451"/>
      <c r="N92" s="451"/>
      <c r="O92" s="430"/>
      <c r="P92" s="542"/>
      <c r="Q92" s="429"/>
      <c r="R92" s="421"/>
      <c r="S92" s="473" t="s">
        <v>180</v>
      </c>
      <c r="T92" s="473" t="s">
        <v>180</v>
      </c>
      <c r="U92" s="466"/>
      <c r="V92" s="466"/>
      <c r="W92" s="421"/>
      <c r="X92" s="421"/>
      <c r="Y92" s="200" t="s">
        <v>240</v>
      </c>
      <c r="Z92" s="200" t="s">
        <v>180</v>
      </c>
      <c r="AA92" s="200" t="s">
        <v>180</v>
      </c>
      <c r="AB92" s="410">
        <f t="shared" si="9"/>
        <v>0</v>
      </c>
      <c r="AC92" s="409" t="str">
        <f t="shared" si="10"/>
        <v/>
      </c>
      <c r="AD92" s="409" t="str">
        <f t="shared" si="11"/>
        <v/>
      </c>
    </row>
    <row r="93" s="408" customFormat="1" spans="1:30">
      <c r="A93" s="428"/>
      <c r="B93" s="421"/>
      <c r="C93" s="439"/>
      <c r="D93" s="421"/>
      <c r="E93" s="421"/>
      <c r="F93" s="430">
        <v>569896.877666667</v>
      </c>
      <c r="G93" s="430">
        <v>445410.310833333</v>
      </c>
      <c r="H93" s="430">
        <v>428652.916666666</v>
      </c>
      <c r="I93" s="453">
        <v>0.279487393546026</v>
      </c>
      <c r="J93" s="430"/>
      <c r="K93" s="430"/>
      <c r="L93" s="430"/>
      <c r="M93" s="451"/>
      <c r="N93" s="451">
        <f>SUM(N83:N84)</f>
        <v>0</v>
      </c>
      <c r="O93" s="430"/>
      <c r="P93" s="542"/>
      <c r="Q93" s="429"/>
      <c r="R93" s="421"/>
      <c r="S93" s="473" t="s">
        <v>180</v>
      </c>
      <c r="T93" s="473" t="s">
        <v>180</v>
      </c>
      <c r="U93" s="466"/>
      <c r="V93" s="466"/>
      <c r="W93" s="421"/>
      <c r="X93" s="421"/>
      <c r="Y93" s="200" t="s">
        <v>240</v>
      </c>
      <c r="Z93" s="200" t="s">
        <v>180</v>
      </c>
      <c r="AA93" s="200" t="s">
        <v>180</v>
      </c>
      <c r="AB93" s="410">
        <f t="shared" si="9"/>
        <v>0</v>
      </c>
      <c r="AC93" s="409" t="str">
        <f t="shared" si="10"/>
        <v/>
      </c>
      <c r="AD93" s="409" t="str">
        <f t="shared" si="11"/>
        <v/>
      </c>
    </row>
    <row r="94" s="408" customFormat="1" spans="1:30">
      <c r="A94" s="428"/>
      <c r="B94" s="421"/>
      <c r="C94" s="439"/>
      <c r="D94" s="421"/>
      <c r="E94" s="421"/>
      <c r="F94" s="430"/>
      <c r="G94" s="430"/>
      <c r="H94" s="430"/>
      <c r="I94" s="453"/>
      <c r="J94" s="430"/>
      <c r="K94" s="430"/>
      <c r="L94" s="430"/>
      <c r="M94" s="451"/>
      <c r="N94" s="451"/>
      <c r="O94" s="430"/>
      <c r="P94" s="542"/>
      <c r="Q94" s="429"/>
      <c r="R94" s="421"/>
      <c r="S94" s="473" t="s">
        <v>180</v>
      </c>
      <c r="T94" s="473" t="s">
        <v>180</v>
      </c>
      <c r="U94" s="466"/>
      <c r="V94" s="466"/>
      <c r="W94" s="421"/>
      <c r="X94" s="421"/>
      <c r="Y94" s="200" t="s">
        <v>240</v>
      </c>
      <c r="Z94" s="200" t="s">
        <v>180</v>
      </c>
      <c r="AA94" s="200" t="s">
        <v>180</v>
      </c>
      <c r="AB94" s="410">
        <f t="shared" si="9"/>
        <v>0</v>
      </c>
      <c r="AC94" s="409" t="str">
        <f t="shared" si="10"/>
        <v/>
      </c>
      <c r="AD94" s="409" t="str">
        <f t="shared" si="11"/>
        <v/>
      </c>
    </row>
    <row r="95" s="408" customFormat="1" ht="17.4" spans="1:30">
      <c r="A95" s="418" t="s">
        <v>165</v>
      </c>
      <c r="B95" s="419"/>
      <c r="C95" s="420"/>
      <c r="D95" s="421"/>
      <c r="E95" s="422" t="s">
        <v>202</v>
      </c>
      <c r="F95" s="422"/>
      <c r="G95" s="422"/>
      <c r="H95" s="422"/>
      <c r="I95" s="422"/>
      <c r="J95" s="422"/>
      <c r="K95" s="422"/>
      <c r="L95" s="422"/>
      <c r="M95" s="443"/>
      <c r="N95" s="444"/>
      <c r="O95" s="422"/>
      <c r="P95" s="542"/>
      <c r="Q95" s="465"/>
      <c r="R95" s="424"/>
      <c r="S95" s="473" t="s">
        <v>180</v>
      </c>
      <c r="T95" s="473" t="s">
        <v>180</v>
      </c>
      <c r="U95" s="467"/>
      <c r="V95" s="467"/>
      <c r="W95" s="467"/>
      <c r="X95" s="467"/>
      <c r="Y95" s="200" t="s">
        <v>240</v>
      </c>
      <c r="Z95" s="200" t="s">
        <v>180</v>
      </c>
      <c r="AA95" s="200" t="s">
        <v>180</v>
      </c>
      <c r="AB95" s="410">
        <f t="shared" si="9"/>
        <v>0</v>
      </c>
      <c r="AC95" s="409" t="str">
        <f t="shared" si="10"/>
        <v/>
      </c>
      <c r="AD95" s="409" t="str">
        <f t="shared" si="11"/>
        <v/>
      </c>
    </row>
    <row r="96" s="409" customFormat="1" ht="46.8" spans="1:30">
      <c r="A96" s="423" t="s">
        <v>206</v>
      </c>
      <c r="B96" s="424" t="s">
        <v>207</v>
      </c>
      <c r="C96" s="425" t="s">
        <v>208</v>
      </c>
      <c r="D96" s="424" t="s">
        <v>209</v>
      </c>
      <c r="E96" s="426" t="s">
        <v>210</v>
      </c>
      <c r="F96" s="427" t="s">
        <v>385</v>
      </c>
      <c r="G96" s="427" t="s">
        <v>213</v>
      </c>
      <c r="H96" s="427" t="s">
        <v>213</v>
      </c>
      <c r="I96" s="427" t="s">
        <v>386</v>
      </c>
      <c r="J96" s="446" t="s">
        <v>216</v>
      </c>
      <c r="K96" s="446" t="s">
        <v>217</v>
      </c>
      <c r="L96" s="446" t="s">
        <v>387</v>
      </c>
      <c r="M96" s="447" t="s">
        <v>218</v>
      </c>
      <c r="N96" s="448" t="s">
        <v>219</v>
      </c>
      <c r="O96" s="449" t="s">
        <v>220</v>
      </c>
      <c r="P96" s="543" t="s">
        <v>221</v>
      </c>
      <c r="Q96" s="469" t="s">
        <v>222</v>
      </c>
      <c r="R96" s="426" t="s">
        <v>223</v>
      </c>
      <c r="S96" s="470" t="s">
        <v>224</v>
      </c>
      <c r="T96" s="470" t="s">
        <v>205</v>
      </c>
      <c r="U96" s="467" t="s">
        <v>225</v>
      </c>
      <c r="V96" s="470" t="s">
        <v>226</v>
      </c>
      <c r="W96" s="467"/>
      <c r="X96" s="467"/>
      <c r="Y96" s="200" t="s">
        <v>207</v>
      </c>
      <c r="Z96" s="200" t="s">
        <v>180</v>
      </c>
      <c r="AA96" s="200" t="s">
        <v>180</v>
      </c>
      <c r="AB96" s="410">
        <f t="shared" si="9"/>
        <v>1</v>
      </c>
      <c r="AC96" s="409" t="str">
        <f t="shared" si="10"/>
        <v>Forum Link</v>
      </c>
      <c r="AD96" s="409" t="str">
        <f t="shared" si="11"/>
        <v>Domains</v>
      </c>
    </row>
    <row r="97" s="410" customFormat="1" spans="1:30">
      <c r="A97" s="432" t="s">
        <v>227</v>
      </c>
      <c r="B97" s="432" t="s">
        <v>166</v>
      </c>
      <c r="C97" s="434" t="str">
        <f>VLOOKUP(B97,正厂竞争者数据汇总!D:H,2,FALSE)</f>
        <v>原厂目录</v>
      </c>
      <c r="D97" s="435" t="str">
        <f>VLOOKUP(B97,正厂竞争者数据汇总!D:H,3,FALSE)</f>
        <v>AZ</v>
      </c>
      <c r="E97" s="462"/>
      <c r="F97" s="436">
        <v>180298.203333333</v>
      </c>
      <c r="G97" s="462"/>
      <c r="H97" s="462"/>
      <c r="I97" s="510"/>
      <c r="J97" s="461">
        <v>0.360828103677348</v>
      </c>
      <c r="K97" s="457">
        <v>0.335331812938051</v>
      </c>
      <c r="L97" s="457">
        <v>0.304770069373456</v>
      </c>
      <c r="M97" s="461"/>
      <c r="N97" s="461"/>
      <c r="O97" s="462"/>
      <c r="P97" s="542">
        <f t="array" ref="P97">INDEX(正厂竞争者数据汇总!I:I,MATCH($A$95&amp;B97,正厂竞争者数据汇总!A:A&amp;正厂竞争者数据汇总!D:D,0))</f>
        <v>0</v>
      </c>
      <c r="Q97" s="434"/>
      <c r="R97" s="435"/>
      <c r="S97" s="476">
        <v>25244</v>
      </c>
      <c r="T97" s="476">
        <v>4349</v>
      </c>
      <c r="U97" s="477"/>
      <c r="V97" s="477"/>
      <c r="W97" s="435"/>
      <c r="X97" s="435"/>
      <c r="Y97" s="200" t="s">
        <v>166</v>
      </c>
      <c r="Z97" s="200">
        <v>19966</v>
      </c>
      <c r="AA97" s="200">
        <v>3700</v>
      </c>
      <c r="AB97" s="410">
        <f t="shared" si="9"/>
        <v>1</v>
      </c>
      <c r="AC97" s="409">
        <f t="shared" si="10"/>
        <v>19966</v>
      </c>
      <c r="AD97" s="409">
        <f t="shared" si="11"/>
        <v>3700</v>
      </c>
    </row>
    <row r="98" s="408" customFormat="1" spans="1:30">
      <c r="A98" s="428" t="s">
        <v>230</v>
      </c>
      <c r="B98" s="421" t="s">
        <v>293</v>
      </c>
      <c r="C98" s="429" t="str">
        <f>VLOOKUP(B98,正厂竞争者数据汇总!D:H,2,FALSE)</f>
        <v>Motor目录</v>
      </c>
      <c r="D98" s="421" t="str">
        <f>VLOOKUP(B98,正厂竞争者数据汇总!D:H,3,FALSE)</f>
        <v>WA</v>
      </c>
      <c r="E98" s="430"/>
      <c r="F98" s="430">
        <v>164115.583333333</v>
      </c>
      <c r="G98" s="430"/>
      <c r="H98" s="430"/>
      <c r="I98" s="450"/>
      <c r="J98" s="451">
        <v>0.328442067770291</v>
      </c>
      <c r="K98" s="451">
        <v>0.354720082912935</v>
      </c>
      <c r="L98" s="451">
        <v>0.394805861793048</v>
      </c>
      <c r="M98" s="452"/>
      <c r="N98" s="451"/>
      <c r="O98" s="430"/>
      <c r="P98" s="542">
        <f t="array" ref="P98">INDEX(正厂竞争者数据汇总!I:I,MATCH($A$95&amp;B98,正厂竞争者数据汇总!A:A&amp;正厂竞争者数据汇总!D:D,0))</f>
        <v>0</v>
      </c>
      <c r="Q98" s="429"/>
      <c r="R98" s="421"/>
      <c r="S98" s="472">
        <v>17989</v>
      </c>
      <c r="T98" s="472">
        <v>599</v>
      </c>
      <c r="U98" s="466"/>
      <c r="V98" s="466"/>
      <c r="W98" s="466"/>
      <c r="X98" s="466"/>
      <c r="Y98" s="200" t="s">
        <v>293</v>
      </c>
      <c r="Z98" s="200">
        <v>17787</v>
      </c>
      <c r="AA98" s="200">
        <v>616</v>
      </c>
      <c r="AB98" s="410">
        <f t="shared" si="9"/>
        <v>1</v>
      </c>
      <c r="AC98" s="409">
        <f t="shared" si="10"/>
        <v>17787</v>
      </c>
      <c r="AD98" s="409">
        <f t="shared" si="11"/>
        <v>616</v>
      </c>
    </row>
    <row r="99" s="408" customFormat="1" spans="1:30">
      <c r="A99" s="428" t="s">
        <v>230</v>
      </c>
      <c r="B99" s="421" t="s">
        <v>294</v>
      </c>
      <c r="C99" s="429" t="str">
        <f>VLOOKUP(B99,正厂竞争者数据汇总!D:H,2,FALSE)</f>
        <v>Motor目录</v>
      </c>
      <c r="D99" s="421" t="str">
        <f>VLOOKUP(B99,正厂竞争者数据汇总!D:H,3,FALSE)</f>
        <v>MA</v>
      </c>
      <c r="E99" s="430"/>
      <c r="F99" s="430">
        <v>45601.4371333333</v>
      </c>
      <c r="G99" s="430"/>
      <c r="H99" s="430"/>
      <c r="I99" s="450"/>
      <c r="J99" s="451">
        <v>0.091261475608617</v>
      </c>
      <c r="K99" s="451">
        <v>0.0824130549711102</v>
      </c>
      <c r="L99" s="451">
        <v>0.091666650706142</v>
      </c>
      <c r="M99" s="452"/>
      <c r="N99" s="451"/>
      <c r="O99" s="430"/>
      <c r="P99" s="542" t="str">
        <f t="array" ref="P99">INDEX(正厂竞争者数据汇总!I:I,MATCH($A$95&amp;B99,正厂竞争者数据汇总!A:A&amp;正厂竞争者数据汇总!D:D,0))</f>
        <v>2022年1月 新加入 CompetitorSites</v>
      </c>
      <c r="Q99" s="429"/>
      <c r="R99" s="421"/>
      <c r="S99" s="472">
        <v>2025</v>
      </c>
      <c r="T99" s="472">
        <v>286</v>
      </c>
      <c r="U99" s="466"/>
      <c r="V99" s="466"/>
      <c r="W99" s="466"/>
      <c r="X99" s="466"/>
      <c r="Y99" s="200" t="s">
        <v>294</v>
      </c>
      <c r="Z99" s="200">
        <v>2913</v>
      </c>
      <c r="AA99" s="200">
        <v>301</v>
      </c>
      <c r="AB99" s="410">
        <f t="shared" si="9"/>
        <v>1</v>
      </c>
      <c r="AC99" s="409">
        <f t="shared" si="10"/>
        <v>2913</v>
      </c>
      <c r="AD99" s="409">
        <f t="shared" si="11"/>
        <v>301</v>
      </c>
    </row>
    <row r="100" s="408" customFormat="1" ht="31.2" spans="1:30">
      <c r="A100" s="428" t="s">
        <v>230</v>
      </c>
      <c r="B100" s="421" t="s">
        <v>295</v>
      </c>
      <c r="C100" s="429" t="str">
        <f>VLOOKUP(B100,正厂竞争者数据汇总!D:H,2,FALSE)</f>
        <v>Motor目录</v>
      </c>
      <c r="D100" s="421" t="str">
        <f>VLOOKUP(B100,正厂竞争者数据汇总!D:H,3,FALSE)</f>
        <v>NY</v>
      </c>
      <c r="E100" s="430"/>
      <c r="F100" s="430">
        <v>31978.48</v>
      </c>
      <c r="G100" s="430"/>
      <c r="H100" s="430"/>
      <c r="I100" s="450"/>
      <c r="J100" s="451">
        <v>0.0639980547978691</v>
      </c>
      <c r="K100" s="451">
        <v>0.063748780400472</v>
      </c>
      <c r="L100" s="451">
        <v>0.0699316584307672</v>
      </c>
      <c r="M100" s="452"/>
      <c r="N100" s="451"/>
      <c r="O100" s="430"/>
      <c r="P100" s="542" t="str">
        <f t="array" ref="P100">INDEX(正厂竞争者数据汇总!I:I,MATCH($A$95&amp;B100,正厂竞争者数据汇总!A:A&amp;正厂竞争者数据汇总!D:D,0))</f>
        <v>2023年4月，流量更新为子站parts.subaruonlineparts.com，子站主营parts，此前监控域名为subaruonlineparts.com,该子域名的实际成单效率较高，流量不能完全反应其竞争力</v>
      </c>
      <c r="Q100" s="429"/>
      <c r="R100" s="421"/>
      <c r="S100" s="472">
        <v>1085</v>
      </c>
      <c r="T100" s="472">
        <v>114</v>
      </c>
      <c r="U100" s="466"/>
      <c r="V100" s="466"/>
      <c r="W100" s="466"/>
      <c r="X100" s="466"/>
      <c r="Y100" s="200" t="s">
        <v>295</v>
      </c>
      <c r="Z100" s="200">
        <v>1160</v>
      </c>
      <c r="AA100" s="200">
        <v>116</v>
      </c>
      <c r="AB100" s="410">
        <f t="shared" si="9"/>
        <v>1</v>
      </c>
      <c r="AC100" s="409">
        <f t="shared" si="10"/>
        <v>1160</v>
      </c>
      <c r="AD100" s="409">
        <f t="shared" si="11"/>
        <v>116</v>
      </c>
    </row>
    <row r="101" s="408" customFormat="1" spans="1:30">
      <c r="A101" s="428" t="s">
        <v>230</v>
      </c>
      <c r="B101" s="421" t="s">
        <v>297</v>
      </c>
      <c r="C101" s="429" t="str">
        <f>VLOOKUP(B101,正厂竞争者数据汇总!D:H,2,FALSE)</f>
        <v>原厂目录</v>
      </c>
      <c r="D101" s="421" t="str">
        <f>VLOOKUP(B101,正厂竞争者数据汇总!D:H,3,FALSE)</f>
        <v>CT</v>
      </c>
      <c r="E101" s="430"/>
      <c r="F101" s="430">
        <v>26847.0666666667</v>
      </c>
      <c r="G101" s="430"/>
      <c r="H101" s="430"/>
      <c r="I101" s="450"/>
      <c r="J101" s="451">
        <v>0.0537286338717594</v>
      </c>
      <c r="K101" s="451">
        <v>0.0605532538195351</v>
      </c>
      <c r="L101" s="451"/>
      <c r="M101" s="452"/>
      <c r="N101" s="451"/>
      <c r="O101" s="430"/>
      <c r="P101" s="542" t="str">
        <f t="array" ref="P101">INDEX(正厂竞争者数据汇总!I:I,MATCH($A$95&amp;B101,正厂竞争者数据汇总!A:A&amp;正厂竞争者数据汇总!D:D,0))</f>
        <v>2024年1月，因市场份额大于5%，加入监控</v>
      </c>
      <c r="Q101" s="429"/>
      <c r="R101" s="421"/>
      <c r="S101" s="472">
        <v>8339</v>
      </c>
      <c r="T101" s="472">
        <v>113</v>
      </c>
      <c r="U101" s="466"/>
      <c r="V101" s="466"/>
      <c r="W101" s="466"/>
      <c r="X101" s="466"/>
      <c r="Y101" s="200"/>
      <c r="Z101" s="200"/>
      <c r="AA101" s="200"/>
      <c r="AB101" s="410"/>
      <c r="AC101" s="409"/>
      <c r="AD101" s="409"/>
    </row>
    <row r="102" s="408" customFormat="1" spans="1:30">
      <c r="A102" s="428" t="s">
        <v>243</v>
      </c>
      <c r="B102" s="421" t="s">
        <v>298</v>
      </c>
      <c r="C102" s="429" t="str">
        <f>VLOOKUP(B102,正厂竞争者数据汇总!D:H,2,FALSE)</f>
        <v>原厂目录</v>
      </c>
      <c r="D102" s="421" t="str">
        <f>VLOOKUP(B102,正厂竞争者数据汇总!D:H,3,FALSE)</f>
        <v>IL</v>
      </c>
      <c r="E102" s="430"/>
      <c r="F102" s="430">
        <v>23647.3333333334</v>
      </c>
      <c r="G102" s="430"/>
      <c r="H102" s="430"/>
      <c r="I102" s="450"/>
      <c r="J102" s="451">
        <v>0.047325055302508</v>
      </c>
      <c r="K102" s="451">
        <v>0.0523281281528202</v>
      </c>
      <c r="L102" s="451">
        <v>0.0854457943152777</v>
      </c>
      <c r="M102" s="452"/>
      <c r="N102" s="451"/>
      <c r="O102" s="430"/>
      <c r="P102" s="542">
        <f t="array" ref="P102">INDEX(正厂竞争者数据汇总!I:I,MATCH($A$95&amp;B102,正厂竞争者数据汇总!A:A&amp;正厂竞争者数据汇总!D:D,0))</f>
        <v>0</v>
      </c>
      <c r="Q102" s="429"/>
      <c r="R102" s="421"/>
      <c r="S102" s="472">
        <v>684</v>
      </c>
      <c r="T102" s="472">
        <v>159</v>
      </c>
      <c r="U102" s="466"/>
      <c r="V102" s="466"/>
      <c r="W102" s="466"/>
      <c r="X102" s="466"/>
      <c r="Y102" s="200" t="s">
        <v>298</v>
      </c>
      <c r="Z102" s="200">
        <v>682</v>
      </c>
      <c r="AA102" s="200">
        <v>157</v>
      </c>
      <c r="AB102" s="410">
        <f t="shared" ref="AB102:AB161" si="12">IF(B102=Y102,1,0)</f>
        <v>1</v>
      </c>
      <c r="AC102" s="409">
        <f t="shared" ref="AC102:AC161" si="13">IF(Y102="Competitors","Forum Link",Z102)</f>
        <v>682</v>
      </c>
      <c r="AD102" s="409">
        <f t="shared" ref="AD102:AD161" si="14">IF(Y102="Competitors","Domains",AA102)</f>
        <v>157</v>
      </c>
    </row>
    <row r="103" s="408" customFormat="1" spans="1:30">
      <c r="A103" s="428" t="s">
        <v>230</v>
      </c>
      <c r="B103" s="421" t="s">
        <v>296</v>
      </c>
      <c r="C103" s="429" t="str">
        <f>VLOOKUP(B103,正厂竞争者数据汇总!D:H,2,FALSE)</f>
        <v>Motor目录</v>
      </c>
      <c r="D103" s="421" t="str">
        <f>VLOOKUP(B103,正厂竞争者数据汇总!D:H,3,FALSE)</f>
        <v>NY</v>
      </c>
      <c r="E103" s="430"/>
      <c r="F103" s="430">
        <v>27190.8333333333</v>
      </c>
      <c r="G103" s="430"/>
      <c r="H103" s="430"/>
      <c r="I103" s="450"/>
      <c r="J103" s="451">
        <v>0.0544166089716081</v>
      </c>
      <c r="K103" s="451">
        <v>0.0509048868050764</v>
      </c>
      <c r="L103" s="451">
        <v>0.0533799653813095</v>
      </c>
      <c r="M103" s="452"/>
      <c r="N103" s="451"/>
      <c r="O103" s="430"/>
      <c r="P103" s="542" t="str">
        <f t="array" ref="P103">INDEX(正厂竞争者数据汇总!I:I,MATCH($A$95&amp;B103,正厂竞争者数据汇总!A:A&amp;正厂竞争者数据汇总!D:D,0))</f>
        <v>2023年2月新增正厂，Semrush子域名查不到流量。202306因流量上涨加入MS计算基准</v>
      </c>
      <c r="Q103" s="429"/>
      <c r="R103" s="421"/>
      <c r="S103" s="472">
        <v>41</v>
      </c>
      <c r="T103" s="472">
        <v>21</v>
      </c>
      <c r="U103" s="466"/>
      <c r="V103" s="466"/>
      <c r="W103" s="466"/>
      <c r="X103" s="466"/>
      <c r="Y103" s="200" t="s">
        <v>296</v>
      </c>
      <c r="Z103" s="200">
        <v>32</v>
      </c>
      <c r="AA103" s="200">
        <v>17</v>
      </c>
      <c r="AB103" s="410">
        <f t="shared" si="12"/>
        <v>1</v>
      </c>
      <c r="AC103" s="409">
        <f t="shared" si="13"/>
        <v>32</v>
      </c>
      <c r="AD103" s="409">
        <f t="shared" si="14"/>
        <v>17</v>
      </c>
    </row>
    <row r="104" s="408" customFormat="1" spans="1:30">
      <c r="A104" s="428"/>
      <c r="B104" s="421"/>
      <c r="C104" s="429"/>
      <c r="D104" s="421"/>
      <c r="E104" s="430"/>
      <c r="F104" s="481"/>
      <c r="G104" s="481"/>
      <c r="H104" s="481"/>
      <c r="I104" s="453"/>
      <c r="J104" s="451"/>
      <c r="K104" s="451"/>
      <c r="L104" s="451"/>
      <c r="M104" s="451"/>
      <c r="N104" s="451"/>
      <c r="O104" s="430"/>
      <c r="P104" s="542"/>
      <c r="Q104" s="429"/>
      <c r="R104" s="421"/>
      <c r="S104" s="473" t="s">
        <v>180</v>
      </c>
      <c r="T104" s="473" t="s">
        <v>180</v>
      </c>
      <c r="U104" s="466"/>
      <c r="V104" s="466"/>
      <c r="W104" s="421"/>
      <c r="X104" s="421"/>
      <c r="Y104" s="200" t="s">
        <v>240</v>
      </c>
      <c r="Z104" s="200" t="s">
        <v>180</v>
      </c>
      <c r="AA104" s="200" t="s">
        <v>180</v>
      </c>
      <c r="AB104" s="410">
        <f t="shared" si="12"/>
        <v>0</v>
      </c>
      <c r="AC104" s="409" t="str">
        <f t="shared" si="13"/>
        <v/>
      </c>
      <c r="AD104" s="409" t="str">
        <f t="shared" si="14"/>
        <v/>
      </c>
    </row>
    <row r="105" s="408" customFormat="1" spans="1:30">
      <c r="A105" s="428"/>
      <c r="B105" s="421"/>
      <c r="C105" s="439"/>
      <c r="D105" s="421"/>
      <c r="E105" s="421"/>
      <c r="F105" s="481">
        <v>499678.937133333</v>
      </c>
      <c r="G105" s="481">
        <v>427571.166666666</v>
      </c>
      <c r="H105" s="481">
        <v>496054.5</v>
      </c>
      <c r="I105" s="453">
        <v>0.168645072652623</v>
      </c>
      <c r="J105" s="430"/>
      <c r="K105" s="430"/>
      <c r="L105" s="430"/>
      <c r="M105" s="451"/>
      <c r="N105" s="451">
        <f>SUM(N97:N102)</f>
        <v>0</v>
      </c>
      <c r="O105" s="430"/>
      <c r="P105" s="542"/>
      <c r="Q105" s="429"/>
      <c r="R105" s="421"/>
      <c r="S105" s="473" t="s">
        <v>180</v>
      </c>
      <c r="T105" s="473" t="s">
        <v>180</v>
      </c>
      <c r="U105" s="466"/>
      <c r="V105" s="466"/>
      <c r="W105" s="421"/>
      <c r="X105" s="421"/>
      <c r="Y105" s="200" t="s">
        <v>240</v>
      </c>
      <c r="Z105" s="200" t="s">
        <v>180</v>
      </c>
      <c r="AA105" s="200" t="s">
        <v>180</v>
      </c>
      <c r="AB105" s="410">
        <f t="shared" si="12"/>
        <v>0</v>
      </c>
      <c r="AC105" s="409" t="str">
        <f t="shared" si="13"/>
        <v/>
      </c>
      <c r="AD105" s="409" t="str">
        <f t="shared" si="14"/>
        <v/>
      </c>
    </row>
    <row r="106" s="408" customFormat="1" spans="1:30">
      <c r="A106" s="428"/>
      <c r="B106" s="421"/>
      <c r="C106" s="429"/>
      <c r="D106" s="421"/>
      <c r="E106" s="430"/>
      <c r="F106" s="451"/>
      <c r="G106" s="451"/>
      <c r="H106" s="451"/>
      <c r="I106" s="453"/>
      <c r="J106" s="451"/>
      <c r="K106" s="451"/>
      <c r="L106" s="451"/>
      <c r="M106" s="451"/>
      <c r="N106" s="451"/>
      <c r="O106" s="451"/>
      <c r="P106" s="542"/>
      <c r="Q106" s="429"/>
      <c r="R106" s="421"/>
      <c r="S106" s="473" t="s">
        <v>180</v>
      </c>
      <c r="T106" s="473" t="s">
        <v>180</v>
      </c>
      <c r="U106" s="466"/>
      <c r="V106" s="466"/>
      <c r="W106" s="421"/>
      <c r="X106" s="421"/>
      <c r="Y106" s="200" t="s">
        <v>240</v>
      </c>
      <c r="Z106" s="200" t="s">
        <v>180</v>
      </c>
      <c r="AA106" s="200" t="s">
        <v>180</v>
      </c>
      <c r="AB106" s="410">
        <f t="shared" si="12"/>
        <v>0</v>
      </c>
      <c r="AC106" s="409" t="str">
        <f t="shared" si="13"/>
        <v/>
      </c>
      <c r="AD106" s="409" t="str">
        <f t="shared" si="14"/>
        <v/>
      </c>
    </row>
    <row r="107" s="408" customFormat="1" ht="17.4" spans="1:30">
      <c r="A107" s="418" t="s">
        <v>171</v>
      </c>
      <c r="B107" s="419"/>
      <c r="C107" s="420"/>
      <c r="D107" s="421"/>
      <c r="E107" s="422" t="s">
        <v>202</v>
      </c>
      <c r="F107" s="422"/>
      <c r="G107" s="422"/>
      <c r="H107" s="422"/>
      <c r="I107" s="422"/>
      <c r="J107" s="422"/>
      <c r="K107" s="422"/>
      <c r="L107" s="422"/>
      <c r="M107" s="443"/>
      <c r="N107" s="422"/>
      <c r="O107" s="422"/>
      <c r="P107" s="542"/>
      <c r="Q107" s="465"/>
      <c r="R107" s="424"/>
      <c r="S107" s="473" t="s">
        <v>180</v>
      </c>
      <c r="T107" s="473" t="s">
        <v>180</v>
      </c>
      <c r="U107" s="467"/>
      <c r="V107" s="467"/>
      <c r="W107" s="467"/>
      <c r="X107" s="467"/>
      <c r="Y107" s="200" t="s">
        <v>240</v>
      </c>
      <c r="Z107" s="200" t="s">
        <v>180</v>
      </c>
      <c r="AA107" s="200" t="s">
        <v>180</v>
      </c>
      <c r="AB107" s="410">
        <f t="shared" si="12"/>
        <v>0</v>
      </c>
      <c r="AC107" s="409" t="str">
        <f t="shared" si="13"/>
        <v/>
      </c>
      <c r="AD107" s="409" t="str">
        <f t="shared" si="14"/>
        <v/>
      </c>
    </row>
    <row r="108" s="409" customFormat="1" ht="46.8" spans="1:30">
      <c r="A108" s="423" t="s">
        <v>206</v>
      </c>
      <c r="B108" s="424" t="s">
        <v>207</v>
      </c>
      <c r="C108" s="425" t="s">
        <v>208</v>
      </c>
      <c r="D108" s="424" t="s">
        <v>209</v>
      </c>
      <c r="E108" s="426" t="s">
        <v>210</v>
      </c>
      <c r="F108" s="427" t="s">
        <v>385</v>
      </c>
      <c r="G108" s="427" t="s">
        <v>213</v>
      </c>
      <c r="H108" s="427" t="s">
        <v>213</v>
      </c>
      <c r="I108" s="427" t="s">
        <v>386</v>
      </c>
      <c r="J108" s="446" t="s">
        <v>216</v>
      </c>
      <c r="K108" s="446" t="s">
        <v>217</v>
      </c>
      <c r="L108" s="446" t="s">
        <v>387</v>
      </c>
      <c r="M108" s="447" t="s">
        <v>218</v>
      </c>
      <c r="N108" s="448" t="s">
        <v>219</v>
      </c>
      <c r="O108" s="449" t="s">
        <v>220</v>
      </c>
      <c r="P108" s="543" t="s">
        <v>221</v>
      </c>
      <c r="Q108" s="469" t="s">
        <v>222</v>
      </c>
      <c r="R108" s="426" t="s">
        <v>223</v>
      </c>
      <c r="S108" s="470" t="s">
        <v>224</v>
      </c>
      <c r="T108" s="470" t="s">
        <v>205</v>
      </c>
      <c r="U108" s="467" t="s">
        <v>225</v>
      </c>
      <c r="V108" s="470" t="s">
        <v>226</v>
      </c>
      <c r="W108" s="467"/>
      <c r="X108" s="467"/>
      <c r="Y108" s="200" t="s">
        <v>207</v>
      </c>
      <c r="Z108" s="200" t="s">
        <v>180</v>
      </c>
      <c r="AA108" s="200" t="s">
        <v>180</v>
      </c>
      <c r="AB108" s="410">
        <f t="shared" si="12"/>
        <v>1</v>
      </c>
      <c r="AC108" s="409" t="str">
        <f t="shared" si="13"/>
        <v>Forum Link</v>
      </c>
      <c r="AD108" s="409" t="str">
        <f t="shared" si="14"/>
        <v>Domains</v>
      </c>
    </row>
    <row r="109" s="408" customFormat="1" spans="1:30">
      <c r="A109" s="428" t="s">
        <v>230</v>
      </c>
      <c r="B109" s="421" t="s">
        <v>310</v>
      </c>
      <c r="C109" s="429" t="str">
        <f>VLOOKUP(B109,正厂竞争者数据汇总!D:H,2,FALSE)</f>
        <v>Motor目录</v>
      </c>
      <c r="D109" s="421" t="str">
        <f>VLOOKUP(B109,正厂竞争者数据汇总!D:H,3,FALSE)</f>
        <v>MD</v>
      </c>
      <c r="E109" s="430"/>
      <c r="F109" s="430">
        <v>138523.613333333</v>
      </c>
      <c r="G109" s="430"/>
      <c r="H109" s="430"/>
      <c r="I109" s="450"/>
      <c r="J109" s="451">
        <v>0.294644433300361</v>
      </c>
      <c r="K109" s="451">
        <v>0.292393010287209</v>
      </c>
      <c r="L109" s="451">
        <v>0.284470367366077</v>
      </c>
      <c r="M109" s="452"/>
      <c r="N109" s="451"/>
      <c r="O109" s="430"/>
      <c r="P109" s="542">
        <f t="array" ref="P109">INDEX(正厂竞争者数据汇总!I:I,MATCH($A$107&amp;B109,正厂竞争者数据汇总!A:A&amp;正厂竞争者数据汇总!D:D,0))</f>
        <v>0</v>
      </c>
      <c r="Q109" s="429"/>
      <c r="R109" s="421"/>
      <c r="S109" s="472">
        <v>533958</v>
      </c>
      <c r="T109" s="472">
        <v>928</v>
      </c>
      <c r="U109" s="466"/>
      <c r="V109" s="466"/>
      <c r="W109" s="466"/>
      <c r="X109" s="466"/>
      <c r="Y109" s="200" t="s">
        <v>310</v>
      </c>
      <c r="Z109" s="200">
        <v>691305</v>
      </c>
      <c r="AA109" s="200">
        <v>1012</v>
      </c>
      <c r="AB109" s="410">
        <f t="shared" si="12"/>
        <v>1</v>
      </c>
      <c r="AC109" s="409">
        <f t="shared" si="13"/>
        <v>691305</v>
      </c>
      <c r="AD109" s="409">
        <f t="shared" si="14"/>
        <v>1012</v>
      </c>
    </row>
    <row r="110" s="408" customFormat="1" spans="1:30">
      <c r="A110" s="428" t="s">
        <v>230</v>
      </c>
      <c r="B110" s="421" t="s">
        <v>311</v>
      </c>
      <c r="C110" s="429" t="str">
        <f>VLOOKUP(B110,正厂竞争者数据汇总!D:H,2,FALSE)</f>
        <v>原厂目录</v>
      </c>
      <c r="D110" s="421" t="str">
        <f>VLOOKUP(B110,正厂竞争者数据汇总!D:H,3,FALSE)</f>
        <v>GA</v>
      </c>
      <c r="E110" s="430"/>
      <c r="F110" s="430">
        <v>88407.4166666667</v>
      </c>
      <c r="G110" s="430"/>
      <c r="H110" s="430"/>
      <c r="I110" s="450"/>
      <c r="J110" s="451">
        <v>0.18804557978586</v>
      </c>
      <c r="K110" s="451">
        <v>0.177682467679001</v>
      </c>
      <c r="L110" s="451">
        <v>0.161684125798348</v>
      </c>
      <c r="M110" s="452"/>
      <c r="N110" s="451"/>
      <c r="O110" s="430"/>
      <c r="P110" s="542">
        <f t="array" ref="P110">INDEX(正厂竞争者数据汇总!I:I,MATCH($A$107&amp;B110,正厂竞争者数据汇总!A:A&amp;正厂竞争者数据汇总!D:D,0))</f>
        <v>0</v>
      </c>
      <c r="Q110" s="429"/>
      <c r="R110" s="421"/>
      <c r="S110" s="472">
        <v>6690</v>
      </c>
      <c r="T110" s="472">
        <v>454</v>
      </c>
      <c r="U110" s="466"/>
      <c r="V110" s="466"/>
      <c r="W110" s="466"/>
      <c r="X110" s="466"/>
      <c r="Y110" s="200" t="s">
        <v>311</v>
      </c>
      <c r="Z110" s="200">
        <v>6523</v>
      </c>
      <c r="AA110" s="200">
        <v>424</v>
      </c>
      <c r="AB110" s="410">
        <f t="shared" si="12"/>
        <v>1</v>
      </c>
      <c r="AC110" s="409">
        <f t="shared" si="13"/>
        <v>6523</v>
      </c>
      <c r="AD110" s="409">
        <f t="shared" si="14"/>
        <v>424</v>
      </c>
    </row>
    <row r="111" s="410" customFormat="1" spans="1:30">
      <c r="A111" s="432" t="s">
        <v>227</v>
      </c>
      <c r="B111" s="432" t="s">
        <v>312</v>
      </c>
      <c r="C111" s="434" t="str">
        <f>VLOOKUP(B111,正厂竞争者数据汇总!D:H,2,FALSE)</f>
        <v>原厂目录</v>
      </c>
      <c r="D111" s="477" t="str">
        <f>VLOOKUP(B111,正厂竞争者数据汇总!D:H,3,FALSE)</f>
        <v>CA</v>
      </c>
      <c r="E111" s="436">
        <f>VLOOKUP(B111,正厂竞争者数据汇总!D:H,4,FALSE)</f>
        <v>0</v>
      </c>
      <c r="F111" s="436">
        <v>78435.06</v>
      </c>
      <c r="G111" s="436">
        <v>132262.583333333</v>
      </c>
      <c r="H111" s="436">
        <v>137115.416666667</v>
      </c>
      <c r="I111" s="454">
        <v>-0.406974686088468</v>
      </c>
      <c r="J111" s="457">
        <v>0.166834038244213</v>
      </c>
      <c r="K111" s="457">
        <v>0.156773776150431</v>
      </c>
      <c r="L111" s="457">
        <v>0.187411291085759</v>
      </c>
      <c r="M111" s="456">
        <f>J111-K111</f>
        <v>0.010060262093782</v>
      </c>
      <c r="N111" s="455"/>
      <c r="O111" s="436"/>
      <c r="P111" s="542">
        <f t="array" ref="P111">INDEX(正厂竞争者数据汇总!I:I,MATCH($A$107&amp;B111,正厂竞争者数据汇总!A:A&amp;正厂竞争者数据汇总!D:D,0))</f>
        <v>0</v>
      </c>
      <c r="Q111" s="491" t="s">
        <v>313</v>
      </c>
      <c r="R111" s="435" t="s">
        <v>180</v>
      </c>
      <c r="S111" s="476">
        <v>17465</v>
      </c>
      <c r="T111" s="476">
        <v>4839</v>
      </c>
      <c r="U111" s="477"/>
      <c r="V111" s="477"/>
      <c r="W111" s="435"/>
      <c r="X111" s="435"/>
      <c r="Y111" s="200" t="s">
        <v>172</v>
      </c>
      <c r="Z111" s="200" t="s">
        <v>180</v>
      </c>
      <c r="AA111" s="200" t="s">
        <v>180</v>
      </c>
      <c r="AB111" s="410">
        <f t="shared" si="12"/>
        <v>1</v>
      </c>
      <c r="AC111" s="409" t="str">
        <f t="shared" si="13"/>
        <v/>
      </c>
      <c r="AD111" s="409" t="str">
        <f t="shared" si="14"/>
        <v/>
      </c>
    </row>
    <row r="112" s="408" customFormat="1" spans="1:30">
      <c r="A112" s="428" t="s">
        <v>243</v>
      </c>
      <c r="B112" s="421" t="s">
        <v>314</v>
      </c>
      <c r="C112" s="429" t="str">
        <f>VLOOKUP(B112,正厂竞争者数据汇总!D:H,2,FALSE)</f>
        <v>原厂目录</v>
      </c>
      <c r="D112" s="421" t="str">
        <f>VLOOKUP(B112,正厂竞争者数据汇总!D:H,3,FALSE)</f>
        <v>WA</v>
      </c>
      <c r="E112" s="430"/>
      <c r="F112" s="430">
        <v>62930.5833333333</v>
      </c>
      <c r="G112" s="430"/>
      <c r="H112" s="430"/>
      <c r="I112" s="450"/>
      <c r="J112" s="451">
        <v>0.133855489452854</v>
      </c>
      <c r="K112" s="451">
        <v>0.130640624926072</v>
      </c>
      <c r="L112" s="451">
        <v>0.118973576050187</v>
      </c>
      <c r="M112" s="452"/>
      <c r="N112" s="451"/>
      <c r="O112" s="430"/>
      <c r="P112" s="542">
        <f t="array" ref="P112">INDEX(正厂竞争者数据汇总!I:I,MATCH($A$107&amp;B112,正厂竞争者数据汇总!A:A&amp;正厂竞争者数据汇总!D:D,0))</f>
        <v>0</v>
      </c>
      <c r="Q112" s="429"/>
      <c r="R112" s="421"/>
      <c r="S112" s="472">
        <v>3150</v>
      </c>
      <c r="T112" s="472">
        <v>735</v>
      </c>
      <c r="U112" s="466"/>
      <c r="V112" s="466"/>
      <c r="W112" s="466"/>
      <c r="X112" s="466"/>
      <c r="Y112" s="200" t="s">
        <v>314</v>
      </c>
      <c r="Z112" s="200">
        <v>3346</v>
      </c>
      <c r="AA112" s="200">
        <v>649</v>
      </c>
      <c r="AB112" s="410">
        <f t="shared" si="12"/>
        <v>1</v>
      </c>
      <c r="AC112" s="409">
        <f t="shared" si="13"/>
        <v>3346</v>
      </c>
      <c r="AD112" s="409">
        <f t="shared" si="14"/>
        <v>649</v>
      </c>
    </row>
    <row r="113" s="408" customFormat="1" spans="1:30">
      <c r="A113" s="428" t="s">
        <v>230</v>
      </c>
      <c r="B113" s="421" t="s">
        <v>315</v>
      </c>
      <c r="C113" s="429" t="str">
        <f>VLOOKUP(B113,正厂竞争者数据汇总!D:H,2,FALSE)</f>
        <v>Motor目录</v>
      </c>
      <c r="D113" s="421" t="str">
        <f>VLOOKUP(B113,正厂竞争者数据汇总!D:H,3,FALSE)</f>
        <v>IL</v>
      </c>
      <c r="E113" s="430"/>
      <c r="F113" s="430">
        <v>56224.7266666667</v>
      </c>
      <c r="G113" s="430"/>
      <c r="H113" s="430"/>
      <c r="I113" s="450"/>
      <c r="J113" s="451">
        <v>0.119591904423571</v>
      </c>
      <c r="K113" s="451">
        <v>0.0927667546909026</v>
      </c>
      <c r="L113" s="451">
        <v>0.0866538327252739</v>
      </c>
      <c r="M113" s="452"/>
      <c r="N113" s="451"/>
      <c r="O113" s="430"/>
      <c r="P113" s="542">
        <f t="array" ref="P113">INDEX(正厂竞争者数据汇总!I:I,MATCH($A$107&amp;B113,正厂竞争者数据汇总!A:A&amp;正厂竞争者数据汇总!D:D,0))</f>
        <v>0</v>
      </c>
      <c r="Q113" s="429"/>
      <c r="R113" s="421"/>
      <c r="S113" s="472">
        <v>906</v>
      </c>
      <c r="T113" s="472">
        <v>167</v>
      </c>
      <c r="U113" s="466"/>
      <c r="V113" s="466"/>
      <c r="W113" s="466"/>
      <c r="X113" s="466"/>
      <c r="Y113" s="200" t="s">
        <v>315</v>
      </c>
      <c r="Z113" s="200">
        <v>1051</v>
      </c>
      <c r="AA113" s="200">
        <v>207</v>
      </c>
      <c r="AB113" s="410">
        <f t="shared" si="12"/>
        <v>1</v>
      </c>
      <c r="AC113" s="409">
        <f t="shared" si="13"/>
        <v>1051</v>
      </c>
      <c r="AD113" s="409">
        <f t="shared" si="14"/>
        <v>207</v>
      </c>
    </row>
    <row r="114" s="408" customFormat="1" spans="1:30">
      <c r="A114" s="428" t="s">
        <v>230</v>
      </c>
      <c r="B114" s="421" t="s">
        <v>317</v>
      </c>
      <c r="C114" s="429" t="str">
        <f>VLOOKUP(B114,正厂竞争者数据汇总!D:H,2,FALSE)</f>
        <v>Motor目录</v>
      </c>
      <c r="D114" s="421" t="str">
        <f>VLOOKUP(B114,正厂竞争者数据汇总!D:H,3,FALSE)</f>
        <v>PA</v>
      </c>
      <c r="E114" s="430"/>
      <c r="F114" s="430">
        <v>24922</v>
      </c>
      <c r="G114" s="430"/>
      <c r="H114" s="430"/>
      <c r="I114" s="450"/>
      <c r="J114" s="451">
        <v>0.053009940976934</v>
      </c>
      <c r="K114" s="451">
        <v>0.0448854036428749</v>
      </c>
      <c r="L114" s="451">
        <v>0.04587293401873</v>
      </c>
      <c r="M114" s="452"/>
      <c r="N114" s="451"/>
      <c r="O114" s="430"/>
      <c r="P114" s="542">
        <f t="array" ref="P114">INDEX(正厂竞争者数据汇总!I:I,MATCH($A$107&amp;B114,正厂竞争者数据汇总!A:A&amp;正厂竞争者数据汇总!D:D,0))</f>
        <v>0</v>
      </c>
      <c r="Q114" s="429"/>
      <c r="R114" s="421"/>
      <c r="S114" s="472">
        <v>651</v>
      </c>
      <c r="T114" s="472">
        <v>161</v>
      </c>
      <c r="U114" s="466"/>
      <c r="V114" s="466"/>
      <c r="W114" s="466"/>
      <c r="X114" s="466"/>
      <c r="Y114" s="200" t="s">
        <v>317</v>
      </c>
      <c r="Z114" s="200">
        <v>588</v>
      </c>
      <c r="AA114" s="200">
        <v>181</v>
      </c>
      <c r="AB114" s="410">
        <f t="shared" si="12"/>
        <v>1</v>
      </c>
      <c r="AC114" s="409">
        <f t="shared" si="13"/>
        <v>588</v>
      </c>
      <c r="AD114" s="409">
        <f t="shared" si="14"/>
        <v>181</v>
      </c>
    </row>
    <row r="115" s="408" customFormat="1" spans="1:30">
      <c r="A115" s="428" t="s">
        <v>243</v>
      </c>
      <c r="B115" s="421" t="s">
        <v>388</v>
      </c>
      <c r="C115" s="255" t="s">
        <v>389</v>
      </c>
      <c r="D115" s="270" t="s">
        <v>49</v>
      </c>
      <c r="E115" s="430"/>
      <c r="F115" s="430">
        <v>20694.8333333333</v>
      </c>
      <c r="G115" s="430"/>
      <c r="H115" s="430"/>
      <c r="I115" s="450"/>
      <c r="J115" s="451">
        <v>0.0440186138162059</v>
      </c>
      <c r="K115" s="451">
        <v>0.0327126737616852</v>
      </c>
      <c r="L115" s="451">
        <v>0.0436651331832423</v>
      </c>
      <c r="M115" s="452"/>
      <c r="N115" s="451"/>
      <c r="O115" s="430"/>
      <c r="P115" s="542">
        <f t="array" ref="P115">INDEX(正厂竞争者数据汇总!I:I,MATCH($A$107&amp;B115,正厂竞争者数据汇总!A:A&amp;正厂竞争者数据汇总!D:D,0))</f>
        <v>0</v>
      </c>
      <c r="Q115" s="429"/>
      <c r="R115" s="421"/>
      <c r="S115" s="472">
        <v>937</v>
      </c>
      <c r="T115" s="472">
        <v>375</v>
      </c>
      <c r="U115" s="466"/>
      <c r="V115" s="466"/>
      <c r="W115" s="466"/>
      <c r="X115" s="466"/>
      <c r="Y115" s="200" t="s">
        <v>388</v>
      </c>
      <c r="Z115" s="200">
        <v>1036</v>
      </c>
      <c r="AA115" s="200">
        <v>316</v>
      </c>
      <c r="AB115" s="410">
        <f t="shared" si="12"/>
        <v>1</v>
      </c>
      <c r="AC115" s="409">
        <f t="shared" si="13"/>
        <v>1036</v>
      </c>
      <c r="AD115" s="409">
        <f t="shared" si="14"/>
        <v>316</v>
      </c>
    </row>
    <row r="116" s="408" customFormat="1" spans="1:30">
      <c r="A116" s="428"/>
      <c r="B116" s="438"/>
      <c r="C116" s="429"/>
      <c r="D116" s="466"/>
      <c r="E116" s="430"/>
      <c r="F116" s="430"/>
      <c r="G116" s="430"/>
      <c r="H116" s="430"/>
      <c r="I116" s="453"/>
      <c r="J116" s="451"/>
      <c r="K116" s="451"/>
      <c r="L116" s="451"/>
      <c r="M116" s="451"/>
      <c r="N116" s="459"/>
      <c r="O116" s="430"/>
      <c r="P116" s="542"/>
      <c r="Q116" s="492"/>
      <c r="R116" s="421"/>
      <c r="S116" s="473" t="s">
        <v>180</v>
      </c>
      <c r="T116" s="473" t="s">
        <v>180</v>
      </c>
      <c r="U116" s="466"/>
      <c r="V116" s="466"/>
      <c r="W116" s="421"/>
      <c r="X116" s="421"/>
      <c r="Y116" s="200" t="s">
        <v>240</v>
      </c>
      <c r="Z116" s="200" t="s">
        <v>180</v>
      </c>
      <c r="AA116" s="200" t="s">
        <v>180</v>
      </c>
      <c r="AB116" s="410">
        <f t="shared" si="12"/>
        <v>0</v>
      </c>
      <c r="AC116" s="409" t="str">
        <f t="shared" si="13"/>
        <v/>
      </c>
      <c r="AD116" s="409" t="str">
        <f t="shared" si="14"/>
        <v/>
      </c>
    </row>
    <row r="117" s="408" customFormat="1" spans="1:30">
      <c r="A117" s="428"/>
      <c r="B117" s="421"/>
      <c r="C117" s="439"/>
      <c r="D117" s="421"/>
      <c r="E117" s="430"/>
      <c r="F117" s="430">
        <v>470138.233333333</v>
      </c>
      <c r="G117" s="430">
        <v>451480.499999999</v>
      </c>
      <c r="H117" s="430">
        <v>457440.166666667</v>
      </c>
      <c r="I117" s="453">
        <v>0.0413256681813146</v>
      </c>
      <c r="J117" s="430"/>
      <c r="K117" s="430"/>
      <c r="L117" s="430"/>
      <c r="M117" s="451"/>
      <c r="N117" s="451"/>
      <c r="O117" s="430"/>
      <c r="P117" s="542"/>
      <c r="Q117" s="493"/>
      <c r="R117" s="421"/>
      <c r="S117" s="473" t="s">
        <v>180</v>
      </c>
      <c r="T117" s="473" t="s">
        <v>180</v>
      </c>
      <c r="U117" s="466"/>
      <c r="V117" s="466"/>
      <c r="W117" s="421"/>
      <c r="X117" s="421"/>
      <c r="Y117" s="200" t="s">
        <v>240</v>
      </c>
      <c r="Z117" s="200" t="s">
        <v>180</v>
      </c>
      <c r="AA117" s="200" t="s">
        <v>180</v>
      </c>
      <c r="AB117" s="410">
        <f t="shared" si="12"/>
        <v>0</v>
      </c>
      <c r="AC117" s="409" t="str">
        <f t="shared" si="13"/>
        <v/>
      </c>
      <c r="AD117" s="409" t="str">
        <f t="shared" si="14"/>
        <v/>
      </c>
    </row>
    <row r="118" s="408" customFormat="1" spans="1:30">
      <c r="A118" s="428"/>
      <c r="B118" s="421"/>
      <c r="C118" s="439"/>
      <c r="D118" s="421"/>
      <c r="E118" s="430"/>
      <c r="F118" s="430"/>
      <c r="G118" s="430"/>
      <c r="H118" s="430"/>
      <c r="I118" s="453"/>
      <c r="J118" s="430"/>
      <c r="K118" s="430"/>
      <c r="L118" s="430"/>
      <c r="M118" s="451"/>
      <c r="N118" s="451"/>
      <c r="O118" s="430"/>
      <c r="P118" s="542"/>
      <c r="Q118" s="493"/>
      <c r="R118" s="421"/>
      <c r="S118" s="473" t="s">
        <v>180</v>
      </c>
      <c r="T118" s="473" t="s">
        <v>180</v>
      </c>
      <c r="U118" s="466"/>
      <c r="V118" s="466"/>
      <c r="W118" s="421"/>
      <c r="X118" s="421"/>
      <c r="Y118" s="200" t="s">
        <v>240</v>
      </c>
      <c r="Z118" s="200" t="s">
        <v>180</v>
      </c>
      <c r="AA118" s="200" t="s">
        <v>180</v>
      </c>
      <c r="AB118" s="410">
        <f t="shared" si="12"/>
        <v>0</v>
      </c>
      <c r="AC118" s="409" t="str">
        <f t="shared" si="13"/>
        <v/>
      </c>
      <c r="AD118" s="409" t="str">
        <f t="shared" si="14"/>
        <v/>
      </c>
    </row>
    <row r="119" s="408" customFormat="1" ht="17.4" spans="1:30">
      <c r="A119" s="418" t="s">
        <v>168</v>
      </c>
      <c r="B119" s="487"/>
      <c r="C119" s="420"/>
      <c r="D119" s="421"/>
      <c r="E119" s="422" t="s">
        <v>202</v>
      </c>
      <c r="F119" s="422"/>
      <c r="G119" s="422" t="s">
        <v>213</v>
      </c>
      <c r="H119" s="422"/>
      <c r="I119" s="422"/>
      <c r="J119" s="422"/>
      <c r="K119" s="422"/>
      <c r="L119" s="422"/>
      <c r="M119" s="443"/>
      <c r="N119" s="444"/>
      <c r="O119" s="422"/>
      <c r="P119" s="542"/>
      <c r="Q119" s="465"/>
      <c r="R119" s="424"/>
      <c r="S119" s="473" t="s">
        <v>180</v>
      </c>
      <c r="T119" s="473" t="s">
        <v>180</v>
      </c>
      <c r="U119" s="467"/>
      <c r="V119" s="467"/>
      <c r="W119" s="467"/>
      <c r="X119" s="467"/>
      <c r="Y119" s="200" t="s">
        <v>240</v>
      </c>
      <c r="Z119" s="200" t="s">
        <v>180</v>
      </c>
      <c r="AA119" s="200" t="s">
        <v>180</v>
      </c>
      <c r="AB119" s="410">
        <f t="shared" si="12"/>
        <v>0</v>
      </c>
      <c r="AC119" s="409" t="str">
        <f t="shared" si="13"/>
        <v/>
      </c>
      <c r="AD119" s="409" t="str">
        <f t="shared" si="14"/>
        <v/>
      </c>
    </row>
    <row r="120" s="409" customFormat="1" ht="46.8" spans="1:30">
      <c r="A120" s="423" t="s">
        <v>206</v>
      </c>
      <c r="B120" s="424" t="s">
        <v>207</v>
      </c>
      <c r="C120" s="425" t="s">
        <v>208</v>
      </c>
      <c r="D120" s="424" t="s">
        <v>209</v>
      </c>
      <c r="E120" s="426" t="s">
        <v>210</v>
      </c>
      <c r="F120" s="427" t="s">
        <v>385</v>
      </c>
      <c r="G120" s="427">
        <v>197584.75</v>
      </c>
      <c r="H120" s="427" t="s">
        <v>213</v>
      </c>
      <c r="I120" s="427" t="s">
        <v>386</v>
      </c>
      <c r="J120" s="446" t="s">
        <v>216</v>
      </c>
      <c r="K120" s="446" t="s">
        <v>217</v>
      </c>
      <c r="L120" s="446" t="s">
        <v>387</v>
      </c>
      <c r="M120" s="447" t="s">
        <v>218</v>
      </c>
      <c r="N120" s="448" t="s">
        <v>219</v>
      </c>
      <c r="O120" s="449" t="s">
        <v>220</v>
      </c>
      <c r="P120" s="543" t="s">
        <v>221</v>
      </c>
      <c r="Q120" s="469" t="s">
        <v>222</v>
      </c>
      <c r="R120" s="426" t="s">
        <v>223</v>
      </c>
      <c r="S120" s="470" t="s">
        <v>224</v>
      </c>
      <c r="T120" s="470" t="s">
        <v>205</v>
      </c>
      <c r="U120" s="467" t="s">
        <v>225</v>
      </c>
      <c r="V120" s="470" t="s">
        <v>226</v>
      </c>
      <c r="W120" s="467"/>
      <c r="X120" s="467"/>
      <c r="Y120" s="200" t="s">
        <v>207</v>
      </c>
      <c r="Z120" s="200" t="s">
        <v>180</v>
      </c>
      <c r="AA120" s="200" t="s">
        <v>180</v>
      </c>
      <c r="AB120" s="410">
        <f t="shared" si="12"/>
        <v>1</v>
      </c>
      <c r="AC120" s="409" t="str">
        <f t="shared" si="13"/>
        <v>Forum Link</v>
      </c>
      <c r="AD120" s="409" t="str">
        <f t="shared" si="14"/>
        <v>Domains</v>
      </c>
    </row>
    <row r="121" s="410" customFormat="1" ht="17.4" spans="1:30">
      <c r="A121" s="432" t="s">
        <v>227</v>
      </c>
      <c r="B121" s="432" t="s">
        <v>169</v>
      </c>
      <c r="C121" s="434" t="str">
        <f>VLOOKUP(B121,正厂竞争者数据汇总!D:H,2,FALSE)</f>
        <v>原厂目录</v>
      </c>
      <c r="D121" s="435" t="str">
        <f>VLOOKUP(B121,正厂竞争者数据汇总!D:H,3,FALSE)</f>
        <v>CA</v>
      </c>
      <c r="E121" s="436">
        <f>VLOOKUP(B121,正厂竞争者数据汇总!D:H,4,FALSE)</f>
        <v>0</v>
      </c>
      <c r="F121" s="436">
        <v>269320.403333333</v>
      </c>
      <c r="G121" s="436">
        <v>39089.5833333333</v>
      </c>
      <c r="H121" s="436">
        <v>201623.666666667</v>
      </c>
      <c r="I121" s="454">
        <v>5.88982537973671</v>
      </c>
      <c r="J121" s="457">
        <v>0.587303641640762</v>
      </c>
      <c r="K121" s="457">
        <v>0.624093948477954</v>
      </c>
      <c r="L121" s="457">
        <v>0.62279478145527</v>
      </c>
      <c r="M121" s="456">
        <f>J121-K128</f>
        <v>0.551169436877519</v>
      </c>
      <c r="N121" s="457" t="str">
        <f>IFERROR(O121*0.5/$F$121,"")</f>
        <v/>
      </c>
      <c r="O121" s="436" t="s">
        <v>180</v>
      </c>
      <c r="P121" s="542">
        <f t="array" ref="P121">INDEX(正厂竞争者数据汇总!I:I,MATCH($A$119&amp;B121,正厂竞争者数据汇总!A:A&amp;正厂竞争者数据汇总!D:D,0))</f>
        <v>0</v>
      </c>
      <c r="Q121" s="434" t="s">
        <v>299</v>
      </c>
      <c r="R121" s="435" t="s">
        <v>229</v>
      </c>
      <c r="S121" s="476">
        <v>26886</v>
      </c>
      <c r="T121" s="476">
        <v>3869</v>
      </c>
      <c r="U121" s="477"/>
      <c r="V121" s="477"/>
      <c r="W121" s="435"/>
      <c r="X121" s="435"/>
      <c r="Y121" s="200" t="s">
        <v>169</v>
      </c>
      <c r="Z121" s="200">
        <v>25098</v>
      </c>
      <c r="AA121" s="200">
        <v>3453</v>
      </c>
      <c r="AB121" s="410">
        <f t="shared" si="12"/>
        <v>1</v>
      </c>
      <c r="AC121" s="409">
        <f t="shared" si="13"/>
        <v>25098</v>
      </c>
      <c r="AD121" s="409">
        <f t="shared" si="14"/>
        <v>3453</v>
      </c>
    </row>
    <row r="122" s="408" customFormat="1" ht="17.4" spans="1:30">
      <c r="A122" s="428" t="s">
        <v>243</v>
      </c>
      <c r="B122" s="421" t="s">
        <v>303</v>
      </c>
      <c r="C122" s="429" t="s">
        <v>247</v>
      </c>
      <c r="D122" s="421" t="s">
        <v>49</v>
      </c>
      <c r="E122" s="430"/>
      <c r="F122" s="430">
        <v>37002.4166666667</v>
      </c>
      <c r="G122" s="430"/>
      <c r="H122" s="430"/>
      <c r="I122" s="450"/>
      <c r="J122" s="451">
        <v>0.0806907081263549</v>
      </c>
      <c r="K122" s="451">
        <v>0.0837887478622763</v>
      </c>
      <c r="L122" s="451">
        <v>0.0648504922141635</v>
      </c>
      <c r="M122" s="452"/>
      <c r="N122" s="451"/>
      <c r="O122" s="430"/>
      <c r="P122" s="542" t="str">
        <f t="array" ref="P122">INDEX(正厂竞争者数据汇总!I:I,MATCH($A$119&amp;B122,正厂竞争者数据汇总!A:A&amp;正厂竞争者数据汇总!D:D,0))</f>
        <v>2023年3月新增正厂，202306因流量超过MS5%加入MS计算基准</v>
      </c>
      <c r="Q122" s="429"/>
      <c r="R122" s="421"/>
      <c r="S122" s="472">
        <v>718</v>
      </c>
      <c r="T122" s="472">
        <v>358</v>
      </c>
      <c r="U122" s="466"/>
      <c r="V122" s="466"/>
      <c r="W122" s="466"/>
      <c r="X122" s="466"/>
      <c r="Y122" s="200" t="s">
        <v>303</v>
      </c>
      <c r="Z122" s="200">
        <v>668</v>
      </c>
      <c r="AA122" s="200">
        <v>300</v>
      </c>
      <c r="AB122" s="410">
        <f t="shared" si="12"/>
        <v>1</v>
      </c>
      <c r="AC122" s="409">
        <f t="shared" si="13"/>
        <v>668</v>
      </c>
      <c r="AD122" s="409">
        <f t="shared" si="14"/>
        <v>300</v>
      </c>
    </row>
    <row r="123" s="408" customFormat="1" ht="17.4" spans="1:30">
      <c r="A123" s="428" t="s">
        <v>243</v>
      </c>
      <c r="B123" s="421" t="s">
        <v>300</v>
      </c>
      <c r="C123" s="429" t="s">
        <v>301</v>
      </c>
      <c r="D123" s="421" t="s">
        <v>302</v>
      </c>
      <c r="E123" s="430"/>
      <c r="F123" s="430">
        <v>34525.19</v>
      </c>
      <c r="G123" s="430"/>
      <c r="H123" s="430"/>
      <c r="I123" s="450"/>
      <c r="J123" s="451">
        <v>0.0752886508574065</v>
      </c>
      <c r="K123" s="451">
        <v>0.065333377620153</v>
      </c>
      <c r="L123" s="451">
        <v>0.0718814091261876</v>
      </c>
      <c r="M123" s="452"/>
      <c r="N123" s="451"/>
      <c r="O123" s="430"/>
      <c r="P123" s="542" t="str">
        <f t="array" ref="P123">INDEX(正厂竞争者数据汇总!I:I,MATCH($A$119&amp;B123,正厂竞争者数据汇总!A:A&amp;正厂竞争者数据汇总!D:D,0))</f>
        <v>2023年3月新增正厂，202305因流量超过MS5%加入MS计算基准</v>
      </c>
      <c r="Q123" s="429"/>
      <c r="R123" s="421"/>
      <c r="S123" s="472">
        <v>603</v>
      </c>
      <c r="T123" s="472">
        <v>220</v>
      </c>
      <c r="U123" s="466"/>
      <c r="V123" s="466"/>
      <c r="W123" s="466"/>
      <c r="X123" s="466"/>
      <c r="Y123" s="200" t="s">
        <v>300</v>
      </c>
      <c r="Z123" s="200">
        <v>588</v>
      </c>
      <c r="AA123" s="200">
        <v>174</v>
      </c>
      <c r="AB123" s="410">
        <f t="shared" si="12"/>
        <v>1</v>
      </c>
      <c r="AC123" s="409">
        <f t="shared" si="13"/>
        <v>588</v>
      </c>
      <c r="AD123" s="409">
        <f t="shared" si="14"/>
        <v>174</v>
      </c>
    </row>
    <row r="124" s="408" customFormat="1" spans="1:30">
      <c r="A124" s="428" t="s">
        <v>230</v>
      </c>
      <c r="B124" s="421" t="s">
        <v>304</v>
      </c>
      <c r="C124" s="429" t="str">
        <f>VLOOKUP(B124,正厂竞争者数据汇总!D:H,2,FALSE)</f>
        <v>Motor目录</v>
      </c>
      <c r="D124" s="421" t="str">
        <f>VLOOKUP(B124,正厂竞争者数据汇总!D:H,3,FALSE)</f>
        <v>CA</v>
      </c>
      <c r="E124" s="430"/>
      <c r="F124" s="430">
        <v>30337.14</v>
      </c>
      <c r="G124" s="430"/>
      <c r="H124" s="430"/>
      <c r="I124" s="450"/>
      <c r="J124" s="451">
        <v>0.0661558225015492</v>
      </c>
      <c r="K124" s="451">
        <v>0.0512922404955742</v>
      </c>
      <c r="L124" s="451">
        <v>0.0511885953256876</v>
      </c>
      <c r="M124" s="452"/>
      <c r="N124" s="451"/>
      <c r="O124" s="430"/>
      <c r="P124" s="542">
        <f t="array" ref="P124">INDEX(正厂竞争者数据汇总!I:I,MATCH($A$119&amp;B124,正厂竞争者数据汇总!A:A&amp;正厂竞争者数据汇总!D:D,0))</f>
        <v>0</v>
      </c>
      <c r="Q124" s="429"/>
      <c r="R124" s="421"/>
      <c r="S124" s="472">
        <v>831</v>
      </c>
      <c r="T124" s="472">
        <v>123</v>
      </c>
      <c r="U124" s="466"/>
      <c r="V124" s="466"/>
      <c r="W124" s="466"/>
      <c r="X124" s="466"/>
      <c r="Y124" s="200" t="s">
        <v>304</v>
      </c>
      <c r="Z124" s="200">
        <v>772</v>
      </c>
      <c r="AA124" s="200">
        <v>127</v>
      </c>
      <c r="AB124" s="410">
        <f t="shared" si="12"/>
        <v>1</v>
      </c>
      <c r="AC124" s="409">
        <f t="shared" si="13"/>
        <v>772</v>
      </c>
      <c r="AD124" s="409">
        <f t="shared" si="14"/>
        <v>127</v>
      </c>
    </row>
    <row r="125" s="408" customFormat="1" ht="17.4" spans="1:30">
      <c r="A125" s="428" t="s">
        <v>230</v>
      </c>
      <c r="B125" s="421" t="s">
        <v>307</v>
      </c>
      <c r="C125" s="429" t="s">
        <v>247</v>
      </c>
      <c r="D125" s="421" t="s">
        <v>49</v>
      </c>
      <c r="E125" s="430"/>
      <c r="F125" s="430">
        <v>27287.6666666667</v>
      </c>
      <c r="G125" s="430"/>
      <c r="H125" s="430"/>
      <c r="I125" s="450"/>
      <c r="J125" s="451">
        <v>0.059505874069917</v>
      </c>
      <c r="K125" s="451">
        <v>0.0587943870488302</v>
      </c>
      <c r="L125" s="451">
        <v>0.0671685251177804</v>
      </c>
      <c r="M125" s="452"/>
      <c r="N125" s="451"/>
      <c r="O125" s="430"/>
      <c r="P125" s="542" t="str">
        <f t="array" ref="P125">INDEX(正厂竞争者数据汇总!I:I,MATCH($A$119&amp;B125,正厂竞争者数据汇总!A:A&amp;正厂竞争者数据汇总!D:D,0))</f>
        <v>2023年2月新增正厂</v>
      </c>
      <c r="Q125" s="429"/>
      <c r="R125" s="421"/>
      <c r="S125" s="472">
        <v>681</v>
      </c>
      <c r="T125" s="472">
        <v>63</v>
      </c>
      <c r="U125" s="466"/>
      <c r="V125" s="466"/>
      <c r="W125" s="466"/>
      <c r="X125" s="466"/>
      <c r="Y125" s="200" t="s">
        <v>307</v>
      </c>
      <c r="Z125" s="200">
        <v>754</v>
      </c>
      <c r="AA125" s="200">
        <v>70</v>
      </c>
      <c r="AB125" s="410">
        <f t="shared" si="12"/>
        <v>1</v>
      </c>
      <c r="AC125" s="409">
        <f t="shared" si="13"/>
        <v>754</v>
      </c>
      <c r="AD125" s="409">
        <f t="shared" si="14"/>
        <v>70</v>
      </c>
    </row>
    <row r="126" s="408" customFormat="1" spans="1:30">
      <c r="A126" s="428" t="s">
        <v>230</v>
      </c>
      <c r="B126" s="421" t="s">
        <v>308</v>
      </c>
      <c r="C126" s="429" t="str">
        <f>VLOOKUP(B126,正厂竞争者数据汇总!D:H,2,FALSE)</f>
        <v>Motor目录</v>
      </c>
      <c r="D126" s="421" t="str">
        <f>VLOOKUP(B126,正厂竞争者数据汇总!D:H,3,FALSE)</f>
        <v>OH</v>
      </c>
      <c r="E126" s="430"/>
      <c r="F126" s="430">
        <v>22600</v>
      </c>
      <c r="G126" s="430"/>
      <c r="H126" s="430"/>
      <c r="I126" s="450"/>
      <c r="J126" s="451">
        <v>0.0492835378857404</v>
      </c>
      <c r="K126" s="451">
        <v>0.0425556582629914</v>
      </c>
      <c r="L126" s="451">
        <v>0.0421143139244604</v>
      </c>
      <c r="M126" s="452"/>
      <c r="N126" s="451"/>
      <c r="O126" s="430"/>
      <c r="P126" s="542">
        <f t="array" ref="P126">INDEX(正厂竞争者数据汇总!I:I,MATCH($A$119&amp;B126,正厂竞争者数据汇总!A:A&amp;正厂竞争者数据汇总!D:D,0))</f>
        <v>0</v>
      </c>
      <c r="Q126" s="429"/>
      <c r="R126" s="421"/>
      <c r="S126" s="472">
        <v>511</v>
      </c>
      <c r="T126" s="472">
        <v>140</v>
      </c>
      <c r="U126" s="466"/>
      <c r="V126" s="466"/>
      <c r="W126" s="466"/>
      <c r="X126" s="466"/>
      <c r="Y126" s="200" t="s">
        <v>308</v>
      </c>
      <c r="Z126" s="200">
        <v>665</v>
      </c>
      <c r="AA126" s="200">
        <v>178</v>
      </c>
      <c r="AB126" s="410">
        <f t="shared" si="12"/>
        <v>1</v>
      </c>
      <c r="AC126" s="409">
        <f t="shared" si="13"/>
        <v>665</v>
      </c>
      <c r="AD126" s="409">
        <f t="shared" si="14"/>
        <v>178</v>
      </c>
    </row>
    <row r="127" s="408" customFormat="1" spans="1:30">
      <c r="A127" s="428" t="s">
        <v>230</v>
      </c>
      <c r="B127" s="421" t="s">
        <v>309</v>
      </c>
      <c r="C127" s="429" t="str">
        <f>VLOOKUP(B127,正厂竞争者数据汇总!D:H,2,FALSE)</f>
        <v>Motor目录</v>
      </c>
      <c r="D127" s="421" t="str">
        <f>VLOOKUP(B127,正厂竞争者数据汇总!D:H,3,FALSE)</f>
        <v>FL</v>
      </c>
      <c r="E127" s="430"/>
      <c r="F127" s="430">
        <v>18837.8246</v>
      </c>
      <c r="G127" s="430"/>
      <c r="H127" s="430"/>
      <c r="I127" s="450"/>
      <c r="J127" s="451">
        <v>0.0410794089539395</v>
      </c>
      <c r="K127" s="451">
        <v>0.038007435468979</v>
      </c>
      <c r="L127" s="451">
        <v>0.0381140117593952</v>
      </c>
      <c r="M127" s="452"/>
      <c r="N127" s="451"/>
      <c r="O127" s="430"/>
      <c r="P127" s="542" t="str">
        <f t="array" ref="P127">INDEX(正厂竞争者数据汇总!I:I,MATCH($A$119&amp;B127,正厂竞争者数据汇总!A:A&amp;正厂竞争者数据汇总!D:D,0))</f>
        <v>同时经营多品牌网站零件，折算比例为：toyota：33%，lexus：42%，subaru:25%</v>
      </c>
      <c r="Q127" s="429"/>
      <c r="R127" s="421"/>
      <c r="S127" s="472">
        <v>1449</v>
      </c>
      <c r="T127" s="472">
        <v>249</v>
      </c>
      <c r="U127" s="466"/>
      <c r="V127" s="466"/>
      <c r="W127" s="466"/>
      <c r="X127" s="466"/>
      <c r="Y127" s="200" t="s">
        <v>309</v>
      </c>
      <c r="Z127" s="200">
        <v>1414</v>
      </c>
      <c r="AA127" s="200">
        <v>278</v>
      </c>
      <c r="AB127" s="410">
        <f t="shared" si="12"/>
        <v>1</v>
      </c>
      <c r="AC127" s="409">
        <f t="shared" si="13"/>
        <v>1414</v>
      </c>
      <c r="AD127" s="409">
        <f t="shared" si="14"/>
        <v>278</v>
      </c>
    </row>
    <row r="128" s="408" customFormat="1" spans="1:30">
      <c r="A128" s="428" t="s">
        <v>305</v>
      </c>
      <c r="B128" s="421" t="s">
        <v>306</v>
      </c>
      <c r="C128" s="429" t="str">
        <f>VLOOKUP(B128,正厂竞争者数据汇总!D:H,2,FALSE)</f>
        <v>Motor目录</v>
      </c>
      <c r="D128" s="421" t="str">
        <f>VLOOKUP(B128,正厂竞争者数据汇总!D:H,3,FALSE)</f>
        <v>CA</v>
      </c>
      <c r="E128" s="430"/>
      <c r="F128" s="430">
        <v>18660.3333333333</v>
      </c>
      <c r="G128" s="430"/>
      <c r="H128" s="430"/>
      <c r="I128" s="450"/>
      <c r="J128" s="451">
        <v>0.0406923559643308</v>
      </c>
      <c r="K128" s="451">
        <v>0.0361342047632422</v>
      </c>
      <c r="L128" s="451">
        <v>0.0418878710770557</v>
      </c>
      <c r="M128" s="452"/>
      <c r="N128" s="451"/>
      <c r="O128" s="430"/>
      <c r="P128" s="542">
        <f t="array" ref="P128">INDEX(正厂竞争者数据汇总!I:I,MATCH($A$119&amp;B128,正厂竞争者数据汇总!A:A&amp;正厂竞争者数据汇总!D:D,0))</f>
        <v>0</v>
      </c>
      <c r="Q128" s="429"/>
      <c r="R128" s="421"/>
      <c r="S128" s="472">
        <v>1372</v>
      </c>
      <c r="T128" s="472">
        <v>266</v>
      </c>
      <c r="U128" s="466"/>
      <c r="V128" s="466"/>
      <c r="W128" s="466"/>
      <c r="X128" s="466"/>
      <c r="Y128" s="200" t="s">
        <v>306</v>
      </c>
      <c r="Z128" s="200">
        <v>1449</v>
      </c>
      <c r="AA128" s="200">
        <v>265</v>
      </c>
      <c r="AB128" s="410">
        <f t="shared" si="12"/>
        <v>1</v>
      </c>
      <c r="AC128" s="409">
        <f t="shared" si="13"/>
        <v>1449</v>
      </c>
      <c r="AD128" s="409">
        <f t="shared" si="14"/>
        <v>265</v>
      </c>
    </row>
    <row r="129" s="408" customFormat="1" spans="1:30">
      <c r="A129" s="440"/>
      <c r="B129" s="431"/>
      <c r="C129" s="429"/>
      <c r="D129" s="421"/>
      <c r="E129" s="430"/>
      <c r="F129" s="430"/>
      <c r="G129" s="430">
        <v>259436.916666667</v>
      </c>
      <c r="H129" s="430"/>
      <c r="I129" s="453"/>
      <c r="J129" s="451"/>
      <c r="K129" s="451"/>
      <c r="L129" s="451"/>
      <c r="M129" s="451"/>
      <c r="N129" s="451"/>
      <c r="O129" s="430"/>
      <c r="P129" s="542"/>
      <c r="Q129" s="429"/>
      <c r="R129" s="421"/>
      <c r="S129" s="473" t="s">
        <v>180</v>
      </c>
      <c r="T129" s="473" t="s">
        <v>180</v>
      </c>
      <c r="U129" s="466"/>
      <c r="V129" s="466"/>
      <c r="W129" s="421"/>
      <c r="X129" s="421"/>
      <c r="Y129" s="200" t="s">
        <v>240</v>
      </c>
      <c r="Z129" s="200" t="s">
        <v>180</v>
      </c>
      <c r="AA129" s="200" t="s">
        <v>180</v>
      </c>
      <c r="AB129" s="410">
        <f t="shared" si="12"/>
        <v>0</v>
      </c>
      <c r="AC129" s="409" t="str">
        <f t="shared" si="13"/>
        <v/>
      </c>
      <c r="AD129" s="409" t="str">
        <f t="shared" si="14"/>
        <v/>
      </c>
    </row>
    <row r="130" s="408" customFormat="1" spans="1:30">
      <c r="A130" s="428"/>
      <c r="B130" s="431"/>
      <c r="C130" s="439"/>
      <c r="D130" s="421"/>
      <c r="E130" s="430"/>
      <c r="F130" s="430">
        <v>458570.9746</v>
      </c>
      <c r="G130" s="430"/>
      <c r="H130" s="430">
        <v>254943.25</v>
      </c>
      <c r="I130" s="453" t="e">
        <v>#DIV/0!</v>
      </c>
      <c r="J130" s="430"/>
      <c r="K130" s="430"/>
      <c r="L130" s="430"/>
      <c r="M130" s="451"/>
      <c r="N130" s="451">
        <f>SUM(N121:N126)</f>
        <v>0</v>
      </c>
      <c r="O130" s="430"/>
      <c r="P130" s="542"/>
      <c r="Q130" s="429"/>
      <c r="R130" s="421"/>
      <c r="S130" s="473" t="s">
        <v>180</v>
      </c>
      <c r="T130" s="473" t="s">
        <v>180</v>
      </c>
      <c r="U130" s="466"/>
      <c r="V130" s="466"/>
      <c r="W130" s="421"/>
      <c r="X130" s="421"/>
      <c r="Y130" s="200" t="s">
        <v>240</v>
      </c>
      <c r="Z130" s="200" t="s">
        <v>180</v>
      </c>
      <c r="AA130" s="200" t="s">
        <v>180</v>
      </c>
      <c r="AB130" s="410">
        <f t="shared" si="12"/>
        <v>0</v>
      </c>
      <c r="AC130" s="409" t="str">
        <f t="shared" si="13"/>
        <v/>
      </c>
      <c r="AD130" s="409" t="str">
        <f t="shared" si="14"/>
        <v/>
      </c>
    </row>
    <row r="131" s="408" customFormat="1" spans="1:30">
      <c r="A131" s="428"/>
      <c r="B131" s="421"/>
      <c r="C131" s="439"/>
      <c r="D131" s="421"/>
      <c r="E131" s="430"/>
      <c r="F131" s="451"/>
      <c r="G131" s="451"/>
      <c r="H131" s="451"/>
      <c r="I131" s="453"/>
      <c r="J131" s="451"/>
      <c r="K131" s="451"/>
      <c r="L131" s="451"/>
      <c r="M131" s="451"/>
      <c r="N131" s="451"/>
      <c r="O131" s="451"/>
      <c r="P131" s="542"/>
      <c r="Q131" s="429"/>
      <c r="R131" s="421"/>
      <c r="S131" s="473" t="s">
        <v>180</v>
      </c>
      <c r="T131" s="473" t="s">
        <v>180</v>
      </c>
      <c r="U131" s="466"/>
      <c r="V131" s="466"/>
      <c r="W131" s="421"/>
      <c r="X131" s="421"/>
      <c r="Y131" s="200" t="s">
        <v>240</v>
      </c>
      <c r="Z131" s="200" t="s">
        <v>180</v>
      </c>
      <c r="AA131" s="200" t="s">
        <v>180</v>
      </c>
      <c r="AB131" s="410">
        <f t="shared" si="12"/>
        <v>0</v>
      </c>
      <c r="AC131" s="409" t="str">
        <f t="shared" si="13"/>
        <v/>
      </c>
      <c r="AD131" s="409" t="str">
        <f t="shared" si="14"/>
        <v/>
      </c>
    </row>
    <row r="132" s="408" customFormat="1" ht="17.4" spans="1:30">
      <c r="A132" s="418" t="s">
        <v>174</v>
      </c>
      <c r="B132" s="419"/>
      <c r="C132" s="420"/>
      <c r="D132" s="421"/>
      <c r="E132" s="422" t="s">
        <v>202</v>
      </c>
      <c r="F132" s="422"/>
      <c r="G132" s="422"/>
      <c r="H132" s="422"/>
      <c r="I132" s="422"/>
      <c r="J132" s="422"/>
      <c r="K132" s="422"/>
      <c r="L132" s="422"/>
      <c r="M132" s="443"/>
      <c r="N132" s="444"/>
      <c r="O132" s="422"/>
      <c r="P132" s="542"/>
      <c r="Q132" s="465"/>
      <c r="R132" s="424"/>
      <c r="S132" s="473" t="s">
        <v>180</v>
      </c>
      <c r="T132" s="473" t="s">
        <v>180</v>
      </c>
      <c r="U132" s="467"/>
      <c r="V132" s="467"/>
      <c r="W132" s="467"/>
      <c r="X132" s="467"/>
      <c r="Y132" s="200" t="s">
        <v>240</v>
      </c>
      <c r="Z132" s="200" t="s">
        <v>180</v>
      </c>
      <c r="AA132" s="200" t="s">
        <v>180</v>
      </c>
      <c r="AB132" s="410">
        <f t="shared" si="12"/>
        <v>0</v>
      </c>
      <c r="AC132" s="409" t="str">
        <f t="shared" si="13"/>
        <v/>
      </c>
      <c r="AD132" s="409" t="str">
        <f t="shared" si="14"/>
        <v/>
      </c>
    </row>
    <row r="133" s="409" customFormat="1" ht="46.8" spans="1:30">
      <c r="A133" s="423" t="s">
        <v>206</v>
      </c>
      <c r="B133" s="424" t="s">
        <v>207</v>
      </c>
      <c r="C133" s="425" t="s">
        <v>208</v>
      </c>
      <c r="D133" s="424" t="s">
        <v>209</v>
      </c>
      <c r="E133" s="426" t="s">
        <v>210</v>
      </c>
      <c r="F133" s="427" t="s">
        <v>385</v>
      </c>
      <c r="G133" s="427" t="s">
        <v>213</v>
      </c>
      <c r="H133" s="427" t="s">
        <v>213</v>
      </c>
      <c r="I133" s="427" t="s">
        <v>386</v>
      </c>
      <c r="J133" s="446" t="s">
        <v>216</v>
      </c>
      <c r="K133" s="446" t="s">
        <v>217</v>
      </c>
      <c r="L133" s="446" t="s">
        <v>387</v>
      </c>
      <c r="M133" s="447" t="s">
        <v>218</v>
      </c>
      <c r="N133" s="448" t="s">
        <v>219</v>
      </c>
      <c r="O133" s="449" t="s">
        <v>220</v>
      </c>
      <c r="P133" s="543" t="s">
        <v>221</v>
      </c>
      <c r="Q133" s="469" t="s">
        <v>222</v>
      </c>
      <c r="R133" s="426" t="s">
        <v>223</v>
      </c>
      <c r="S133" s="470" t="s">
        <v>224</v>
      </c>
      <c r="T133" s="470" t="s">
        <v>205</v>
      </c>
      <c r="U133" s="467" t="s">
        <v>225</v>
      </c>
      <c r="V133" s="470" t="s">
        <v>226</v>
      </c>
      <c r="W133" s="467"/>
      <c r="X133" s="467"/>
      <c r="Y133" s="200" t="s">
        <v>207</v>
      </c>
      <c r="Z133" s="200" t="s">
        <v>180</v>
      </c>
      <c r="AA133" s="200" t="s">
        <v>180</v>
      </c>
      <c r="AB133" s="410">
        <f t="shared" si="12"/>
        <v>1</v>
      </c>
      <c r="AC133" s="409" t="str">
        <f t="shared" si="13"/>
        <v>Forum Link</v>
      </c>
      <c r="AD133" s="409" t="str">
        <f t="shared" si="14"/>
        <v>Domains</v>
      </c>
    </row>
    <row r="134" s="410" customFormat="1" ht="17.4" spans="1:30">
      <c r="A134" s="435" t="s">
        <v>227</v>
      </c>
      <c r="B134" s="435" t="s">
        <v>175</v>
      </c>
      <c r="C134" s="435" t="str">
        <f>VLOOKUP(B134,正厂竞争者数据汇总!D:H,2,FALSE)</f>
        <v>原厂目录</v>
      </c>
      <c r="D134" s="435" t="str">
        <f>VLOOKUP(B134,正厂竞争者数据汇总!D:H,3,FALSE)</f>
        <v>CA</v>
      </c>
      <c r="E134" s="436">
        <f>VLOOKUP(B134,正厂竞争者数据汇总!D:H,4,FALSE)</f>
        <v>325311</v>
      </c>
      <c r="F134" s="436">
        <v>188125.416666667</v>
      </c>
      <c r="G134" s="436">
        <v>188125.416666667</v>
      </c>
      <c r="H134" s="436">
        <v>188125.416666667</v>
      </c>
      <c r="I134" s="436">
        <v>188125.416666667</v>
      </c>
      <c r="J134" s="457">
        <v>0.436450412481719</v>
      </c>
      <c r="K134" s="457">
        <v>0.481609558245086</v>
      </c>
      <c r="L134" s="457">
        <v>0.471712483650054</v>
      </c>
      <c r="M134" s="456">
        <f>J134-K134</f>
        <v>-0.0451591457633668</v>
      </c>
      <c r="N134" s="457" t="str">
        <f>IFERROR(O134*0.5/$F$134,"")</f>
        <v/>
      </c>
      <c r="O134" s="436" t="s">
        <v>180</v>
      </c>
      <c r="P134" s="542">
        <f t="array" ref="P134">INDEX(正厂竞争者数据汇总!I:I,MATCH($A$132&amp;B134,正厂竞争者数据汇总!A:A&amp;正厂竞争者数据汇总!D:D,0))</f>
        <v>0</v>
      </c>
      <c r="Q134" s="434" t="s">
        <v>318</v>
      </c>
      <c r="R134" s="435" t="s">
        <v>229</v>
      </c>
      <c r="S134" s="476">
        <v>18604</v>
      </c>
      <c r="T134" s="476">
        <v>4206</v>
      </c>
      <c r="U134" s="477"/>
      <c r="V134" s="477"/>
      <c r="W134" s="435"/>
      <c r="X134" s="435"/>
      <c r="Y134" s="200" t="s">
        <v>175</v>
      </c>
      <c r="Z134" s="200">
        <v>16859</v>
      </c>
      <c r="AA134" s="200">
        <v>3644</v>
      </c>
      <c r="AB134" s="410">
        <f t="shared" si="12"/>
        <v>1</v>
      </c>
      <c r="AC134" s="409">
        <f t="shared" si="13"/>
        <v>16859</v>
      </c>
      <c r="AD134" s="409">
        <f t="shared" si="14"/>
        <v>3644</v>
      </c>
    </row>
    <row r="135" s="408" customFormat="1" ht="46.8" spans="1:30">
      <c r="A135" s="428" t="s">
        <v>230</v>
      </c>
      <c r="B135" s="421" t="s">
        <v>319</v>
      </c>
      <c r="C135" s="429" t="str">
        <f>VLOOKUP(B135,正厂竞争者数据汇总!D:H,2,FALSE)</f>
        <v>Motor目录</v>
      </c>
      <c r="D135" s="421" t="str">
        <f>VLOOKUP(B135,正厂竞争者数据汇总!D:H,3,FALSE)</f>
        <v>-</v>
      </c>
      <c r="E135" s="430"/>
      <c r="F135" s="430">
        <v>92526.6166666667</v>
      </c>
      <c r="G135" s="430"/>
      <c r="H135" s="430"/>
      <c r="I135" s="450"/>
      <c r="J135" s="451">
        <v>0.214661478099253</v>
      </c>
      <c r="K135" s="451">
        <v>0.207285867340133</v>
      </c>
      <c r="L135" s="451">
        <v>0.201628977201329</v>
      </c>
      <c r="M135" s="452"/>
      <c r="N135" s="451"/>
      <c r="O135" s="430"/>
      <c r="P135" s="542" t="str">
        <f t="array" ref="P135">INDEX(正厂竞争者数据汇总!I:I,MATCH($A$132&amp;B135,正厂竞争者数据汇总!A:A&amp;正厂竞争者数据汇总!D:D,0))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35" s="429"/>
      <c r="R135" s="421"/>
      <c r="S135" s="472">
        <v>754</v>
      </c>
      <c r="T135" s="472">
        <v>156</v>
      </c>
      <c r="U135" s="466"/>
      <c r="V135" s="466"/>
      <c r="W135" s="466"/>
      <c r="X135" s="466"/>
      <c r="Y135" s="200" t="s">
        <v>319</v>
      </c>
      <c r="Z135" s="200">
        <v>569</v>
      </c>
      <c r="AA135" s="200">
        <v>92</v>
      </c>
      <c r="AB135" s="410">
        <f t="shared" si="12"/>
        <v>1</v>
      </c>
      <c r="AC135" s="409">
        <f t="shared" si="13"/>
        <v>569</v>
      </c>
      <c r="AD135" s="409">
        <f t="shared" si="14"/>
        <v>92</v>
      </c>
    </row>
    <row r="136" s="408" customFormat="1" spans="1:30">
      <c r="A136" s="428" t="s">
        <v>230</v>
      </c>
      <c r="B136" s="421" t="s">
        <v>320</v>
      </c>
      <c r="C136" s="429" t="str">
        <f>VLOOKUP(B136,正厂竞争者数据汇总!D:H,2,FALSE)</f>
        <v>原厂目录</v>
      </c>
      <c r="D136" s="421" t="str">
        <f>VLOOKUP(B136,正厂竞争者数据汇总!D:H,3,FALSE)</f>
        <v>AZ</v>
      </c>
      <c r="E136" s="430"/>
      <c r="F136" s="430">
        <v>50997.9583333333</v>
      </c>
      <c r="G136" s="430"/>
      <c r="H136" s="430"/>
      <c r="I136" s="450"/>
      <c r="J136" s="451">
        <v>0.118315113102166</v>
      </c>
      <c r="K136" s="451">
        <v>0.111622950534984</v>
      </c>
      <c r="L136" s="451">
        <v>0.110291076238273</v>
      </c>
      <c r="M136" s="452"/>
      <c r="N136" s="451"/>
      <c r="O136" s="430"/>
      <c r="P136" s="542">
        <f t="array" ref="P136">INDEX(正厂竞争者数据汇总!I:I,MATCH($A$132&amp;B136,正厂竞争者数据汇总!A:A&amp;正厂竞争者数据汇总!D:D,0))</f>
        <v>0</v>
      </c>
      <c r="Q136" s="429"/>
      <c r="R136" s="421"/>
      <c r="S136" s="472">
        <v>8061</v>
      </c>
      <c r="T136" s="472">
        <v>370</v>
      </c>
      <c r="U136" s="466"/>
      <c r="V136" s="466"/>
      <c r="W136" s="466"/>
      <c r="X136" s="466"/>
      <c r="Y136" s="200" t="s">
        <v>320</v>
      </c>
      <c r="Z136" s="200">
        <v>8420</v>
      </c>
      <c r="AA136" s="200">
        <v>396</v>
      </c>
      <c r="AB136" s="410">
        <f t="shared" si="12"/>
        <v>1</v>
      </c>
      <c r="AC136" s="409">
        <f t="shared" si="13"/>
        <v>8420</v>
      </c>
      <c r="AD136" s="409">
        <f t="shared" si="14"/>
        <v>396</v>
      </c>
    </row>
    <row r="137" s="408" customFormat="1" spans="1:30">
      <c r="A137" s="428" t="s">
        <v>230</v>
      </c>
      <c r="B137" s="421" t="s">
        <v>321</v>
      </c>
      <c r="C137" s="429" t="str">
        <f>VLOOKUP(B137,正厂竞争者数据汇总!D:H,2,FALSE)</f>
        <v>原厂目录</v>
      </c>
      <c r="D137" s="421" t="str">
        <f>VLOOKUP(B137,正厂竞争者数据汇总!D:H,3,FALSE)</f>
        <v>CO</v>
      </c>
      <c r="E137" s="430"/>
      <c r="F137" s="430">
        <v>44954.55</v>
      </c>
      <c r="G137" s="430"/>
      <c r="H137" s="430"/>
      <c r="I137" s="450"/>
      <c r="J137" s="451">
        <v>0.104294423571669</v>
      </c>
      <c r="K137" s="451">
        <v>0.0859815365168241</v>
      </c>
      <c r="L137" s="451">
        <v>0.0795396381757623</v>
      </c>
      <c r="M137" s="452"/>
      <c r="N137" s="451"/>
      <c r="O137" s="430"/>
      <c r="P137" s="542" t="str">
        <f t="array" ref="P137">INDEX(正厂竞争者数据汇总!I:I,MATCH($A$132&amp;B137,正厂竞争者数据汇总!A:A&amp;正厂竞争者数据汇总!D:D,0))</f>
        <v>同时经营honda/acura，折算比例：acura75%，honda25%</v>
      </c>
      <c r="Q137" s="429"/>
      <c r="R137" s="421"/>
      <c r="S137" s="472">
        <v>1372</v>
      </c>
      <c r="T137" s="472">
        <v>264</v>
      </c>
      <c r="U137" s="466"/>
      <c r="V137" s="466"/>
      <c r="W137" s="466"/>
      <c r="X137" s="466"/>
      <c r="Y137" s="200" t="s">
        <v>321</v>
      </c>
      <c r="Z137" s="200">
        <v>1330</v>
      </c>
      <c r="AA137" s="200">
        <v>264</v>
      </c>
      <c r="AB137" s="410">
        <f t="shared" si="12"/>
        <v>1</v>
      </c>
      <c r="AC137" s="409">
        <f t="shared" si="13"/>
        <v>1330</v>
      </c>
      <c r="AD137" s="409">
        <f t="shared" si="14"/>
        <v>264</v>
      </c>
    </row>
    <row r="138" s="408" customFormat="1" spans="1:30">
      <c r="A138" s="428" t="s">
        <v>238</v>
      </c>
      <c r="B138" s="421" t="s">
        <v>322</v>
      </c>
      <c r="C138" s="429" t="str">
        <f>VLOOKUP(B138,正厂竞争者数据汇总!D:H,2,FALSE)</f>
        <v>原厂目录</v>
      </c>
      <c r="D138" s="421" t="str">
        <f>VLOOKUP(B138,正厂竞争者数据汇总!D:H,3,FALSE)</f>
        <v>MA</v>
      </c>
      <c r="E138" s="430"/>
      <c r="F138" s="430">
        <v>30726.7384</v>
      </c>
      <c r="G138" s="430"/>
      <c r="H138" s="430"/>
      <c r="I138" s="450"/>
      <c r="J138" s="451">
        <v>0.0712859425723417</v>
      </c>
      <c r="K138" s="451">
        <v>0.0558580080652153</v>
      </c>
      <c r="L138" s="451">
        <v>0.0660730410551925</v>
      </c>
      <c r="M138" s="452"/>
      <c r="N138" s="451"/>
      <c r="O138" s="430"/>
      <c r="P138" s="542">
        <f t="array" ref="P138">INDEX(正厂竞争者数据汇总!I:I,MATCH($A$132&amp;B138,正厂竞争者数据汇总!A:A&amp;正厂竞争者数据汇总!D:D,0))</f>
        <v>0</v>
      </c>
      <c r="Q138" s="429"/>
      <c r="R138" s="421"/>
      <c r="S138" s="472">
        <v>38602</v>
      </c>
      <c r="T138" s="472">
        <v>2214</v>
      </c>
      <c r="U138" s="466"/>
      <c r="V138" s="466"/>
      <c r="W138" s="466"/>
      <c r="X138" s="466"/>
      <c r="Y138" s="200" t="s">
        <v>322</v>
      </c>
      <c r="Z138" s="200">
        <v>28657</v>
      </c>
      <c r="AA138" s="200">
        <v>1803</v>
      </c>
      <c r="AB138" s="410">
        <f t="shared" si="12"/>
        <v>1</v>
      </c>
      <c r="AC138" s="409">
        <f t="shared" si="13"/>
        <v>28657</v>
      </c>
      <c r="AD138" s="409">
        <f t="shared" si="14"/>
        <v>1803</v>
      </c>
    </row>
    <row r="139" s="408" customFormat="1" ht="31.2" spans="1:30">
      <c r="A139" s="428" t="s">
        <v>230</v>
      </c>
      <c r="B139" s="421" t="s">
        <v>323</v>
      </c>
      <c r="C139" s="429" t="str">
        <f>VLOOKUP(B139,正厂竞争者数据汇总!D:H,2,FALSE)</f>
        <v>原厂目录</v>
      </c>
      <c r="D139" s="421" t="str">
        <f>VLOOKUP(B139,正厂竞争者数据汇总!D:H,3,FALSE)</f>
        <v>NJ</v>
      </c>
      <c r="E139" s="430"/>
      <c r="F139" s="430">
        <v>23703.75</v>
      </c>
      <c r="G139" s="430"/>
      <c r="H139" s="430"/>
      <c r="I139" s="450"/>
      <c r="J139" s="451">
        <v>0.0549926301728512</v>
      </c>
      <c r="K139" s="451">
        <v>0.0576420792977577</v>
      </c>
      <c r="L139" s="451">
        <v>0.0707547836793884</v>
      </c>
      <c r="M139" s="452"/>
      <c r="N139" s="451"/>
      <c r="O139" s="430"/>
      <c r="P139" s="542" t="str">
        <f t="array" ref="P139">INDEX(正厂竞争者数据汇总!I:I,MATCH($A$132&amp;B139,正厂竞争者数据汇总!A:A&amp;正厂竞争者数据汇总!D:D,0))</f>
        <v>2022年1月 新加入 CompetitorSites
2022年1月 新加入 MarketingShare</v>
      </c>
      <c r="Q139" s="429"/>
      <c r="R139" s="421"/>
      <c r="S139" s="472">
        <v>1121</v>
      </c>
      <c r="T139" s="472">
        <v>176</v>
      </c>
      <c r="U139" s="466"/>
      <c r="V139" s="466"/>
      <c r="W139" s="466"/>
      <c r="X139" s="466"/>
      <c r="Y139" s="200" t="s">
        <v>323</v>
      </c>
      <c r="Z139" s="200">
        <v>1111</v>
      </c>
      <c r="AA139" s="200">
        <v>183</v>
      </c>
      <c r="AB139" s="410">
        <f t="shared" si="12"/>
        <v>1</v>
      </c>
      <c r="AC139" s="409">
        <f t="shared" si="13"/>
        <v>1111</v>
      </c>
      <c r="AD139" s="409">
        <f t="shared" si="14"/>
        <v>183</v>
      </c>
    </row>
    <row r="140" s="408" customFormat="1" spans="1:30">
      <c r="A140" s="428"/>
      <c r="B140" s="438"/>
      <c r="C140" s="429"/>
      <c r="D140" s="421"/>
      <c r="E140" s="430"/>
      <c r="F140" s="486"/>
      <c r="G140" s="486">
        <v>409170.916666667</v>
      </c>
      <c r="H140" s="486"/>
      <c r="I140" s="453"/>
      <c r="J140" s="451"/>
      <c r="K140" s="430"/>
      <c r="L140" s="430"/>
      <c r="M140" s="451"/>
      <c r="N140" s="451"/>
      <c r="O140" s="430"/>
      <c r="P140" s="542"/>
      <c r="Q140" s="429"/>
      <c r="R140" s="421"/>
      <c r="S140" s="473" t="s">
        <v>180</v>
      </c>
      <c r="T140" s="473" t="s">
        <v>180</v>
      </c>
      <c r="U140" s="466"/>
      <c r="V140" s="466"/>
      <c r="W140" s="421"/>
      <c r="X140" s="421"/>
      <c r="Y140" s="200" t="s">
        <v>240</v>
      </c>
      <c r="Z140" s="200" t="s">
        <v>180</v>
      </c>
      <c r="AA140" s="200" t="s">
        <v>180</v>
      </c>
      <c r="AB140" s="410">
        <f t="shared" si="12"/>
        <v>0</v>
      </c>
      <c r="AC140" s="409" t="str">
        <f t="shared" si="13"/>
        <v/>
      </c>
      <c r="AD140" s="409" t="str">
        <f t="shared" si="14"/>
        <v/>
      </c>
    </row>
    <row r="141" s="408" customFormat="1" spans="1:30">
      <c r="A141" s="428"/>
      <c r="B141" s="421"/>
      <c r="C141" s="439"/>
      <c r="D141" s="421"/>
      <c r="E141" s="421"/>
      <c r="F141" s="430">
        <v>431035.030066667</v>
      </c>
      <c r="G141" s="430"/>
      <c r="H141" s="430">
        <v>444921.666666667</v>
      </c>
      <c r="I141" s="453" t="e">
        <v>#DIV/0!</v>
      </c>
      <c r="J141" s="430"/>
      <c r="K141" s="430"/>
      <c r="L141" s="430"/>
      <c r="M141" s="451"/>
      <c r="N141" s="451">
        <f>SUM(N134:N140)</f>
        <v>0</v>
      </c>
      <c r="O141" s="430"/>
      <c r="P141" s="542"/>
      <c r="Q141" s="429" t="s">
        <v>180</v>
      </c>
      <c r="R141" s="421" t="s">
        <v>180</v>
      </c>
      <c r="S141" s="473" t="s">
        <v>180</v>
      </c>
      <c r="T141" s="473" t="s">
        <v>180</v>
      </c>
      <c r="U141" s="466"/>
      <c r="V141" s="466"/>
      <c r="W141" s="421"/>
      <c r="X141" s="421"/>
      <c r="Y141" s="200" t="s">
        <v>240</v>
      </c>
      <c r="Z141" s="200" t="s">
        <v>180</v>
      </c>
      <c r="AA141" s="200" t="s">
        <v>180</v>
      </c>
      <c r="AB141" s="410">
        <f t="shared" si="12"/>
        <v>0</v>
      </c>
      <c r="AC141" s="409" t="str">
        <f t="shared" si="13"/>
        <v/>
      </c>
      <c r="AD141" s="409" t="str">
        <f t="shared" si="14"/>
        <v/>
      </c>
    </row>
    <row r="142" s="408" customFormat="1" spans="1:30">
      <c r="A142" s="428"/>
      <c r="B142" s="421"/>
      <c r="C142" s="439"/>
      <c r="D142" s="421"/>
      <c r="E142" s="430"/>
      <c r="F142" s="430"/>
      <c r="G142" s="430"/>
      <c r="H142" s="430"/>
      <c r="I142" s="453"/>
      <c r="J142" s="430"/>
      <c r="K142" s="430"/>
      <c r="L142" s="430"/>
      <c r="M142" s="451"/>
      <c r="N142" s="459"/>
      <c r="O142" s="430"/>
      <c r="P142" s="542"/>
      <c r="Q142" s="429"/>
      <c r="R142" s="421" t="s">
        <v>180</v>
      </c>
      <c r="S142" s="473" t="s">
        <v>180</v>
      </c>
      <c r="T142" s="473" t="s">
        <v>180</v>
      </c>
      <c r="U142" s="466"/>
      <c r="V142" s="466"/>
      <c r="W142" s="421"/>
      <c r="X142" s="421"/>
      <c r="Y142" s="200" t="s">
        <v>240</v>
      </c>
      <c r="Z142" s="200" t="s">
        <v>180</v>
      </c>
      <c r="AA142" s="200" t="s">
        <v>180</v>
      </c>
      <c r="AB142" s="410">
        <f t="shared" si="12"/>
        <v>0</v>
      </c>
      <c r="AC142" s="409" t="str">
        <f t="shared" si="13"/>
        <v/>
      </c>
      <c r="AD142" s="409" t="str">
        <f t="shared" si="14"/>
        <v/>
      </c>
    </row>
    <row r="143" s="408" customFormat="1" ht="17.4" spans="1:30">
      <c r="A143" s="418" t="s">
        <v>177</v>
      </c>
      <c r="B143" s="419"/>
      <c r="C143" s="420"/>
      <c r="D143" s="421"/>
      <c r="E143" s="422" t="s">
        <v>202</v>
      </c>
      <c r="F143" s="422"/>
      <c r="G143" s="422" t="s">
        <v>213</v>
      </c>
      <c r="H143" s="422"/>
      <c r="I143" s="422"/>
      <c r="J143" s="422"/>
      <c r="K143" s="422"/>
      <c r="L143" s="422"/>
      <c r="M143" s="443"/>
      <c r="N143" s="444"/>
      <c r="O143" s="422"/>
      <c r="P143" s="542"/>
      <c r="Q143" s="465"/>
      <c r="R143" s="424"/>
      <c r="S143" s="473" t="s">
        <v>180</v>
      </c>
      <c r="T143" s="473" t="s">
        <v>180</v>
      </c>
      <c r="U143" s="467"/>
      <c r="V143" s="467"/>
      <c r="W143" s="467"/>
      <c r="X143" s="467"/>
      <c r="Y143" s="200" t="s">
        <v>240</v>
      </c>
      <c r="Z143" s="200" t="s">
        <v>180</v>
      </c>
      <c r="AA143" s="200" t="s">
        <v>180</v>
      </c>
      <c r="AB143" s="410">
        <f t="shared" si="12"/>
        <v>0</v>
      </c>
      <c r="AC143" s="409" t="str">
        <f t="shared" si="13"/>
        <v/>
      </c>
      <c r="AD143" s="409" t="str">
        <f t="shared" si="14"/>
        <v/>
      </c>
    </row>
    <row r="144" s="409" customFormat="1" ht="46.8" spans="1:30">
      <c r="A144" s="423" t="s">
        <v>206</v>
      </c>
      <c r="B144" s="424" t="s">
        <v>207</v>
      </c>
      <c r="C144" s="425" t="s">
        <v>208</v>
      </c>
      <c r="D144" s="424" t="s">
        <v>209</v>
      </c>
      <c r="E144" s="426" t="s">
        <v>210</v>
      </c>
      <c r="F144" s="427" t="s">
        <v>385</v>
      </c>
      <c r="G144" s="427">
        <v>93920.4166666667</v>
      </c>
      <c r="H144" s="427" t="s">
        <v>213</v>
      </c>
      <c r="I144" s="427" t="s">
        <v>386</v>
      </c>
      <c r="J144" s="446" t="s">
        <v>216</v>
      </c>
      <c r="K144" s="446" t="s">
        <v>217</v>
      </c>
      <c r="L144" s="446" t="s">
        <v>387</v>
      </c>
      <c r="M144" s="447" t="s">
        <v>218</v>
      </c>
      <c r="N144" s="448" t="s">
        <v>219</v>
      </c>
      <c r="O144" s="449" t="s">
        <v>220</v>
      </c>
      <c r="P144" s="543" t="s">
        <v>221</v>
      </c>
      <c r="Q144" s="469" t="s">
        <v>222</v>
      </c>
      <c r="R144" s="426" t="s">
        <v>223</v>
      </c>
      <c r="S144" s="470" t="s">
        <v>224</v>
      </c>
      <c r="T144" s="470" t="s">
        <v>205</v>
      </c>
      <c r="U144" s="467" t="s">
        <v>225</v>
      </c>
      <c r="V144" s="470" t="s">
        <v>226</v>
      </c>
      <c r="W144" s="467"/>
      <c r="X144" s="467"/>
      <c r="Y144" s="200" t="s">
        <v>207</v>
      </c>
      <c r="Z144" s="200" t="s">
        <v>180</v>
      </c>
      <c r="AA144" s="200" t="s">
        <v>180</v>
      </c>
      <c r="AB144" s="410">
        <f t="shared" si="12"/>
        <v>1</v>
      </c>
      <c r="AC144" s="409" t="str">
        <f t="shared" si="13"/>
        <v>Forum Link</v>
      </c>
      <c r="AD144" s="409" t="str">
        <f t="shared" si="14"/>
        <v>Domains</v>
      </c>
    </row>
    <row r="145" s="410" customFormat="1" ht="17.4" spans="1:30">
      <c r="A145" s="432" t="s">
        <v>227</v>
      </c>
      <c r="B145" s="432" t="s">
        <v>178</v>
      </c>
      <c r="C145" s="434" t="str">
        <f>VLOOKUP(B145,正厂竞争者数据汇总!D:H,2,FALSE)</f>
        <v>原厂目录</v>
      </c>
      <c r="D145" s="435" t="str">
        <f>VLOOKUP(B145,正厂竞争者数据汇总!D:H,3,FALSE)</f>
        <v>CA</v>
      </c>
      <c r="E145" s="436">
        <f>VLOOKUP(B145,正厂竞争者数据汇总!D:H,4,FALSE)</f>
        <v>0</v>
      </c>
      <c r="F145" s="436">
        <v>116627.333333333</v>
      </c>
      <c r="G145" s="436">
        <v>19160.4166666667</v>
      </c>
      <c r="H145" s="436">
        <v>93560.5000000002</v>
      </c>
      <c r="I145" s="454">
        <v>5.08688920300095</v>
      </c>
      <c r="J145" s="457">
        <v>0.678819593089211</v>
      </c>
      <c r="K145" s="457">
        <v>0.63754230791378</v>
      </c>
      <c r="L145" s="457">
        <v>0.562345717937072</v>
      </c>
      <c r="M145" s="456" t="e">
        <f>J145-#REF!</f>
        <v>#REF!</v>
      </c>
      <c r="N145" s="457" t="str">
        <f>IFERROR(O145*0.5/#REF!,"")</f>
        <v/>
      </c>
      <c r="O145" s="436" t="s">
        <v>180</v>
      </c>
      <c r="P145" s="542">
        <f t="array" ref="P145">INDEX(正厂竞争者数据汇总!I:I,MATCH($A$143&amp;B145,正厂竞争者数据汇总!A:A&amp;正厂竞争者数据汇总!D:D,0))</f>
        <v>0</v>
      </c>
      <c r="Q145" s="434" t="s">
        <v>324</v>
      </c>
      <c r="R145" s="435" t="s">
        <v>229</v>
      </c>
      <c r="S145" s="476">
        <v>24455</v>
      </c>
      <c r="T145" s="476">
        <v>5002</v>
      </c>
      <c r="U145" s="477"/>
      <c r="V145" s="477"/>
      <c r="W145" s="435"/>
      <c r="X145" s="435"/>
      <c r="Y145" s="200" t="s">
        <v>178</v>
      </c>
      <c r="Z145" s="200">
        <v>20931</v>
      </c>
      <c r="AA145" s="200">
        <v>4210</v>
      </c>
      <c r="AB145" s="410">
        <f t="shared" si="12"/>
        <v>1</v>
      </c>
      <c r="AC145" s="409">
        <f t="shared" si="13"/>
        <v>20931</v>
      </c>
      <c r="AD145" s="409">
        <f t="shared" si="14"/>
        <v>4210</v>
      </c>
    </row>
    <row r="146" s="408" customFormat="1" ht="46.8" spans="1:30">
      <c r="A146" s="428" t="s">
        <v>230</v>
      </c>
      <c r="B146" s="421" t="s">
        <v>327</v>
      </c>
      <c r="C146" s="429" t="str">
        <f>VLOOKUP(B146,正厂竞争者数据汇总!D:H,2,FALSE)</f>
        <v>Motor目录</v>
      </c>
      <c r="D146" s="421" t="str">
        <f>VLOOKUP(B146,正厂竞争者数据汇总!D:H,3,FALSE)</f>
        <v>-</v>
      </c>
      <c r="E146" s="430"/>
      <c r="F146" s="430">
        <v>21367.8666666667</v>
      </c>
      <c r="G146" s="430"/>
      <c r="H146" s="430"/>
      <c r="I146" s="450"/>
      <c r="J146" s="451">
        <v>0.124369872321393</v>
      </c>
      <c r="K146" s="451">
        <v>0.13095255139491</v>
      </c>
      <c r="L146" s="451">
        <v>0.160190417077723</v>
      </c>
      <c r="M146" s="452"/>
      <c r="N146" s="451"/>
      <c r="O146" s="430"/>
      <c r="P146" s="542" t="str">
        <f t="array" ref="P146">INDEX(正厂竞争者数据汇总!I:I,MATCH($A$143&amp;B146,正厂竞争者数据汇总!A:A&amp;正厂竞争者数据汇总!D:D,0))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46" s="429"/>
      <c r="R146" s="421"/>
      <c r="S146" s="472">
        <v>136</v>
      </c>
      <c r="T146" s="472">
        <v>46</v>
      </c>
      <c r="U146" s="466"/>
      <c r="V146" s="466"/>
      <c r="W146" s="466"/>
      <c r="X146" s="466"/>
      <c r="Y146" s="200" t="s">
        <v>327</v>
      </c>
      <c r="Z146" s="200">
        <v>248</v>
      </c>
      <c r="AA146" s="200">
        <v>26</v>
      </c>
      <c r="AB146" s="410">
        <f t="shared" si="12"/>
        <v>1</v>
      </c>
      <c r="AC146" s="409">
        <f t="shared" si="13"/>
        <v>248</v>
      </c>
      <c r="AD146" s="409">
        <f t="shared" si="14"/>
        <v>26</v>
      </c>
    </row>
    <row r="147" s="408" customFormat="1" spans="1:30">
      <c r="A147" s="428" t="s">
        <v>325</v>
      </c>
      <c r="B147" s="421" t="s">
        <v>326</v>
      </c>
      <c r="C147" s="429" t="str">
        <f>VLOOKUP(B147,正厂竞争者数据汇总!D:H,2,FALSE)</f>
        <v>原厂目录</v>
      </c>
      <c r="D147" s="421" t="str">
        <f>VLOOKUP(B147,正厂竞争者数据汇总!D:H,3,FALSE)</f>
        <v>IL</v>
      </c>
      <c r="E147" s="430"/>
      <c r="F147" s="430">
        <v>13479.3389666667</v>
      </c>
      <c r="G147" s="430"/>
      <c r="H147" s="430"/>
      <c r="I147" s="450"/>
      <c r="J147" s="451">
        <v>0.0784553597424068</v>
      </c>
      <c r="K147" s="451">
        <v>0.0847930405359059</v>
      </c>
      <c r="L147" s="451">
        <v>0.133874163789112</v>
      </c>
      <c r="M147" s="452"/>
      <c r="N147" s="451"/>
      <c r="O147" s="430"/>
      <c r="P147" s="542">
        <f t="array" ref="P147">INDEX(正厂竞争者数据汇总!I:I,MATCH($A$143&amp;B147,正厂竞争者数据汇总!A:A&amp;正厂竞争者数据汇总!D:D,0))</f>
        <v>0</v>
      </c>
      <c r="Q147" s="429"/>
      <c r="R147" s="421"/>
      <c r="S147" s="472">
        <v>572</v>
      </c>
      <c r="T147" s="472">
        <v>49</v>
      </c>
      <c r="U147" s="466"/>
      <c r="V147" s="466"/>
      <c r="W147" s="466"/>
      <c r="X147" s="466"/>
      <c r="Y147" s="200" t="s">
        <v>326</v>
      </c>
      <c r="Z147" s="200">
        <v>624</v>
      </c>
      <c r="AA147" s="200">
        <v>78</v>
      </c>
      <c r="AB147" s="410">
        <f t="shared" si="12"/>
        <v>1</v>
      </c>
      <c r="AC147" s="409">
        <f t="shared" si="13"/>
        <v>624</v>
      </c>
      <c r="AD147" s="409">
        <f t="shared" si="14"/>
        <v>78</v>
      </c>
    </row>
    <row r="148" s="408" customFormat="1" spans="1:30">
      <c r="A148" s="428" t="s">
        <v>230</v>
      </c>
      <c r="B148" s="421" t="s">
        <v>328</v>
      </c>
      <c r="C148" s="429" t="str">
        <f>VLOOKUP(B148,正厂竞争者数据汇总!D:H,2,FALSE)</f>
        <v>Motor目录</v>
      </c>
      <c r="D148" s="421" t="str">
        <f>VLOOKUP(B148,正厂竞争者数据汇总!D:H,3,FALSE)</f>
        <v>AZ</v>
      </c>
      <c r="E148" s="430"/>
      <c r="F148" s="430">
        <v>9832.83333333333</v>
      </c>
      <c r="G148" s="430"/>
      <c r="H148" s="430"/>
      <c r="I148" s="450"/>
      <c r="J148" s="451">
        <v>0.0572311801314218</v>
      </c>
      <c r="K148" s="451">
        <v>0.0530236320790196</v>
      </c>
      <c r="L148" s="451">
        <v>0.0788464934495606</v>
      </c>
      <c r="M148" s="452"/>
      <c r="N148" s="451"/>
      <c r="O148" s="430"/>
      <c r="P148" s="542" t="str">
        <f t="array" ref="P148">INDEX(正厂竞争者数据汇总!I:I,MATCH($A$143&amp;B148,正厂竞争者数据汇总!A:A&amp;正厂竞争者数据汇总!D:D,0))</f>
        <v>2022年1月 新加入 MarketingShare</v>
      </c>
      <c r="Q148" s="429"/>
      <c r="R148" s="421"/>
      <c r="S148" s="472">
        <v>334</v>
      </c>
      <c r="T148" s="472">
        <v>75</v>
      </c>
      <c r="U148" s="466"/>
      <c r="V148" s="466"/>
      <c r="W148" s="466"/>
      <c r="X148" s="466"/>
      <c r="Y148" s="200" t="s">
        <v>328</v>
      </c>
      <c r="Z148" s="200">
        <v>327</v>
      </c>
      <c r="AA148" s="200">
        <v>78</v>
      </c>
      <c r="AB148" s="410">
        <f t="shared" si="12"/>
        <v>1</v>
      </c>
      <c r="AC148" s="409">
        <f t="shared" si="13"/>
        <v>327</v>
      </c>
      <c r="AD148" s="409">
        <f t="shared" si="14"/>
        <v>78</v>
      </c>
    </row>
    <row r="149" s="408" customFormat="1" spans="1:30">
      <c r="A149" s="428" t="s">
        <v>230</v>
      </c>
      <c r="B149" s="421" t="s">
        <v>329</v>
      </c>
      <c r="C149" s="429" t="str">
        <f>VLOOKUP(B149,正厂竞争者数据汇总!D:H,2,FALSE)</f>
        <v>Motor目录</v>
      </c>
      <c r="D149" s="421" t="str">
        <f>VLOOKUP(B149,正厂竞争者数据汇总!D:H,3,FALSE)</f>
        <v>AZ</v>
      </c>
      <c r="E149" s="430"/>
      <c r="F149" s="430">
        <v>10501.6540166667</v>
      </c>
      <c r="G149" s="430"/>
      <c r="H149" s="430"/>
      <c r="I149" s="450"/>
      <c r="J149" s="451">
        <v>0.0611239947155674</v>
      </c>
      <c r="K149" s="451">
        <v>0.0484666956284748</v>
      </c>
      <c r="L149" s="451">
        <v>0.0464021093009376</v>
      </c>
      <c r="M149" s="452"/>
      <c r="N149" s="451"/>
      <c r="O149" s="430"/>
      <c r="P149" s="542">
        <f t="array" ref="P149">INDEX(正厂竞争者数据汇总!I:I,MATCH($A$143&amp;B149,正厂竞争者数据汇总!A:A&amp;正厂竞争者数据汇总!D:D,0))</f>
        <v>0</v>
      </c>
      <c r="Q149" s="429"/>
      <c r="R149" s="421"/>
      <c r="S149" s="472">
        <v>672</v>
      </c>
      <c r="T149" s="472">
        <v>114</v>
      </c>
      <c r="U149" s="466"/>
      <c r="V149" s="466"/>
      <c r="W149" s="466"/>
      <c r="X149" s="466"/>
      <c r="Y149" s="200" t="s">
        <v>329</v>
      </c>
      <c r="Z149" s="200">
        <v>807</v>
      </c>
      <c r="AA149" s="200">
        <v>152</v>
      </c>
      <c r="AB149" s="410">
        <f t="shared" si="12"/>
        <v>1</v>
      </c>
      <c r="AC149" s="409">
        <f t="shared" si="13"/>
        <v>807</v>
      </c>
      <c r="AD149" s="409">
        <f t="shared" si="14"/>
        <v>152</v>
      </c>
    </row>
    <row r="150" s="408" customFormat="1" spans="1:30">
      <c r="A150" s="428"/>
      <c r="B150" s="431"/>
      <c r="C150" s="429"/>
      <c r="D150" s="421"/>
      <c r="E150" s="430"/>
      <c r="F150" s="430"/>
      <c r="G150" s="430">
        <v>161698.333333333</v>
      </c>
      <c r="H150" s="430"/>
      <c r="I150" s="453"/>
      <c r="J150" s="451"/>
      <c r="K150" s="451"/>
      <c r="L150" s="451"/>
      <c r="M150" s="451"/>
      <c r="N150" s="451"/>
      <c r="O150" s="430"/>
      <c r="P150" s="542"/>
      <c r="Q150" s="429"/>
      <c r="R150" s="421"/>
      <c r="S150" s="473" t="s">
        <v>180</v>
      </c>
      <c r="T150" s="473" t="s">
        <v>180</v>
      </c>
      <c r="U150" s="466"/>
      <c r="V150" s="466"/>
      <c r="W150" s="421"/>
      <c r="X150" s="421"/>
      <c r="Y150" s="200" t="s">
        <v>240</v>
      </c>
      <c r="Z150" s="200" t="s">
        <v>180</v>
      </c>
      <c r="AA150" s="200" t="s">
        <v>180</v>
      </c>
      <c r="AB150" s="410">
        <f t="shared" si="12"/>
        <v>0</v>
      </c>
      <c r="AC150" s="409" t="str">
        <f t="shared" si="13"/>
        <v/>
      </c>
      <c r="AD150" s="409" t="str">
        <f t="shared" si="14"/>
        <v/>
      </c>
    </row>
    <row r="151" s="408" customFormat="1" spans="1:30">
      <c r="A151" s="428"/>
      <c r="B151" s="421"/>
      <c r="C151" s="439"/>
      <c r="D151" s="421"/>
      <c r="E151" s="430"/>
      <c r="F151" s="430">
        <v>171809.026316666</v>
      </c>
      <c r="G151" s="430"/>
      <c r="H151" s="430">
        <v>167907.166666667</v>
      </c>
      <c r="I151" s="453" t="e">
        <v>#DIV/0!</v>
      </c>
      <c r="J151" s="430"/>
      <c r="K151" s="430"/>
      <c r="L151" s="430"/>
      <c r="M151" s="451"/>
      <c r="N151" s="451">
        <f>SUM(N145:N146)</f>
        <v>0</v>
      </c>
      <c r="O151" s="430"/>
      <c r="P151" s="542"/>
      <c r="Q151" s="493"/>
      <c r="R151" s="421"/>
      <c r="S151" s="473" t="s">
        <v>180</v>
      </c>
      <c r="T151" s="473" t="s">
        <v>180</v>
      </c>
      <c r="U151" s="466"/>
      <c r="V151" s="466"/>
      <c r="W151" s="421"/>
      <c r="X151" s="421"/>
      <c r="Y151" s="200" t="s">
        <v>240</v>
      </c>
      <c r="Z151" s="200" t="s">
        <v>180</v>
      </c>
      <c r="AA151" s="200" t="s">
        <v>180</v>
      </c>
      <c r="AB151" s="410">
        <f t="shared" si="12"/>
        <v>0</v>
      </c>
      <c r="AC151" s="409" t="str">
        <f t="shared" si="13"/>
        <v/>
      </c>
      <c r="AD151" s="409" t="str">
        <f t="shared" si="14"/>
        <v/>
      </c>
    </row>
    <row r="152" s="408" customFormat="1" spans="1:30">
      <c r="A152" s="428"/>
      <c r="B152" s="421"/>
      <c r="C152" s="439"/>
      <c r="D152" s="421"/>
      <c r="E152" s="430"/>
      <c r="F152" s="430"/>
      <c r="G152" s="430"/>
      <c r="H152" s="430"/>
      <c r="I152" s="453"/>
      <c r="J152" s="430"/>
      <c r="K152" s="430"/>
      <c r="L152" s="430"/>
      <c r="M152" s="451"/>
      <c r="N152" s="451"/>
      <c r="O152" s="430"/>
      <c r="P152" s="542"/>
      <c r="Q152" s="493"/>
      <c r="R152" s="421"/>
      <c r="S152" s="473" t="s">
        <v>180</v>
      </c>
      <c r="T152" s="473" t="s">
        <v>180</v>
      </c>
      <c r="U152" s="466"/>
      <c r="V152" s="466"/>
      <c r="W152" s="421"/>
      <c r="X152" s="421"/>
      <c r="Y152" s="200" t="s">
        <v>240</v>
      </c>
      <c r="Z152" s="200" t="s">
        <v>180</v>
      </c>
      <c r="AA152" s="200" t="s">
        <v>180</v>
      </c>
      <c r="AB152" s="410">
        <f t="shared" si="12"/>
        <v>0</v>
      </c>
      <c r="AC152" s="409" t="str">
        <f t="shared" si="13"/>
        <v/>
      </c>
      <c r="AD152" s="409" t="str">
        <f t="shared" si="14"/>
        <v/>
      </c>
    </row>
    <row r="153" s="408" customFormat="1" ht="17.4" spans="1:30">
      <c r="A153" s="418" t="s">
        <v>185</v>
      </c>
      <c r="B153" s="419"/>
      <c r="C153" s="420"/>
      <c r="D153" s="421"/>
      <c r="E153" s="422" t="s">
        <v>202</v>
      </c>
      <c r="F153" s="422"/>
      <c r="G153" s="422" t="s">
        <v>213</v>
      </c>
      <c r="H153" s="422"/>
      <c r="I153" s="422"/>
      <c r="J153" s="422"/>
      <c r="K153" s="422"/>
      <c r="L153" s="422"/>
      <c r="M153" s="443"/>
      <c r="N153" s="444"/>
      <c r="O153" s="422"/>
      <c r="P153" s="542"/>
      <c r="Q153" s="465"/>
      <c r="R153" s="424"/>
      <c r="S153" s="473" t="s">
        <v>180</v>
      </c>
      <c r="T153" s="473" t="s">
        <v>180</v>
      </c>
      <c r="U153" s="467"/>
      <c r="V153" s="467"/>
      <c r="W153" s="467"/>
      <c r="X153" s="467"/>
      <c r="Y153" s="200" t="s">
        <v>240</v>
      </c>
      <c r="Z153" s="200" t="s">
        <v>180</v>
      </c>
      <c r="AA153" s="200" t="s">
        <v>180</v>
      </c>
      <c r="AB153" s="410">
        <f t="shared" si="12"/>
        <v>0</v>
      </c>
      <c r="AC153" s="409" t="str">
        <f t="shared" si="13"/>
        <v/>
      </c>
      <c r="AD153" s="409" t="str">
        <f t="shared" si="14"/>
        <v/>
      </c>
    </row>
    <row r="154" s="409" customFormat="1" ht="46.8" spans="1:30">
      <c r="A154" s="423" t="s">
        <v>206</v>
      </c>
      <c r="B154" s="424" t="s">
        <v>207</v>
      </c>
      <c r="C154" s="425" t="s">
        <v>208</v>
      </c>
      <c r="D154" s="424" t="s">
        <v>209</v>
      </c>
      <c r="E154" s="426" t="s">
        <v>210</v>
      </c>
      <c r="F154" s="427" t="s">
        <v>385</v>
      </c>
      <c r="G154" s="427">
        <v>116448.583333333</v>
      </c>
      <c r="H154" s="427" t="s">
        <v>213</v>
      </c>
      <c r="I154" s="427" t="s">
        <v>386</v>
      </c>
      <c r="J154" s="446" t="s">
        <v>216</v>
      </c>
      <c r="K154" s="446" t="s">
        <v>217</v>
      </c>
      <c r="L154" s="446" t="s">
        <v>387</v>
      </c>
      <c r="M154" s="447" t="s">
        <v>218</v>
      </c>
      <c r="N154" s="448" t="s">
        <v>219</v>
      </c>
      <c r="O154" s="449" t="s">
        <v>220</v>
      </c>
      <c r="P154" s="543" t="s">
        <v>221</v>
      </c>
      <c r="Q154" s="469" t="s">
        <v>222</v>
      </c>
      <c r="R154" s="426" t="s">
        <v>223</v>
      </c>
      <c r="S154" s="470" t="s">
        <v>224</v>
      </c>
      <c r="T154" s="470" t="s">
        <v>205</v>
      </c>
      <c r="U154" s="467" t="s">
        <v>225</v>
      </c>
      <c r="V154" s="470" t="s">
        <v>226</v>
      </c>
      <c r="W154" s="467"/>
      <c r="X154" s="467"/>
      <c r="Y154" s="200" t="s">
        <v>207</v>
      </c>
      <c r="Z154" s="200" t="s">
        <v>180</v>
      </c>
      <c r="AA154" s="200" t="s">
        <v>180</v>
      </c>
      <c r="AB154" s="410">
        <f t="shared" si="12"/>
        <v>1</v>
      </c>
      <c r="AC154" s="409" t="str">
        <f t="shared" si="13"/>
        <v>Forum Link</v>
      </c>
      <c r="AD154" s="409" t="str">
        <f t="shared" si="14"/>
        <v>Domains</v>
      </c>
    </row>
    <row r="155" s="408" customFormat="1" spans="1:30">
      <c r="A155" s="428" t="s">
        <v>230</v>
      </c>
      <c r="B155" s="438" t="s">
        <v>330</v>
      </c>
      <c r="C155" s="429" t="str">
        <f>VLOOKUP(B155,正厂竞争者数据汇总!D:H,2,FALSE)</f>
        <v>Motor目录</v>
      </c>
      <c r="D155" s="421" t="str">
        <f>VLOOKUP(B155,正厂竞争者数据汇总!D:H,3,FALSE)</f>
        <v>NM</v>
      </c>
      <c r="E155" s="430"/>
      <c r="F155" s="430">
        <v>124163.0666</v>
      </c>
      <c r="G155" s="430"/>
      <c r="H155" s="430"/>
      <c r="I155" s="453"/>
      <c r="J155" s="451">
        <v>0.238775308635444</v>
      </c>
      <c r="K155" s="451">
        <v>0.191540894208241</v>
      </c>
      <c r="L155" s="451">
        <v>0.192337544606226</v>
      </c>
      <c r="M155" s="451"/>
      <c r="N155" s="459"/>
      <c r="O155" s="430"/>
      <c r="P155" s="542">
        <f>VLOOKUP(B155,正厂竞争者数据汇总!D:M,6,FALSE)</f>
        <v>0</v>
      </c>
      <c r="Q155" s="429"/>
      <c r="R155" s="421"/>
      <c r="S155" s="473">
        <v>3815</v>
      </c>
      <c r="T155" s="473">
        <v>412</v>
      </c>
      <c r="U155" s="466"/>
      <c r="V155" s="466"/>
      <c r="W155" s="421"/>
      <c r="X155" s="421"/>
      <c r="Y155" s="200" t="s">
        <v>330</v>
      </c>
      <c r="Z155" s="200">
        <v>4008</v>
      </c>
      <c r="AA155" s="200">
        <v>431</v>
      </c>
      <c r="AB155" s="410">
        <f t="shared" si="12"/>
        <v>1</v>
      </c>
      <c r="AC155" s="409">
        <f t="shared" si="13"/>
        <v>4008</v>
      </c>
      <c r="AD155" s="409">
        <f t="shared" si="14"/>
        <v>431</v>
      </c>
    </row>
    <row r="156" s="408" customFormat="1" spans="1:30">
      <c r="A156" s="428" t="s">
        <v>243</v>
      </c>
      <c r="B156" s="438" t="s">
        <v>331</v>
      </c>
      <c r="C156" s="429" t="str">
        <f>VLOOKUP(B156,正厂竞争者数据汇总!D:H,2,FALSE)</f>
        <v>旧年份原厂、新年份Motor</v>
      </c>
      <c r="D156" s="421" t="str">
        <f>VLOOKUP(B156,正厂竞争者数据汇总!D:H,3,FALSE)</f>
        <v>GA</v>
      </c>
      <c r="E156" s="430" t="str">
        <f>VLOOKUP(B154,正厂竞争者数据汇总!D:H,4,FALSE)</f>
        <v>Alexa Traffic Rank</v>
      </c>
      <c r="F156" s="430">
        <v>86725.7283333333</v>
      </c>
      <c r="G156" s="430">
        <v>148204.583333333</v>
      </c>
      <c r="H156" s="430">
        <v>93790.0833333333</v>
      </c>
      <c r="I156" s="453">
        <v>-0.414824249137593</v>
      </c>
      <c r="J156" s="451">
        <v>0.166780372911838</v>
      </c>
      <c r="K156" s="451">
        <v>0.172851781307616</v>
      </c>
      <c r="L156" s="451">
        <v>0.175096059303969</v>
      </c>
      <c r="M156" s="451" t="e">
        <f>J156-#REF!</f>
        <v>#REF!</v>
      </c>
      <c r="N156" s="459"/>
      <c r="O156" s="430"/>
      <c r="P156" s="542">
        <f>VLOOKUP(B156,正厂竞争者数据汇总!D:M,6,FALSE)</f>
        <v>0</v>
      </c>
      <c r="Q156" s="429" t="s">
        <v>180</v>
      </c>
      <c r="R156" s="421" t="s">
        <v>180</v>
      </c>
      <c r="S156" s="473">
        <v>8490</v>
      </c>
      <c r="T156" s="473">
        <v>1680</v>
      </c>
      <c r="U156" s="466"/>
      <c r="V156" s="466"/>
      <c r="W156" s="421"/>
      <c r="X156" s="421"/>
      <c r="Y156" s="200" t="s">
        <v>331</v>
      </c>
      <c r="Z156" s="200">
        <v>8715</v>
      </c>
      <c r="AA156" s="200">
        <v>1502</v>
      </c>
      <c r="AB156" s="410">
        <f t="shared" si="12"/>
        <v>1</v>
      </c>
      <c r="AC156" s="409">
        <f t="shared" si="13"/>
        <v>8715</v>
      </c>
      <c r="AD156" s="409">
        <f t="shared" si="14"/>
        <v>1502</v>
      </c>
    </row>
    <row r="157" s="408" customFormat="1" spans="1:30">
      <c r="A157" s="428" t="s">
        <v>230</v>
      </c>
      <c r="B157" s="438" t="s">
        <v>334</v>
      </c>
      <c r="C157" s="429" t="str">
        <f>VLOOKUP(B157,正厂竞争者数据汇总!D:H,2,FALSE)</f>
        <v>Motor目录</v>
      </c>
      <c r="D157" s="421" t="str">
        <f>VLOOKUP(B157,正厂竞争者数据汇总!D:H,3,FALSE)</f>
        <v>WA</v>
      </c>
      <c r="E157" s="430"/>
      <c r="F157" s="430">
        <v>68458.9217333333</v>
      </c>
      <c r="G157" s="430"/>
      <c r="H157" s="430"/>
      <c r="I157" s="453"/>
      <c r="J157" s="451">
        <v>0.131651872117392</v>
      </c>
      <c r="K157" s="451">
        <v>0.125331448151862</v>
      </c>
      <c r="L157" s="451">
        <v>0.134352475195391</v>
      </c>
      <c r="M157" s="451"/>
      <c r="N157" s="459"/>
      <c r="O157" s="430"/>
      <c r="P157" s="542">
        <f>VLOOKUP(B157,正厂竞争者数据汇总!D:M,6,FALSE)</f>
        <v>0</v>
      </c>
      <c r="Q157" s="429"/>
      <c r="R157" s="421"/>
      <c r="S157" s="473">
        <v>3009</v>
      </c>
      <c r="T157" s="473">
        <v>291</v>
      </c>
      <c r="U157" s="466"/>
      <c r="V157" s="466"/>
      <c r="W157" s="421"/>
      <c r="X157" s="421"/>
      <c r="Y157" s="200" t="s">
        <v>334</v>
      </c>
      <c r="Z157" s="200">
        <v>4038</v>
      </c>
      <c r="AA157" s="200">
        <v>370</v>
      </c>
      <c r="AB157" s="410">
        <f t="shared" si="12"/>
        <v>1</v>
      </c>
      <c r="AC157" s="409">
        <f t="shared" si="13"/>
        <v>4038</v>
      </c>
      <c r="AD157" s="409">
        <f t="shared" si="14"/>
        <v>370</v>
      </c>
    </row>
    <row r="158" s="408" customFormat="1" spans="1:30">
      <c r="A158" s="428" t="s">
        <v>332</v>
      </c>
      <c r="B158" s="438" t="s">
        <v>333</v>
      </c>
      <c r="C158" s="429" t="str">
        <f>VLOOKUP(B158,正厂竞争者数据汇总!D:H,2,FALSE)</f>
        <v>Motor目录</v>
      </c>
      <c r="D158" s="421" t="str">
        <f>VLOOKUP(B158,正厂竞争者数据汇总!D:H,3,FALSE)</f>
        <v>TX</v>
      </c>
      <c r="E158" s="430"/>
      <c r="F158" s="430">
        <v>66073.8716666667</v>
      </c>
      <c r="G158" s="430"/>
      <c r="H158" s="430"/>
      <c r="I158" s="453"/>
      <c r="J158" s="451">
        <v>0.127065233905451</v>
      </c>
      <c r="K158" s="451">
        <v>0.108373472587306</v>
      </c>
      <c r="L158" s="451">
        <v>0.11592813092446</v>
      </c>
      <c r="M158" s="451"/>
      <c r="N158" s="459"/>
      <c r="O158" s="430"/>
      <c r="P158" s="542" t="str">
        <f>VLOOKUP(B158,正厂竞争者数据汇总!D:M,6,FALSE)</f>
        <v>2023年9月新增，用区号确定的地址</v>
      </c>
      <c r="Q158" s="429"/>
      <c r="R158" s="421"/>
      <c r="S158" s="473">
        <v>3087</v>
      </c>
      <c r="T158" s="473">
        <v>386</v>
      </c>
      <c r="U158" s="466"/>
      <c r="V158" s="466"/>
      <c r="W158" s="421"/>
      <c r="X158" s="421"/>
      <c r="Y158" s="200" t="s">
        <v>333</v>
      </c>
      <c r="Z158" s="200">
        <v>3846</v>
      </c>
      <c r="AA158" s="200">
        <v>373</v>
      </c>
      <c r="AB158" s="410">
        <f t="shared" si="12"/>
        <v>1</v>
      </c>
      <c r="AC158" s="409">
        <f t="shared" si="13"/>
        <v>3846</v>
      </c>
      <c r="AD158" s="409">
        <f t="shared" si="14"/>
        <v>373</v>
      </c>
    </row>
    <row r="159" s="408" customFormat="1" spans="1:30">
      <c r="A159" s="428" t="s">
        <v>230</v>
      </c>
      <c r="B159" s="438" t="s">
        <v>336</v>
      </c>
      <c r="C159" s="429" t="str">
        <f>VLOOKUP(B159,正厂竞争者数据汇总!D:H,2,FALSE)</f>
        <v>Motor目录</v>
      </c>
      <c r="D159" s="421" t="str">
        <f>VLOOKUP(B159,正厂竞争者数据汇总!D:H,3,FALSE)</f>
        <v>IL</v>
      </c>
      <c r="E159" s="430"/>
      <c r="F159" s="430">
        <v>47161.2376</v>
      </c>
      <c r="G159" s="430"/>
      <c r="H159" s="430"/>
      <c r="I159" s="453"/>
      <c r="J159" s="451">
        <v>0.0906947562744034</v>
      </c>
      <c r="K159" s="451">
        <v>0.102255810277542</v>
      </c>
      <c r="L159" s="451">
        <v>0.109134944975509</v>
      </c>
      <c r="M159" s="451"/>
      <c r="N159" s="459"/>
      <c r="O159" s="430"/>
      <c r="P159" s="542" t="str">
        <f>VLOOKUP(B159,正厂竞争者数据汇总!D:M,6,FALSE)</f>
        <v>2023年9月新增</v>
      </c>
      <c r="Q159" s="429"/>
      <c r="R159" s="421"/>
      <c r="S159" s="473">
        <v>2201</v>
      </c>
      <c r="T159" s="473">
        <v>316</v>
      </c>
      <c r="U159" s="466"/>
      <c r="V159" s="466"/>
      <c r="W159" s="421"/>
      <c r="X159" s="421"/>
      <c r="Y159" s="200" t="s">
        <v>336</v>
      </c>
      <c r="Z159" s="200">
        <v>2320</v>
      </c>
      <c r="AA159" s="200">
        <v>356</v>
      </c>
      <c r="AB159" s="410">
        <f t="shared" si="12"/>
        <v>1</v>
      </c>
      <c r="AC159" s="409">
        <f t="shared" si="13"/>
        <v>2320</v>
      </c>
      <c r="AD159" s="409">
        <f t="shared" si="14"/>
        <v>356</v>
      </c>
    </row>
    <row r="160" s="408" customFormat="1" spans="1:30">
      <c r="A160" s="428" t="s">
        <v>230</v>
      </c>
      <c r="B160" s="438" t="s">
        <v>335</v>
      </c>
      <c r="C160" s="429" t="str">
        <f>VLOOKUP(B160,正厂竞争者数据汇总!D:H,2,FALSE)</f>
        <v>Motor目录</v>
      </c>
      <c r="D160" s="421" t="str">
        <f>VLOOKUP(B160,正厂竞争者数据汇总!D:H,3,FALSE)</f>
        <v>NH</v>
      </c>
      <c r="E160" s="430"/>
      <c r="F160" s="430">
        <v>34938.7966666667</v>
      </c>
      <c r="G160" s="430"/>
      <c r="H160" s="430"/>
      <c r="I160" s="453"/>
      <c r="J160" s="451">
        <v>0.0671900443979077</v>
      </c>
      <c r="K160" s="451">
        <v>0.0840126908122951</v>
      </c>
      <c r="L160" s="451">
        <v>0.102988110533746</v>
      </c>
      <c r="M160" s="451"/>
      <c r="N160" s="459"/>
      <c r="O160" s="430"/>
      <c r="P160" s="542" t="str">
        <f>VLOOKUP(B160,正厂竞争者数据汇总!D:M,6,FALSE)</f>
        <v>2023年9月新增</v>
      </c>
      <c r="Q160" s="429"/>
      <c r="R160" s="421"/>
      <c r="S160" s="473">
        <v>507</v>
      </c>
      <c r="T160" s="473">
        <v>116</v>
      </c>
      <c r="U160" s="466"/>
      <c r="V160" s="466"/>
      <c r="W160" s="421"/>
      <c r="X160" s="421"/>
      <c r="Y160" s="200" t="s">
        <v>335</v>
      </c>
      <c r="Z160" s="200">
        <v>424</v>
      </c>
      <c r="AA160" s="200">
        <v>119</v>
      </c>
      <c r="AB160" s="410">
        <f t="shared" si="12"/>
        <v>1</v>
      </c>
      <c r="AC160" s="409">
        <f t="shared" si="13"/>
        <v>424</v>
      </c>
      <c r="AD160" s="409">
        <f t="shared" si="14"/>
        <v>119</v>
      </c>
    </row>
    <row r="161" s="408" customFormat="1" spans="1:30">
      <c r="A161" s="428" t="s">
        <v>230</v>
      </c>
      <c r="B161" s="438" t="s">
        <v>337</v>
      </c>
      <c r="C161" s="429" t="str">
        <f>VLOOKUP(B161,正厂竞争者数据汇总!D:H,2,FALSE)</f>
        <v>Acc目录</v>
      </c>
      <c r="D161" s="421" t="str">
        <f>VLOOKUP(B161,正厂竞争者数据汇总!D:H,3,FALSE)</f>
        <v>AL</v>
      </c>
      <c r="E161" s="430"/>
      <c r="F161" s="430">
        <v>29568.39125</v>
      </c>
      <c r="G161" s="430"/>
      <c r="H161" s="430"/>
      <c r="I161" s="453"/>
      <c r="J161" s="451">
        <v>0.0568623338638796</v>
      </c>
      <c r="K161" s="451">
        <v>0.0446915905773863</v>
      </c>
      <c r="L161" s="451">
        <v>0.0453876914767106</v>
      </c>
      <c r="M161" s="451"/>
      <c r="N161" s="459"/>
      <c r="O161" s="430"/>
      <c r="P161" s="542" t="str">
        <f>VLOOKUP(B161,正厂竞争者数据汇总!D:M,6,FALSE)</f>
        <v>主营Acc</v>
      </c>
      <c r="Q161" s="429"/>
      <c r="R161" s="421"/>
      <c r="S161" s="473">
        <v>3061</v>
      </c>
      <c r="T161" s="473">
        <v>360</v>
      </c>
      <c r="U161" s="466"/>
      <c r="V161" s="466"/>
      <c r="W161" s="421"/>
      <c r="X161" s="421"/>
      <c r="Y161" s="200" t="s">
        <v>337</v>
      </c>
      <c r="Z161" s="200">
        <v>3235</v>
      </c>
      <c r="AA161" s="200">
        <v>406</v>
      </c>
      <c r="AB161" s="410">
        <f t="shared" si="12"/>
        <v>1</v>
      </c>
      <c r="AC161" s="409">
        <f t="shared" si="13"/>
        <v>3235</v>
      </c>
      <c r="AD161" s="409">
        <f t="shared" si="14"/>
        <v>406</v>
      </c>
    </row>
    <row r="162" s="408" customFormat="1" spans="1:30">
      <c r="A162" s="428" t="s">
        <v>243</v>
      </c>
      <c r="B162" s="258" t="s">
        <v>338</v>
      </c>
      <c r="C162" s="429" t="str">
        <f>VLOOKUP(B162,正厂竞争者数据汇总!D:H,2,FALSE)</f>
        <v>原厂目录</v>
      </c>
      <c r="D162" s="421" t="str">
        <f>VLOOKUP(B162,正厂竞争者数据汇总!D:H,3,FALSE)</f>
        <v>WA</v>
      </c>
      <c r="E162" s="430"/>
      <c r="F162" s="430">
        <v>25040.25</v>
      </c>
      <c r="G162" s="430"/>
      <c r="H162" s="430"/>
      <c r="I162" s="453"/>
      <c r="J162" s="451">
        <v>0.0481543633367274</v>
      </c>
      <c r="K162" s="451">
        <v>0.0696341922516736</v>
      </c>
      <c r="L162" s="451"/>
      <c r="M162" s="451"/>
      <c r="N162" s="459"/>
      <c r="O162" s="430"/>
      <c r="P162" s="542" t="str">
        <f>VLOOKUP(B162,正厂竞争者数据汇总!D:M,6,FALSE)</f>
        <v>2023年9月新增，2024年1月因流量占比大于Brand Traffic 5%，加入MS监控</v>
      </c>
      <c r="Q162" s="429"/>
      <c r="R162" s="421"/>
      <c r="S162" s="473">
        <v>11</v>
      </c>
      <c r="T162" s="473">
        <v>5</v>
      </c>
      <c r="U162" s="466"/>
      <c r="V162" s="466"/>
      <c r="W162" s="421"/>
      <c r="X162" s="421"/>
      <c r="Y162" s="200"/>
      <c r="Z162" s="200"/>
      <c r="AA162" s="200"/>
      <c r="AB162" s="410"/>
      <c r="AC162" s="409"/>
      <c r="AD162" s="409"/>
    </row>
    <row r="163" s="408" customFormat="1" spans="1:30">
      <c r="A163" s="428" t="s">
        <v>243</v>
      </c>
      <c r="B163" s="438" t="s">
        <v>339</v>
      </c>
      <c r="C163" s="429" t="str">
        <f>VLOOKUP(B163,正厂竞争者数据汇总!D:H,2,FALSE)</f>
        <v>Motor目录</v>
      </c>
      <c r="D163" s="421" t="str">
        <f>VLOOKUP(B163,正厂竞争者数据汇总!D:H,3,FALSE)</f>
        <v>TX</v>
      </c>
      <c r="E163" s="430"/>
      <c r="F163" s="430">
        <v>22507.5833333333</v>
      </c>
      <c r="G163" s="430"/>
      <c r="H163" s="430"/>
      <c r="I163" s="453"/>
      <c r="J163" s="451">
        <v>0.0432838468331986</v>
      </c>
      <c r="K163" s="451">
        <v>0.0572658137417136</v>
      </c>
      <c r="L163" s="451">
        <v>0.0752219758215107</v>
      </c>
      <c r="M163" s="451"/>
      <c r="N163" s="459"/>
      <c r="O163" s="430"/>
      <c r="P163" s="542"/>
      <c r="Q163" s="429"/>
      <c r="R163" s="421"/>
      <c r="S163" s="473">
        <v>11123</v>
      </c>
      <c r="T163" s="473">
        <v>95</v>
      </c>
      <c r="U163" s="466"/>
      <c r="V163" s="466"/>
      <c r="W163" s="421"/>
      <c r="X163" s="421"/>
      <c r="Y163" s="200" t="s">
        <v>339</v>
      </c>
      <c r="Z163" s="200">
        <v>11114</v>
      </c>
      <c r="AA163" s="200">
        <v>107</v>
      </c>
      <c r="AB163" s="410">
        <f t="shared" ref="AB163:AB198" si="15">IF(B163=Y163,1,0)</f>
        <v>1</v>
      </c>
      <c r="AC163" s="409">
        <f t="shared" ref="AC163:AC198" si="16">IF(Y163="Competitors","Forum Link",Z163)</f>
        <v>11114</v>
      </c>
      <c r="AD163" s="409">
        <f t="shared" ref="AD163:AD198" si="17">IF(Y163="Competitors","Domains",AA163)</f>
        <v>107</v>
      </c>
    </row>
    <row r="164" s="408" customFormat="1" spans="1:30">
      <c r="A164" s="428" t="s">
        <v>243</v>
      </c>
      <c r="B164" s="438" t="s">
        <v>340</v>
      </c>
      <c r="C164" s="429" t="str">
        <f>VLOOKUP(B164,正厂竞争者数据汇总!D:H,2,FALSE)</f>
        <v>Motor目录</v>
      </c>
      <c r="D164" s="421" t="str">
        <f>VLOOKUP(B164,正厂竞争者数据汇总!D:H,3,FALSE)</f>
        <v>NC</v>
      </c>
      <c r="E164" s="430"/>
      <c r="F164" s="430">
        <v>15361.7596</v>
      </c>
      <c r="G164" s="430"/>
      <c r="H164" s="430"/>
      <c r="I164" s="453"/>
      <c r="J164" s="451">
        <v>0.0295418677237591</v>
      </c>
      <c r="K164" s="451">
        <v>0.0440423060843648</v>
      </c>
      <c r="L164" s="451">
        <v>0.0495530671624771</v>
      </c>
      <c r="M164" s="451"/>
      <c r="N164" s="459"/>
      <c r="O164" s="430"/>
      <c r="P164" s="542"/>
      <c r="Q164" s="429"/>
      <c r="R164" s="421"/>
      <c r="S164" s="473">
        <v>7101</v>
      </c>
      <c r="T164" s="473">
        <v>391</v>
      </c>
      <c r="U164" s="466"/>
      <c r="V164" s="466"/>
      <c r="W164" s="421"/>
      <c r="X164" s="421"/>
      <c r="Y164" s="200" t="s">
        <v>340</v>
      </c>
      <c r="Z164" s="200">
        <v>7335</v>
      </c>
      <c r="AA164" s="200">
        <v>427</v>
      </c>
      <c r="AB164" s="410">
        <f t="shared" si="15"/>
        <v>1</v>
      </c>
      <c r="AC164" s="409">
        <f t="shared" si="16"/>
        <v>7335</v>
      </c>
      <c r="AD164" s="409">
        <f t="shared" si="17"/>
        <v>427</v>
      </c>
    </row>
    <row r="165" s="410" customFormat="1" spans="1:30">
      <c r="A165" s="428"/>
      <c r="B165" s="255"/>
      <c r="C165" s="429"/>
      <c r="D165" s="421"/>
      <c r="E165" s="436"/>
      <c r="F165" s="436"/>
      <c r="G165" s="436"/>
      <c r="H165" s="436"/>
      <c r="I165" s="453"/>
      <c r="J165" s="457"/>
      <c r="K165" s="457"/>
      <c r="L165" s="457"/>
      <c r="M165" s="451"/>
      <c r="N165" s="455"/>
      <c r="O165" s="436"/>
      <c r="P165" s="542"/>
      <c r="Q165" s="500"/>
      <c r="R165" s="501"/>
      <c r="S165" s="473" t="s">
        <v>180</v>
      </c>
      <c r="T165" s="473" t="s">
        <v>180</v>
      </c>
      <c r="U165" s="466"/>
      <c r="V165" s="466"/>
      <c r="W165" s="435"/>
      <c r="X165" s="435"/>
      <c r="Y165" s="200" t="s">
        <v>240</v>
      </c>
      <c r="Z165" s="200" t="s">
        <v>180</v>
      </c>
      <c r="AA165" s="200" t="s">
        <v>180</v>
      </c>
      <c r="AB165" s="410">
        <f t="shared" si="15"/>
        <v>0</v>
      </c>
      <c r="AC165" s="409" t="str">
        <f t="shared" si="16"/>
        <v/>
      </c>
      <c r="AD165" s="409" t="str">
        <f t="shared" si="17"/>
        <v/>
      </c>
    </row>
    <row r="166" s="408" customFormat="1" spans="1:30">
      <c r="A166" s="428"/>
      <c r="B166" s="421"/>
      <c r="C166" s="439"/>
      <c r="D166" s="421"/>
      <c r="E166" s="430"/>
      <c r="F166" s="430">
        <v>519999.606783333</v>
      </c>
      <c r="G166" s="430"/>
      <c r="H166" s="430">
        <v>484652.583333333</v>
      </c>
      <c r="I166" s="453" t="e">
        <v>#DIV/0!</v>
      </c>
      <c r="J166" s="430"/>
      <c r="K166" s="430"/>
      <c r="L166" s="430"/>
      <c r="M166" s="451"/>
      <c r="N166" s="459"/>
      <c r="O166" s="430"/>
      <c r="P166" s="542"/>
      <c r="Q166" s="429"/>
      <c r="R166" s="421"/>
      <c r="S166" s="473" t="s">
        <v>180</v>
      </c>
      <c r="T166" s="473" t="s">
        <v>180</v>
      </c>
      <c r="U166" s="466"/>
      <c r="V166" s="466"/>
      <c r="W166" s="421"/>
      <c r="X166" s="421"/>
      <c r="Y166" s="200" t="s">
        <v>240</v>
      </c>
      <c r="Z166" s="200" t="s">
        <v>180</v>
      </c>
      <c r="AA166" s="200" t="s">
        <v>180</v>
      </c>
      <c r="AB166" s="410">
        <f t="shared" si="15"/>
        <v>0</v>
      </c>
      <c r="AC166" s="409" t="str">
        <f t="shared" si="16"/>
        <v/>
      </c>
      <c r="AD166" s="409" t="str">
        <f t="shared" si="17"/>
        <v/>
      </c>
    </row>
    <row r="167" s="408" customFormat="1" spans="1:30">
      <c r="A167" s="423"/>
      <c r="B167" s="421"/>
      <c r="C167" s="425"/>
      <c r="D167" s="421"/>
      <c r="E167" s="430"/>
      <c r="F167" s="430"/>
      <c r="G167" s="430"/>
      <c r="H167" s="430"/>
      <c r="I167" s="453"/>
      <c r="J167" s="430"/>
      <c r="K167" s="430"/>
      <c r="L167" s="430"/>
      <c r="M167" s="451"/>
      <c r="N167" s="459"/>
      <c r="O167" s="430"/>
      <c r="P167" s="542"/>
      <c r="Q167" s="429"/>
      <c r="R167" s="421"/>
      <c r="S167" s="473" t="s">
        <v>180</v>
      </c>
      <c r="T167" s="473" t="s">
        <v>180</v>
      </c>
      <c r="U167" s="466"/>
      <c r="V167" s="466"/>
      <c r="W167" s="421"/>
      <c r="X167" s="421"/>
      <c r="Y167" s="200" t="s">
        <v>240</v>
      </c>
      <c r="Z167" s="200" t="s">
        <v>180</v>
      </c>
      <c r="AA167" s="200" t="s">
        <v>180</v>
      </c>
      <c r="AB167" s="410">
        <f t="shared" si="15"/>
        <v>0</v>
      </c>
      <c r="AC167" s="409" t="str">
        <f t="shared" si="16"/>
        <v/>
      </c>
      <c r="AD167" s="409" t="str">
        <f t="shared" si="17"/>
        <v/>
      </c>
    </row>
    <row r="168" s="408" customFormat="1" ht="17.4" spans="1:30">
      <c r="A168" s="418" t="s">
        <v>187</v>
      </c>
      <c r="B168" s="419"/>
      <c r="C168" s="420"/>
      <c r="D168" s="421"/>
      <c r="E168" s="422" t="s">
        <v>202</v>
      </c>
      <c r="F168" s="422"/>
      <c r="G168" s="422" t="s">
        <v>213</v>
      </c>
      <c r="H168" s="422"/>
      <c r="I168" s="422"/>
      <c r="J168" s="422"/>
      <c r="K168" s="422"/>
      <c r="L168" s="422"/>
      <c r="M168" s="443"/>
      <c r="N168" s="422"/>
      <c r="O168" s="422"/>
      <c r="P168" s="542"/>
      <c r="Q168" s="465"/>
      <c r="R168" s="424"/>
      <c r="S168" s="473" t="s">
        <v>180</v>
      </c>
      <c r="T168" s="473" t="s">
        <v>180</v>
      </c>
      <c r="U168" s="467"/>
      <c r="V168" s="467"/>
      <c r="W168" s="467"/>
      <c r="X168" s="467"/>
      <c r="Y168" s="200" t="s">
        <v>240</v>
      </c>
      <c r="Z168" s="200" t="s">
        <v>180</v>
      </c>
      <c r="AA168" s="200" t="s">
        <v>180</v>
      </c>
      <c r="AB168" s="410">
        <f t="shared" si="15"/>
        <v>0</v>
      </c>
      <c r="AC168" s="409" t="str">
        <f t="shared" si="16"/>
        <v/>
      </c>
      <c r="AD168" s="409" t="str">
        <f t="shared" si="17"/>
        <v/>
      </c>
    </row>
    <row r="169" s="409" customFormat="1" ht="46.8" spans="1:30">
      <c r="A169" s="423" t="s">
        <v>206</v>
      </c>
      <c r="B169" s="424" t="s">
        <v>207</v>
      </c>
      <c r="C169" s="425" t="s">
        <v>208</v>
      </c>
      <c r="D169" s="424" t="s">
        <v>209</v>
      </c>
      <c r="E169" s="426" t="s">
        <v>210</v>
      </c>
      <c r="F169" s="427" t="s">
        <v>385</v>
      </c>
      <c r="G169" s="427">
        <v>116448.583333333</v>
      </c>
      <c r="H169" s="427" t="s">
        <v>213</v>
      </c>
      <c r="I169" s="427" t="s">
        <v>386</v>
      </c>
      <c r="J169" s="446" t="s">
        <v>216</v>
      </c>
      <c r="K169" s="446" t="s">
        <v>217</v>
      </c>
      <c r="L169" s="446" t="s">
        <v>387</v>
      </c>
      <c r="M169" s="447" t="s">
        <v>218</v>
      </c>
      <c r="N169" s="448" t="s">
        <v>219</v>
      </c>
      <c r="O169" s="449" t="s">
        <v>220</v>
      </c>
      <c r="P169" s="543" t="s">
        <v>221</v>
      </c>
      <c r="Q169" s="469" t="s">
        <v>222</v>
      </c>
      <c r="R169" s="426" t="s">
        <v>223</v>
      </c>
      <c r="S169" s="470" t="s">
        <v>224</v>
      </c>
      <c r="T169" s="470" t="s">
        <v>205</v>
      </c>
      <c r="U169" s="467" t="s">
        <v>225</v>
      </c>
      <c r="V169" s="470" t="s">
        <v>226</v>
      </c>
      <c r="W169" s="467"/>
      <c r="X169" s="467"/>
      <c r="Y169" s="200" t="s">
        <v>207</v>
      </c>
      <c r="Z169" s="200" t="s">
        <v>180</v>
      </c>
      <c r="AA169" s="200" t="s">
        <v>180</v>
      </c>
      <c r="AB169" s="410">
        <f t="shared" si="15"/>
        <v>1</v>
      </c>
      <c r="AC169" s="409" t="str">
        <f t="shared" si="16"/>
        <v>Forum Link</v>
      </c>
      <c r="AD169" s="409" t="str">
        <f t="shared" si="17"/>
        <v>Domains</v>
      </c>
    </row>
    <row r="170" s="408" customFormat="1" spans="1:30">
      <c r="A170" s="428" t="s">
        <v>230</v>
      </c>
      <c r="B170" s="438" t="s">
        <v>341</v>
      </c>
      <c r="C170" s="429" t="str">
        <f>VLOOKUP(B170,正厂竞争者数据汇总!D:H,2,FALSE)</f>
        <v>Motor目录</v>
      </c>
      <c r="D170" s="421" t="str">
        <f>VLOOKUP(B170,正厂竞争者数据汇总!D:H,3,FALSE)</f>
        <v>IL</v>
      </c>
      <c r="E170" s="430">
        <f>VLOOKUP(B170,正厂竞争者数据汇总!D:H,4,FALSE)</f>
        <v>0</v>
      </c>
      <c r="F170" s="430">
        <v>75137.0833333333</v>
      </c>
      <c r="G170" s="430">
        <v>1355.75</v>
      </c>
      <c r="H170" s="430">
        <v>65360.75</v>
      </c>
      <c r="I170" s="453">
        <v>54.4210461614112</v>
      </c>
      <c r="J170" s="451">
        <v>0.289616723610383</v>
      </c>
      <c r="K170" s="451">
        <v>0.285790988982683</v>
      </c>
      <c r="L170" s="451">
        <v>0.263056314259258</v>
      </c>
      <c r="M170" s="451" t="e">
        <f>J170-#REF!</f>
        <v>#REF!</v>
      </c>
      <c r="N170" s="459"/>
      <c r="O170" s="430"/>
      <c r="P170" s="542">
        <f>VLOOKUP(B170,正厂竞争者数据汇总!D:M,6,FALSE)</f>
        <v>0</v>
      </c>
      <c r="Q170" s="429" t="s">
        <v>180</v>
      </c>
      <c r="R170" s="421" t="s">
        <v>180</v>
      </c>
      <c r="S170" s="473">
        <v>1611</v>
      </c>
      <c r="T170" s="473">
        <v>261</v>
      </c>
      <c r="U170" s="466"/>
      <c r="V170" s="466"/>
      <c r="W170" s="421"/>
      <c r="X170" s="421"/>
      <c r="Y170" s="200" t="s">
        <v>341</v>
      </c>
      <c r="Z170" s="200">
        <v>1801</v>
      </c>
      <c r="AA170" s="200">
        <v>292</v>
      </c>
      <c r="AB170" s="410">
        <f t="shared" si="15"/>
        <v>1</v>
      </c>
      <c r="AC170" s="409">
        <f t="shared" si="16"/>
        <v>1801</v>
      </c>
      <c r="AD170" s="409">
        <f t="shared" si="17"/>
        <v>292</v>
      </c>
    </row>
    <row r="171" s="408" customFormat="1" spans="1:30">
      <c r="A171" s="428" t="s">
        <v>230</v>
      </c>
      <c r="B171" s="438" t="s">
        <v>342</v>
      </c>
      <c r="C171" s="429" t="str">
        <f>VLOOKUP(B171,正厂竞争者数据汇总!D:H,2,FALSE)</f>
        <v>Motor目录</v>
      </c>
      <c r="D171" s="421" t="str">
        <f>VLOOKUP(B171,正厂竞争者数据汇总!D:H,3,FALSE)</f>
        <v>NE</v>
      </c>
      <c r="E171" s="430">
        <f>VLOOKUP(B171,正厂竞争者数据汇总!D:H,4,FALSE)</f>
        <v>0</v>
      </c>
      <c r="F171" s="430">
        <v>36051.1136</v>
      </c>
      <c r="G171" s="430">
        <v>1360.75</v>
      </c>
      <c r="H171" s="430">
        <v>65365.75</v>
      </c>
      <c r="I171" s="453">
        <v>25.4935613448466</v>
      </c>
      <c r="J171" s="451">
        <v>0.138959418440797</v>
      </c>
      <c r="K171" s="451">
        <v>0.102461566072636</v>
      </c>
      <c r="L171" s="451">
        <v>0.091752842757544</v>
      </c>
      <c r="M171" s="451"/>
      <c r="N171" s="459"/>
      <c r="O171" s="430"/>
      <c r="P171" s="542" t="str">
        <f>VLOOKUP(B171,正厂竞争者数据汇总!D:M,6,FALSE)</f>
        <v>2023年9月新增</v>
      </c>
      <c r="Q171" s="429"/>
      <c r="R171" s="421"/>
      <c r="S171" s="473">
        <v>977</v>
      </c>
      <c r="T171" s="473">
        <v>238</v>
      </c>
      <c r="U171" s="466"/>
      <c r="V171" s="466"/>
      <c r="W171" s="421"/>
      <c r="X171" s="421"/>
      <c r="Y171" s="200" t="s">
        <v>342</v>
      </c>
      <c r="Z171" s="200">
        <v>1156</v>
      </c>
      <c r="AA171" s="200">
        <v>256</v>
      </c>
      <c r="AB171" s="410">
        <f t="shared" si="15"/>
        <v>1</v>
      </c>
      <c r="AC171" s="409">
        <f t="shared" si="16"/>
        <v>1156</v>
      </c>
      <c r="AD171" s="409">
        <f t="shared" si="17"/>
        <v>256</v>
      </c>
    </row>
    <row r="172" s="408" customFormat="1" spans="1:30">
      <c r="A172" s="428" t="s">
        <v>230</v>
      </c>
      <c r="B172" s="438" t="s">
        <v>343</v>
      </c>
      <c r="C172" s="429" t="str">
        <f>VLOOKUP(B172,正厂竞争者数据汇总!D:H,2,FALSE)</f>
        <v>Motor目录</v>
      </c>
      <c r="D172" s="421" t="str">
        <f>VLOOKUP(B172,正厂竞争者数据汇总!D:H,3,FALSE)</f>
        <v>-</v>
      </c>
      <c r="E172" s="430">
        <f>VLOOKUP(B172,正厂竞争者数据汇总!D:H,4,FALSE)</f>
        <v>0</v>
      </c>
      <c r="F172" s="430">
        <v>31752.3333333333</v>
      </c>
      <c r="G172" s="430">
        <v>1368.75</v>
      </c>
      <c r="H172" s="430">
        <v>65373.75</v>
      </c>
      <c r="I172" s="453">
        <v>22.1980517503805</v>
      </c>
      <c r="J172" s="451">
        <v>0.122389722078886</v>
      </c>
      <c r="K172" s="451">
        <v>0.0637672593307689</v>
      </c>
      <c r="L172" s="451">
        <v>0.0646849887741796</v>
      </c>
      <c r="M172" s="451"/>
      <c r="N172" s="459"/>
      <c r="O172" s="430"/>
      <c r="P172" s="542" t="str">
        <f>VLOOKUP(B172,正厂竞争者数据汇总!D:M,6,FALSE)</f>
        <v>2023年9月新增</v>
      </c>
      <c r="Q172" s="429"/>
      <c r="R172" s="421"/>
      <c r="S172" s="473">
        <v>171</v>
      </c>
      <c r="T172" s="473">
        <v>77</v>
      </c>
      <c r="U172" s="466"/>
      <c r="V172" s="466"/>
      <c r="W172" s="421"/>
      <c r="X172" s="421"/>
      <c r="Y172" s="200" t="s">
        <v>343</v>
      </c>
      <c r="Z172" s="200">
        <v>164</v>
      </c>
      <c r="AA172" s="200">
        <v>77</v>
      </c>
      <c r="AB172" s="410">
        <f t="shared" si="15"/>
        <v>1</v>
      </c>
      <c r="AC172" s="409">
        <f t="shared" si="16"/>
        <v>164</v>
      </c>
      <c r="AD172" s="409">
        <f t="shared" si="17"/>
        <v>77</v>
      </c>
    </row>
    <row r="173" s="408" customFormat="1" spans="1:30">
      <c r="A173" s="428" t="s">
        <v>230</v>
      </c>
      <c r="B173" s="438" t="s">
        <v>344</v>
      </c>
      <c r="C173" s="429" t="str">
        <f>VLOOKUP(B173,正厂竞争者数据汇总!D:H,2,FALSE)</f>
        <v>Motor目录</v>
      </c>
      <c r="D173" s="421" t="str">
        <f>VLOOKUP(B173,正厂竞争者数据汇总!D:H,3,FALSE)</f>
        <v>-</v>
      </c>
      <c r="E173" s="430">
        <f>VLOOKUP(B173,正厂竞争者数据汇总!D:H,4,FALSE)</f>
        <v>0</v>
      </c>
      <c r="F173" s="430">
        <v>20637.26</v>
      </c>
      <c r="G173" s="430">
        <v>1363.75</v>
      </c>
      <c r="H173" s="430">
        <v>65368.75</v>
      </c>
      <c r="I173" s="453">
        <v>14.1327296058662</v>
      </c>
      <c r="J173" s="451">
        <v>0.0795465482600662</v>
      </c>
      <c r="K173" s="451">
        <v>0.0861480899154723</v>
      </c>
      <c r="L173" s="451">
        <v>0.0950865077369704</v>
      </c>
      <c r="M173" s="451"/>
      <c r="N173" s="459"/>
      <c r="O173" s="430"/>
      <c r="P173" s="542">
        <f>VLOOKUP(B173,正厂竞争者数据汇总!D:M,6,FALSE)</f>
        <v>0</v>
      </c>
      <c r="Q173" s="429"/>
      <c r="R173" s="421"/>
      <c r="S173" s="473">
        <v>1285</v>
      </c>
      <c r="T173" s="473">
        <v>185</v>
      </c>
      <c r="U173" s="466"/>
      <c r="V173" s="466"/>
      <c r="W173" s="421"/>
      <c r="X173" s="421"/>
      <c r="Y173" s="200" t="s">
        <v>344</v>
      </c>
      <c r="Z173" s="200">
        <v>1277</v>
      </c>
      <c r="AA173" s="200">
        <v>236</v>
      </c>
      <c r="AB173" s="410">
        <f t="shared" si="15"/>
        <v>1</v>
      </c>
      <c r="AC173" s="409">
        <f t="shared" si="16"/>
        <v>1277</v>
      </c>
      <c r="AD173" s="409">
        <f t="shared" si="17"/>
        <v>236</v>
      </c>
    </row>
    <row r="174" s="408" customFormat="1" spans="1:30">
      <c r="A174" s="428" t="s">
        <v>230</v>
      </c>
      <c r="B174" s="438" t="s">
        <v>346</v>
      </c>
      <c r="C174" s="429" t="str">
        <f>VLOOKUP(B174,正厂竞争者数据汇总!D:H,2,FALSE)</f>
        <v>Motor目录</v>
      </c>
      <c r="D174" s="421" t="str">
        <f>VLOOKUP(B174,正厂竞争者数据汇总!D:H,3,FALSE)</f>
        <v>AZ</v>
      </c>
      <c r="E174" s="430">
        <f>VLOOKUP(B174,正厂竞争者数据汇总!D:H,4,FALSE)</f>
        <v>0</v>
      </c>
      <c r="F174" s="430">
        <v>20216.3333333333</v>
      </c>
      <c r="G174" s="430">
        <v>1364.75</v>
      </c>
      <c r="H174" s="430">
        <v>65369.75</v>
      </c>
      <c r="I174" s="453">
        <v>13.8132136532942</v>
      </c>
      <c r="J174" s="451">
        <v>0.077924081740579</v>
      </c>
      <c r="K174" s="451">
        <v>0.0963128070451922</v>
      </c>
      <c r="L174" s="451">
        <v>0.108112288227295</v>
      </c>
      <c r="M174" s="451"/>
      <c r="N174" s="459"/>
      <c r="O174" s="430"/>
      <c r="P174" s="542" t="str">
        <f>VLOOKUP(B174,正厂竞争者数据汇总!D:M,6,FALSE)</f>
        <v>2023年9月新增</v>
      </c>
      <c r="Q174" s="429"/>
      <c r="R174" s="421"/>
      <c r="S174" s="473">
        <v>1619</v>
      </c>
      <c r="T174" s="473">
        <v>184</v>
      </c>
      <c r="U174" s="466"/>
      <c r="V174" s="466"/>
      <c r="W174" s="421"/>
      <c r="X174" s="421"/>
      <c r="Y174" s="200" t="s">
        <v>346</v>
      </c>
      <c r="Z174" s="200">
        <v>1785</v>
      </c>
      <c r="AA174" s="200">
        <v>206</v>
      </c>
      <c r="AB174" s="410">
        <f t="shared" si="15"/>
        <v>1</v>
      </c>
      <c r="AC174" s="409">
        <f t="shared" si="16"/>
        <v>1785</v>
      </c>
      <c r="AD174" s="409">
        <f t="shared" si="17"/>
        <v>206</v>
      </c>
    </row>
    <row r="175" s="408" customFormat="1" spans="1:30">
      <c r="A175" s="428" t="s">
        <v>230</v>
      </c>
      <c r="B175" s="438" t="s">
        <v>345</v>
      </c>
      <c r="C175" s="429" t="str">
        <f>VLOOKUP(B175,正厂竞争者数据汇总!D:H,2,FALSE)</f>
        <v>Motor目录</v>
      </c>
      <c r="D175" s="421" t="str">
        <f>VLOOKUP(B175,正厂竞争者数据汇总!D:H,3,FALSE)</f>
        <v>CA</v>
      </c>
      <c r="E175" s="430">
        <f>VLOOKUP(B175,正厂竞争者数据汇总!D:H,4,FALSE)</f>
        <v>0</v>
      </c>
      <c r="F175" s="430">
        <v>19801.6316666667</v>
      </c>
      <c r="G175" s="430">
        <v>1363.75</v>
      </c>
      <c r="H175" s="430">
        <v>65368.75</v>
      </c>
      <c r="I175" s="453">
        <v>13.5199865566759</v>
      </c>
      <c r="J175" s="451">
        <v>0.0763256095528456</v>
      </c>
      <c r="K175" s="451">
        <v>0.0951760624385674</v>
      </c>
      <c r="L175" s="451">
        <v>0.106125733264814</v>
      </c>
      <c r="M175" s="451"/>
      <c r="N175" s="459"/>
      <c r="O175" s="430"/>
      <c r="P175" s="542"/>
      <c r="Q175" s="429"/>
      <c r="R175" s="421"/>
      <c r="S175" s="473">
        <v>872</v>
      </c>
      <c r="T175" s="473">
        <v>131</v>
      </c>
      <c r="U175" s="466"/>
      <c r="V175" s="466"/>
      <c r="W175" s="421"/>
      <c r="X175" s="421"/>
      <c r="Y175" s="200" t="s">
        <v>345</v>
      </c>
      <c r="Z175" s="200">
        <v>726</v>
      </c>
      <c r="AA175" s="200">
        <v>146</v>
      </c>
      <c r="AB175" s="410">
        <f t="shared" si="15"/>
        <v>1</v>
      </c>
      <c r="AC175" s="409">
        <f t="shared" si="16"/>
        <v>726</v>
      </c>
      <c r="AD175" s="409">
        <f t="shared" si="17"/>
        <v>146</v>
      </c>
    </row>
    <row r="176" s="408" customFormat="1" spans="1:30">
      <c r="A176" s="428" t="s">
        <v>230</v>
      </c>
      <c r="B176" s="438" t="s">
        <v>348</v>
      </c>
      <c r="C176" s="429" t="str">
        <f>VLOOKUP(B176,正厂竞争者数据汇总!D:H,2,FALSE)</f>
        <v>Motor目录</v>
      </c>
      <c r="D176" s="421" t="str">
        <f>VLOOKUP(B176,正厂竞争者数据汇总!D:H,3,FALSE)</f>
        <v>-</v>
      </c>
      <c r="E176" s="430">
        <f>VLOOKUP(B176,正厂竞争者数据汇总!D:H,4,FALSE)</f>
        <v>0</v>
      </c>
      <c r="F176" s="430">
        <v>18897.5</v>
      </c>
      <c r="G176" s="430">
        <v>1362.75</v>
      </c>
      <c r="H176" s="430">
        <v>65367.75</v>
      </c>
      <c r="I176" s="453">
        <v>12.8671803338837</v>
      </c>
      <c r="J176" s="451">
        <v>0.07284062398519</v>
      </c>
      <c r="K176" s="451">
        <v>0.086422437384222</v>
      </c>
      <c r="L176" s="451">
        <v>0.094414333316537</v>
      </c>
      <c r="M176" s="451"/>
      <c r="N176" s="459"/>
      <c r="O176" s="430"/>
      <c r="P176" s="542" t="str">
        <f>VLOOKUP(B176,正厂竞争者数据汇总!D:M,6,FALSE)</f>
        <v>2023年9月新增</v>
      </c>
      <c r="Q176" s="429"/>
      <c r="R176" s="421"/>
      <c r="S176" s="473">
        <v>518</v>
      </c>
      <c r="T176" s="473">
        <v>154</v>
      </c>
      <c r="U176" s="466"/>
      <c r="V176" s="466"/>
      <c r="W176" s="421"/>
      <c r="X176" s="421"/>
      <c r="Y176" s="200" t="s">
        <v>348</v>
      </c>
      <c r="Z176" s="200">
        <v>436</v>
      </c>
      <c r="AA176" s="200">
        <v>140</v>
      </c>
      <c r="AB176" s="410">
        <f t="shared" si="15"/>
        <v>1</v>
      </c>
      <c r="AC176" s="409">
        <f t="shared" si="16"/>
        <v>436</v>
      </c>
      <c r="AD176" s="409">
        <f t="shared" si="17"/>
        <v>140</v>
      </c>
    </row>
    <row r="177" s="408" customFormat="1" spans="1:30">
      <c r="A177" s="428" t="s">
        <v>230</v>
      </c>
      <c r="B177" s="438" t="s">
        <v>347</v>
      </c>
      <c r="C177" s="429" t="str">
        <f>VLOOKUP(B177,正厂竞争者数据汇总!D:H,2,FALSE)</f>
        <v>Motor目录</v>
      </c>
      <c r="D177" s="421" t="str">
        <f>VLOOKUP(B177,正厂竞争者数据汇总!D:H,3,FALSE)</f>
        <v>-</v>
      </c>
      <c r="E177" s="430">
        <f>VLOOKUP(B177,正厂竞争者数据汇总!D:H,4,FALSE)</f>
        <v>0</v>
      </c>
      <c r="F177" s="430">
        <v>18551.8509333333</v>
      </c>
      <c r="G177" s="430">
        <v>1361.75</v>
      </c>
      <c r="H177" s="430">
        <v>65366.75</v>
      </c>
      <c r="I177" s="453">
        <v>12.6235365767089</v>
      </c>
      <c r="J177" s="451">
        <v>0.0715083158123681</v>
      </c>
      <c r="K177" s="451">
        <v>0.0870954912353092</v>
      </c>
      <c r="L177" s="451">
        <v>0.0878584909740872</v>
      </c>
      <c r="M177" s="451"/>
      <c r="N177" s="459"/>
      <c r="O177" s="430"/>
      <c r="P177" s="542" t="str">
        <f>VLOOKUP(B177,正厂竞争者数据汇总!D:M,6,FALSE)</f>
        <v>2023年9月新增</v>
      </c>
      <c r="Q177" s="429"/>
      <c r="R177" s="421"/>
      <c r="S177" s="473">
        <v>857</v>
      </c>
      <c r="T177" s="473">
        <v>183</v>
      </c>
      <c r="U177" s="466"/>
      <c r="V177" s="466"/>
      <c r="W177" s="421"/>
      <c r="X177" s="421"/>
      <c r="Y177" s="200" t="s">
        <v>347</v>
      </c>
      <c r="Z177" s="200">
        <v>935</v>
      </c>
      <c r="AA177" s="200">
        <v>223</v>
      </c>
      <c r="AB177" s="410">
        <f t="shared" si="15"/>
        <v>1</v>
      </c>
      <c r="AC177" s="409">
        <f t="shared" si="16"/>
        <v>935</v>
      </c>
      <c r="AD177" s="409">
        <f t="shared" si="17"/>
        <v>223</v>
      </c>
    </row>
    <row r="178" s="408" customFormat="1" spans="1:30">
      <c r="A178" s="428" t="s">
        <v>230</v>
      </c>
      <c r="B178" s="438" t="s">
        <v>349</v>
      </c>
      <c r="C178" s="429" t="str">
        <f>VLOOKUP(B178,正厂竞争者数据汇总!D:H,2,FALSE)</f>
        <v>Motor目录</v>
      </c>
      <c r="D178" s="421" t="str">
        <f>VLOOKUP(B178,正厂竞争者数据汇总!D:H,3,FALSE)</f>
        <v>-</v>
      </c>
      <c r="E178" s="430">
        <f>VLOOKUP(B178,正厂竞争者数据汇总!D:H,4,FALSE)</f>
        <v>0</v>
      </c>
      <c r="F178" s="430">
        <v>11044.5</v>
      </c>
      <c r="G178" s="430">
        <v>1374.75</v>
      </c>
      <c r="H178" s="430">
        <v>65379.75</v>
      </c>
      <c r="I178" s="453">
        <v>7.03382433169667</v>
      </c>
      <c r="J178" s="451">
        <v>0.0425711481203562</v>
      </c>
      <c r="K178" s="451">
        <v>0.0530375258968638</v>
      </c>
      <c r="L178" s="451">
        <v>0.0461650421701419</v>
      </c>
      <c r="M178" s="451"/>
      <c r="N178" s="459"/>
      <c r="O178" s="430"/>
      <c r="P178" s="542" t="str">
        <f>VLOOKUP(B178,正厂竞争者数据汇总!D:M,6,FALSE)</f>
        <v>2023年9月新增</v>
      </c>
      <c r="Q178" s="429"/>
      <c r="R178" s="421"/>
      <c r="S178" s="473">
        <v>269</v>
      </c>
      <c r="T178" s="473">
        <v>100</v>
      </c>
      <c r="U178" s="466"/>
      <c r="V178" s="466"/>
      <c r="W178" s="421"/>
      <c r="X178" s="421"/>
      <c r="Y178" s="200" t="s">
        <v>349</v>
      </c>
      <c r="Z178" s="200">
        <v>273</v>
      </c>
      <c r="AA178" s="200">
        <v>111</v>
      </c>
      <c r="AB178" s="410">
        <f t="shared" si="15"/>
        <v>1</v>
      </c>
      <c r="AC178" s="409">
        <f t="shared" si="16"/>
        <v>273</v>
      </c>
      <c r="AD178" s="409">
        <f t="shared" si="17"/>
        <v>111</v>
      </c>
    </row>
    <row r="179" s="408" customFormat="1" spans="1:30">
      <c r="A179" s="428" t="s">
        <v>230</v>
      </c>
      <c r="B179" s="438" t="s">
        <v>350</v>
      </c>
      <c r="C179" s="255" t="s">
        <v>351</v>
      </c>
      <c r="D179" s="421" t="str">
        <f>VLOOKUP(B179,正厂竞争者数据汇总!D:H,3,FALSE)</f>
        <v>UT</v>
      </c>
      <c r="E179" s="430">
        <f>VLOOKUP(B179,正厂竞争者数据汇总!D:H,4,FALSE)</f>
        <v>0</v>
      </c>
      <c r="F179" s="430">
        <v>7346.66666666667</v>
      </c>
      <c r="G179" s="430">
        <v>1374.75</v>
      </c>
      <c r="H179" s="430">
        <v>65379.75</v>
      </c>
      <c r="I179" s="453">
        <v>4.34400193974662</v>
      </c>
      <c r="J179" s="451">
        <v>0.0283178083985287</v>
      </c>
      <c r="K179" s="451">
        <v>0.0325575594249637</v>
      </c>
      <c r="L179" s="451">
        <v>0.0294924827655881</v>
      </c>
      <c r="M179" s="451"/>
      <c r="N179" s="459"/>
      <c r="O179" s="430"/>
      <c r="P179" s="542"/>
      <c r="Q179" s="429"/>
      <c r="R179" s="421"/>
      <c r="S179" s="473">
        <v>232</v>
      </c>
      <c r="T179" s="473">
        <v>77</v>
      </c>
      <c r="U179" s="466"/>
      <c r="V179" s="466"/>
      <c r="W179" s="421"/>
      <c r="X179" s="421"/>
      <c r="Y179" s="200" t="s">
        <v>350</v>
      </c>
      <c r="Z179" s="200">
        <v>4789</v>
      </c>
      <c r="AA179" s="200">
        <v>75</v>
      </c>
      <c r="AB179" s="410">
        <f t="shared" si="15"/>
        <v>1</v>
      </c>
      <c r="AC179" s="409">
        <f t="shared" si="16"/>
        <v>4789</v>
      </c>
      <c r="AD179" s="409">
        <f t="shared" si="17"/>
        <v>75</v>
      </c>
    </row>
    <row r="180" s="408" customFormat="1" spans="1:30">
      <c r="A180" s="428"/>
      <c r="B180" s="421"/>
      <c r="C180" s="429"/>
      <c r="D180" s="421"/>
      <c r="E180" s="430"/>
      <c r="F180" s="430"/>
      <c r="G180" s="430">
        <v>100126.666666667</v>
      </c>
      <c r="H180" s="430"/>
      <c r="I180" s="453"/>
      <c r="J180" s="451"/>
      <c r="K180" s="451"/>
      <c r="L180" s="451"/>
      <c r="M180" s="451"/>
      <c r="N180" s="459"/>
      <c r="O180" s="430"/>
      <c r="P180" s="542"/>
      <c r="Q180" s="429"/>
      <c r="R180" s="421"/>
      <c r="S180" s="473" t="s">
        <v>180</v>
      </c>
      <c r="T180" s="473" t="s">
        <v>180</v>
      </c>
      <c r="U180" s="466"/>
      <c r="V180" s="466"/>
      <c r="W180" s="421"/>
      <c r="X180" s="421"/>
      <c r="Y180" s="200" t="s">
        <v>240</v>
      </c>
      <c r="Z180" s="200" t="s">
        <v>180</v>
      </c>
      <c r="AA180" s="200" t="s">
        <v>180</v>
      </c>
      <c r="AB180" s="410">
        <f t="shared" si="15"/>
        <v>0</v>
      </c>
      <c r="AC180" s="409" t="str">
        <f t="shared" si="16"/>
        <v/>
      </c>
      <c r="AD180" s="409" t="str">
        <f t="shared" si="17"/>
        <v/>
      </c>
    </row>
    <row r="181" s="408" customFormat="1" spans="1:30">
      <c r="A181" s="428"/>
      <c r="B181" s="421"/>
      <c r="C181" s="439"/>
      <c r="D181" s="421"/>
      <c r="E181" s="430"/>
      <c r="F181" s="430">
        <v>259436.272866667</v>
      </c>
      <c r="G181" s="430"/>
      <c r="H181" s="430">
        <v>96860.5</v>
      </c>
      <c r="I181" s="453" t="e">
        <v>#DIV/0!</v>
      </c>
      <c r="J181" s="430"/>
      <c r="K181" s="430"/>
      <c r="L181" s="430"/>
      <c r="M181" s="451"/>
      <c r="N181" s="459"/>
      <c r="O181" s="430"/>
      <c r="P181" s="542"/>
      <c r="Q181" s="429"/>
      <c r="R181" s="421"/>
      <c r="S181" s="473" t="s">
        <v>180</v>
      </c>
      <c r="T181" s="473" t="s">
        <v>180</v>
      </c>
      <c r="U181" s="466"/>
      <c r="V181" s="466"/>
      <c r="W181" s="421"/>
      <c r="X181" s="421"/>
      <c r="Y181" s="200" t="s">
        <v>240</v>
      </c>
      <c r="Z181" s="200" t="s">
        <v>180</v>
      </c>
      <c r="AA181" s="200" t="s">
        <v>180</v>
      </c>
      <c r="AB181" s="410">
        <f t="shared" si="15"/>
        <v>0</v>
      </c>
      <c r="AC181" s="409" t="str">
        <f t="shared" si="16"/>
        <v/>
      </c>
      <c r="AD181" s="409" t="str">
        <f t="shared" si="17"/>
        <v/>
      </c>
    </row>
    <row r="182" s="408" customFormat="1" spans="1:30">
      <c r="A182" s="428"/>
      <c r="B182" s="421"/>
      <c r="C182" s="439"/>
      <c r="D182" s="421"/>
      <c r="E182" s="421"/>
      <c r="F182" s="430"/>
      <c r="G182" s="430"/>
      <c r="H182" s="430"/>
      <c r="I182" s="453"/>
      <c r="J182" s="430"/>
      <c r="K182" s="430"/>
      <c r="L182" s="430"/>
      <c r="M182" s="451"/>
      <c r="N182" s="459"/>
      <c r="O182" s="430"/>
      <c r="P182" s="542"/>
      <c r="Q182" s="429"/>
      <c r="R182" s="421"/>
      <c r="S182" s="473" t="s">
        <v>180</v>
      </c>
      <c r="T182" s="473" t="s">
        <v>180</v>
      </c>
      <c r="U182" s="466"/>
      <c r="V182" s="466"/>
      <c r="W182" s="421"/>
      <c r="X182" s="421"/>
      <c r="Y182" s="200" t="s">
        <v>240</v>
      </c>
      <c r="Z182" s="200" t="s">
        <v>180</v>
      </c>
      <c r="AA182" s="200" t="s">
        <v>180</v>
      </c>
      <c r="AB182" s="410">
        <f t="shared" si="15"/>
        <v>0</v>
      </c>
      <c r="AC182" s="409" t="str">
        <f t="shared" si="16"/>
        <v/>
      </c>
      <c r="AD182" s="409" t="str">
        <f t="shared" si="17"/>
        <v/>
      </c>
    </row>
    <row r="183" s="408" customFormat="1" ht="17.4" spans="1:30">
      <c r="A183" s="418" t="s">
        <v>189</v>
      </c>
      <c r="B183" s="419"/>
      <c r="C183" s="420"/>
      <c r="D183" s="421"/>
      <c r="E183" s="422" t="s">
        <v>202</v>
      </c>
      <c r="F183" s="422"/>
      <c r="G183" s="422" t="s">
        <v>213</v>
      </c>
      <c r="H183" s="422"/>
      <c r="I183" s="422"/>
      <c r="J183" s="422"/>
      <c r="K183" s="422"/>
      <c r="L183" s="422"/>
      <c r="M183" s="443"/>
      <c r="N183" s="422"/>
      <c r="O183" s="422"/>
      <c r="P183" s="542"/>
      <c r="Q183" s="465"/>
      <c r="R183" s="424"/>
      <c r="S183" s="473" t="s">
        <v>180</v>
      </c>
      <c r="T183" s="473" t="s">
        <v>180</v>
      </c>
      <c r="U183" s="467"/>
      <c r="V183" s="467"/>
      <c r="W183" s="467"/>
      <c r="X183" s="467"/>
      <c r="Y183" s="200" t="s">
        <v>240</v>
      </c>
      <c r="Z183" s="200" t="s">
        <v>180</v>
      </c>
      <c r="AA183" s="200" t="s">
        <v>180</v>
      </c>
      <c r="AB183" s="410">
        <f t="shared" si="15"/>
        <v>0</v>
      </c>
      <c r="AC183" s="409" t="str">
        <f t="shared" si="16"/>
        <v/>
      </c>
      <c r="AD183" s="409" t="str">
        <f t="shared" si="17"/>
        <v/>
      </c>
    </row>
    <row r="184" s="409" customFormat="1" ht="46.8" spans="1:30">
      <c r="A184" s="423" t="s">
        <v>206</v>
      </c>
      <c r="B184" s="424" t="s">
        <v>207</v>
      </c>
      <c r="C184" s="425" t="s">
        <v>208</v>
      </c>
      <c r="D184" s="424" t="s">
        <v>209</v>
      </c>
      <c r="E184" s="426" t="s">
        <v>210</v>
      </c>
      <c r="F184" s="427" t="s">
        <v>385</v>
      </c>
      <c r="G184" s="427">
        <v>116448.583333333</v>
      </c>
      <c r="H184" s="427" t="s">
        <v>213</v>
      </c>
      <c r="I184" s="427" t="s">
        <v>386</v>
      </c>
      <c r="J184" s="446" t="s">
        <v>216</v>
      </c>
      <c r="K184" s="446" t="s">
        <v>217</v>
      </c>
      <c r="L184" s="446" t="s">
        <v>387</v>
      </c>
      <c r="M184" s="447" t="s">
        <v>218</v>
      </c>
      <c r="N184" s="448" t="s">
        <v>219</v>
      </c>
      <c r="O184" s="449" t="s">
        <v>220</v>
      </c>
      <c r="P184" s="543" t="s">
        <v>221</v>
      </c>
      <c r="Q184" s="469" t="s">
        <v>222</v>
      </c>
      <c r="R184" s="426" t="s">
        <v>223</v>
      </c>
      <c r="S184" s="470" t="s">
        <v>224</v>
      </c>
      <c r="T184" s="470" t="s">
        <v>205</v>
      </c>
      <c r="U184" s="467" t="s">
        <v>225</v>
      </c>
      <c r="V184" s="470" t="s">
        <v>226</v>
      </c>
      <c r="W184" s="467"/>
      <c r="X184" s="467"/>
      <c r="Y184" s="200" t="s">
        <v>207</v>
      </c>
      <c r="Z184" s="200" t="s">
        <v>180</v>
      </c>
      <c r="AA184" s="200" t="s">
        <v>180</v>
      </c>
      <c r="AB184" s="410">
        <f t="shared" si="15"/>
        <v>1</v>
      </c>
      <c r="AC184" s="409" t="str">
        <f t="shared" si="16"/>
        <v>Forum Link</v>
      </c>
      <c r="AD184" s="409" t="str">
        <f t="shared" si="17"/>
        <v>Domains</v>
      </c>
    </row>
    <row r="185" s="408" customFormat="1" ht="46.8" spans="1:30">
      <c r="A185" s="428" t="s">
        <v>230</v>
      </c>
      <c r="B185" s="421" t="s">
        <v>352</v>
      </c>
      <c r="C185" s="429" t="str">
        <f>VLOOKUP(B185,正厂竞争者数据汇总!D:H,2,FALSE)</f>
        <v>Motor目录</v>
      </c>
      <c r="D185" s="421" t="str">
        <f>VLOOKUP(B185,正厂竞争者数据汇总!D:H,3,FALSE)</f>
        <v>-</v>
      </c>
      <c r="E185" s="430" t="e">
        <f>VLOOKUP(B191,正厂竞争者数据汇总!D:H,4,FALSE)</f>
        <v>#N/A</v>
      </c>
      <c r="F185" s="430">
        <v>82563.90775</v>
      </c>
      <c r="G185" s="430">
        <v>129</v>
      </c>
      <c r="H185" s="430">
        <v>27912.6666666667</v>
      </c>
      <c r="I185" s="453">
        <v>639.030292635659</v>
      </c>
      <c r="J185" s="451">
        <v>0.350735898257232</v>
      </c>
      <c r="K185" s="451">
        <v>0.202107730284048</v>
      </c>
      <c r="L185" s="451">
        <v>0.188857784400671</v>
      </c>
      <c r="M185" s="451"/>
      <c r="N185" s="459"/>
      <c r="O185" s="430"/>
      <c r="P185" s="542" t="str">
        <f>VLOOKUP(B185,正厂竞争者数据汇总!D:M,6,FALSE)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85" s="429"/>
      <c r="R185" s="421"/>
      <c r="S185" s="473">
        <v>4047</v>
      </c>
      <c r="T185" s="473">
        <v>216</v>
      </c>
      <c r="U185" s="466"/>
      <c r="V185" s="466"/>
      <c r="W185" s="421"/>
      <c r="X185" s="421"/>
      <c r="Y185" s="200" t="s">
        <v>352</v>
      </c>
      <c r="Z185" s="200">
        <v>232</v>
      </c>
      <c r="AA185" s="200">
        <v>84</v>
      </c>
      <c r="AB185" s="410">
        <f t="shared" si="15"/>
        <v>1</v>
      </c>
      <c r="AC185" s="409">
        <f t="shared" si="16"/>
        <v>232</v>
      </c>
      <c r="AD185" s="409">
        <f t="shared" si="17"/>
        <v>84</v>
      </c>
    </row>
    <row r="186" s="408" customFormat="1" spans="1:30">
      <c r="A186" s="428" t="s">
        <v>230</v>
      </c>
      <c r="B186" s="421" t="s">
        <v>354</v>
      </c>
      <c r="C186" s="429" t="str">
        <f>VLOOKUP(B186,正厂竞争者数据汇总!D:H,2,FALSE)</f>
        <v>Motor目录</v>
      </c>
      <c r="D186" s="421" t="str">
        <f>VLOOKUP(B186,正厂竞争者数据汇总!D:H,3,FALSE)</f>
        <v>NJ</v>
      </c>
      <c r="E186" s="430"/>
      <c r="F186" s="430">
        <v>62376.15</v>
      </c>
      <c r="G186" s="430"/>
      <c r="H186" s="430"/>
      <c r="I186" s="453"/>
      <c r="J186" s="451">
        <v>0.264977223053954</v>
      </c>
      <c r="K186" s="451">
        <v>0.406611598996638</v>
      </c>
      <c r="L186" s="451">
        <v>0.443807538317286</v>
      </c>
      <c r="M186" s="451"/>
      <c r="N186" s="459"/>
      <c r="O186" s="430"/>
      <c r="P186" s="542">
        <f>VLOOKUP(B186,正厂竞争者数据汇总!D:M,6,FALSE)</f>
        <v>0</v>
      </c>
      <c r="Q186" s="429"/>
      <c r="R186" s="421"/>
      <c r="S186" s="473">
        <v>6302</v>
      </c>
      <c r="T186" s="473">
        <v>626</v>
      </c>
      <c r="U186" s="466"/>
      <c r="V186" s="466"/>
      <c r="W186" s="421"/>
      <c r="X186" s="421"/>
      <c r="Y186" s="200" t="s">
        <v>354</v>
      </c>
      <c r="Z186" s="200">
        <v>6564</v>
      </c>
      <c r="AA186" s="200">
        <v>676</v>
      </c>
      <c r="AB186" s="410">
        <f t="shared" si="15"/>
        <v>1</v>
      </c>
      <c r="AC186" s="409">
        <f t="shared" si="16"/>
        <v>6564</v>
      </c>
      <c r="AD186" s="409">
        <f t="shared" si="17"/>
        <v>676</v>
      </c>
    </row>
    <row r="187" s="408" customFormat="1" spans="1:30">
      <c r="A187" s="428" t="s">
        <v>243</v>
      </c>
      <c r="B187" s="421" t="s">
        <v>353</v>
      </c>
      <c r="C187" s="429" t="str">
        <f>VLOOKUP(B187,正厂竞争者数据汇总!D:H,2,FALSE)</f>
        <v>Motor目录</v>
      </c>
      <c r="D187" s="421" t="str">
        <f>VLOOKUP(B187,正厂竞争者数据汇总!D:H,3,FALSE)</f>
        <v>WI</v>
      </c>
      <c r="E187" s="430">
        <f>VLOOKUP(B189,正厂竞争者数据汇总!D:H,4,FALSE)</f>
        <v>0</v>
      </c>
      <c r="F187" s="430">
        <v>47516.5</v>
      </c>
      <c r="G187" s="430">
        <v>127</v>
      </c>
      <c r="H187" s="430">
        <v>27910.6666666667</v>
      </c>
      <c r="I187" s="453">
        <v>373.145669291339</v>
      </c>
      <c r="J187" s="451">
        <v>0.201852634688791</v>
      </c>
      <c r="K187" s="451">
        <v>0.210507023309268</v>
      </c>
      <c r="L187" s="451">
        <v>0.174396892529207</v>
      </c>
      <c r="M187" s="451" t="e">
        <f>J187-#REF!</f>
        <v>#REF!</v>
      </c>
      <c r="N187" s="459"/>
      <c r="O187" s="430"/>
      <c r="P187" s="542" t="str">
        <f>VLOOKUP(B187,正厂竞争者数据汇总!D:M,6,FALSE)</f>
        <v>2023年9月新增</v>
      </c>
      <c r="Q187" s="429" t="s">
        <v>180</v>
      </c>
      <c r="R187" s="421" t="s">
        <v>180</v>
      </c>
      <c r="S187" s="473">
        <v>1731</v>
      </c>
      <c r="T187" s="473">
        <v>206</v>
      </c>
      <c r="U187" s="466"/>
      <c r="V187" s="466"/>
      <c r="W187" s="421"/>
      <c r="X187" s="421"/>
      <c r="Y187" s="200" t="s">
        <v>353</v>
      </c>
      <c r="Z187" s="200">
        <v>1814</v>
      </c>
      <c r="AA187" s="200">
        <v>197</v>
      </c>
      <c r="AB187" s="410">
        <f t="shared" si="15"/>
        <v>1</v>
      </c>
      <c r="AC187" s="409">
        <f t="shared" si="16"/>
        <v>1814</v>
      </c>
      <c r="AD187" s="409">
        <f t="shared" si="17"/>
        <v>197</v>
      </c>
    </row>
    <row r="188" s="408" customFormat="1" spans="1:30">
      <c r="A188" s="428" t="s">
        <v>243</v>
      </c>
      <c r="B188" s="421" t="s">
        <v>355</v>
      </c>
      <c r="C188" s="429" t="str">
        <f>VLOOKUP(B188,正厂竞争者数据汇总!D:H,2,FALSE)</f>
        <v>旧年份原厂、新年份Motor</v>
      </c>
      <c r="D188" s="421" t="str">
        <f>VLOOKUP(B188,正厂竞争者数据汇总!D:H,3,FALSE)</f>
        <v>GA</v>
      </c>
      <c r="E188" s="430" t="e">
        <f>VLOOKUP(B190,正厂竞争者数据汇总!D:H,4,FALSE)</f>
        <v>#N/A</v>
      </c>
      <c r="F188" s="430">
        <v>22687.99</v>
      </c>
      <c r="G188" s="430">
        <v>128</v>
      </c>
      <c r="H188" s="430">
        <v>27911.6666666667</v>
      </c>
      <c r="I188" s="453">
        <v>176.249921875</v>
      </c>
      <c r="J188" s="451">
        <v>0.0963797955929612</v>
      </c>
      <c r="K188" s="451">
        <v>0.115579926843259</v>
      </c>
      <c r="L188" s="451">
        <v>0.130022437139453</v>
      </c>
      <c r="M188" s="451"/>
      <c r="N188" s="459"/>
      <c r="O188" s="430"/>
      <c r="P188" s="542">
        <f>VLOOKUP(B188,正厂竞争者数据汇总!D:M,6,FALSE)</f>
        <v>0</v>
      </c>
      <c r="Q188" s="429" t="s">
        <v>180</v>
      </c>
      <c r="R188" s="421" t="s">
        <v>180</v>
      </c>
      <c r="S188" s="473">
        <v>5367</v>
      </c>
      <c r="T188" s="473">
        <v>1315</v>
      </c>
      <c r="U188" s="466"/>
      <c r="V188" s="466"/>
      <c r="W188" s="421"/>
      <c r="X188" s="421"/>
      <c r="Y188" s="200" t="s">
        <v>355</v>
      </c>
      <c r="Z188" s="200">
        <v>4795</v>
      </c>
      <c r="AA188" s="200">
        <v>1196</v>
      </c>
      <c r="AB188" s="410">
        <f t="shared" si="15"/>
        <v>1</v>
      </c>
      <c r="AC188" s="409">
        <f t="shared" si="16"/>
        <v>4795</v>
      </c>
      <c r="AD188" s="409">
        <f t="shared" si="17"/>
        <v>1196</v>
      </c>
    </row>
    <row r="189" s="408" customFormat="1" spans="1:30">
      <c r="A189" s="428" t="s">
        <v>230</v>
      </c>
      <c r="B189" s="431" t="s">
        <v>356</v>
      </c>
      <c r="C189" s="429" t="str">
        <f>VLOOKUP(B189,正厂竞争者数据汇总!D:H,2,FALSE)</f>
        <v>Motor目录</v>
      </c>
      <c r="D189" s="421" t="str">
        <f>VLOOKUP(B189,正厂竞争者数据汇总!D:H,3,FALSE)</f>
        <v>KS</v>
      </c>
      <c r="E189" s="430">
        <f>VLOOKUP(B189,正厂竞争者数据汇总!D:H,4,FALSE)</f>
        <v>0</v>
      </c>
      <c r="F189" s="430">
        <v>20257.3833333333</v>
      </c>
      <c r="G189" s="430">
        <v>23846.5</v>
      </c>
      <c r="H189" s="430">
        <v>201650.166666667</v>
      </c>
      <c r="I189" s="453">
        <v>-0.150509159275646</v>
      </c>
      <c r="J189" s="451">
        <v>0.0860544484070613</v>
      </c>
      <c r="K189" s="451">
        <v>0.0651937205667868</v>
      </c>
      <c r="L189" s="451">
        <v>0.062915347613383</v>
      </c>
      <c r="M189" s="451" t="e">
        <f>J189-#REF!</f>
        <v>#REF!</v>
      </c>
      <c r="N189" s="459"/>
      <c r="O189" s="430"/>
      <c r="P189" s="542">
        <f>VLOOKUP(B189,正厂竞争者数据汇总!D:M,6,FALSE)</f>
        <v>0</v>
      </c>
      <c r="Q189" s="429" t="s">
        <v>180</v>
      </c>
      <c r="R189" s="421" t="s">
        <v>180</v>
      </c>
      <c r="S189" s="473">
        <v>678</v>
      </c>
      <c r="T189" s="473">
        <v>135</v>
      </c>
      <c r="U189" s="466"/>
      <c r="V189" s="466"/>
      <c r="W189" s="421"/>
      <c r="X189" s="421"/>
      <c r="Y189" s="200" t="s">
        <v>356</v>
      </c>
      <c r="Z189" s="200">
        <v>695</v>
      </c>
      <c r="AA189" s="200">
        <v>138</v>
      </c>
      <c r="AB189" s="410">
        <f t="shared" si="15"/>
        <v>1</v>
      </c>
      <c r="AC189" s="409">
        <f t="shared" si="16"/>
        <v>695</v>
      </c>
      <c r="AD189" s="409">
        <f t="shared" si="17"/>
        <v>138</v>
      </c>
    </row>
    <row r="190" s="410" customFormat="1" spans="1:30">
      <c r="A190" s="432"/>
      <c r="B190" s="433"/>
      <c r="C190" s="434"/>
      <c r="D190" s="421"/>
      <c r="E190" s="436"/>
      <c r="F190" s="436"/>
      <c r="G190" s="436">
        <v>749876.416666666</v>
      </c>
      <c r="H190" s="436"/>
      <c r="I190" s="453"/>
      <c r="J190" s="457"/>
      <c r="K190" s="457"/>
      <c r="L190" s="457"/>
      <c r="M190" s="451"/>
      <c r="N190" s="455"/>
      <c r="O190" s="436"/>
      <c r="P190" s="542"/>
      <c r="Q190" s="434"/>
      <c r="R190" s="435"/>
      <c r="S190" s="473" t="s">
        <v>180</v>
      </c>
      <c r="T190" s="473" t="s">
        <v>180</v>
      </c>
      <c r="U190" s="466"/>
      <c r="V190" s="466"/>
      <c r="W190" s="435"/>
      <c r="X190" s="435"/>
      <c r="Y190" s="200" t="s">
        <v>240</v>
      </c>
      <c r="Z190" s="200" t="s">
        <v>180</v>
      </c>
      <c r="AA190" s="200" t="s">
        <v>180</v>
      </c>
      <c r="AB190" s="410">
        <f t="shared" si="15"/>
        <v>0</v>
      </c>
      <c r="AC190" s="409" t="str">
        <f t="shared" si="16"/>
        <v/>
      </c>
      <c r="AD190" s="409" t="str">
        <f t="shared" si="17"/>
        <v/>
      </c>
    </row>
    <row r="191" s="408" customFormat="1" spans="1:30">
      <c r="A191" s="428"/>
      <c r="B191" s="421"/>
      <c r="C191" s="439"/>
      <c r="D191" s="421"/>
      <c r="E191" s="430"/>
      <c r="F191" s="430">
        <v>235401.931083333</v>
      </c>
      <c r="G191" s="430"/>
      <c r="H191" s="430">
        <v>829193.583333334</v>
      </c>
      <c r="I191" s="453" t="e">
        <v>#DIV/0!</v>
      </c>
      <c r="J191" s="430"/>
      <c r="K191" s="430"/>
      <c r="L191" s="430"/>
      <c r="M191" s="451"/>
      <c r="N191" s="459"/>
      <c r="O191" s="430"/>
      <c r="P191" s="542"/>
      <c r="Q191" s="429"/>
      <c r="R191" s="421"/>
      <c r="S191" s="473" t="s">
        <v>180</v>
      </c>
      <c r="T191" s="473" t="s">
        <v>180</v>
      </c>
      <c r="U191" s="466"/>
      <c r="V191" s="466"/>
      <c r="W191" s="421"/>
      <c r="X191" s="421"/>
      <c r="Y191" s="200" t="s">
        <v>240</v>
      </c>
      <c r="Z191" s="200" t="s">
        <v>180</v>
      </c>
      <c r="AA191" s="200" t="s">
        <v>180</v>
      </c>
      <c r="AB191" s="410">
        <f t="shared" si="15"/>
        <v>0</v>
      </c>
      <c r="AC191" s="409" t="str">
        <f t="shared" si="16"/>
        <v/>
      </c>
      <c r="AD191" s="409" t="str">
        <f t="shared" si="17"/>
        <v/>
      </c>
    </row>
    <row r="192" s="408" customFormat="1" spans="1:30">
      <c r="A192" s="428"/>
      <c r="B192" s="421"/>
      <c r="C192" s="439"/>
      <c r="D192" s="421"/>
      <c r="E192" s="430"/>
      <c r="F192" s="430"/>
      <c r="G192" s="430"/>
      <c r="H192" s="430"/>
      <c r="I192" s="453"/>
      <c r="J192" s="430"/>
      <c r="K192" s="430"/>
      <c r="L192" s="430"/>
      <c r="M192" s="451"/>
      <c r="N192" s="459"/>
      <c r="O192" s="430"/>
      <c r="P192" s="542"/>
      <c r="Q192" s="429"/>
      <c r="R192" s="421"/>
      <c r="S192" s="473" t="s">
        <v>180</v>
      </c>
      <c r="T192" s="473" t="s">
        <v>180</v>
      </c>
      <c r="U192" s="466"/>
      <c r="V192" s="466"/>
      <c r="W192" s="421"/>
      <c r="X192" s="421"/>
      <c r="Y192" s="200" t="s">
        <v>240</v>
      </c>
      <c r="Z192" s="200" t="s">
        <v>180</v>
      </c>
      <c r="AA192" s="200" t="s">
        <v>180</v>
      </c>
      <c r="AB192" s="410">
        <f t="shared" si="15"/>
        <v>0</v>
      </c>
      <c r="AC192" s="409" t="str">
        <f t="shared" si="16"/>
        <v/>
      </c>
      <c r="AD192" s="409" t="str">
        <f t="shared" si="17"/>
        <v/>
      </c>
    </row>
    <row r="193" s="408" customFormat="1" ht="17.4" spans="1:30">
      <c r="A193" s="418" t="s">
        <v>191</v>
      </c>
      <c r="B193" s="419"/>
      <c r="C193" s="420"/>
      <c r="D193" s="421"/>
      <c r="E193" s="422" t="s">
        <v>202</v>
      </c>
      <c r="F193" s="422"/>
      <c r="G193" s="422" t="s">
        <v>213</v>
      </c>
      <c r="H193" s="422"/>
      <c r="I193" s="422"/>
      <c r="J193" s="422"/>
      <c r="K193" s="422"/>
      <c r="L193" s="422"/>
      <c r="M193" s="443"/>
      <c r="N193" s="422"/>
      <c r="O193" s="422"/>
      <c r="P193" s="542"/>
      <c r="Q193" s="465"/>
      <c r="R193" s="424"/>
      <c r="S193" s="473" t="s">
        <v>180</v>
      </c>
      <c r="T193" s="473" t="s">
        <v>180</v>
      </c>
      <c r="U193" s="467"/>
      <c r="V193" s="467"/>
      <c r="W193" s="467"/>
      <c r="X193" s="467"/>
      <c r="Y193" s="200" t="s">
        <v>240</v>
      </c>
      <c r="Z193" s="200" t="s">
        <v>180</v>
      </c>
      <c r="AA193" s="200" t="s">
        <v>180</v>
      </c>
      <c r="AB193" s="410">
        <f t="shared" si="15"/>
        <v>0</v>
      </c>
      <c r="AC193" s="409" t="str">
        <f t="shared" si="16"/>
        <v/>
      </c>
      <c r="AD193" s="409" t="str">
        <f t="shared" si="17"/>
        <v/>
      </c>
    </row>
    <row r="194" s="409" customFormat="1" ht="46.8" spans="1:30">
      <c r="A194" s="423" t="s">
        <v>206</v>
      </c>
      <c r="B194" s="424" t="s">
        <v>207</v>
      </c>
      <c r="C194" s="425" t="s">
        <v>208</v>
      </c>
      <c r="D194" s="424" t="s">
        <v>209</v>
      </c>
      <c r="E194" s="426" t="s">
        <v>210</v>
      </c>
      <c r="F194" s="427" t="s">
        <v>385</v>
      </c>
      <c r="G194" s="427">
        <v>116448.583333333</v>
      </c>
      <c r="H194" s="427" t="s">
        <v>213</v>
      </c>
      <c r="I194" s="427" t="s">
        <v>386</v>
      </c>
      <c r="J194" s="446" t="s">
        <v>216</v>
      </c>
      <c r="K194" s="446" t="s">
        <v>217</v>
      </c>
      <c r="L194" s="446" t="s">
        <v>387</v>
      </c>
      <c r="M194" s="447" t="s">
        <v>218</v>
      </c>
      <c r="N194" s="448" t="s">
        <v>219</v>
      </c>
      <c r="O194" s="449" t="s">
        <v>220</v>
      </c>
      <c r="P194" s="543" t="s">
        <v>221</v>
      </c>
      <c r="Q194" s="469" t="s">
        <v>222</v>
      </c>
      <c r="R194" s="426" t="s">
        <v>223</v>
      </c>
      <c r="S194" s="470" t="s">
        <v>224</v>
      </c>
      <c r="T194" s="470" t="s">
        <v>205</v>
      </c>
      <c r="U194" s="467" t="s">
        <v>225</v>
      </c>
      <c r="V194" s="470" t="s">
        <v>226</v>
      </c>
      <c r="W194" s="467"/>
      <c r="X194" s="467"/>
      <c r="Y194" s="200" t="s">
        <v>207</v>
      </c>
      <c r="Z194" s="200" t="s">
        <v>180</v>
      </c>
      <c r="AA194" s="200" t="s">
        <v>180</v>
      </c>
      <c r="AB194" s="410">
        <f t="shared" si="15"/>
        <v>1</v>
      </c>
      <c r="AC194" s="409" t="str">
        <f t="shared" si="16"/>
        <v>Forum Link</v>
      </c>
      <c r="AD194" s="409" t="str">
        <f t="shared" si="17"/>
        <v>Domains</v>
      </c>
    </row>
    <row r="195" s="408" customFormat="1" spans="1:30">
      <c r="A195" s="428" t="s">
        <v>325</v>
      </c>
      <c r="B195" s="421" t="s">
        <v>357</v>
      </c>
      <c r="C195" s="429" t="str">
        <f>VLOOKUP(B195,正厂竞争者数据汇总!D:H,2,FALSE)</f>
        <v>原厂目录</v>
      </c>
      <c r="D195" s="421" t="str">
        <f>VLOOKUP(B195,正厂竞争者数据汇总!D:H,3,FALSE)</f>
        <v>IL</v>
      </c>
      <c r="E195" s="430">
        <f>VLOOKUP(B195,正厂竞争者数据汇总!D:H,4,FALSE)</f>
        <v>0</v>
      </c>
      <c r="F195" s="430">
        <v>117987.286666666</v>
      </c>
      <c r="G195" s="430">
        <v>0</v>
      </c>
      <c r="H195" s="430">
        <v>99768.6666666667</v>
      </c>
      <c r="I195" s="453" t="e">
        <v>#DIV/0!</v>
      </c>
      <c r="J195" s="451">
        <v>0.586087874509116</v>
      </c>
      <c r="K195" s="451">
        <v>0.561884070855872</v>
      </c>
      <c r="L195" s="451">
        <v>0.46564998899695</v>
      </c>
      <c r="M195" s="451" t="e">
        <f>J195-#REF!</f>
        <v>#REF!</v>
      </c>
      <c r="N195" s="459"/>
      <c r="O195" s="430"/>
      <c r="P195" s="542">
        <f>VLOOKUP(B195,正厂竞争者数据汇总!D:M,6,FALSE)</f>
        <v>0</v>
      </c>
      <c r="Q195" s="429" t="s">
        <v>180</v>
      </c>
      <c r="R195" s="421" t="s">
        <v>180</v>
      </c>
      <c r="S195" s="473">
        <v>30278</v>
      </c>
      <c r="T195" s="473">
        <v>2618</v>
      </c>
      <c r="U195" s="466"/>
      <c r="V195" s="466"/>
      <c r="W195" s="421"/>
      <c r="X195" s="421"/>
      <c r="Y195" s="200" t="s">
        <v>357</v>
      </c>
      <c r="Z195" s="200">
        <v>28892</v>
      </c>
      <c r="AA195" s="200">
        <v>2244</v>
      </c>
      <c r="AB195" s="410">
        <f t="shared" si="15"/>
        <v>1</v>
      </c>
      <c r="AC195" s="409">
        <f t="shared" si="16"/>
        <v>28892</v>
      </c>
      <c r="AD195" s="409">
        <f t="shared" si="17"/>
        <v>2244</v>
      </c>
    </row>
    <row r="196" s="408" customFormat="1" spans="1:30">
      <c r="A196" s="428" t="s">
        <v>230</v>
      </c>
      <c r="B196" s="421" t="s">
        <v>358</v>
      </c>
      <c r="C196" s="429" t="str">
        <f>VLOOKUP(B196,正厂竞争者数据汇总!D:H,2,FALSE)</f>
        <v>Motor目录</v>
      </c>
      <c r="D196" s="421" t="str">
        <f>VLOOKUP(B196,正厂竞争者数据汇总!D:H,3,FALSE)</f>
        <v>CT</v>
      </c>
      <c r="E196" s="430"/>
      <c r="F196" s="430">
        <v>27690.0833333333</v>
      </c>
      <c r="G196" s="430"/>
      <c r="H196" s="430"/>
      <c r="I196" s="453"/>
      <c r="J196" s="451">
        <v>0.137547209909681</v>
      </c>
      <c r="K196" s="451">
        <v>0.144943637026314</v>
      </c>
      <c r="L196" s="451">
        <v>0.139246377056604</v>
      </c>
      <c r="M196" s="451"/>
      <c r="N196" s="459"/>
      <c r="O196" s="430"/>
      <c r="P196" s="542" t="str">
        <f>VLOOKUP(B196,正厂竞争者数据汇总!D:M,6,FALSE)</f>
        <v>2023年9月新增</v>
      </c>
      <c r="Q196" s="429"/>
      <c r="R196" s="421"/>
      <c r="S196" s="473">
        <v>454</v>
      </c>
      <c r="T196" s="473">
        <v>103</v>
      </c>
      <c r="U196" s="466"/>
      <c r="V196" s="466"/>
      <c r="W196" s="421"/>
      <c r="X196" s="421"/>
      <c r="Y196" s="200" t="s">
        <v>358</v>
      </c>
      <c r="Z196" s="200">
        <v>449</v>
      </c>
      <c r="AA196" s="200">
        <v>99</v>
      </c>
      <c r="AB196" s="410">
        <f t="shared" si="15"/>
        <v>1</v>
      </c>
      <c r="AC196" s="409">
        <f t="shared" si="16"/>
        <v>449</v>
      </c>
      <c r="AD196" s="409">
        <f t="shared" si="17"/>
        <v>99</v>
      </c>
    </row>
    <row r="197" s="408" customFormat="1" spans="1:30">
      <c r="A197" s="428" t="s">
        <v>230</v>
      </c>
      <c r="B197" s="421" t="s">
        <v>359</v>
      </c>
      <c r="C197" s="429" t="str">
        <f>VLOOKUP(B197,正厂竞争者数据汇总!D:H,2,FALSE)</f>
        <v>Motor目录</v>
      </c>
      <c r="D197" s="421" t="str">
        <f>VLOOKUP(B197,正厂竞争者数据汇总!D:H,3,FALSE)</f>
        <v>NY</v>
      </c>
      <c r="E197" s="430"/>
      <c r="F197" s="430">
        <v>19138.86</v>
      </c>
      <c r="G197" s="430"/>
      <c r="H197" s="430"/>
      <c r="I197" s="453"/>
      <c r="J197" s="451">
        <v>0.095070020633813</v>
      </c>
      <c r="K197" s="451">
        <v>0.0501051919859537</v>
      </c>
      <c r="L197" s="451">
        <v>0.0698118601782794</v>
      </c>
      <c r="M197" s="451"/>
      <c r="N197" s="459"/>
      <c r="O197" s="430"/>
      <c r="P197" s="542" t="str">
        <f>VLOOKUP(B197,正厂竞争者数据汇总!D:M,6,FALSE)</f>
        <v>2023年9月新增</v>
      </c>
      <c r="Q197" s="429"/>
      <c r="R197" s="421"/>
      <c r="S197" s="473">
        <v>313</v>
      </c>
      <c r="T197" s="473">
        <v>116</v>
      </c>
      <c r="U197" s="466"/>
      <c r="V197" s="466"/>
      <c r="W197" s="421"/>
      <c r="X197" s="421"/>
      <c r="Y197" s="200" t="s">
        <v>359</v>
      </c>
      <c r="Z197" s="200">
        <v>356</v>
      </c>
      <c r="AA197" s="200">
        <v>114</v>
      </c>
      <c r="AB197" s="410">
        <f t="shared" si="15"/>
        <v>1</v>
      </c>
      <c r="AC197" s="409">
        <f t="shared" si="16"/>
        <v>356</v>
      </c>
      <c r="AD197" s="409">
        <f t="shared" si="17"/>
        <v>114</v>
      </c>
    </row>
    <row r="198" s="408" customFormat="1" spans="1:30">
      <c r="A198" s="428" t="s">
        <v>230</v>
      </c>
      <c r="B198" s="421" t="s">
        <v>364</v>
      </c>
      <c r="C198" s="429" t="str">
        <f>VLOOKUP(B198,正厂竞争者数据汇总!D:H,2,FALSE)</f>
        <v>Motor目录</v>
      </c>
      <c r="D198" s="421" t="str">
        <f>VLOOKUP(B198,正厂竞争者数据汇总!D:H,3,FALSE)</f>
        <v>TX</v>
      </c>
      <c r="E198" s="430"/>
      <c r="F198" s="430">
        <v>11587.3460333333</v>
      </c>
      <c r="G198" s="430"/>
      <c r="H198" s="430"/>
      <c r="I198" s="453"/>
      <c r="J198" s="451">
        <v>0.0575587692516758</v>
      </c>
      <c r="K198" s="451">
        <v>0.146942489784192</v>
      </c>
      <c r="L198" s="451">
        <v>0.189843036800623</v>
      </c>
      <c r="M198" s="451"/>
      <c r="N198" s="459"/>
      <c r="O198" s="430"/>
      <c r="P198" s="542" t="str">
        <f>VLOOKUP(B198,正厂竞争者数据汇总!D:M,6,FALSE)</f>
        <v>2023年9月新增，202402导流到myswedishparts.com</v>
      </c>
      <c r="Q198" s="429"/>
      <c r="R198" s="421"/>
      <c r="S198" s="473">
        <v>1747</v>
      </c>
      <c r="T198" s="473">
        <v>280</v>
      </c>
      <c r="U198" s="466"/>
      <c r="V198" s="466"/>
      <c r="W198" s="421"/>
      <c r="X198" s="421"/>
      <c r="Y198" s="200" t="s">
        <v>364</v>
      </c>
      <c r="Z198" s="200">
        <v>1813</v>
      </c>
      <c r="AA198" s="200">
        <v>302</v>
      </c>
      <c r="AB198" s="410">
        <f t="shared" si="15"/>
        <v>1</v>
      </c>
      <c r="AC198" s="409">
        <f t="shared" si="16"/>
        <v>1813</v>
      </c>
      <c r="AD198" s="409">
        <f t="shared" si="17"/>
        <v>302</v>
      </c>
    </row>
    <row r="199" s="408" customFormat="1" spans="1:30">
      <c r="A199" s="428" t="s">
        <v>230</v>
      </c>
      <c r="B199" s="421" t="s">
        <v>360</v>
      </c>
      <c r="C199" s="429" t="s">
        <v>361</v>
      </c>
      <c r="D199" s="421" t="s">
        <v>60</v>
      </c>
      <c r="E199" s="430"/>
      <c r="F199" s="430">
        <v>11590.25</v>
      </c>
      <c r="G199" s="430"/>
      <c r="H199" s="430"/>
      <c r="I199" s="453"/>
      <c r="J199" s="451">
        <v>0.057573194362206</v>
      </c>
      <c r="K199" s="451"/>
      <c r="L199" s="451"/>
      <c r="M199" s="451"/>
      <c r="N199" s="459"/>
      <c r="O199" s="430"/>
      <c r="P199" s="542"/>
      <c r="Q199" s="429"/>
      <c r="R199" s="421"/>
      <c r="S199" s="473">
        <v>675</v>
      </c>
      <c r="T199" s="473">
        <v>87</v>
      </c>
      <c r="U199" s="466"/>
      <c r="V199" s="466"/>
      <c r="W199" s="421"/>
      <c r="X199" s="421"/>
      <c r="Y199" s="200"/>
      <c r="Z199" s="200"/>
      <c r="AA199" s="200"/>
      <c r="AB199" s="410"/>
      <c r="AC199" s="409"/>
      <c r="AD199" s="409"/>
    </row>
    <row r="200" s="408" customFormat="1" spans="1:30">
      <c r="A200" s="428" t="s">
        <v>325</v>
      </c>
      <c r="B200" s="421" t="s">
        <v>362</v>
      </c>
      <c r="C200" s="429" t="str">
        <f>VLOOKUP(B200,正厂竞争者数据汇总!D:H,2,FALSE)</f>
        <v>原厂目录</v>
      </c>
      <c r="D200" s="421" t="str">
        <f>VLOOKUP(B200,正厂竞争者数据汇总!D:H,3,FALSE)</f>
        <v>CA</v>
      </c>
      <c r="E200" s="430"/>
      <c r="F200" s="430">
        <v>8874.72833333335</v>
      </c>
      <c r="G200" s="430"/>
      <c r="H200" s="430"/>
      <c r="I200" s="453"/>
      <c r="J200" s="451">
        <v>0.0440841620540349</v>
      </c>
      <c r="K200" s="451">
        <v>0.0584257577868983</v>
      </c>
      <c r="L200" s="451">
        <v>0.0785013023808006</v>
      </c>
      <c r="M200" s="451"/>
      <c r="N200" s="459"/>
      <c r="O200" s="430"/>
      <c r="P200" s="542">
        <f>VLOOKUP(B200,正厂竞争者数据汇总!D:M,6,FALSE)</f>
        <v>0</v>
      </c>
      <c r="Q200" s="429"/>
      <c r="R200" s="421"/>
      <c r="S200" s="473">
        <v>648</v>
      </c>
      <c r="T200" s="473">
        <v>180</v>
      </c>
      <c r="U200" s="466"/>
      <c r="V200" s="466"/>
      <c r="W200" s="421"/>
      <c r="X200" s="421"/>
      <c r="Y200" s="200" t="s">
        <v>362</v>
      </c>
      <c r="Z200" s="200">
        <v>687</v>
      </c>
      <c r="AA200" s="200">
        <v>173</v>
      </c>
      <c r="AB200" s="410">
        <f t="shared" ref="AB200:AB231" si="18">IF(B200=Y200,1,0)</f>
        <v>1</v>
      </c>
      <c r="AC200" s="409">
        <f t="shared" ref="AC200:AC231" si="19">IF(Y200="Competitors","Forum Link",Z200)</f>
        <v>687</v>
      </c>
      <c r="AD200" s="409">
        <f t="shared" ref="AD200:AD231" si="20">IF(Y200="Competitors","Domains",AA200)</f>
        <v>173</v>
      </c>
    </row>
    <row r="201" s="408" customFormat="1" spans="1:30">
      <c r="A201" s="428" t="s">
        <v>325</v>
      </c>
      <c r="B201" s="421" t="s">
        <v>363</v>
      </c>
      <c r="C201" s="429" t="str">
        <f>VLOOKUP(B201,正厂竞争者数据汇总!D:H,2,FALSE)</f>
        <v>原厂目录</v>
      </c>
      <c r="D201" s="421" t="str">
        <f>VLOOKUP(B201,正厂竞争者数据汇总!D:H,3,FALSE)</f>
        <v>MD</v>
      </c>
      <c r="E201" s="430"/>
      <c r="F201" s="430">
        <v>4444.75</v>
      </c>
      <c r="G201" s="430"/>
      <c r="H201" s="430"/>
      <c r="I201" s="453"/>
      <c r="J201" s="451">
        <v>0.0220787692794733</v>
      </c>
      <c r="K201" s="451">
        <v>0.0376988525607701</v>
      </c>
      <c r="L201" s="451">
        <v>0.0569474345867428</v>
      </c>
      <c r="M201" s="451"/>
      <c r="N201" s="459"/>
      <c r="O201" s="430"/>
      <c r="P201" s="542"/>
      <c r="Q201" s="429"/>
      <c r="R201" s="421"/>
      <c r="S201" s="473">
        <v>85</v>
      </c>
      <c r="T201" s="473">
        <v>36</v>
      </c>
      <c r="U201" s="466"/>
      <c r="V201" s="466"/>
      <c r="W201" s="421"/>
      <c r="X201" s="421"/>
      <c r="Y201" s="200" t="s">
        <v>363</v>
      </c>
      <c r="Z201" s="200">
        <v>147</v>
      </c>
      <c r="AA201" s="200">
        <v>41</v>
      </c>
      <c r="AB201" s="410">
        <f t="shared" si="18"/>
        <v>1</v>
      </c>
      <c r="AC201" s="409">
        <f t="shared" si="19"/>
        <v>147</v>
      </c>
      <c r="AD201" s="409">
        <f t="shared" si="20"/>
        <v>41</v>
      </c>
    </row>
    <row r="202" s="408" customFormat="1" spans="1:30">
      <c r="A202" s="428"/>
      <c r="B202" s="438"/>
      <c r="C202" s="429"/>
      <c r="D202" s="421"/>
      <c r="E202" s="430"/>
      <c r="F202" s="430"/>
      <c r="G202" s="430">
        <v>131075.583333333</v>
      </c>
      <c r="H202" s="430"/>
      <c r="I202" s="453"/>
      <c r="J202" s="451"/>
      <c r="K202" s="451"/>
      <c r="L202" s="451"/>
      <c r="M202" s="451"/>
      <c r="N202" s="459"/>
      <c r="O202" s="430"/>
      <c r="P202" s="542"/>
      <c r="Q202" s="429"/>
      <c r="R202" s="421"/>
      <c r="S202" s="473" t="s">
        <v>180</v>
      </c>
      <c r="T202" s="473" t="s">
        <v>180</v>
      </c>
      <c r="U202" s="466"/>
      <c r="V202" s="466"/>
      <c r="W202" s="421"/>
      <c r="X202" s="421"/>
      <c r="Y202" s="200" t="s">
        <v>240</v>
      </c>
      <c r="Z202" s="200" t="s">
        <v>180</v>
      </c>
      <c r="AA202" s="200" t="s">
        <v>180</v>
      </c>
      <c r="AB202" s="410">
        <f t="shared" si="18"/>
        <v>0</v>
      </c>
      <c r="AC202" s="409" t="str">
        <f t="shared" si="19"/>
        <v/>
      </c>
      <c r="AD202" s="409" t="str">
        <f t="shared" si="20"/>
        <v/>
      </c>
    </row>
    <row r="203" s="408" customFormat="1" spans="1:30">
      <c r="A203" s="428"/>
      <c r="B203" s="421"/>
      <c r="C203" s="439"/>
      <c r="D203" s="421"/>
      <c r="E203" s="421"/>
      <c r="F203" s="496">
        <v>201313.304366666</v>
      </c>
      <c r="G203" s="496"/>
      <c r="H203" s="496">
        <v>117816.916666667</v>
      </c>
      <c r="I203" s="453" t="e">
        <v>#DIV/0!</v>
      </c>
      <c r="J203" s="430"/>
      <c r="K203" s="430"/>
      <c r="L203" s="430"/>
      <c r="M203" s="451"/>
      <c r="N203" s="459"/>
      <c r="O203" s="430"/>
      <c r="P203" s="542"/>
      <c r="Q203" s="429"/>
      <c r="R203" s="421"/>
      <c r="S203" s="473" t="s">
        <v>180</v>
      </c>
      <c r="T203" s="473" t="s">
        <v>180</v>
      </c>
      <c r="U203" s="466"/>
      <c r="V203" s="466"/>
      <c r="W203" s="421"/>
      <c r="X203" s="421"/>
      <c r="Y203" s="200" t="s">
        <v>240</v>
      </c>
      <c r="Z203" s="200" t="s">
        <v>180</v>
      </c>
      <c r="AA203" s="200" t="s">
        <v>180</v>
      </c>
      <c r="AB203" s="410">
        <f t="shared" si="18"/>
        <v>0</v>
      </c>
      <c r="AC203" s="409" t="str">
        <f t="shared" si="19"/>
        <v/>
      </c>
      <c r="AD203" s="409" t="str">
        <f t="shared" si="20"/>
        <v/>
      </c>
    </row>
    <row r="204" s="408" customFormat="1" spans="1:30">
      <c r="A204" s="428"/>
      <c r="B204" s="438"/>
      <c r="C204" s="439"/>
      <c r="D204" s="421"/>
      <c r="E204" s="430"/>
      <c r="F204" s="430"/>
      <c r="G204" s="430"/>
      <c r="H204" s="430"/>
      <c r="I204" s="453"/>
      <c r="J204" s="430"/>
      <c r="K204" s="430"/>
      <c r="L204" s="430"/>
      <c r="M204" s="451"/>
      <c r="N204" s="459"/>
      <c r="O204" s="430"/>
      <c r="P204" s="542"/>
      <c r="Q204" s="429"/>
      <c r="R204" s="421"/>
      <c r="S204" s="473" t="s">
        <v>180</v>
      </c>
      <c r="T204" s="473" t="s">
        <v>180</v>
      </c>
      <c r="U204" s="466"/>
      <c r="V204" s="466"/>
      <c r="W204" s="421"/>
      <c r="X204" s="421"/>
      <c r="Y204" s="200" t="s">
        <v>240</v>
      </c>
      <c r="Z204" s="200" t="s">
        <v>180</v>
      </c>
      <c r="AA204" s="200" t="s">
        <v>180</v>
      </c>
      <c r="AB204" s="410">
        <f t="shared" si="18"/>
        <v>0</v>
      </c>
      <c r="AC204" s="409" t="str">
        <f t="shared" si="19"/>
        <v/>
      </c>
      <c r="AD204" s="409" t="str">
        <f t="shared" si="20"/>
        <v/>
      </c>
    </row>
    <row r="205" s="408" customFormat="1" ht="17.4" spans="1:30">
      <c r="A205" s="418" t="s">
        <v>193</v>
      </c>
      <c r="B205" s="419"/>
      <c r="C205" s="420"/>
      <c r="D205" s="421"/>
      <c r="E205" s="422" t="s">
        <v>202</v>
      </c>
      <c r="F205" s="422"/>
      <c r="G205" s="422" t="s">
        <v>213</v>
      </c>
      <c r="H205" s="422"/>
      <c r="I205" s="422"/>
      <c r="J205" s="422"/>
      <c r="K205" s="422"/>
      <c r="L205" s="422"/>
      <c r="M205" s="443"/>
      <c r="N205" s="422"/>
      <c r="O205" s="422"/>
      <c r="P205" s="542"/>
      <c r="Q205" s="465"/>
      <c r="R205" s="424"/>
      <c r="S205" s="473" t="s">
        <v>180</v>
      </c>
      <c r="T205" s="473" t="s">
        <v>180</v>
      </c>
      <c r="U205" s="467"/>
      <c r="V205" s="467"/>
      <c r="W205" s="467"/>
      <c r="X205" s="467"/>
      <c r="Y205" s="200" t="s">
        <v>240</v>
      </c>
      <c r="Z205" s="200" t="s">
        <v>180</v>
      </c>
      <c r="AA205" s="200" t="s">
        <v>180</v>
      </c>
      <c r="AB205" s="410">
        <f t="shared" si="18"/>
        <v>0</v>
      </c>
      <c r="AC205" s="409" t="str">
        <f t="shared" si="19"/>
        <v/>
      </c>
      <c r="AD205" s="409" t="str">
        <f t="shared" si="20"/>
        <v/>
      </c>
    </row>
    <row r="206" s="409" customFormat="1" ht="46.8" spans="1:30">
      <c r="A206" s="423" t="s">
        <v>206</v>
      </c>
      <c r="B206" s="424" t="s">
        <v>207</v>
      </c>
      <c r="C206" s="425" t="s">
        <v>208</v>
      </c>
      <c r="D206" s="424" t="s">
        <v>209</v>
      </c>
      <c r="E206" s="426" t="s">
        <v>210</v>
      </c>
      <c r="F206" s="427" t="s">
        <v>385</v>
      </c>
      <c r="G206" s="427">
        <v>116448.583333333</v>
      </c>
      <c r="H206" s="427" t="s">
        <v>213</v>
      </c>
      <c r="I206" s="427" t="s">
        <v>386</v>
      </c>
      <c r="J206" s="446" t="s">
        <v>216</v>
      </c>
      <c r="K206" s="446" t="s">
        <v>217</v>
      </c>
      <c r="L206" s="446" t="s">
        <v>387</v>
      </c>
      <c r="M206" s="447" t="s">
        <v>218</v>
      </c>
      <c r="N206" s="448" t="s">
        <v>219</v>
      </c>
      <c r="O206" s="449" t="s">
        <v>220</v>
      </c>
      <c r="P206" s="543" t="s">
        <v>221</v>
      </c>
      <c r="Q206" s="469" t="s">
        <v>222</v>
      </c>
      <c r="R206" s="426" t="s">
        <v>223</v>
      </c>
      <c r="S206" s="470" t="s">
        <v>224</v>
      </c>
      <c r="T206" s="470" t="s">
        <v>205</v>
      </c>
      <c r="U206" s="467" t="s">
        <v>225</v>
      </c>
      <c r="V206" s="470" t="s">
        <v>226</v>
      </c>
      <c r="W206" s="467"/>
      <c r="X206" s="467"/>
      <c r="Y206" s="200" t="s">
        <v>207</v>
      </c>
      <c r="Z206" s="200" t="s">
        <v>180</v>
      </c>
      <c r="AA206" s="200" t="s">
        <v>180</v>
      </c>
      <c r="AB206" s="410">
        <f t="shared" si="18"/>
        <v>1</v>
      </c>
      <c r="AC206" s="409" t="str">
        <f t="shared" si="19"/>
        <v>Forum Link</v>
      </c>
      <c r="AD206" s="409" t="str">
        <f t="shared" si="20"/>
        <v>Domains</v>
      </c>
    </row>
    <row r="207" s="408" customFormat="1" spans="1:30">
      <c r="A207" s="428" t="s">
        <v>230</v>
      </c>
      <c r="B207" s="438" t="s">
        <v>365</v>
      </c>
      <c r="C207" s="429" t="str">
        <f>VLOOKUP(B207,正厂竞争者数据汇总!D:H,2,FALSE)</f>
        <v>Motor目录</v>
      </c>
      <c r="D207" s="421" t="str">
        <f>VLOOKUP(B207,正厂竞争者数据汇总!D:H,3,FALSE)</f>
        <v>OR</v>
      </c>
      <c r="E207" s="430">
        <f>VLOOKUP(B207,正厂竞争者数据汇总!D:H,4,FALSE)</f>
        <v>0</v>
      </c>
      <c r="F207" s="430">
        <v>50958.1398666667</v>
      </c>
      <c r="G207" s="430">
        <v>38319.6666666667</v>
      </c>
      <c r="H207" s="430">
        <v>273188.083333333</v>
      </c>
      <c r="I207" s="453"/>
      <c r="J207" s="451">
        <v>0.270671853776433</v>
      </c>
      <c r="K207" s="451">
        <v>0.306665433753</v>
      </c>
      <c r="L207" s="451">
        <v>0.29130878395855</v>
      </c>
      <c r="M207" s="451"/>
      <c r="N207" s="459"/>
      <c r="O207" s="430"/>
      <c r="P207" s="542">
        <f>VLOOKUP(B207,正厂竞争者数据汇总!D:M,6,FALSE)</f>
        <v>0</v>
      </c>
      <c r="Q207" s="429" t="s">
        <v>180</v>
      </c>
      <c r="R207" s="421" t="s">
        <v>180</v>
      </c>
      <c r="S207" s="473">
        <v>1780</v>
      </c>
      <c r="T207" s="473">
        <v>318</v>
      </c>
      <c r="U207" s="466"/>
      <c r="V207" s="466"/>
      <c r="W207" s="421"/>
      <c r="X207" s="421"/>
      <c r="Y207" s="200" t="s">
        <v>365</v>
      </c>
      <c r="Z207" s="200">
        <v>1749</v>
      </c>
      <c r="AA207" s="200">
        <v>336</v>
      </c>
      <c r="AB207" s="410">
        <f t="shared" si="18"/>
        <v>1</v>
      </c>
      <c r="AC207" s="409">
        <f t="shared" si="19"/>
        <v>1749</v>
      </c>
      <c r="AD207" s="409">
        <f t="shared" si="20"/>
        <v>336</v>
      </c>
    </row>
    <row r="208" s="408" customFormat="1" spans="1:30">
      <c r="A208" s="428" t="s">
        <v>230</v>
      </c>
      <c r="B208" s="438" t="s">
        <v>366</v>
      </c>
      <c r="C208" s="429" t="s">
        <v>65</v>
      </c>
      <c r="D208" s="421" t="s">
        <v>49</v>
      </c>
      <c r="E208" s="430"/>
      <c r="F208" s="430">
        <v>46595.0133333333</v>
      </c>
      <c r="G208" s="430">
        <v>38321.6666666667</v>
      </c>
      <c r="H208" s="430">
        <v>273190.083333333</v>
      </c>
      <c r="I208" s="453"/>
      <c r="J208" s="451">
        <v>0.247496448431407</v>
      </c>
      <c r="K208" s="451">
        <v>0.210916099529211</v>
      </c>
      <c r="L208" s="451">
        <v>0.222666924034228</v>
      </c>
      <c r="M208" s="451"/>
      <c r="N208" s="459"/>
      <c r="O208" s="430"/>
      <c r="P208" s="542"/>
      <c r="Q208" s="429"/>
      <c r="R208" s="421"/>
      <c r="S208" s="473">
        <v>485</v>
      </c>
      <c r="T208" s="473">
        <v>133</v>
      </c>
      <c r="U208" s="466"/>
      <c r="V208" s="466"/>
      <c r="W208" s="421"/>
      <c r="X208" s="421"/>
      <c r="Y208" s="200" t="s">
        <v>366</v>
      </c>
      <c r="Z208" s="200">
        <v>415</v>
      </c>
      <c r="AA208" s="200">
        <v>134</v>
      </c>
      <c r="AB208" s="410">
        <f t="shared" si="18"/>
        <v>1</v>
      </c>
      <c r="AC208" s="409">
        <f t="shared" si="19"/>
        <v>415</v>
      </c>
      <c r="AD208" s="409">
        <f t="shared" si="20"/>
        <v>134</v>
      </c>
    </row>
    <row r="209" s="408" customFormat="1" spans="1:30">
      <c r="A209" s="428" t="s">
        <v>367</v>
      </c>
      <c r="B209" s="438" t="s">
        <v>368</v>
      </c>
      <c r="C209" s="429" t="str">
        <f>VLOOKUP(B209,正厂竞争者数据汇总!D:H,2,FALSE)</f>
        <v>Motor目录</v>
      </c>
      <c r="D209" s="421" t="str">
        <f>VLOOKUP(B209,正厂竞争者数据汇总!D:H,3,FALSE)</f>
        <v>-</v>
      </c>
      <c r="E209" s="430">
        <f>VLOOKUP(B209,正厂竞争者数据汇总!D:H,4,FALSE)</f>
        <v>0</v>
      </c>
      <c r="F209" s="430">
        <v>24564.1666666667</v>
      </c>
      <c r="G209" s="430">
        <v>38320.6666666667</v>
      </c>
      <c r="H209" s="430">
        <v>273189.083333333</v>
      </c>
      <c r="I209" s="453"/>
      <c r="J209" s="451">
        <v>0.130476280051367</v>
      </c>
      <c r="K209" s="451">
        <v>0.118477005020784</v>
      </c>
      <c r="L209" s="451">
        <v>0.116023341099568</v>
      </c>
      <c r="M209" s="451"/>
      <c r="N209" s="459"/>
      <c r="O209" s="430"/>
      <c r="P209" s="542">
        <f>VLOOKUP(B209,正厂竞争者数据汇总!D:M,6,FALSE)</f>
        <v>0</v>
      </c>
      <c r="Q209" s="429"/>
      <c r="R209" s="421"/>
      <c r="S209" s="473">
        <v>5603</v>
      </c>
      <c r="T209" s="473">
        <v>434</v>
      </c>
      <c r="U209" s="466"/>
      <c r="V209" s="466"/>
      <c r="W209" s="421"/>
      <c r="X209" s="421"/>
      <c r="Y209" s="200" t="s">
        <v>368</v>
      </c>
      <c r="Z209" s="200">
        <v>6126</v>
      </c>
      <c r="AA209" s="200">
        <v>459</v>
      </c>
      <c r="AB209" s="410">
        <f t="shared" si="18"/>
        <v>1</v>
      </c>
      <c r="AC209" s="409">
        <f t="shared" si="19"/>
        <v>6126</v>
      </c>
      <c r="AD209" s="409">
        <f t="shared" si="20"/>
        <v>459</v>
      </c>
    </row>
    <row r="210" s="408" customFormat="1" spans="1:30">
      <c r="A210" s="428" t="s">
        <v>243</v>
      </c>
      <c r="B210" s="438" t="s">
        <v>369</v>
      </c>
      <c r="C210" s="429" t="str">
        <f>VLOOKUP(B210,正厂竞争者数据汇总!D:H,2,FALSE)</f>
        <v>旧年份原厂、新年份Motor</v>
      </c>
      <c r="D210" s="421" t="str">
        <f>VLOOKUP(B210,正厂竞争者数据汇总!D:H,3,FALSE)</f>
        <v>GA</v>
      </c>
      <c r="E210" s="430">
        <f>VLOOKUP(B210,正厂竞争者数据汇总!D:H,4,FALSE)</f>
        <v>0</v>
      </c>
      <c r="F210" s="430">
        <v>18425.6666666667</v>
      </c>
      <c r="G210" s="430">
        <v>38322.6666666667</v>
      </c>
      <c r="H210" s="430">
        <v>273191.083333333</v>
      </c>
      <c r="I210" s="453"/>
      <c r="J210" s="451">
        <v>0.0978707104847768</v>
      </c>
      <c r="K210" s="451">
        <v>0.101410182628078</v>
      </c>
      <c r="L210" s="451">
        <v>0.124410208994298</v>
      </c>
      <c r="M210" s="451"/>
      <c r="N210" s="459"/>
      <c r="O210" s="430"/>
      <c r="P210" s="542">
        <f>VLOOKUP(B210,正厂竞争者数据汇总!D:M,6,FALSE)</f>
        <v>0</v>
      </c>
      <c r="Q210" s="429"/>
      <c r="R210" s="421"/>
      <c r="S210" s="473">
        <v>9170</v>
      </c>
      <c r="T210" s="473">
        <v>1422</v>
      </c>
      <c r="U210" s="466"/>
      <c r="V210" s="466"/>
      <c r="W210" s="421"/>
      <c r="X210" s="421"/>
      <c r="Y210" s="200" t="s">
        <v>369</v>
      </c>
      <c r="Z210" s="200">
        <v>9481</v>
      </c>
      <c r="AA210" s="200">
        <v>1271</v>
      </c>
      <c r="AB210" s="410">
        <f t="shared" si="18"/>
        <v>1</v>
      </c>
      <c r="AC210" s="409">
        <f t="shared" si="19"/>
        <v>9481</v>
      </c>
      <c r="AD210" s="409">
        <f t="shared" si="20"/>
        <v>1271</v>
      </c>
    </row>
    <row r="211" s="408" customFormat="1" ht="17.4" spans="1:30">
      <c r="A211" s="428" t="s">
        <v>230</v>
      </c>
      <c r="B211" s="438" t="s">
        <v>370</v>
      </c>
      <c r="C211" s="429" t="s">
        <v>247</v>
      </c>
      <c r="D211" s="421" t="s">
        <v>371</v>
      </c>
      <c r="E211" s="430"/>
      <c r="F211" s="430">
        <v>13883.3333333333</v>
      </c>
      <c r="G211" s="430">
        <v>38321.6666666667</v>
      </c>
      <c r="H211" s="430">
        <v>273190.083333333</v>
      </c>
      <c r="I211" s="453"/>
      <c r="J211" s="451">
        <v>0.0737434211641539</v>
      </c>
      <c r="K211" s="451">
        <v>0.0515705850574039</v>
      </c>
      <c r="L211" s="451">
        <v>0.0295803271962163</v>
      </c>
      <c r="M211" s="451"/>
      <c r="N211" s="459"/>
      <c r="O211" s="430"/>
      <c r="P211" s="542"/>
      <c r="Q211" s="429"/>
      <c r="R211" s="421"/>
      <c r="S211" s="473">
        <v>16429</v>
      </c>
      <c r="T211" s="473">
        <v>128</v>
      </c>
      <c r="U211" s="466"/>
      <c r="V211" s="466"/>
      <c r="W211" s="421"/>
      <c r="X211" s="421"/>
      <c r="Y211" s="200" t="s">
        <v>370</v>
      </c>
      <c r="Z211" s="200">
        <v>16539</v>
      </c>
      <c r="AA211" s="200">
        <v>147</v>
      </c>
      <c r="AB211" s="410">
        <f t="shared" si="18"/>
        <v>1</v>
      </c>
      <c r="AC211" s="409">
        <f t="shared" si="19"/>
        <v>16539</v>
      </c>
      <c r="AD211" s="409">
        <f t="shared" si="20"/>
        <v>147</v>
      </c>
    </row>
    <row r="212" s="408" customFormat="1" spans="1:30">
      <c r="A212" s="428" t="s">
        <v>230</v>
      </c>
      <c r="B212" s="438" t="s">
        <v>372</v>
      </c>
      <c r="C212" s="429" t="str">
        <f>VLOOKUP(B212,正厂竞争者数据汇总!D:H,2,FALSE)</f>
        <v>Motor目录</v>
      </c>
      <c r="D212" s="421" t="str">
        <f>VLOOKUP(B212,正厂竞争者数据汇总!D:H,3,FALSE)</f>
        <v>NV</v>
      </c>
      <c r="E212" s="430">
        <f>VLOOKUP(B212,正厂竞争者数据汇总!D:H,4,FALSE)</f>
        <v>0</v>
      </c>
      <c r="F212" s="430">
        <v>10393.1666666667</v>
      </c>
      <c r="G212" s="430">
        <v>38326.6666666667</v>
      </c>
      <c r="H212" s="430">
        <v>273195.083333333</v>
      </c>
      <c r="I212" s="453"/>
      <c r="J212" s="451">
        <v>0.0552048739540876</v>
      </c>
      <c r="K212" s="451">
        <v>0.0626975249827507</v>
      </c>
      <c r="L212" s="451">
        <v>0.0506903142898508</v>
      </c>
      <c r="M212" s="451"/>
      <c r="N212" s="459"/>
      <c r="O212" s="430"/>
      <c r="P212" s="542" t="str">
        <f>VLOOKUP(B212,正厂竞争者数据汇总!D:M,6,FALSE)</f>
        <v>2023年9月新增</v>
      </c>
      <c r="Q212" s="429"/>
      <c r="R212" s="421"/>
      <c r="S212" s="473">
        <v>437</v>
      </c>
      <c r="T212" s="473">
        <v>62</v>
      </c>
      <c r="U212" s="466"/>
      <c r="V212" s="466"/>
      <c r="W212" s="421"/>
      <c r="X212" s="421"/>
      <c r="Y212" s="200" t="s">
        <v>372</v>
      </c>
      <c r="Z212" s="200">
        <v>330</v>
      </c>
      <c r="AA212" s="200">
        <v>54</v>
      </c>
      <c r="AB212" s="410">
        <f t="shared" si="18"/>
        <v>1</v>
      </c>
      <c r="AC212" s="409">
        <f t="shared" si="19"/>
        <v>330</v>
      </c>
      <c r="AD212" s="409">
        <f t="shared" si="20"/>
        <v>54</v>
      </c>
    </row>
    <row r="213" s="408" customFormat="1" spans="1:30">
      <c r="A213" s="428" t="s">
        <v>230</v>
      </c>
      <c r="B213" s="438" t="s">
        <v>373</v>
      </c>
      <c r="C213" s="429" t="str">
        <f>VLOOKUP(B213,正厂竞争者数据汇总!D:H,2,FALSE)</f>
        <v>Motor目录</v>
      </c>
      <c r="D213" s="421" t="str">
        <f>VLOOKUP(B213,正厂竞争者数据汇总!D:H,3,FALSE)</f>
        <v>MA</v>
      </c>
      <c r="E213" s="430">
        <f>VLOOKUP(B213,正厂竞争者数据汇总!D:H,4,FALSE)</f>
        <v>3939</v>
      </c>
      <c r="F213" s="430">
        <v>9902.003</v>
      </c>
      <c r="G213" s="430">
        <v>38321.6666666667</v>
      </c>
      <c r="H213" s="430">
        <v>273190.083333333</v>
      </c>
      <c r="I213" s="453"/>
      <c r="J213" s="451">
        <v>0.0525959839806279</v>
      </c>
      <c r="K213" s="451">
        <v>0.0694581941210602</v>
      </c>
      <c r="L213" s="451">
        <v>0.0623274058284643</v>
      </c>
      <c r="M213" s="451"/>
      <c r="N213" s="459"/>
      <c r="O213" s="430"/>
      <c r="P213" s="542">
        <f>VLOOKUP(B213,正厂竞争者数据汇总!D:M,6,FALSE)</f>
        <v>0</v>
      </c>
      <c r="Q213" s="429"/>
      <c r="R213" s="421"/>
      <c r="S213" s="473">
        <v>48650</v>
      </c>
      <c r="T213" s="473">
        <v>87</v>
      </c>
      <c r="U213" s="466"/>
      <c r="V213" s="466"/>
      <c r="W213" s="421"/>
      <c r="X213" s="421"/>
      <c r="Y213" s="200" t="s">
        <v>373</v>
      </c>
      <c r="Z213" s="200">
        <v>43107</v>
      </c>
      <c r="AA213" s="200">
        <v>86</v>
      </c>
      <c r="AB213" s="410">
        <f t="shared" si="18"/>
        <v>1</v>
      </c>
      <c r="AC213" s="409">
        <f t="shared" si="19"/>
        <v>43107</v>
      </c>
      <c r="AD213" s="409">
        <f t="shared" si="20"/>
        <v>86</v>
      </c>
    </row>
    <row r="214" s="408" customFormat="1" ht="31.2" spans="1:30">
      <c r="A214" s="255" t="s">
        <v>230</v>
      </c>
      <c r="B214" s="438" t="s">
        <v>374</v>
      </c>
      <c r="C214" s="429" t="str">
        <f>VLOOKUP(B214,正厂竞争者数据汇总!D:H,2,FALSE)</f>
        <v>Motor目录</v>
      </c>
      <c r="D214" s="421" t="str">
        <f>VLOOKUP(B214,正厂竞争者数据汇总!D:H,3,FALSE)</f>
        <v>CT</v>
      </c>
      <c r="E214" s="430">
        <f>VLOOKUP(B214,正厂竞争者数据汇总!D:H,4,FALSE)</f>
        <v>0</v>
      </c>
      <c r="F214" s="430">
        <v>6223.875</v>
      </c>
      <c r="G214" s="430">
        <v>38327.6666666667</v>
      </c>
      <c r="H214" s="430">
        <v>273196.083333333</v>
      </c>
      <c r="I214" s="453"/>
      <c r="J214" s="451">
        <v>0.0330590517693673</v>
      </c>
      <c r="K214" s="451">
        <v>0.0460389402734023</v>
      </c>
      <c r="L214" s="451">
        <v>0.0534517099762492</v>
      </c>
      <c r="M214" s="451"/>
      <c r="N214" s="459"/>
      <c r="O214" s="430"/>
      <c r="P214" s="542" t="str">
        <f>VLOOKUP(B214,正厂竞争者数据汇总!D:M,6,FALSE)</f>
        <v>2023年9月同时经营Audi，Volkswagen，Volvo.计算折算比例：Audi:63%, VW:0%, Volvo:37%.2023年12月，因流量大于5%加入监控</v>
      </c>
      <c r="Q214" s="429"/>
      <c r="R214" s="421"/>
      <c r="S214" s="473">
        <v>1500</v>
      </c>
      <c r="T214" s="473">
        <v>105</v>
      </c>
      <c r="U214" s="466"/>
      <c r="V214" s="466"/>
      <c r="W214" s="421"/>
      <c r="X214" s="421"/>
      <c r="Y214" s="200" t="s">
        <v>374</v>
      </c>
      <c r="Z214" s="200">
        <v>1881</v>
      </c>
      <c r="AA214" s="200">
        <v>105</v>
      </c>
      <c r="AB214" s="410">
        <f t="shared" si="18"/>
        <v>1</v>
      </c>
      <c r="AC214" s="409">
        <f t="shared" si="19"/>
        <v>1881</v>
      </c>
      <c r="AD214" s="409">
        <f t="shared" si="20"/>
        <v>105</v>
      </c>
    </row>
    <row r="215" s="408" customFormat="1" ht="31.2" spans="1:30">
      <c r="A215" s="428" t="s">
        <v>375</v>
      </c>
      <c r="B215" s="438" t="s">
        <v>376</v>
      </c>
      <c r="C215" s="429" t="str">
        <f>VLOOKUP(B215,正厂竞争者数据汇总!D:H,2,FALSE)</f>
        <v>无完整目录，category下放的PD</v>
      </c>
      <c r="D215" s="421" t="str">
        <f>VLOOKUP(B215,正厂竞争者数据汇总!D:H,3,FALSE)</f>
        <v>NY</v>
      </c>
      <c r="E215" s="430">
        <f>VLOOKUP(B215,正厂竞争者数据汇总!D:H,4,FALSE)</f>
        <v>0</v>
      </c>
      <c r="F215" s="430">
        <v>4163.7755</v>
      </c>
      <c r="G215" s="430">
        <v>38329.6666666667</v>
      </c>
      <c r="H215" s="430">
        <v>273198.083333333</v>
      </c>
      <c r="I215" s="453"/>
      <c r="J215" s="451">
        <v>0.0221165222326161</v>
      </c>
      <c r="K215" s="451">
        <v>0.0128087745251284</v>
      </c>
      <c r="L215" s="451">
        <v>0.0164898021058672</v>
      </c>
      <c r="M215" s="451" t="e">
        <f>J215-#REF!</f>
        <v>#REF!</v>
      </c>
      <c r="N215" s="459"/>
      <c r="O215" s="430"/>
      <c r="P215" s="542" t="str">
        <f>VLOOKUP(B215,正厂竞争者数据汇总!D:M,6,FALSE)</f>
        <v>同时经营Audi，BMW、Dodge、Jaguar、Land Rover、Mercedes-Benz、Mini、Porsche、Saab、Volkswagen、Volvo。折算比例：Audi：30.3%，MB：69.7%</v>
      </c>
      <c r="Q215" s="429" t="s">
        <v>180</v>
      </c>
      <c r="R215" s="421" t="s">
        <v>180</v>
      </c>
      <c r="S215" s="473">
        <v>24446</v>
      </c>
      <c r="T215" s="473">
        <v>1623</v>
      </c>
      <c r="U215" s="466"/>
      <c r="V215" s="466"/>
      <c r="W215" s="421"/>
      <c r="X215" s="421"/>
      <c r="Y215" s="200" t="s">
        <v>376</v>
      </c>
      <c r="Z215" s="200">
        <v>23721</v>
      </c>
      <c r="AA215" s="200">
        <v>1471</v>
      </c>
      <c r="AB215" s="410">
        <f t="shared" si="18"/>
        <v>1</v>
      </c>
      <c r="AC215" s="409">
        <f t="shared" si="19"/>
        <v>23721</v>
      </c>
      <c r="AD215" s="409">
        <f t="shared" si="20"/>
        <v>1471</v>
      </c>
    </row>
    <row r="216" s="408" customFormat="1" spans="1:30">
      <c r="A216" s="428" t="s">
        <v>230</v>
      </c>
      <c r="B216" s="438" t="s">
        <v>377</v>
      </c>
      <c r="C216" s="429" t="str">
        <f>VLOOKUP(B216,正厂竞争者数据汇总!D:H,2,FALSE)</f>
        <v>Motor目录</v>
      </c>
      <c r="D216" s="421" t="str">
        <f>VLOOKUP(B216,正厂竞争者数据汇总!D:H,3,FALSE)</f>
        <v>CA</v>
      </c>
      <c r="E216" s="430">
        <f>VLOOKUP(B216,正厂竞争者数据汇总!D:H,4,FALSE)</f>
        <v>0</v>
      </c>
      <c r="F216" s="430">
        <v>3156.24166666667</v>
      </c>
      <c r="G216" s="430">
        <v>38327.6666666667</v>
      </c>
      <c r="H216" s="430">
        <v>273196.083333333</v>
      </c>
      <c r="I216" s="453"/>
      <c r="J216" s="451">
        <v>0.0167648541551634</v>
      </c>
      <c r="K216" s="451">
        <v>0.0199572601091813</v>
      </c>
      <c r="L216" s="451">
        <v>0.0330511825167071</v>
      </c>
      <c r="M216" s="451"/>
      <c r="N216" s="459"/>
      <c r="O216" s="430"/>
      <c r="P216" s="542" t="str">
        <f>VLOOKUP(B216,正厂竞争者数据汇总!D:M,6,FALSE)</f>
        <v>2023年9月新增</v>
      </c>
      <c r="Q216" s="429"/>
      <c r="R216" s="421"/>
      <c r="S216" s="473">
        <v>212</v>
      </c>
      <c r="T216" s="473">
        <v>51</v>
      </c>
      <c r="U216" s="466"/>
      <c r="V216" s="466"/>
      <c r="W216" s="421"/>
      <c r="X216" s="421"/>
      <c r="Y216" s="200" t="s">
        <v>377</v>
      </c>
      <c r="Z216" s="200">
        <v>232</v>
      </c>
      <c r="AA216" s="200">
        <v>80</v>
      </c>
      <c r="AB216" s="410">
        <f t="shared" si="18"/>
        <v>1</v>
      </c>
      <c r="AC216" s="409">
        <f t="shared" si="19"/>
        <v>232</v>
      </c>
      <c r="AD216" s="409">
        <f t="shared" si="20"/>
        <v>80</v>
      </c>
    </row>
    <row r="217" s="410" customFormat="1" spans="1:30">
      <c r="A217" s="432"/>
      <c r="B217" s="435"/>
      <c r="C217" s="429"/>
      <c r="D217" s="421"/>
      <c r="E217" s="430"/>
      <c r="F217" s="436"/>
      <c r="G217" s="436">
        <v>335229.333333333</v>
      </c>
      <c r="H217" s="436"/>
      <c r="I217" s="453"/>
      <c r="J217" s="457"/>
      <c r="K217" s="457"/>
      <c r="L217" s="457"/>
      <c r="M217" s="451"/>
      <c r="N217" s="455"/>
      <c r="O217" s="436"/>
      <c r="P217" s="542"/>
      <c r="Q217" s="434"/>
      <c r="R217" s="435"/>
      <c r="S217" s="473" t="s">
        <v>180</v>
      </c>
      <c r="T217" s="473" t="s">
        <v>180</v>
      </c>
      <c r="U217" s="466"/>
      <c r="V217" s="466"/>
      <c r="W217" s="435"/>
      <c r="X217" s="435"/>
      <c r="Y217" s="200" t="s">
        <v>240</v>
      </c>
      <c r="Z217" s="200" t="s">
        <v>180</v>
      </c>
      <c r="AA217" s="200" t="s">
        <v>180</v>
      </c>
      <c r="AB217" s="410">
        <f t="shared" si="18"/>
        <v>0</v>
      </c>
      <c r="AC217" s="409" t="str">
        <f t="shared" si="19"/>
        <v/>
      </c>
      <c r="AD217" s="409" t="str">
        <f t="shared" si="20"/>
        <v/>
      </c>
    </row>
    <row r="218" s="408" customFormat="1" spans="1:30">
      <c r="A218" s="428"/>
      <c r="B218" s="421"/>
      <c r="C218" s="439"/>
      <c r="D218" s="421"/>
      <c r="E218" s="421"/>
      <c r="F218" s="496">
        <v>188265.3817</v>
      </c>
      <c r="G218" s="496"/>
      <c r="H218" s="496">
        <v>377262.166666666</v>
      </c>
      <c r="I218" s="453" t="e">
        <v>#DIV/0!</v>
      </c>
      <c r="J218" s="430"/>
      <c r="K218" s="430"/>
      <c r="L218" s="430"/>
      <c r="M218" s="451"/>
      <c r="N218" s="459"/>
      <c r="O218" s="430"/>
      <c r="P218" s="542"/>
      <c r="Q218" s="429"/>
      <c r="R218" s="421"/>
      <c r="S218" s="473" t="s">
        <v>180</v>
      </c>
      <c r="T218" s="473" t="s">
        <v>180</v>
      </c>
      <c r="U218" s="466"/>
      <c r="V218" s="466"/>
      <c r="W218" s="421"/>
      <c r="X218" s="421"/>
      <c r="Y218" s="200" t="s">
        <v>240</v>
      </c>
      <c r="Z218" s="200" t="s">
        <v>180</v>
      </c>
      <c r="AA218" s="200" t="s">
        <v>180</v>
      </c>
      <c r="AB218" s="410">
        <f t="shared" si="18"/>
        <v>0</v>
      </c>
      <c r="AC218" s="409" t="str">
        <f t="shared" si="19"/>
        <v/>
      </c>
      <c r="AD218" s="409" t="str">
        <f t="shared" si="20"/>
        <v/>
      </c>
    </row>
    <row r="219" s="408" customFormat="1" spans="1:30">
      <c r="A219" s="428"/>
      <c r="B219" s="421"/>
      <c r="C219" s="439"/>
      <c r="D219" s="421"/>
      <c r="E219" s="421"/>
      <c r="F219" s="496"/>
      <c r="G219" s="496"/>
      <c r="H219" s="496"/>
      <c r="I219" s="453"/>
      <c r="J219" s="430"/>
      <c r="K219" s="430"/>
      <c r="L219" s="430"/>
      <c r="M219" s="451"/>
      <c r="N219" s="459"/>
      <c r="O219" s="430"/>
      <c r="P219" s="542"/>
      <c r="Q219" s="429"/>
      <c r="R219" s="421"/>
      <c r="S219" s="473" t="s">
        <v>180</v>
      </c>
      <c r="T219" s="473" t="s">
        <v>180</v>
      </c>
      <c r="U219" s="466"/>
      <c r="V219" s="466"/>
      <c r="W219" s="421"/>
      <c r="X219" s="421"/>
      <c r="Y219" s="200" t="s">
        <v>240</v>
      </c>
      <c r="Z219" s="200" t="s">
        <v>180</v>
      </c>
      <c r="AA219" s="200" t="s">
        <v>180</v>
      </c>
      <c r="AB219" s="410">
        <f t="shared" si="18"/>
        <v>0</v>
      </c>
      <c r="AC219" s="409" t="str">
        <f t="shared" si="19"/>
        <v/>
      </c>
      <c r="AD219" s="409" t="str">
        <f t="shared" si="20"/>
        <v/>
      </c>
    </row>
    <row r="220" s="408" customFormat="1" ht="17.4" spans="1:30">
      <c r="A220" s="418" t="s">
        <v>195</v>
      </c>
      <c r="B220" s="419"/>
      <c r="C220" s="420"/>
      <c r="D220" s="421"/>
      <c r="E220" s="422" t="s">
        <v>202</v>
      </c>
      <c r="F220" s="422"/>
      <c r="G220" s="422" t="s">
        <v>213</v>
      </c>
      <c r="H220" s="422"/>
      <c r="I220" s="422"/>
      <c r="J220" s="422"/>
      <c r="K220" s="422"/>
      <c r="L220" s="422"/>
      <c r="M220" s="443"/>
      <c r="N220" s="444"/>
      <c r="O220" s="422"/>
      <c r="P220" s="542"/>
      <c r="Q220" s="465"/>
      <c r="R220" s="424"/>
      <c r="S220" s="473" t="s">
        <v>180</v>
      </c>
      <c r="T220" s="473" t="s">
        <v>180</v>
      </c>
      <c r="U220" s="467"/>
      <c r="V220" s="467"/>
      <c r="W220" s="467"/>
      <c r="X220" s="467"/>
      <c r="Y220" s="200" t="s">
        <v>240</v>
      </c>
      <c r="Z220" s="200" t="s">
        <v>180</v>
      </c>
      <c r="AA220" s="200" t="s">
        <v>180</v>
      </c>
      <c r="AB220" s="410">
        <f t="shared" si="18"/>
        <v>0</v>
      </c>
      <c r="AC220" s="409" t="str">
        <f t="shared" si="19"/>
        <v/>
      </c>
      <c r="AD220" s="409" t="str">
        <f t="shared" si="20"/>
        <v/>
      </c>
    </row>
    <row r="221" s="409" customFormat="1" ht="46.8" spans="1:30">
      <c r="A221" s="423" t="s">
        <v>206</v>
      </c>
      <c r="B221" s="424" t="s">
        <v>207</v>
      </c>
      <c r="C221" s="425" t="s">
        <v>208</v>
      </c>
      <c r="D221" s="424" t="s">
        <v>209</v>
      </c>
      <c r="E221" s="426" t="s">
        <v>210</v>
      </c>
      <c r="F221" s="427" t="s">
        <v>385</v>
      </c>
      <c r="G221" s="427">
        <v>116448.583333333</v>
      </c>
      <c r="H221" s="427" t="s">
        <v>213</v>
      </c>
      <c r="I221" s="427" t="s">
        <v>386</v>
      </c>
      <c r="J221" s="446" t="s">
        <v>216</v>
      </c>
      <c r="K221" s="446" t="s">
        <v>217</v>
      </c>
      <c r="L221" s="446" t="s">
        <v>387</v>
      </c>
      <c r="M221" s="447" t="s">
        <v>218</v>
      </c>
      <c r="N221" s="448" t="s">
        <v>219</v>
      </c>
      <c r="O221" s="449" t="s">
        <v>220</v>
      </c>
      <c r="P221" s="543" t="s">
        <v>221</v>
      </c>
      <c r="Q221" s="469" t="s">
        <v>222</v>
      </c>
      <c r="R221" s="426" t="s">
        <v>223</v>
      </c>
      <c r="S221" s="470" t="s">
        <v>224</v>
      </c>
      <c r="T221" s="470" t="s">
        <v>205</v>
      </c>
      <c r="U221" s="467" t="s">
        <v>225</v>
      </c>
      <c r="V221" s="470" t="s">
        <v>226</v>
      </c>
      <c r="W221" s="467"/>
      <c r="X221" s="467"/>
      <c r="Y221" s="200" t="s">
        <v>207</v>
      </c>
      <c r="Z221" s="200" t="s">
        <v>180</v>
      </c>
      <c r="AA221" s="200" t="s">
        <v>180</v>
      </c>
      <c r="AB221" s="410">
        <f t="shared" si="18"/>
        <v>1</v>
      </c>
      <c r="AC221" s="409" t="str">
        <f t="shared" si="19"/>
        <v>Forum Link</v>
      </c>
      <c r="AD221" s="409" t="str">
        <f t="shared" si="20"/>
        <v>Domains</v>
      </c>
    </row>
    <row r="222" s="408" customFormat="1" spans="1:30">
      <c r="A222" s="428" t="s">
        <v>230</v>
      </c>
      <c r="B222" s="421" t="s">
        <v>378</v>
      </c>
      <c r="C222" s="429" t="str">
        <f>VLOOKUP(B222,正厂竞争者数据汇总!D:H,2,FALSE)</f>
        <v>Motor目录</v>
      </c>
      <c r="D222" s="421" t="str">
        <f>VLOOKUP(B222,正厂竞争者数据汇总!D:H,3,FALSE)</f>
        <v>FL</v>
      </c>
      <c r="E222" s="430" t="str">
        <f>VLOOKUP(B221,正厂竞争者数据汇总!D:H,4,FALSE)</f>
        <v>Alexa Traffic Rank</v>
      </c>
      <c r="F222" s="430">
        <v>71084.0232666667</v>
      </c>
      <c r="G222" s="430">
        <v>0</v>
      </c>
      <c r="H222" s="430">
        <v>88546.8333333332</v>
      </c>
      <c r="I222" s="453" t="e">
        <v>#DIV/0!</v>
      </c>
      <c r="J222" s="451">
        <v>0.457133004183643</v>
      </c>
      <c r="K222" s="451">
        <v>0.464650723685497</v>
      </c>
      <c r="L222" s="451">
        <v>0.467170457517459</v>
      </c>
      <c r="M222" s="451">
        <f>J222-K223</f>
        <v>0.303421813336893</v>
      </c>
      <c r="N222" s="459"/>
      <c r="O222" s="430"/>
      <c r="P222" s="542">
        <f>VLOOKUP(B222,正厂竞争者数据汇总!D:M,6,FALSE)</f>
        <v>0</v>
      </c>
      <c r="Q222" s="429" t="s">
        <v>180</v>
      </c>
      <c r="R222" s="421" t="s">
        <v>180</v>
      </c>
      <c r="S222" s="473">
        <v>2218</v>
      </c>
      <c r="T222" s="473">
        <v>202</v>
      </c>
      <c r="U222" s="466"/>
      <c r="V222" s="466"/>
      <c r="W222" s="421"/>
      <c r="X222" s="421"/>
      <c r="Y222" s="200" t="s">
        <v>378</v>
      </c>
      <c r="Z222" s="200">
        <v>4811</v>
      </c>
      <c r="AA222" s="200">
        <v>246</v>
      </c>
      <c r="AB222" s="410">
        <f t="shared" si="18"/>
        <v>1</v>
      </c>
      <c r="AC222" s="409">
        <f t="shared" si="19"/>
        <v>4811</v>
      </c>
      <c r="AD222" s="409">
        <f t="shared" si="20"/>
        <v>246</v>
      </c>
    </row>
    <row r="223" s="408" customFormat="1" spans="1:30">
      <c r="A223" s="428" t="s">
        <v>230</v>
      </c>
      <c r="B223" s="421" t="s">
        <v>379</v>
      </c>
      <c r="C223" s="429" t="str">
        <f>VLOOKUP(B223,正厂竞争者数据汇总!D:H,2,FALSE)</f>
        <v>Motor目录</v>
      </c>
      <c r="D223" s="421" t="str">
        <f>VLOOKUP(B223,正厂竞争者数据汇总!D:H,3,FALSE)</f>
        <v>FL</v>
      </c>
      <c r="E223" s="430">
        <f>VLOOKUP(B225,正厂竞争者数据汇总!D:H,4,FALSE)</f>
        <v>0</v>
      </c>
      <c r="F223" s="430">
        <v>26121.6666666667</v>
      </c>
      <c r="G223" s="430">
        <v>4</v>
      </c>
      <c r="H223" s="430">
        <v>88550.8333333332</v>
      </c>
      <c r="I223" s="453">
        <v>6529.41666666668</v>
      </c>
      <c r="J223" s="451">
        <v>0.167985370113632</v>
      </c>
      <c r="K223" s="451">
        <v>0.15371119084675</v>
      </c>
      <c r="L223" s="451">
        <v>0.156124229192753</v>
      </c>
      <c r="M223" s="451"/>
      <c r="N223" s="459"/>
      <c r="O223" s="430"/>
      <c r="P223" s="542" t="str">
        <f>VLOOKUP(B223,正厂竞争者数据汇总!D:M,6,FALSE)</f>
        <v>2023年9月新增</v>
      </c>
      <c r="Q223" s="429" t="s">
        <v>180</v>
      </c>
      <c r="R223" s="421" t="s">
        <v>180</v>
      </c>
      <c r="S223" s="473">
        <v>82478</v>
      </c>
      <c r="T223" s="473">
        <v>84</v>
      </c>
      <c r="U223" s="466"/>
      <c r="V223" s="466"/>
      <c r="W223" s="421"/>
      <c r="X223" s="421"/>
      <c r="Y223" s="200" t="s">
        <v>379</v>
      </c>
      <c r="Z223" s="200">
        <v>79039</v>
      </c>
      <c r="AA223" s="200">
        <v>128</v>
      </c>
      <c r="AB223" s="410">
        <f t="shared" si="18"/>
        <v>1</v>
      </c>
      <c r="AC223" s="409">
        <f t="shared" si="19"/>
        <v>79039</v>
      </c>
      <c r="AD223" s="409">
        <f t="shared" si="20"/>
        <v>128</v>
      </c>
    </row>
    <row r="224" s="408" customFormat="1" spans="1:30">
      <c r="A224" s="428" t="s">
        <v>230</v>
      </c>
      <c r="B224" s="421" t="s">
        <v>380</v>
      </c>
      <c r="C224" s="429" t="str">
        <f>VLOOKUP(B224,正厂竞争者数据汇总!D:H,2,FALSE)</f>
        <v>Motor目录</v>
      </c>
      <c r="D224" s="421" t="str">
        <f>VLOOKUP(B224,正厂竞争者数据汇总!D:H,3,FALSE)</f>
        <v>FL</v>
      </c>
      <c r="E224" s="430">
        <f>VLOOKUP(B222,正厂竞争者数据汇总!D:H,4,FALSE)</f>
        <v>0</v>
      </c>
      <c r="F224" s="430">
        <v>15794.3123333333</v>
      </c>
      <c r="G224" s="430">
        <v>1</v>
      </c>
      <c r="H224" s="430">
        <v>88547.8333333332</v>
      </c>
      <c r="I224" s="453">
        <v>15793.3123333333</v>
      </c>
      <c r="J224" s="451">
        <v>0.101571367434644</v>
      </c>
      <c r="K224" s="451">
        <v>0.111616841204424</v>
      </c>
      <c r="L224" s="451">
        <v>0.119962687029154</v>
      </c>
      <c r="M224" s="451"/>
      <c r="N224" s="459"/>
      <c r="O224" s="430"/>
      <c r="P224" s="542"/>
      <c r="Q224" s="429"/>
      <c r="R224" s="421"/>
      <c r="S224" s="473">
        <v>981</v>
      </c>
      <c r="T224" s="473">
        <v>175</v>
      </c>
      <c r="U224" s="466"/>
      <c r="V224" s="466"/>
      <c r="W224" s="421"/>
      <c r="X224" s="421"/>
      <c r="Y224" s="200" t="s">
        <v>380</v>
      </c>
      <c r="Z224" s="200">
        <v>974</v>
      </c>
      <c r="AA224" s="200">
        <v>209</v>
      </c>
      <c r="AB224" s="410">
        <f t="shared" si="18"/>
        <v>1</v>
      </c>
      <c r="AC224" s="409">
        <f t="shared" si="19"/>
        <v>974</v>
      </c>
      <c r="AD224" s="409">
        <f t="shared" si="20"/>
        <v>209</v>
      </c>
    </row>
    <row r="225" s="408" customFormat="1" spans="1:30">
      <c r="A225" s="428" t="s">
        <v>325</v>
      </c>
      <c r="B225" s="421" t="s">
        <v>383</v>
      </c>
      <c r="C225" s="429" t="str">
        <f>VLOOKUP(B225,正厂竞争者数据汇总!D:H,2,FALSE)</f>
        <v>Motor目录</v>
      </c>
      <c r="D225" s="421" t="str">
        <f>VLOOKUP(B225,正厂竞争者数据汇总!D:H,3,FALSE)</f>
        <v>CA</v>
      </c>
      <c r="E225" s="430">
        <f>VLOOKUP(B226,正厂竞争者数据汇总!D:H,4,FALSE)</f>
        <v>0</v>
      </c>
      <c r="F225" s="430">
        <v>12429.3805333333</v>
      </c>
      <c r="G225" s="430">
        <v>3</v>
      </c>
      <c r="H225" s="430">
        <v>88549.8333333332</v>
      </c>
      <c r="I225" s="453">
        <v>4142.12684444443</v>
      </c>
      <c r="J225" s="451">
        <v>0.079931886269706</v>
      </c>
      <c r="K225" s="451">
        <v>0.108643273010051</v>
      </c>
      <c r="L225" s="451">
        <v>0.11030958633172</v>
      </c>
      <c r="M225" s="451"/>
      <c r="N225" s="459"/>
      <c r="O225" s="430"/>
      <c r="P225" s="542"/>
      <c r="Q225" s="429"/>
      <c r="R225" s="421"/>
      <c r="S225" s="473">
        <v>229</v>
      </c>
      <c r="T225" s="473">
        <v>38</v>
      </c>
      <c r="U225" s="466"/>
      <c r="V225" s="466"/>
      <c r="W225" s="421"/>
      <c r="X225" s="421"/>
      <c r="Y225" s="200" t="s">
        <v>383</v>
      </c>
      <c r="Z225" s="200">
        <v>249</v>
      </c>
      <c r="AA225" s="200">
        <v>36</v>
      </c>
      <c r="AB225" s="410">
        <f t="shared" si="18"/>
        <v>1</v>
      </c>
      <c r="AC225" s="409">
        <f t="shared" si="19"/>
        <v>249</v>
      </c>
      <c r="AD225" s="409">
        <f t="shared" si="20"/>
        <v>36</v>
      </c>
    </row>
    <row r="226" s="408" customFormat="1" spans="1:30">
      <c r="A226" s="428" t="s">
        <v>230</v>
      </c>
      <c r="B226" s="421" t="s">
        <v>381</v>
      </c>
      <c r="C226" s="429" t="str">
        <f>VLOOKUP(B226,正厂竞争者数据汇总!D:H,2,FALSE)</f>
        <v>Motor目录</v>
      </c>
      <c r="D226" s="421" t="str">
        <f>VLOOKUP(B226,正厂竞争者数据汇总!D:H,3,FALSE)</f>
        <v>CA</v>
      </c>
      <c r="E226" s="430">
        <f>VLOOKUP(B224,正厂竞争者数据汇总!D:H,4,FALSE)</f>
        <v>0</v>
      </c>
      <c r="F226" s="430">
        <v>11535.75</v>
      </c>
      <c r="G226" s="430">
        <v>2</v>
      </c>
      <c r="H226" s="430">
        <v>88548.8333333332</v>
      </c>
      <c r="I226" s="453">
        <v>5766.875</v>
      </c>
      <c r="J226" s="451">
        <v>0.0741850532746124</v>
      </c>
      <c r="K226" s="451">
        <v>0.0695466121332042</v>
      </c>
      <c r="L226" s="451">
        <v>0.0686248359405083</v>
      </c>
      <c r="M226" s="451"/>
      <c r="N226" s="459"/>
      <c r="O226" s="430"/>
      <c r="P226" s="542"/>
      <c r="Q226" s="429"/>
      <c r="R226" s="421"/>
      <c r="S226" s="473">
        <v>414</v>
      </c>
      <c r="T226" s="473">
        <v>91</v>
      </c>
      <c r="U226" s="466"/>
      <c r="V226" s="466"/>
      <c r="W226" s="421"/>
      <c r="X226" s="421"/>
      <c r="Y226" s="200" t="s">
        <v>381</v>
      </c>
      <c r="Z226" s="200">
        <v>342</v>
      </c>
      <c r="AA226" s="200">
        <v>78</v>
      </c>
      <c r="AB226" s="410">
        <f t="shared" si="18"/>
        <v>1</v>
      </c>
      <c r="AC226" s="409">
        <f t="shared" si="19"/>
        <v>342</v>
      </c>
      <c r="AD226" s="409">
        <f t="shared" si="20"/>
        <v>78</v>
      </c>
    </row>
    <row r="227" s="408" customFormat="1" spans="1:30">
      <c r="A227" s="428" t="s">
        <v>230</v>
      </c>
      <c r="B227" s="421" t="s">
        <v>382</v>
      </c>
      <c r="C227" s="429" t="str">
        <f>VLOOKUP(B227,正厂竞争者数据汇总!D:H,2,FALSE)</f>
        <v>Motor目录</v>
      </c>
      <c r="D227" s="421" t="str">
        <f>VLOOKUP(B227,正厂竞争者数据汇总!D:H,3,FALSE)</f>
        <v>NJ</v>
      </c>
      <c r="E227" s="430">
        <f>VLOOKUP(B223,正厂竞争者数据汇总!D:H,4,FALSE)</f>
        <v>0</v>
      </c>
      <c r="F227" s="430">
        <v>10551.8729673333</v>
      </c>
      <c r="G227" s="430">
        <v>5</v>
      </c>
      <c r="H227" s="430">
        <v>88551.8333333332</v>
      </c>
      <c r="I227" s="453">
        <v>2109.37459346666</v>
      </c>
      <c r="J227" s="451">
        <v>0.0678578556425515</v>
      </c>
      <c r="K227" s="451">
        <v>0.0674501564424137</v>
      </c>
      <c r="L227" s="451">
        <v>0.0493398422133127</v>
      </c>
      <c r="M227" s="451"/>
      <c r="N227" s="459"/>
      <c r="O227" s="430"/>
      <c r="P227" s="542" t="str">
        <f>VLOOKUP(B227,正厂竞争者数据汇总!D:M,6,FALSE)</f>
        <v>2023年9月新增</v>
      </c>
      <c r="Q227" s="429" t="s">
        <v>180</v>
      </c>
      <c r="R227" s="421" t="s">
        <v>180</v>
      </c>
      <c r="S227" s="473">
        <v>173142</v>
      </c>
      <c r="T227" s="473">
        <v>215</v>
      </c>
      <c r="U227" s="466"/>
      <c r="V227" s="466"/>
      <c r="W227" s="421"/>
      <c r="X227" s="421"/>
      <c r="Y227" s="200" t="s">
        <v>382</v>
      </c>
      <c r="Z227" s="200">
        <v>145396</v>
      </c>
      <c r="AA227" s="200">
        <v>239</v>
      </c>
      <c r="AB227" s="410">
        <f t="shared" si="18"/>
        <v>1</v>
      </c>
      <c r="AC227" s="409">
        <f t="shared" si="19"/>
        <v>145396</v>
      </c>
      <c r="AD227" s="409">
        <f t="shared" si="20"/>
        <v>239</v>
      </c>
    </row>
    <row r="228" s="408" customFormat="1" spans="1:30">
      <c r="A228" s="428" t="s">
        <v>230</v>
      </c>
      <c r="B228" s="421" t="s">
        <v>384</v>
      </c>
      <c r="C228" s="255" t="s">
        <v>351</v>
      </c>
      <c r="D228" s="270" t="s">
        <v>49</v>
      </c>
      <c r="E228" s="430"/>
      <c r="F228" s="430">
        <v>7982.64666666667</v>
      </c>
      <c r="G228" s="430"/>
      <c r="H228" s="430"/>
      <c r="I228" s="453"/>
      <c r="J228" s="451">
        <v>0.0513354630812105</v>
      </c>
      <c r="K228" s="451">
        <v>0.0243812026776594</v>
      </c>
      <c r="L228" s="451">
        <v>0.0284683617750934</v>
      </c>
      <c r="M228" s="451"/>
      <c r="N228" s="459"/>
      <c r="O228" s="430"/>
      <c r="P228" s="542"/>
      <c r="Q228" s="429"/>
      <c r="R228" s="421"/>
      <c r="S228" s="473">
        <v>148</v>
      </c>
      <c r="T228" s="473">
        <v>60</v>
      </c>
      <c r="U228" s="466"/>
      <c r="V228" s="466"/>
      <c r="W228" s="421"/>
      <c r="X228" s="421"/>
      <c r="Y228" s="200" t="s">
        <v>384</v>
      </c>
      <c r="Z228" s="200">
        <v>150</v>
      </c>
      <c r="AA228" s="200">
        <v>66</v>
      </c>
      <c r="AB228" s="410">
        <f t="shared" si="18"/>
        <v>1</v>
      </c>
      <c r="AC228" s="409">
        <f t="shared" si="19"/>
        <v>150</v>
      </c>
      <c r="AD228" s="409">
        <f t="shared" si="20"/>
        <v>66</v>
      </c>
    </row>
    <row r="229" s="408" customFormat="1" spans="1:30">
      <c r="A229" s="428"/>
      <c r="B229" s="421"/>
      <c r="C229" s="429"/>
      <c r="D229" s="421"/>
      <c r="E229" s="430"/>
      <c r="F229" s="430"/>
      <c r="G229" s="430"/>
      <c r="H229" s="430"/>
      <c r="I229" s="453"/>
      <c r="J229" s="451"/>
      <c r="K229" s="451"/>
      <c r="L229" s="451"/>
      <c r="M229" s="451"/>
      <c r="N229" s="459"/>
      <c r="O229" s="430"/>
      <c r="P229" s="542"/>
      <c r="Q229" s="429"/>
      <c r="R229" s="421"/>
      <c r="S229" s="473" t="s">
        <v>180</v>
      </c>
      <c r="T229" s="473" t="s">
        <v>180</v>
      </c>
      <c r="U229" s="466"/>
      <c r="V229" s="466"/>
      <c r="W229" s="421"/>
      <c r="X229" s="421"/>
      <c r="Y229" s="200" t="s">
        <v>240</v>
      </c>
      <c r="Z229" s="200" t="s">
        <v>180</v>
      </c>
      <c r="AA229" s="200" t="s">
        <v>180</v>
      </c>
      <c r="AB229" s="410">
        <f t="shared" si="18"/>
        <v>0</v>
      </c>
      <c r="AC229" s="409" t="str">
        <f t="shared" si="19"/>
        <v/>
      </c>
      <c r="AD229" s="409" t="str">
        <f t="shared" si="20"/>
        <v/>
      </c>
    </row>
    <row r="230" s="408" customFormat="1" spans="1:30">
      <c r="A230" s="428"/>
      <c r="B230" s="421"/>
      <c r="C230" s="439"/>
      <c r="D230" s="421"/>
      <c r="E230" s="430"/>
      <c r="F230" s="430">
        <v>155499.652434</v>
      </c>
      <c r="G230" s="430"/>
      <c r="H230" s="430">
        <v>88546.8333333332</v>
      </c>
      <c r="I230" s="453" t="e">
        <v>#DIV/0!</v>
      </c>
      <c r="J230" s="430"/>
      <c r="K230" s="430"/>
      <c r="L230" s="430"/>
      <c r="M230" s="451"/>
      <c r="N230" s="459"/>
      <c r="O230" s="430"/>
      <c r="P230" s="542"/>
      <c r="Q230" s="429"/>
      <c r="R230" s="421"/>
      <c r="S230" s="473" t="s">
        <v>180</v>
      </c>
      <c r="T230" s="473" t="s">
        <v>180</v>
      </c>
      <c r="U230" s="466"/>
      <c r="V230" s="466"/>
      <c r="W230" s="421"/>
      <c r="X230" s="421"/>
      <c r="Y230" s="200" t="s">
        <v>240</v>
      </c>
      <c r="Z230" s="200" t="s">
        <v>180</v>
      </c>
      <c r="AA230" s="200" t="s">
        <v>180</v>
      </c>
      <c r="AB230" s="410">
        <f t="shared" si="18"/>
        <v>0</v>
      </c>
      <c r="AC230" s="409" t="str">
        <f t="shared" si="19"/>
        <v/>
      </c>
      <c r="AD230" s="409" t="str">
        <f t="shared" si="20"/>
        <v/>
      </c>
    </row>
    <row r="231" s="408" customFormat="1" spans="1:30">
      <c r="A231" s="423"/>
      <c r="B231" s="421"/>
      <c r="C231" s="425"/>
      <c r="D231" s="421"/>
      <c r="E231" s="430"/>
      <c r="F231" s="430"/>
      <c r="G231" s="430"/>
      <c r="H231" s="430"/>
      <c r="I231" s="453"/>
      <c r="J231" s="430"/>
      <c r="K231" s="430"/>
      <c r="L231" s="430"/>
      <c r="M231" s="451"/>
      <c r="N231" s="459"/>
      <c r="O231" s="430"/>
      <c r="P231" s="542"/>
      <c r="Q231" s="429"/>
      <c r="R231" s="421"/>
      <c r="S231" s="473" t="s">
        <v>180</v>
      </c>
      <c r="T231" s="473" t="s">
        <v>180</v>
      </c>
      <c r="U231" s="466"/>
      <c r="V231" s="466"/>
      <c r="W231" s="421"/>
      <c r="X231" s="421"/>
      <c r="Y231" s="200" t="s">
        <v>240</v>
      </c>
      <c r="Z231" s="200" t="s">
        <v>180</v>
      </c>
      <c r="AA231" s="200" t="s">
        <v>180</v>
      </c>
      <c r="AB231" s="410">
        <f t="shared" si="18"/>
        <v>0</v>
      </c>
      <c r="AC231" s="409" t="str">
        <f t="shared" si="19"/>
        <v/>
      </c>
      <c r="AD231" s="409" t="str">
        <f t="shared" si="20"/>
        <v/>
      </c>
    </row>
    <row r="232" s="408" customFormat="1" spans="3:27">
      <c r="C232" s="411"/>
      <c r="F232" s="502"/>
      <c r="G232" s="502"/>
      <c r="H232" s="502"/>
      <c r="I232" s="502"/>
      <c r="J232" s="412"/>
      <c r="K232" s="412"/>
      <c r="L232" s="412"/>
      <c r="M232" s="413"/>
      <c r="N232" s="414"/>
      <c r="O232" s="412"/>
      <c r="P232" s="541"/>
      <c r="U232" s="416"/>
      <c r="V232" s="416"/>
      <c r="Y232" s="200"/>
      <c r="Z232" s="200" t="s">
        <v>180</v>
      </c>
      <c r="AA232" s="200" t="s">
        <v>180</v>
      </c>
    </row>
    <row r="233" s="408" customFormat="1" spans="3:27">
      <c r="C233" s="411"/>
      <c r="E233" s="412"/>
      <c r="F233" s="412"/>
      <c r="G233" s="412"/>
      <c r="H233" s="412"/>
      <c r="I233" s="412"/>
      <c r="J233" s="412"/>
      <c r="K233" s="412"/>
      <c r="L233" s="412"/>
      <c r="M233" s="413"/>
      <c r="N233" s="414"/>
      <c r="O233" s="412"/>
      <c r="P233" s="545"/>
      <c r="U233" s="416"/>
      <c r="V233" s="416"/>
      <c r="Y233" s="200"/>
      <c r="Z233" s="200" t="s">
        <v>180</v>
      </c>
      <c r="AA233" s="200" t="s">
        <v>180</v>
      </c>
    </row>
    <row r="234" s="408" customFormat="1" spans="3:27">
      <c r="C234" s="411"/>
      <c r="F234" s="412"/>
      <c r="G234" s="412"/>
      <c r="H234" s="412"/>
      <c r="I234" s="412"/>
      <c r="J234" s="412"/>
      <c r="K234" s="412"/>
      <c r="L234" s="412"/>
      <c r="M234" s="413"/>
      <c r="N234" s="414"/>
      <c r="O234" s="412"/>
      <c r="P234" s="541"/>
      <c r="U234" s="416"/>
      <c r="V234" s="416"/>
      <c r="Y234" s="200"/>
      <c r="Z234" s="200" t="s">
        <v>180</v>
      </c>
      <c r="AA234" s="200" t="s">
        <v>180</v>
      </c>
    </row>
    <row r="235" s="408" customFormat="1" spans="3:27">
      <c r="C235" s="411"/>
      <c r="F235" s="412"/>
      <c r="G235" s="412"/>
      <c r="H235" s="412"/>
      <c r="I235" s="412"/>
      <c r="J235" s="412"/>
      <c r="K235" s="412"/>
      <c r="L235" s="412"/>
      <c r="M235" s="413"/>
      <c r="N235" s="414"/>
      <c r="O235" s="412"/>
      <c r="P235" s="541"/>
      <c r="U235" s="416"/>
      <c r="V235" s="416"/>
      <c r="Y235" s="200"/>
      <c r="Z235" s="200" t="s">
        <v>180</v>
      </c>
      <c r="AA235" s="200" t="s">
        <v>180</v>
      </c>
    </row>
    <row r="236" s="408" customFormat="1" spans="3:27">
      <c r="C236" s="411"/>
      <c r="F236" s="412"/>
      <c r="G236" s="412"/>
      <c r="H236" s="412"/>
      <c r="I236" s="412"/>
      <c r="J236" s="412"/>
      <c r="K236" s="412"/>
      <c r="L236" s="412"/>
      <c r="M236" s="413"/>
      <c r="N236" s="414"/>
      <c r="O236" s="412"/>
      <c r="P236" s="541"/>
      <c r="U236" s="416"/>
      <c r="V236" s="416"/>
      <c r="Y236" s="200"/>
      <c r="Z236" s="200" t="s">
        <v>180</v>
      </c>
      <c r="AA236" s="200" t="s">
        <v>180</v>
      </c>
    </row>
    <row r="237" s="408" customFormat="1" spans="3:27">
      <c r="C237" s="411"/>
      <c r="F237" s="412"/>
      <c r="G237" s="412"/>
      <c r="H237" s="412"/>
      <c r="I237" s="412"/>
      <c r="J237" s="412"/>
      <c r="K237" s="412"/>
      <c r="L237" s="412"/>
      <c r="M237" s="413"/>
      <c r="N237" s="414"/>
      <c r="O237" s="412"/>
      <c r="P237" s="541"/>
      <c r="U237" s="416"/>
      <c r="V237" s="416"/>
      <c r="Y237" s="200"/>
      <c r="Z237" s="200" t="s">
        <v>180</v>
      </c>
      <c r="AA237" s="200" t="s">
        <v>180</v>
      </c>
    </row>
    <row r="238" s="408" customFormat="1" spans="3:27">
      <c r="C238" s="411"/>
      <c r="F238" s="412"/>
      <c r="G238" s="412"/>
      <c r="H238" s="412"/>
      <c r="I238" s="412"/>
      <c r="J238" s="412"/>
      <c r="K238" s="412"/>
      <c r="L238" s="412"/>
      <c r="M238" s="413"/>
      <c r="N238" s="414"/>
      <c r="O238" s="412"/>
      <c r="P238" s="541"/>
      <c r="U238" s="416"/>
      <c r="V238" s="416"/>
      <c r="Y238" s="200"/>
      <c r="Z238" s="200" t="s">
        <v>180</v>
      </c>
      <c r="AA238" s="200" t="s">
        <v>180</v>
      </c>
    </row>
    <row r="239" s="408" customFormat="1" spans="3:27">
      <c r="C239" s="411"/>
      <c r="F239" s="412"/>
      <c r="G239" s="412"/>
      <c r="H239" s="412"/>
      <c r="I239" s="412"/>
      <c r="J239" s="412"/>
      <c r="K239" s="412"/>
      <c r="L239" s="412"/>
      <c r="M239" s="413"/>
      <c r="N239" s="414"/>
      <c r="O239" s="412"/>
      <c r="P239" s="541"/>
      <c r="U239" s="416"/>
      <c r="V239" s="416"/>
      <c r="Y239" s="200"/>
      <c r="Z239" s="200" t="s">
        <v>180</v>
      </c>
      <c r="AA239" s="200" t="s">
        <v>180</v>
      </c>
    </row>
    <row r="240" s="408" customFormat="1" spans="3:27">
      <c r="C240" s="411"/>
      <c r="F240" s="412"/>
      <c r="G240" s="412"/>
      <c r="H240" s="412"/>
      <c r="I240" s="412"/>
      <c r="J240" s="412"/>
      <c r="K240" s="412"/>
      <c r="L240" s="412"/>
      <c r="M240" s="413"/>
      <c r="N240" s="414"/>
      <c r="O240" s="412"/>
      <c r="P240" s="541"/>
      <c r="U240" s="416"/>
      <c r="V240" s="416"/>
      <c r="Y240" s="200"/>
      <c r="Z240" s="200" t="s">
        <v>180</v>
      </c>
      <c r="AA240" s="200" t="s">
        <v>180</v>
      </c>
    </row>
    <row r="241" s="408" customFormat="1" spans="3:27">
      <c r="C241" s="411"/>
      <c r="F241" s="412"/>
      <c r="G241" s="412"/>
      <c r="H241" s="412"/>
      <c r="I241" s="412"/>
      <c r="J241" s="412"/>
      <c r="K241" s="412"/>
      <c r="L241" s="412"/>
      <c r="M241" s="413"/>
      <c r="N241" s="414"/>
      <c r="O241" s="412"/>
      <c r="P241" s="541"/>
      <c r="U241" s="416"/>
      <c r="V241" s="416"/>
      <c r="Y241" s="200"/>
      <c r="Z241" s="200" t="s">
        <v>180</v>
      </c>
      <c r="AA241" s="200" t="s">
        <v>180</v>
      </c>
    </row>
    <row r="242" s="408" customFormat="1" spans="3:27">
      <c r="C242" s="411"/>
      <c r="F242" s="412"/>
      <c r="G242" s="412"/>
      <c r="H242" s="412"/>
      <c r="I242" s="412"/>
      <c r="J242" s="412"/>
      <c r="K242" s="412"/>
      <c r="L242" s="412"/>
      <c r="M242" s="413"/>
      <c r="N242" s="414"/>
      <c r="O242" s="412"/>
      <c r="P242" s="541"/>
      <c r="U242" s="416"/>
      <c r="V242" s="416"/>
      <c r="Y242" s="200"/>
      <c r="Z242" s="200" t="s">
        <v>180</v>
      </c>
      <c r="AA242" s="200" t="s">
        <v>180</v>
      </c>
    </row>
    <row r="243" s="408" customFormat="1" spans="3:27">
      <c r="C243" s="411"/>
      <c r="F243" s="412"/>
      <c r="G243" s="412"/>
      <c r="H243" s="412"/>
      <c r="I243" s="412"/>
      <c r="J243" s="412"/>
      <c r="K243" s="412"/>
      <c r="L243" s="412"/>
      <c r="M243" s="413"/>
      <c r="N243" s="414"/>
      <c r="O243" s="412"/>
      <c r="P243" s="541"/>
      <c r="U243" s="416"/>
      <c r="V243" s="416"/>
      <c r="Y243" s="200"/>
      <c r="Z243" s="200" t="s">
        <v>180</v>
      </c>
      <c r="AA243" s="200" t="s">
        <v>180</v>
      </c>
    </row>
    <row r="244" s="411" customFormat="1" spans="1:27">
      <c r="A244" s="408"/>
      <c r="B244" s="503"/>
      <c r="D244" s="408"/>
      <c r="E244" s="408"/>
      <c r="F244" s="412"/>
      <c r="G244" s="412"/>
      <c r="H244" s="412"/>
      <c r="I244" s="412"/>
      <c r="J244" s="412"/>
      <c r="K244" s="412"/>
      <c r="L244" s="412"/>
      <c r="M244" s="413"/>
      <c r="N244" s="414"/>
      <c r="O244" s="412"/>
      <c r="P244" s="541"/>
      <c r="Q244" s="408"/>
      <c r="R244" s="408"/>
      <c r="S244" s="408"/>
      <c r="T244" s="408"/>
      <c r="U244" s="416"/>
      <c r="V244" s="416"/>
      <c r="W244" s="408"/>
      <c r="X244" s="408"/>
      <c r="Y244" s="200"/>
      <c r="Z244" s="200" t="s">
        <v>180</v>
      </c>
      <c r="AA244" s="200" t="s">
        <v>180</v>
      </c>
    </row>
  </sheetData>
  <mergeCells count="19">
    <mergeCell ref="V1:X1"/>
    <mergeCell ref="V13:X13"/>
    <mergeCell ref="V25:X25"/>
    <mergeCell ref="V37:X37"/>
    <mergeCell ref="V51:X51"/>
    <mergeCell ref="V62:X62"/>
    <mergeCell ref="V72:X72"/>
    <mergeCell ref="V81:X81"/>
    <mergeCell ref="V95:X95"/>
    <mergeCell ref="V107:X107"/>
    <mergeCell ref="V119:X119"/>
    <mergeCell ref="V132:X132"/>
    <mergeCell ref="V143:X143"/>
    <mergeCell ref="V153:X153"/>
    <mergeCell ref="V168:X168"/>
    <mergeCell ref="V183:X183"/>
    <mergeCell ref="V193:X193"/>
    <mergeCell ref="V205:X205"/>
    <mergeCell ref="V220:X220"/>
  </mergeCells>
  <conditionalFormatting sqref="M3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{40cbe7f0-bf86-48d6-965d-4f55354fba04}</x14:id>
        </ext>
      </extLst>
    </cfRule>
  </conditionalFormatting>
  <conditionalFormatting sqref="M15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{8dd9604a-d566-465c-9b38-eb8d2434cb68}</x14:id>
        </ext>
      </extLst>
    </cfRule>
  </conditionalFormatting>
  <conditionalFormatting sqref="I27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{5dc30078-7ede-4e89-a6a9-4977b891adf0}</x14:id>
        </ext>
      </extLst>
    </cfRule>
  </conditionalFormatting>
  <conditionalFormatting sqref="M27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{d458d729-976f-486d-a0d5-36778a68aa6d}</x14:id>
        </ext>
      </extLst>
    </cfRule>
  </conditionalFormatting>
  <conditionalFormatting sqref="M34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{1bc0bb95-455e-456e-bf26-db3d0562f6e0}</x14:id>
        </ext>
      </extLst>
    </cfRule>
  </conditionalFormatting>
  <conditionalFormatting sqref="M39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{71694e0b-7c76-4ffd-9846-2de8a60245cc}</x14:id>
        </ext>
      </extLst>
    </cfRule>
  </conditionalFormatting>
  <conditionalFormatting sqref="M53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{f6f19df0-fed1-476d-a659-b3cda930068d}</x14:id>
        </ext>
      </extLst>
    </cfRule>
  </conditionalFormatting>
  <conditionalFormatting sqref="M64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{5089b3ec-e0d4-4f14-a8fa-c57c173bef35}</x14:id>
        </ext>
      </extLst>
    </cfRule>
  </conditionalFormatting>
  <conditionalFormatting sqref="M74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{4934ed72-5806-4ec7-9c55-bec5fe6a6ce1}</x14:id>
        </ext>
      </extLst>
    </cfRule>
  </conditionalFormatting>
  <conditionalFormatting sqref="M83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{7c00b229-fe35-465c-8c3f-da5d1c0d1272}</x14:id>
        </ext>
      </extLst>
    </cfRule>
  </conditionalFormatting>
  <conditionalFormatting sqref="I9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{0f124f93-ca2a-4fc9-ba44-6c4e65e6cebf}</x14:id>
        </ext>
      </extLst>
    </cfRule>
  </conditionalFormatting>
  <conditionalFormatting sqref="M97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{6817c133-642b-4cbe-ac9e-3f6460d8f2cb}</x14:id>
        </ext>
      </extLst>
    </cfRule>
  </conditionalFormatting>
  <conditionalFormatting sqref="I98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{211e1ad5-dbf4-43af-9914-d5495b203a7c}</x14:id>
        </ext>
      </extLst>
    </cfRule>
  </conditionalFormatting>
  <conditionalFormatting sqref="M98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{36121ce6-a1ff-4101-bb4d-65347ab6ef44}</x14:id>
        </ext>
      </extLst>
    </cfRule>
  </conditionalFormatting>
  <conditionalFormatting sqref="I109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{ad8100c4-f452-4528-a3a2-d263c2855bb9}</x14:id>
        </ext>
      </extLst>
    </cfRule>
  </conditionalFormatting>
  <conditionalFormatting sqref="M109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{757ba48b-67d8-4643-99be-1cd2ff3ca018}</x14:id>
        </ext>
      </extLst>
    </cfRule>
  </conditionalFormatting>
  <conditionalFormatting sqref="M111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{faaa2eba-4383-44ac-9471-4f6c56eb195b}</x14:id>
        </ext>
      </extLst>
    </cfRule>
  </conditionalFormatting>
  <conditionalFormatting sqref="I11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{43bbc45d-8bf9-45c4-af36-956d5ae55e2a}</x14:id>
        </ext>
      </extLst>
    </cfRule>
  </conditionalFormatting>
  <conditionalFormatting sqref="M121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{5263bcf3-e4ea-4fa5-a739-6fd930f5b634}</x14:id>
        </ext>
      </extLst>
    </cfRule>
  </conditionalFormatting>
  <conditionalFormatting sqref="M134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{7751dcf7-0323-4bb2-a8d3-2166ad878c46}</x14:id>
        </ext>
      </extLst>
    </cfRule>
  </conditionalFormatting>
  <conditionalFormatting sqref="M145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{7099d69c-8ea6-42b0-b2ff-c89ac73adfae}</x14:id>
        </ext>
      </extLst>
    </cfRule>
  </conditionalFormatting>
  <conditionalFormatting sqref="I4:I9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{7a4eca8c-1030-421b-9efe-fa8d505d0bd5}</x14:id>
        </ext>
      </extLst>
    </cfRule>
  </conditionalFormatting>
  <conditionalFormatting sqref="I16:I21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{b73c7e44-3c01-4469-92b3-ac09960b740d}</x14:id>
        </ext>
      </extLst>
    </cfRule>
  </conditionalFormatting>
  <conditionalFormatting sqref="I34:I35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{2e6aee13-5a23-455d-b897-5fb9a5485afa}</x14:id>
        </ext>
      </extLst>
    </cfRule>
  </conditionalFormatting>
  <conditionalFormatting sqref="I40:I47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{b55dc966-1ae6-430a-af12-541c675da13f}</x14:id>
        </ext>
      </extLst>
    </cfRule>
  </conditionalFormatting>
  <conditionalFormatting sqref="I54:I58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{fbab5ada-59ff-46fa-ac7b-1a349bf480b1}</x14:id>
        </ext>
      </extLst>
    </cfRule>
  </conditionalFormatting>
  <conditionalFormatting sqref="I65:I68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{84dc568f-4096-4245-9c5c-08118993b594}</x14:id>
        </ext>
      </extLst>
    </cfRule>
  </conditionalFormatting>
  <conditionalFormatting sqref="I75:I7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{fa1deb0e-7dc9-4f03-993a-ca6e6d623801}</x14:id>
        </ext>
      </extLst>
    </cfRule>
  </conditionalFormatting>
  <conditionalFormatting sqref="I84:I91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{834f9da5-d37f-4d76-9d55-836e3d0ca1ec}</x14:id>
        </ext>
      </extLst>
    </cfRule>
  </conditionalFormatting>
  <conditionalFormatting sqref="I99:I103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{3b0f586d-2b53-4c04-9b98-f75af0be0653}</x14:id>
        </ext>
      </extLst>
    </cfRule>
  </conditionalFormatting>
  <conditionalFormatting sqref="I122:I128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{093af7a6-5b17-4625-92b6-11aad3fe4793}</x14:id>
        </ext>
      </extLst>
    </cfRule>
  </conditionalFormatting>
  <conditionalFormatting sqref="I135:I139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{d40a533b-b0ab-4cd3-b31f-1ac73dfe6a48}</x14:id>
        </ext>
      </extLst>
    </cfRule>
  </conditionalFormatting>
  <conditionalFormatting sqref="I140:I141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{9f3e60c0-a8cf-42c1-ad86-7e14f8cc5f50}</x14:id>
        </ext>
      </extLst>
    </cfRule>
  </conditionalFormatting>
  <conditionalFormatting sqref="I146:I14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{ceebb2b0-f0e3-4cb6-aa1c-8d52d450a1f8}</x14:id>
        </ext>
      </extLst>
    </cfRule>
  </conditionalFormatting>
  <conditionalFormatting sqref="M4:M9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{9b7645f9-c7ed-4aa2-a1ea-5a9b0f51fa03}</x14:id>
        </ext>
      </extLst>
    </cfRule>
  </conditionalFormatting>
  <conditionalFormatting sqref="M16:M21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{d729daf5-c103-4fe2-8f22-05d490a04e9f}</x14:id>
        </ext>
      </extLst>
    </cfRule>
  </conditionalFormatting>
  <conditionalFormatting sqref="M40:M47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{58b3e322-37df-4e17-a807-d0c457e91f93}</x14:id>
        </ext>
      </extLst>
    </cfRule>
  </conditionalFormatting>
  <conditionalFormatting sqref="M54:M58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{b9185e17-22ca-4b10-8c90-aefa17ef69af}</x14:id>
        </ext>
      </extLst>
    </cfRule>
  </conditionalFormatting>
  <conditionalFormatting sqref="M65:M68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{8149cb63-7fac-4912-8df0-10ec3d20eb49}</x14:id>
        </ext>
      </extLst>
    </cfRule>
  </conditionalFormatting>
  <conditionalFormatting sqref="M75:M77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{8d6b84e9-c77c-4ae9-a52c-034d46e2ac2c}</x14:id>
        </ext>
      </extLst>
    </cfRule>
  </conditionalFormatting>
  <conditionalFormatting sqref="M84:M91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{4cf4b561-8f17-42ea-9c74-61d982c2e450}</x14:id>
        </ext>
      </extLst>
    </cfRule>
  </conditionalFormatting>
  <conditionalFormatting sqref="M99:M103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{c89e425b-101b-49f8-a23f-e78c6673ac6f}</x14:id>
        </ext>
      </extLst>
    </cfRule>
  </conditionalFormatting>
  <conditionalFormatting sqref="M122:M12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{5d8a71ac-f8b0-408e-b92c-e8e338a4a330}</x14:id>
        </ext>
      </extLst>
    </cfRule>
  </conditionalFormatting>
  <conditionalFormatting sqref="M135:M139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{d4ca7cd1-05a5-41ec-b312-a531ca15fdbb}</x14:id>
        </ext>
      </extLst>
    </cfRule>
  </conditionalFormatting>
  <conditionalFormatting sqref="M146:M149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{25ce521e-fb24-4422-9a40-dc02d5d6a02e}</x14:id>
        </ext>
      </extLst>
    </cfRule>
  </conditionalFormatting>
  <conditionalFormatting sqref="I3 I10:I11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{3861e76b-7e60-43b6-8481-d9495f505d1b}</x14:id>
        </ext>
      </extLst>
    </cfRule>
  </conditionalFormatting>
  <conditionalFormatting sqref="I22:I23 I15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{14aa188d-ecc8-4fed-9a6b-d3573d18d2c8}</x14:id>
        </ext>
      </extLst>
    </cfRule>
  </conditionalFormatting>
  <conditionalFormatting sqref="I28 I3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{847c6fa5-2031-4018-be0b-eec64cd67e73}</x14:id>
        </ext>
      </extLst>
    </cfRule>
  </conditionalFormatting>
  <conditionalFormatting sqref="M28 M30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{951415ae-7dcf-4d09-965b-16b19e5f9013}</x14:id>
        </ext>
      </extLst>
    </cfRule>
  </conditionalFormatting>
  <conditionalFormatting sqref="I29 I31:I33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{b4b7ca8b-d835-42c0-80bb-221c30cb5411}</x14:id>
        </ext>
      </extLst>
    </cfRule>
  </conditionalFormatting>
  <conditionalFormatting sqref="M29 M31:M33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{5e5b5aa0-7f2e-4a9b-967e-3161388ec461}</x14:id>
        </ext>
      </extLst>
    </cfRule>
  </conditionalFormatting>
  <conditionalFormatting sqref="I39 I48:I49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{dabc52e4-b844-4f22-8bae-1b9e8f9f0ba1}</x14:id>
        </ext>
      </extLst>
    </cfRule>
  </conditionalFormatting>
  <conditionalFormatting sqref="I53 I59:I60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{cdb10684-d85e-45b6-8341-2e50cde1dcb0}</x14:id>
        </ext>
      </extLst>
    </cfRule>
  </conditionalFormatting>
  <conditionalFormatting sqref="I69:I70 I6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{9a2e445e-1bcb-415e-9f62-1bf0f1e7c873}</x14:id>
        </ext>
      </extLst>
    </cfRule>
  </conditionalFormatting>
  <conditionalFormatting sqref="I74 I78:I79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{f965d05c-d3c7-4151-86d7-9abbda69ccbe}</x14:id>
        </ext>
      </extLst>
    </cfRule>
  </conditionalFormatting>
  <conditionalFormatting sqref="I92:I93 I83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{25ba51f0-8650-4872-b8de-d29deeecd252}</x14:id>
        </ext>
      </extLst>
    </cfRule>
  </conditionalFormatting>
  <conditionalFormatting sqref="I104:I105 I97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{d9a6b2f4-18dc-4243-bd4e-b4c94199b29f}</x14:id>
        </ext>
      </extLst>
    </cfRule>
  </conditionalFormatting>
  <conditionalFormatting sqref="I112:I114 I1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{392c9698-9ce2-409a-bb7d-33e5d1de6d22}</x14:id>
        </ext>
      </extLst>
    </cfRule>
  </conditionalFormatting>
  <conditionalFormatting sqref="M112:M115 M110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{5d2d19ad-9165-4378-a263-414a4c921401}</x14:id>
        </ext>
      </extLst>
    </cfRule>
  </conditionalFormatting>
  <conditionalFormatting sqref="I111 I116:I117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{4d2f919d-bc58-48e6-ba42-b42c7fb51d8d}</x14:id>
        </ext>
      </extLst>
    </cfRule>
  </conditionalFormatting>
  <conditionalFormatting sqref="I129:I130 I121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{3c6cac04-df76-482f-bbb9-d221be62b92e}</x14:id>
        </ext>
      </extLst>
    </cfRule>
  </conditionalFormatting>
  <conditionalFormatting sqref="I145 I150:I151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{1cb87a55-87de-4713-b0f7-ef4b1c53ab64}</x14:id>
        </ext>
      </extLst>
    </cfRule>
  </conditionalFormatting>
  <hyperlinks>
    <hyperlink ref="B99" r:id="rId1" display="subarupartsplus.com" tooltip="http://www.subarupartsplus.com"/>
    <hyperlink ref="B42" r:id="rId2" display="moparfactoryparts.com" tooltip="http://www.moparfactoryparts.com"/>
    <hyperlink ref="B98" r:id="rId3" display="subaruparts.com" tooltip="http://www.subaruparts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0cbe7f0-bf86-48d6-965d-4f55354fba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</xm:sqref>
        </x14:conditionalFormatting>
        <x14:conditionalFormatting xmlns:xm="http://schemas.microsoft.com/office/excel/2006/main">
          <x14:cfRule type="dataBar" id="{8dd9604a-d566-465c-9b38-eb8d2434cb6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</xm:sqref>
        </x14:conditionalFormatting>
        <x14:conditionalFormatting xmlns:xm="http://schemas.microsoft.com/office/excel/2006/main">
          <x14:cfRule type="dataBar" id="{5dc30078-7ede-4e89-a6a9-4977b891ad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I27</xm:sqref>
        </x14:conditionalFormatting>
        <x14:conditionalFormatting xmlns:xm="http://schemas.microsoft.com/office/excel/2006/main">
          <x14:cfRule type="dataBar" id="{d458d729-976f-486d-a0d5-36778a68aa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M27</xm:sqref>
        </x14:conditionalFormatting>
        <x14:conditionalFormatting xmlns:xm="http://schemas.microsoft.com/office/excel/2006/main">
          <x14:cfRule type="dataBar" id="{1bc0bb95-455e-456e-bf26-db3d0562f6e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M34</xm:sqref>
        </x14:conditionalFormatting>
        <x14:conditionalFormatting xmlns:xm="http://schemas.microsoft.com/office/excel/2006/main">
          <x14:cfRule type="dataBar" id="{71694e0b-7c76-4ffd-9846-2de8a60245c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M39</xm:sqref>
        </x14:conditionalFormatting>
        <x14:conditionalFormatting xmlns:xm="http://schemas.microsoft.com/office/excel/2006/main">
          <x14:cfRule type="dataBar" id="{f6f19df0-fed1-476d-a659-b3cda93006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5089b3ec-e0d4-4f14-a8fa-c57c173bef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M64</xm:sqref>
        </x14:conditionalFormatting>
        <x14:conditionalFormatting xmlns:xm="http://schemas.microsoft.com/office/excel/2006/main">
          <x14:cfRule type="dataBar" id="{4934ed72-5806-4ec7-9c55-bec5fe6a6c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M74</xm:sqref>
        </x14:conditionalFormatting>
        <x14:conditionalFormatting xmlns:xm="http://schemas.microsoft.com/office/excel/2006/main">
          <x14:cfRule type="dataBar" id="{7c00b229-fe35-465c-8c3f-da5d1c0d12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M83</xm:sqref>
        </x14:conditionalFormatting>
        <x14:conditionalFormatting xmlns:xm="http://schemas.microsoft.com/office/excel/2006/main">
          <x14:cfRule type="dataBar" id="{0f124f93-ca2a-4fc9-ba44-6c4e65e6ceb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I94</xm:sqref>
        </x14:conditionalFormatting>
        <x14:conditionalFormatting xmlns:xm="http://schemas.microsoft.com/office/excel/2006/main">
          <x14:cfRule type="dataBar" id="{6817c133-642b-4cbe-ac9e-3f6460d8f2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M97</xm:sqref>
        </x14:conditionalFormatting>
        <x14:conditionalFormatting xmlns:xm="http://schemas.microsoft.com/office/excel/2006/main">
          <x14:cfRule type="dataBar" id="{211e1ad5-dbf4-43af-9914-d5495b203a7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I98</xm:sqref>
        </x14:conditionalFormatting>
        <x14:conditionalFormatting xmlns:xm="http://schemas.microsoft.com/office/excel/2006/main">
          <x14:cfRule type="dataBar" id="{36121ce6-a1ff-4101-bb4d-65347ab6ef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M98</xm:sqref>
        </x14:conditionalFormatting>
        <x14:conditionalFormatting xmlns:xm="http://schemas.microsoft.com/office/excel/2006/main">
          <x14:cfRule type="dataBar" id="{ad8100c4-f452-4528-a3a2-d263c2855b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I109</xm:sqref>
        </x14:conditionalFormatting>
        <x14:conditionalFormatting xmlns:xm="http://schemas.microsoft.com/office/excel/2006/main">
          <x14:cfRule type="dataBar" id="{757ba48b-67d8-4643-99be-1cd2ff3ca01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M109</xm:sqref>
        </x14:conditionalFormatting>
        <x14:conditionalFormatting xmlns:xm="http://schemas.microsoft.com/office/excel/2006/main">
          <x14:cfRule type="dataBar" id="{faaa2eba-4383-44ac-9471-4f6c56eb19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M111</xm:sqref>
        </x14:conditionalFormatting>
        <x14:conditionalFormatting xmlns:xm="http://schemas.microsoft.com/office/excel/2006/main">
          <x14:cfRule type="dataBar" id="{43bbc45d-8bf9-45c4-af36-956d5ae55e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I115</xm:sqref>
        </x14:conditionalFormatting>
        <x14:conditionalFormatting xmlns:xm="http://schemas.microsoft.com/office/excel/2006/main">
          <x14:cfRule type="dataBar" id="{5263bcf3-e4ea-4fa5-a739-6fd930f5b6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M121</xm:sqref>
        </x14:conditionalFormatting>
        <x14:conditionalFormatting xmlns:xm="http://schemas.microsoft.com/office/excel/2006/main">
          <x14:cfRule type="dataBar" id="{7751dcf7-0323-4bb2-a8d3-2166ad878c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M134</xm:sqref>
        </x14:conditionalFormatting>
        <x14:conditionalFormatting xmlns:xm="http://schemas.microsoft.com/office/excel/2006/main">
          <x14:cfRule type="dataBar" id="{7099d69c-8ea6-42b0-b2ff-c89ac73adf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M145</xm:sqref>
        </x14:conditionalFormatting>
        <x14:conditionalFormatting xmlns:xm="http://schemas.microsoft.com/office/excel/2006/main">
          <x14:cfRule type="dataBar" id="{7a4eca8c-1030-421b-9efe-fa8d505d0bd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I4:I9</xm:sqref>
        </x14:conditionalFormatting>
        <x14:conditionalFormatting xmlns:xm="http://schemas.microsoft.com/office/excel/2006/main">
          <x14:cfRule type="dataBar" id="{b73c7e44-3c01-4469-92b3-ac09960b74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I16:I21</xm:sqref>
        </x14:conditionalFormatting>
        <x14:conditionalFormatting xmlns:xm="http://schemas.microsoft.com/office/excel/2006/main">
          <x14:cfRule type="dataBar" id="{2e6aee13-5a23-455d-b897-5fb9a5485a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I34:I35</xm:sqref>
        </x14:conditionalFormatting>
        <x14:conditionalFormatting xmlns:xm="http://schemas.microsoft.com/office/excel/2006/main">
          <x14:cfRule type="dataBar" id="{b55dc966-1ae6-430a-af12-541c675da1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I40:I47</xm:sqref>
        </x14:conditionalFormatting>
        <x14:conditionalFormatting xmlns:xm="http://schemas.microsoft.com/office/excel/2006/main">
          <x14:cfRule type="dataBar" id="{fbab5ada-59ff-46fa-ac7b-1a349bf480b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I54:I58</xm:sqref>
        </x14:conditionalFormatting>
        <x14:conditionalFormatting xmlns:xm="http://schemas.microsoft.com/office/excel/2006/main">
          <x14:cfRule type="dataBar" id="{84dc568f-4096-4245-9c5c-08118993b5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I65:I68</xm:sqref>
        </x14:conditionalFormatting>
        <x14:conditionalFormatting xmlns:xm="http://schemas.microsoft.com/office/excel/2006/main">
          <x14:cfRule type="dataBar" id="{fa1deb0e-7dc9-4f03-993a-ca6e6d6238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I75:I77</xm:sqref>
        </x14:conditionalFormatting>
        <x14:conditionalFormatting xmlns:xm="http://schemas.microsoft.com/office/excel/2006/main">
          <x14:cfRule type="dataBar" id="{834f9da5-d37f-4d76-9d55-836e3d0ca1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I84:I91</xm:sqref>
        </x14:conditionalFormatting>
        <x14:conditionalFormatting xmlns:xm="http://schemas.microsoft.com/office/excel/2006/main">
          <x14:cfRule type="dataBar" id="{3b0f586d-2b53-4c04-9b98-f75af0be06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I99:I103</xm:sqref>
        </x14:conditionalFormatting>
        <x14:conditionalFormatting xmlns:xm="http://schemas.microsoft.com/office/excel/2006/main">
          <x14:cfRule type="dataBar" id="{093af7a6-5b17-4625-92b6-11aad3fe47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I122:I128</xm:sqref>
        </x14:conditionalFormatting>
        <x14:conditionalFormatting xmlns:xm="http://schemas.microsoft.com/office/excel/2006/main">
          <x14:cfRule type="dataBar" id="{d40a533b-b0ab-4cd3-b31f-1ac73dfe6a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I135:I139</xm:sqref>
        </x14:conditionalFormatting>
        <x14:conditionalFormatting xmlns:xm="http://schemas.microsoft.com/office/excel/2006/main">
          <x14:cfRule type="dataBar" id="{9f3e60c0-a8cf-42c1-ad86-7e14f8cc5f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I140:I141</xm:sqref>
        </x14:conditionalFormatting>
        <x14:conditionalFormatting xmlns:xm="http://schemas.microsoft.com/office/excel/2006/main">
          <x14:cfRule type="dataBar" id="{ceebb2b0-f0e3-4cb6-aa1c-8d52d450a1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I146:I149</xm:sqref>
        </x14:conditionalFormatting>
        <x14:conditionalFormatting xmlns:xm="http://schemas.microsoft.com/office/excel/2006/main">
          <x14:cfRule type="dataBar" id="{9b7645f9-c7ed-4aa2-a1ea-5a9b0f51fa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M4:M9</xm:sqref>
        </x14:conditionalFormatting>
        <x14:conditionalFormatting xmlns:xm="http://schemas.microsoft.com/office/excel/2006/main">
          <x14:cfRule type="dataBar" id="{d729daf5-c103-4fe2-8f22-05d490a04e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M16:M21</xm:sqref>
        </x14:conditionalFormatting>
        <x14:conditionalFormatting xmlns:xm="http://schemas.microsoft.com/office/excel/2006/main">
          <x14:cfRule type="dataBar" id="{58b3e322-37df-4e17-a807-d0c457e91f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M40:M47</xm:sqref>
        </x14:conditionalFormatting>
        <x14:conditionalFormatting xmlns:xm="http://schemas.microsoft.com/office/excel/2006/main">
          <x14:cfRule type="dataBar" id="{b9185e17-22ca-4b10-8c90-aefa17ef69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M54:M58</xm:sqref>
        </x14:conditionalFormatting>
        <x14:conditionalFormatting xmlns:xm="http://schemas.microsoft.com/office/excel/2006/main">
          <x14:cfRule type="dataBar" id="{8149cb63-7fac-4912-8df0-10ec3d20eb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M65:M68</xm:sqref>
        </x14:conditionalFormatting>
        <x14:conditionalFormatting xmlns:xm="http://schemas.microsoft.com/office/excel/2006/main">
          <x14:cfRule type="dataBar" id="{8d6b84e9-c77c-4ae9-a52c-034d46e2ac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M75:M77</xm:sqref>
        </x14:conditionalFormatting>
        <x14:conditionalFormatting xmlns:xm="http://schemas.microsoft.com/office/excel/2006/main">
          <x14:cfRule type="dataBar" id="{4cf4b561-8f17-42ea-9c74-61d982c2e4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M84:M91</xm:sqref>
        </x14:conditionalFormatting>
        <x14:conditionalFormatting xmlns:xm="http://schemas.microsoft.com/office/excel/2006/main">
          <x14:cfRule type="dataBar" id="{c89e425b-101b-49f8-a23f-e78c6673ac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M99:M103</xm:sqref>
        </x14:conditionalFormatting>
        <x14:conditionalFormatting xmlns:xm="http://schemas.microsoft.com/office/excel/2006/main">
          <x14:cfRule type="dataBar" id="{5d8a71ac-f8b0-408e-b92c-e8e338a4a3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M122:M128</xm:sqref>
        </x14:conditionalFormatting>
        <x14:conditionalFormatting xmlns:xm="http://schemas.microsoft.com/office/excel/2006/main">
          <x14:cfRule type="dataBar" id="{d4ca7cd1-05a5-41ec-b312-a531ca15fd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M135:M139</xm:sqref>
        </x14:conditionalFormatting>
        <x14:conditionalFormatting xmlns:xm="http://schemas.microsoft.com/office/excel/2006/main">
          <x14:cfRule type="dataBar" id="{25ce521e-fb24-4422-9a40-dc02d5d6a0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M146:M149</xm:sqref>
        </x14:conditionalFormatting>
        <x14:conditionalFormatting xmlns:xm="http://schemas.microsoft.com/office/excel/2006/main">
          <x14:cfRule type="dataBar" id="{3861e76b-7e60-43b6-8481-d9495f505d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 I10:I11</xm:sqref>
        </x14:conditionalFormatting>
        <x14:conditionalFormatting xmlns:xm="http://schemas.microsoft.com/office/excel/2006/main">
          <x14:cfRule type="dataBar" id="{14aa188d-ecc8-4fed-9a6b-d3573d18d2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I22:I23 I15</xm:sqref>
        </x14:conditionalFormatting>
        <x14:conditionalFormatting xmlns:xm="http://schemas.microsoft.com/office/excel/2006/main">
          <x14:cfRule type="dataBar" id="{847c6fa5-2031-4018-be0b-eec64cd67e7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I28 I30</xm:sqref>
        </x14:conditionalFormatting>
        <x14:conditionalFormatting xmlns:xm="http://schemas.microsoft.com/office/excel/2006/main">
          <x14:cfRule type="dataBar" id="{951415ae-7dcf-4d09-965b-16b19e5f90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M28 M30</xm:sqref>
        </x14:conditionalFormatting>
        <x14:conditionalFormatting xmlns:xm="http://schemas.microsoft.com/office/excel/2006/main">
          <x14:cfRule type="dataBar" id="{b4b7ca8b-d835-42c0-80bb-221c30cb541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I29 I31:I33</xm:sqref>
        </x14:conditionalFormatting>
        <x14:conditionalFormatting xmlns:xm="http://schemas.microsoft.com/office/excel/2006/main">
          <x14:cfRule type="dataBar" id="{5e5b5aa0-7f2e-4a9b-967e-3161388ec46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M29 M31:M33</xm:sqref>
        </x14:conditionalFormatting>
        <x14:conditionalFormatting xmlns:xm="http://schemas.microsoft.com/office/excel/2006/main">
          <x14:cfRule type="dataBar" id="{dabc52e4-b844-4f22-8bae-1b9e8f9f0b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I39 I48:I49</xm:sqref>
        </x14:conditionalFormatting>
        <x14:conditionalFormatting xmlns:xm="http://schemas.microsoft.com/office/excel/2006/main">
          <x14:cfRule type="dataBar" id="{cdb10684-d85e-45b6-8341-2e50cde1dc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I53 I59:I60</xm:sqref>
        </x14:conditionalFormatting>
        <x14:conditionalFormatting xmlns:xm="http://schemas.microsoft.com/office/excel/2006/main">
          <x14:cfRule type="dataBar" id="{9a2e445e-1bcb-415e-9f62-1bf0f1e7c87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I69:I70 I64</xm:sqref>
        </x14:conditionalFormatting>
        <x14:conditionalFormatting xmlns:xm="http://schemas.microsoft.com/office/excel/2006/main">
          <x14:cfRule type="dataBar" id="{f965d05c-d3c7-4151-86d7-9abbda69cc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I74 I78:I79</xm:sqref>
        </x14:conditionalFormatting>
        <x14:conditionalFormatting xmlns:xm="http://schemas.microsoft.com/office/excel/2006/main">
          <x14:cfRule type="dataBar" id="{25ba51f0-8650-4872-b8de-d29deeecd25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I92:I93 I83</xm:sqref>
        </x14:conditionalFormatting>
        <x14:conditionalFormatting xmlns:xm="http://schemas.microsoft.com/office/excel/2006/main">
          <x14:cfRule type="dataBar" id="{d9a6b2f4-18dc-4243-bd4e-b4c94199b2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I104:I105 I97</xm:sqref>
        </x14:conditionalFormatting>
        <x14:conditionalFormatting xmlns:xm="http://schemas.microsoft.com/office/excel/2006/main">
          <x14:cfRule type="dataBar" id="{392c9698-9ce2-409a-bb7d-33e5d1de6d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I112:I114 I110</xm:sqref>
        </x14:conditionalFormatting>
        <x14:conditionalFormatting xmlns:xm="http://schemas.microsoft.com/office/excel/2006/main">
          <x14:cfRule type="dataBar" id="{5d2d19ad-9165-4378-a263-414a4c9214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M112:M115 M110</xm:sqref>
        </x14:conditionalFormatting>
        <x14:conditionalFormatting xmlns:xm="http://schemas.microsoft.com/office/excel/2006/main">
          <x14:cfRule type="dataBar" id="{4d2f919d-bc58-48e6-ba42-b42c7fb51d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I111 I116:I117</xm:sqref>
        </x14:conditionalFormatting>
        <x14:conditionalFormatting xmlns:xm="http://schemas.microsoft.com/office/excel/2006/main">
          <x14:cfRule type="dataBar" id="{3c6cac04-df76-482f-bbb9-d221be62b9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I129:I130 I121</xm:sqref>
        </x14:conditionalFormatting>
        <x14:conditionalFormatting xmlns:xm="http://schemas.microsoft.com/office/excel/2006/main">
          <x14:cfRule type="dataBar" id="{1cb87a55-87de-4713-b0f7-ef4b1c53ab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I145 I150:I151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245"/>
  <sheetViews>
    <sheetView workbookViewId="0">
      <selection activeCell="A1" sqref="A1"/>
    </sheetView>
  </sheetViews>
  <sheetFormatPr defaultColWidth="9" defaultRowHeight="15.6"/>
  <cols>
    <col min="1" max="1" width="13.4444444444444" style="408" customWidth="1"/>
    <col min="2" max="2" width="47.4444444444444" style="408" customWidth="1"/>
    <col min="3" max="3" width="14.4444444444444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19.2222222222222" style="413" hidden="1" customWidth="1"/>
    <col min="14" max="14" width="7.33333333333333" style="414" hidden="1" customWidth="1"/>
    <col min="15" max="15" width="16.3333333333333" style="412" hidden="1" customWidth="1"/>
    <col min="16" max="16" width="96.4444444444444" style="528" customWidth="1"/>
    <col min="17" max="17" width="31.6666666666667" style="408" hidden="1" customWidth="1"/>
    <col min="18" max="18" width="14.8888888888889" style="408" hidden="1" customWidth="1"/>
    <col min="19" max="20" width="10.1111111111111" style="408" customWidth="1"/>
    <col min="21" max="21" width="17.1111111111111" style="416" customWidth="1"/>
    <col min="22" max="22" width="16.8888888888889" style="416" customWidth="1"/>
    <col min="23" max="23" width="10.8888888888889" style="408" hidden="1" customWidth="1"/>
    <col min="24" max="24" width="11.1111111111111" style="408" hidden="1" customWidth="1"/>
    <col min="25" max="27" width="9" style="200" hidden="1" customWidth="1"/>
    <col min="28" max="28" width="9.55555555555556" style="417" hidden="1" customWidth="1"/>
    <col min="29" max="29" width="9.44444444444444" style="417" hidden="1" customWidth="1"/>
    <col min="30" max="30" width="9" style="417" hidden="1" customWidth="1"/>
    <col min="31" max="16384" width="9" style="417"/>
  </cols>
  <sheetData>
    <row r="1" s="408" customFormat="1" ht="17.4" spans="1:35">
      <c r="A1" s="418" t="s">
        <v>138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43"/>
      <c r="N1" s="444"/>
      <c r="O1" s="422"/>
      <c r="P1" s="531"/>
      <c r="Q1" s="465"/>
      <c r="R1" s="424"/>
      <c r="S1" s="473"/>
      <c r="T1" s="473"/>
      <c r="U1" s="467"/>
      <c r="V1" s="467"/>
      <c r="W1" s="467"/>
      <c r="X1" s="467"/>
      <c r="Y1" s="538" t="s">
        <v>203</v>
      </c>
      <c r="Z1" s="538" t="s">
        <v>204</v>
      </c>
      <c r="AA1" s="538" t="s">
        <v>205</v>
      </c>
      <c r="AF1" s="539"/>
      <c r="AH1"/>
      <c r="AI1"/>
    </row>
    <row r="2" s="409" customFormat="1" ht="46.8" spans="1:35">
      <c r="A2" s="423" t="s">
        <v>206</v>
      </c>
      <c r="B2" s="424" t="s">
        <v>207</v>
      </c>
      <c r="C2" s="425" t="s">
        <v>208</v>
      </c>
      <c r="D2" s="424" t="s">
        <v>209</v>
      </c>
      <c r="E2" s="426" t="s">
        <v>210</v>
      </c>
      <c r="F2" s="427" t="s">
        <v>213</v>
      </c>
      <c r="G2" s="427" t="s">
        <v>213</v>
      </c>
      <c r="H2" s="427" t="s">
        <v>213</v>
      </c>
      <c r="I2" s="427" t="s">
        <v>386</v>
      </c>
      <c r="J2" s="446" t="s">
        <v>217</v>
      </c>
      <c r="K2" s="446" t="s">
        <v>387</v>
      </c>
      <c r="L2" s="446" t="s">
        <v>390</v>
      </c>
      <c r="M2" s="447" t="s">
        <v>218</v>
      </c>
      <c r="N2" s="448" t="s">
        <v>219</v>
      </c>
      <c r="O2" s="449" t="s">
        <v>220</v>
      </c>
      <c r="P2" s="530" t="s">
        <v>221</v>
      </c>
      <c r="Q2" s="469" t="s">
        <v>222</v>
      </c>
      <c r="R2" s="426" t="s">
        <v>223</v>
      </c>
      <c r="S2" s="470" t="s">
        <v>224</v>
      </c>
      <c r="T2" s="470" t="s">
        <v>205</v>
      </c>
      <c r="U2" s="467" t="s">
        <v>225</v>
      </c>
      <c r="V2" s="470" t="s">
        <v>226</v>
      </c>
      <c r="W2" s="467"/>
      <c r="X2" s="467"/>
      <c r="Y2" s="200" t="s">
        <v>207</v>
      </c>
      <c r="Z2" s="200" t="s">
        <v>180</v>
      </c>
      <c r="AA2" s="200" t="s">
        <v>180</v>
      </c>
      <c r="AC2" s="409" t="str">
        <f t="shared" ref="AC2:AC65" si="0">IF(Y2="Competitors","Forum Link",Z2)</f>
        <v>Forum Link</v>
      </c>
      <c r="AD2" s="409" t="str">
        <f t="shared" ref="AD2:AD65" si="1">IF(Y2="Competitors","Domains",AA2)</f>
        <v>Domains</v>
      </c>
      <c r="AF2" s="540"/>
      <c r="AH2"/>
      <c r="AI2"/>
    </row>
    <row r="3" s="410" customFormat="1" ht="17.4" spans="1:35">
      <c r="A3" s="432" t="s">
        <v>227</v>
      </c>
      <c r="B3" s="432" t="s">
        <v>139</v>
      </c>
      <c r="C3" s="434" t="str">
        <f>VLOOKUP(B3,正厂竞争者数据汇总!D:H,2,FALSE)</f>
        <v>原厂目录</v>
      </c>
      <c r="D3" s="435" t="str">
        <f>VLOOKUP(B3,正厂竞争者数据汇总!D:H,3,FALSE)</f>
        <v>CA</v>
      </c>
      <c r="E3" s="436">
        <f>VLOOKUP(B3,正厂竞争者数据汇总!D:H,4,FALSE)</f>
        <v>0</v>
      </c>
      <c r="F3" s="436">
        <v>1332583.33333333</v>
      </c>
      <c r="G3" s="436">
        <v>1150833.33333333</v>
      </c>
      <c r="H3" s="436">
        <v>1200750</v>
      </c>
      <c r="I3" s="454">
        <v>0.157929036929761</v>
      </c>
      <c r="J3" s="455">
        <v>0.611634474796334</v>
      </c>
      <c r="K3" s="455">
        <v>0.617999075062569</v>
      </c>
      <c r="L3" s="455">
        <v>0.604224111726319</v>
      </c>
      <c r="M3" s="456">
        <f>J3-K3</f>
        <v>-0.0063646002662352</v>
      </c>
      <c r="N3" s="455" t="str">
        <f>IFERROR(O3*0.5/$F$3,"")</f>
        <v/>
      </c>
      <c r="O3" s="436" t="s">
        <v>180</v>
      </c>
      <c r="P3" s="531">
        <f t="array" ref="P3">INDEX(正厂竞争者数据汇总!I:I,MATCH($A$1&amp;B3,正厂竞争者数据汇总!A:A&amp;正厂竞争者数据汇总!D:D,0))</f>
        <v>0</v>
      </c>
      <c r="Q3" s="434" t="s">
        <v>228</v>
      </c>
      <c r="R3" s="435" t="s">
        <v>229</v>
      </c>
      <c r="S3" s="476">
        <v>170850</v>
      </c>
      <c r="T3" s="476">
        <v>10015</v>
      </c>
      <c r="U3" s="477"/>
      <c r="V3" s="477"/>
      <c r="W3" s="477"/>
      <c r="X3" s="477"/>
      <c r="Y3" s="200" t="s">
        <v>139</v>
      </c>
      <c r="Z3" s="200">
        <v>169977</v>
      </c>
      <c r="AA3" s="200">
        <v>9452</v>
      </c>
      <c r="AB3" s="410">
        <f t="shared" ref="AB3:AB66" si="2">IF(B3=Y3,1,0)</f>
        <v>1</v>
      </c>
      <c r="AC3" s="409">
        <f t="shared" si="0"/>
        <v>169977</v>
      </c>
      <c r="AD3" s="409">
        <f t="shared" si="1"/>
        <v>9452</v>
      </c>
      <c r="AF3" s="540"/>
      <c r="AH3"/>
      <c r="AI3"/>
    </row>
    <row r="4" s="408" customFormat="1" spans="1:35">
      <c r="A4" s="428" t="s">
        <v>230</v>
      </c>
      <c r="B4" s="421" t="s">
        <v>231</v>
      </c>
      <c r="C4" s="429" t="str">
        <f>VLOOKUP(B4,正厂竞争者数据汇总!D:H,2,FALSE)</f>
        <v>原厂目录</v>
      </c>
      <c r="D4" s="421" t="str">
        <f>VLOOKUP(B4,正厂竞争者数据汇总!D:H,3,FALSE)</f>
        <v>TX</v>
      </c>
      <c r="E4" s="430"/>
      <c r="F4" s="430">
        <v>350437.083333333</v>
      </c>
      <c r="G4" s="430"/>
      <c r="H4" s="430"/>
      <c r="I4" s="450"/>
      <c r="J4" s="451">
        <v>0.16084502638765</v>
      </c>
      <c r="K4" s="451">
        <v>0.160723435875635</v>
      </c>
      <c r="L4" s="451">
        <v>0.170993625332501</v>
      </c>
      <c r="M4" s="452"/>
      <c r="N4" s="451"/>
      <c r="O4" s="430"/>
      <c r="P4" s="531">
        <f t="array" ref="P4">INDEX(正厂竞争者数据汇总!I:I,MATCH($A$1&amp;B4,正厂竞争者数据汇总!A:A&amp;正厂竞争者数据汇总!D:D,0))</f>
        <v>0</v>
      </c>
      <c r="Q4" s="429"/>
      <c r="R4" s="421"/>
      <c r="S4" s="472">
        <v>58048</v>
      </c>
      <c r="T4" s="472">
        <v>1306</v>
      </c>
      <c r="U4" s="466"/>
      <c r="V4" s="466"/>
      <c r="W4" s="466"/>
      <c r="X4" s="466"/>
      <c r="Y4" s="200" t="s">
        <v>231</v>
      </c>
      <c r="Z4" s="200">
        <v>60670</v>
      </c>
      <c r="AA4" s="200">
        <v>1383</v>
      </c>
      <c r="AB4" s="410">
        <f t="shared" si="2"/>
        <v>1</v>
      </c>
      <c r="AC4" s="409">
        <f t="shared" si="0"/>
        <v>60670</v>
      </c>
      <c r="AD4" s="409">
        <f t="shared" si="1"/>
        <v>1383</v>
      </c>
      <c r="AF4" s="540"/>
      <c r="AG4" s="410"/>
      <c r="AH4"/>
      <c r="AI4"/>
    </row>
    <row r="5" s="408" customFormat="1" spans="1:35">
      <c r="A5" s="428" t="s">
        <v>230</v>
      </c>
      <c r="B5" s="421" t="s">
        <v>235</v>
      </c>
      <c r="C5" s="429" t="str">
        <f>VLOOKUP(B5,正厂竞争者数据汇总!D:H,2,FALSE)</f>
        <v>原厂目录</v>
      </c>
      <c r="D5" s="421" t="str">
        <f>VLOOKUP(B5,正厂竞争者数据汇总!D:H,3,FALSE)</f>
        <v>NJ</v>
      </c>
      <c r="E5" s="430"/>
      <c r="F5" s="430">
        <v>134498.196666667</v>
      </c>
      <c r="G5" s="430"/>
      <c r="H5" s="430"/>
      <c r="I5" s="450"/>
      <c r="J5" s="451">
        <v>0.0617325249547404</v>
      </c>
      <c r="K5" s="451">
        <v>0.0612259202135829</v>
      </c>
      <c r="L5" s="451">
        <v>0.0609025589759168</v>
      </c>
      <c r="M5" s="452"/>
      <c r="N5" s="451"/>
      <c r="O5" s="430"/>
      <c r="P5" s="531" t="str">
        <f t="array" ref="P5">INDEX(正厂竞争者数据汇总!I:I,MATCH($A$1&amp;B5,正厂竞争者数据汇总!A:A&amp;正厂竞争者数据汇总!D:D,0))</f>
        <v>2021年06月新加竞争者</v>
      </c>
      <c r="Q5" s="429"/>
      <c r="R5" s="421"/>
      <c r="S5" s="472">
        <v>2775</v>
      </c>
      <c r="T5" s="472">
        <v>407</v>
      </c>
      <c r="U5" s="466"/>
      <c r="V5" s="466"/>
      <c r="W5" s="466"/>
      <c r="X5" s="466"/>
      <c r="Y5" s="200" t="s">
        <v>235</v>
      </c>
      <c r="Z5" s="200">
        <v>2849</v>
      </c>
      <c r="AA5" s="200">
        <v>447</v>
      </c>
      <c r="AB5" s="410">
        <f t="shared" si="2"/>
        <v>1</v>
      </c>
      <c r="AC5" s="409">
        <f t="shared" si="0"/>
        <v>2849</v>
      </c>
      <c r="AD5" s="409">
        <f t="shared" si="1"/>
        <v>447</v>
      </c>
      <c r="AF5" s="540"/>
      <c r="AG5" s="410"/>
      <c r="AH5"/>
      <c r="AI5"/>
    </row>
    <row r="6" s="408" customFormat="1" spans="1:35">
      <c r="A6" s="428" t="s">
        <v>238</v>
      </c>
      <c r="B6" s="421" t="s">
        <v>239</v>
      </c>
      <c r="C6" s="429" t="str">
        <f>VLOOKUP(B6,正厂竞争者数据汇总!D:H,2,FALSE)</f>
        <v>原厂目录</v>
      </c>
      <c r="D6" s="421" t="str">
        <f>VLOOKUP(B6,正厂竞争者数据汇总!D:H,3,FALSE)</f>
        <v>MA</v>
      </c>
      <c r="E6" s="430"/>
      <c r="F6" s="430">
        <v>125800.916666667</v>
      </c>
      <c r="G6" s="430"/>
      <c r="H6" s="430"/>
      <c r="I6" s="450"/>
      <c r="J6" s="451">
        <v>0.057740612290149</v>
      </c>
      <c r="K6" s="451">
        <v>0.056794396896321</v>
      </c>
      <c r="L6" s="451">
        <v>0.0564786002223625</v>
      </c>
      <c r="M6" s="452"/>
      <c r="N6" s="451"/>
      <c r="O6" s="430"/>
      <c r="P6" s="531" t="str">
        <f t="array" ref="P6">INDEX(正厂竞争者数据汇总!I:I,MATCH($A$1&amp;B6,正厂竞争者数据汇总!A:A&amp;正厂竞争者数据汇总!D:D,0))</f>
        <v>2023年10月，Semrush中仅能获取acura子域名流量</v>
      </c>
      <c r="Q6" s="429"/>
      <c r="R6" s="421"/>
      <c r="S6" s="472">
        <v>168500</v>
      </c>
      <c r="T6" s="472">
        <v>7277</v>
      </c>
      <c r="U6" s="466"/>
      <c r="V6" s="466"/>
      <c r="W6" s="466"/>
      <c r="X6" s="466"/>
      <c r="Y6" s="200" t="s">
        <v>239</v>
      </c>
      <c r="Z6" s="200">
        <v>147366</v>
      </c>
      <c r="AA6" s="200">
        <v>6689</v>
      </c>
      <c r="AB6" s="410">
        <f t="shared" si="2"/>
        <v>1</v>
      </c>
      <c r="AC6" s="409">
        <f t="shared" si="0"/>
        <v>147366</v>
      </c>
      <c r="AD6" s="409">
        <f t="shared" si="1"/>
        <v>6689</v>
      </c>
      <c r="AF6" s="540"/>
      <c r="AG6" s="410"/>
      <c r="AH6"/>
      <c r="AI6"/>
    </row>
    <row r="7" s="408" customFormat="1" spans="1:35">
      <c r="A7" s="428" t="s">
        <v>230</v>
      </c>
      <c r="B7" s="421" t="s">
        <v>236</v>
      </c>
      <c r="C7" s="429" t="str">
        <f>VLOOKUP(B7,正厂竞争者数据汇总!D:H,2,FALSE)</f>
        <v>原厂目录</v>
      </c>
      <c r="D7" s="421" t="str">
        <f>VLOOKUP(B7,正厂竞争者数据汇总!D:H,3,FALSE)</f>
        <v>AL</v>
      </c>
      <c r="E7" s="430"/>
      <c r="F7" s="430">
        <v>121605.156666667</v>
      </c>
      <c r="G7" s="430"/>
      <c r="H7" s="430"/>
      <c r="I7" s="450"/>
      <c r="J7" s="451">
        <v>0.0558148254370656</v>
      </c>
      <c r="K7" s="451">
        <v>0.0495675209223013</v>
      </c>
      <c r="L7" s="451">
        <v>0.0563112116855349</v>
      </c>
      <c r="M7" s="452"/>
      <c r="N7" s="451"/>
      <c r="O7" s="430"/>
      <c r="P7" s="531" t="str">
        <f t="array" ref="P7">INDEX(正厂竞争者数据汇总!I:I,MATCH($A$1&amp;B7,正厂竞争者数据汇总!A:A&amp;正厂竞争者数据汇总!D:D,0))</f>
        <v>2022年1月 新加入 CompetitorSites
2022年1月 新加入 MarketingShare</v>
      </c>
      <c r="Q7" s="429"/>
      <c r="R7" s="421"/>
      <c r="S7" s="472">
        <v>2801</v>
      </c>
      <c r="T7" s="472">
        <v>291</v>
      </c>
      <c r="U7" s="466"/>
      <c r="V7" s="466"/>
      <c r="W7" s="466"/>
      <c r="X7" s="466"/>
      <c r="Y7" s="200" t="s">
        <v>236</v>
      </c>
      <c r="Z7" s="200">
        <v>2666</v>
      </c>
      <c r="AA7" s="200">
        <v>306</v>
      </c>
      <c r="AB7" s="410">
        <f t="shared" si="2"/>
        <v>1</v>
      </c>
      <c r="AC7" s="409">
        <f t="shared" si="0"/>
        <v>2666</v>
      </c>
      <c r="AD7" s="409">
        <f t="shared" si="1"/>
        <v>306</v>
      </c>
      <c r="AF7" s="540"/>
      <c r="AG7" s="410"/>
      <c r="AH7"/>
      <c r="AI7"/>
    </row>
    <row r="8" s="408" customFormat="1" spans="1:35">
      <c r="A8" s="428" t="s">
        <v>230</v>
      </c>
      <c r="B8" s="421" t="s">
        <v>237</v>
      </c>
      <c r="C8" s="429" t="str">
        <f>VLOOKUP(B8,正厂竞争者数据汇总!D:H,2,FALSE)</f>
        <v>原厂目录</v>
      </c>
      <c r="D8" s="421" t="str">
        <f>VLOOKUP(B8,正厂竞争者数据汇总!D:H,3,FALSE)</f>
        <v>MA</v>
      </c>
      <c r="E8" s="430"/>
      <c r="F8" s="430">
        <v>113800.333333333</v>
      </c>
      <c r="G8" s="430"/>
      <c r="H8" s="430"/>
      <c r="I8" s="450"/>
      <c r="J8" s="451">
        <v>0.0522325361340612</v>
      </c>
      <c r="K8" s="451">
        <v>0.0536896510295909</v>
      </c>
      <c r="L8" s="451">
        <v>0.0510898920573654</v>
      </c>
      <c r="M8" s="452"/>
      <c r="N8" s="451"/>
      <c r="O8" s="430"/>
      <c r="P8" s="531">
        <f t="array" ref="P8">INDEX(正厂竞争者数据汇总!I:I,MATCH($A$1&amp;B8,正厂竞争者数据汇总!A:A&amp;正厂竞争者数据汇总!D:D,0))</f>
        <v>0</v>
      </c>
      <c r="Q8" s="429"/>
      <c r="R8" s="421"/>
      <c r="S8" s="472">
        <v>34256</v>
      </c>
      <c r="T8" s="472">
        <v>886</v>
      </c>
      <c r="U8" s="466"/>
      <c r="V8" s="466"/>
      <c r="W8" s="466"/>
      <c r="X8" s="466"/>
      <c r="Y8" s="200" t="s">
        <v>237</v>
      </c>
      <c r="Z8" s="200">
        <v>33995</v>
      </c>
      <c r="AA8" s="200">
        <v>926</v>
      </c>
      <c r="AB8" s="410">
        <f t="shared" si="2"/>
        <v>1</v>
      </c>
      <c r="AC8" s="409">
        <f t="shared" si="0"/>
        <v>33995</v>
      </c>
      <c r="AD8" s="409">
        <f t="shared" si="1"/>
        <v>926</v>
      </c>
      <c r="AF8" s="540"/>
      <c r="AG8" s="410"/>
      <c r="AH8"/>
      <c r="AI8"/>
    </row>
    <row r="9" s="410" customFormat="1" spans="1:35">
      <c r="A9" s="432"/>
      <c r="B9" s="435"/>
      <c r="C9" s="434"/>
      <c r="D9" s="435"/>
      <c r="E9" s="430"/>
      <c r="F9" s="430"/>
      <c r="G9" s="430"/>
      <c r="H9" s="430"/>
      <c r="I9" s="453"/>
      <c r="J9" s="436"/>
      <c r="K9" s="436"/>
      <c r="L9" s="436"/>
      <c r="M9" s="451"/>
      <c r="N9" s="455"/>
      <c r="O9" s="436"/>
      <c r="P9" s="531"/>
      <c r="Q9" s="434"/>
      <c r="R9" s="435"/>
      <c r="S9" s="473" t="s">
        <v>180</v>
      </c>
      <c r="T9" s="473" t="s">
        <v>180</v>
      </c>
      <c r="U9" s="477"/>
      <c r="V9" s="466"/>
      <c r="W9" s="435"/>
      <c r="X9" s="435"/>
      <c r="Y9" s="200" t="s">
        <v>240</v>
      </c>
      <c r="Z9" s="200" t="s">
        <v>180</v>
      </c>
      <c r="AA9" s="200" t="s">
        <v>180</v>
      </c>
      <c r="AB9" s="410">
        <f t="shared" si="2"/>
        <v>0</v>
      </c>
      <c r="AC9" s="409" t="str">
        <f t="shared" si="0"/>
        <v/>
      </c>
      <c r="AD9" s="409" t="str">
        <f t="shared" si="1"/>
        <v/>
      </c>
      <c r="AF9" s="540"/>
      <c r="AH9"/>
      <c r="AI9"/>
    </row>
    <row r="10" s="408" customFormat="1" spans="1:35">
      <c r="A10" s="428"/>
      <c r="B10" s="421"/>
      <c r="C10" s="439"/>
      <c r="D10" s="421"/>
      <c r="E10" s="430"/>
      <c r="F10" s="430">
        <v>2178725.02</v>
      </c>
      <c r="G10" s="430">
        <v>2122774.16666666</v>
      </c>
      <c r="H10" s="430">
        <v>2262821.16666667</v>
      </c>
      <c r="I10" s="453">
        <v>0.0263574214402633</v>
      </c>
      <c r="J10" s="451"/>
      <c r="K10" s="451"/>
      <c r="L10" s="451"/>
      <c r="M10" s="451"/>
      <c r="N10" s="451">
        <f>SUM(N3:N4)</f>
        <v>0</v>
      </c>
      <c r="O10" s="451"/>
      <c r="P10" s="531"/>
      <c r="Q10" s="429"/>
      <c r="R10" s="421"/>
      <c r="S10" s="473" t="s">
        <v>180</v>
      </c>
      <c r="T10" s="473" t="s">
        <v>180</v>
      </c>
      <c r="U10" s="466"/>
      <c r="V10" s="466"/>
      <c r="W10" s="421"/>
      <c r="X10" s="421"/>
      <c r="Y10" s="200" t="s">
        <v>240</v>
      </c>
      <c r="Z10" s="200" t="s">
        <v>180</v>
      </c>
      <c r="AA10" s="200" t="s">
        <v>180</v>
      </c>
      <c r="AB10" s="410">
        <f t="shared" si="2"/>
        <v>0</v>
      </c>
      <c r="AC10" s="409" t="str">
        <f t="shared" si="0"/>
        <v/>
      </c>
      <c r="AD10" s="409" t="str">
        <f t="shared" si="1"/>
        <v/>
      </c>
      <c r="AF10" s="540"/>
      <c r="AG10" s="410"/>
      <c r="AH10"/>
      <c r="AI10"/>
    </row>
    <row r="11" s="408" customFormat="1" spans="1:35">
      <c r="A11" s="428"/>
      <c r="B11" s="421"/>
      <c r="C11" s="439"/>
      <c r="D11" s="421"/>
      <c r="E11" s="430"/>
      <c r="F11" s="430"/>
      <c r="G11" s="430"/>
      <c r="H11" s="430"/>
      <c r="I11" s="453"/>
      <c r="J11" s="430"/>
      <c r="K11" s="430"/>
      <c r="L11" s="430"/>
      <c r="M11" s="451"/>
      <c r="N11" s="451"/>
      <c r="O11" s="430"/>
      <c r="P11" s="531"/>
      <c r="Q11" s="429"/>
      <c r="R11" s="421"/>
      <c r="S11" s="473" t="s">
        <v>180</v>
      </c>
      <c r="T11" s="473" t="s">
        <v>180</v>
      </c>
      <c r="U11" s="466"/>
      <c r="V11" s="466"/>
      <c r="W11" s="421"/>
      <c r="X11" s="421"/>
      <c r="Y11" s="200" t="s">
        <v>240</v>
      </c>
      <c r="Z11" s="200" t="s">
        <v>180</v>
      </c>
      <c r="AA11" s="200" t="s">
        <v>180</v>
      </c>
      <c r="AB11" s="410">
        <f t="shared" si="2"/>
        <v>0</v>
      </c>
      <c r="AC11" s="409" t="str">
        <f t="shared" si="0"/>
        <v/>
      </c>
      <c r="AD11" s="409" t="str">
        <f t="shared" si="1"/>
        <v/>
      </c>
      <c r="AF11" s="540"/>
      <c r="AG11" s="410"/>
      <c r="AH11"/>
      <c r="AI11"/>
    </row>
    <row r="12" s="408" customFormat="1" ht="17.4" spans="1:35">
      <c r="A12" s="418" t="s">
        <v>141</v>
      </c>
      <c r="B12" s="441"/>
      <c r="C12" s="420"/>
      <c r="D12" s="421"/>
      <c r="E12" s="422" t="s">
        <v>202</v>
      </c>
      <c r="F12" s="422"/>
      <c r="G12" s="422"/>
      <c r="H12" s="422"/>
      <c r="I12" s="422"/>
      <c r="J12" s="422"/>
      <c r="K12" s="422"/>
      <c r="L12" s="422"/>
      <c r="M12" s="443"/>
      <c r="N12" s="444"/>
      <c r="O12" s="422"/>
      <c r="P12" s="531"/>
      <c r="Q12" s="465"/>
      <c r="R12" s="424"/>
      <c r="S12" s="473" t="s">
        <v>180</v>
      </c>
      <c r="T12" s="473" t="s">
        <v>180</v>
      </c>
      <c r="U12" s="467"/>
      <c r="V12" s="467"/>
      <c r="W12" s="467"/>
      <c r="X12" s="467"/>
      <c r="Y12" s="200" t="s">
        <v>240</v>
      </c>
      <c r="Z12" s="200" t="s">
        <v>180</v>
      </c>
      <c r="AA12" s="200" t="s">
        <v>180</v>
      </c>
      <c r="AB12" s="410">
        <f t="shared" si="2"/>
        <v>0</v>
      </c>
      <c r="AC12" s="409" t="str">
        <f t="shared" si="0"/>
        <v/>
      </c>
      <c r="AD12" s="409" t="str">
        <f t="shared" si="1"/>
        <v/>
      </c>
      <c r="AF12" s="540"/>
      <c r="AG12" s="410"/>
      <c r="AH12"/>
      <c r="AI12"/>
    </row>
    <row r="13" s="409" customFormat="1" ht="46.8" spans="1:35">
      <c r="A13" s="423" t="s">
        <v>206</v>
      </c>
      <c r="B13" s="424" t="s">
        <v>207</v>
      </c>
      <c r="C13" s="425" t="s">
        <v>208</v>
      </c>
      <c r="D13" s="424" t="s">
        <v>209</v>
      </c>
      <c r="E13" s="426" t="s">
        <v>210</v>
      </c>
      <c r="F13" s="427" t="s">
        <v>213</v>
      </c>
      <c r="G13" s="427" t="s">
        <v>213</v>
      </c>
      <c r="H13" s="427" t="s">
        <v>213</v>
      </c>
      <c r="I13" s="427" t="s">
        <v>386</v>
      </c>
      <c r="J13" s="446" t="s">
        <v>217</v>
      </c>
      <c r="K13" s="446" t="s">
        <v>387</v>
      </c>
      <c r="L13" s="446" t="s">
        <v>390</v>
      </c>
      <c r="M13" s="447" t="s">
        <v>218</v>
      </c>
      <c r="N13" s="448" t="s">
        <v>219</v>
      </c>
      <c r="O13" s="449" t="s">
        <v>220</v>
      </c>
      <c r="P13" s="530" t="s">
        <v>221</v>
      </c>
      <c r="Q13" s="469" t="s">
        <v>222</v>
      </c>
      <c r="R13" s="426" t="s">
        <v>223</v>
      </c>
      <c r="S13" s="470" t="s">
        <v>224</v>
      </c>
      <c r="T13" s="470" t="s">
        <v>205</v>
      </c>
      <c r="U13" s="467" t="s">
        <v>225</v>
      </c>
      <c r="V13" s="470" t="s">
        <v>226</v>
      </c>
      <c r="W13" s="467"/>
      <c r="X13" s="467"/>
      <c r="Y13" s="200" t="s">
        <v>207</v>
      </c>
      <c r="Z13" s="200" t="s">
        <v>180</v>
      </c>
      <c r="AA13" s="200" t="s">
        <v>180</v>
      </c>
      <c r="AB13" s="410">
        <f t="shared" si="2"/>
        <v>1</v>
      </c>
      <c r="AC13" s="409" t="str">
        <f t="shared" si="0"/>
        <v>Forum Link</v>
      </c>
      <c r="AD13" s="409" t="str">
        <f t="shared" si="1"/>
        <v>Domains</v>
      </c>
      <c r="AF13" s="540"/>
      <c r="AG13" s="410"/>
      <c r="AH13"/>
      <c r="AI13"/>
    </row>
    <row r="14" s="410" customFormat="1" ht="17.4" spans="1:35">
      <c r="A14" s="432" t="s">
        <v>227</v>
      </c>
      <c r="B14" s="432" t="s">
        <v>142</v>
      </c>
      <c r="C14" s="434" t="str">
        <f>VLOOKUP(B14,正厂竞争者数据汇总!D:H,2,FALSE)</f>
        <v>原厂目录</v>
      </c>
      <c r="D14" s="435" t="str">
        <f>VLOOKUP(B14,正厂竞争者数据汇总!D:H,3,FALSE)</f>
        <v>CA</v>
      </c>
      <c r="E14" s="436">
        <f>VLOOKUP(B14,正厂竞争者数据汇总!D:H,4,FALSE)</f>
        <v>0</v>
      </c>
      <c r="F14" s="436">
        <v>779707.25</v>
      </c>
      <c r="G14" s="436">
        <v>506654</v>
      </c>
      <c r="H14" s="436">
        <v>541471.75</v>
      </c>
      <c r="I14" s="454">
        <v>0.538934361516933</v>
      </c>
      <c r="J14" s="455">
        <v>0.398923002498233</v>
      </c>
      <c r="K14" s="455">
        <v>0.371037150212324</v>
      </c>
      <c r="L14" s="455">
        <v>0.355682331079862</v>
      </c>
      <c r="M14" s="456">
        <f>J14-K14</f>
        <v>0.0278858522859091</v>
      </c>
      <c r="N14" s="455" t="str">
        <f>IFERROR(O14*0.5/#REF!,"")</f>
        <v/>
      </c>
      <c r="O14" s="436" t="s">
        <v>180</v>
      </c>
      <c r="P14" s="531">
        <f t="array" ref="P14">INDEX(正厂竞争者数据汇总!I:I,MATCH($A$12&amp;B14,正厂竞争者数据汇总!A:A&amp;正厂竞争者数据汇总!D:D,0))</f>
        <v>0</v>
      </c>
      <c r="Q14" s="434" t="s">
        <v>241</v>
      </c>
      <c r="R14" s="435" t="s">
        <v>229</v>
      </c>
      <c r="S14" s="476">
        <v>42783</v>
      </c>
      <c r="T14" s="476">
        <v>5326</v>
      </c>
      <c r="U14" s="477"/>
      <c r="V14" s="477"/>
      <c r="W14" s="435"/>
      <c r="X14" s="435"/>
      <c r="Y14" s="200" t="s">
        <v>142</v>
      </c>
      <c r="Z14" s="200">
        <v>42218</v>
      </c>
      <c r="AA14" s="200">
        <v>4939</v>
      </c>
      <c r="AB14" s="410">
        <f t="shared" si="2"/>
        <v>1</v>
      </c>
      <c r="AC14" s="409">
        <f t="shared" si="0"/>
        <v>42218</v>
      </c>
      <c r="AD14" s="409">
        <f t="shared" si="1"/>
        <v>4939</v>
      </c>
      <c r="AF14" s="540"/>
      <c r="AH14"/>
      <c r="AI14"/>
    </row>
    <row r="15" s="408" customFormat="1" spans="1:35">
      <c r="A15" s="428" t="s">
        <v>230</v>
      </c>
      <c r="B15" s="421" t="s">
        <v>242</v>
      </c>
      <c r="C15" s="429" t="str">
        <f>VLOOKUP(B15,正厂竞争者数据汇总!D:H,2,FALSE)</f>
        <v>Motor目录</v>
      </c>
      <c r="D15" s="421" t="str">
        <f>VLOOKUP(B15,正厂竞争者数据汇总!D:H,3,FALSE)</f>
        <v>KS</v>
      </c>
      <c r="E15" s="430"/>
      <c r="F15" s="430">
        <v>350675.75</v>
      </c>
      <c r="G15" s="430"/>
      <c r="H15" s="430"/>
      <c r="I15" s="450"/>
      <c r="J15" s="451">
        <v>0.179416855612565</v>
      </c>
      <c r="K15" s="451">
        <v>0.175725805488229</v>
      </c>
      <c r="L15" s="451">
        <v>0.165304057582987</v>
      </c>
      <c r="M15" s="452"/>
      <c r="N15" s="451"/>
      <c r="O15" s="430"/>
      <c r="P15" s="531">
        <f t="array" ref="P15">INDEX(正厂竞争者数据汇总!I:I,MATCH($A$12&amp;B15,正厂竞争者数据汇总!A:A&amp;正厂竞争者数据汇总!D:D,0))</f>
        <v>0</v>
      </c>
      <c r="Q15" s="429"/>
      <c r="R15" s="421"/>
      <c r="S15" s="472">
        <v>998429</v>
      </c>
      <c r="T15" s="472">
        <v>1252</v>
      </c>
      <c r="U15" s="466"/>
      <c r="V15" s="466"/>
      <c r="W15" s="466"/>
      <c r="X15" s="466"/>
      <c r="Y15" s="200" t="s">
        <v>242</v>
      </c>
      <c r="Z15" s="200">
        <v>1011324</v>
      </c>
      <c r="AA15" s="200">
        <v>1281</v>
      </c>
      <c r="AB15" s="410">
        <f t="shared" si="2"/>
        <v>1</v>
      </c>
      <c r="AC15" s="409">
        <f t="shared" si="0"/>
        <v>1011324</v>
      </c>
      <c r="AD15" s="409">
        <f t="shared" si="1"/>
        <v>1281</v>
      </c>
      <c r="AF15" s="540"/>
      <c r="AG15" s="410"/>
      <c r="AH15"/>
      <c r="AI15"/>
    </row>
    <row r="16" s="408" customFormat="1" spans="1:35">
      <c r="A16" s="428" t="s">
        <v>243</v>
      </c>
      <c r="B16" s="421" t="s">
        <v>244</v>
      </c>
      <c r="C16" s="429" t="str">
        <f>VLOOKUP(B16,正厂竞争者数据汇总!D:H,2,FALSE)</f>
        <v>旧年份原厂、新年份Motor</v>
      </c>
      <c r="D16" s="421" t="str">
        <f>VLOOKUP(B16,正厂竞争者数据汇总!D:H,3,FALSE)</f>
        <v>FL</v>
      </c>
      <c r="E16" s="430"/>
      <c r="F16" s="430">
        <v>331640.383333333</v>
      </c>
      <c r="G16" s="430"/>
      <c r="H16" s="430"/>
      <c r="I16" s="450"/>
      <c r="J16" s="451">
        <v>0.169677757221057</v>
      </c>
      <c r="K16" s="451">
        <v>0.183050355354944</v>
      </c>
      <c r="L16" s="451">
        <v>0.186775654728692</v>
      </c>
      <c r="M16" s="452"/>
      <c r="N16" s="451"/>
      <c r="O16" s="430"/>
      <c r="P16" s="531">
        <f t="array" ref="P16">INDEX(正厂竞争者数据汇总!I:I,MATCH($A$12&amp;B16,正厂竞争者数据汇总!A:A&amp;正厂竞争者数据汇总!D:D,0))</f>
        <v>0</v>
      </c>
      <c r="Q16" s="429"/>
      <c r="R16" s="421"/>
      <c r="S16" s="472">
        <v>5912</v>
      </c>
      <c r="T16" s="472">
        <v>662</v>
      </c>
      <c r="U16" s="466"/>
      <c r="V16" s="466"/>
      <c r="W16" s="466"/>
      <c r="X16" s="466"/>
      <c r="Y16" s="200" t="s">
        <v>244</v>
      </c>
      <c r="Z16" s="200">
        <v>5818</v>
      </c>
      <c r="AA16" s="200">
        <v>620</v>
      </c>
      <c r="AB16" s="410">
        <f t="shared" si="2"/>
        <v>1</v>
      </c>
      <c r="AC16" s="409">
        <f t="shared" si="0"/>
        <v>5818</v>
      </c>
      <c r="AD16" s="409">
        <f t="shared" si="1"/>
        <v>620</v>
      </c>
      <c r="AF16" s="540"/>
      <c r="AG16" s="410"/>
      <c r="AH16"/>
      <c r="AI16"/>
    </row>
    <row r="17" s="408" customFormat="1" spans="1:35">
      <c r="A17" s="428" t="s">
        <v>230</v>
      </c>
      <c r="B17" s="421" t="s">
        <v>245</v>
      </c>
      <c r="C17" s="429" t="str">
        <f>VLOOKUP(B17,正厂竞争者数据汇总!D:H,2,FALSE)</f>
        <v>Motor目录</v>
      </c>
      <c r="D17" s="421" t="str">
        <f>VLOOKUP(B17,正厂竞争者数据汇总!D:H,3,FALSE)</f>
        <v>SC,NC,MS</v>
      </c>
      <c r="E17" s="430"/>
      <c r="F17" s="430">
        <v>148419.666666667</v>
      </c>
      <c r="G17" s="430"/>
      <c r="H17" s="430"/>
      <c r="I17" s="450"/>
      <c r="J17" s="451">
        <v>0.075936217159009</v>
      </c>
      <c r="K17" s="451">
        <v>0.0869240556538917</v>
      </c>
      <c r="L17" s="451">
        <v>0.103886471922923</v>
      </c>
      <c r="M17" s="452"/>
      <c r="N17" s="451"/>
      <c r="O17" s="430"/>
      <c r="P17" s="531" t="str">
        <f t="array" ref="P17">INDEX(正厂竞争者数据汇总!I:I,MATCH($A$12&amp;B17,正厂竞争者数据汇总!A:A&amp;正厂竞争者数据汇总!D:D,0))</f>
        <v>2021年02新加竞争者</v>
      </c>
      <c r="Q17" s="429"/>
      <c r="R17" s="421"/>
      <c r="S17" s="472">
        <v>3740</v>
      </c>
      <c r="T17" s="472">
        <v>353</v>
      </c>
      <c r="U17" s="466"/>
      <c r="V17" s="466"/>
      <c r="W17" s="466"/>
      <c r="X17" s="466"/>
      <c r="Y17" s="200" t="s">
        <v>245</v>
      </c>
      <c r="Z17" s="200">
        <v>3883</v>
      </c>
      <c r="AA17" s="200">
        <v>375</v>
      </c>
      <c r="AB17" s="410">
        <f t="shared" si="2"/>
        <v>1</v>
      </c>
      <c r="AC17" s="409">
        <f t="shared" si="0"/>
        <v>3883</v>
      </c>
      <c r="AD17" s="409">
        <f t="shared" si="1"/>
        <v>375</v>
      </c>
      <c r="AF17" s="540"/>
      <c r="AG17" s="410"/>
      <c r="AH17"/>
      <c r="AI17"/>
    </row>
    <row r="18" s="408" customFormat="1" ht="17.4" spans="1:35">
      <c r="A18" s="428" t="s">
        <v>230</v>
      </c>
      <c r="B18" s="421" t="s">
        <v>246</v>
      </c>
      <c r="C18" s="429" t="s">
        <v>247</v>
      </c>
      <c r="D18" s="421" t="s">
        <v>49</v>
      </c>
      <c r="E18" s="430"/>
      <c r="F18" s="430">
        <v>136060.416666667</v>
      </c>
      <c r="G18" s="430"/>
      <c r="H18" s="430"/>
      <c r="I18" s="450"/>
      <c r="J18" s="451">
        <v>0.0696128321723665</v>
      </c>
      <c r="K18" s="451">
        <v>0.0588068868135914</v>
      </c>
      <c r="L18" s="451">
        <v>0.0649179238261167</v>
      </c>
      <c r="M18" s="452"/>
      <c r="N18" s="451"/>
      <c r="O18" s="430"/>
      <c r="P18" s="531" t="str">
        <f t="array" ref="P18">INDEX(正厂竞争者数据汇总!I:I,MATCH($A$12&amp;B18,正厂竞争者数据汇总!A:A&amp;正厂竞争者数据汇总!D:D,0))</f>
        <v>2023年2月新增正厂</v>
      </c>
      <c r="Q18" s="429"/>
      <c r="R18" s="421"/>
      <c r="S18" s="472">
        <v>1974</v>
      </c>
      <c r="T18" s="472">
        <v>153</v>
      </c>
      <c r="U18" s="466"/>
      <c r="V18" s="466"/>
      <c r="W18" s="466"/>
      <c r="X18" s="466"/>
      <c r="Y18" s="200" t="s">
        <v>246</v>
      </c>
      <c r="Z18" s="200">
        <v>1996</v>
      </c>
      <c r="AA18" s="200">
        <v>157</v>
      </c>
      <c r="AB18" s="410">
        <f t="shared" si="2"/>
        <v>1</v>
      </c>
      <c r="AC18" s="409">
        <f t="shared" si="0"/>
        <v>1996</v>
      </c>
      <c r="AD18" s="409">
        <f t="shared" si="1"/>
        <v>157</v>
      </c>
      <c r="AF18" s="540"/>
      <c r="AG18" s="410"/>
      <c r="AH18"/>
      <c r="AI18"/>
    </row>
    <row r="19" s="408" customFormat="1" spans="1:35">
      <c r="A19" s="428" t="s">
        <v>230</v>
      </c>
      <c r="B19" s="421" t="s">
        <v>248</v>
      </c>
      <c r="C19" s="429" t="str">
        <f>VLOOKUP(B19,正厂竞争者数据汇总!D:H,2,FALSE)</f>
        <v>Motor</v>
      </c>
      <c r="D19" s="421" t="str">
        <f>VLOOKUP(B19,正厂竞争者数据汇总!D:H,3,FALSE)</f>
        <v>VA</v>
      </c>
      <c r="E19" s="430"/>
      <c r="F19" s="430">
        <v>128012.383333333</v>
      </c>
      <c r="G19" s="430"/>
      <c r="H19" s="430"/>
      <c r="I19" s="450"/>
      <c r="J19" s="451">
        <v>0.0654952026113493</v>
      </c>
      <c r="K19" s="451">
        <v>0.0649206333902038</v>
      </c>
      <c r="L19" s="451">
        <v>0.0574828013579635</v>
      </c>
      <c r="M19" s="452"/>
      <c r="N19" s="451"/>
      <c r="O19" s="430"/>
      <c r="P19" s="531" t="str">
        <f t="array" ref="P19">INDEX(正厂竞争者数据汇总!I:I,MATCH($A$12&amp;B19,正厂竞争者数据汇总!A:A&amp;正厂竞争者数据汇总!D:D,0))</f>
        <v>2023年11月新增，toyotaparts.mcgeorgetoyota.com将流量导出至此网站，10月报告中更换竞品名称为toyotaparts.mcgeorgetoyota.com</v>
      </c>
      <c r="Q19" s="429"/>
      <c r="R19" s="421"/>
      <c r="S19" s="472">
        <v>130</v>
      </c>
      <c r="T19" s="472">
        <v>27</v>
      </c>
      <c r="U19" s="466"/>
      <c r="V19" s="466"/>
      <c r="W19" s="466"/>
      <c r="X19" s="466"/>
      <c r="Y19" s="200" t="s">
        <v>248</v>
      </c>
      <c r="Z19" s="200">
        <v>69</v>
      </c>
      <c r="AA19" s="200">
        <v>19</v>
      </c>
      <c r="AB19" s="410">
        <f t="shared" si="2"/>
        <v>1</v>
      </c>
      <c r="AC19" s="409">
        <f t="shared" si="0"/>
        <v>69</v>
      </c>
      <c r="AD19" s="409">
        <f t="shared" si="1"/>
        <v>19</v>
      </c>
      <c r="AF19" s="540"/>
      <c r="AG19" s="410"/>
      <c r="AH19"/>
      <c r="AI19"/>
    </row>
    <row r="20" s="408" customFormat="1" ht="17.4" spans="1:35">
      <c r="A20" s="428" t="s">
        <v>230</v>
      </c>
      <c r="B20" s="421" t="s">
        <v>249</v>
      </c>
      <c r="C20" s="429" t="s">
        <v>247</v>
      </c>
      <c r="D20" s="421" t="s">
        <v>250</v>
      </c>
      <c r="E20" s="430"/>
      <c r="F20" s="430">
        <v>80014.8366666667</v>
      </c>
      <c r="G20" s="430"/>
      <c r="H20" s="430"/>
      <c r="I20" s="450"/>
      <c r="J20" s="451">
        <v>0.0409381327254202</v>
      </c>
      <c r="K20" s="451">
        <v>0.0595351130868167</v>
      </c>
      <c r="L20" s="451">
        <v>0.065950759501455</v>
      </c>
      <c r="M20" s="452"/>
      <c r="N20" s="451"/>
      <c r="O20" s="430"/>
      <c r="P20" s="531" t="str">
        <f t="array" ref="P20">INDEX(正厂竞争者数据汇总!I:I,MATCH($A$12&amp;B20,正厂竞争者数据汇总!A:A&amp;正厂竞争者数据汇总!D:D,0))</f>
        <v>2023年2月新增正厂</v>
      </c>
      <c r="Q20" s="429"/>
      <c r="R20" s="421"/>
      <c r="S20" s="472">
        <v>2808</v>
      </c>
      <c r="T20" s="472">
        <v>186</v>
      </c>
      <c r="U20" s="466"/>
      <c r="V20" s="466"/>
      <c r="W20" s="466"/>
      <c r="X20" s="466"/>
      <c r="Y20" s="200" t="s">
        <v>249</v>
      </c>
      <c r="Z20" s="200">
        <v>2863</v>
      </c>
      <c r="AA20" s="200">
        <v>190</v>
      </c>
      <c r="AB20" s="410">
        <f t="shared" si="2"/>
        <v>1</v>
      </c>
      <c r="AC20" s="409">
        <f t="shared" si="0"/>
        <v>2863</v>
      </c>
      <c r="AD20" s="409">
        <f t="shared" si="1"/>
        <v>190</v>
      </c>
      <c r="AF20" s="540"/>
      <c r="AG20" s="410"/>
      <c r="AH20"/>
      <c r="AI20"/>
    </row>
    <row r="21" s="410" customFormat="1" spans="1:35">
      <c r="A21" s="428"/>
      <c r="B21" s="438"/>
      <c r="C21" s="429"/>
      <c r="D21" s="421"/>
      <c r="E21" s="430"/>
      <c r="F21" s="430"/>
      <c r="G21" s="430"/>
      <c r="H21" s="430"/>
      <c r="I21" s="453"/>
      <c r="J21" s="463"/>
      <c r="K21" s="463"/>
      <c r="L21" s="463"/>
      <c r="M21" s="451"/>
      <c r="N21" s="459"/>
      <c r="O21" s="430"/>
      <c r="P21" s="531"/>
      <c r="Q21" s="429"/>
      <c r="R21" s="435"/>
      <c r="S21" s="473" t="s">
        <v>180</v>
      </c>
      <c r="T21" s="473" t="s">
        <v>180</v>
      </c>
      <c r="U21" s="466"/>
      <c r="V21" s="466"/>
      <c r="W21" s="421"/>
      <c r="X21" s="421"/>
      <c r="Y21" s="200" t="s">
        <v>240</v>
      </c>
      <c r="Z21" s="200" t="s">
        <v>180</v>
      </c>
      <c r="AA21" s="200" t="s">
        <v>180</v>
      </c>
      <c r="AB21" s="410">
        <f t="shared" si="2"/>
        <v>0</v>
      </c>
      <c r="AC21" s="409" t="str">
        <f t="shared" si="0"/>
        <v/>
      </c>
      <c r="AD21" s="409" t="str">
        <f t="shared" si="1"/>
        <v/>
      </c>
      <c r="AF21" s="540"/>
      <c r="AH21"/>
      <c r="AI21"/>
    </row>
    <row r="22" s="408" customFormat="1" spans="1:35">
      <c r="A22" s="428"/>
      <c r="B22" s="421"/>
      <c r="C22" s="439"/>
      <c r="D22" s="421"/>
      <c r="E22" s="430"/>
      <c r="F22" s="430">
        <v>1954530.68666667</v>
      </c>
      <c r="G22" s="430">
        <v>1471722.72</v>
      </c>
      <c r="H22" s="430">
        <v>1511577.56416667</v>
      </c>
      <c r="I22" s="453">
        <v>0.328056338402295</v>
      </c>
      <c r="J22" s="430"/>
      <c r="K22" s="513"/>
      <c r="L22" s="430"/>
      <c r="M22" s="451"/>
      <c r="N22" s="459"/>
      <c r="O22" s="430"/>
      <c r="P22" s="531"/>
      <c r="Q22" s="429" t="s">
        <v>180</v>
      </c>
      <c r="R22" s="421"/>
      <c r="S22" s="473" t="s">
        <v>180</v>
      </c>
      <c r="T22" s="473" t="s">
        <v>180</v>
      </c>
      <c r="U22" s="466"/>
      <c r="V22" s="466"/>
      <c r="W22" s="421"/>
      <c r="X22" s="421"/>
      <c r="Y22" s="200" t="s">
        <v>240</v>
      </c>
      <c r="Z22" s="200" t="s">
        <v>180</v>
      </c>
      <c r="AA22" s="200" t="s">
        <v>180</v>
      </c>
      <c r="AB22" s="410">
        <f t="shared" si="2"/>
        <v>0</v>
      </c>
      <c r="AC22" s="409" t="str">
        <f t="shared" si="0"/>
        <v/>
      </c>
      <c r="AD22" s="409" t="str">
        <f t="shared" si="1"/>
        <v/>
      </c>
      <c r="AF22" s="540"/>
      <c r="AG22" s="410"/>
      <c r="AH22"/>
      <c r="AI22"/>
    </row>
    <row r="23" s="408" customFormat="1" spans="1:35">
      <c r="A23" s="428"/>
      <c r="B23" s="421"/>
      <c r="C23" s="439"/>
      <c r="D23" s="421"/>
      <c r="E23" s="430"/>
      <c r="F23" s="430"/>
      <c r="G23" s="430"/>
      <c r="H23" s="430"/>
      <c r="I23" s="453"/>
      <c r="J23" s="430"/>
      <c r="K23" s="430"/>
      <c r="L23" s="430"/>
      <c r="M23" s="451"/>
      <c r="N23" s="451"/>
      <c r="O23" s="430"/>
      <c r="P23" s="531"/>
      <c r="Q23" s="429"/>
      <c r="R23" s="421"/>
      <c r="S23" s="473" t="s">
        <v>180</v>
      </c>
      <c r="T23" s="473" t="s">
        <v>180</v>
      </c>
      <c r="U23" s="466"/>
      <c r="V23" s="466"/>
      <c r="W23" s="421"/>
      <c r="X23" s="421"/>
      <c r="Y23" s="200" t="s">
        <v>240</v>
      </c>
      <c r="Z23" s="200" t="s">
        <v>180</v>
      </c>
      <c r="AA23" s="200" t="s">
        <v>180</v>
      </c>
      <c r="AB23" s="410">
        <f t="shared" si="2"/>
        <v>0</v>
      </c>
      <c r="AC23" s="409" t="str">
        <f t="shared" si="0"/>
        <v/>
      </c>
      <c r="AD23" s="409" t="str">
        <f t="shared" si="1"/>
        <v/>
      </c>
      <c r="AF23" s="540"/>
      <c r="AG23" s="410"/>
      <c r="AH23"/>
      <c r="AI23"/>
    </row>
    <row r="24" s="408" customFormat="1" ht="17.4" spans="1:35">
      <c r="A24" s="418" t="s">
        <v>145</v>
      </c>
      <c r="B24" s="419"/>
      <c r="C24" s="420"/>
      <c r="D24" s="421"/>
      <c r="E24" s="422" t="s">
        <v>202</v>
      </c>
      <c r="F24" s="422"/>
      <c r="G24" s="422"/>
      <c r="H24" s="422"/>
      <c r="I24" s="422"/>
      <c r="J24" s="422"/>
      <c r="K24" s="422"/>
      <c r="L24" s="422"/>
      <c r="M24" s="443"/>
      <c r="N24" s="444"/>
      <c r="O24" s="422"/>
      <c r="P24" s="529"/>
      <c r="Q24" s="465"/>
      <c r="R24" s="424"/>
      <c r="S24" s="421" t="s">
        <v>180</v>
      </c>
      <c r="T24" s="421" t="s">
        <v>180</v>
      </c>
      <c r="U24" s="466"/>
      <c r="V24" s="467"/>
      <c r="W24" s="467"/>
      <c r="X24" s="467"/>
      <c r="Y24" s="200" t="s">
        <v>240</v>
      </c>
      <c r="Z24" s="200" t="s">
        <v>180</v>
      </c>
      <c r="AA24" s="200" t="s">
        <v>180</v>
      </c>
      <c r="AB24" s="410">
        <f t="shared" si="2"/>
        <v>0</v>
      </c>
      <c r="AC24" s="409" t="str">
        <f t="shared" si="0"/>
        <v/>
      </c>
      <c r="AD24" s="409" t="str">
        <f t="shared" si="1"/>
        <v/>
      </c>
      <c r="AF24" s="540"/>
      <c r="AG24" s="410"/>
      <c r="AH24"/>
      <c r="AI24"/>
    </row>
    <row r="25" s="409" customFormat="1" ht="46.8" spans="1:35">
      <c r="A25" s="423" t="s">
        <v>206</v>
      </c>
      <c r="B25" s="424" t="s">
        <v>207</v>
      </c>
      <c r="C25" s="425" t="s">
        <v>208</v>
      </c>
      <c r="D25" s="424" t="s">
        <v>209</v>
      </c>
      <c r="E25" s="426" t="s">
        <v>210</v>
      </c>
      <c r="F25" s="427" t="s">
        <v>213</v>
      </c>
      <c r="G25" s="427" t="s">
        <v>213</v>
      </c>
      <c r="H25" s="427" t="s">
        <v>213</v>
      </c>
      <c r="I25" s="427" t="s">
        <v>386</v>
      </c>
      <c r="J25" s="446" t="s">
        <v>217</v>
      </c>
      <c r="K25" s="446" t="s">
        <v>387</v>
      </c>
      <c r="L25" s="446" t="s">
        <v>390</v>
      </c>
      <c r="M25" s="447" t="s">
        <v>218</v>
      </c>
      <c r="N25" s="448" t="s">
        <v>219</v>
      </c>
      <c r="O25" s="449" t="s">
        <v>220</v>
      </c>
      <c r="P25" s="530" t="s">
        <v>221</v>
      </c>
      <c r="Q25" s="469" t="s">
        <v>222</v>
      </c>
      <c r="R25" s="426" t="s">
        <v>223</v>
      </c>
      <c r="S25" s="470" t="s">
        <v>224</v>
      </c>
      <c r="T25" s="470" t="s">
        <v>205</v>
      </c>
      <c r="U25" s="467" t="s">
        <v>225</v>
      </c>
      <c r="V25" s="470" t="s">
        <v>226</v>
      </c>
      <c r="W25" s="467"/>
      <c r="X25" s="467"/>
      <c r="Y25" s="200" t="s">
        <v>207</v>
      </c>
      <c r="Z25" s="200" t="s">
        <v>180</v>
      </c>
      <c r="AA25" s="200" t="s">
        <v>180</v>
      </c>
      <c r="AB25" s="410">
        <f t="shared" si="2"/>
        <v>1</v>
      </c>
      <c r="AC25" s="409" t="str">
        <f t="shared" si="0"/>
        <v>Forum Link</v>
      </c>
      <c r="AD25" s="409" t="str">
        <f t="shared" si="1"/>
        <v>Domains</v>
      </c>
      <c r="AF25" s="540"/>
      <c r="AG25" s="410"/>
      <c r="AH25"/>
      <c r="AI25"/>
    </row>
    <row r="26" s="410" customFormat="1" spans="1:35">
      <c r="A26" s="432" t="s">
        <v>227</v>
      </c>
      <c r="B26" s="432" t="s">
        <v>146</v>
      </c>
      <c r="C26" s="434" t="str">
        <f>VLOOKUP(B26,正厂竞争者数据汇总!D:H,2,FALSE)</f>
        <v>原厂目录</v>
      </c>
      <c r="D26" s="435" t="str">
        <f>VLOOKUP(B26,正厂竞争者数据汇总!D:H,3,FALSE)</f>
        <v>AZ</v>
      </c>
      <c r="E26" s="436"/>
      <c r="F26" s="436">
        <v>617185.75</v>
      </c>
      <c r="G26" s="436"/>
      <c r="H26" s="436"/>
      <c r="I26" s="510"/>
      <c r="J26" s="457">
        <v>0.323458505528609</v>
      </c>
      <c r="K26" s="457">
        <v>0.300354830882225</v>
      </c>
      <c r="L26" s="457">
        <v>0.299558229274056</v>
      </c>
      <c r="M26" s="461"/>
      <c r="N26" s="457"/>
      <c r="O26" s="436"/>
      <c r="P26" s="531">
        <f t="array" ref="P26">INDEX(正厂竞争者数据汇总!I:I,MATCH($A$24&amp;B26,正厂竞争者数据汇总!A:A&amp;正厂竞争者数据汇总!D:D,0))</f>
        <v>0</v>
      </c>
      <c r="Q26" s="434"/>
      <c r="R26" s="435"/>
      <c r="S26" s="476">
        <v>31563</v>
      </c>
      <c r="T26" s="476">
        <v>5070</v>
      </c>
      <c r="U26" s="477"/>
      <c r="V26" s="477"/>
      <c r="W26" s="477"/>
      <c r="X26" s="477"/>
      <c r="Y26" s="200" t="s">
        <v>146</v>
      </c>
      <c r="Z26" s="200">
        <v>30066</v>
      </c>
      <c r="AA26" s="200">
        <v>4690</v>
      </c>
      <c r="AB26" s="410">
        <f t="shared" si="2"/>
        <v>1</v>
      </c>
      <c r="AC26" s="409">
        <f t="shared" si="0"/>
        <v>30066</v>
      </c>
      <c r="AD26" s="409">
        <f t="shared" si="1"/>
        <v>4690</v>
      </c>
      <c r="AF26" s="540"/>
      <c r="AH26"/>
      <c r="AI26"/>
    </row>
    <row r="27" s="408" customFormat="1" spans="1:35">
      <c r="A27" s="428" t="s">
        <v>230</v>
      </c>
      <c r="B27" s="421" t="s">
        <v>251</v>
      </c>
      <c r="C27" s="429" t="str">
        <f>VLOOKUP(B27,正厂竞争者数据汇总!D:H,2,FALSE)</f>
        <v>Motor目录</v>
      </c>
      <c r="D27" s="421" t="str">
        <f>VLOOKUP(B27,正厂竞争者数据汇总!D:H,3,FALSE)</f>
        <v>NC</v>
      </c>
      <c r="E27" s="430"/>
      <c r="F27" s="430">
        <v>394247.583333333</v>
      </c>
      <c r="G27" s="430"/>
      <c r="H27" s="430"/>
      <c r="I27" s="450"/>
      <c r="J27" s="451">
        <v>0.206619699358362</v>
      </c>
      <c r="K27" s="451">
        <v>0.20914466334851</v>
      </c>
      <c r="L27" s="451">
        <v>0.211167152043391</v>
      </c>
      <c r="M27" s="452"/>
      <c r="N27" s="451"/>
      <c r="O27" s="430"/>
      <c r="P27" s="531">
        <f t="array" ref="P27">INDEX(正厂竞争者数据汇总!I:I,MATCH($A$24&amp;B27,正厂竞争者数据汇总!A:A&amp;正厂竞争者数据汇总!D:D,0))</f>
        <v>0</v>
      </c>
      <c r="Q27" s="429" t="s">
        <v>180</v>
      </c>
      <c r="R27" s="421" t="s">
        <v>180</v>
      </c>
      <c r="S27" s="472">
        <v>105130</v>
      </c>
      <c r="T27" s="472">
        <v>2123</v>
      </c>
      <c r="U27" s="466"/>
      <c r="V27" s="466"/>
      <c r="W27" s="466"/>
      <c r="X27" s="466"/>
      <c r="Y27" s="200" t="s">
        <v>251</v>
      </c>
      <c r="Z27" s="200">
        <v>106261</v>
      </c>
      <c r="AA27" s="200">
        <v>2197</v>
      </c>
      <c r="AB27" s="410">
        <f t="shared" si="2"/>
        <v>1</v>
      </c>
      <c r="AC27" s="409">
        <f t="shared" si="0"/>
        <v>106261</v>
      </c>
      <c r="AD27" s="409">
        <f t="shared" si="1"/>
        <v>2197</v>
      </c>
      <c r="AF27" s="540"/>
      <c r="AG27" s="410"/>
      <c r="AH27"/>
      <c r="AI27"/>
    </row>
    <row r="28" s="408" customFormat="1" spans="1:35">
      <c r="A28" s="428" t="s">
        <v>230</v>
      </c>
      <c r="B28" s="421" t="s">
        <v>252</v>
      </c>
      <c r="C28" s="429" t="str">
        <f>VLOOKUP(B28,正厂竞争者数据汇总!D:H,2,FALSE)</f>
        <v>Motor目录</v>
      </c>
      <c r="D28" s="421" t="str">
        <f>VLOOKUP(B28,正厂竞争者数据汇总!D:H,3,FALSE)</f>
        <v>AZ</v>
      </c>
      <c r="E28" s="430"/>
      <c r="F28" s="430">
        <v>250055.896666666</v>
      </c>
      <c r="G28" s="430"/>
      <c r="H28" s="430"/>
      <c r="I28" s="450"/>
      <c r="J28" s="451">
        <v>0.131050832969517</v>
      </c>
      <c r="K28" s="451">
        <v>0.141237641493689</v>
      </c>
      <c r="L28" s="451">
        <v>0.13562694816651</v>
      </c>
      <c r="M28" s="452"/>
      <c r="N28" s="451"/>
      <c r="O28" s="430"/>
      <c r="P28" s="531">
        <f t="array" ref="P28">INDEX(正厂竞争者数据汇总!I:I,MATCH($A$24&amp;B28,正厂竞争者数据汇总!A:A&amp;正厂竞争者数据汇总!D:D,0))</f>
        <v>0</v>
      </c>
      <c r="Q28" s="429" t="s">
        <v>180</v>
      </c>
      <c r="R28" s="421" t="s">
        <v>180</v>
      </c>
      <c r="S28" s="472">
        <v>10448</v>
      </c>
      <c r="T28" s="472">
        <v>893</v>
      </c>
      <c r="U28" s="466"/>
      <c r="V28" s="466"/>
      <c r="W28" s="466"/>
      <c r="X28" s="466"/>
      <c r="Y28" s="200" t="s">
        <v>252</v>
      </c>
      <c r="Z28" s="200">
        <v>10566</v>
      </c>
      <c r="AA28" s="200">
        <v>908</v>
      </c>
      <c r="AB28" s="410">
        <f t="shared" si="2"/>
        <v>1</v>
      </c>
      <c r="AC28" s="409">
        <f t="shared" si="0"/>
        <v>10566</v>
      </c>
      <c r="AD28" s="409">
        <f t="shared" si="1"/>
        <v>908</v>
      </c>
      <c r="AF28" s="540"/>
      <c r="AG28" s="410"/>
      <c r="AH28"/>
      <c r="AI28"/>
    </row>
    <row r="29" s="408" customFormat="1" spans="1:35">
      <c r="A29" s="428" t="s">
        <v>230</v>
      </c>
      <c r="B29" s="421" t="s">
        <v>258</v>
      </c>
      <c r="C29" s="429" t="str">
        <f>VLOOKUP(B29,正厂竞争者数据汇总!D:H,2,FALSE)</f>
        <v>Motor目录</v>
      </c>
      <c r="D29" s="421" t="str">
        <f>VLOOKUP(B29,正厂竞争者数据汇总!D:H,3,FALSE)</f>
        <v>NM</v>
      </c>
      <c r="E29" s="430"/>
      <c r="F29" s="430">
        <v>181015.666666667</v>
      </c>
      <c r="G29" s="430"/>
      <c r="H29" s="430"/>
      <c r="I29" s="450"/>
      <c r="J29" s="451">
        <v>0.0948678044126341</v>
      </c>
      <c r="K29" s="451">
        <v>0.0960979159366981</v>
      </c>
      <c r="L29" s="451">
        <v>0.103695899606534</v>
      </c>
      <c r="M29" s="452"/>
      <c r="N29" s="451"/>
      <c r="O29" s="430"/>
      <c r="P29" s="531">
        <f t="array" ref="P29">INDEX(正厂竞争者数据汇总!I:I,MATCH($A$24&amp;B29,正厂竞争者数据汇总!A:A&amp;正厂竞争者数据汇总!D:D,0))</f>
        <v>0</v>
      </c>
      <c r="Q29" s="429" t="s">
        <v>180</v>
      </c>
      <c r="R29" s="421"/>
      <c r="S29" s="472">
        <v>2466</v>
      </c>
      <c r="T29" s="472">
        <v>476</v>
      </c>
      <c r="U29" s="466"/>
      <c r="V29" s="466"/>
      <c r="W29" s="466"/>
      <c r="X29" s="466"/>
      <c r="Y29" s="200" t="s">
        <v>258</v>
      </c>
      <c r="Z29" s="200">
        <v>2408</v>
      </c>
      <c r="AA29" s="200">
        <v>483</v>
      </c>
      <c r="AB29" s="410">
        <f t="shared" si="2"/>
        <v>1</v>
      </c>
      <c r="AC29" s="409">
        <f t="shared" si="0"/>
        <v>2408</v>
      </c>
      <c r="AD29" s="409">
        <f t="shared" si="1"/>
        <v>483</v>
      </c>
      <c r="AF29" s="540"/>
      <c r="AG29" s="410"/>
      <c r="AH29"/>
      <c r="AI29"/>
    </row>
    <row r="30" s="408" customFormat="1" ht="17.4" spans="1:35">
      <c r="A30" s="428" t="s">
        <v>230</v>
      </c>
      <c r="B30" s="421" t="s">
        <v>253</v>
      </c>
      <c r="C30" s="429" t="str">
        <f>VLOOKUP(B30,正厂竞争者数据汇总!D:H,2,FALSE)</f>
        <v>Motor目录</v>
      </c>
      <c r="D30" s="421" t="str">
        <f>VLOOKUP(B30,正厂竞争者数据汇总!D:H,3,FALSE)</f>
        <v>TX</v>
      </c>
      <c r="E30" s="430"/>
      <c r="F30" s="430">
        <v>177285.916666667</v>
      </c>
      <c r="G30" s="430"/>
      <c r="H30" s="430"/>
      <c r="I30" s="450"/>
      <c r="J30" s="451">
        <v>0.0929130940827288</v>
      </c>
      <c r="K30" s="451">
        <v>0.0825075326254024</v>
      </c>
      <c r="L30" s="451">
        <v>0.0657926497800276</v>
      </c>
      <c r="M30" s="452"/>
      <c r="N30" s="451"/>
      <c r="O30" s="430"/>
      <c r="P30" s="531" t="str">
        <f t="array" ref="P30">INDEX(正厂竞争者数据汇总!I:I,MATCH($A$24&amp;B30,正厂竞争者数据汇总!A:A&amp;正厂竞争者数据汇总!D:D,0))</f>
        <v>202306，原竞品gmpartsonline.net将网站导流至此，现新网站正式成为新增竞品</v>
      </c>
      <c r="Q30" s="434" t="s">
        <v>254</v>
      </c>
      <c r="R30" s="421" t="s">
        <v>229</v>
      </c>
      <c r="S30" s="472">
        <v>427</v>
      </c>
      <c r="T30" s="472">
        <v>174</v>
      </c>
      <c r="U30" s="466"/>
      <c r="V30" s="466"/>
      <c r="W30" s="466"/>
      <c r="X30" s="466"/>
      <c r="Y30" s="200" t="s">
        <v>253</v>
      </c>
      <c r="Z30" s="200">
        <v>359</v>
      </c>
      <c r="AA30" s="200">
        <v>158</v>
      </c>
      <c r="AB30" s="410">
        <f t="shared" si="2"/>
        <v>1</v>
      </c>
      <c r="AC30" s="409">
        <f t="shared" si="0"/>
        <v>359</v>
      </c>
      <c r="AD30" s="409">
        <f t="shared" si="1"/>
        <v>158</v>
      </c>
      <c r="AF30" s="540"/>
      <c r="AG30" s="410"/>
      <c r="AH30"/>
      <c r="AI30"/>
    </row>
    <row r="31" s="408" customFormat="1" spans="1:35">
      <c r="A31" s="428" t="s">
        <v>391</v>
      </c>
      <c r="B31" s="421" t="s">
        <v>256</v>
      </c>
      <c r="C31" s="429" t="str">
        <f>VLOOKUP(B31,正厂竞争者数据汇总!D:H,2,FALSE)</f>
        <v>原厂目录</v>
      </c>
      <c r="D31" s="421" t="str">
        <f>VLOOKUP(B31,正厂竞争者数据汇总!D:H,3,FALSE)</f>
        <v>KY</v>
      </c>
      <c r="E31" s="430"/>
      <c r="F31" s="430">
        <v>175634.133333333</v>
      </c>
      <c r="G31" s="430"/>
      <c r="H31" s="430"/>
      <c r="I31" s="450"/>
      <c r="J31" s="451">
        <v>0.0920474173096386</v>
      </c>
      <c r="K31" s="451">
        <v>0.0993176797411799</v>
      </c>
      <c r="L31" s="451">
        <v>0.0998889275141105</v>
      </c>
      <c r="M31" s="452"/>
      <c r="N31" s="451"/>
      <c r="O31" s="430"/>
      <c r="P31" s="531">
        <f t="array" ref="P31">INDEX(正厂竞争者数据汇总!I:I,MATCH($A$24&amp;B31,正厂竞争者数据汇总!A:A&amp;正厂竞争者数据汇总!D:D,0))</f>
        <v>0</v>
      </c>
      <c r="Q31" s="429" t="s">
        <v>257</v>
      </c>
      <c r="R31" s="421" t="s">
        <v>229</v>
      </c>
      <c r="S31" s="472">
        <v>18926</v>
      </c>
      <c r="T31" s="472">
        <v>2002</v>
      </c>
      <c r="U31" s="466"/>
      <c r="V31" s="466"/>
      <c r="W31" s="466"/>
      <c r="X31" s="466"/>
      <c r="Y31" s="200" t="s">
        <v>256</v>
      </c>
      <c r="Z31" s="200">
        <v>18136</v>
      </c>
      <c r="AA31" s="200">
        <v>1815</v>
      </c>
      <c r="AB31" s="410">
        <f t="shared" si="2"/>
        <v>1</v>
      </c>
      <c r="AC31" s="409">
        <f t="shared" si="0"/>
        <v>18136</v>
      </c>
      <c r="AD31" s="409">
        <f t="shared" si="1"/>
        <v>1815</v>
      </c>
      <c r="AF31" s="540"/>
      <c r="AG31" s="410"/>
      <c r="AH31"/>
      <c r="AI31"/>
    </row>
    <row r="32" s="408" customFormat="1" spans="1:35">
      <c r="A32" s="428" t="s">
        <v>230</v>
      </c>
      <c r="B32" s="421" t="s">
        <v>255</v>
      </c>
      <c r="C32" s="429" t="str">
        <f>VLOOKUP(B32,正厂竞争者数据汇总!D:H,2,FALSE)</f>
        <v>Motor目录</v>
      </c>
      <c r="D32" s="421" t="str">
        <f>VLOOKUP(B32,正厂竞争者数据汇总!D:H,3,FALSE)</f>
        <v>RI</v>
      </c>
      <c r="E32" s="430"/>
      <c r="F32" s="430">
        <v>112658.283333333</v>
      </c>
      <c r="G32" s="430"/>
      <c r="H32" s="430"/>
      <c r="I32" s="450"/>
      <c r="J32" s="451">
        <v>0.0590426463385106</v>
      </c>
      <c r="K32" s="451">
        <v>0.0713397359722959</v>
      </c>
      <c r="L32" s="451">
        <v>0.0842701936153702</v>
      </c>
      <c r="M32" s="452"/>
      <c r="N32" s="451"/>
      <c r="O32" s="430"/>
      <c r="P32" s="531" t="str">
        <f t="array" ref="P32">INDEX(正厂竞争者数据汇总!I:I,MATCH($A$24&amp;B32,正厂竞争者数据汇总!A:A&amp;正厂竞争者数据汇总!D:D,0))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32" s="429" t="s">
        <v>180</v>
      </c>
      <c r="R32" s="421" t="s">
        <v>180</v>
      </c>
      <c r="S32" s="472">
        <v>37935</v>
      </c>
      <c r="T32" s="472">
        <v>1682</v>
      </c>
      <c r="U32" s="466"/>
      <c r="V32" s="466"/>
      <c r="W32" s="466"/>
      <c r="X32" s="466"/>
      <c r="Y32" s="200" t="s">
        <v>255</v>
      </c>
      <c r="Z32" s="200">
        <v>38224</v>
      </c>
      <c r="AA32" s="200">
        <v>1673</v>
      </c>
      <c r="AB32" s="410">
        <f t="shared" si="2"/>
        <v>1</v>
      </c>
      <c r="AC32" s="409">
        <f t="shared" si="0"/>
        <v>38224</v>
      </c>
      <c r="AD32" s="409">
        <f t="shared" si="1"/>
        <v>1673</v>
      </c>
      <c r="AF32" s="540"/>
      <c r="AG32" s="410"/>
      <c r="AH32"/>
      <c r="AI32"/>
    </row>
    <row r="33" s="410" customFormat="1" spans="1:35">
      <c r="A33" s="428"/>
      <c r="B33" s="431"/>
      <c r="C33" s="429"/>
      <c r="D33" s="421"/>
      <c r="E33" s="430"/>
      <c r="F33" s="430"/>
      <c r="G33" s="430"/>
      <c r="H33" s="430"/>
      <c r="I33" s="450"/>
      <c r="J33" s="455"/>
      <c r="K33" s="455"/>
      <c r="L33" s="455"/>
      <c r="M33" s="452"/>
      <c r="N33" s="457"/>
      <c r="O33" s="436"/>
      <c r="P33" s="531"/>
      <c r="Q33" s="434"/>
      <c r="R33" s="435"/>
      <c r="S33" s="473" t="s">
        <v>180</v>
      </c>
      <c r="T33" s="473" t="s">
        <v>180</v>
      </c>
      <c r="U33" s="477"/>
      <c r="V33" s="466"/>
      <c r="W33" s="435"/>
      <c r="X33" s="435"/>
      <c r="Y33" s="200" t="s">
        <v>240</v>
      </c>
      <c r="Z33" s="200" t="s">
        <v>180</v>
      </c>
      <c r="AA33" s="200" t="s">
        <v>180</v>
      </c>
      <c r="AB33" s="410">
        <f t="shared" si="2"/>
        <v>0</v>
      </c>
      <c r="AC33" s="409" t="str">
        <f t="shared" si="0"/>
        <v/>
      </c>
      <c r="AD33" s="409" t="str">
        <f t="shared" si="1"/>
        <v/>
      </c>
      <c r="AF33" s="540"/>
      <c r="AH33"/>
      <c r="AI33"/>
    </row>
    <row r="34" s="408" customFormat="1" spans="1:35">
      <c r="A34" s="428"/>
      <c r="B34" s="421"/>
      <c r="C34" s="439"/>
      <c r="D34" s="421"/>
      <c r="E34" s="430"/>
      <c r="F34" s="430">
        <v>1908083.23</v>
      </c>
      <c r="G34" s="430"/>
      <c r="H34" s="430"/>
      <c r="I34" s="453"/>
      <c r="J34" s="430"/>
      <c r="K34" s="430"/>
      <c r="L34" s="430"/>
      <c r="M34" s="451"/>
      <c r="N34" s="451"/>
      <c r="O34" s="430"/>
      <c r="P34" s="531"/>
      <c r="Q34" s="429"/>
      <c r="R34" s="421"/>
      <c r="S34" s="473" t="s">
        <v>180</v>
      </c>
      <c r="T34" s="473" t="s">
        <v>180</v>
      </c>
      <c r="U34" s="466"/>
      <c r="V34" s="466"/>
      <c r="W34" s="421"/>
      <c r="X34" s="421"/>
      <c r="Y34" s="200" t="s">
        <v>240</v>
      </c>
      <c r="Z34" s="200" t="s">
        <v>180</v>
      </c>
      <c r="AA34" s="200" t="s">
        <v>180</v>
      </c>
      <c r="AB34" s="410">
        <f t="shared" si="2"/>
        <v>0</v>
      </c>
      <c r="AC34" s="409" t="str">
        <f t="shared" si="0"/>
        <v/>
      </c>
      <c r="AD34" s="409" t="str">
        <f t="shared" si="1"/>
        <v/>
      </c>
      <c r="AF34" s="540"/>
      <c r="AG34" s="410"/>
      <c r="AH34"/>
      <c r="AI34"/>
    </row>
    <row r="35" s="408" customFormat="1" spans="1:35">
      <c r="A35" s="428"/>
      <c r="B35" s="421"/>
      <c r="C35" s="439"/>
      <c r="D35" s="421"/>
      <c r="E35" s="430"/>
      <c r="F35" s="430"/>
      <c r="G35" s="430"/>
      <c r="H35" s="430"/>
      <c r="I35" s="453"/>
      <c r="J35" s="430"/>
      <c r="K35" s="430"/>
      <c r="L35" s="430"/>
      <c r="M35" s="451"/>
      <c r="N35" s="451"/>
      <c r="O35" s="430"/>
      <c r="P35" s="531"/>
      <c r="Q35" s="429"/>
      <c r="R35" s="421"/>
      <c r="S35" s="473" t="s">
        <v>180</v>
      </c>
      <c r="T35" s="473" t="s">
        <v>180</v>
      </c>
      <c r="U35" s="466"/>
      <c r="V35" s="466"/>
      <c r="W35" s="421"/>
      <c r="X35" s="421"/>
      <c r="Y35" s="200" t="s">
        <v>240</v>
      </c>
      <c r="Z35" s="200" t="s">
        <v>180</v>
      </c>
      <c r="AA35" s="200" t="s">
        <v>180</v>
      </c>
      <c r="AB35" s="410">
        <f t="shared" si="2"/>
        <v>0</v>
      </c>
      <c r="AC35" s="409" t="str">
        <f t="shared" si="0"/>
        <v/>
      </c>
      <c r="AD35" s="409" t="str">
        <f t="shared" si="1"/>
        <v/>
      </c>
      <c r="AF35" s="540"/>
      <c r="AG35" s="410"/>
      <c r="AH35"/>
      <c r="AI35"/>
    </row>
    <row r="36" s="408" customFormat="1" ht="17.4" spans="1:35">
      <c r="A36" s="418" t="s">
        <v>149</v>
      </c>
      <c r="B36" s="419"/>
      <c r="C36" s="420"/>
      <c r="D36" s="421"/>
      <c r="E36" s="422" t="s">
        <v>202</v>
      </c>
      <c r="F36" s="422"/>
      <c r="G36" s="422"/>
      <c r="H36" s="422"/>
      <c r="I36" s="422"/>
      <c r="J36" s="422"/>
      <c r="K36" s="422"/>
      <c r="L36" s="422"/>
      <c r="M36" s="443"/>
      <c r="N36" s="444"/>
      <c r="O36" s="422"/>
      <c r="P36" s="531"/>
      <c r="Q36" s="465"/>
      <c r="R36" s="424"/>
      <c r="S36" s="473" t="s">
        <v>180</v>
      </c>
      <c r="T36" s="473" t="s">
        <v>180</v>
      </c>
      <c r="U36" s="467"/>
      <c r="V36" s="467"/>
      <c r="W36" s="467"/>
      <c r="X36" s="467"/>
      <c r="Y36" s="200" t="s">
        <v>240</v>
      </c>
      <c r="Z36" s="200" t="s">
        <v>180</v>
      </c>
      <c r="AA36" s="200" t="s">
        <v>180</v>
      </c>
      <c r="AB36" s="410">
        <f t="shared" si="2"/>
        <v>0</v>
      </c>
      <c r="AC36" s="409" t="str">
        <f t="shared" si="0"/>
        <v/>
      </c>
      <c r="AD36" s="409" t="str">
        <f t="shared" si="1"/>
        <v/>
      </c>
      <c r="AF36" s="540"/>
      <c r="AG36" s="410"/>
      <c r="AH36"/>
      <c r="AI36"/>
    </row>
    <row r="37" s="409" customFormat="1" ht="46.8" spans="1:35">
      <c r="A37" s="423" t="s">
        <v>206</v>
      </c>
      <c r="B37" s="424" t="s">
        <v>207</v>
      </c>
      <c r="C37" s="425" t="s">
        <v>208</v>
      </c>
      <c r="D37" s="424" t="s">
        <v>209</v>
      </c>
      <c r="E37" s="426" t="s">
        <v>210</v>
      </c>
      <c r="F37" s="427" t="s">
        <v>213</v>
      </c>
      <c r="G37" s="427" t="s">
        <v>213</v>
      </c>
      <c r="H37" s="427" t="s">
        <v>213</v>
      </c>
      <c r="I37" s="427" t="s">
        <v>386</v>
      </c>
      <c r="J37" s="446" t="s">
        <v>217</v>
      </c>
      <c r="K37" s="446" t="s">
        <v>387</v>
      </c>
      <c r="L37" s="446" t="s">
        <v>390</v>
      </c>
      <c r="M37" s="447" t="s">
        <v>218</v>
      </c>
      <c r="N37" s="448" t="s">
        <v>219</v>
      </c>
      <c r="O37" s="449" t="s">
        <v>220</v>
      </c>
      <c r="P37" s="530" t="s">
        <v>221</v>
      </c>
      <c r="Q37" s="469" t="s">
        <v>222</v>
      </c>
      <c r="R37" s="426" t="s">
        <v>223</v>
      </c>
      <c r="S37" s="470" t="s">
        <v>224</v>
      </c>
      <c r="T37" s="470" t="s">
        <v>205</v>
      </c>
      <c r="U37" s="467" t="s">
        <v>225</v>
      </c>
      <c r="V37" s="470" t="s">
        <v>226</v>
      </c>
      <c r="W37" s="467"/>
      <c r="X37" s="467"/>
      <c r="Y37" s="200" t="s">
        <v>207</v>
      </c>
      <c r="Z37" s="200" t="s">
        <v>180</v>
      </c>
      <c r="AA37" s="200" t="s">
        <v>180</v>
      </c>
      <c r="AB37" s="410">
        <f t="shared" si="2"/>
        <v>1</v>
      </c>
      <c r="AC37" s="409" t="str">
        <f t="shared" si="0"/>
        <v>Forum Link</v>
      </c>
      <c r="AD37" s="409" t="str">
        <f t="shared" si="1"/>
        <v>Domains</v>
      </c>
      <c r="AF37" s="540"/>
      <c r="AG37" s="410"/>
      <c r="AH37"/>
      <c r="AI37"/>
    </row>
    <row r="38" s="410" customFormat="1" ht="17.4" spans="1:35">
      <c r="A38" s="432" t="s">
        <v>227</v>
      </c>
      <c r="B38" s="432" t="s">
        <v>150</v>
      </c>
      <c r="C38" s="434" t="str">
        <f>VLOOKUP(B38,正厂竞争者数据汇总!D:H,2,FALSE)</f>
        <v>原厂目录</v>
      </c>
      <c r="D38" s="435" t="str">
        <f>VLOOKUP(B38,正厂竞争者数据汇总!D:H,3,FALSE)</f>
        <v>AZ</v>
      </c>
      <c r="E38" s="436">
        <f>VLOOKUP(B38,正厂竞争者数据汇总!D:H,4,FALSE)</f>
        <v>0</v>
      </c>
      <c r="F38" s="436">
        <v>544668.026666667</v>
      </c>
      <c r="G38" s="436">
        <v>521458.083333333</v>
      </c>
      <c r="H38" s="436">
        <v>566477.333333333</v>
      </c>
      <c r="I38" s="454">
        <v>0.0445097009235493</v>
      </c>
      <c r="J38" s="455">
        <v>0.375582164836792</v>
      </c>
      <c r="K38" s="455">
        <v>0.373462364909511</v>
      </c>
      <c r="L38" s="455">
        <v>0.366332309995353</v>
      </c>
      <c r="M38" s="456">
        <f>J38-K38</f>
        <v>0.00211979992728112</v>
      </c>
      <c r="N38" s="457" t="str">
        <f>IFERROR(O38*0.5/#REF!,"")</f>
        <v/>
      </c>
      <c r="O38" s="436" t="s">
        <v>180</v>
      </c>
      <c r="P38" s="531">
        <f t="array" ref="P38">INDEX(正厂竞争者数据汇总!I:I,MATCH($A$36&amp;B38,正厂竞争者数据汇总!A:A&amp;正厂竞争者数据汇总!D:D,0))</f>
        <v>0</v>
      </c>
      <c r="Q38" s="434" t="s">
        <v>259</v>
      </c>
      <c r="R38" s="435" t="s">
        <v>229</v>
      </c>
      <c r="S38" s="476">
        <v>62219</v>
      </c>
      <c r="T38" s="476">
        <v>9371</v>
      </c>
      <c r="U38" s="477"/>
      <c r="V38" s="477"/>
      <c r="W38" s="477"/>
      <c r="X38" s="477"/>
      <c r="Y38" s="200" t="s">
        <v>150</v>
      </c>
      <c r="Z38" s="200">
        <v>56716</v>
      </c>
      <c r="AA38" s="200">
        <v>8700</v>
      </c>
      <c r="AB38" s="410">
        <f t="shared" si="2"/>
        <v>1</v>
      </c>
      <c r="AC38" s="409">
        <f t="shared" si="0"/>
        <v>56716</v>
      </c>
      <c r="AD38" s="409">
        <f t="shared" si="1"/>
        <v>8700</v>
      </c>
      <c r="AF38" s="540"/>
      <c r="AH38"/>
      <c r="AI38"/>
    </row>
    <row r="39" s="408" customFormat="1" spans="1:35">
      <c r="A39" s="428" t="s">
        <v>230</v>
      </c>
      <c r="B39" s="421" t="s">
        <v>260</v>
      </c>
      <c r="C39" s="429" t="str">
        <f>VLOOKUP(B39,正厂竞争者数据汇总!D:H,2,FALSE)</f>
        <v>Motor目录</v>
      </c>
      <c r="D39" s="421" t="str">
        <f>VLOOKUP(B39,正厂竞争者数据汇总!D:H,3,FALSE)</f>
        <v>TX</v>
      </c>
      <c r="E39" s="430"/>
      <c r="F39" s="430">
        <v>172608.846666667</v>
      </c>
      <c r="G39" s="430"/>
      <c r="H39" s="430"/>
      <c r="I39" s="450"/>
      <c r="J39" s="451">
        <v>0.119024435301989</v>
      </c>
      <c r="K39" s="451">
        <v>0.111481276273047</v>
      </c>
      <c r="L39" s="451">
        <v>0.100829382165201</v>
      </c>
      <c r="M39" s="452"/>
      <c r="N39" s="451"/>
      <c r="O39" s="430"/>
      <c r="P39" s="531">
        <f t="array" ref="P39">INDEX(正厂竞争者数据汇总!I:I,MATCH($A$36&amp;B39,正厂竞争者数据汇总!A:A&amp;正厂竞争者数据汇总!D:D,0))</f>
        <v>0</v>
      </c>
      <c r="Q39" s="429"/>
      <c r="R39" s="421"/>
      <c r="S39" s="472">
        <v>3777</v>
      </c>
      <c r="T39" s="472">
        <v>562</v>
      </c>
      <c r="U39" s="466"/>
      <c r="V39" s="466"/>
      <c r="W39" s="466"/>
      <c r="X39" s="466"/>
      <c r="Y39" s="200" t="s">
        <v>260</v>
      </c>
      <c r="Z39" s="200">
        <v>3755</v>
      </c>
      <c r="AA39" s="200">
        <v>567</v>
      </c>
      <c r="AB39" s="410">
        <f t="shared" si="2"/>
        <v>1</v>
      </c>
      <c r="AC39" s="409">
        <f t="shared" si="0"/>
        <v>3755</v>
      </c>
      <c r="AD39" s="409">
        <f t="shared" si="1"/>
        <v>567</v>
      </c>
      <c r="AF39" s="540"/>
      <c r="AG39" s="410"/>
      <c r="AH39"/>
      <c r="AI39"/>
    </row>
    <row r="40" s="408" customFormat="1" spans="1:35">
      <c r="A40" s="428" t="s">
        <v>230</v>
      </c>
      <c r="B40" s="421" t="s">
        <v>255</v>
      </c>
      <c r="C40" s="429" t="str">
        <f>VLOOKUP(B40,正厂竞争者数据汇总!D:H,2,FALSE)</f>
        <v>Motor目录</v>
      </c>
      <c r="D40" s="421" t="str">
        <f>VLOOKUP(B40,正厂竞争者数据汇总!D:H,3,FALSE)</f>
        <v>RI</v>
      </c>
      <c r="E40" s="430"/>
      <c r="F40" s="430">
        <v>171952.116666667</v>
      </c>
      <c r="G40" s="430"/>
      <c r="H40" s="430"/>
      <c r="I40" s="450"/>
      <c r="J40" s="451">
        <v>0.11857157950169</v>
      </c>
      <c r="K40" s="451">
        <v>0.150588398867105</v>
      </c>
      <c r="L40" s="451">
        <v>0.181738067644754</v>
      </c>
      <c r="M40" s="452"/>
      <c r="N40" s="451"/>
      <c r="O40" s="430"/>
      <c r="P40" s="531" t="str">
        <f t="array" ref="P40">INDEX(正厂竞争者数据汇总!I:I,MATCH($A$36&amp;B40,正厂竞争者数据汇总!A:A&amp;正厂竞争者数据汇总!D:D,0))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40" s="429"/>
      <c r="R40" s="421"/>
      <c r="S40" s="472">
        <v>37935</v>
      </c>
      <c r="T40" s="472">
        <v>1682</v>
      </c>
      <c r="U40" s="466"/>
      <c r="V40" s="466"/>
      <c r="W40" s="466"/>
      <c r="X40" s="466"/>
      <c r="Y40" s="200" t="s">
        <v>255</v>
      </c>
      <c r="Z40" s="200">
        <v>38224</v>
      </c>
      <c r="AA40" s="200">
        <v>1673</v>
      </c>
      <c r="AB40" s="410">
        <f t="shared" si="2"/>
        <v>1</v>
      </c>
      <c r="AC40" s="409">
        <f t="shared" si="0"/>
        <v>38224</v>
      </c>
      <c r="AD40" s="409">
        <f t="shared" si="1"/>
        <v>1673</v>
      </c>
      <c r="AF40" s="540"/>
      <c r="AG40" s="410"/>
      <c r="AH40"/>
      <c r="AI40"/>
    </row>
    <row r="41" s="408" customFormat="1" spans="1:35">
      <c r="A41" s="428" t="s">
        <v>230</v>
      </c>
      <c r="B41" s="421" t="s">
        <v>261</v>
      </c>
      <c r="C41" s="429" t="str">
        <f>VLOOKUP(B41,正厂竞争者数据汇总!D:H,2,FALSE)</f>
        <v>Motor目录</v>
      </c>
      <c r="D41" s="421" t="str">
        <f>VLOOKUP(B41,正厂竞争者数据汇总!D:H,3,FALSE)</f>
        <v>MO</v>
      </c>
      <c r="E41" s="430"/>
      <c r="F41" s="430">
        <v>161633.916666667</v>
      </c>
      <c r="G41" s="430"/>
      <c r="H41" s="430"/>
      <c r="I41" s="450"/>
      <c r="J41" s="451">
        <v>0.111456544831974</v>
      </c>
      <c r="K41" s="451">
        <v>0.0969152598731493</v>
      </c>
      <c r="L41" s="451">
        <v>0.0985151904693436</v>
      </c>
      <c r="M41" s="452"/>
      <c r="N41" s="451"/>
      <c r="O41" s="430"/>
      <c r="P41" s="531" t="str">
        <f t="array" ref="P41">INDEX(正厂竞争者数据汇总!I:I,MATCH($A$36&amp;B41,正厂竞争者数据汇总!A:A&amp;正厂竞争者数据汇总!D:D,0))</f>
        <v>2022年1月 新加入 CompetitorSites
2022年1月 新加入 MarketingShare</v>
      </c>
      <c r="Q41" s="429"/>
      <c r="R41" s="421"/>
      <c r="S41" s="472">
        <v>1753</v>
      </c>
      <c r="T41" s="472">
        <v>302</v>
      </c>
      <c r="U41" s="466"/>
      <c r="V41" s="466"/>
      <c r="W41" s="466"/>
      <c r="X41" s="466"/>
      <c r="Y41" s="200" t="s">
        <v>261</v>
      </c>
      <c r="Z41" s="200">
        <v>1695</v>
      </c>
      <c r="AA41" s="200">
        <v>308</v>
      </c>
      <c r="AB41" s="410">
        <f t="shared" si="2"/>
        <v>1</v>
      </c>
      <c r="AC41" s="409">
        <f t="shared" si="0"/>
        <v>1695</v>
      </c>
      <c r="AD41" s="409">
        <f t="shared" si="1"/>
        <v>308</v>
      </c>
      <c r="AF41" s="540"/>
      <c r="AG41" s="410"/>
      <c r="AH41"/>
      <c r="AI41"/>
    </row>
    <row r="42" s="408" customFormat="1" spans="1:35">
      <c r="A42" s="428" t="s">
        <v>243</v>
      </c>
      <c r="B42" s="421" t="s">
        <v>262</v>
      </c>
      <c r="C42" s="429" t="str">
        <f>VLOOKUP(B42,正厂竞争者数据汇总!D:H,2,FALSE)</f>
        <v>原厂目录</v>
      </c>
      <c r="D42" s="421" t="str">
        <f>VLOOKUP(B42,正厂竞争者数据汇总!D:H,3,FALSE)</f>
        <v>FL</v>
      </c>
      <c r="E42" s="430"/>
      <c r="F42" s="430">
        <v>135192.833333333</v>
      </c>
      <c r="G42" s="430"/>
      <c r="H42" s="430"/>
      <c r="I42" s="450"/>
      <c r="J42" s="451">
        <v>0.0932237886708694</v>
      </c>
      <c r="K42" s="451">
        <v>0.090618967906095</v>
      </c>
      <c r="L42" s="451">
        <v>0.0907817903979284</v>
      </c>
      <c r="M42" s="452"/>
      <c r="N42" s="451"/>
      <c r="O42" s="430"/>
      <c r="P42" s="531" t="str">
        <f t="array" ref="P42">INDEX(正厂竞争者数据汇总!I:I,MATCH($A$36&amp;B42,正厂竞争者数据汇总!A:A&amp;正厂竞争者数据汇总!D:D,0))</f>
        <v>变为精确运费</v>
      </c>
      <c r="Q42" s="429"/>
      <c r="R42" s="421"/>
      <c r="S42" s="472">
        <v>32172</v>
      </c>
      <c r="T42" s="472">
        <v>2251</v>
      </c>
      <c r="U42" s="466"/>
      <c r="V42" s="466"/>
      <c r="W42" s="466"/>
      <c r="X42" s="466"/>
      <c r="Y42" s="200" t="s">
        <v>262</v>
      </c>
      <c r="Z42" s="200">
        <v>32780</v>
      </c>
      <c r="AA42" s="200">
        <v>2182</v>
      </c>
      <c r="AB42" s="410">
        <f t="shared" si="2"/>
        <v>1</v>
      </c>
      <c r="AC42" s="409">
        <f t="shared" si="0"/>
        <v>32780</v>
      </c>
      <c r="AD42" s="409">
        <f t="shared" si="1"/>
        <v>2182</v>
      </c>
      <c r="AF42" s="540"/>
      <c r="AG42" s="410"/>
      <c r="AH42"/>
      <c r="AI42"/>
    </row>
    <row r="43" s="408" customFormat="1" spans="1:35">
      <c r="A43" s="428" t="s">
        <v>243</v>
      </c>
      <c r="B43" s="421" t="s">
        <v>265</v>
      </c>
      <c r="C43" s="429" t="str">
        <f>VLOOKUP(B43,正厂竞争者数据汇总!D:H,2,FALSE)</f>
        <v>原厂目录</v>
      </c>
      <c r="D43" s="421" t="s">
        <v>266</v>
      </c>
      <c r="E43" s="430"/>
      <c r="F43" s="430">
        <v>107883.715</v>
      </c>
      <c r="G43" s="430"/>
      <c r="H43" s="430"/>
      <c r="I43" s="450"/>
      <c r="J43" s="451">
        <v>0.0743924688921257</v>
      </c>
      <c r="K43" s="451">
        <v>0.072754670843439</v>
      </c>
      <c r="L43" s="451">
        <v>0.0607867064108672</v>
      </c>
      <c r="M43" s="452"/>
      <c r="N43" s="451"/>
      <c r="O43" s="430"/>
      <c r="P43" s="531" t="str">
        <f t="array" ref="P43">INDEX(正厂竞争者数据汇总!I:I,MATCH($A$36&amp;B43,正厂竞争者数据汇总!A:A&amp;正厂竞争者数据汇总!D:D,0))</f>
        <v>因MS大于5%，202305重新加入MS计算基准</v>
      </c>
      <c r="Q43" s="429"/>
      <c r="R43" s="421"/>
      <c r="S43" s="472">
        <v>50716</v>
      </c>
      <c r="T43" s="472">
        <v>1710</v>
      </c>
      <c r="U43" s="466"/>
      <c r="V43" s="466"/>
      <c r="W43" s="466"/>
      <c r="X43" s="466"/>
      <c r="Y43" s="200" t="s">
        <v>265</v>
      </c>
      <c r="Z43" s="200">
        <v>51136</v>
      </c>
      <c r="AA43" s="200">
        <v>1637</v>
      </c>
      <c r="AB43" s="410">
        <f t="shared" si="2"/>
        <v>1</v>
      </c>
      <c r="AC43" s="409">
        <f t="shared" si="0"/>
        <v>51136</v>
      </c>
      <c r="AD43" s="409">
        <f t="shared" si="1"/>
        <v>1637</v>
      </c>
      <c r="AF43" s="540"/>
      <c r="AG43" s="410"/>
      <c r="AH43"/>
      <c r="AI43"/>
    </row>
    <row r="44" s="408" customFormat="1" spans="1:35">
      <c r="A44" s="428" t="s">
        <v>243</v>
      </c>
      <c r="B44" s="421" t="s">
        <v>264</v>
      </c>
      <c r="C44" s="429" t="str">
        <f>VLOOKUP(B44,正厂竞争者数据汇总!D:H,2,FALSE)</f>
        <v>原厂目录</v>
      </c>
      <c r="D44" s="421" t="s">
        <v>60</v>
      </c>
      <c r="E44" s="430"/>
      <c r="F44" s="430">
        <v>87452.44</v>
      </c>
      <c r="G44" s="430"/>
      <c r="H44" s="430"/>
      <c r="I44" s="450"/>
      <c r="J44" s="451">
        <v>0.0603038458792459</v>
      </c>
      <c r="K44" s="451">
        <v>0.0582495560064696</v>
      </c>
      <c r="L44" s="451">
        <v>0.0577334557451331</v>
      </c>
      <c r="M44" s="452"/>
      <c r="N44" s="451"/>
      <c r="O44" s="430"/>
      <c r="P44" s="531" t="str">
        <f t="array" ref="P44">INDEX(正厂竞争者数据汇总!I:I,MATCH($A$36&amp;B44,正厂竞争者数据汇总!A:A&amp;正厂竞争者数据汇总!D:D,0))</f>
        <v>2023年3月新增正厂，2023年10月因流量大于5%加入MS监控</v>
      </c>
      <c r="Q44" s="429"/>
      <c r="R44" s="421"/>
      <c r="S44" s="472">
        <v>3379</v>
      </c>
      <c r="T44" s="472">
        <v>531</v>
      </c>
      <c r="U44" s="466"/>
      <c r="V44" s="466"/>
      <c r="W44" s="466"/>
      <c r="X44" s="466"/>
      <c r="Y44" s="200" t="s">
        <v>264</v>
      </c>
      <c r="Z44" s="200">
        <v>3052</v>
      </c>
      <c r="AA44" s="200">
        <v>479</v>
      </c>
      <c r="AB44" s="410">
        <f t="shared" si="2"/>
        <v>1</v>
      </c>
      <c r="AC44" s="409">
        <f t="shared" si="0"/>
        <v>3052</v>
      </c>
      <c r="AD44" s="409">
        <f t="shared" si="1"/>
        <v>479</v>
      </c>
      <c r="AF44" s="540"/>
      <c r="AG44" s="410"/>
      <c r="AH44"/>
      <c r="AI44"/>
    </row>
    <row r="45" s="408" customFormat="1" spans="1:35">
      <c r="A45" s="428" t="s">
        <v>230</v>
      </c>
      <c r="B45" s="421" t="s">
        <v>267</v>
      </c>
      <c r="C45" s="429" t="str">
        <f>VLOOKUP(B45,正厂竞争者数据汇总!D:H,2,FALSE)</f>
        <v>原厂目录</v>
      </c>
      <c r="D45" s="421" t="str">
        <f>VLOOKUP(B45,正厂竞争者数据汇总!D:H,3,FALSE)</f>
        <v>AZ</v>
      </c>
      <c r="E45" s="430"/>
      <c r="F45" s="430">
        <v>68804.8333333333</v>
      </c>
      <c r="G45" s="430"/>
      <c r="H45" s="430"/>
      <c r="I45" s="450"/>
      <c r="J45" s="451">
        <v>0.0474451720853132</v>
      </c>
      <c r="K45" s="451">
        <v>0.0459295053211847</v>
      </c>
      <c r="L45" s="451">
        <v>0.0432830971714195</v>
      </c>
      <c r="M45" s="452"/>
      <c r="N45" s="451"/>
      <c r="O45" s="430"/>
      <c r="P45" s="531" t="str">
        <f t="array" ref="P45">INDEX(正厂竞争者数据汇总!I:I,MATCH($A$36&amp;B45,正厂竞争者数据汇总!A:A&amp;正厂竞争者数据汇总!D:D,0))</f>
        <v>2022年1月 新加入 CompetitorSites</v>
      </c>
      <c r="Q45" s="429"/>
      <c r="R45" s="421"/>
      <c r="S45" s="472">
        <v>2200</v>
      </c>
      <c r="T45" s="472">
        <v>379</v>
      </c>
      <c r="U45" s="466"/>
      <c r="V45" s="466"/>
      <c r="W45" s="466"/>
      <c r="X45" s="466"/>
      <c r="Y45" s="200" t="s">
        <v>267</v>
      </c>
      <c r="Z45" s="200">
        <v>2245</v>
      </c>
      <c r="AA45" s="200">
        <v>411</v>
      </c>
      <c r="AB45" s="410">
        <f t="shared" si="2"/>
        <v>1</v>
      </c>
      <c r="AC45" s="409">
        <f t="shared" si="0"/>
        <v>2245</v>
      </c>
      <c r="AD45" s="409">
        <f t="shared" si="1"/>
        <v>411</v>
      </c>
      <c r="AF45" s="540"/>
      <c r="AG45" s="410"/>
      <c r="AH45"/>
      <c r="AI45"/>
    </row>
    <row r="46" s="410" customFormat="1" spans="1:35">
      <c r="A46" s="428"/>
      <c r="B46" s="431"/>
      <c r="C46" s="429"/>
      <c r="D46" s="421"/>
      <c r="E46" s="430"/>
      <c r="F46" s="430"/>
      <c r="G46" s="430"/>
      <c r="H46" s="430"/>
      <c r="I46" s="453"/>
      <c r="J46" s="451"/>
      <c r="K46" s="451"/>
      <c r="L46" s="451"/>
      <c r="M46" s="451"/>
      <c r="N46" s="455"/>
      <c r="O46" s="436"/>
      <c r="P46" s="531"/>
      <c r="Q46" s="434"/>
      <c r="R46" s="435"/>
      <c r="S46" s="473" t="s">
        <v>180</v>
      </c>
      <c r="T46" s="473" t="s">
        <v>180</v>
      </c>
      <c r="U46" s="477"/>
      <c r="V46" s="466"/>
      <c r="W46" s="435"/>
      <c r="X46" s="435"/>
      <c r="Y46" s="200" t="s">
        <v>240</v>
      </c>
      <c r="Z46" s="200" t="s">
        <v>180</v>
      </c>
      <c r="AA46" s="200" t="s">
        <v>180</v>
      </c>
      <c r="AB46" s="410">
        <f t="shared" si="2"/>
        <v>0</v>
      </c>
      <c r="AC46" s="409" t="str">
        <f t="shared" si="0"/>
        <v/>
      </c>
      <c r="AD46" s="409" t="str">
        <f t="shared" si="1"/>
        <v/>
      </c>
      <c r="AF46" s="540"/>
      <c r="AH46"/>
      <c r="AI46"/>
    </row>
    <row r="47" s="408" customFormat="1" spans="1:35">
      <c r="A47" s="428"/>
      <c r="B47" s="421"/>
      <c r="C47" s="439"/>
      <c r="D47" s="421"/>
      <c r="E47" s="430"/>
      <c r="F47" s="430">
        <v>1450196.72833333</v>
      </c>
      <c r="G47" s="430">
        <v>1468579.74166667</v>
      </c>
      <c r="H47" s="430">
        <v>1519526.8275</v>
      </c>
      <c r="I47" s="453">
        <v>-0.0125175452253434</v>
      </c>
      <c r="J47" s="430"/>
      <c r="K47" s="430"/>
      <c r="L47" s="430"/>
      <c r="M47" s="451"/>
      <c r="N47" s="451"/>
      <c r="O47" s="430"/>
      <c r="P47" s="531"/>
      <c r="Q47" s="429"/>
      <c r="R47" s="421"/>
      <c r="S47" s="473" t="s">
        <v>180</v>
      </c>
      <c r="T47" s="473" t="s">
        <v>180</v>
      </c>
      <c r="U47" s="466"/>
      <c r="V47" s="466"/>
      <c r="W47" s="421"/>
      <c r="X47" s="421"/>
      <c r="Y47" s="200" t="s">
        <v>240</v>
      </c>
      <c r="Z47" s="200" t="s">
        <v>180</v>
      </c>
      <c r="AA47" s="200" t="s">
        <v>180</v>
      </c>
      <c r="AB47" s="410">
        <f t="shared" si="2"/>
        <v>0</v>
      </c>
      <c r="AC47" s="409" t="str">
        <f t="shared" si="0"/>
        <v/>
      </c>
      <c r="AD47" s="409" t="str">
        <f t="shared" si="1"/>
        <v/>
      </c>
      <c r="AF47" s="540"/>
      <c r="AG47" s="410"/>
      <c r="AH47"/>
      <c r="AI47"/>
    </row>
    <row r="48" s="408" customFormat="1" spans="1:35">
      <c r="A48" s="428"/>
      <c r="B48" s="421"/>
      <c r="C48" s="439"/>
      <c r="D48" s="421"/>
      <c r="E48" s="430"/>
      <c r="F48" s="430"/>
      <c r="G48" s="430"/>
      <c r="H48" s="430"/>
      <c r="I48" s="453"/>
      <c r="J48" s="430"/>
      <c r="K48" s="430"/>
      <c r="L48" s="430"/>
      <c r="M48" s="451"/>
      <c r="N48" s="451"/>
      <c r="O48" s="430"/>
      <c r="P48" s="531"/>
      <c r="Q48" s="429"/>
      <c r="R48" s="421"/>
      <c r="S48" s="473" t="s">
        <v>180</v>
      </c>
      <c r="T48" s="473" t="s">
        <v>180</v>
      </c>
      <c r="U48" s="466"/>
      <c r="V48" s="466"/>
      <c r="W48" s="421"/>
      <c r="X48" s="421"/>
      <c r="Y48" s="200" t="s">
        <v>240</v>
      </c>
      <c r="Z48" s="200" t="s">
        <v>180</v>
      </c>
      <c r="AA48" s="200" t="s">
        <v>180</v>
      </c>
      <c r="AB48" s="410">
        <f t="shared" si="2"/>
        <v>0</v>
      </c>
      <c r="AC48" s="409" t="str">
        <f t="shared" si="0"/>
        <v/>
      </c>
      <c r="AD48" s="409" t="str">
        <f t="shared" si="1"/>
        <v/>
      </c>
      <c r="AF48" s="540"/>
      <c r="AG48" s="410"/>
      <c r="AH48"/>
      <c r="AI48"/>
    </row>
    <row r="49" s="408" customFormat="1" ht="17.4" spans="1:35">
      <c r="A49" s="418" t="s">
        <v>152</v>
      </c>
      <c r="B49" s="419"/>
      <c r="C49" s="420"/>
      <c r="D49" s="421"/>
      <c r="E49" s="422" t="s">
        <v>202</v>
      </c>
      <c r="F49" s="422"/>
      <c r="G49" s="422"/>
      <c r="H49" s="422"/>
      <c r="I49" s="422"/>
      <c r="J49" s="422"/>
      <c r="K49" s="422"/>
      <c r="L49" s="422"/>
      <c r="M49" s="443"/>
      <c r="N49" s="444"/>
      <c r="O49" s="422"/>
      <c r="P49" s="531"/>
      <c r="Q49" s="465"/>
      <c r="R49" s="424"/>
      <c r="S49" s="473" t="s">
        <v>180</v>
      </c>
      <c r="T49" s="473" t="s">
        <v>180</v>
      </c>
      <c r="U49" s="467"/>
      <c r="V49" s="467"/>
      <c r="W49" s="467"/>
      <c r="X49" s="467"/>
      <c r="Y49" s="200" t="s">
        <v>240</v>
      </c>
      <c r="Z49" s="200" t="s">
        <v>180</v>
      </c>
      <c r="AA49" s="200" t="s">
        <v>180</v>
      </c>
      <c r="AB49" s="410">
        <f t="shared" si="2"/>
        <v>0</v>
      </c>
      <c r="AC49" s="409" t="str">
        <f t="shared" si="0"/>
        <v/>
      </c>
      <c r="AD49" s="409" t="str">
        <f t="shared" si="1"/>
        <v/>
      </c>
      <c r="AF49" s="540"/>
      <c r="AG49" s="410"/>
      <c r="AH49"/>
      <c r="AI49"/>
    </row>
    <row r="50" s="409" customFormat="1" ht="46.8" spans="1:35">
      <c r="A50" s="423" t="s">
        <v>206</v>
      </c>
      <c r="B50" s="424" t="s">
        <v>207</v>
      </c>
      <c r="C50" s="425" t="s">
        <v>208</v>
      </c>
      <c r="D50" s="424" t="s">
        <v>209</v>
      </c>
      <c r="E50" s="426" t="s">
        <v>210</v>
      </c>
      <c r="F50" s="427" t="s">
        <v>213</v>
      </c>
      <c r="G50" s="427" t="s">
        <v>213</v>
      </c>
      <c r="H50" s="427" t="s">
        <v>213</v>
      </c>
      <c r="I50" s="427" t="s">
        <v>386</v>
      </c>
      <c r="J50" s="446" t="s">
        <v>217</v>
      </c>
      <c r="K50" s="446" t="s">
        <v>387</v>
      </c>
      <c r="L50" s="446" t="s">
        <v>390</v>
      </c>
      <c r="M50" s="447" t="s">
        <v>218</v>
      </c>
      <c r="N50" s="448" t="s">
        <v>219</v>
      </c>
      <c r="O50" s="449" t="s">
        <v>220</v>
      </c>
      <c r="P50" s="530" t="s">
        <v>221</v>
      </c>
      <c r="Q50" s="469" t="s">
        <v>222</v>
      </c>
      <c r="R50" s="426" t="s">
        <v>223</v>
      </c>
      <c r="S50" s="470" t="s">
        <v>224</v>
      </c>
      <c r="T50" s="470" t="s">
        <v>205</v>
      </c>
      <c r="U50" s="467" t="s">
        <v>225</v>
      </c>
      <c r="V50" s="470" t="s">
        <v>226</v>
      </c>
      <c r="W50" s="467"/>
      <c r="X50" s="467"/>
      <c r="Y50" s="200" t="s">
        <v>207</v>
      </c>
      <c r="Z50" s="200" t="s">
        <v>180</v>
      </c>
      <c r="AA50" s="200" t="s">
        <v>180</v>
      </c>
      <c r="AB50" s="410">
        <f t="shared" si="2"/>
        <v>1</v>
      </c>
      <c r="AC50" s="409" t="str">
        <f t="shared" si="0"/>
        <v>Forum Link</v>
      </c>
      <c r="AD50" s="409" t="str">
        <f t="shared" si="1"/>
        <v>Domains</v>
      </c>
      <c r="AF50" s="540"/>
      <c r="AG50" s="410"/>
      <c r="AH50"/>
      <c r="AI50"/>
    </row>
    <row r="51" s="410" customFormat="1" ht="17.4" spans="1:35">
      <c r="A51" s="432" t="s">
        <v>227</v>
      </c>
      <c r="B51" s="432" t="s">
        <v>153</v>
      </c>
      <c r="C51" s="434" t="str">
        <f>VLOOKUP(B51,正厂竞争者数据汇总!D:H,2,FALSE)</f>
        <v>原厂目录</v>
      </c>
      <c r="D51" s="435" t="str">
        <f>VLOOKUP(B51,正厂竞争者数据汇总!D:H,3,FALSE)</f>
        <v>CA</v>
      </c>
      <c r="E51" s="436">
        <f>VLOOKUP(B51,正厂竞争者数据汇总!D:H,4,FALSE)</f>
        <v>0</v>
      </c>
      <c r="F51" s="436">
        <v>498129.75</v>
      </c>
      <c r="G51" s="436">
        <v>436555.583333333</v>
      </c>
      <c r="H51" s="436">
        <v>490593.833333333</v>
      </c>
      <c r="I51" s="454">
        <v>0.141045422432845</v>
      </c>
      <c r="J51" s="457">
        <v>0.352859569343913</v>
      </c>
      <c r="K51" s="457">
        <v>0.343653859673218</v>
      </c>
      <c r="L51" s="457">
        <v>0.306125481709221</v>
      </c>
      <c r="M51" s="456">
        <f>J51-K51</f>
        <v>0.00920570967069478</v>
      </c>
      <c r="N51" s="457" t="str">
        <f>IFERROR(O51*0.5/#REF!,"")</f>
        <v/>
      </c>
      <c r="O51" s="436" t="s">
        <v>180</v>
      </c>
      <c r="P51" s="531">
        <f t="array" ref="P51">INDEX(正厂竞争者数据汇总!I:I,MATCH($A$49&amp;B51,正厂竞争者数据汇总!A:A&amp;正厂竞争者数据汇总!D:D,0))</f>
        <v>0</v>
      </c>
      <c r="Q51" s="434" t="s">
        <v>268</v>
      </c>
      <c r="R51" s="435" t="s">
        <v>229</v>
      </c>
      <c r="S51" s="476">
        <v>27235</v>
      </c>
      <c r="T51" s="476">
        <v>4430</v>
      </c>
      <c r="U51" s="477"/>
      <c r="V51" s="477"/>
      <c r="W51" s="477"/>
      <c r="X51" s="477"/>
      <c r="Y51" s="200" t="s">
        <v>153</v>
      </c>
      <c r="Z51" s="200">
        <v>26019</v>
      </c>
      <c r="AA51" s="200">
        <v>4085</v>
      </c>
      <c r="AB51" s="410">
        <f t="shared" si="2"/>
        <v>1</v>
      </c>
      <c r="AC51" s="409">
        <f t="shared" si="0"/>
        <v>26019</v>
      </c>
      <c r="AD51" s="409">
        <f t="shared" si="1"/>
        <v>4085</v>
      </c>
      <c r="AF51" s="540"/>
      <c r="AH51"/>
      <c r="AI51"/>
    </row>
    <row r="52" s="408" customFormat="1" ht="17.4" spans="1:35">
      <c r="A52" s="428" t="s">
        <v>243</v>
      </c>
      <c r="B52" s="421" t="s">
        <v>270</v>
      </c>
      <c r="C52" s="429" t="s">
        <v>247</v>
      </c>
      <c r="D52" s="421" t="str">
        <f>VLOOKUP(B52,正厂竞争者数据汇总!D:H,3,FALSE)</f>
        <v>FL</v>
      </c>
      <c r="E52" s="430"/>
      <c r="F52" s="430">
        <v>283115.916666667</v>
      </c>
      <c r="G52" s="430"/>
      <c r="H52" s="430"/>
      <c r="I52" s="450"/>
      <c r="J52" s="451">
        <v>0.200550479928989</v>
      </c>
      <c r="K52" s="451">
        <v>0.184105210197067</v>
      </c>
      <c r="L52" s="451">
        <v>0.186920369428127</v>
      </c>
      <c r="M52" s="452"/>
      <c r="N52" s="451"/>
      <c r="O52" s="430"/>
      <c r="P52" s="531">
        <f t="array" ref="P52">INDEX(正厂竞争者数据汇总!I:I,MATCH($A$49&amp;B52,正厂竞争者数据汇总!A:A&amp;正厂竞争者数据汇总!D:D,0))</f>
        <v>0</v>
      </c>
      <c r="Q52" s="429"/>
      <c r="R52" s="421"/>
      <c r="S52" s="472">
        <v>46997</v>
      </c>
      <c r="T52" s="472">
        <v>742</v>
      </c>
      <c r="U52" s="466"/>
      <c r="V52" s="466"/>
      <c r="W52" s="466"/>
      <c r="X52" s="466"/>
      <c r="Y52" s="200" t="s">
        <v>270</v>
      </c>
      <c r="Z52" s="200">
        <v>65089</v>
      </c>
      <c r="AA52" s="200">
        <v>711</v>
      </c>
      <c r="AB52" s="410">
        <f t="shared" si="2"/>
        <v>1</v>
      </c>
      <c r="AC52" s="409">
        <f t="shared" si="0"/>
        <v>65089</v>
      </c>
      <c r="AD52" s="409">
        <f t="shared" si="1"/>
        <v>711</v>
      </c>
      <c r="AF52" s="540"/>
      <c r="AG52" s="410"/>
      <c r="AH52"/>
      <c r="AI52"/>
    </row>
    <row r="53" s="408" customFormat="1" spans="1:35">
      <c r="A53" s="428" t="s">
        <v>230</v>
      </c>
      <c r="B53" s="421" t="s">
        <v>269</v>
      </c>
      <c r="C53" s="429" t="str">
        <f>VLOOKUP(B53,正厂竞争者数据汇总!D:H,2,FALSE)</f>
        <v>Motor目录</v>
      </c>
      <c r="D53" s="421" t="str">
        <f>VLOOKUP(B53,正厂竞争者数据汇总!D:H,3,FALSE)</f>
        <v>-</v>
      </c>
      <c r="E53" s="430"/>
      <c r="F53" s="430">
        <v>274375.663333333</v>
      </c>
      <c r="G53" s="430"/>
      <c r="H53" s="430"/>
      <c r="I53" s="450"/>
      <c r="J53" s="451">
        <v>0.194359157232127</v>
      </c>
      <c r="K53" s="451">
        <v>0.166044916900624</v>
      </c>
      <c r="L53" s="451">
        <v>0.137623497444578</v>
      </c>
      <c r="M53" s="452"/>
      <c r="N53" s="451"/>
      <c r="O53" s="430"/>
      <c r="P53" s="531" t="str">
        <f t="array" ref="P53">INDEX(正厂竞争者数据汇总!I:I,MATCH($A$49&amp;B53,正厂竞争者数据汇总!A:A&amp;正厂竞争者数据汇总!D:D,0))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53" s="429"/>
      <c r="R53" s="421"/>
      <c r="S53" s="472">
        <v>1801</v>
      </c>
      <c r="T53" s="472">
        <v>192</v>
      </c>
      <c r="U53" s="466"/>
      <c r="V53" s="466"/>
      <c r="W53" s="466"/>
      <c r="X53" s="466"/>
      <c r="Y53" s="200" t="s">
        <v>269</v>
      </c>
      <c r="Z53" s="200">
        <v>1561</v>
      </c>
      <c r="AA53" s="200">
        <v>188</v>
      </c>
      <c r="AB53" s="410">
        <f t="shared" si="2"/>
        <v>1</v>
      </c>
      <c r="AC53" s="409">
        <f t="shared" si="0"/>
        <v>1561</v>
      </c>
      <c r="AD53" s="409">
        <f t="shared" si="1"/>
        <v>188</v>
      </c>
      <c r="AF53" s="540"/>
      <c r="AG53" s="410"/>
      <c r="AH53"/>
      <c r="AI53"/>
    </row>
    <row r="54" s="408" customFormat="1" ht="17.4" spans="1:35">
      <c r="A54" s="428" t="s">
        <v>230</v>
      </c>
      <c r="B54" s="421" t="s">
        <v>255</v>
      </c>
      <c r="C54" s="429" t="s">
        <v>247</v>
      </c>
      <c r="D54" s="421" t="str">
        <f>VLOOKUP(B54,正厂竞争者数据汇总!D:H,3,FALSE)</f>
        <v>RI</v>
      </c>
      <c r="E54" s="430"/>
      <c r="F54" s="430">
        <v>189740.266666667</v>
      </c>
      <c r="G54" s="430"/>
      <c r="H54" s="430"/>
      <c r="I54" s="450"/>
      <c r="J54" s="451">
        <v>0.134406083521812</v>
      </c>
      <c r="K54" s="451">
        <v>0.154776999713173</v>
      </c>
      <c r="L54" s="451">
        <v>0.19233771709124</v>
      </c>
      <c r="M54" s="452"/>
      <c r="N54" s="451"/>
      <c r="O54" s="430"/>
      <c r="P54" s="531" t="str">
        <f t="array" ref="P54">INDEX(正厂竞争者数据汇总!I:I,MATCH($A$49&amp;B54,正厂竞争者数据汇总!A:A&amp;正厂竞争者数据汇总!D:D,0))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54" s="429"/>
      <c r="R54" s="421"/>
      <c r="S54" s="472">
        <v>37935</v>
      </c>
      <c r="T54" s="472">
        <v>1682</v>
      </c>
      <c r="U54" s="466"/>
      <c r="V54" s="466"/>
      <c r="W54" s="466"/>
      <c r="X54" s="466"/>
      <c r="Y54" s="200" t="s">
        <v>255</v>
      </c>
      <c r="Z54" s="200">
        <v>38224</v>
      </c>
      <c r="AA54" s="200">
        <v>1673</v>
      </c>
      <c r="AB54" s="410">
        <f t="shared" si="2"/>
        <v>1</v>
      </c>
      <c r="AC54" s="409">
        <f t="shared" si="0"/>
        <v>38224</v>
      </c>
      <c r="AD54" s="409">
        <f t="shared" si="1"/>
        <v>1673</v>
      </c>
      <c r="AF54" s="540"/>
      <c r="AG54" s="410"/>
      <c r="AH54"/>
      <c r="AI54"/>
    </row>
    <row r="55" s="408" customFormat="1" ht="17.4" spans="1:35">
      <c r="A55" s="428" t="s">
        <v>230</v>
      </c>
      <c r="B55" s="421" t="s">
        <v>273</v>
      </c>
      <c r="C55" s="429" t="s">
        <v>247</v>
      </c>
      <c r="D55" s="421" t="str">
        <f>VLOOKUP(B55,正厂竞争者数据汇总!D:H,3,FALSE)</f>
        <v>GA</v>
      </c>
      <c r="E55" s="430"/>
      <c r="F55" s="430">
        <v>103439.868333334</v>
      </c>
      <c r="G55" s="430"/>
      <c r="H55" s="430"/>
      <c r="I55" s="450"/>
      <c r="J55" s="451">
        <v>0.0732735745919437</v>
      </c>
      <c r="K55" s="451">
        <v>0.0673153621336538</v>
      </c>
      <c r="L55" s="451">
        <v>0.0761525483649117</v>
      </c>
      <c r="M55" s="452"/>
      <c r="N55" s="451"/>
      <c r="O55" s="430"/>
      <c r="P55" s="531">
        <f t="array" ref="P55">INDEX(正厂竞争者数据汇总!I:I,MATCH($A$49&amp;B55,正厂竞争者数据汇总!A:A&amp;正厂竞争者数据汇总!D:D,0))</f>
        <v>0</v>
      </c>
      <c r="Q55" s="429"/>
      <c r="R55" s="421"/>
      <c r="S55" s="472">
        <v>6519</v>
      </c>
      <c r="T55" s="472">
        <v>418</v>
      </c>
      <c r="U55" s="466"/>
      <c r="V55" s="466"/>
      <c r="W55" s="466"/>
      <c r="X55" s="466"/>
      <c r="Y55" s="200" t="s">
        <v>273</v>
      </c>
      <c r="Z55" s="200">
        <v>6625</v>
      </c>
      <c r="AA55" s="200">
        <v>453</v>
      </c>
      <c r="AB55" s="410">
        <f t="shared" si="2"/>
        <v>1</v>
      </c>
      <c r="AC55" s="409">
        <f t="shared" si="0"/>
        <v>6625</v>
      </c>
      <c r="AD55" s="409">
        <f t="shared" si="1"/>
        <v>453</v>
      </c>
      <c r="AF55" s="540"/>
      <c r="AG55" s="410"/>
      <c r="AH55"/>
      <c r="AI55"/>
    </row>
    <row r="56" s="408" customFormat="1" ht="17.4" spans="1:35">
      <c r="A56" s="428" t="s">
        <v>230</v>
      </c>
      <c r="B56" s="421" t="s">
        <v>292</v>
      </c>
      <c r="C56" s="429" t="s">
        <v>247</v>
      </c>
      <c r="D56" s="421" t="str">
        <f>VLOOKUP(B56,正厂竞争者数据汇总!D:H,3,FALSE)</f>
        <v>MA</v>
      </c>
      <c r="E56" s="430"/>
      <c r="F56" s="430">
        <v>62892.5721666667</v>
      </c>
      <c r="G56" s="430"/>
      <c r="H56" s="430"/>
      <c r="I56" s="450"/>
      <c r="J56" s="451">
        <v>0.0445511353812154</v>
      </c>
      <c r="K56" s="451">
        <v>0.0467939892861261</v>
      </c>
      <c r="L56" s="451">
        <v>0.0533172052365479</v>
      </c>
      <c r="M56" s="452"/>
      <c r="N56" s="451"/>
      <c r="O56" s="430"/>
      <c r="P56" s="531" t="str">
        <f t="array" ref="P56">INDEX(正厂竞争者数据汇总!I:I,MATCH($A$49&amp;B56,正厂竞争者数据汇总!A:A&amp;正厂竞争者数据汇总!D:D,0))</f>
        <v>同时经营多品牌，流量折算比例为Ford:23%,GM:23%,Infiniti:0%,Kia:13%,Mopar:31%,Nissan:10%</v>
      </c>
      <c r="Q56" s="429"/>
      <c r="R56" s="421"/>
      <c r="S56" s="472">
        <v>6205</v>
      </c>
      <c r="T56" s="472">
        <v>812</v>
      </c>
      <c r="U56" s="466"/>
      <c r="V56" s="466"/>
      <c r="W56" s="466"/>
      <c r="X56" s="466"/>
      <c r="Y56" s="200" t="s">
        <v>292</v>
      </c>
      <c r="Z56" s="200">
        <v>7144</v>
      </c>
      <c r="AA56" s="200">
        <v>831</v>
      </c>
      <c r="AB56" s="410">
        <f t="shared" si="2"/>
        <v>1</v>
      </c>
      <c r="AC56" s="409">
        <f t="shared" si="0"/>
        <v>7144</v>
      </c>
      <c r="AD56" s="409">
        <f t="shared" si="1"/>
        <v>831</v>
      </c>
      <c r="AF56" s="540"/>
      <c r="AG56" s="410"/>
      <c r="AH56"/>
      <c r="AI56"/>
    </row>
    <row r="57" s="408" customFormat="1" spans="1:35">
      <c r="A57" s="428"/>
      <c r="B57" s="421"/>
      <c r="C57" s="429"/>
      <c r="D57" s="421"/>
      <c r="E57" s="430"/>
      <c r="F57" s="430"/>
      <c r="G57" s="430"/>
      <c r="H57" s="430"/>
      <c r="I57" s="450"/>
      <c r="J57" s="451"/>
      <c r="K57" s="451"/>
      <c r="L57" s="451"/>
      <c r="M57" s="452"/>
      <c r="N57" s="451"/>
      <c r="O57" s="430"/>
      <c r="P57" s="531"/>
      <c r="Q57" s="429"/>
      <c r="R57" s="421"/>
      <c r="S57" s="472" t="s">
        <v>180</v>
      </c>
      <c r="T57" s="472" t="s">
        <v>180</v>
      </c>
      <c r="U57" s="466"/>
      <c r="V57" s="466"/>
      <c r="W57" s="421"/>
      <c r="X57" s="421"/>
      <c r="Y57" s="200" t="s">
        <v>240</v>
      </c>
      <c r="Z57" s="200" t="s">
        <v>180</v>
      </c>
      <c r="AA57" s="200" t="s">
        <v>180</v>
      </c>
      <c r="AB57" s="410">
        <f t="shared" si="2"/>
        <v>0</v>
      </c>
      <c r="AC57" s="409" t="str">
        <f t="shared" si="0"/>
        <v/>
      </c>
      <c r="AD57" s="409" t="str">
        <f t="shared" si="1"/>
        <v/>
      </c>
      <c r="AF57" s="540"/>
      <c r="AG57" s="410"/>
      <c r="AH57"/>
      <c r="AI57"/>
    </row>
    <row r="58" s="408" customFormat="1" spans="1:35">
      <c r="A58" s="428"/>
      <c r="B58" s="421"/>
      <c r="C58" s="439"/>
      <c r="D58" s="421"/>
      <c r="E58" s="430"/>
      <c r="F58" s="430">
        <v>1411694.03716667</v>
      </c>
      <c r="G58" s="430">
        <v>1270419.34583333</v>
      </c>
      <c r="H58" s="430">
        <v>1259631.94083333</v>
      </c>
      <c r="I58" s="453">
        <v>0.111203195855514</v>
      </c>
      <c r="J58" s="430"/>
      <c r="K58" s="451"/>
      <c r="L58" s="430"/>
      <c r="M58" s="451"/>
      <c r="N58" s="459">
        <f>SUM(N51:N56)</f>
        <v>0</v>
      </c>
      <c r="O58" s="430" t="s">
        <v>180</v>
      </c>
      <c r="P58" s="531"/>
      <c r="Q58" s="429"/>
      <c r="R58" s="421"/>
      <c r="S58" s="473" t="s">
        <v>180</v>
      </c>
      <c r="T58" s="473" t="s">
        <v>180</v>
      </c>
      <c r="U58" s="466"/>
      <c r="V58" s="466"/>
      <c r="W58" s="421"/>
      <c r="X58" s="421"/>
      <c r="Y58" s="200" t="s">
        <v>240</v>
      </c>
      <c r="Z58" s="200" t="s">
        <v>180</v>
      </c>
      <c r="AA58" s="200" t="s">
        <v>180</v>
      </c>
      <c r="AB58" s="410">
        <f t="shared" si="2"/>
        <v>0</v>
      </c>
      <c r="AC58" s="409" t="str">
        <f t="shared" si="0"/>
        <v/>
      </c>
      <c r="AD58" s="409" t="str">
        <f t="shared" si="1"/>
        <v/>
      </c>
      <c r="AF58" s="540"/>
      <c r="AG58" s="410"/>
      <c r="AH58"/>
      <c r="AI58"/>
    </row>
    <row r="59" s="408" customFormat="1" spans="1:35">
      <c r="A59" s="428"/>
      <c r="B59" s="421"/>
      <c r="C59" s="439"/>
      <c r="D59" s="421"/>
      <c r="E59" s="430"/>
      <c r="F59" s="430"/>
      <c r="G59" s="430"/>
      <c r="H59" s="430"/>
      <c r="I59" s="453"/>
      <c r="J59" s="430"/>
      <c r="K59" s="430"/>
      <c r="L59" s="430"/>
      <c r="M59" s="451"/>
      <c r="N59" s="459"/>
      <c r="O59" s="430"/>
      <c r="P59" s="531"/>
      <c r="Q59" s="429"/>
      <c r="R59" s="421"/>
      <c r="S59" s="473" t="s">
        <v>180</v>
      </c>
      <c r="T59" s="473" t="s">
        <v>180</v>
      </c>
      <c r="U59" s="466"/>
      <c r="V59" s="466"/>
      <c r="W59" s="421"/>
      <c r="X59" s="421"/>
      <c r="Y59" s="200" t="s">
        <v>240</v>
      </c>
      <c r="Z59" s="200" t="s">
        <v>180</v>
      </c>
      <c r="AA59" s="200" t="s">
        <v>180</v>
      </c>
      <c r="AB59" s="410">
        <f t="shared" si="2"/>
        <v>0</v>
      </c>
      <c r="AC59" s="409" t="str">
        <f t="shared" si="0"/>
        <v/>
      </c>
      <c r="AD59" s="409" t="str">
        <f t="shared" si="1"/>
        <v/>
      </c>
      <c r="AF59" s="540"/>
      <c r="AG59" s="410"/>
      <c r="AH59"/>
      <c r="AI59"/>
    </row>
    <row r="60" s="408" customFormat="1" ht="17.4" spans="1:35">
      <c r="A60" s="418" t="s">
        <v>274</v>
      </c>
      <c r="B60" s="419"/>
      <c r="C60" s="420"/>
      <c r="D60" s="421"/>
      <c r="E60" s="422" t="s">
        <v>202</v>
      </c>
      <c r="F60" s="422"/>
      <c r="G60" s="422"/>
      <c r="H60" s="422"/>
      <c r="I60" s="422"/>
      <c r="J60" s="422"/>
      <c r="K60" s="422"/>
      <c r="L60" s="422"/>
      <c r="M60" s="443"/>
      <c r="N60" s="444"/>
      <c r="O60" s="422"/>
      <c r="P60" s="531"/>
      <c r="Q60" s="465"/>
      <c r="R60" s="424"/>
      <c r="S60" s="473" t="s">
        <v>180</v>
      </c>
      <c r="T60" s="473" t="s">
        <v>180</v>
      </c>
      <c r="U60" s="467"/>
      <c r="V60" s="467"/>
      <c r="W60" s="467"/>
      <c r="X60" s="467"/>
      <c r="Y60" s="200" t="s">
        <v>240</v>
      </c>
      <c r="Z60" s="200" t="s">
        <v>180</v>
      </c>
      <c r="AA60" s="200" t="s">
        <v>180</v>
      </c>
      <c r="AB60" s="410">
        <f t="shared" si="2"/>
        <v>0</v>
      </c>
      <c r="AC60" s="409" t="str">
        <f t="shared" si="0"/>
        <v/>
      </c>
      <c r="AD60" s="409" t="str">
        <f t="shared" si="1"/>
        <v/>
      </c>
      <c r="AF60" s="540"/>
      <c r="AG60" s="410"/>
      <c r="AH60"/>
      <c r="AI60"/>
    </row>
    <row r="61" s="409" customFormat="1" ht="46.8" spans="1:35">
      <c r="A61" s="423" t="s">
        <v>206</v>
      </c>
      <c r="B61" s="424" t="s">
        <v>207</v>
      </c>
      <c r="C61" s="425" t="s">
        <v>208</v>
      </c>
      <c r="D61" s="424" t="s">
        <v>209</v>
      </c>
      <c r="E61" s="426" t="s">
        <v>210</v>
      </c>
      <c r="F61" s="427" t="s">
        <v>213</v>
      </c>
      <c r="G61" s="427" t="s">
        <v>213</v>
      </c>
      <c r="H61" s="427" t="s">
        <v>213</v>
      </c>
      <c r="I61" s="427" t="s">
        <v>386</v>
      </c>
      <c r="J61" s="446" t="s">
        <v>217</v>
      </c>
      <c r="K61" s="446" t="s">
        <v>387</v>
      </c>
      <c r="L61" s="446" t="s">
        <v>390</v>
      </c>
      <c r="M61" s="447" t="s">
        <v>218</v>
      </c>
      <c r="N61" s="448" t="s">
        <v>219</v>
      </c>
      <c r="O61" s="449" t="s">
        <v>220</v>
      </c>
      <c r="P61" s="530" t="s">
        <v>221</v>
      </c>
      <c r="Q61" s="469" t="s">
        <v>222</v>
      </c>
      <c r="R61" s="426" t="s">
        <v>223</v>
      </c>
      <c r="S61" s="470" t="s">
        <v>224</v>
      </c>
      <c r="T61" s="470" t="s">
        <v>205</v>
      </c>
      <c r="U61" s="467" t="s">
        <v>225</v>
      </c>
      <c r="V61" s="470" t="s">
        <v>226</v>
      </c>
      <c r="W61" s="467"/>
      <c r="X61" s="467"/>
      <c r="Y61" s="200" t="s">
        <v>207</v>
      </c>
      <c r="Z61" s="200" t="s">
        <v>180</v>
      </c>
      <c r="AA61" s="200" t="s">
        <v>180</v>
      </c>
      <c r="AB61" s="410">
        <f t="shared" si="2"/>
        <v>1</v>
      </c>
      <c r="AC61" s="409" t="str">
        <f t="shared" si="0"/>
        <v>Forum Link</v>
      </c>
      <c r="AD61" s="409" t="str">
        <f t="shared" si="1"/>
        <v>Domains</v>
      </c>
      <c r="AF61" s="540"/>
      <c r="AG61" s="410"/>
      <c r="AH61"/>
      <c r="AI61"/>
    </row>
    <row r="62" s="410" customFormat="1" ht="17.4" spans="1:35">
      <c r="A62" s="432" t="s">
        <v>227</v>
      </c>
      <c r="B62" s="432" t="s">
        <v>157</v>
      </c>
      <c r="C62" s="434" t="str">
        <f>VLOOKUP(B62,正厂竞争者数据汇总!D:H,2,FALSE)</f>
        <v>原厂目录</v>
      </c>
      <c r="D62" s="435" t="str">
        <f>VLOOKUP(B62,正厂竞争者数据汇总!D:H,3,FALSE)</f>
        <v>CA</v>
      </c>
      <c r="E62" s="436">
        <f>VLOOKUP(B62,正厂竞争者数据汇总!D:H,4,FALSE)</f>
        <v>0</v>
      </c>
      <c r="F62" s="436">
        <v>318301.133333333</v>
      </c>
      <c r="G62" s="436">
        <v>278909.416666667</v>
      </c>
      <c r="H62" s="436">
        <v>329867.416666667</v>
      </c>
      <c r="I62" s="454">
        <v>0.141234803533881</v>
      </c>
      <c r="J62" s="457">
        <v>0.383039082593175</v>
      </c>
      <c r="K62" s="457">
        <v>0.390896354722365</v>
      </c>
      <c r="L62" s="457">
        <v>0.404547248703697</v>
      </c>
      <c r="M62" s="456">
        <f>J62-K62</f>
        <v>-0.00785727212919007</v>
      </c>
      <c r="N62" s="457" t="str">
        <f>IFERROR(O62*0.5/$F$62,"")</f>
        <v/>
      </c>
      <c r="O62" s="436" t="s">
        <v>180</v>
      </c>
      <c r="P62" s="531">
        <f t="array" ref="P62">INDEX(正厂竞争者数据汇总!I:I,MATCH($A$60&amp;B62,正厂竞争者数据汇总!A:A&amp;正厂竞争者数据汇总!D:D,0))</f>
        <v>0</v>
      </c>
      <c r="Q62" s="434" t="s">
        <v>275</v>
      </c>
      <c r="R62" s="435" t="s">
        <v>229</v>
      </c>
      <c r="S62" s="476">
        <v>43076</v>
      </c>
      <c r="T62" s="476">
        <v>7629</v>
      </c>
      <c r="U62" s="477"/>
      <c r="V62" s="477"/>
      <c r="W62" s="435"/>
      <c r="X62" s="435"/>
      <c r="Y62" s="200" t="s">
        <v>157</v>
      </c>
      <c r="Z62" s="200">
        <v>39909</v>
      </c>
      <c r="AA62" s="200">
        <v>6992</v>
      </c>
      <c r="AB62" s="410">
        <f t="shared" si="2"/>
        <v>1</v>
      </c>
      <c r="AC62" s="409">
        <f t="shared" si="0"/>
        <v>39909</v>
      </c>
      <c r="AD62" s="409">
        <f t="shared" si="1"/>
        <v>6992</v>
      </c>
      <c r="AF62" s="540"/>
      <c r="AH62"/>
      <c r="AI62"/>
    </row>
    <row r="63" s="408" customFormat="1" spans="1:35">
      <c r="A63" s="428" t="s">
        <v>230</v>
      </c>
      <c r="B63" s="421" t="s">
        <v>276</v>
      </c>
      <c r="C63" s="429" t="str">
        <f>VLOOKUP(B63,正厂竞争者数据汇总!D:H,2,FALSE)</f>
        <v>Motor目录</v>
      </c>
      <c r="D63" s="421" t="str">
        <f>VLOOKUP(B63,正厂竞争者数据汇总!D:H,3,FALSE)</f>
        <v>-</v>
      </c>
      <c r="E63" s="430"/>
      <c r="F63" s="430">
        <v>248645.943333333</v>
      </c>
      <c r="G63" s="430"/>
      <c r="H63" s="430"/>
      <c r="I63" s="450"/>
      <c r="J63" s="451">
        <v>0.299217011977069</v>
      </c>
      <c r="K63" s="451">
        <v>0.303593449598971</v>
      </c>
      <c r="L63" s="451">
        <v>0.291135163386125</v>
      </c>
      <c r="M63" s="452"/>
      <c r="N63" s="451"/>
      <c r="O63" s="430"/>
      <c r="P63" s="531" t="str">
        <f t="array" ref="P63">INDEX(正厂竞争者数据汇总!I:I,MATCH($A$60&amp;B63,正厂竞争者数据汇总!A:A&amp;正厂竞争者数据汇总!D:D,0))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63" s="429"/>
      <c r="R63" s="421"/>
      <c r="S63" s="472">
        <v>2118</v>
      </c>
      <c r="T63" s="472">
        <v>249</v>
      </c>
      <c r="U63" s="466"/>
      <c r="V63" s="466"/>
      <c r="W63" s="466"/>
      <c r="X63" s="466"/>
      <c r="Y63" s="200" t="s">
        <v>276</v>
      </c>
      <c r="Z63" s="200">
        <v>1945</v>
      </c>
      <c r="AA63" s="200">
        <v>226</v>
      </c>
      <c r="AB63" s="410">
        <f t="shared" si="2"/>
        <v>1</v>
      </c>
      <c r="AC63" s="409">
        <f t="shared" si="0"/>
        <v>1945</v>
      </c>
      <c r="AD63" s="409">
        <f t="shared" si="1"/>
        <v>226</v>
      </c>
      <c r="AF63" s="540"/>
      <c r="AG63" s="410"/>
      <c r="AH63"/>
      <c r="AI63"/>
    </row>
    <row r="64" s="408" customFormat="1" spans="1:35">
      <c r="A64" s="428" t="s">
        <v>243</v>
      </c>
      <c r="B64" s="421" t="s">
        <v>277</v>
      </c>
      <c r="C64" s="429" t="str">
        <f>VLOOKUP(B64,正厂竞争者数据汇总!D:H,2,FALSE)</f>
        <v>Motor目录</v>
      </c>
      <c r="D64" s="421" t="str">
        <f>VLOOKUP(B64,正厂竞争者数据汇总!D:H,3,FALSE)</f>
        <v>FL</v>
      </c>
      <c r="E64" s="430"/>
      <c r="F64" s="430">
        <v>110924.786666667</v>
      </c>
      <c r="G64" s="430"/>
      <c r="H64" s="430"/>
      <c r="I64" s="450"/>
      <c r="J64" s="451">
        <v>0.133485319630165</v>
      </c>
      <c r="K64" s="451">
        <v>0.116695096907047</v>
      </c>
      <c r="L64" s="451">
        <v>0.118772208311655</v>
      </c>
      <c r="M64" s="452"/>
      <c r="N64" s="451"/>
      <c r="O64" s="430"/>
      <c r="P64" s="531">
        <f t="array" ref="P64">INDEX(正厂竞争者数据汇总!I:I,MATCH($A$60&amp;B64,正厂竞争者数据汇总!A:A&amp;正厂竞争者数据汇总!D:D,0))</f>
        <v>0</v>
      </c>
      <c r="Q64" s="429"/>
      <c r="R64" s="421"/>
      <c r="S64" s="472">
        <v>37703</v>
      </c>
      <c r="T64" s="472">
        <v>737</v>
      </c>
      <c r="U64" s="466"/>
      <c r="V64" s="466"/>
      <c r="W64" s="466"/>
      <c r="X64" s="466"/>
      <c r="Y64" s="200" t="s">
        <v>277</v>
      </c>
      <c r="Z64" s="200">
        <v>55886</v>
      </c>
      <c r="AA64" s="200">
        <v>713</v>
      </c>
      <c r="AB64" s="410">
        <f t="shared" si="2"/>
        <v>1</v>
      </c>
      <c r="AC64" s="409">
        <f t="shared" si="0"/>
        <v>55886</v>
      </c>
      <c r="AD64" s="409">
        <f t="shared" si="1"/>
        <v>713</v>
      </c>
      <c r="AF64" s="540"/>
      <c r="AG64" s="410"/>
      <c r="AH64"/>
      <c r="AI64"/>
    </row>
    <row r="65" s="408" customFormat="1" spans="1:35">
      <c r="A65" s="428" t="s">
        <v>230</v>
      </c>
      <c r="B65" s="421" t="s">
        <v>278</v>
      </c>
      <c r="C65" s="429" t="str">
        <f>VLOOKUP(B65,正厂竞争者数据汇总!D:H,2,FALSE)</f>
        <v>Motor</v>
      </c>
      <c r="D65" s="421" t="str">
        <f>VLOOKUP(B65,正厂竞争者数据汇总!D:H,3,FALSE)</f>
        <v>NM</v>
      </c>
      <c r="E65" s="430"/>
      <c r="F65" s="430">
        <v>104303.353333333</v>
      </c>
      <c r="G65" s="430"/>
      <c r="H65" s="430"/>
      <c r="I65" s="450"/>
      <c r="J65" s="451">
        <v>0.125517180393928</v>
      </c>
      <c r="K65" s="451">
        <v>0.125857424276292</v>
      </c>
      <c r="L65" s="451">
        <v>0.137026697907149</v>
      </c>
      <c r="M65" s="452"/>
      <c r="N65" s="451"/>
      <c r="O65" s="430"/>
      <c r="P65" s="531" t="str">
        <f t="array" ref="P65">INDEX(正厂竞争者数据汇总!I:I,MATCH($A$60&amp;B65,正厂竞争者数据汇总!A:A&amp;正厂竞争者数据汇总!D:D,0))</f>
        <v>2020年11月新增竞争者</v>
      </c>
      <c r="Q65" s="429"/>
      <c r="R65" s="421"/>
      <c r="S65" s="472">
        <v>6874</v>
      </c>
      <c r="T65" s="472">
        <v>376</v>
      </c>
      <c r="U65" s="466"/>
      <c r="V65" s="466"/>
      <c r="W65" s="466"/>
      <c r="X65" s="466"/>
      <c r="Y65" s="200" t="s">
        <v>278</v>
      </c>
      <c r="Z65" s="200">
        <v>7789</v>
      </c>
      <c r="AA65" s="200">
        <v>414</v>
      </c>
      <c r="AB65" s="410">
        <f t="shared" si="2"/>
        <v>1</v>
      </c>
      <c r="AC65" s="409">
        <f t="shared" si="0"/>
        <v>7789</v>
      </c>
      <c r="AD65" s="409">
        <f t="shared" si="1"/>
        <v>414</v>
      </c>
      <c r="AF65" s="540"/>
      <c r="AG65" s="410"/>
      <c r="AH65"/>
      <c r="AI65"/>
    </row>
    <row r="66" s="408" customFormat="1" spans="1:35">
      <c r="A66" s="428" t="s">
        <v>230</v>
      </c>
      <c r="B66" s="421" t="s">
        <v>279</v>
      </c>
      <c r="C66" s="429" t="str">
        <f>VLOOKUP(B66,正厂竞争者数据汇总!D:H,2,FALSE)</f>
        <v>Motor目录</v>
      </c>
      <c r="D66" s="421" t="str">
        <f>VLOOKUP(B66,正厂竞争者数据汇总!D:H,3,FALSE)</f>
        <v>-</v>
      </c>
      <c r="E66" s="430"/>
      <c r="F66" s="430">
        <v>48813.4416666667</v>
      </c>
      <c r="G66" s="430"/>
      <c r="H66" s="430"/>
      <c r="I66" s="450"/>
      <c r="J66" s="451">
        <v>0.0587414054056635</v>
      </c>
      <c r="K66" s="451">
        <v>0.0629576744953252</v>
      </c>
      <c r="L66" s="451">
        <v>0.048518681691374</v>
      </c>
      <c r="M66" s="452"/>
      <c r="N66" s="451"/>
      <c r="O66" s="430"/>
      <c r="P66" s="531" t="str">
        <f t="array" ref="P66">INDEX(正厂竞争者数据汇总!I:I,MATCH($A$60&amp;B66,正厂竞争者数据汇总!A:A&amp;正厂竞争者数据汇总!D:D,0))</f>
        <v>同时经营多品牌零件，semrush流量折算比例：Ford:0%, GM:36%, Honda:25%, Hyundai:0%, Infiniti:1%, Kia:1%, Lexus:4%, Mopar:0%, Nissan:25%, Subaru:5%, Toyota:2%</v>
      </c>
      <c r="Q66" s="429"/>
      <c r="R66" s="421"/>
      <c r="S66" s="472">
        <v>451</v>
      </c>
      <c r="T66" s="472">
        <v>68</v>
      </c>
      <c r="U66" s="466"/>
      <c r="V66" s="466"/>
      <c r="W66" s="466"/>
      <c r="X66" s="466"/>
      <c r="Y66" s="200" t="s">
        <v>279</v>
      </c>
      <c r="Z66" s="200">
        <v>498</v>
      </c>
      <c r="AA66" s="200">
        <v>70</v>
      </c>
      <c r="AB66" s="410">
        <f t="shared" si="2"/>
        <v>1</v>
      </c>
      <c r="AC66" s="409">
        <f t="shared" ref="AC66:AC98" si="3">IF(Y66="Competitors","Forum Link",Z66)</f>
        <v>498</v>
      </c>
      <c r="AD66" s="409">
        <f t="shared" ref="AD66:AD98" si="4">IF(Y66="Competitors","Domains",AA66)</f>
        <v>70</v>
      </c>
      <c r="AF66" s="540"/>
      <c r="AG66" s="410"/>
      <c r="AH66"/>
      <c r="AI66"/>
    </row>
    <row r="67" s="408" customFormat="1" spans="1:35">
      <c r="A67" s="428"/>
      <c r="B67" s="431"/>
      <c r="C67" s="429"/>
      <c r="D67" s="421"/>
      <c r="E67" s="430"/>
      <c r="F67" s="430"/>
      <c r="G67" s="430"/>
      <c r="H67" s="430"/>
      <c r="I67" s="453"/>
      <c r="J67" s="451"/>
      <c r="K67" s="451"/>
      <c r="L67" s="451"/>
      <c r="M67" s="451"/>
      <c r="N67" s="451"/>
      <c r="O67" s="430"/>
      <c r="P67" s="531"/>
      <c r="Q67" s="429"/>
      <c r="R67" s="435"/>
      <c r="S67" s="473" t="s">
        <v>180</v>
      </c>
      <c r="T67" s="473" t="s">
        <v>180</v>
      </c>
      <c r="U67" s="466"/>
      <c r="V67" s="466"/>
      <c r="W67" s="421"/>
      <c r="X67" s="421"/>
      <c r="Y67" s="200" t="s">
        <v>240</v>
      </c>
      <c r="Z67" s="200" t="s">
        <v>180</v>
      </c>
      <c r="AA67" s="200" t="s">
        <v>180</v>
      </c>
      <c r="AB67" s="410">
        <f t="shared" ref="AB67:AB98" si="5">IF(B67=Y67,1,0)</f>
        <v>0</v>
      </c>
      <c r="AC67" s="409" t="str">
        <f t="shared" si="3"/>
        <v/>
      </c>
      <c r="AD67" s="409" t="str">
        <f t="shared" si="4"/>
        <v/>
      </c>
      <c r="AF67" s="540"/>
      <c r="AG67" s="410"/>
      <c r="AH67"/>
      <c r="AI67"/>
    </row>
    <row r="68" s="408" customFormat="1" spans="1:35">
      <c r="A68" s="428"/>
      <c r="B68" s="421"/>
      <c r="C68" s="439"/>
      <c r="D68" s="421"/>
      <c r="E68" s="430"/>
      <c r="F68" s="430">
        <v>830988.658333333</v>
      </c>
      <c r="G68" s="430">
        <v>704838.916666666</v>
      </c>
      <c r="H68" s="430">
        <v>764789.250000002</v>
      </c>
      <c r="I68" s="453">
        <v>0.178976697630794</v>
      </c>
      <c r="J68" s="490"/>
      <c r="K68" s="480"/>
      <c r="L68" s="480"/>
      <c r="M68" s="451"/>
      <c r="N68" s="451">
        <f>SUM(N62:N66)</f>
        <v>0</v>
      </c>
      <c r="O68" s="430"/>
      <c r="P68" s="531"/>
      <c r="Q68" s="429"/>
      <c r="R68" s="421"/>
      <c r="S68" s="473" t="s">
        <v>180</v>
      </c>
      <c r="T68" s="473" t="s">
        <v>180</v>
      </c>
      <c r="U68" s="466"/>
      <c r="V68" s="466"/>
      <c r="W68" s="421"/>
      <c r="X68" s="421"/>
      <c r="Y68" s="200" t="s">
        <v>240</v>
      </c>
      <c r="Z68" s="200" t="s">
        <v>180</v>
      </c>
      <c r="AA68" s="200" t="s">
        <v>180</v>
      </c>
      <c r="AB68" s="410">
        <f t="shared" si="5"/>
        <v>0</v>
      </c>
      <c r="AC68" s="409" t="str">
        <f t="shared" si="3"/>
        <v/>
      </c>
      <c r="AD68" s="409" t="str">
        <f t="shared" si="4"/>
        <v/>
      </c>
      <c r="AF68" s="540"/>
      <c r="AG68" s="410"/>
      <c r="AH68"/>
      <c r="AI68"/>
    </row>
    <row r="69" s="408" customFormat="1" spans="1:35">
      <c r="A69" s="428"/>
      <c r="B69" s="421"/>
      <c r="C69" s="439"/>
      <c r="D69" s="421"/>
      <c r="E69" s="430"/>
      <c r="F69" s="430"/>
      <c r="G69" s="430"/>
      <c r="H69" s="430"/>
      <c r="I69" s="453"/>
      <c r="J69" s="430"/>
      <c r="K69" s="430"/>
      <c r="L69" s="430"/>
      <c r="M69" s="451"/>
      <c r="N69" s="459"/>
      <c r="O69" s="430"/>
      <c r="P69" s="531"/>
      <c r="Q69" s="429"/>
      <c r="R69" s="421"/>
      <c r="S69" s="473" t="s">
        <v>180</v>
      </c>
      <c r="T69" s="473" t="s">
        <v>180</v>
      </c>
      <c r="U69" s="466"/>
      <c r="V69" s="466"/>
      <c r="W69" s="421"/>
      <c r="X69" s="421"/>
      <c r="Y69" s="200" t="s">
        <v>240</v>
      </c>
      <c r="Z69" s="200" t="s">
        <v>180</v>
      </c>
      <c r="AA69" s="200" t="s">
        <v>180</v>
      </c>
      <c r="AB69" s="410">
        <f t="shared" si="5"/>
        <v>0</v>
      </c>
      <c r="AC69" s="409" t="str">
        <f t="shared" si="3"/>
        <v/>
      </c>
      <c r="AD69" s="409" t="str">
        <f t="shared" si="4"/>
        <v/>
      </c>
      <c r="AF69" s="540"/>
      <c r="AG69" s="410"/>
      <c r="AH69"/>
      <c r="AI69"/>
    </row>
    <row r="70" s="408" customFormat="1" ht="17.4" spans="1:35">
      <c r="A70" s="418" t="s">
        <v>159</v>
      </c>
      <c r="B70" s="419"/>
      <c r="C70" s="420"/>
      <c r="D70" s="421"/>
      <c r="E70" s="422" t="s">
        <v>202</v>
      </c>
      <c r="F70" s="422"/>
      <c r="G70" s="422"/>
      <c r="H70" s="422"/>
      <c r="I70" s="422"/>
      <c r="J70" s="422"/>
      <c r="K70" s="422"/>
      <c r="L70" s="422"/>
      <c r="M70" s="443"/>
      <c r="N70" s="444"/>
      <c r="O70" s="422"/>
      <c r="P70" s="531"/>
      <c r="Q70" s="465"/>
      <c r="R70" s="424"/>
      <c r="S70" s="473" t="s">
        <v>180</v>
      </c>
      <c r="T70" s="473" t="s">
        <v>180</v>
      </c>
      <c r="U70" s="467"/>
      <c r="V70" s="467"/>
      <c r="W70" s="467"/>
      <c r="X70" s="467"/>
      <c r="Y70" s="200" t="s">
        <v>240</v>
      </c>
      <c r="Z70" s="200" t="s">
        <v>180</v>
      </c>
      <c r="AA70" s="200" t="s">
        <v>180</v>
      </c>
      <c r="AB70" s="410">
        <f t="shared" si="5"/>
        <v>0</v>
      </c>
      <c r="AC70" s="409" t="str">
        <f t="shared" si="3"/>
        <v/>
      </c>
      <c r="AD70" s="409" t="str">
        <f t="shared" si="4"/>
        <v/>
      </c>
      <c r="AF70" s="540"/>
      <c r="AG70" s="410"/>
      <c r="AH70"/>
      <c r="AI70"/>
    </row>
    <row r="71" s="409" customFormat="1" ht="46.8" spans="1:35">
      <c r="A71" s="423" t="s">
        <v>206</v>
      </c>
      <c r="B71" s="424" t="s">
        <v>207</v>
      </c>
      <c r="C71" s="425" t="s">
        <v>208</v>
      </c>
      <c r="D71" s="424" t="s">
        <v>209</v>
      </c>
      <c r="E71" s="426" t="s">
        <v>210</v>
      </c>
      <c r="F71" s="427" t="s">
        <v>213</v>
      </c>
      <c r="G71" s="427" t="s">
        <v>213</v>
      </c>
      <c r="H71" s="427" t="s">
        <v>213</v>
      </c>
      <c r="I71" s="427" t="s">
        <v>386</v>
      </c>
      <c r="J71" s="446" t="s">
        <v>217</v>
      </c>
      <c r="K71" s="446" t="s">
        <v>387</v>
      </c>
      <c r="L71" s="446" t="s">
        <v>390</v>
      </c>
      <c r="M71" s="447" t="s">
        <v>218</v>
      </c>
      <c r="N71" s="448" t="s">
        <v>219</v>
      </c>
      <c r="O71" s="449" t="s">
        <v>220</v>
      </c>
      <c r="P71" s="530" t="s">
        <v>221</v>
      </c>
      <c r="Q71" s="469" t="s">
        <v>222</v>
      </c>
      <c r="R71" s="426" t="s">
        <v>223</v>
      </c>
      <c r="S71" s="470" t="s">
        <v>224</v>
      </c>
      <c r="T71" s="470" t="s">
        <v>205</v>
      </c>
      <c r="U71" s="467" t="s">
        <v>225</v>
      </c>
      <c r="V71" s="470" t="s">
        <v>226</v>
      </c>
      <c r="W71" s="467"/>
      <c r="X71" s="467"/>
      <c r="Y71" s="200" t="s">
        <v>207</v>
      </c>
      <c r="Z71" s="200" t="s">
        <v>180</v>
      </c>
      <c r="AA71" s="200" t="s">
        <v>180</v>
      </c>
      <c r="AB71" s="410">
        <f t="shared" si="5"/>
        <v>1</v>
      </c>
      <c r="AC71" s="409" t="str">
        <f t="shared" si="3"/>
        <v>Forum Link</v>
      </c>
      <c r="AD71" s="409" t="str">
        <f t="shared" si="4"/>
        <v>Domains</v>
      </c>
      <c r="AF71" s="540"/>
      <c r="AG71" s="410"/>
      <c r="AH71"/>
      <c r="AI71"/>
    </row>
    <row r="72" s="410" customFormat="1" ht="17.4" spans="1:35">
      <c r="A72" s="432" t="s">
        <v>227</v>
      </c>
      <c r="B72" s="432" t="s">
        <v>160</v>
      </c>
      <c r="C72" s="434" t="str">
        <f>VLOOKUP(B72,正厂竞争者数据汇总!D:H,2,FALSE)</f>
        <v>原厂目录</v>
      </c>
      <c r="D72" s="435" t="str">
        <f>VLOOKUP(B72,正厂竞争者数据汇总!D:H,3,FALSE)</f>
        <v>CA</v>
      </c>
      <c r="E72" s="436">
        <f>VLOOKUP(B72,正厂竞争者数据汇总!D:H,4,FALSE)</f>
        <v>0</v>
      </c>
      <c r="F72" s="436">
        <v>400716.446666667</v>
      </c>
      <c r="G72" s="436">
        <v>369856.833333333</v>
      </c>
      <c r="H72" s="436">
        <v>370810.25</v>
      </c>
      <c r="I72" s="454">
        <v>0.0834366450802377</v>
      </c>
      <c r="J72" s="455">
        <v>0.620637777880631</v>
      </c>
      <c r="K72" s="455">
        <v>0.576880211756514</v>
      </c>
      <c r="L72" s="455">
        <v>0.543698131130185</v>
      </c>
      <c r="M72" s="456">
        <f>J72-K72</f>
        <v>0.043757566124117</v>
      </c>
      <c r="N72" s="455" t="str">
        <f>IFERROR(O72*0.5/$F$72,"")</f>
        <v/>
      </c>
      <c r="O72" s="436" t="s">
        <v>180</v>
      </c>
      <c r="P72" s="531">
        <f t="array" ref="P72">INDEX(正厂竞争者数据汇总!I:I,MATCH($A$70&amp;B72,正厂竞争者数据汇总!A:A&amp;正厂竞争者数据汇总!D:D,0))</f>
        <v>0</v>
      </c>
      <c r="Q72" s="434" t="s">
        <v>280</v>
      </c>
      <c r="R72" s="435" t="s">
        <v>229</v>
      </c>
      <c r="S72" s="476">
        <v>56654</v>
      </c>
      <c r="T72" s="476">
        <v>7960</v>
      </c>
      <c r="U72" s="477"/>
      <c r="V72" s="477"/>
      <c r="W72" s="435"/>
      <c r="X72" s="435"/>
      <c r="Y72" s="200" t="s">
        <v>160</v>
      </c>
      <c r="Z72" s="200">
        <v>53116</v>
      </c>
      <c r="AA72" s="200">
        <v>7428</v>
      </c>
      <c r="AB72" s="410">
        <f t="shared" si="5"/>
        <v>1</v>
      </c>
      <c r="AC72" s="409">
        <f t="shared" si="3"/>
        <v>53116</v>
      </c>
      <c r="AD72" s="409">
        <f t="shared" si="4"/>
        <v>7428</v>
      </c>
      <c r="AF72" s="540"/>
      <c r="AH72"/>
      <c r="AI72"/>
    </row>
    <row r="73" s="408" customFormat="1" spans="1:35">
      <c r="A73" s="428" t="s">
        <v>230</v>
      </c>
      <c r="B73" s="421" t="s">
        <v>281</v>
      </c>
      <c r="C73" s="429" t="str">
        <f>VLOOKUP(B73,正厂竞争者数据汇总!D:H,2,FALSE)</f>
        <v>Motor目录</v>
      </c>
      <c r="D73" s="421" t="str">
        <f>VLOOKUP(B73,正厂竞争者数据汇总!D:H,3,FALSE)</f>
        <v>-</v>
      </c>
      <c r="E73" s="430"/>
      <c r="F73" s="430">
        <v>99211.4333333335</v>
      </c>
      <c r="G73" s="430"/>
      <c r="H73" s="430"/>
      <c r="I73" s="450"/>
      <c r="J73" s="451">
        <v>0.153660684597687</v>
      </c>
      <c r="K73" s="451">
        <v>0.144211491255223</v>
      </c>
      <c r="L73" s="451">
        <v>0.119118638642505</v>
      </c>
      <c r="M73" s="452"/>
      <c r="N73" s="451"/>
      <c r="O73" s="430"/>
      <c r="P73" s="531" t="str">
        <f t="array" ref="P73">INDEX(正厂竞争者数据汇总!I:I,MATCH($A$70&amp;B73,正厂竞争者数据汇总!A:A&amp;正厂竞争者数据汇总!D:D,0))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73" s="429"/>
      <c r="R73" s="421"/>
      <c r="S73" s="472">
        <v>465</v>
      </c>
      <c r="T73" s="472">
        <v>94</v>
      </c>
      <c r="U73" s="466"/>
      <c r="V73" s="466"/>
      <c r="W73" s="466"/>
      <c r="X73" s="466"/>
      <c r="Y73" s="200" t="s">
        <v>281</v>
      </c>
      <c r="Z73" s="200">
        <v>586</v>
      </c>
      <c r="AA73" s="200">
        <v>86</v>
      </c>
      <c r="AB73" s="410">
        <f t="shared" si="5"/>
        <v>1</v>
      </c>
      <c r="AC73" s="409">
        <f t="shared" si="3"/>
        <v>586</v>
      </c>
      <c r="AD73" s="409">
        <f t="shared" si="4"/>
        <v>86</v>
      </c>
      <c r="AF73" s="540"/>
      <c r="AG73" s="410"/>
      <c r="AH73"/>
      <c r="AI73"/>
    </row>
    <row r="74" s="408" customFormat="1" spans="1:35">
      <c r="A74" s="428" t="s">
        <v>230</v>
      </c>
      <c r="B74" s="421" t="s">
        <v>255</v>
      </c>
      <c r="C74" s="429" t="str">
        <f>VLOOKUP(B74,正厂竞争者数据汇总!D:H,2,FALSE)</f>
        <v>Motor目录</v>
      </c>
      <c r="D74" s="421" t="str">
        <f>VLOOKUP(B74,正厂竞争者数据汇总!D:H,3,FALSE)</f>
        <v>RI</v>
      </c>
      <c r="E74" s="430"/>
      <c r="F74" s="430">
        <v>83011.3666666667</v>
      </c>
      <c r="G74" s="430"/>
      <c r="H74" s="430"/>
      <c r="I74" s="450"/>
      <c r="J74" s="451">
        <v>0.128569692048829</v>
      </c>
      <c r="K74" s="451">
        <v>0.167057173407389</v>
      </c>
      <c r="L74" s="451">
        <v>0.196979130771587</v>
      </c>
      <c r="M74" s="452"/>
      <c r="N74" s="451"/>
      <c r="O74" s="430"/>
      <c r="P74" s="531" t="str">
        <f t="array" ref="P74">INDEX(正厂竞争者数据汇总!I:I,MATCH($A$70&amp;B74,正厂竞争者数据汇总!A:A&amp;正厂竞争者数据汇总!D:D,0))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74" s="429"/>
      <c r="R74" s="421"/>
      <c r="S74" s="472">
        <v>37935</v>
      </c>
      <c r="T74" s="472">
        <v>1682</v>
      </c>
      <c r="U74" s="466"/>
      <c r="V74" s="466"/>
      <c r="W74" s="466"/>
      <c r="X74" s="466"/>
      <c r="Y74" s="200" t="s">
        <v>255</v>
      </c>
      <c r="Z74" s="200">
        <v>38224</v>
      </c>
      <c r="AA74" s="200">
        <v>1673</v>
      </c>
      <c r="AB74" s="410">
        <f t="shared" si="5"/>
        <v>1</v>
      </c>
      <c r="AC74" s="409">
        <f t="shared" si="3"/>
        <v>38224</v>
      </c>
      <c r="AD74" s="409">
        <f t="shared" si="4"/>
        <v>1673</v>
      </c>
      <c r="AF74" s="540"/>
      <c r="AG74" s="410"/>
      <c r="AH74"/>
      <c r="AI74"/>
    </row>
    <row r="75" s="408" customFormat="1" spans="1:35">
      <c r="A75" s="428" t="s">
        <v>230</v>
      </c>
      <c r="B75" s="421" t="s">
        <v>282</v>
      </c>
      <c r="C75" s="429" t="str">
        <f>VLOOKUP(B75,正厂竞争者数据汇总!D:H,2,FALSE)</f>
        <v>原厂目录</v>
      </c>
      <c r="D75" s="421" t="str">
        <f>VLOOKUP(B75,正厂竞争者数据汇总!D:H,3,FALSE)</f>
        <v>MA</v>
      </c>
      <c r="E75" s="430"/>
      <c r="F75" s="430">
        <v>62713.4366666666</v>
      </c>
      <c r="G75" s="430"/>
      <c r="H75" s="430"/>
      <c r="I75" s="450"/>
      <c r="J75" s="451">
        <v>0.0971318454728535</v>
      </c>
      <c r="K75" s="451">
        <v>0.0939251309563492</v>
      </c>
      <c r="L75" s="451">
        <v>0.12012772666564</v>
      </c>
      <c r="M75" s="452"/>
      <c r="N75" s="451"/>
      <c r="O75" s="430"/>
      <c r="P75" s="531" t="str">
        <f t="array" ref="P75">INDEX(正厂竞争者数据汇总!I:I,MATCH($A$70&amp;B75,正厂竞争者数据汇总!A:A&amp;正厂竞争者数据汇总!D:D,0))</f>
        <v>2021年08月新增竞争者</v>
      </c>
      <c r="Q75" s="429"/>
      <c r="R75" s="421"/>
      <c r="S75" s="472">
        <v>3723</v>
      </c>
      <c r="T75" s="472">
        <v>392</v>
      </c>
      <c r="U75" s="466"/>
      <c r="V75" s="466"/>
      <c r="W75" s="466"/>
      <c r="X75" s="466"/>
      <c r="Y75" s="200" t="s">
        <v>282</v>
      </c>
      <c r="Z75" s="200">
        <v>3741</v>
      </c>
      <c r="AA75" s="200">
        <v>410</v>
      </c>
      <c r="AB75" s="410">
        <f t="shared" si="5"/>
        <v>1</v>
      </c>
      <c r="AC75" s="409">
        <f t="shared" si="3"/>
        <v>3741</v>
      </c>
      <c r="AD75" s="409">
        <f t="shared" si="4"/>
        <v>410</v>
      </c>
      <c r="AF75" s="540"/>
      <c r="AG75" s="410"/>
      <c r="AH75"/>
      <c r="AI75"/>
    </row>
    <row r="76" s="408" customFormat="1" spans="1:35">
      <c r="A76" s="428"/>
      <c r="B76" s="421"/>
      <c r="C76" s="429"/>
      <c r="D76" s="421"/>
      <c r="E76" s="430"/>
      <c r="F76" s="430"/>
      <c r="G76" s="430"/>
      <c r="H76" s="430"/>
      <c r="I76" s="453"/>
      <c r="J76" s="451"/>
      <c r="K76" s="451"/>
      <c r="L76" s="451"/>
      <c r="M76" s="451"/>
      <c r="N76" s="451"/>
      <c r="O76" s="430"/>
      <c r="P76" s="531"/>
      <c r="Q76" s="429"/>
      <c r="R76" s="421"/>
      <c r="S76" s="473" t="s">
        <v>180</v>
      </c>
      <c r="T76" s="473" t="s">
        <v>180</v>
      </c>
      <c r="U76" s="466"/>
      <c r="V76" s="466"/>
      <c r="W76" s="421"/>
      <c r="X76" s="421"/>
      <c r="Y76" s="200" t="s">
        <v>240</v>
      </c>
      <c r="Z76" s="200" t="s">
        <v>180</v>
      </c>
      <c r="AA76" s="200" t="s">
        <v>180</v>
      </c>
      <c r="AB76" s="410">
        <f t="shared" si="5"/>
        <v>0</v>
      </c>
      <c r="AC76" s="409" t="str">
        <f t="shared" si="3"/>
        <v/>
      </c>
      <c r="AD76" s="409" t="str">
        <f t="shared" si="4"/>
        <v/>
      </c>
      <c r="AF76" s="540"/>
      <c r="AG76" s="410"/>
      <c r="AH76"/>
      <c r="AI76"/>
    </row>
    <row r="77" s="408" customFormat="1" spans="1:35">
      <c r="A77" s="428"/>
      <c r="B77" s="421"/>
      <c r="C77" s="429"/>
      <c r="D77" s="421"/>
      <c r="E77" s="430"/>
      <c r="F77" s="430">
        <v>645652.683333334</v>
      </c>
      <c r="G77" s="430">
        <v>675366.255</v>
      </c>
      <c r="H77" s="430">
        <v>656929.13</v>
      </c>
      <c r="I77" s="453">
        <v>-0.0439962338163701</v>
      </c>
      <c r="J77" s="451"/>
      <c r="K77" s="451"/>
      <c r="L77" s="451"/>
      <c r="M77" s="451"/>
      <c r="N77" s="451">
        <f>SUM(N72:N73)</f>
        <v>0</v>
      </c>
      <c r="O77" s="430"/>
      <c r="P77" s="531"/>
      <c r="Q77" s="429"/>
      <c r="R77" s="421"/>
      <c r="S77" s="473" t="s">
        <v>180</v>
      </c>
      <c r="T77" s="473" t="s">
        <v>180</v>
      </c>
      <c r="U77" s="466"/>
      <c r="V77" s="466"/>
      <c r="W77" s="421"/>
      <c r="X77" s="421"/>
      <c r="Y77" s="200" t="s">
        <v>240</v>
      </c>
      <c r="Z77" s="200" t="s">
        <v>180</v>
      </c>
      <c r="AA77" s="200" t="s">
        <v>180</v>
      </c>
      <c r="AB77" s="410">
        <f t="shared" si="5"/>
        <v>0</v>
      </c>
      <c r="AC77" s="409" t="str">
        <f t="shared" si="3"/>
        <v/>
      </c>
      <c r="AD77" s="409" t="str">
        <f t="shared" si="4"/>
        <v/>
      </c>
      <c r="AF77" s="540"/>
      <c r="AG77" s="410"/>
      <c r="AH77"/>
      <c r="AI77"/>
    </row>
    <row r="78" s="408" customFormat="1" spans="1:35">
      <c r="A78" s="428"/>
      <c r="B78" s="421"/>
      <c r="C78" s="429"/>
      <c r="D78" s="421"/>
      <c r="E78" s="430"/>
      <c r="F78" s="430"/>
      <c r="G78" s="430"/>
      <c r="H78" s="430"/>
      <c r="I78" s="453"/>
      <c r="J78" s="451"/>
      <c r="K78" s="451"/>
      <c r="L78" s="451"/>
      <c r="M78" s="451"/>
      <c r="N78" s="451"/>
      <c r="O78" s="430"/>
      <c r="P78" s="531"/>
      <c r="Q78" s="429"/>
      <c r="R78" s="421"/>
      <c r="S78" s="473" t="s">
        <v>180</v>
      </c>
      <c r="T78" s="473" t="s">
        <v>180</v>
      </c>
      <c r="U78" s="466"/>
      <c r="V78" s="466"/>
      <c r="W78" s="421"/>
      <c r="X78" s="421"/>
      <c r="Y78" s="200" t="s">
        <v>240</v>
      </c>
      <c r="Z78" s="200" t="s">
        <v>180</v>
      </c>
      <c r="AA78" s="200" t="s">
        <v>180</v>
      </c>
      <c r="AB78" s="410">
        <f t="shared" si="5"/>
        <v>0</v>
      </c>
      <c r="AC78" s="409" t="str">
        <f t="shared" si="3"/>
        <v/>
      </c>
      <c r="AD78" s="409" t="str">
        <f t="shared" si="4"/>
        <v/>
      </c>
      <c r="AF78" s="540"/>
      <c r="AG78" s="410"/>
      <c r="AH78"/>
      <c r="AI78"/>
    </row>
    <row r="79" s="408" customFormat="1" ht="17.4" spans="1:35">
      <c r="A79" s="418" t="s">
        <v>162</v>
      </c>
      <c r="B79" s="419"/>
      <c r="C79" s="420"/>
      <c r="D79" s="421"/>
      <c r="E79" s="422" t="s">
        <v>202</v>
      </c>
      <c r="F79" s="422"/>
      <c r="G79" s="422"/>
      <c r="H79" s="422"/>
      <c r="I79" s="422"/>
      <c r="J79" s="422"/>
      <c r="K79" s="422"/>
      <c r="L79" s="422"/>
      <c r="M79" s="443"/>
      <c r="N79" s="444"/>
      <c r="O79" s="422"/>
      <c r="P79" s="531"/>
      <c r="Q79" s="465"/>
      <c r="R79" s="424"/>
      <c r="S79" s="473" t="s">
        <v>180</v>
      </c>
      <c r="T79" s="473" t="s">
        <v>180</v>
      </c>
      <c r="U79" s="467"/>
      <c r="V79" s="467"/>
      <c r="W79" s="467"/>
      <c r="X79" s="467"/>
      <c r="Y79" s="200" t="s">
        <v>240</v>
      </c>
      <c r="Z79" s="200" t="s">
        <v>180</v>
      </c>
      <c r="AA79" s="200" t="s">
        <v>180</v>
      </c>
      <c r="AB79" s="410">
        <f t="shared" si="5"/>
        <v>0</v>
      </c>
      <c r="AC79" s="409" t="str">
        <f t="shared" si="3"/>
        <v/>
      </c>
      <c r="AD79" s="409" t="str">
        <f t="shared" si="4"/>
        <v/>
      </c>
      <c r="AF79" s="540"/>
      <c r="AG79" s="410"/>
      <c r="AH79"/>
      <c r="AI79"/>
    </row>
    <row r="80" s="409" customFormat="1" ht="46.8" spans="1:35">
      <c r="A80" s="423" t="s">
        <v>206</v>
      </c>
      <c r="B80" s="424" t="s">
        <v>207</v>
      </c>
      <c r="C80" s="425" t="s">
        <v>208</v>
      </c>
      <c r="D80" s="424" t="s">
        <v>209</v>
      </c>
      <c r="E80" s="426" t="s">
        <v>210</v>
      </c>
      <c r="F80" s="427" t="s">
        <v>213</v>
      </c>
      <c r="G80" s="427" t="s">
        <v>213</v>
      </c>
      <c r="H80" s="427" t="s">
        <v>213</v>
      </c>
      <c r="I80" s="427" t="s">
        <v>386</v>
      </c>
      <c r="J80" s="446" t="s">
        <v>217</v>
      </c>
      <c r="K80" s="446" t="s">
        <v>387</v>
      </c>
      <c r="L80" s="446" t="s">
        <v>390</v>
      </c>
      <c r="M80" s="447" t="s">
        <v>218</v>
      </c>
      <c r="N80" s="448" t="s">
        <v>219</v>
      </c>
      <c r="O80" s="449" t="s">
        <v>220</v>
      </c>
      <c r="P80" s="530" t="s">
        <v>221</v>
      </c>
      <c r="Q80" s="469" t="s">
        <v>222</v>
      </c>
      <c r="R80" s="426" t="s">
        <v>223</v>
      </c>
      <c r="S80" s="470" t="s">
        <v>224</v>
      </c>
      <c r="T80" s="470" t="s">
        <v>205</v>
      </c>
      <c r="U80" s="467" t="s">
        <v>225</v>
      </c>
      <c r="V80" s="470" t="s">
        <v>226</v>
      </c>
      <c r="W80" s="467"/>
      <c r="X80" s="467"/>
      <c r="Y80" s="200" t="s">
        <v>207</v>
      </c>
      <c r="Z80" s="200" t="s">
        <v>180</v>
      </c>
      <c r="AA80" s="200" t="s">
        <v>180</v>
      </c>
      <c r="AB80" s="410">
        <f t="shared" si="5"/>
        <v>1</v>
      </c>
      <c r="AC80" s="409" t="str">
        <f t="shared" si="3"/>
        <v>Forum Link</v>
      </c>
      <c r="AD80" s="409" t="str">
        <f t="shared" si="4"/>
        <v>Domains</v>
      </c>
      <c r="AF80" s="540"/>
      <c r="AG80" s="410"/>
      <c r="AH80"/>
      <c r="AI80"/>
    </row>
    <row r="81" s="410" customFormat="1" ht="17.4" spans="1:35">
      <c r="A81" s="432" t="s">
        <v>227</v>
      </c>
      <c r="B81" s="432" t="s">
        <v>163</v>
      </c>
      <c r="C81" s="434" t="str">
        <f>VLOOKUP(B81,正厂竞争者数据汇总!D:H,2,FALSE)</f>
        <v>原厂目录</v>
      </c>
      <c r="D81" s="435" t="str">
        <f>VLOOKUP(B81,正厂竞争者数据汇总!D:H,3,FALSE)</f>
        <v>CA</v>
      </c>
      <c r="E81" s="436">
        <f>VLOOKUP(B81,正厂竞争者数据汇总!D:H,4,FALSE)</f>
        <v>0</v>
      </c>
      <c r="F81" s="436">
        <v>284417.828333333</v>
      </c>
      <c r="G81" s="436">
        <v>213503.583333333</v>
      </c>
      <c r="H81" s="436">
        <v>235149.083333333</v>
      </c>
      <c r="I81" s="454">
        <v>0.332145455794459</v>
      </c>
      <c r="J81" s="457">
        <v>0.519449513894345</v>
      </c>
      <c r="K81" s="457">
        <v>0.492874085722336</v>
      </c>
      <c r="L81" s="457">
        <v>0.464874967102259</v>
      </c>
      <c r="M81" s="456">
        <f>J81-K81</f>
        <v>0.0265754281720093</v>
      </c>
      <c r="N81" s="457" t="str">
        <f>IFERROR(O81*0.5/$F$81,"")</f>
        <v/>
      </c>
      <c r="O81" s="436" t="s">
        <v>180</v>
      </c>
      <c r="P81" s="531">
        <f t="array" ref="P81">INDEX(正厂竞争者数据汇总!I:I,MATCH($A$79&amp;B81,正厂竞争者数据汇总!A:A&amp;正厂竞争者数据汇总!D:D,0))</f>
        <v>0</v>
      </c>
      <c r="Q81" s="434" t="s">
        <v>284</v>
      </c>
      <c r="R81" s="435" t="s">
        <v>229</v>
      </c>
      <c r="S81" s="476">
        <v>33729</v>
      </c>
      <c r="T81" s="476">
        <v>6689</v>
      </c>
      <c r="U81" s="477"/>
      <c r="V81" s="477"/>
      <c r="W81" s="435"/>
      <c r="X81" s="435"/>
      <c r="Y81" s="200" t="s">
        <v>163</v>
      </c>
      <c r="Z81" s="200">
        <v>30521</v>
      </c>
      <c r="AA81" s="200">
        <v>6195</v>
      </c>
      <c r="AB81" s="410">
        <f t="shared" si="5"/>
        <v>1</v>
      </c>
      <c r="AC81" s="409">
        <f t="shared" si="3"/>
        <v>30521</v>
      </c>
      <c r="AD81" s="409">
        <f t="shared" si="4"/>
        <v>6195</v>
      </c>
      <c r="AF81" s="540"/>
      <c r="AH81"/>
      <c r="AI81"/>
    </row>
    <row r="82" s="408" customFormat="1" spans="1:35">
      <c r="A82" s="428" t="s">
        <v>230</v>
      </c>
      <c r="B82" s="255" t="s">
        <v>285</v>
      </c>
      <c r="C82" s="429" t="str">
        <f>VLOOKUP(B82,正厂竞争者数据汇总!D:H,2,FALSE)</f>
        <v>Motor目录</v>
      </c>
      <c r="D82" s="421" t="str">
        <f>VLOOKUP(B82,正厂竞争者数据汇总!D:H,3,FALSE)</f>
        <v>AZ</v>
      </c>
      <c r="E82" s="430"/>
      <c r="F82" s="430">
        <v>59036.7210666667</v>
      </c>
      <c r="G82" s="430"/>
      <c r="H82" s="430"/>
      <c r="I82" s="450"/>
      <c r="J82" s="451">
        <v>0.107822340954152</v>
      </c>
      <c r="K82" s="451">
        <v>0.118975274788613</v>
      </c>
      <c r="L82" s="451">
        <v>0.117061015601338</v>
      </c>
      <c r="M82" s="452"/>
      <c r="N82" s="451"/>
      <c r="O82" s="430"/>
      <c r="P82" s="531">
        <f t="array" ref="P82">INDEX(正厂竞争者数据汇总!I:I,MATCH($A$79&amp;B82,正厂竞争者数据汇总!A:A&amp;正厂竞争者数据汇总!D:D,0))</f>
        <v>0</v>
      </c>
      <c r="Q82" s="429"/>
      <c r="R82" s="421"/>
      <c r="S82" s="472">
        <v>5871</v>
      </c>
      <c r="T82" s="472">
        <v>400</v>
      </c>
      <c r="U82" s="466"/>
      <c r="V82" s="466"/>
      <c r="W82" s="466"/>
      <c r="X82" s="466"/>
      <c r="Y82" s="200" t="s">
        <v>285</v>
      </c>
      <c r="Z82" s="200">
        <v>5743</v>
      </c>
      <c r="AA82" s="200">
        <v>406</v>
      </c>
      <c r="AB82" s="410">
        <f t="shared" si="5"/>
        <v>1</v>
      </c>
      <c r="AC82" s="409">
        <f t="shared" si="3"/>
        <v>5743</v>
      </c>
      <c r="AD82" s="409">
        <f t="shared" si="4"/>
        <v>406</v>
      </c>
      <c r="AF82" s="540"/>
      <c r="AG82" s="410"/>
      <c r="AH82"/>
      <c r="AI82"/>
    </row>
    <row r="83" s="408" customFormat="1" spans="1:35">
      <c r="A83" s="428" t="s">
        <v>230</v>
      </c>
      <c r="B83" s="421" t="s">
        <v>255</v>
      </c>
      <c r="C83" s="429" t="str">
        <f>VLOOKUP(B83,正厂竞争者数据汇总!D:H,2,FALSE)</f>
        <v>Motor目录</v>
      </c>
      <c r="D83" s="421" t="str">
        <f>VLOOKUP(B83,正厂竞争者数据汇总!D:H,3,FALSE)</f>
        <v>RI</v>
      </c>
      <c r="E83" s="430"/>
      <c r="F83" s="430">
        <v>35576.3</v>
      </c>
      <c r="G83" s="430"/>
      <c r="H83" s="430"/>
      <c r="I83" s="450"/>
      <c r="J83" s="451">
        <v>0.0649751523997329</v>
      </c>
      <c r="K83" s="451">
        <v>0.0811812046671529</v>
      </c>
      <c r="L83" s="451">
        <v>0.103480193999223</v>
      </c>
      <c r="M83" s="452"/>
      <c r="N83" s="451"/>
      <c r="O83" s="430"/>
      <c r="P83" s="531" t="str">
        <f t="array" ref="P83">INDEX(正厂竞争者数据汇总!I:I,MATCH($A$79&amp;B83,正厂竞争者数据汇总!A:A&amp;正厂竞争者数据汇总!D:D,0))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83" s="429"/>
      <c r="R83" s="421"/>
      <c r="S83" s="472">
        <v>37935</v>
      </c>
      <c r="T83" s="472">
        <v>1682</v>
      </c>
      <c r="U83" s="466"/>
      <c r="V83" s="466"/>
      <c r="W83" s="466"/>
      <c r="X83" s="466"/>
      <c r="Y83" s="200" t="s">
        <v>255</v>
      </c>
      <c r="Z83" s="200">
        <v>38224</v>
      </c>
      <c r="AA83" s="200">
        <v>1673</v>
      </c>
      <c r="AB83" s="410">
        <f t="shared" si="5"/>
        <v>1</v>
      </c>
      <c r="AC83" s="409">
        <f t="shared" si="3"/>
        <v>38224</v>
      </c>
      <c r="AD83" s="409">
        <f t="shared" si="4"/>
        <v>1673</v>
      </c>
      <c r="AF83" s="540"/>
      <c r="AG83" s="410"/>
      <c r="AH83"/>
      <c r="AI83"/>
    </row>
    <row r="84" s="408" customFormat="1" spans="1:35">
      <c r="A84" s="428" t="s">
        <v>230</v>
      </c>
      <c r="B84" s="421" t="s">
        <v>286</v>
      </c>
      <c r="C84" s="429" t="str">
        <f>VLOOKUP(B84,正厂竞争者数据汇总!D:H,2,FALSE)</f>
        <v>Motor目录</v>
      </c>
      <c r="D84" s="421" t="str">
        <f>VLOOKUP(B84,正厂竞争者数据汇总!D:H,3,FALSE)</f>
        <v>-</v>
      </c>
      <c r="E84" s="430"/>
      <c r="F84" s="430">
        <v>34590.3333333333</v>
      </c>
      <c r="G84" s="430"/>
      <c r="H84" s="430"/>
      <c r="I84" s="450"/>
      <c r="J84" s="451">
        <v>0.0631744217327517</v>
      </c>
      <c r="K84" s="451">
        <v>0.0584542605859825</v>
      </c>
      <c r="L84" s="451">
        <v>0.0572965410628607</v>
      </c>
      <c r="M84" s="452"/>
      <c r="N84" s="451"/>
      <c r="O84" s="430"/>
      <c r="P84" s="531" t="str">
        <f t="array" ref="P84">INDEX(正厂竞争者数据汇总!I:I,MATCH($A$79&amp;B84,正厂竞争者数据汇总!A:A&amp;正厂竞争者数据汇总!D:D,0))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84" s="429"/>
      <c r="R84" s="421"/>
      <c r="S84" s="472">
        <v>331</v>
      </c>
      <c r="T84" s="472">
        <v>67</v>
      </c>
      <c r="U84" s="466"/>
      <c r="V84" s="466"/>
      <c r="W84" s="466"/>
      <c r="X84" s="466"/>
      <c r="Y84" s="200" t="s">
        <v>286</v>
      </c>
      <c r="Z84" s="200">
        <v>269</v>
      </c>
      <c r="AA84" s="200">
        <v>58</v>
      </c>
      <c r="AB84" s="410">
        <f t="shared" si="5"/>
        <v>1</v>
      </c>
      <c r="AC84" s="409">
        <f t="shared" si="3"/>
        <v>269</v>
      </c>
      <c r="AD84" s="409">
        <f t="shared" si="4"/>
        <v>58</v>
      </c>
      <c r="AF84" s="540"/>
      <c r="AG84" s="410"/>
      <c r="AH84"/>
      <c r="AI84"/>
    </row>
    <row r="85" s="408" customFormat="1" spans="1:35">
      <c r="A85" s="428" t="s">
        <v>230</v>
      </c>
      <c r="B85" s="421" t="s">
        <v>287</v>
      </c>
      <c r="C85" s="429" t="str">
        <f>VLOOKUP(B85,正厂竞争者数据汇总!D:H,2,FALSE)</f>
        <v>Motor目录</v>
      </c>
      <c r="D85" s="421" t="str">
        <f>VLOOKUP(B85,正厂竞争者数据汇总!D:H,3,FALSE)</f>
        <v>CA</v>
      </c>
      <c r="E85" s="430"/>
      <c r="F85" s="430">
        <v>31358.1134666667</v>
      </c>
      <c r="G85" s="430"/>
      <c r="H85" s="430"/>
      <c r="I85" s="450"/>
      <c r="J85" s="451">
        <v>0.0572712227371814</v>
      </c>
      <c r="K85" s="451">
        <v>0.0630635338937522</v>
      </c>
      <c r="L85" s="451">
        <v>0.0565617734381787</v>
      </c>
      <c r="M85" s="452"/>
      <c r="N85" s="451"/>
      <c r="O85" s="430"/>
      <c r="P85" s="531">
        <f t="array" ref="P85">INDEX(正厂竞争者数据汇总!I:I,MATCH($A$79&amp;B85,正厂竞争者数据汇总!A:A&amp;正厂竞争者数据汇总!D:D,0))</f>
        <v>0</v>
      </c>
      <c r="Q85" s="429"/>
      <c r="R85" s="421"/>
      <c r="S85" s="472">
        <v>403</v>
      </c>
      <c r="T85" s="472">
        <v>119</v>
      </c>
      <c r="U85" s="466"/>
      <c r="V85" s="466"/>
      <c r="W85" s="466"/>
      <c r="X85" s="466"/>
      <c r="Y85" s="200" t="s">
        <v>287</v>
      </c>
      <c r="Z85" s="200">
        <v>471</v>
      </c>
      <c r="AA85" s="200">
        <v>130</v>
      </c>
      <c r="AB85" s="410">
        <f t="shared" si="5"/>
        <v>1</v>
      </c>
      <c r="AC85" s="409">
        <f t="shared" si="3"/>
        <v>471</v>
      </c>
      <c r="AD85" s="409">
        <f t="shared" si="4"/>
        <v>130</v>
      </c>
      <c r="AF85" s="540"/>
      <c r="AG85" s="410"/>
      <c r="AH85"/>
      <c r="AI85"/>
    </row>
    <row r="86" s="408" customFormat="1" spans="1:35">
      <c r="A86" s="428" t="s">
        <v>230</v>
      </c>
      <c r="B86" s="421" t="s">
        <v>289</v>
      </c>
      <c r="C86" s="429" t="str">
        <f>VLOOKUP(B86,正厂竞争者数据汇总!D:H,2,FALSE)</f>
        <v>Motor目录</v>
      </c>
      <c r="D86" s="421" t="str">
        <f>VLOOKUP(B86,正厂竞争者数据汇总!D:H,3,FALSE)</f>
        <v>WA</v>
      </c>
      <c r="E86" s="430"/>
      <c r="F86" s="430">
        <v>29785.7133333333</v>
      </c>
      <c r="G86" s="430"/>
      <c r="H86" s="430"/>
      <c r="I86" s="450"/>
      <c r="J86" s="451">
        <v>0.054399453095687</v>
      </c>
      <c r="K86" s="451">
        <v>0.0439167563292125</v>
      </c>
      <c r="L86" s="451">
        <v>0.0409952394042263</v>
      </c>
      <c r="M86" s="452"/>
      <c r="N86" s="451"/>
      <c r="O86" s="430"/>
      <c r="P86" s="531" t="str">
        <f t="array" ref="P86">INDEX(正厂竞争者数据汇总!I:I,MATCH($A$79&amp;B86,正厂竞争者数据汇总!A:A&amp;正厂竞争者数据汇总!D:D,0))</f>
        <v>2021年11月重开
2021年10月临时关站
2020年10月从PartSites变成Revolution，加入MarketingShare</v>
      </c>
      <c r="Q86" s="429"/>
      <c r="R86" s="421"/>
      <c r="S86" s="472">
        <v>1120</v>
      </c>
      <c r="T86" s="472">
        <v>195</v>
      </c>
      <c r="U86" s="466"/>
      <c r="V86" s="466"/>
      <c r="W86" s="466"/>
      <c r="X86" s="466"/>
      <c r="Y86" s="200" t="s">
        <v>289</v>
      </c>
      <c r="Z86" s="200">
        <v>1195</v>
      </c>
      <c r="AA86" s="200">
        <v>202</v>
      </c>
      <c r="AB86" s="410">
        <f t="shared" si="5"/>
        <v>1</v>
      </c>
      <c r="AC86" s="409">
        <f t="shared" si="3"/>
        <v>1195</v>
      </c>
      <c r="AD86" s="409">
        <f t="shared" si="4"/>
        <v>202</v>
      </c>
      <c r="AF86" s="540"/>
      <c r="AG86" s="410"/>
      <c r="AH86"/>
      <c r="AI86"/>
    </row>
    <row r="87" s="408" customFormat="1" spans="1:35">
      <c r="A87" s="428" t="s">
        <v>230</v>
      </c>
      <c r="B87" s="421" t="s">
        <v>288</v>
      </c>
      <c r="C87" s="429" t="str">
        <f>VLOOKUP(B87,正厂竞争者数据汇总!D:H,2,FALSE)</f>
        <v>原厂目录</v>
      </c>
      <c r="D87" s="421" t="str">
        <f>VLOOKUP(B87,正厂竞争者数据汇总!D:H,3,FALSE)</f>
        <v>CT</v>
      </c>
      <c r="E87" s="430"/>
      <c r="F87" s="430">
        <v>25704.25</v>
      </c>
      <c r="G87" s="430"/>
      <c r="H87" s="430"/>
      <c r="I87" s="450"/>
      <c r="J87" s="451">
        <v>0.0469452292978988</v>
      </c>
      <c r="K87" s="451">
        <v>0.0411095175188861</v>
      </c>
      <c r="L87" s="451">
        <v>0.039393226322187</v>
      </c>
      <c r="M87" s="452"/>
      <c r="N87" s="451"/>
      <c r="O87" s="430"/>
      <c r="P87" s="531" t="str">
        <f t="array" ref="P87">INDEX(正厂竞争者数据汇总!I:I,MATCH($A$79&amp;B87,正厂竞争者数据汇总!A:A&amp;正厂竞争者数据汇总!D:D,0))</f>
        <v>2022年1月 新加入 CompetitorSites
2022年1月 新加入 MarketingShare</v>
      </c>
      <c r="Q87" s="429"/>
      <c r="R87" s="421"/>
      <c r="S87" s="472">
        <v>454</v>
      </c>
      <c r="T87" s="472">
        <v>133</v>
      </c>
      <c r="U87" s="466"/>
      <c r="V87" s="466"/>
      <c r="W87" s="466"/>
      <c r="X87" s="466"/>
      <c r="Y87" s="200" t="s">
        <v>288</v>
      </c>
      <c r="Z87" s="200">
        <v>445</v>
      </c>
      <c r="AA87" s="200">
        <v>140</v>
      </c>
      <c r="AB87" s="410">
        <f t="shared" si="5"/>
        <v>1</v>
      </c>
      <c r="AC87" s="409">
        <f t="shared" si="3"/>
        <v>445</v>
      </c>
      <c r="AD87" s="409">
        <f t="shared" si="4"/>
        <v>140</v>
      </c>
      <c r="AF87" s="540"/>
      <c r="AG87" s="410"/>
      <c r="AH87"/>
      <c r="AI87"/>
    </row>
    <row r="88" s="408" customFormat="1" spans="1:35">
      <c r="A88" s="428" t="s">
        <v>230</v>
      </c>
      <c r="B88" s="421" t="s">
        <v>292</v>
      </c>
      <c r="C88" s="429" t="str">
        <f>VLOOKUP(B88,正厂竞争者数据汇总!D:H,2,FALSE)</f>
        <v>Motor目录</v>
      </c>
      <c r="D88" s="421" t="str">
        <f>VLOOKUP(B88,正厂竞争者数据汇总!D:H,3,FALSE)</f>
        <v>MA</v>
      </c>
      <c r="E88" s="430"/>
      <c r="F88" s="430">
        <v>25424.6568333333</v>
      </c>
      <c r="G88" s="430"/>
      <c r="H88" s="430"/>
      <c r="I88" s="450"/>
      <c r="J88" s="451">
        <v>0.0464345913559516</v>
      </c>
      <c r="K88" s="451">
        <v>0.0529168044537689</v>
      </c>
      <c r="L88" s="451">
        <v>0.0635159226871377</v>
      </c>
      <c r="M88" s="452"/>
      <c r="N88" s="451"/>
      <c r="O88" s="430"/>
      <c r="P88" s="531" t="str">
        <f t="array" ref="P88">INDEX(正厂竞争者数据汇总!I:I,MATCH($A$79&amp;B88,正厂竞争者数据汇总!A:A&amp;正厂竞争者数据汇总!D:D,0))</f>
        <v>同时经营多品牌，流量折算比例为Ford:23%,GM:23%,Infiniti:0%,Kia:13%,Mopar:31%,Nissan:10%</v>
      </c>
      <c r="Q88" s="429"/>
      <c r="R88" s="421"/>
      <c r="S88" s="472">
        <v>6205</v>
      </c>
      <c r="T88" s="472">
        <v>812</v>
      </c>
      <c r="U88" s="466"/>
      <c r="V88" s="466"/>
      <c r="W88" s="466"/>
      <c r="X88" s="466"/>
      <c r="Y88" s="200" t="s">
        <v>292</v>
      </c>
      <c r="Z88" s="200">
        <v>7144</v>
      </c>
      <c r="AA88" s="200">
        <v>831</v>
      </c>
      <c r="AB88" s="410">
        <f t="shared" si="5"/>
        <v>1</v>
      </c>
      <c r="AC88" s="409">
        <f t="shared" si="3"/>
        <v>7144</v>
      </c>
      <c r="AD88" s="409">
        <f t="shared" si="4"/>
        <v>831</v>
      </c>
      <c r="AF88" s="540"/>
      <c r="AG88" s="410"/>
      <c r="AH88"/>
      <c r="AI88"/>
    </row>
    <row r="89" s="408" customFormat="1" ht="17.4" spans="1:35">
      <c r="A89" s="428" t="s">
        <v>243</v>
      </c>
      <c r="B89" s="421" t="s">
        <v>290</v>
      </c>
      <c r="C89" s="429" t="s">
        <v>247</v>
      </c>
      <c r="D89" s="421" t="s">
        <v>291</v>
      </c>
      <c r="E89" s="430"/>
      <c r="F89" s="430">
        <v>21643.0833333333</v>
      </c>
      <c r="G89" s="430"/>
      <c r="H89" s="430"/>
      <c r="I89" s="450"/>
      <c r="J89" s="451">
        <v>0.0395280745322996</v>
      </c>
      <c r="K89" s="451">
        <v>0.0475085620402954</v>
      </c>
      <c r="L89" s="451">
        <v>0.0568211203825893</v>
      </c>
      <c r="M89" s="452"/>
      <c r="N89" s="451"/>
      <c r="O89" s="430"/>
      <c r="P89" s="531" t="str">
        <f t="array" ref="P89">INDEX(正厂竞争者数据汇总!I:I,MATCH($A$79&amp;B89,正厂竞争者数据汇总!A:A&amp;正厂竞争者数据汇总!D:D,0))</f>
        <v>2023年2月新增正厂</v>
      </c>
      <c r="Q89" s="429"/>
      <c r="R89" s="421"/>
      <c r="S89" s="472">
        <v>5081</v>
      </c>
      <c r="T89" s="472">
        <v>143</v>
      </c>
      <c r="U89" s="466"/>
      <c r="V89" s="466"/>
      <c r="W89" s="466"/>
      <c r="X89" s="466"/>
      <c r="Y89" s="200" t="s">
        <v>290</v>
      </c>
      <c r="Z89" s="200">
        <v>5059</v>
      </c>
      <c r="AA89" s="200">
        <v>132</v>
      </c>
      <c r="AB89" s="410">
        <f t="shared" si="5"/>
        <v>1</v>
      </c>
      <c r="AC89" s="409">
        <f t="shared" si="3"/>
        <v>5059</v>
      </c>
      <c r="AD89" s="409">
        <f t="shared" si="4"/>
        <v>132</v>
      </c>
      <c r="AF89" s="540"/>
      <c r="AG89" s="410"/>
      <c r="AH89"/>
      <c r="AI89"/>
    </row>
    <row r="90" s="408" customFormat="1" spans="1:35">
      <c r="A90" s="428"/>
      <c r="B90" s="421"/>
      <c r="C90" s="439"/>
      <c r="D90" s="421"/>
      <c r="E90" s="421"/>
      <c r="F90" s="430"/>
      <c r="G90" s="430"/>
      <c r="H90" s="430"/>
      <c r="I90" s="453"/>
      <c r="J90" s="430"/>
      <c r="K90" s="430"/>
      <c r="L90" s="430"/>
      <c r="M90" s="451"/>
      <c r="N90" s="451"/>
      <c r="O90" s="430"/>
      <c r="P90" s="531"/>
      <c r="Q90" s="429"/>
      <c r="R90" s="421"/>
      <c r="S90" s="473" t="s">
        <v>180</v>
      </c>
      <c r="T90" s="473" t="s">
        <v>180</v>
      </c>
      <c r="U90" s="466"/>
      <c r="V90" s="466"/>
      <c r="W90" s="421"/>
      <c r="X90" s="421"/>
      <c r="Y90" s="200" t="s">
        <v>240</v>
      </c>
      <c r="Z90" s="200" t="s">
        <v>180</v>
      </c>
      <c r="AA90" s="200" t="s">
        <v>180</v>
      </c>
      <c r="AB90" s="410">
        <f t="shared" si="5"/>
        <v>0</v>
      </c>
      <c r="AC90" s="409" t="str">
        <f t="shared" si="3"/>
        <v/>
      </c>
      <c r="AD90" s="409" t="str">
        <f t="shared" si="4"/>
        <v/>
      </c>
      <c r="AF90" s="540"/>
      <c r="AG90" s="410"/>
      <c r="AH90"/>
      <c r="AI90"/>
    </row>
    <row r="91" s="408" customFormat="1" spans="1:35">
      <c r="A91" s="428"/>
      <c r="B91" s="421"/>
      <c r="C91" s="439"/>
      <c r="D91" s="421"/>
      <c r="E91" s="421"/>
      <c r="F91" s="430">
        <v>547536.9997</v>
      </c>
      <c r="G91" s="430">
        <v>445410.310833333</v>
      </c>
      <c r="H91" s="430">
        <v>428652.916666666</v>
      </c>
      <c r="I91" s="453">
        <v>0.229286764097567</v>
      </c>
      <c r="J91" s="430"/>
      <c r="K91" s="430"/>
      <c r="L91" s="430"/>
      <c r="M91" s="451"/>
      <c r="N91" s="451">
        <f>SUM(N81:N82)</f>
        <v>0</v>
      </c>
      <c r="O91" s="430"/>
      <c r="P91" s="531"/>
      <c r="Q91" s="429"/>
      <c r="R91" s="421"/>
      <c r="S91" s="473" t="s">
        <v>180</v>
      </c>
      <c r="T91" s="473" t="s">
        <v>180</v>
      </c>
      <c r="U91" s="466"/>
      <c r="V91" s="466"/>
      <c r="W91" s="421"/>
      <c r="X91" s="421"/>
      <c r="Y91" s="200" t="s">
        <v>240</v>
      </c>
      <c r="Z91" s="200" t="s">
        <v>180</v>
      </c>
      <c r="AA91" s="200" t="s">
        <v>180</v>
      </c>
      <c r="AB91" s="410">
        <f t="shared" si="5"/>
        <v>0</v>
      </c>
      <c r="AC91" s="409" t="str">
        <f t="shared" si="3"/>
        <v/>
      </c>
      <c r="AD91" s="409" t="str">
        <f t="shared" si="4"/>
        <v/>
      </c>
      <c r="AF91" s="540"/>
      <c r="AG91" s="410"/>
      <c r="AH91"/>
      <c r="AI91"/>
    </row>
    <row r="92" s="408" customFormat="1" spans="1:35">
      <c r="A92" s="428"/>
      <c r="B92" s="421"/>
      <c r="C92" s="439"/>
      <c r="D92" s="421"/>
      <c r="E92" s="421"/>
      <c r="F92" s="430"/>
      <c r="G92" s="430"/>
      <c r="H92" s="430"/>
      <c r="I92" s="453"/>
      <c r="J92" s="430"/>
      <c r="K92" s="430"/>
      <c r="L92" s="430"/>
      <c r="M92" s="451"/>
      <c r="N92" s="451"/>
      <c r="O92" s="430"/>
      <c r="P92" s="531"/>
      <c r="Q92" s="429"/>
      <c r="R92" s="421"/>
      <c r="S92" s="473" t="s">
        <v>180</v>
      </c>
      <c r="T92" s="473" t="s">
        <v>180</v>
      </c>
      <c r="U92" s="466"/>
      <c r="V92" s="466"/>
      <c r="W92" s="421"/>
      <c r="X92" s="421"/>
      <c r="Y92" s="200" t="s">
        <v>240</v>
      </c>
      <c r="Z92" s="200" t="s">
        <v>180</v>
      </c>
      <c r="AA92" s="200" t="s">
        <v>180</v>
      </c>
      <c r="AB92" s="410">
        <f t="shared" si="5"/>
        <v>0</v>
      </c>
      <c r="AC92" s="409" t="str">
        <f t="shared" si="3"/>
        <v/>
      </c>
      <c r="AD92" s="409" t="str">
        <f t="shared" si="4"/>
        <v/>
      </c>
      <c r="AF92" s="540"/>
      <c r="AG92" s="410"/>
      <c r="AH92"/>
      <c r="AI92"/>
    </row>
    <row r="93" s="408" customFormat="1" ht="17.4" spans="1:35">
      <c r="A93" s="418" t="s">
        <v>165</v>
      </c>
      <c r="B93" s="419"/>
      <c r="C93" s="420"/>
      <c r="D93" s="421"/>
      <c r="E93" s="422" t="s">
        <v>202</v>
      </c>
      <c r="F93" s="422"/>
      <c r="G93" s="422"/>
      <c r="H93" s="422"/>
      <c r="I93" s="422"/>
      <c r="J93" s="422"/>
      <c r="K93" s="422"/>
      <c r="L93" s="422"/>
      <c r="M93" s="443"/>
      <c r="N93" s="444"/>
      <c r="O93" s="422"/>
      <c r="P93" s="531"/>
      <c r="Q93" s="465"/>
      <c r="R93" s="424"/>
      <c r="S93" s="473" t="s">
        <v>180</v>
      </c>
      <c r="T93" s="473" t="s">
        <v>180</v>
      </c>
      <c r="U93" s="467"/>
      <c r="V93" s="467"/>
      <c r="W93" s="467"/>
      <c r="X93" s="467"/>
      <c r="Y93" s="200" t="s">
        <v>240</v>
      </c>
      <c r="Z93" s="200" t="s">
        <v>180</v>
      </c>
      <c r="AA93" s="200" t="s">
        <v>180</v>
      </c>
      <c r="AB93" s="410">
        <f t="shared" si="5"/>
        <v>0</v>
      </c>
      <c r="AC93" s="409" t="str">
        <f t="shared" si="3"/>
        <v/>
      </c>
      <c r="AD93" s="409" t="str">
        <f t="shared" si="4"/>
        <v/>
      </c>
      <c r="AF93" s="540"/>
      <c r="AG93" s="410"/>
      <c r="AH93"/>
      <c r="AI93"/>
    </row>
    <row r="94" s="409" customFormat="1" ht="46.8" spans="1:35">
      <c r="A94" s="423" t="s">
        <v>206</v>
      </c>
      <c r="B94" s="424" t="s">
        <v>207</v>
      </c>
      <c r="C94" s="425" t="s">
        <v>208</v>
      </c>
      <c r="D94" s="424" t="s">
        <v>209</v>
      </c>
      <c r="E94" s="426" t="s">
        <v>210</v>
      </c>
      <c r="F94" s="427" t="s">
        <v>213</v>
      </c>
      <c r="G94" s="427" t="s">
        <v>213</v>
      </c>
      <c r="H94" s="427" t="s">
        <v>213</v>
      </c>
      <c r="I94" s="427" t="s">
        <v>386</v>
      </c>
      <c r="J94" s="446" t="s">
        <v>217</v>
      </c>
      <c r="K94" s="446" t="s">
        <v>387</v>
      </c>
      <c r="L94" s="446" t="s">
        <v>390</v>
      </c>
      <c r="M94" s="447" t="s">
        <v>218</v>
      </c>
      <c r="N94" s="448" t="s">
        <v>219</v>
      </c>
      <c r="O94" s="449" t="s">
        <v>220</v>
      </c>
      <c r="P94" s="530" t="s">
        <v>221</v>
      </c>
      <c r="Q94" s="469" t="s">
        <v>222</v>
      </c>
      <c r="R94" s="426" t="s">
        <v>223</v>
      </c>
      <c r="S94" s="470" t="s">
        <v>224</v>
      </c>
      <c r="T94" s="470" t="s">
        <v>205</v>
      </c>
      <c r="U94" s="467" t="s">
        <v>225</v>
      </c>
      <c r="V94" s="470" t="s">
        <v>226</v>
      </c>
      <c r="W94" s="467"/>
      <c r="X94" s="467"/>
      <c r="Y94" s="200" t="s">
        <v>207</v>
      </c>
      <c r="Z94" s="200" t="s">
        <v>180</v>
      </c>
      <c r="AA94" s="200" t="s">
        <v>180</v>
      </c>
      <c r="AB94" s="410">
        <f t="shared" si="5"/>
        <v>1</v>
      </c>
      <c r="AC94" s="409" t="str">
        <f t="shared" si="3"/>
        <v>Forum Link</v>
      </c>
      <c r="AD94" s="409" t="str">
        <f t="shared" si="4"/>
        <v>Domains</v>
      </c>
      <c r="AF94" s="540"/>
      <c r="AG94" s="410"/>
      <c r="AH94"/>
      <c r="AI94"/>
    </row>
    <row r="95" s="408" customFormat="1" spans="1:35">
      <c r="A95" s="428" t="s">
        <v>230</v>
      </c>
      <c r="B95" s="421" t="s">
        <v>293</v>
      </c>
      <c r="C95" s="429" t="str">
        <f>VLOOKUP(B95,正厂竞争者数据汇总!D:H,2,FALSE)</f>
        <v>Motor目录</v>
      </c>
      <c r="D95" s="421" t="str">
        <f>VLOOKUP(B95,正厂竞争者数据汇总!D:H,3,FALSE)</f>
        <v>WA</v>
      </c>
      <c r="E95" s="430"/>
      <c r="F95" s="430">
        <v>174526.083333333</v>
      </c>
      <c r="G95" s="430"/>
      <c r="H95" s="430"/>
      <c r="I95" s="450"/>
      <c r="J95" s="451">
        <v>0.354720082912935</v>
      </c>
      <c r="K95" s="451">
        <v>0.394805861793048</v>
      </c>
      <c r="L95" s="451">
        <v>0.383601508169092</v>
      </c>
      <c r="M95" s="452"/>
      <c r="N95" s="451"/>
      <c r="O95" s="430"/>
      <c r="P95" s="531">
        <f t="array" ref="P95">INDEX(正厂竞争者数据汇总!I:I,MATCH($A$93&amp;B95,正厂竞争者数据汇总!A:A&amp;正厂竞争者数据汇总!D:D,0))</f>
        <v>0</v>
      </c>
      <c r="Q95" s="429"/>
      <c r="R95" s="421"/>
      <c r="S95" s="472">
        <v>17874</v>
      </c>
      <c r="T95" s="472">
        <v>607</v>
      </c>
      <c r="U95" s="466"/>
      <c r="V95" s="466"/>
      <c r="W95" s="466"/>
      <c r="X95" s="466"/>
      <c r="Y95" s="200" t="s">
        <v>293</v>
      </c>
      <c r="Z95" s="200">
        <v>17787</v>
      </c>
      <c r="AA95" s="200">
        <v>616</v>
      </c>
      <c r="AB95" s="410">
        <f t="shared" si="5"/>
        <v>1</v>
      </c>
      <c r="AC95" s="409">
        <f t="shared" si="3"/>
        <v>17787</v>
      </c>
      <c r="AD95" s="409">
        <f t="shared" si="4"/>
        <v>616</v>
      </c>
      <c r="AF95" s="540"/>
      <c r="AG95" s="410"/>
      <c r="AH95"/>
      <c r="AI95"/>
    </row>
    <row r="96" s="410" customFormat="1" spans="1:35">
      <c r="A96" s="432" t="s">
        <v>227</v>
      </c>
      <c r="B96" s="432" t="s">
        <v>166</v>
      </c>
      <c r="C96" s="434" t="str">
        <f>VLOOKUP(B96,正厂竞争者数据汇总!D:H,2,FALSE)</f>
        <v>原厂目录</v>
      </c>
      <c r="D96" s="435" t="str">
        <f>VLOOKUP(B96,正厂竞争者数据汇总!D:H,3,FALSE)</f>
        <v>AZ</v>
      </c>
      <c r="E96" s="462"/>
      <c r="F96" s="436">
        <v>164986.846666667</v>
      </c>
      <c r="G96" s="462"/>
      <c r="H96" s="462"/>
      <c r="I96" s="510"/>
      <c r="J96" s="461">
        <v>0.335331812938051</v>
      </c>
      <c r="K96" s="457">
        <v>0.304770069373456</v>
      </c>
      <c r="L96" s="457">
        <v>0.304419968442909</v>
      </c>
      <c r="M96" s="461"/>
      <c r="N96" s="461"/>
      <c r="O96" s="462"/>
      <c r="P96" s="531">
        <f t="array" ref="P96">INDEX(正厂竞争者数据汇总!I:I,MATCH($A$93&amp;B96,正厂竞争者数据汇总!A:A&amp;正厂竞争者数据汇总!D:D,0))</f>
        <v>0</v>
      </c>
      <c r="Q96" s="434"/>
      <c r="R96" s="435"/>
      <c r="S96" s="476">
        <v>22717</v>
      </c>
      <c r="T96" s="476">
        <v>4020</v>
      </c>
      <c r="U96" s="477"/>
      <c r="V96" s="477"/>
      <c r="W96" s="435"/>
      <c r="X96" s="435"/>
      <c r="Y96" s="200" t="s">
        <v>166</v>
      </c>
      <c r="Z96" s="200">
        <v>19966</v>
      </c>
      <c r="AA96" s="200">
        <v>3700</v>
      </c>
      <c r="AB96" s="410">
        <f t="shared" si="5"/>
        <v>1</v>
      </c>
      <c r="AC96" s="409">
        <f t="shared" si="3"/>
        <v>19966</v>
      </c>
      <c r="AD96" s="409">
        <f t="shared" si="4"/>
        <v>3700</v>
      </c>
      <c r="AF96" s="540"/>
      <c r="AH96"/>
      <c r="AI96"/>
    </row>
    <row r="97" s="408" customFormat="1" spans="1:35">
      <c r="A97" s="428" t="s">
        <v>230</v>
      </c>
      <c r="B97" s="421" t="s">
        <v>294</v>
      </c>
      <c r="C97" s="429" t="str">
        <f>VLOOKUP(B97,正厂竞争者数据汇总!D:H,2,FALSE)</f>
        <v>Motor目录</v>
      </c>
      <c r="D97" s="421" t="str">
        <f>VLOOKUP(B97,正厂竞争者数据汇总!D:H,3,FALSE)</f>
        <v>MA</v>
      </c>
      <c r="E97" s="430"/>
      <c r="F97" s="430">
        <v>40548.1065</v>
      </c>
      <c r="G97" s="430"/>
      <c r="H97" s="430"/>
      <c r="I97" s="450"/>
      <c r="J97" s="451">
        <v>0.0824130549711102</v>
      </c>
      <c r="K97" s="451">
        <v>0.091666650706142</v>
      </c>
      <c r="L97" s="451">
        <v>0.0638987473148033</v>
      </c>
      <c r="M97" s="452"/>
      <c r="N97" s="451"/>
      <c r="O97" s="430"/>
      <c r="P97" s="531" t="str">
        <f t="array" ref="P97">INDEX(正厂竞争者数据汇总!I:I,MATCH($A$93&amp;B97,正厂竞争者数据汇总!A:A&amp;正厂竞争者数据汇总!D:D,0))</f>
        <v>2022年1月 新加入 CompetitorSites</v>
      </c>
      <c r="Q97" s="429"/>
      <c r="R97" s="421"/>
      <c r="S97" s="472">
        <v>2218</v>
      </c>
      <c r="T97" s="472">
        <v>289</v>
      </c>
      <c r="U97" s="466"/>
      <c r="V97" s="466"/>
      <c r="W97" s="466"/>
      <c r="X97" s="466"/>
      <c r="Y97" s="200" t="s">
        <v>294</v>
      </c>
      <c r="Z97" s="200">
        <v>2913</v>
      </c>
      <c r="AA97" s="200">
        <v>301</v>
      </c>
      <c r="AB97" s="410">
        <f t="shared" si="5"/>
        <v>1</v>
      </c>
      <c r="AC97" s="409">
        <f t="shared" si="3"/>
        <v>2913</v>
      </c>
      <c r="AD97" s="409">
        <f t="shared" si="4"/>
        <v>301</v>
      </c>
      <c r="AF97" s="540"/>
      <c r="AG97" s="410"/>
      <c r="AH97"/>
      <c r="AI97"/>
    </row>
    <row r="98" s="408" customFormat="1" spans="1:35">
      <c r="A98" s="428" t="s">
        <v>230</v>
      </c>
      <c r="B98" s="421" t="s">
        <v>295</v>
      </c>
      <c r="C98" s="429" t="str">
        <f>VLOOKUP(B98,正厂竞争者数据汇总!D:H,2,FALSE)</f>
        <v>Motor目录</v>
      </c>
      <c r="D98" s="421" t="str">
        <f>VLOOKUP(B98,正厂竞争者数据汇总!D:H,3,FALSE)</f>
        <v>NY</v>
      </c>
      <c r="E98" s="430"/>
      <c r="F98" s="430">
        <v>31365.0833333333</v>
      </c>
      <c r="G98" s="430"/>
      <c r="H98" s="430"/>
      <c r="I98" s="450"/>
      <c r="J98" s="451">
        <v>0.063748780400472</v>
      </c>
      <c r="K98" s="451">
        <v>0.0699316584307672</v>
      </c>
      <c r="L98" s="451">
        <v>0.0606609243317669</v>
      </c>
      <c r="M98" s="452"/>
      <c r="N98" s="451"/>
      <c r="O98" s="430"/>
      <c r="P98" s="531" t="str">
        <f t="array" ref="P98">INDEX(正厂竞争者数据汇总!I:I,MATCH($A$93&amp;B98,正厂竞争者数据汇总!A:A&amp;正厂竞争者数据汇总!D:D,0))</f>
        <v>2023年4月，流量更新为子站parts.subaruonlineparts.com，子站主营parts，此前监控域名为subaruonlineparts.com,该子域名的实际成单效率较高，流量不能完全反应其竞争力</v>
      </c>
      <c r="Q98" s="429"/>
      <c r="R98" s="421"/>
      <c r="S98" s="472">
        <v>1114</v>
      </c>
      <c r="T98" s="472">
        <v>117</v>
      </c>
      <c r="U98" s="466"/>
      <c r="V98" s="466"/>
      <c r="W98" s="466"/>
      <c r="X98" s="466"/>
      <c r="Y98" s="200" t="s">
        <v>295</v>
      </c>
      <c r="Z98" s="200">
        <v>1160</v>
      </c>
      <c r="AA98" s="200">
        <v>116</v>
      </c>
      <c r="AB98" s="410">
        <f t="shared" si="5"/>
        <v>1</v>
      </c>
      <c r="AC98" s="409">
        <f t="shared" si="3"/>
        <v>1160</v>
      </c>
      <c r="AD98" s="409">
        <f t="shared" si="4"/>
        <v>116</v>
      </c>
      <c r="AF98" s="540"/>
      <c r="AG98" s="410"/>
      <c r="AH98"/>
      <c r="AI98"/>
    </row>
    <row r="99" s="408" customFormat="1" spans="1:35">
      <c r="A99" s="428" t="s">
        <v>230</v>
      </c>
      <c r="B99" s="421" t="s">
        <v>297</v>
      </c>
      <c r="C99" s="429" t="str">
        <f>VLOOKUP(B99,正厂竞争者数据汇总!D:H,2,FALSE)</f>
        <v>原厂目录</v>
      </c>
      <c r="D99" s="421" t="str">
        <f>VLOOKUP(B99,正厂竞争者数据汇总!D:H,3,FALSE)</f>
        <v>CT</v>
      </c>
      <c r="E99" s="430"/>
      <c r="F99" s="430">
        <v>29792.85</v>
      </c>
      <c r="G99" s="430"/>
      <c r="H99" s="430"/>
      <c r="I99" s="450"/>
      <c r="J99" s="451">
        <v>0.0605532538195351</v>
      </c>
      <c r="K99" s="451"/>
      <c r="L99" s="451"/>
      <c r="M99" s="452"/>
      <c r="N99" s="451"/>
      <c r="O99" s="430"/>
      <c r="P99" s="531" t="str">
        <f t="array" ref="P99">INDEX(正厂竞争者数据汇总!I:I,MATCH($A$93&amp;B99,正厂竞争者数据汇总!A:A&amp;正厂竞争者数据汇总!D:D,0))</f>
        <v>2024年1月，因市场份额大于5%，加入监控</v>
      </c>
      <c r="Q99" s="429"/>
      <c r="R99" s="421"/>
      <c r="S99" s="472">
        <v>9812</v>
      </c>
      <c r="T99" s="472">
        <v>112</v>
      </c>
      <c r="U99" s="466"/>
      <c r="V99" s="466"/>
      <c r="W99" s="466"/>
      <c r="X99" s="466"/>
      <c r="Y99" s="200"/>
      <c r="Z99" s="200"/>
      <c r="AA99" s="200"/>
      <c r="AB99" s="410"/>
      <c r="AC99" s="409"/>
      <c r="AD99" s="409"/>
      <c r="AF99" s="540"/>
      <c r="AG99" s="410"/>
      <c r="AH99"/>
      <c r="AI99"/>
    </row>
    <row r="100" s="408" customFormat="1" spans="1:35">
      <c r="A100" s="428" t="s">
        <v>243</v>
      </c>
      <c r="B100" s="421" t="s">
        <v>298</v>
      </c>
      <c r="C100" s="429" t="str">
        <f>VLOOKUP(B100,正厂竞争者数据汇总!D:H,2,FALSE)</f>
        <v>原厂目录</v>
      </c>
      <c r="D100" s="421" t="str">
        <f>VLOOKUP(B100,正厂竞争者数据汇总!D:H,3,FALSE)</f>
        <v>IL</v>
      </c>
      <c r="E100" s="430"/>
      <c r="F100" s="430">
        <v>25746</v>
      </c>
      <c r="G100" s="430"/>
      <c r="H100" s="430"/>
      <c r="I100" s="450"/>
      <c r="J100" s="451">
        <v>0.0523281281528202</v>
      </c>
      <c r="K100" s="451">
        <v>0.0854457943152777</v>
      </c>
      <c r="L100" s="451">
        <v>0.11498029750433</v>
      </c>
      <c r="M100" s="452"/>
      <c r="N100" s="451"/>
      <c r="O100" s="430"/>
      <c r="P100" s="531">
        <f t="array" ref="P100">INDEX(正厂竞争者数据汇总!I:I,MATCH($A$93&amp;B100,正厂竞争者数据汇总!A:A&amp;正厂竞争者数据汇总!D:D,0))</f>
        <v>0</v>
      </c>
      <c r="Q100" s="429"/>
      <c r="R100" s="421"/>
      <c r="S100" s="472">
        <v>678</v>
      </c>
      <c r="T100" s="472">
        <v>149</v>
      </c>
      <c r="U100" s="466"/>
      <c r="V100" s="466"/>
      <c r="W100" s="466"/>
      <c r="X100" s="466"/>
      <c r="Y100" s="200" t="s">
        <v>298</v>
      </c>
      <c r="Z100" s="200">
        <v>682</v>
      </c>
      <c r="AA100" s="200">
        <v>157</v>
      </c>
      <c r="AB100" s="410">
        <f t="shared" ref="AB100:AB161" si="6">IF(B100=Y100,1,0)</f>
        <v>1</v>
      </c>
      <c r="AC100" s="409">
        <f t="shared" ref="AC100:AC161" si="7">IF(Y100="Competitors","Forum Link",Z100)</f>
        <v>682</v>
      </c>
      <c r="AD100" s="409">
        <f t="shared" ref="AD100:AD161" si="8">IF(Y100="Competitors","Domains",AA100)</f>
        <v>157</v>
      </c>
      <c r="AF100" s="540"/>
      <c r="AG100" s="410"/>
      <c r="AH100"/>
      <c r="AI100"/>
    </row>
    <row r="101" s="408" customFormat="1" spans="1:35">
      <c r="A101" s="428" t="s">
        <v>230</v>
      </c>
      <c r="B101" s="421" t="s">
        <v>296</v>
      </c>
      <c r="C101" s="429" t="str">
        <f>VLOOKUP(B101,正厂竞争者数据汇总!D:H,2,FALSE)</f>
        <v>Motor目录</v>
      </c>
      <c r="D101" s="421" t="str">
        <f>VLOOKUP(B101,正厂竞争者数据汇总!D:H,3,FALSE)</f>
        <v>NY</v>
      </c>
      <c r="E101" s="430"/>
      <c r="F101" s="430">
        <v>25045.75</v>
      </c>
      <c r="G101" s="430"/>
      <c r="H101" s="430"/>
      <c r="I101" s="450"/>
      <c r="J101" s="451">
        <v>0.0509048868050764</v>
      </c>
      <c r="K101" s="451">
        <v>0.0533799653813095</v>
      </c>
      <c r="L101" s="451">
        <v>0.0401131387541157</v>
      </c>
      <c r="M101" s="452"/>
      <c r="N101" s="451"/>
      <c r="O101" s="430"/>
      <c r="P101" s="531" t="str">
        <f t="array" ref="P101">INDEX(正厂竞争者数据汇总!I:I,MATCH($A$93&amp;B101,正厂竞争者数据汇总!A:A&amp;正厂竞争者数据汇总!D:D,0))</f>
        <v>2023年2月新增正厂，Semrush子域名查不到流量。202306因流量上涨加入MS计算基准</v>
      </c>
      <c r="Q101" s="429"/>
      <c r="R101" s="421"/>
      <c r="S101" s="472">
        <v>33</v>
      </c>
      <c r="T101" s="472">
        <v>18</v>
      </c>
      <c r="U101" s="466"/>
      <c r="V101" s="466"/>
      <c r="W101" s="466"/>
      <c r="X101" s="466"/>
      <c r="Y101" s="200" t="s">
        <v>296</v>
      </c>
      <c r="Z101" s="200">
        <v>32</v>
      </c>
      <c r="AA101" s="200">
        <v>17</v>
      </c>
      <c r="AB101" s="410">
        <f t="shared" si="6"/>
        <v>1</v>
      </c>
      <c r="AC101" s="409">
        <f t="shared" si="7"/>
        <v>32</v>
      </c>
      <c r="AD101" s="409">
        <f t="shared" si="8"/>
        <v>17</v>
      </c>
      <c r="AF101" s="540"/>
      <c r="AG101" s="410"/>
      <c r="AH101"/>
      <c r="AI101"/>
    </row>
    <row r="102" s="408" customFormat="1" spans="1:35">
      <c r="A102" s="428"/>
      <c r="B102" s="421"/>
      <c r="C102" s="429"/>
      <c r="D102" s="421"/>
      <c r="E102" s="430"/>
      <c r="F102" s="481"/>
      <c r="G102" s="481"/>
      <c r="H102" s="481"/>
      <c r="I102" s="453"/>
      <c r="J102" s="451"/>
      <c r="K102" s="451"/>
      <c r="L102" s="451"/>
      <c r="M102" s="451"/>
      <c r="N102" s="451"/>
      <c r="O102" s="430"/>
      <c r="P102" s="531"/>
      <c r="Q102" s="429"/>
      <c r="R102" s="421"/>
      <c r="S102" s="473" t="s">
        <v>180</v>
      </c>
      <c r="T102" s="473" t="s">
        <v>180</v>
      </c>
      <c r="U102" s="466"/>
      <c r="V102" s="466"/>
      <c r="W102" s="421"/>
      <c r="X102" s="421"/>
      <c r="Y102" s="200" t="s">
        <v>240</v>
      </c>
      <c r="Z102" s="200" t="s">
        <v>180</v>
      </c>
      <c r="AA102" s="200" t="s">
        <v>180</v>
      </c>
      <c r="AB102" s="410">
        <f t="shared" si="6"/>
        <v>0</v>
      </c>
      <c r="AC102" s="409" t="str">
        <f t="shared" si="7"/>
        <v/>
      </c>
      <c r="AD102" s="409" t="str">
        <f t="shared" si="8"/>
        <v/>
      </c>
      <c r="AF102" s="540"/>
      <c r="AG102" s="410"/>
      <c r="AH102"/>
      <c r="AI102"/>
    </row>
    <row r="103" s="408" customFormat="1" spans="1:35">
      <c r="A103" s="428"/>
      <c r="B103" s="421"/>
      <c r="C103" s="439"/>
      <c r="D103" s="421"/>
      <c r="E103" s="421"/>
      <c r="F103" s="481">
        <v>492010.719833333</v>
      </c>
      <c r="G103" s="481">
        <v>427571.166666666</v>
      </c>
      <c r="H103" s="481">
        <v>496054.5</v>
      </c>
      <c r="I103" s="453">
        <v>0.150710707808098</v>
      </c>
      <c r="J103" s="430"/>
      <c r="K103" s="430"/>
      <c r="L103" s="430"/>
      <c r="M103" s="451"/>
      <c r="N103" s="451">
        <f>SUM(N95:N100)</f>
        <v>0</v>
      </c>
      <c r="O103" s="430"/>
      <c r="P103" s="531"/>
      <c r="Q103" s="429"/>
      <c r="R103" s="421"/>
      <c r="S103" s="473" t="s">
        <v>180</v>
      </c>
      <c r="T103" s="473" t="s">
        <v>180</v>
      </c>
      <c r="U103" s="466"/>
      <c r="V103" s="466"/>
      <c r="W103" s="421"/>
      <c r="X103" s="421"/>
      <c r="Y103" s="200" t="s">
        <v>240</v>
      </c>
      <c r="Z103" s="200" t="s">
        <v>180</v>
      </c>
      <c r="AA103" s="200" t="s">
        <v>180</v>
      </c>
      <c r="AB103" s="410">
        <f t="shared" si="6"/>
        <v>0</v>
      </c>
      <c r="AC103" s="409" t="str">
        <f t="shared" si="7"/>
        <v/>
      </c>
      <c r="AD103" s="409" t="str">
        <f t="shared" si="8"/>
        <v/>
      </c>
      <c r="AF103" s="540"/>
      <c r="AG103" s="410"/>
      <c r="AH103"/>
      <c r="AI103"/>
    </row>
    <row r="104" s="408" customFormat="1" spans="1:35">
      <c r="A104" s="428"/>
      <c r="B104" s="421"/>
      <c r="C104" s="429"/>
      <c r="D104" s="421"/>
      <c r="E104" s="430"/>
      <c r="F104" s="451"/>
      <c r="G104" s="451"/>
      <c r="H104" s="451"/>
      <c r="I104" s="453"/>
      <c r="J104" s="451"/>
      <c r="K104" s="451"/>
      <c r="L104" s="451"/>
      <c r="M104" s="451"/>
      <c r="N104" s="451"/>
      <c r="O104" s="451"/>
      <c r="P104" s="531"/>
      <c r="Q104" s="429"/>
      <c r="R104" s="421"/>
      <c r="S104" s="473" t="s">
        <v>180</v>
      </c>
      <c r="T104" s="473" t="s">
        <v>180</v>
      </c>
      <c r="U104" s="466"/>
      <c r="V104" s="466"/>
      <c r="W104" s="421"/>
      <c r="X104" s="421"/>
      <c r="Y104" s="200" t="s">
        <v>240</v>
      </c>
      <c r="Z104" s="200" t="s">
        <v>180</v>
      </c>
      <c r="AA104" s="200" t="s">
        <v>180</v>
      </c>
      <c r="AB104" s="410">
        <f t="shared" si="6"/>
        <v>0</v>
      </c>
      <c r="AC104" s="409" t="str">
        <f t="shared" si="7"/>
        <v/>
      </c>
      <c r="AD104" s="409" t="str">
        <f t="shared" si="8"/>
        <v/>
      </c>
      <c r="AF104" s="540"/>
      <c r="AG104" s="410"/>
      <c r="AH104"/>
      <c r="AI104"/>
    </row>
    <row r="105" s="408" customFormat="1" ht="17.4" spans="1:35">
      <c r="A105" s="418" t="s">
        <v>168</v>
      </c>
      <c r="B105" s="487"/>
      <c r="C105" s="420"/>
      <c r="D105" s="421"/>
      <c r="E105" s="422" t="s">
        <v>202</v>
      </c>
      <c r="F105" s="422"/>
      <c r="G105" s="422" t="s">
        <v>213</v>
      </c>
      <c r="H105" s="422"/>
      <c r="I105" s="422"/>
      <c r="J105" s="422"/>
      <c r="K105" s="422"/>
      <c r="L105" s="422"/>
      <c r="M105" s="443"/>
      <c r="N105" s="444"/>
      <c r="O105" s="422"/>
      <c r="P105" s="531"/>
      <c r="Q105" s="465"/>
      <c r="R105" s="424"/>
      <c r="S105" s="473" t="s">
        <v>180</v>
      </c>
      <c r="T105" s="473" t="s">
        <v>180</v>
      </c>
      <c r="U105" s="467"/>
      <c r="V105" s="467"/>
      <c r="W105" s="467"/>
      <c r="X105" s="467"/>
      <c r="Y105" s="200" t="s">
        <v>240</v>
      </c>
      <c r="Z105" s="200" t="s">
        <v>180</v>
      </c>
      <c r="AA105" s="200" t="s">
        <v>180</v>
      </c>
      <c r="AB105" s="410">
        <f t="shared" si="6"/>
        <v>0</v>
      </c>
      <c r="AC105" s="409" t="str">
        <f t="shared" si="7"/>
        <v/>
      </c>
      <c r="AD105" s="409" t="str">
        <f t="shared" si="8"/>
        <v/>
      </c>
      <c r="AF105" s="540"/>
      <c r="AG105" s="410"/>
      <c r="AH105"/>
      <c r="AI105"/>
    </row>
    <row r="106" s="409" customFormat="1" ht="46.8" spans="1:35">
      <c r="A106" s="423" t="s">
        <v>206</v>
      </c>
      <c r="B106" s="424" t="s">
        <v>207</v>
      </c>
      <c r="C106" s="425" t="s">
        <v>208</v>
      </c>
      <c r="D106" s="424" t="s">
        <v>209</v>
      </c>
      <c r="E106" s="426" t="s">
        <v>210</v>
      </c>
      <c r="F106" s="427" t="s">
        <v>213</v>
      </c>
      <c r="G106" s="427">
        <v>197584.75</v>
      </c>
      <c r="H106" s="427" t="s">
        <v>213</v>
      </c>
      <c r="I106" s="427" t="s">
        <v>386</v>
      </c>
      <c r="J106" s="446" t="s">
        <v>217</v>
      </c>
      <c r="K106" s="446" t="s">
        <v>387</v>
      </c>
      <c r="L106" s="446" t="s">
        <v>390</v>
      </c>
      <c r="M106" s="447" t="s">
        <v>218</v>
      </c>
      <c r="N106" s="448" t="s">
        <v>219</v>
      </c>
      <c r="O106" s="449" t="s">
        <v>220</v>
      </c>
      <c r="P106" s="530" t="s">
        <v>221</v>
      </c>
      <c r="Q106" s="469" t="s">
        <v>222</v>
      </c>
      <c r="R106" s="426" t="s">
        <v>223</v>
      </c>
      <c r="S106" s="470" t="s">
        <v>224</v>
      </c>
      <c r="T106" s="470" t="s">
        <v>205</v>
      </c>
      <c r="U106" s="467" t="s">
        <v>225</v>
      </c>
      <c r="V106" s="470" t="s">
        <v>226</v>
      </c>
      <c r="W106" s="467"/>
      <c r="X106" s="467"/>
      <c r="Y106" s="200" t="s">
        <v>207</v>
      </c>
      <c r="Z106" s="200" t="s">
        <v>180</v>
      </c>
      <c r="AA106" s="200" t="s">
        <v>180</v>
      </c>
      <c r="AB106" s="410">
        <f t="shared" si="6"/>
        <v>1</v>
      </c>
      <c r="AC106" s="409" t="str">
        <f t="shared" si="7"/>
        <v>Forum Link</v>
      </c>
      <c r="AD106" s="409" t="str">
        <f t="shared" si="8"/>
        <v>Domains</v>
      </c>
      <c r="AF106" s="540"/>
      <c r="AG106" s="410"/>
      <c r="AH106"/>
      <c r="AI106"/>
    </row>
    <row r="107" s="410" customFormat="1" ht="17.4" spans="1:35">
      <c r="A107" s="432" t="s">
        <v>227</v>
      </c>
      <c r="B107" s="432" t="s">
        <v>169</v>
      </c>
      <c r="C107" s="434" t="str">
        <f>VLOOKUP(B107,正厂竞争者数据汇总!D:H,2,FALSE)</f>
        <v>原厂目录</v>
      </c>
      <c r="D107" s="435" t="str">
        <f>VLOOKUP(B107,正厂竞争者数据汇总!D:H,3,FALSE)</f>
        <v>CA</v>
      </c>
      <c r="E107" s="436">
        <f>VLOOKUP(B107,正厂竞争者数据汇总!D:H,4,FALSE)</f>
        <v>0</v>
      </c>
      <c r="F107" s="436">
        <v>301771.5086</v>
      </c>
      <c r="G107" s="436">
        <v>39089.5833333333</v>
      </c>
      <c r="H107" s="436">
        <v>201623.666666667</v>
      </c>
      <c r="I107" s="454">
        <v>6.71999808815222</v>
      </c>
      <c r="J107" s="457">
        <v>0.624093948477954</v>
      </c>
      <c r="K107" s="457">
        <v>0.62279478145527</v>
      </c>
      <c r="L107" s="457">
        <v>0.633196949198088</v>
      </c>
      <c r="M107" s="456">
        <f>J107-K114</f>
        <v>0.582206077400898</v>
      </c>
      <c r="N107" s="457" t="str">
        <f>IFERROR(O107*0.5/$F$107,"")</f>
        <v/>
      </c>
      <c r="O107" s="436" t="s">
        <v>180</v>
      </c>
      <c r="P107" s="531">
        <f t="array" ref="P107">INDEX(正厂竞争者数据汇总!I:I,MATCH($A$105&amp;B107,正厂竞争者数据汇总!A:A&amp;正厂竞争者数据汇总!D:D,0))</f>
        <v>0</v>
      </c>
      <c r="Q107" s="434" t="s">
        <v>299</v>
      </c>
      <c r="R107" s="435" t="s">
        <v>229</v>
      </c>
      <c r="S107" s="476">
        <v>25748</v>
      </c>
      <c r="T107" s="476">
        <v>3691</v>
      </c>
      <c r="U107" s="477"/>
      <c r="V107" s="477"/>
      <c r="W107" s="435"/>
      <c r="X107" s="435"/>
      <c r="Y107" s="200" t="s">
        <v>169</v>
      </c>
      <c r="Z107" s="200">
        <v>25098</v>
      </c>
      <c r="AA107" s="200">
        <v>3453</v>
      </c>
      <c r="AB107" s="410">
        <f t="shared" si="6"/>
        <v>1</v>
      </c>
      <c r="AC107" s="409">
        <f t="shared" si="7"/>
        <v>25098</v>
      </c>
      <c r="AD107" s="409">
        <f t="shared" si="8"/>
        <v>3453</v>
      </c>
      <c r="AF107" s="540"/>
      <c r="AH107"/>
      <c r="AI107"/>
    </row>
    <row r="108" s="408" customFormat="1" ht="17.4" spans="1:35">
      <c r="A108" s="428" t="s">
        <v>243</v>
      </c>
      <c r="B108" s="421" t="s">
        <v>303</v>
      </c>
      <c r="C108" s="429" t="s">
        <v>247</v>
      </c>
      <c r="D108" s="421" t="s">
        <v>49</v>
      </c>
      <c r="E108" s="430"/>
      <c r="F108" s="430">
        <v>40514.8245833333</v>
      </c>
      <c r="G108" s="430"/>
      <c r="H108" s="430"/>
      <c r="I108" s="450"/>
      <c r="J108" s="451">
        <v>0.0837887478622763</v>
      </c>
      <c r="K108" s="451">
        <v>0.0648504922141635</v>
      </c>
      <c r="L108" s="451">
        <v>0.068720767361752</v>
      </c>
      <c r="M108" s="452"/>
      <c r="N108" s="451"/>
      <c r="O108" s="430"/>
      <c r="P108" s="531" t="str">
        <f t="array" ref="P108">INDEX(正厂竞争者数据汇总!I:I,MATCH($A$105&amp;B108,正厂竞争者数据汇总!A:A&amp;正厂竞争者数据汇总!D:D,0))</f>
        <v>2023年3月新增正厂，202306因流量超过MS5%加入MS计算基准</v>
      </c>
      <c r="Q108" s="429"/>
      <c r="R108" s="421"/>
      <c r="S108" s="472">
        <v>685</v>
      </c>
      <c r="T108" s="472">
        <v>311</v>
      </c>
      <c r="U108" s="466"/>
      <c r="V108" s="466"/>
      <c r="W108" s="466"/>
      <c r="X108" s="466"/>
      <c r="Y108" s="200" t="s">
        <v>303</v>
      </c>
      <c r="Z108" s="200">
        <v>668</v>
      </c>
      <c r="AA108" s="200">
        <v>300</v>
      </c>
      <c r="AB108" s="410">
        <f t="shared" si="6"/>
        <v>1</v>
      </c>
      <c r="AC108" s="409">
        <f t="shared" si="7"/>
        <v>668</v>
      </c>
      <c r="AD108" s="409">
        <f t="shared" si="8"/>
        <v>300</v>
      </c>
      <c r="AF108" s="540"/>
      <c r="AG108" s="410"/>
      <c r="AH108"/>
      <c r="AI108"/>
    </row>
    <row r="109" s="408" customFormat="1" ht="17.4" spans="1:35">
      <c r="A109" s="428" t="s">
        <v>243</v>
      </c>
      <c r="B109" s="421" t="s">
        <v>300</v>
      </c>
      <c r="C109" s="429" t="s">
        <v>301</v>
      </c>
      <c r="D109" s="421" t="s">
        <v>302</v>
      </c>
      <c r="E109" s="430"/>
      <c r="F109" s="430">
        <v>31591</v>
      </c>
      <c r="G109" s="430"/>
      <c r="H109" s="430"/>
      <c r="I109" s="450"/>
      <c r="J109" s="451">
        <v>0.065333377620153</v>
      </c>
      <c r="K109" s="451">
        <v>0.0718814091261876</v>
      </c>
      <c r="L109" s="451">
        <v>0.0610286640671596</v>
      </c>
      <c r="M109" s="452"/>
      <c r="N109" s="451"/>
      <c r="O109" s="430"/>
      <c r="P109" s="531" t="str">
        <f t="array" ref="P109">INDEX(正厂竞争者数据汇总!I:I,MATCH($A$105&amp;B109,正厂竞争者数据汇总!A:A&amp;正厂竞争者数据汇总!D:D,0))</f>
        <v>2023年3月新增正厂，202305因流量超过MS5%加入MS计算基准</v>
      </c>
      <c r="Q109" s="429"/>
      <c r="R109" s="421"/>
      <c r="S109" s="472">
        <v>585</v>
      </c>
      <c r="T109" s="472">
        <v>194</v>
      </c>
      <c r="U109" s="466"/>
      <c r="V109" s="466"/>
      <c r="W109" s="466"/>
      <c r="X109" s="466"/>
      <c r="Y109" s="200" t="s">
        <v>300</v>
      </c>
      <c r="Z109" s="200">
        <v>588</v>
      </c>
      <c r="AA109" s="200">
        <v>174</v>
      </c>
      <c r="AB109" s="410">
        <f t="shared" si="6"/>
        <v>1</v>
      </c>
      <c r="AC109" s="409">
        <f t="shared" si="7"/>
        <v>588</v>
      </c>
      <c r="AD109" s="409">
        <f t="shared" si="8"/>
        <v>174</v>
      </c>
      <c r="AF109" s="540"/>
      <c r="AG109" s="410"/>
      <c r="AH109"/>
      <c r="AI109"/>
    </row>
    <row r="110" s="408" customFormat="1" ht="17.4" spans="1:35">
      <c r="A110" s="428" t="s">
        <v>230</v>
      </c>
      <c r="B110" s="421" t="s">
        <v>307</v>
      </c>
      <c r="C110" s="429" t="s">
        <v>247</v>
      </c>
      <c r="D110" s="421" t="s">
        <v>49</v>
      </c>
      <c r="E110" s="430"/>
      <c r="F110" s="430">
        <v>28429.1666666666</v>
      </c>
      <c r="G110" s="430"/>
      <c r="H110" s="430"/>
      <c r="I110" s="450"/>
      <c r="J110" s="451">
        <v>0.0587943870488302</v>
      </c>
      <c r="K110" s="451">
        <v>0.0671685251177804</v>
      </c>
      <c r="L110" s="451">
        <v>0.0492423267034244</v>
      </c>
      <c r="M110" s="452"/>
      <c r="N110" s="451"/>
      <c r="O110" s="430"/>
      <c r="P110" s="531" t="str">
        <f t="array" ref="P110">INDEX(正厂竞争者数据汇总!I:I,MATCH($A$105&amp;B110,正厂竞争者数据汇总!A:A&amp;正厂竞争者数据汇总!D:D,0))</f>
        <v>2023年2月新增正厂</v>
      </c>
      <c r="Q110" s="429"/>
      <c r="R110" s="421"/>
      <c r="S110" s="472">
        <v>693</v>
      </c>
      <c r="T110" s="472">
        <v>64</v>
      </c>
      <c r="U110" s="466"/>
      <c r="V110" s="466"/>
      <c r="W110" s="466"/>
      <c r="X110" s="466"/>
      <c r="Y110" s="200" t="s">
        <v>307</v>
      </c>
      <c r="Z110" s="200">
        <v>754</v>
      </c>
      <c r="AA110" s="200">
        <v>70</v>
      </c>
      <c r="AB110" s="410">
        <f t="shared" si="6"/>
        <v>1</v>
      </c>
      <c r="AC110" s="409">
        <f t="shared" si="7"/>
        <v>754</v>
      </c>
      <c r="AD110" s="409">
        <f t="shared" si="8"/>
        <v>70</v>
      </c>
      <c r="AF110" s="540"/>
      <c r="AG110" s="410"/>
      <c r="AH110"/>
      <c r="AI110"/>
    </row>
    <row r="111" s="408" customFormat="1" spans="1:35">
      <c r="A111" s="428" t="s">
        <v>230</v>
      </c>
      <c r="B111" s="421" t="s">
        <v>304</v>
      </c>
      <c r="C111" s="429" t="str">
        <f>VLOOKUP(B111,正厂竞争者数据汇总!D:H,2,FALSE)</f>
        <v>Motor目录</v>
      </c>
      <c r="D111" s="421" t="str">
        <f>VLOOKUP(B111,正厂竞争者数据汇总!D:H,3,FALSE)</f>
        <v>CA</v>
      </c>
      <c r="E111" s="430"/>
      <c r="F111" s="430">
        <v>24801.6133333333</v>
      </c>
      <c r="G111" s="430"/>
      <c r="H111" s="430"/>
      <c r="I111" s="450"/>
      <c r="J111" s="451">
        <v>0.0512922404955742</v>
      </c>
      <c r="K111" s="451">
        <v>0.0511885953256876</v>
      </c>
      <c r="L111" s="451">
        <v>0.0415684813375982</v>
      </c>
      <c r="M111" s="452"/>
      <c r="N111" s="451"/>
      <c r="O111" s="430"/>
      <c r="P111" s="531">
        <f t="array" ref="P111">INDEX(正厂竞争者数据汇总!I:I,MATCH($A$105&amp;B111,正厂竞争者数据汇总!A:A&amp;正厂竞争者数据汇总!D:D,0))</f>
        <v>0</v>
      </c>
      <c r="Q111" s="429"/>
      <c r="R111" s="421"/>
      <c r="S111" s="472">
        <v>778</v>
      </c>
      <c r="T111" s="472">
        <v>124</v>
      </c>
      <c r="U111" s="466"/>
      <c r="V111" s="466"/>
      <c r="W111" s="466"/>
      <c r="X111" s="466"/>
      <c r="Y111" s="200" t="s">
        <v>304</v>
      </c>
      <c r="Z111" s="200">
        <v>772</v>
      </c>
      <c r="AA111" s="200">
        <v>127</v>
      </c>
      <c r="AB111" s="410">
        <f t="shared" si="6"/>
        <v>1</v>
      </c>
      <c r="AC111" s="409">
        <f t="shared" si="7"/>
        <v>772</v>
      </c>
      <c r="AD111" s="409">
        <f t="shared" si="8"/>
        <v>127</v>
      </c>
      <c r="AF111" s="540"/>
      <c r="AG111" s="410"/>
      <c r="AH111"/>
      <c r="AI111"/>
    </row>
    <row r="112" s="408" customFormat="1" spans="1:35">
      <c r="A112" s="428" t="s">
        <v>230</v>
      </c>
      <c r="B112" s="421" t="s">
        <v>308</v>
      </c>
      <c r="C112" s="429" t="str">
        <f>VLOOKUP(B112,正厂竞争者数据汇总!D:H,2,FALSE)</f>
        <v>Motor目录</v>
      </c>
      <c r="D112" s="421" t="str">
        <f>VLOOKUP(B112,正厂竞争者数据汇总!D:H,3,FALSE)</f>
        <v>OH</v>
      </c>
      <c r="E112" s="430"/>
      <c r="F112" s="430">
        <v>20577.1666666667</v>
      </c>
      <c r="G112" s="430"/>
      <c r="H112" s="430"/>
      <c r="I112" s="450"/>
      <c r="J112" s="451">
        <v>0.0425556582629914</v>
      </c>
      <c r="K112" s="451">
        <v>0.0421143139244604</v>
      </c>
      <c r="L112" s="451">
        <v>0.0468031290043519</v>
      </c>
      <c r="M112" s="452"/>
      <c r="N112" s="451"/>
      <c r="O112" s="430"/>
      <c r="P112" s="531">
        <f t="array" ref="P112">INDEX(正厂竞争者数据汇总!I:I,MATCH($A$105&amp;B112,正厂竞争者数据汇总!A:A&amp;正厂竞争者数据汇总!D:D,0))</f>
        <v>0</v>
      </c>
      <c r="Q112" s="429"/>
      <c r="R112" s="421"/>
      <c r="S112" s="472">
        <v>563</v>
      </c>
      <c r="T112" s="472">
        <v>162</v>
      </c>
      <c r="U112" s="466"/>
      <c r="V112" s="466"/>
      <c r="W112" s="466"/>
      <c r="X112" s="466"/>
      <c r="Y112" s="200" t="s">
        <v>308</v>
      </c>
      <c r="Z112" s="200">
        <v>665</v>
      </c>
      <c r="AA112" s="200">
        <v>178</v>
      </c>
      <c r="AB112" s="410">
        <f t="shared" si="6"/>
        <v>1</v>
      </c>
      <c r="AC112" s="409">
        <f t="shared" si="7"/>
        <v>665</v>
      </c>
      <c r="AD112" s="409">
        <f t="shared" si="8"/>
        <v>178</v>
      </c>
      <c r="AF112" s="540"/>
      <c r="AG112" s="410"/>
      <c r="AH112"/>
      <c r="AI112"/>
    </row>
    <row r="113" s="408" customFormat="1" spans="1:35">
      <c r="A113" s="428" t="s">
        <v>230</v>
      </c>
      <c r="B113" s="421" t="s">
        <v>309</v>
      </c>
      <c r="C113" s="429" t="str">
        <f>VLOOKUP(B113,正厂竞争者数据汇总!D:H,2,FALSE)</f>
        <v>Motor目录</v>
      </c>
      <c r="D113" s="421" t="str">
        <f>VLOOKUP(B113,正厂竞争者数据汇总!D:H,3,FALSE)</f>
        <v>FL</v>
      </c>
      <c r="E113" s="430"/>
      <c r="F113" s="430">
        <v>18377.94</v>
      </c>
      <c r="G113" s="430"/>
      <c r="H113" s="430"/>
      <c r="I113" s="450"/>
      <c r="J113" s="451">
        <v>0.038007435468979</v>
      </c>
      <c r="K113" s="451">
        <v>0.0381140117593952</v>
      </c>
      <c r="L113" s="451">
        <v>0.0495969107447795</v>
      </c>
      <c r="M113" s="452"/>
      <c r="N113" s="451"/>
      <c r="O113" s="430"/>
      <c r="P113" s="531" t="str">
        <f t="array" ref="P113">INDEX(正厂竞争者数据汇总!I:I,MATCH($A$105&amp;B113,正厂竞争者数据汇总!A:A&amp;正厂竞争者数据汇总!D:D,0))</f>
        <v>同时经营多品牌网站零件，折算比例为：toyota：33%，lexus：42%，subaru:25%</v>
      </c>
      <c r="Q113" s="429"/>
      <c r="R113" s="421"/>
      <c r="S113" s="472">
        <v>1358</v>
      </c>
      <c r="T113" s="472">
        <v>262</v>
      </c>
      <c r="U113" s="466"/>
      <c r="V113" s="466"/>
      <c r="W113" s="466"/>
      <c r="X113" s="466"/>
      <c r="Y113" s="200" t="s">
        <v>309</v>
      </c>
      <c r="Z113" s="200">
        <v>1414</v>
      </c>
      <c r="AA113" s="200">
        <v>278</v>
      </c>
      <c r="AB113" s="410">
        <f t="shared" si="6"/>
        <v>1</v>
      </c>
      <c r="AC113" s="409">
        <f t="shared" si="7"/>
        <v>1414</v>
      </c>
      <c r="AD113" s="409">
        <f t="shared" si="8"/>
        <v>278</v>
      </c>
      <c r="AF113" s="540"/>
      <c r="AG113" s="410"/>
      <c r="AH113"/>
      <c r="AI113"/>
    </row>
    <row r="114" s="408" customFormat="1" spans="1:35">
      <c r="A114" s="428" t="s">
        <v>305</v>
      </c>
      <c r="B114" s="421" t="s">
        <v>306</v>
      </c>
      <c r="C114" s="429" t="str">
        <f>VLOOKUP(B114,正厂竞争者数据汇总!D:H,2,FALSE)</f>
        <v>Motor目录</v>
      </c>
      <c r="D114" s="421" t="str">
        <f>VLOOKUP(B114,正厂竞争者数据汇总!D:H,3,FALSE)</f>
        <v>CA</v>
      </c>
      <c r="E114" s="430"/>
      <c r="F114" s="430">
        <v>17472.1666666667</v>
      </c>
      <c r="G114" s="430"/>
      <c r="H114" s="430"/>
      <c r="I114" s="450"/>
      <c r="J114" s="451">
        <v>0.0361342047632422</v>
      </c>
      <c r="K114" s="451">
        <v>0.0418878710770557</v>
      </c>
      <c r="L114" s="451">
        <v>0.0498427715828462</v>
      </c>
      <c r="M114" s="452"/>
      <c r="N114" s="451"/>
      <c r="O114" s="430"/>
      <c r="P114" s="531">
        <f t="array" ref="P114">INDEX(正厂竞争者数据汇总!I:I,MATCH($A$105&amp;B114,正厂竞争者数据汇总!A:A&amp;正厂竞争者数据汇总!D:D,0))</f>
        <v>0</v>
      </c>
      <c r="Q114" s="429"/>
      <c r="R114" s="421"/>
      <c r="S114" s="472">
        <v>1368</v>
      </c>
      <c r="T114" s="472">
        <v>264</v>
      </c>
      <c r="U114" s="466"/>
      <c r="V114" s="466"/>
      <c r="W114" s="466"/>
      <c r="X114" s="466"/>
      <c r="Y114" s="200" t="s">
        <v>306</v>
      </c>
      <c r="Z114" s="200">
        <v>1449</v>
      </c>
      <c r="AA114" s="200">
        <v>265</v>
      </c>
      <c r="AB114" s="410">
        <f t="shared" si="6"/>
        <v>1</v>
      </c>
      <c r="AC114" s="409">
        <f t="shared" si="7"/>
        <v>1449</v>
      </c>
      <c r="AD114" s="409">
        <f t="shared" si="8"/>
        <v>265</v>
      </c>
      <c r="AF114" s="540"/>
      <c r="AG114" s="410"/>
      <c r="AH114"/>
      <c r="AI114"/>
    </row>
    <row r="115" s="408" customFormat="1" spans="1:35">
      <c r="A115" s="440"/>
      <c r="B115" s="431"/>
      <c r="C115" s="429"/>
      <c r="D115" s="421"/>
      <c r="E115" s="430"/>
      <c r="F115" s="430"/>
      <c r="G115" s="430">
        <v>259436.916666667</v>
      </c>
      <c r="H115" s="430"/>
      <c r="I115" s="453"/>
      <c r="J115" s="451"/>
      <c r="K115" s="451"/>
      <c r="L115" s="451"/>
      <c r="M115" s="451"/>
      <c r="N115" s="451"/>
      <c r="O115" s="430"/>
      <c r="P115" s="531"/>
      <c r="Q115" s="429"/>
      <c r="R115" s="421"/>
      <c r="S115" s="473" t="s">
        <v>180</v>
      </c>
      <c r="T115" s="473" t="s">
        <v>180</v>
      </c>
      <c r="U115" s="466"/>
      <c r="V115" s="466"/>
      <c r="W115" s="421"/>
      <c r="X115" s="421"/>
      <c r="Y115" s="200" t="s">
        <v>240</v>
      </c>
      <c r="Z115" s="200" t="s">
        <v>180</v>
      </c>
      <c r="AA115" s="200" t="s">
        <v>180</v>
      </c>
      <c r="AB115" s="410">
        <f t="shared" si="6"/>
        <v>0</v>
      </c>
      <c r="AC115" s="409" t="str">
        <f t="shared" si="7"/>
        <v/>
      </c>
      <c r="AD115" s="409" t="str">
        <f t="shared" si="8"/>
        <v/>
      </c>
      <c r="AF115" s="540"/>
      <c r="AG115" s="410"/>
      <c r="AH115"/>
      <c r="AI115"/>
    </row>
    <row r="116" s="408" customFormat="1" spans="1:35">
      <c r="A116" s="428"/>
      <c r="B116" s="431"/>
      <c r="C116" s="439"/>
      <c r="D116" s="421"/>
      <c r="E116" s="430"/>
      <c r="F116" s="430">
        <v>483535.386516667</v>
      </c>
      <c r="G116" s="430"/>
      <c r="H116" s="430">
        <v>254943.25</v>
      </c>
      <c r="I116" s="453" t="e">
        <v>#DIV/0!</v>
      </c>
      <c r="J116" s="430"/>
      <c r="K116" s="430"/>
      <c r="L116" s="430"/>
      <c r="M116" s="451"/>
      <c r="N116" s="451">
        <f>SUM(N107:N112)</f>
        <v>0</v>
      </c>
      <c r="O116" s="430"/>
      <c r="P116" s="531"/>
      <c r="Q116" s="429"/>
      <c r="R116" s="421"/>
      <c r="S116" s="473" t="s">
        <v>180</v>
      </c>
      <c r="T116" s="473" t="s">
        <v>180</v>
      </c>
      <c r="U116" s="466"/>
      <c r="V116" s="466"/>
      <c r="W116" s="421"/>
      <c r="X116" s="421"/>
      <c r="Y116" s="200" t="s">
        <v>240</v>
      </c>
      <c r="Z116" s="200" t="s">
        <v>180</v>
      </c>
      <c r="AA116" s="200" t="s">
        <v>180</v>
      </c>
      <c r="AB116" s="410">
        <f t="shared" si="6"/>
        <v>0</v>
      </c>
      <c r="AC116" s="409" t="str">
        <f t="shared" si="7"/>
        <v/>
      </c>
      <c r="AD116" s="409" t="str">
        <f t="shared" si="8"/>
        <v/>
      </c>
      <c r="AF116" s="540"/>
      <c r="AG116" s="410"/>
      <c r="AH116"/>
      <c r="AI116"/>
    </row>
    <row r="117" s="408" customFormat="1" spans="1:35">
      <c r="A117" s="428"/>
      <c r="B117" s="421"/>
      <c r="C117" s="439"/>
      <c r="D117" s="421"/>
      <c r="E117" s="430"/>
      <c r="F117" s="451"/>
      <c r="G117" s="451"/>
      <c r="H117" s="451"/>
      <c r="I117" s="453"/>
      <c r="J117" s="451"/>
      <c r="K117" s="451"/>
      <c r="L117" s="451"/>
      <c r="M117" s="451"/>
      <c r="N117" s="451"/>
      <c r="O117" s="451"/>
      <c r="P117" s="531"/>
      <c r="Q117" s="429"/>
      <c r="R117" s="421"/>
      <c r="S117" s="473" t="s">
        <v>180</v>
      </c>
      <c r="T117" s="473" t="s">
        <v>180</v>
      </c>
      <c r="U117" s="466"/>
      <c r="V117" s="466"/>
      <c r="W117" s="421"/>
      <c r="X117" s="421"/>
      <c r="Y117" s="200" t="s">
        <v>240</v>
      </c>
      <c r="Z117" s="200" t="s">
        <v>180</v>
      </c>
      <c r="AA117" s="200" t="s">
        <v>180</v>
      </c>
      <c r="AB117" s="410">
        <f t="shared" si="6"/>
        <v>0</v>
      </c>
      <c r="AC117" s="409" t="str">
        <f t="shared" si="7"/>
        <v/>
      </c>
      <c r="AD117" s="409" t="str">
        <f t="shared" si="8"/>
        <v/>
      </c>
      <c r="AF117" s="540"/>
      <c r="AG117" s="410"/>
      <c r="AH117"/>
      <c r="AI117"/>
    </row>
    <row r="118" s="408" customFormat="1" ht="17.4" spans="1:35">
      <c r="A118" s="418" t="s">
        <v>171</v>
      </c>
      <c r="B118" s="419"/>
      <c r="C118" s="420"/>
      <c r="D118" s="421"/>
      <c r="E118" s="422" t="s">
        <v>202</v>
      </c>
      <c r="F118" s="422"/>
      <c r="G118" s="422"/>
      <c r="H118" s="422"/>
      <c r="I118" s="422"/>
      <c r="J118" s="422"/>
      <c r="K118" s="422"/>
      <c r="L118" s="422"/>
      <c r="M118" s="443"/>
      <c r="N118" s="422"/>
      <c r="O118" s="422"/>
      <c r="P118" s="531"/>
      <c r="Q118" s="465"/>
      <c r="R118" s="424"/>
      <c r="S118" s="473" t="s">
        <v>180</v>
      </c>
      <c r="T118" s="473" t="s">
        <v>180</v>
      </c>
      <c r="U118" s="467"/>
      <c r="V118" s="467"/>
      <c r="W118" s="467"/>
      <c r="X118" s="467"/>
      <c r="Y118" s="200" t="s">
        <v>240</v>
      </c>
      <c r="Z118" s="200" t="s">
        <v>180</v>
      </c>
      <c r="AA118" s="200" t="s">
        <v>180</v>
      </c>
      <c r="AB118" s="410">
        <f t="shared" si="6"/>
        <v>0</v>
      </c>
      <c r="AC118" s="409" t="str">
        <f t="shared" si="7"/>
        <v/>
      </c>
      <c r="AD118" s="409" t="str">
        <f t="shared" si="8"/>
        <v/>
      </c>
      <c r="AF118" s="540"/>
      <c r="AG118" s="410"/>
      <c r="AH118"/>
      <c r="AI118"/>
    </row>
    <row r="119" s="409" customFormat="1" ht="46.8" spans="1:35">
      <c r="A119" s="423" t="s">
        <v>206</v>
      </c>
      <c r="B119" s="424" t="s">
        <v>207</v>
      </c>
      <c r="C119" s="425" t="s">
        <v>208</v>
      </c>
      <c r="D119" s="424" t="s">
        <v>209</v>
      </c>
      <c r="E119" s="426" t="s">
        <v>210</v>
      </c>
      <c r="F119" s="427" t="s">
        <v>213</v>
      </c>
      <c r="G119" s="427" t="s">
        <v>213</v>
      </c>
      <c r="H119" s="427" t="s">
        <v>213</v>
      </c>
      <c r="I119" s="427" t="s">
        <v>386</v>
      </c>
      <c r="J119" s="446" t="s">
        <v>217</v>
      </c>
      <c r="K119" s="446" t="s">
        <v>387</v>
      </c>
      <c r="L119" s="446" t="s">
        <v>390</v>
      </c>
      <c r="M119" s="447" t="s">
        <v>218</v>
      </c>
      <c r="N119" s="448" t="s">
        <v>219</v>
      </c>
      <c r="O119" s="449" t="s">
        <v>220</v>
      </c>
      <c r="P119" s="530" t="s">
        <v>221</v>
      </c>
      <c r="Q119" s="469" t="s">
        <v>222</v>
      </c>
      <c r="R119" s="426" t="s">
        <v>223</v>
      </c>
      <c r="S119" s="470" t="s">
        <v>224</v>
      </c>
      <c r="T119" s="470" t="s">
        <v>205</v>
      </c>
      <c r="U119" s="467" t="s">
        <v>225</v>
      </c>
      <c r="V119" s="470" t="s">
        <v>226</v>
      </c>
      <c r="W119" s="467"/>
      <c r="X119" s="467"/>
      <c r="Y119" s="200" t="s">
        <v>207</v>
      </c>
      <c r="Z119" s="200" t="s">
        <v>180</v>
      </c>
      <c r="AA119" s="200" t="s">
        <v>180</v>
      </c>
      <c r="AB119" s="410">
        <f t="shared" si="6"/>
        <v>1</v>
      </c>
      <c r="AC119" s="409" t="str">
        <f t="shared" si="7"/>
        <v>Forum Link</v>
      </c>
      <c r="AD119" s="409" t="str">
        <f t="shared" si="8"/>
        <v>Domains</v>
      </c>
      <c r="AF119" s="540"/>
      <c r="AG119" s="410"/>
      <c r="AH119"/>
      <c r="AI119"/>
    </row>
    <row r="120" s="408" customFormat="1" spans="1:35">
      <c r="A120" s="428" t="s">
        <v>230</v>
      </c>
      <c r="B120" s="421" t="s">
        <v>310</v>
      </c>
      <c r="C120" s="429" t="str">
        <f>VLOOKUP(B120,正厂竞争者数据汇总!D:H,2,FALSE)</f>
        <v>Motor目录</v>
      </c>
      <c r="D120" s="421" t="str">
        <f>VLOOKUP(B120,正厂竞争者数据汇总!D:H,3,FALSE)</f>
        <v>MD</v>
      </c>
      <c r="E120" s="430"/>
      <c r="F120" s="430">
        <v>138840.32</v>
      </c>
      <c r="G120" s="430"/>
      <c r="H120" s="430"/>
      <c r="I120" s="450"/>
      <c r="J120" s="451">
        <v>0.292393010287209</v>
      </c>
      <c r="K120" s="451">
        <v>0.284470367366077</v>
      </c>
      <c r="L120" s="451">
        <v>0.256758115575983</v>
      </c>
      <c r="M120" s="452"/>
      <c r="N120" s="451"/>
      <c r="O120" s="430"/>
      <c r="P120" s="531">
        <f t="array" ref="P120">INDEX(正厂竞争者数据汇总!I:I,MATCH($A$118&amp;B120,正厂竞争者数据汇总!A:A&amp;正厂竞争者数据汇总!D:D,0))</f>
        <v>0</v>
      </c>
      <c r="Q120" s="429"/>
      <c r="R120" s="421"/>
      <c r="S120" s="472">
        <v>620670</v>
      </c>
      <c r="T120" s="472">
        <v>948</v>
      </c>
      <c r="U120" s="466"/>
      <c r="V120" s="466"/>
      <c r="W120" s="466"/>
      <c r="X120" s="466"/>
      <c r="Y120" s="200" t="s">
        <v>310</v>
      </c>
      <c r="Z120" s="200">
        <v>691305</v>
      </c>
      <c r="AA120" s="200">
        <v>1012</v>
      </c>
      <c r="AB120" s="410">
        <f t="shared" si="6"/>
        <v>1</v>
      </c>
      <c r="AC120" s="409">
        <f t="shared" si="7"/>
        <v>691305</v>
      </c>
      <c r="AD120" s="409">
        <f t="shared" si="8"/>
        <v>1012</v>
      </c>
      <c r="AF120" s="540"/>
      <c r="AG120" s="410"/>
      <c r="AH120"/>
      <c r="AI120"/>
    </row>
    <row r="121" s="408" customFormat="1" spans="1:35">
      <c r="A121" s="428" t="s">
        <v>230</v>
      </c>
      <c r="B121" s="421" t="s">
        <v>311</v>
      </c>
      <c r="C121" s="429" t="str">
        <f>VLOOKUP(B121,正厂竞争者数据汇总!D:H,2,FALSE)</f>
        <v>原厂目录</v>
      </c>
      <c r="D121" s="421" t="str">
        <f>VLOOKUP(B121,正厂竞争者数据汇总!D:H,3,FALSE)</f>
        <v>GA</v>
      </c>
      <c r="E121" s="430"/>
      <c r="F121" s="430">
        <v>84371</v>
      </c>
      <c r="G121" s="430"/>
      <c r="H121" s="430"/>
      <c r="I121" s="450"/>
      <c r="J121" s="451">
        <v>0.177682467679001</v>
      </c>
      <c r="K121" s="451">
        <v>0.161684125798348</v>
      </c>
      <c r="L121" s="451">
        <v>0.153225338712555</v>
      </c>
      <c r="M121" s="452"/>
      <c r="N121" s="451"/>
      <c r="O121" s="430"/>
      <c r="P121" s="531">
        <f t="array" ref="P121">INDEX(正厂竞争者数据汇总!I:I,MATCH($A$118&amp;B121,正厂竞争者数据汇总!A:A&amp;正厂竞争者数据汇总!D:D,0))</f>
        <v>0</v>
      </c>
      <c r="Q121" s="429"/>
      <c r="R121" s="421"/>
      <c r="S121" s="472">
        <v>6583</v>
      </c>
      <c r="T121" s="472">
        <v>433</v>
      </c>
      <c r="U121" s="466"/>
      <c r="V121" s="466"/>
      <c r="W121" s="466"/>
      <c r="X121" s="466"/>
      <c r="Y121" s="200" t="s">
        <v>311</v>
      </c>
      <c r="Z121" s="200">
        <v>6523</v>
      </c>
      <c r="AA121" s="200">
        <v>424</v>
      </c>
      <c r="AB121" s="410">
        <f t="shared" si="6"/>
        <v>1</v>
      </c>
      <c r="AC121" s="409">
        <f t="shared" si="7"/>
        <v>6523</v>
      </c>
      <c r="AD121" s="409">
        <f t="shared" si="8"/>
        <v>424</v>
      </c>
      <c r="AF121" s="540"/>
      <c r="AG121" s="410"/>
      <c r="AH121"/>
      <c r="AI121"/>
    </row>
    <row r="122" s="410" customFormat="1" spans="1:35">
      <c r="A122" s="432" t="s">
        <v>227</v>
      </c>
      <c r="B122" s="432" t="s">
        <v>312</v>
      </c>
      <c r="C122" s="434" t="str">
        <f>VLOOKUP(B122,正厂竞争者数据汇总!D:H,2,FALSE)</f>
        <v>原厂目录</v>
      </c>
      <c r="D122" s="477" t="str">
        <f>VLOOKUP(B122,正厂竞争者数据汇总!D:H,3,FALSE)</f>
        <v>CA</v>
      </c>
      <c r="E122" s="436">
        <f>VLOOKUP(B122,正厂竞争者数据汇总!D:H,4,FALSE)</f>
        <v>0</v>
      </c>
      <c r="F122" s="436">
        <v>74442.6866666667</v>
      </c>
      <c r="G122" s="436">
        <v>132262.583333333</v>
      </c>
      <c r="H122" s="436">
        <v>137115.416666667</v>
      </c>
      <c r="I122" s="454">
        <v>-0.437159892158967</v>
      </c>
      <c r="J122" s="457">
        <v>0.156773776150431</v>
      </c>
      <c r="K122" s="457">
        <v>0.187411291085759</v>
      </c>
      <c r="L122" s="457">
        <v>0.207698412225494</v>
      </c>
      <c r="M122" s="456">
        <f>J122-K122</f>
        <v>-0.0306375149353283</v>
      </c>
      <c r="N122" s="455"/>
      <c r="O122" s="436"/>
      <c r="P122" s="531">
        <f t="array" ref="P122">INDEX(正厂竞争者数据汇总!I:I,MATCH($A$118&amp;B122,正厂竞争者数据汇总!A:A&amp;正厂竞争者数据汇总!D:D,0))</f>
        <v>0</v>
      </c>
      <c r="Q122" s="491" t="s">
        <v>313</v>
      </c>
      <c r="R122" s="435" t="s">
        <v>180</v>
      </c>
      <c r="S122" s="476">
        <v>16800</v>
      </c>
      <c r="T122" s="476">
        <v>4700</v>
      </c>
      <c r="U122" s="477"/>
      <c r="V122" s="477"/>
      <c r="W122" s="435"/>
      <c r="X122" s="435"/>
      <c r="Y122" s="200" t="s">
        <v>172</v>
      </c>
      <c r="Z122" s="200" t="s">
        <v>180</v>
      </c>
      <c r="AA122" s="200" t="s">
        <v>180</v>
      </c>
      <c r="AB122" s="410">
        <f t="shared" si="6"/>
        <v>1</v>
      </c>
      <c r="AC122" s="409" t="str">
        <f t="shared" si="7"/>
        <v/>
      </c>
      <c r="AD122" s="409" t="str">
        <f t="shared" si="8"/>
        <v/>
      </c>
      <c r="AF122" s="540"/>
      <c r="AH122"/>
      <c r="AI122"/>
    </row>
    <row r="123" s="408" customFormat="1" spans="1:35">
      <c r="A123" s="428" t="s">
        <v>243</v>
      </c>
      <c r="B123" s="421" t="s">
        <v>314</v>
      </c>
      <c r="C123" s="429" t="str">
        <f>VLOOKUP(B123,正厂竞争者数据汇总!D:H,2,FALSE)</f>
        <v>原厂目录</v>
      </c>
      <c r="D123" s="421" t="str">
        <f>VLOOKUP(B123,正厂竞争者数据汇总!D:H,3,FALSE)</f>
        <v>WA</v>
      </c>
      <c r="E123" s="430"/>
      <c r="F123" s="430">
        <v>62033.5833333333</v>
      </c>
      <c r="G123" s="430"/>
      <c r="H123" s="430"/>
      <c r="I123" s="450"/>
      <c r="J123" s="451">
        <v>0.130640624926072</v>
      </c>
      <c r="K123" s="451">
        <v>0.118973576050187</v>
      </c>
      <c r="L123" s="451">
        <v>0.121804171133994</v>
      </c>
      <c r="M123" s="452"/>
      <c r="N123" s="451"/>
      <c r="O123" s="430"/>
      <c r="P123" s="531">
        <f t="array" ref="P123">INDEX(正厂竞争者数据汇总!I:I,MATCH($A$118&amp;B123,正厂竞争者数据汇总!A:A&amp;正厂竞争者数据汇总!D:D,0))</f>
        <v>0</v>
      </c>
      <c r="Q123" s="429"/>
      <c r="R123" s="421"/>
      <c r="S123" s="472">
        <v>3245</v>
      </c>
      <c r="T123" s="472">
        <v>662</v>
      </c>
      <c r="U123" s="466"/>
      <c r="V123" s="466"/>
      <c r="W123" s="466"/>
      <c r="X123" s="466"/>
      <c r="Y123" s="200" t="s">
        <v>314</v>
      </c>
      <c r="Z123" s="200">
        <v>3346</v>
      </c>
      <c r="AA123" s="200">
        <v>649</v>
      </c>
      <c r="AB123" s="410">
        <f t="shared" si="6"/>
        <v>1</v>
      </c>
      <c r="AC123" s="409">
        <f t="shared" si="7"/>
        <v>3346</v>
      </c>
      <c r="AD123" s="409">
        <f t="shared" si="8"/>
        <v>649</v>
      </c>
      <c r="AF123" s="540"/>
      <c r="AG123" s="410"/>
      <c r="AH123"/>
      <c r="AI123"/>
    </row>
    <row r="124" s="408" customFormat="1" spans="1:35">
      <c r="A124" s="428" t="s">
        <v>230</v>
      </c>
      <c r="B124" s="421" t="s">
        <v>315</v>
      </c>
      <c r="C124" s="429" t="str">
        <f>VLOOKUP(B124,正厂竞争者数据汇总!D:H,2,FALSE)</f>
        <v>Motor目录</v>
      </c>
      <c r="D124" s="421" t="str">
        <f>VLOOKUP(B124,正厂竞争者数据汇总!D:H,3,FALSE)</f>
        <v>IL</v>
      </c>
      <c r="E124" s="430"/>
      <c r="F124" s="430">
        <v>44049.5</v>
      </c>
      <c r="G124" s="430"/>
      <c r="H124" s="430"/>
      <c r="I124" s="450"/>
      <c r="J124" s="451">
        <v>0.0927667546909026</v>
      </c>
      <c r="K124" s="451">
        <v>0.0866538327252739</v>
      </c>
      <c r="L124" s="451">
        <v>0.0869814798981557</v>
      </c>
      <c r="M124" s="452"/>
      <c r="N124" s="451"/>
      <c r="O124" s="430"/>
      <c r="P124" s="531">
        <f t="array" ref="P124">INDEX(正厂竞争者数据汇总!I:I,MATCH($A$118&amp;B124,正厂竞争者数据汇总!A:A&amp;正厂竞争者数据汇总!D:D,0))</f>
        <v>0</v>
      </c>
      <c r="Q124" s="429"/>
      <c r="R124" s="421"/>
      <c r="S124" s="472">
        <v>930</v>
      </c>
      <c r="T124" s="472">
        <v>184</v>
      </c>
      <c r="U124" s="466"/>
      <c r="V124" s="466"/>
      <c r="W124" s="466"/>
      <c r="X124" s="466"/>
      <c r="Y124" s="200" t="s">
        <v>315</v>
      </c>
      <c r="Z124" s="200">
        <v>1051</v>
      </c>
      <c r="AA124" s="200">
        <v>207</v>
      </c>
      <c r="AB124" s="410">
        <f t="shared" si="6"/>
        <v>1</v>
      </c>
      <c r="AC124" s="409">
        <f t="shared" si="7"/>
        <v>1051</v>
      </c>
      <c r="AD124" s="409">
        <f t="shared" si="8"/>
        <v>207</v>
      </c>
      <c r="AF124" s="540"/>
      <c r="AG124" s="410"/>
      <c r="AH124"/>
      <c r="AI124"/>
    </row>
    <row r="125" s="408" customFormat="1" spans="1:35">
      <c r="A125" s="428" t="s">
        <v>230</v>
      </c>
      <c r="B125" s="421" t="s">
        <v>392</v>
      </c>
      <c r="C125" s="429" t="str">
        <f>VLOOKUP(B125,正厂竞争者数据汇总!D:H,2,FALSE)</f>
        <v>Motor目录</v>
      </c>
      <c r="D125" s="421" t="str">
        <f>VLOOKUP(B125,正厂竞争者数据汇总!D:H,3,FALSE)</f>
        <v>LA</v>
      </c>
      <c r="E125" s="430"/>
      <c r="F125" s="430">
        <v>23235.99</v>
      </c>
      <c r="G125" s="430"/>
      <c r="H125" s="430"/>
      <c r="I125" s="450"/>
      <c r="J125" s="451">
        <v>0.0489342077510589</v>
      </c>
      <c r="K125" s="451">
        <v>0.042785744896723</v>
      </c>
      <c r="L125" s="451">
        <v>0.0440682320670377</v>
      </c>
      <c r="M125" s="452"/>
      <c r="N125" s="451"/>
      <c r="O125" s="430"/>
      <c r="P125" s="531">
        <f t="array" ref="P125">INDEX(正厂竞争者数据汇总!I:I,MATCH($A$118&amp;B125,正厂竞争者数据汇总!A:A&amp;正厂竞争者数据汇总!D:D,0))</f>
        <v>0</v>
      </c>
      <c r="Q125" s="429"/>
      <c r="R125" s="421"/>
      <c r="S125" s="472">
        <v>832</v>
      </c>
      <c r="T125" s="472">
        <v>139</v>
      </c>
      <c r="U125" s="466"/>
      <c r="V125" s="466"/>
      <c r="W125" s="466"/>
      <c r="X125" s="466"/>
      <c r="Y125" s="200" t="s">
        <v>392</v>
      </c>
      <c r="Z125" s="200">
        <v>856</v>
      </c>
      <c r="AA125" s="200">
        <v>157</v>
      </c>
      <c r="AB125" s="410">
        <f t="shared" si="6"/>
        <v>1</v>
      </c>
      <c r="AC125" s="409">
        <f t="shared" si="7"/>
        <v>856</v>
      </c>
      <c r="AD125" s="409">
        <f t="shared" si="8"/>
        <v>157</v>
      </c>
      <c r="AF125" s="540"/>
      <c r="AG125" s="410"/>
      <c r="AH125"/>
      <c r="AI125"/>
    </row>
    <row r="126" s="408" customFormat="1" spans="1:35">
      <c r="A126" s="428" t="s">
        <v>230</v>
      </c>
      <c r="B126" s="421" t="s">
        <v>317</v>
      </c>
      <c r="C126" s="429" t="str">
        <f>VLOOKUP(B126,正厂竞争者数据汇总!D:H,2,FALSE)</f>
        <v>Motor目录</v>
      </c>
      <c r="D126" s="421" t="str">
        <f>VLOOKUP(B126,正厂竞争者数据汇总!D:H,3,FALSE)</f>
        <v>PA</v>
      </c>
      <c r="E126" s="430"/>
      <c r="F126" s="430">
        <v>21313.45</v>
      </c>
      <c r="G126" s="430"/>
      <c r="H126" s="430"/>
      <c r="I126" s="450"/>
      <c r="J126" s="451">
        <v>0.0448854036428749</v>
      </c>
      <c r="K126" s="451">
        <v>0.04587293401873</v>
      </c>
      <c r="L126" s="451">
        <v>0.0501677571472819</v>
      </c>
      <c r="M126" s="452"/>
      <c r="N126" s="451"/>
      <c r="O126" s="430"/>
      <c r="P126" s="531">
        <f t="array" ref="P126">INDEX(正厂竞争者数据汇总!I:I,MATCH($A$118&amp;B126,正厂竞争者数据汇总!A:A&amp;正厂竞争者数据汇总!D:D,0))</f>
        <v>0</v>
      </c>
      <c r="Q126" s="429"/>
      <c r="R126" s="421"/>
      <c r="S126" s="472">
        <v>609</v>
      </c>
      <c r="T126" s="472">
        <v>171</v>
      </c>
      <c r="U126" s="466"/>
      <c r="V126" s="466"/>
      <c r="W126" s="466"/>
      <c r="X126" s="466"/>
      <c r="Y126" s="200" t="s">
        <v>317</v>
      </c>
      <c r="Z126" s="200">
        <v>588</v>
      </c>
      <c r="AA126" s="200">
        <v>181</v>
      </c>
      <c r="AB126" s="410">
        <f t="shared" si="6"/>
        <v>1</v>
      </c>
      <c r="AC126" s="409">
        <f t="shared" si="7"/>
        <v>588</v>
      </c>
      <c r="AD126" s="409">
        <f t="shared" si="8"/>
        <v>181</v>
      </c>
      <c r="AF126" s="540"/>
      <c r="AG126" s="410"/>
      <c r="AH126"/>
      <c r="AI126"/>
    </row>
    <row r="127" s="408" customFormat="1" spans="1:35">
      <c r="A127" s="428" t="s">
        <v>243</v>
      </c>
      <c r="B127" s="421" t="s">
        <v>388</v>
      </c>
      <c r="C127" s="255" t="s">
        <v>389</v>
      </c>
      <c r="D127" s="270" t="s">
        <v>49</v>
      </c>
      <c r="E127" s="430"/>
      <c r="F127" s="430">
        <v>15533.3333333333</v>
      </c>
      <c r="G127" s="430"/>
      <c r="H127" s="430"/>
      <c r="I127" s="450"/>
      <c r="J127" s="451">
        <v>0.0327126737616852</v>
      </c>
      <c r="K127" s="451">
        <v>0.0436651331832423</v>
      </c>
      <c r="L127" s="451">
        <v>0.0435657336370526</v>
      </c>
      <c r="M127" s="452"/>
      <c r="N127" s="451"/>
      <c r="O127" s="430"/>
      <c r="P127" s="531">
        <f t="array" ref="P127">INDEX(正厂竞争者数据汇总!I:I,MATCH($A$118&amp;B127,正厂竞争者数据汇总!A:A&amp;正厂竞争者数据汇总!D:D,0))</f>
        <v>0</v>
      </c>
      <c r="Q127" s="429"/>
      <c r="R127" s="421"/>
      <c r="S127" s="472">
        <v>1053</v>
      </c>
      <c r="T127" s="472">
        <v>325</v>
      </c>
      <c r="U127" s="466"/>
      <c r="V127" s="466"/>
      <c r="W127" s="466"/>
      <c r="X127" s="466"/>
      <c r="Y127" s="200" t="s">
        <v>388</v>
      </c>
      <c r="Z127" s="200">
        <v>1036</v>
      </c>
      <c r="AA127" s="200">
        <v>316</v>
      </c>
      <c r="AB127" s="410">
        <f t="shared" si="6"/>
        <v>1</v>
      </c>
      <c r="AC127" s="409">
        <f t="shared" si="7"/>
        <v>1036</v>
      </c>
      <c r="AD127" s="409">
        <f t="shared" si="8"/>
        <v>316</v>
      </c>
      <c r="AF127" s="540"/>
      <c r="AG127" s="410"/>
      <c r="AH127"/>
      <c r="AI127"/>
    </row>
    <row r="128" s="408" customFormat="1" spans="1:35">
      <c r="A128" s="428" t="s">
        <v>230</v>
      </c>
      <c r="B128" s="421" t="s">
        <v>393</v>
      </c>
      <c r="C128" s="537" t="s">
        <v>351</v>
      </c>
      <c r="D128" s="421" t="s">
        <v>60</v>
      </c>
      <c r="E128" s="430"/>
      <c r="F128" s="430">
        <v>11021.5833333334</v>
      </c>
      <c r="G128" s="430"/>
      <c r="H128" s="430"/>
      <c r="I128" s="450"/>
      <c r="J128" s="451">
        <v>0.0232110811107659</v>
      </c>
      <c r="K128" s="451">
        <v>0.02848299487566</v>
      </c>
      <c r="L128" s="451">
        <v>0.0357307596024463</v>
      </c>
      <c r="M128" s="452"/>
      <c r="N128" s="451"/>
      <c r="O128" s="430"/>
      <c r="P128" s="531" t="str">
        <f t="array" ref="P128">INDEX(正厂竞争者数据汇总!I:I,MATCH($A$118&amp;B128,正厂竞争者数据汇总!A:A&amp;正厂竞争者数据汇总!D:D,0))</f>
        <v>2022年1月加入CompetitorSites，202305因流量大于MS5%，加入MS计算基准</v>
      </c>
      <c r="Q128" s="429"/>
      <c r="R128" s="421"/>
      <c r="S128" s="472">
        <v>305</v>
      </c>
      <c r="T128" s="472">
        <v>77</v>
      </c>
      <c r="U128" s="466"/>
      <c r="V128" s="466"/>
      <c r="W128" s="466"/>
      <c r="X128" s="466"/>
      <c r="Y128" s="200" t="s">
        <v>393</v>
      </c>
      <c r="Z128" s="200">
        <v>328</v>
      </c>
      <c r="AA128" s="200">
        <v>95</v>
      </c>
      <c r="AB128" s="410">
        <f t="shared" si="6"/>
        <v>1</v>
      </c>
      <c r="AC128" s="409">
        <f t="shared" si="7"/>
        <v>328</v>
      </c>
      <c r="AD128" s="409">
        <f t="shared" si="8"/>
        <v>95</v>
      </c>
      <c r="AF128" s="540"/>
      <c r="AG128" s="410"/>
      <c r="AH128"/>
      <c r="AI128"/>
    </row>
    <row r="129" s="408" customFormat="1" spans="1:35">
      <c r="A129" s="428"/>
      <c r="B129" s="438"/>
      <c r="C129" s="429"/>
      <c r="D129" s="466"/>
      <c r="E129" s="430"/>
      <c r="F129" s="430"/>
      <c r="G129" s="430"/>
      <c r="H129" s="430"/>
      <c r="I129" s="453"/>
      <c r="J129" s="451"/>
      <c r="K129" s="451"/>
      <c r="L129" s="451"/>
      <c r="M129" s="451"/>
      <c r="N129" s="459"/>
      <c r="O129" s="430"/>
      <c r="P129" s="531"/>
      <c r="Q129" s="492"/>
      <c r="R129" s="421"/>
      <c r="S129" s="473" t="s">
        <v>180</v>
      </c>
      <c r="T129" s="473" t="s">
        <v>180</v>
      </c>
      <c r="U129" s="466"/>
      <c r="V129" s="466"/>
      <c r="W129" s="421"/>
      <c r="X129" s="421"/>
      <c r="Y129" s="200" t="s">
        <v>240</v>
      </c>
      <c r="Z129" s="200" t="s">
        <v>180</v>
      </c>
      <c r="AA129" s="200" t="s">
        <v>180</v>
      </c>
      <c r="AB129" s="410">
        <f t="shared" si="6"/>
        <v>0</v>
      </c>
      <c r="AC129" s="409" t="str">
        <f t="shared" si="7"/>
        <v/>
      </c>
      <c r="AD129" s="409" t="str">
        <f t="shared" si="8"/>
        <v/>
      </c>
      <c r="AF129" s="540"/>
      <c r="AG129" s="410"/>
      <c r="AH129"/>
      <c r="AI129"/>
    </row>
    <row r="130" s="408" customFormat="1" spans="1:35">
      <c r="A130" s="428"/>
      <c r="B130" s="421"/>
      <c r="C130" s="439"/>
      <c r="D130" s="421"/>
      <c r="E130" s="430"/>
      <c r="F130" s="430">
        <v>474841.446666667</v>
      </c>
      <c r="G130" s="430">
        <v>451480.499999999</v>
      </c>
      <c r="H130" s="430">
        <v>457440.166666667</v>
      </c>
      <c r="I130" s="453">
        <v>0.0517429804092708</v>
      </c>
      <c r="J130" s="430"/>
      <c r="K130" s="430"/>
      <c r="L130" s="430"/>
      <c r="M130" s="451"/>
      <c r="N130" s="451"/>
      <c r="O130" s="430"/>
      <c r="P130" s="531"/>
      <c r="Q130" s="493"/>
      <c r="R130" s="421"/>
      <c r="S130" s="473" t="s">
        <v>180</v>
      </c>
      <c r="T130" s="473" t="s">
        <v>180</v>
      </c>
      <c r="U130" s="466"/>
      <c r="V130" s="466"/>
      <c r="W130" s="421"/>
      <c r="X130" s="421"/>
      <c r="Y130" s="200" t="s">
        <v>240</v>
      </c>
      <c r="Z130" s="200" t="s">
        <v>180</v>
      </c>
      <c r="AA130" s="200" t="s">
        <v>180</v>
      </c>
      <c r="AB130" s="410">
        <f t="shared" si="6"/>
        <v>0</v>
      </c>
      <c r="AC130" s="409" t="str">
        <f t="shared" si="7"/>
        <v/>
      </c>
      <c r="AD130" s="409" t="str">
        <f t="shared" si="8"/>
        <v/>
      </c>
      <c r="AF130" s="540"/>
      <c r="AG130" s="410"/>
      <c r="AH130"/>
      <c r="AI130"/>
    </row>
    <row r="131" s="408" customFormat="1" spans="1:35">
      <c r="A131" s="428"/>
      <c r="B131" s="421"/>
      <c r="C131" s="439"/>
      <c r="D131" s="421"/>
      <c r="E131" s="430"/>
      <c r="F131" s="430"/>
      <c r="G131" s="430"/>
      <c r="H131" s="430"/>
      <c r="I131" s="453"/>
      <c r="J131" s="430"/>
      <c r="K131" s="430"/>
      <c r="L131" s="430"/>
      <c r="M131" s="451"/>
      <c r="N131" s="451"/>
      <c r="O131" s="430"/>
      <c r="P131" s="531"/>
      <c r="Q131" s="493"/>
      <c r="R131" s="421"/>
      <c r="S131" s="473" t="s">
        <v>180</v>
      </c>
      <c r="T131" s="473" t="s">
        <v>180</v>
      </c>
      <c r="U131" s="466"/>
      <c r="V131" s="466"/>
      <c r="W131" s="421"/>
      <c r="X131" s="421"/>
      <c r="Y131" s="200" t="s">
        <v>240</v>
      </c>
      <c r="Z131" s="200" t="s">
        <v>180</v>
      </c>
      <c r="AA131" s="200" t="s">
        <v>180</v>
      </c>
      <c r="AB131" s="410">
        <f t="shared" si="6"/>
        <v>0</v>
      </c>
      <c r="AC131" s="409" t="str">
        <f t="shared" si="7"/>
        <v/>
      </c>
      <c r="AD131" s="409" t="str">
        <f t="shared" si="8"/>
        <v/>
      </c>
      <c r="AF131" s="540"/>
      <c r="AG131" s="410"/>
      <c r="AH131"/>
      <c r="AI131"/>
    </row>
    <row r="132" s="408" customFormat="1" ht="17.4" spans="1:35">
      <c r="A132" s="418" t="s">
        <v>174</v>
      </c>
      <c r="B132" s="419"/>
      <c r="C132" s="420"/>
      <c r="D132" s="421"/>
      <c r="E132" s="422" t="s">
        <v>202</v>
      </c>
      <c r="F132" s="422"/>
      <c r="G132" s="422"/>
      <c r="H132" s="422"/>
      <c r="I132" s="422"/>
      <c r="J132" s="422"/>
      <c r="K132" s="422"/>
      <c r="L132" s="422"/>
      <c r="M132" s="443"/>
      <c r="N132" s="444"/>
      <c r="O132" s="422"/>
      <c r="P132" s="531"/>
      <c r="Q132" s="465"/>
      <c r="R132" s="424"/>
      <c r="S132" s="473" t="s">
        <v>180</v>
      </c>
      <c r="T132" s="473" t="s">
        <v>180</v>
      </c>
      <c r="U132" s="467"/>
      <c r="V132" s="467"/>
      <c r="W132" s="467"/>
      <c r="X132" s="467"/>
      <c r="Y132" s="200" t="s">
        <v>240</v>
      </c>
      <c r="Z132" s="200" t="s">
        <v>180</v>
      </c>
      <c r="AA132" s="200" t="s">
        <v>180</v>
      </c>
      <c r="AB132" s="410">
        <f t="shared" si="6"/>
        <v>0</v>
      </c>
      <c r="AC132" s="409" t="str">
        <f t="shared" si="7"/>
        <v/>
      </c>
      <c r="AD132" s="409" t="str">
        <f t="shared" si="8"/>
        <v/>
      </c>
      <c r="AF132" s="540"/>
      <c r="AG132" s="410"/>
      <c r="AH132"/>
      <c r="AI132"/>
    </row>
    <row r="133" s="409" customFormat="1" ht="46.8" spans="1:35">
      <c r="A133" s="423" t="s">
        <v>206</v>
      </c>
      <c r="B133" s="424" t="s">
        <v>207</v>
      </c>
      <c r="C133" s="425" t="s">
        <v>208</v>
      </c>
      <c r="D133" s="424" t="s">
        <v>209</v>
      </c>
      <c r="E133" s="426" t="s">
        <v>210</v>
      </c>
      <c r="F133" s="427" t="s">
        <v>213</v>
      </c>
      <c r="G133" s="427" t="s">
        <v>213</v>
      </c>
      <c r="H133" s="427" t="s">
        <v>213</v>
      </c>
      <c r="I133" s="427" t="s">
        <v>386</v>
      </c>
      <c r="J133" s="446" t="s">
        <v>217</v>
      </c>
      <c r="K133" s="446" t="s">
        <v>387</v>
      </c>
      <c r="L133" s="446" t="s">
        <v>390</v>
      </c>
      <c r="M133" s="447" t="s">
        <v>218</v>
      </c>
      <c r="N133" s="448" t="s">
        <v>219</v>
      </c>
      <c r="O133" s="449" t="s">
        <v>220</v>
      </c>
      <c r="P133" s="530" t="s">
        <v>221</v>
      </c>
      <c r="Q133" s="469" t="s">
        <v>222</v>
      </c>
      <c r="R133" s="426" t="s">
        <v>223</v>
      </c>
      <c r="S133" s="470" t="s">
        <v>224</v>
      </c>
      <c r="T133" s="470" t="s">
        <v>205</v>
      </c>
      <c r="U133" s="467" t="s">
        <v>225</v>
      </c>
      <c r="V133" s="470" t="s">
        <v>226</v>
      </c>
      <c r="W133" s="467"/>
      <c r="X133" s="467"/>
      <c r="Y133" s="200" t="s">
        <v>207</v>
      </c>
      <c r="Z133" s="200" t="s">
        <v>180</v>
      </c>
      <c r="AA133" s="200" t="s">
        <v>180</v>
      </c>
      <c r="AB133" s="410">
        <f t="shared" si="6"/>
        <v>1</v>
      </c>
      <c r="AC133" s="409" t="str">
        <f t="shared" si="7"/>
        <v>Forum Link</v>
      </c>
      <c r="AD133" s="409" t="str">
        <f t="shared" si="8"/>
        <v>Domains</v>
      </c>
      <c r="AF133" s="540"/>
      <c r="AG133" s="410"/>
      <c r="AH133"/>
      <c r="AI133"/>
    </row>
    <row r="134" s="410" customFormat="1" ht="17.4" spans="1:35">
      <c r="A134" s="435" t="s">
        <v>227</v>
      </c>
      <c r="B134" s="435" t="s">
        <v>175</v>
      </c>
      <c r="C134" s="435" t="str">
        <f>VLOOKUP(B134,正厂竞争者数据汇总!D:H,2,FALSE)</f>
        <v>原厂目录</v>
      </c>
      <c r="D134" s="435" t="str">
        <f>VLOOKUP(B134,正厂竞争者数据汇总!D:H,3,FALSE)</f>
        <v>CA</v>
      </c>
      <c r="E134" s="436">
        <f>VLOOKUP(B134,正厂竞争者数据汇总!D:H,4,FALSE)</f>
        <v>325311</v>
      </c>
      <c r="F134" s="436">
        <v>213035.333333333</v>
      </c>
      <c r="G134" s="436">
        <v>213035.333333333</v>
      </c>
      <c r="H134" s="436">
        <v>213035.333333333</v>
      </c>
      <c r="I134" s="436">
        <v>213035.333333333</v>
      </c>
      <c r="J134" s="457">
        <v>0.481609558245086</v>
      </c>
      <c r="K134" s="457">
        <v>0.471712483650054</v>
      </c>
      <c r="L134" s="457">
        <v>0.449806076053775</v>
      </c>
      <c r="M134" s="456">
        <f>J134-K134</f>
        <v>0.00989707459503153</v>
      </c>
      <c r="N134" s="457" t="str">
        <f>IFERROR(O134*0.5/$F$134,"")</f>
        <v/>
      </c>
      <c r="O134" s="436" t="s">
        <v>180</v>
      </c>
      <c r="P134" s="531">
        <f t="array" ref="P134">INDEX(正厂竞争者数据汇总!I:I,MATCH($A$132&amp;B134,正厂竞争者数据汇总!A:A&amp;正厂竞争者数据汇总!D:D,0))</f>
        <v>0</v>
      </c>
      <c r="Q134" s="434" t="s">
        <v>318</v>
      </c>
      <c r="R134" s="435" t="s">
        <v>229</v>
      </c>
      <c r="S134" s="476">
        <v>17745</v>
      </c>
      <c r="T134" s="476">
        <v>3968</v>
      </c>
      <c r="U134" s="477"/>
      <c r="V134" s="477"/>
      <c r="W134" s="435"/>
      <c r="X134" s="435"/>
      <c r="Y134" s="200" t="s">
        <v>175</v>
      </c>
      <c r="Z134" s="200">
        <v>16859</v>
      </c>
      <c r="AA134" s="200">
        <v>3644</v>
      </c>
      <c r="AB134" s="410">
        <f t="shared" si="6"/>
        <v>1</v>
      </c>
      <c r="AC134" s="409">
        <f t="shared" si="7"/>
        <v>16859</v>
      </c>
      <c r="AD134" s="409">
        <f t="shared" si="8"/>
        <v>3644</v>
      </c>
      <c r="AF134" s="540"/>
      <c r="AH134"/>
      <c r="AI134"/>
    </row>
    <row r="135" s="408" customFormat="1" spans="1:35">
      <c r="A135" s="428" t="s">
        <v>230</v>
      </c>
      <c r="B135" s="421" t="s">
        <v>319</v>
      </c>
      <c r="C135" s="429" t="str">
        <f>VLOOKUP(B135,正厂竞争者数据汇总!D:H,2,FALSE)</f>
        <v>Motor目录</v>
      </c>
      <c r="D135" s="421" t="str">
        <f>VLOOKUP(B135,正厂竞争者数据汇总!D:H,3,FALSE)</f>
        <v>-</v>
      </c>
      <c r="E135" s="430"/>
      <c r="F135" s="430">
        <v>91690.9</v>
      </c>
      <c r="G135" s="430"/>
      <c r="H135" s="430"/>
      <c r="I135" s="450"/>
      <c r="J135" s="451">
        <v>0.207285867340133</v>
      </c>
      <c r="K135" s="451">
        <v>0.201628977201329</v>
      </c>
      <c r="L135" s="451">
        <v>0.187936715865613</v>
      </c>
      <c r="M135" s="452"/>
      <c r="N135" s="451"/>
      <c r="O135" s="430"/>
      <c r="P135" s="531" t="str">
        <f t="array" ref="P135">INDEX(正厂竞争者数据汇总!I:I,MATCH($A$132&amp;B135,正厂竞争者数据汇总!A:A&amp;正厂竞争者数据汇总!D:D,0))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35" s="429"/>
      <c r="R135" s="421"/>
      <c r="S135" s="472">
        <v>557</v>
      </c>
      <c r="T135" s="472">
        <v>90</v>
      </c>
      <c r="U135" s="466"/>
      <c r="V135" s="466"/>
      <c r="W135" s="466"/>
      <c r="X135" s="466"/>
      <c r="Y135" s="200" t="s">
        <v>319</v>
      </c>
      <c r="Z135" s="200">
        <v>569</v>
      </c>
      <c r="AA135" s="200">
        <v>92</v>
      </c>
      <c r="AB135" s="410">
        <f t="shared" si="6"/>
        <v>1</v>
      </c>
      <c r="AC135" s="409">
        <f t="shared" si="7"/>
        <v>569</v>
      </c>
      <c r="AD135" s="409">
        <f t="shared" si="8"/>
        <v>92</v>
      </c>
      <c r="AF135" s="540"/>
      <c r="AG135" s="410"/>
      <c r="AH135"/>
      <c r="AI135"/>
    </row>
    <row r="136" s="408" customFormat="1" spans="1:35">
      <c r="A136" s="428" t="s">
        <v>230</v>
      </c>
      <c r="B136" s="421" t="s">
        <v>320</v>
      </c>
      <c r="C136" s="429" t="str">
        <f>VLOOKUP(B136,正厂竞争者数据汇总!D:H,2,FALSE)</f>
        <v>原厂目录</v>
      </c>
      <c r="D136" s="421" t="str">
        <f>VLOOKUP(B136,正厂竞争者数据汇总!D:H,3,FALSE)</f>
        <v>AZ</v>
      </c>
      <c r="E136" s="430"/>
      <c r="F136" s="430">
        <v>49375.3333333333</v>
      </c>
      <c r="G136" s="430"/>
      <c r="H136" s="430"/>
      <c r="I136" s="450"/>
      <c r="J136" s="451">
        <v>0.111622950534984</v>
      </c>
      <c r="K136" s="451">
        <v>0.110291076238273</v>
      </c>
      <c r="L136" s="451">
        <v>0.121782946300851</v>
      </c>
      <c r="M136" s="452"/>
      <c r="N136" s="451"/>
      <c r="O136" s="430"/>
      <c r="P136" s="531">
        <f t="array" ref="P136">INDEX(正厂竞争者数据汇总!I:I,MATCH($A$132&amp;B136,正厂竞争者数据汇总!A:A&amp;正厂竞争者数据汇总!D:D,0))</f>
        <v>0</v>
      </c>
      <c r="Q136" s="429"/>
      <c r="R136" s="421"/>
      <c r="S136" s="472">
        <v>8150</v>
      </c>
      <c r="T136" s="472">
        <v>383</v>
      </c>
      <c r="U136" s="466"/>
      <c r="V136" s="466"/>
      <c r="W136" s="466"/>
      <c r="X136" s="466"/>
      <c r="Y136" s="200" t="s">
        <v>320</v>
      </c>
      <c r="Z136" s="200">
        <v>8420</v>
      </c>
      <c r="AA136" s="200">
        <v>396</v>
      </c>
      <c r="AB136" s="410">
        <f t="shared" si="6"/>
        <v>1</v>
      </c>
      <c r="AC136" s="409">
        <f t="shared" si="7"/>
        <v>8420</v>
      </c>
      <c r="AD136" s="409">
        <f t="shared" si="8"/>
        <v>396</v>
      </c>
      <c r="AF136" s="540"/>
      <c r="AG136" s="410"/>
      <c r="AH136"/>
      <c r="AI136"/>
    </row>
    <row r="137" s="408" customFormat="1" spans="1:35">
      <c r="A137" s="428" t="s">
        <v>230</v>
      </c>
      <c r="B137" s="421" t="s">
        <v>321</v>
      </c>
      <c r="C137" s="429" t="str">
        <f>VLOOKUP(B137,正厂竞争者数据汇总!D:H,2,FALSE)</f>
        <v>原厂目录</v>
      </c>
      <c r="D137" s="421" t="str">
        <f>VLOOKUP(B137,正厂竞争者数据汇总!D:H,3,FALSE)</f>
        <v>CO</v>
      </c>
      <c r="E137" s="430"/>
      <c r="F137" s="430">
        <v>38033.1016666667</v>
      </c>
      <c r="G137" s="430"/>
      <c r="H137" s="430"/>
      <c r="I137" s="450"/>
      <c r="J137" s="451">
        <v>0.0859815365168241</v>
      </c>
      <c r="K137" s="451">
        <v>0.0795396381757623</v>
      </c>
      <c r="L137" s="451">
        <v>0.0826518003430877</v>
      </c>
      <c r="M137" s="452"/>
      <c r="N137" s="451"/>
      <c r="O137" s="430"/>
      <c r="P137" s="531" t="str">
        <f t="array" ref="P137">INDEX(正厂竞争者数据汇总!I:I,MATCH($A$132&amp;B137,正厂竞争者数据汇总!A:A&amp;正厂竞争者数据汇总!D:D,0))</f>
        <v>同时经营honda/acura，折算比例：acura75%，honda25%</v>
      </c>
      <c r="Q137" s="429"/>
      <c r="R137" s="421"/>
      <c r="S137" s="472">
        <v>1331</v>
      </c>
      <c r="T137" s="472">
        <v>255</v>
      </c>
      <c r="U137" s="466"/>
      <c r="V137" s="466"/>
      <c r="W137" s="466"/>
      <c r="X137" s="466"/>
      <c r="Y137" s="200" t="s">
        <v>321</v>
      </c>
      <c r="Z137" s="200">
        <v>1330</v>
      </c>
      <c r="AA137" s="200">
        <v>264</v>
      </c>
      <c r="AB137" s="410">
        <f t="shared" si="6"/>
        <v>1</v>
      </c>
      <c r="AC137" s="409">
        <f t="shared" si="7"/>
        <v>1330</v>
      </c>
      <c r="AD137" s="409">
        <f t="shared" si="8"/>
        <v>264</v>
      </c>
      <c r="AF137" s="540"/>
      <c r="AG137" s="410"/>
      <c r="AH137"/>
      <c r="AI137"/>
    </row>
    <row r="138" s="408" customFormat="1" spans="1:35">
      <c r="A138" s="428" t="s">
        <v>230</v>
      </c>
      <c r="B138" s="421" t="s">
        <v>323</v>
      </c>
      <c r="C138" s="429" t="str">
        <f>VLOOKUP(B138,正厂竞争者数据汇总!D:H,2,FALSE)</f>
        <v>原厂目录</v>
      </c>
      <c r="D138" s="421" t="str">
        <f>VLOOKUP(B138,正厂竞争者数据汇总!D:H,3,FALSE)</f>
        <v>NJ</v>
      </c>
      <c r="E138" s="430"/>
      <c r="F138" s="430">
        <v>25497.4166666667</v>
      </c>
      <c r="G138" s="430"/>
      <c r="H138" s="430"/>
      <c r="I138" s="450"/>
      <c r="J138" s="451">
        <v>0.0576420792977577</v>
      </c>
      <c r="K138" s="451">
        <v>0.0707547836793884</v>
      </c>
      <c r="L138" s="451">
        <v>0.0793899694077838</v>
      </c>
      <c r="M138" s="452"/>
      <c r="N138" s="451"/>
      <c r="O138" s="430"/>
      <c r="P138" s="531" t="str">
        <f t="array" ref="P138">INDEX(正厂竞争者数据汇总!I:I,MATCH($A$132&amp;B138,正厂竞争者数据汇总!A:A&amp;正厂竞争者数据汇总!D:D,0))</f>
        <v>2022年1月 新加入 CompetitorSites
2022年1月 新加入 MarketingShare</v>
      </c>
      <c r="Q138" s="429"/>
      <c r="R138" s="421"/>
      <c r="S138" s="472">
        <v>1141</v>
      </c>
      <c r="T138" s="472">
        <v>183</v>
      </c>
      <c r="U138" s="466"/>
      <c r="V138" s="466"/>
      <c r="W138" s="466"/>
      <c r="X138" s="466"/>
      <c r="Y138" s="200" t="s">
        <v>323</v>
      </c>
      <c r="Z138" s="200">
        <v>1111</v>
      </c>
      <c r="AA138" s="200">
        <v>183</v>
      </c>
      <c r="AB138" s="410">
        <f t="shared" si="6"/>
        <v>1</v>
      </c>
      <c r="AC138" s="409">
        <f t="shared" si="7"/>
        <v>1111</v>
      </c>
      <c r="AD138" s="409">
        <f t="shared" si="8"/>
        <v>183</v>
      </c>
      <c r="AF138" s="540"/>
      <c r="AG138" s="410"/>
      <c r="AH138"/>
      <c r="AI138"/>
    </row>
    <row r="139" s="408" customFormat="1" spans="1:35">
      <c r="A139" s="428" t="s">
        <v>238</v>
      </c>
      <c r="B139" s="421" t="s">
        <v>322</v>
      </c>
      <c r="C139" s="429" t="str">
        <f>VLOOKUP(B139,正厂竞争者数据汇总!D:H,2,FALSE)</f>
        <v>原厂目录</v>
      </c>
      <c r="D139" s="421" t="str">
        <f>VLOOKUP(B139,正厂竞争者数据汇总!D:H,3,FALSE)</f>
        <v>MA</v>
      </c>
      <c r="E139" s="430"/>
      <c r="F139" s="430">
        <v>24708.25</v>
      </c>
      <c r="G139" s="430"/>
      <c r="H139" s="430"/>
      <c r="I139" s="450"/>
      <c r="J139" s="451">
        <v>0.0558580080652153</v>
      </c>
      <c r="K139" s="451">
        <v>0.0660730410551925</v>
      </c>
      <c r="L139" s="451">
        <v>0.0784324920288898</v>
      </c>
      <c r="M139" s="452"/>
      <c r="N139" s="451"/>
      <c r="O139" s="430"/>
      <c r="P139" s="531">
        <f t="array" ref="P139">INDEX(正厂竞争者数据汇总!I:I,MATCH($A$132&amp;B139,正厂竞争者数据汇总!A:A&amp;正厂竞争者数据汇总!D:D,0))</f>
        <v>0</v>
      </c>
      <c r="Q139" s="429"/>
      <c r="R139" s="421"/>
      <c r="S139" s="472">
        <v>36817</v>
      </c>
      <c r="T139" s="472">
        <v>2012</v>
      </c>
      <c r="U139" s="466"/>
      <c r="V139" s="466"/>
      <c r="W139" s="466"/>
      <c r="X139" s="466"/>
      <c r="Y139" s="200" t="s">
        <v>322</v>
      </c>
      <c r="Z139" s="200">
        <v>28657</v>
      </c>
      <c r="AA139" s="200">
        <v>1803</v>
      </c>
      <c r="AB139" s="410">
        <f t="shared" si="6"/>
        <v>1</v>
      </c>
      <c r="AC139" s="409">
        <f t="shared" si="7"/>
        <v>28657</v>
      </c>
      <c r="AD139" s="409">
        <f t="shared" si="8"/>
        <v>1803</v>
      </c>
      <c r="AF139" s="540"/>
      <c r="AG139" s="410"/>
      <c r="AH139"/>
      <c r="AI139"/>
    </row>
    <row r="140" s="408" customFormat="1" spans="1:35">
      <c r="A140" s="428"/>
      <c r="B140" s="438"/>
      <c r="C140" s="429"/>
      <c r="D140" s="421"/>
      <c r="E140" s="430"/>
      <c r="F140" s="486"/>
      <c r="G140" s="486">
        <v>409170.916666667</v>
      </c>
      <c r="H140" s="486"/>
      <c r="I140" s="453"/>
      <c r="J140" s="451"/>
      <c r="K140" s="430"/>
      <c r="L140" s="430"/>
      <c r="M140" s="451"/>
      <c r="N140" s="451"/>
      <c r="O140" s="430"/>
      <c r="P140" s="531"/>
      <c r="Q140" s="429"/>
      <c r="R140" s="421"/>
      <c r="S140" s="473" t="s">
        <v>180</v>
      </c>
      <c r="T140" s="473" t="s">
        <v>180</v>
      </c>
      <c r="U140" s="466"/>
      <c r="V140" s="466"/>
      <c r="W140" s="421"/>
      <c r="X140" s="421"/>
      <c r="Y140" s="200" t="s">
        <v>240</v>
      </c>
      <c r="Z140" s="200" t="s">
        <v>180</v>
      </c>
      <c r="AA140" s="200" t="s">
        <v>180</v>
      </c>
      <c r="AB140" s="410">
        <f t="shared" si="6"/>
        <v>0</v>
      </c>
      <c r="AC140" s="409" t="str">
        <f t="shared" si="7"/>
        <v/>
      </c>
      <c r="AD140" s="409" t="str">
        <f t="shared" si="8"/>
        <v/>
      </c>
      <c r="AF140" s="540"/>
      <c r="AG140" s="410"/>
      <c r="AH140"/>
      <c r="AI140"/>
    </row>
    <row r="141" s="408" customFormat="1" spans="1:35">
      <c r="A141" s="428"/>
      <c r="B141" s="421"/>
      <c r="C141" s="439"/>
      <c r="D141" s="421"/>
      <c r="E141" s="421"/>
      <c r="F141" s="430">
        <v>442340.335</v>
      </c>
      <c r="G141" s="430"/>
      <c r="H141" s="430">
        <v>444921.666666667</v>
      </c>
      <c r="I141" s="453" t="e">
        <v>#DIV/0!</v>
      </c>
      <c r="J141" s="430"/>
      <c r="K141" s="430"/>
      <c r="L141" s="430"/>
      <c r="M141" s="451"/>
      <c r="N141" s="451">
        <f>SUM(N134:N140)</f>
        <v>0</v>
      </c>
      <c r="O141" s="430"/>
      <c r="P141" s="531"/>
      <c r="Q141" s="429" t="s">
        <v>180</v>
      </c>
      <c r="R141" s="421" t="s">
        <v>180</v>
      </c>
      <c r="S141" s="473" t="s">
        <v>180</v>
      </c>
      <c r="T141" s="473" t="s">
        <v>180</v>
      </c>
      <c r="U141" s="466"/>
      <c r="V141" s="466"/>
      <c r="W141" s="421"/>
      <c r="X141" s="421"/>
      <c r="Y141" s="200" t="s">
        <v>240</v>
      </c>
      <c r="Z141" s="200" t="s">
        <v>180</v>
      </c>
      <c r="AA141" s="200" t="s">
        <v>180</v>
      </c>
      <c r="AB141" s="410">
        <f t="shared" si="6"/>
        <v>0</v>
      </c>
      <c r="AC141" s="409" t="str">
        <f t="shared" si="7"/>
        <v/>
      </c>
      <c r="AD141" s="409" t="str">
        <f t="shared" si="8"/>
        <v/>
      </c>
      <c r="AF141" s="540"/>
      <c r="AG141" s="410"/>
      <c r="AH141"/>
      <c r="AI141"/>
    </row>
    <row r="142" s="408" customFormat="1" spans="1:35">
      <c r="A142" s="428"/>
      <c r="B142" s="421"/>
      <c r="C142" s="439"/>
      <c r="D142" s="421"/>
      <c r="E142" s="430"/>
      <c r="F142" s="430"/>
      <c r="G142" s="430"/>
      <c r="H142" s="430"/>
      <c r="I142" s="453"/>
      <c r="J142" s="430"/>
      <c r="K142" s="430"/>
      <c r="L142" s="430"/>
      <c r="M142" s="451"/>
      <c r="N142" s="459"/>
      <c r="O142" s="430"/>
      <c r="P142" s="531"/>
      <c r="Q142" s="429"/>
      <c r="R142" s="421" t="s">
        <v>180</v>
      </c>
      <c r="S142" s="473" t="s">
        <v>180</v>
      </c>
      <c r="T142" s="473" t="s">
        <v>180</v>
      </c>
      <c r="U142" s="466"/>
      <c r="V142" s="466"/>
      <c r="W142" s="421"/>
      <c r="X142" s="421"/>
      <c r="Y142" s="200" t="s">
        <v>240</v>
      </c>
      <c r="Z142" s="200" t="s">
        <v>180</v>
      </c>
      <c r="AA142" s="200" t="s">
        <v>180</v>
      </c>
      <c r="AB142" s="410">
        <f t="shared" si="6"/>
        <v>0</v>
      </c>
      <c r="AC142" s="409" t="str">
        <f t="shared" si="7"/>
        <v/>
      </c>
      <c r="AD142" s="409" t="str">
        <f t="shared" si="8"/>
        <v/>
      </c>
      <c r="AF142" s="540"/>
      <c r="AG142" s="410"/>
      <c r="AH142"/>
      <c r="AI142"/>
    </row>
    <row r="143" s="408" customFormat="1" ht="17.4" spans="1:35">
      <c r="A143" s="418" t="s">
        <v>177</v>
      </c>
      <c r="B143" s="419"/>
      <c r="C143" s="420"/>
      <c r="D143" s="421"/>
      <c r="E143" s="422" t="s">
        <v>202</v>
      </c>
      <c r="F143" s="422"/>
      <c r="G143" s="422" t="s">
        <v>213</v>
      </c>
      <c r="H143" s="422"/>
      <c r="I143" s="422"/>
      <c r="J143" s="422"/>
      <c r="K143" s="422"/>
      <c r="L143" s="422"/>
      <c r="M143" s="443"/>
      <c r="N143" s="444"/>
      <c r="O143" s="422"/>
      <c r="P143" s="531"/>
      <c r="Q143" s="465"/>
      <c r="R143" s="424"/>
      <c r="S143" s="473" t="s">
        <v>180</v>
      </c>
      <c r="T143" s="473" t="s">
        <v>180</v>
      </c>
      <c r="U143" s="467"/>
      <c r="V143" s="467"/>
      <c r="W143" s="467"/>
      <c r="X143" s="467"/>
      <c r="Y143" s="200" t="s">
        <v>240</v>
      </c>
      <c r="Z143" s="200" t="s">
        <v>180</v>
      </c>
      <c r="AA143" s="200" t="s">
        <v>180</v>
      </c>
      <c r="AB143" s="410">
        <f t="shared" si="6"/>
        <v>0</v>
      </c>
      <c r="AC143" s="409" t="str">
        <f t="shared" si="7"/>
        <v/>
      </c>
      <c r="AD143" s="409" t="str">
        <f t="shared" si="8"/>
        <v/>
      </c>
      <c r="AF143" s="540"/>
      <c r="AG143" s="410"/>
      <c r="AH143"/>
      <c r="AI143"/>
    </row>
    <row r="144" s="409" customFormat="1" ht="46.8" spans="1:35">
      <c r="A144" s="423" t="s">
        <v>206</v>
      </c>
      <c r="B144" s="424" t="s">
        <v>207</v>
      </c>
      <c r="C144" s="425" t="s">
        <v>208</v>
      </c>
      <c r="D144" s="424" t="s">
        <v>209</v>
      </c>
      <c r="E144" s="426" t="s">
        <v>210</v>
      </c>
      <c r="F144" s="427" t="s">
        <v>213</v>
      </c>
      <c r="G144" s="427">
        <v>93920.4166666667</v>
      </c>
      <c r="H144" s="427" t="s">
        <v>213</v>
      </c>
      <c r="I144" s="427" t="s">
        <v>386</v>
      </c>
      <c r="J144" s="446" t="s">
        <v>217</v>
      </c>
      <c r="K144" s="446" t="s">
        <v>387</v>
      </c>
      <c r="L144" s="446" t="s">
        <v>390</v>
      </c>
      <c r="M144" s="447" t="s">
        <v>218</v>
      </c>
      <c r="N144" s="448" t="s">
        <v>219</v>
      </c>
      <c r="O144" s="449" t="s">
        <v>220</v>
      </c>
      <c r="P144" s="530" t="s">
        <v>221</v>
      </c>
      <c r="Q144" s="469" t="s">
        <v>222</v>
      </c>
      <c r="R144" s="426" t="s">
        <v>223</v>
      </c>
      <c r="S144" s="470" t="s">
        <v>224</v>
      </c>
      <c r="T144" s="470" t="s">
        <v>205</v>
      </c>
      <c r="U144" s="467" t="s">
        <v>225</v>
      </c>
      <c r="V144" s="470" t="s">
        <v>226</v>
      </c>
      <c r="W144" s="467"/>
      <c r="X144" s="467"/>
      <c r="Y144" s="200" t="s">
        <v>207</v>
      </c>
      <c r="Z144" s="200" t="s">
        <v>180</v>
      </c>
      <c r="AA144" s="200" t="s">
        <v>180</v>
      </c>
      <c r="AB144" s="410">
        <f t="shared" si="6"/>
        <v>1</v>
      </c>
      <c r="AC144" s="409" t="str">
        <f t="shared" si="7"/>
        <v>Forum Link</v>
      </c>
      <c r="AD144" s="409" t="str">
        <f t="shared" si="8"/>
        <v>Domains</v>
      </c>
      <c r="AF144" s="540"/>
      <c r="AG144" s="410"/>
      <c r="AH144"/>
      <c r="AI144"/>
    </row>
    <row r="145" s="410" customFormat="1" ht="17.4" spans="1:35">
      <c r="A145" s="432" t="s">
        <v>227</v>
      </c>
      <c r="B145" s="432" t="s">
        <v>178</v>
      </c>
      <c r="C145" s="434" t="str">
        <f>VLOOKUP(B145,正厂竞争者数据汇总!D:H,2,FALSE)</f>
        <v>原厂目录</v>
      </c>
      <c r="D145" s="435" t="str">
        <f>VLOOKUP(B145,正厂竞争者数据汇总!D:H,3,FALSE)</f>
        <v>CA</v>
      </c>
      <c r="E145" s="436">
        <f>VLOOKUP(B145,正厂竞争者数据汇总!D:H,4,FALSE)</f>
        <v>0</v>
      </c>
      <c r="F145" s="436">
        <v>138574.833333333</v>
      </c>
      <c r="G145" s="436">
        <v>19160.4166666667</v>
      </c>
      <c r="H145" s="436">
        <v>93560.5000000002</v>
      </c>
      <c r="I145" s="454">
        <v>6.2323496792432</v>
      </c>
      <c r="J145" s="457">
        <v>0.63754230791378</v>
      </c>
      <c r="K145" s="457">
        <v>0.562345717937072</v>
      </c>
      <c r="L145" s="457">
        <v>0.564777952589824</v>
      </c>
      <c r="M145" s="456" t="e">
        <f>J145-#REF!</f>
        <v>#REF!</v>
      </c>
      <c r="N145" s="457" t="str">
        <f>IFERROR(O145*0.5/#REF!,"")</f>
        <v/>
      </c>
      <c r="O145" s="436" t="s">
        <v>180</v>
      </c>
      <c r="P145" s="531">
        <f t="array" ref="P145">INDEX(正厂竞争者数据汇总!I:I,MATCH($A$143&amp;B145,正厂竞争者数据汇总!A:A&amp;正厂竞争者数据汇总!D:D,0))</f>
        <v>0</v>
      </c>
      <c r="Q145" s="434" t="s">
        <v>324</v>
      </c>
      <c r="R145" s="435" t="s">
        <v>229</v>
      </c>
      <c r="S145" s="476">
        <v>22353</v>
      </c>
      <c r="T145" s="476">
        <v>4603</v>
      </c>
      <c r="U145" s="477"/>
      <c r="V145" s="477"/>
      <c r="W145" s="435"/>
      <c r="X145" s="435"/>
      <c r="Y145" s="200" t="s">
        <v>178</v>
      </c>
      <c r="Z145" s="200">
        <v>20931</v>
      </c>
      <c r="AA145" s="200">
        <v>4210</v>
      </c>
      <c r="AB145" s="410">
        <f t="shared" si="6"/>
        <v>1</v>
      </c>
      <c r="AC145" s="409">
        <f t="shared" si="7"/>
        <v>20931</v>
      </c>
      <c r="AD145" s="409">
        <f t="shared" si="8"/>
        <v>4210</v>
      </c>
      <c r="AF145" s="540"/>
      <c r="AH145"/>
      <c r="AI145"/>
    </row>
    <row r="146" s="408" customFormat="1" spans="1:35">
      <c r="A146" s="428" t="s">
        <v>230</v>
      </c>
      <c r="B146" s="421" t="s">
        <v>327</v>
      </c>
      <c r="C146" s="429" t="str">
        <f>VLOOKUP(B146,正厂竞争者数据汇总!D:H,2,FALSE)</f>
        <v>Motor目录</v>
      </c>
      <c r="D146" s="421" t="str">
        <f>VLOOKUP(B146,正厂竞争者数据汇总!D:H,3,FALSE)</f>
        <v>-</v>
      </c>
      <c r="E146" s="430"/>
      <c r="F146" s="430">
        <v>28463.5666666667</v>
      </c>
      <c r="G146" s="430"/>
      <c r="H146" s="430"/>
      <c r="I146" s="450"/>
      <c r="J146" s="451">
        <v>0.13095255139491</v>
      </c>
      <c r="K146" s="451">
        <v>0.160190417077723</v>
      </c>
      <c r="L146" s="451">
        <v>0.137706728208826</v>
      </c>
      <c r="M146" s="452"/>
      <c r="N146" s="451"/>
      <c r="O146" s="430"/>
      <c r="P146" s="531" t="str">
        <f t="array" ref="P146">INDEX(正厂竞争者数据汇总!I:I,MATCH($A$143&amp;B146,正厂竞争者数据汇总!A:A&amp;正厂竞争者数据汇总!D:D,0))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46" s="429"/>
      <c r="R146" s="421"/>
      <c r="S146" s="472">
        <v>150</v>
      </c>
      <c r="T146" s="472">
        <v>31</v>
      </c>
      <c r="U146" s="466"/>
      <c r="V146" s="466"/>
      <c r="W146" s="466"/>
      <c r="X146" s="466"/>
      <c r="Y146" s="200" t="s">
        <v>327</v>
      </c>
      <c r="Z146" s="200">
        <v>248</v>
      </c>
      <c r="AA146" s="200">
        <v>26</v>
      </c>
      <c r="AB146" s="410">
        <f t="shared" si="6"/>
        <v>1</v>
      </c>
      <c r="AC146" s="409">
        <f t="shared" si="7"/>
        <v>248</v>
      </c>
      <c r="AD146" s="409">
        <f t="shared" si="8"/>
        <v>26</v>
      </c>
      <c r="AF146" s="540"/>
      <c r="AG146" s="410"/>
      <c r="AH146"/>
      <c r="AI146"/>
    </row>
    <row r="147" s="408" customFormat="1" spans="1:35">
      <c r="A147" s="428" t="s">
        <v>325</v>
      </c>
      <c r="B147" s="421" t="s">
        <v>326</v>
      </c>
      <c r="C147" s="429" t="str">
        <f>VLOOKUP(B147,正厂竞争者数据汇总!D:H,2,FALSE)</f>
        <v>原厂目录</v>
      </c>
      <c r="D147" s="421" t="str">
        <f>VLOOKUP(B147,正厂竞争者数据汇总!D:H,3,FALSE)</f>
        <v>IL</v>
      </c>
      <c r="E147" s="430"/>
      <c r="F147" s="430">
        <v>18430.43405</v>
      </c>
      <c r="G147" s="430"/>
      <c r="H147" s="430"/>
      <c r="I147" s="450"/>
      <c r="J147" s="451">
        <v>0.0847930405359059</v>
      </c>
      <c r="K147" s="451">
        <v>0.133874163789112</v>
      </c>
      <c r="L147" s="451">
        <v>0.0840880368646202</v>
      </c>
      <c r="M147" s="452"/>
      <c r="N147" s="451"/>
      <c r="O147" s="430"/>
      <c r="P147" s="531">
        <f t="array" ref="P147">INDEX(正厂竞争者数据汇总!I:I,MATCH($A$143&amp;B147,正厂竞争者数据汇总!A:A&amp;正厂竞争者数据汇总!D:D,0))</f>
        <v>0</v>
      </c>
      <c r="Q147" s="429"/>
      <c r="R147" s="421"/>
      <c r="S147" s="472">
        <v>594</v>
      </c>
      <c r="T147" s="472">
        <v>61</v>
      </c>
      <c r="U147" s="466"/>
      <c r="V147" s="466"/>
      <c r="W147" s="466"/>
      <c r="X147" s="466"/>
      <c r="Y147" s="200" t="s">
        <v>326</v>
      </c>
      <c r="Z147" s="200">
        <v>624</v>
      </c>
      <c r="AA147" s="200">
        <v>78</v>
      </c>
      <c r="AB147" s="410">
        <f t="shared" si="6"/>
        <v>1</v>
      </c>
      <c r="AC147" s="409">
        <f t="shared" si="7"/>
        <v>624</v>
      </c>
      <c r="AD147" s="409">
        <f t="shared" si="8"/>
        <v>78</v>
      </c>
      <c r="AF147" s="540"/>
      <c r="AG147" s="410"/>
      <c r="AH147"/>
      <c r="AI147"/>
    </row>
    <row r="148" s="408" customFormat="1" spans="1:35">
      <c r="A148" s="428" t="s">
        <v>230</v>
      </c>
      <c r="B148" s="421" t="s">
        <v>328</v>
      </c>
      <c r="C148" s="429" t="str">
        <f>VLOOKUP(B148,正厂竞争者数据汇总!D:H,2,FALSE)</f>
        <v>Motor目录</v>
      </c>
      <c r="D148" s="421" t="str">
        <f>VLOOKUP(B148,正厂竞争者数据汇总!D:H,3,FALSE)</f>
        <v>AZ</v>
      </c>
      <c r="E148" s="430"/>
      <c r="F148" s="430">
        <v>11525.1033333333</v>
      </c>
      <c r="G148" s="430"/>
      <c r="H148" s="430"/>
      <c r="I148" s="450"/>
      <c r="J148" s="451">
        <v>0.0530236320790196</v>
      </c>
      <c r="K148" s="451">
        <v>0.0788464934495606</v>
      </c>
      <c r="L148" s="451">
        <v>0.111769458757066</v>
      </c>
      <c r="M148" s="452"/>
      <c r="N148" s="451"/>
      <c r="O148" s="430"/>
      <c r="P148" s="531" t="str">
        <f t="array" ref="P148">INDEX(正厂竞争者数据汇总!I:I,MATCH($A$143&amp;B148,正厂竞争者数据汇总!A:A&amp;正厂竞争者数据汇总!D:D,0))</f>
        <v>2022年1月 新加入 MarketingShare</v>
      </c>
      <c r="Q148" s="429"/>
      <c r="R148" s="421"/>
      <c r="S148" s="472">
        <v>326</v>
      </c>
      <c r="T148" s="472">
        <v>77</v>
      </c>
      <c r="U148" s="466"/>
      <c r="V148" s="466"/>
      <c r="W148" s="466"/>
      <c r="X148" s="466"/>
      <c r="Y148" s="200" t="s">
        <v>328</v>
      </c>
      <c r="Z148" s="200">
        <v>327</v>
      </c>
      <c r="AA148" s="200">
        <v>78</v>
      </c>
      <c r="AB148" s="410">
        <f t="shared" si="6"/>
        <v>1</v>
      </c>
      <c r="AC148" s="409">
        <f t="shared" si="7"/>
        <v>327</v>
      </c>
      <c r="AD148" s="409">
        <f t="shared" si="8"/>
        <v>78</v>
      </c>
      <c r="AF148" s="540"/>
      <c r="AG148" s="410"/>
      <c r="AH148"/>
      <c r="AI148"/>
    </row>
    <row r="149" s="408" customFormat="1" spans="1:35">
      <c r="A149" s="428" t="s">
        <v>230</v>
      </c>
      <c r="B149" s="421" t="s">
        <v>329</v>
      </c>
      <c r="C149" s="429" t="str">
        <f>VLOOKUP(B149,正厂竞争者数据汇总!D:H,2,FALSE)</f>
        <v>Motor目录</v>
      </c>
      <c r="D149" s="421" t="str">
        <f>VLOOKUP(B149,正厂竞争者数据汇总!D:H,3,FALSE)</f>
        <v>AZ</v>
      </c>
      <c r="E149" s="430"/>
      <c r="F149" s="430">
        <v>10534.6173666667</v>
      </c>
      <c r="G149" s="430"/>
      <c r="H149" s="430"/>
      <c r="I149" s="450"/>
      <c r="J149" s="451">
        <v>0.0484666956284748</v>
      </c>
      <c r="K149" s="451">
        <v>0.0464021093009376</v>
      </c>
      <c r="L149" s="451">
        <v>0.0395314742848084</v>
      </c>
      <c r="M149" s="452"/>
      <c r="N149" s="451"/>
      <c r="O149" s="430"/>
      <c r="P149" s="531">
        <f t="array" ref="P149">INDEX(正厂竞争者数据汇总!I:I,MATCH($A$143&amp;B149,正厂竞争者数据汇总!A:A&amp;正厂竞争者数据汇总!D:D,0))</f>
        <v>0</v>
      </c>
      <c r="Q149" s="429"/>
      <c r="R149" s="421"/>
      <c r="S149" s="472">
        <v>672</v>
      </c>
      <c r="T149" s="472">
        <v>128</v>
      </c>
      <c r="U149" s="466"/>
      <c r="V149" s="466"/>
      <c r="W149" s="466"/>
      <c r="X149" s="466"/>
      <c r="Y149" s="200" t="s">
        <v>329</v>
      </c>
      <c r="Z149" s="200">
        <v>807</v>
      </c>
      <c r="AA149" s="200">
        <v>152</v>
      </c>
      <c r="AB149" s="410">
        <f t="shared" si="6"/>
        <v>1</v>
      </c>
      <c r="AC149" s="409">
        <f t="shared" si="7"/>
        <v>807</v>
      </c>
      <c r="AD149" s="409">
        <f t="shared" si="8"/>
        <v>152</v>
      </c>
      <c r="AF149" s="540"/>
      <c r="AG149" s="410"/>
      <c r="AH149"/>
      <c r="AI149"/>
    </row>
    <row r="150" s="408" customFormat="1" spans="1:35">
      <c r="A150" s="428" t="s">
        <v>230</v>
      </c>
      <c r="B150" s="421" t="s">
        <v>394</v>
      </c>
      <c r="C150" s="429" t="str">
        <f>VLOOKUP(B150,正厂竞争者数据汇总!D:H,2,FALSE)</f>
        <v>Motor目录</v>
      </c>
      <c r="D150" s="421" t="str">
        <f>VLOOKUP(B150,正厂竞争者数据汇总!D:H,3,FALSE)</f>
        <v>GA</v>
      </c>
      <c r="E150" s="430"/>
      <c r="F150" s="430">
        <v>9829.3078</v>
      </c>
      <c r="G150" s="430"/>
      <c r="H150" s="430"/>
      <c r="I150" s="450"/>
      <c r="J150" s="451">
        <v>0.0452217724479091</v>
      </c>
      <c r="K150" s="451">
        <v>0.0183410984455935</v>
      </c>
      <c r="L150" s="451">
        <v>0.0261118248092224</v>
      </c>
      <c r="M150" s="452"/>
      <c r="N150" s="451"/>
      <c r="O150" s="430"/>
      <c r="P150" s="531" t="str">
        <f t="array" ref="P150">INDEX(正厂竞争者数据汇总!I:I,MATCH($A$143&amp;B150,正厂竞争者数据汇总!A:A&amp;正厂竞争者数据汇总!D:D,0))</f>
        <v>2023/6，因流量上涨加入MS计算基准</v>
      </c>
      <c r="Q150" s="429"/>
      <c r="R150" s="421"/>
      <c r="S150" s="472">
        <v>1685</v>
      </c>
      <c r="T150" s="472">
        <v>80</v>
      </c>
      <c r="U150" s="466"/>
      <c r="V150" s="466"/>
      <c r="W150" s="466"/>
      <c r="X150" s="466"/>
      <c r="Y150" s="200" t="s">
        <v>394</v>
      </c>
      <c r="Z150" s="200">
        <v>2018</v>
      </c>
      <c r="AA150" s="200">
        <v>83</v>
      </c>
      <c r="AB150" s="410">
        <f t="shared" si="6"/>
        <v>1</v>
      </c>
      <c r="AC150" s="409">
        <f t="shared" si="7"/>
        <v>2018</v>
      </c>
      <c r="AD150" s="409">
        <f t="shared" si="8"/>
        <v>83</v>
      </c>
      <c r="AF150" s="540"/>
      <c r="AG150" s="410"/>
      <c r="AH150"/>
      <c r="AI150"/>
    </row>
    <row r="151" s="408" customFormat="1" spans="1:35">
      <c r="A151" s="428"/>
      <c r="B151" s="431"/>
      <c r="C151" s="429"/>
      <c r="D151" s="421"/>
      <c r="E151" s="430"/>
      <c r="F151" s="430"/>
      <c r="G151" s="430">
        <v>161698.333333333</v>
      </c>
      <c r="H151" s="430"/>
      <c r="I151" s="453"/>
      <c r="J151" s="451"/>
      <c r="K151" s="451"/>
      <c r="L151" s="451"/>
      <c r="M151" s="451"/>
      <c r="N151" s="451"/>
      <c r="O151" s="430"/>
      <c r="P151" s="531"/>
      <c r="Q151" s="429"/>
      <c r="R151" s="421"/>
      <c r="S151" s="473" t="s">
        <v>180</v>
      </c>
      <c r="T151" s="473" t="s">
        <v>180</v>
      </c>
      <c r="U151" s="466"/>
      <c r="V151" s="466"/>
      <c r="W151" s="421"/>
      <c r="X151" s="421"/>
      <c r="Y151" s="200" t="s">
        <v>240</v>
      </c>
      <c r="Z151" s="200" t="s">
        <v>180</v>
      </c>
      <c r="AA151" s="200" t="s">
        <v>180</v>
      </c>
      <c r="AB151" s="410">
        <f t="shared" si="6"/>
        <v>0</v>
      </c>
      <c r="AC151" s="409" t="str">
        <f t="shared" si="7"/>
        <v/>
      </c>
      <c r="AD151" s="409" t="str">
        <f t="shared" si="8"/>
        <v/>
      </c>
      <c r="AF151" s="540"/>
      <c r="AG151" s="410"/>
      <c r="AH151"/>
      <c r="AI151"/>
    </row>
    <row r="152" s="408" customFormat="1" spans="1:35">
      <c r="A152" s="428"/>
      <c r="B152" s="421"/>
      <c r="C152" s="439"/>
      <c r="D152" s="421"/>
      <c r="E152" s="430"/>
      <c r="F152" s="430">
        <v>217357.86255</v>
      </c>
      <c r="G152" s="430"/>
      <c r="H152" s="430">
        <v>167907.166666667</v>
      </c>
      <c r="I152" s="453" t="e">
        <v>#DIV/0!</v>
      </c>
      <c r="J152" s="430"/>
      <c r="K152" s="430"/>
      <c r="L152" s="430"/>
      <c r="M152" s="451"/>
      <c r="N152" s="451">
        <f>SUM(N145:N146)</f>
        <v>0</v>
      </c>
      <c r="O152" s="430"/>
      <c r="P152" s="531"/>
      <c r="Q152" s="493"/>
      <c r="R152" s="421"/>
      <c r="S152" s="473" t="s">
        <v>180</v>
      </c>
      <c r="T152" s="473" t="s">
        <v>180</v>
      </c>
      <c r="U152" s="466"/>
      <c r="V152" s="466"/>
      <c r="W152" s="421"/>
      <c r="X152" s="421"/>
      <c r="Y152" s="200" t="s">
        <v>240</v>
      </c>
      <c r="Z152" s="200" t="s">
        <v>180</v>
      </c>
      <c r="AA152" s="200" t="s">
        <v>180</v>
      </c>
      <c r="AB152" s="410">
        <f t="shared" si="6"/>
        <v>0</v>
      </c>
      <c r="AC152" s="409" t="str">
        <f t="shared" si="7"/>
        <v/>
      </c>
      <c r="AD152" s="409" t="str">
        <f t="shared" si="8"/>
        <v/>
      </c>
      <c r="AF152" s="540"/>
      <c r="AG152" s="410"/>
      <c r="AH152"/>
      <c r="AI152"/>
    </row>
    <row r="153" s="408" customFormat="1" spans="1:35">
      <c r="A153" s="428"/>
      <c r="B153" s="421"/>
      <c r="C153" s="439"/>
      <c r="D153" s="421"/>
      <c r="E153" s="430"/>
      <c r="F153" s="430"/>
      <c r="G153" s="430"/>
      <c r="H153" s="430"/>
      <c r="I153" s="453"/>
      <c r="J153" s="430"/>
      <c r="K153" s="430"/>
      <c r="L153" s="430"/>
      <c r="M153" s="451"/>
      <c r="N153" s="451"/>
      <c r="O153" s="430"/>
      <c r="P153" s="531"/>
      <c r="Q153" s="493"/>
      <c r="R153" s="421"/>
      <c r="S153" s="473" t="s">
        <v>180</v>
      </c>
      <c r="T153" s="473" t="s">
        <v>180</v>
      </c>
      <c r="U153" s="466"/>
      <c r="V153" s="466"/>
      <c r="W153" s="421"/>
      <c r="X153" s="421"/>
      <c r="Y153" s="200" t="s">
        <v>240</v>
      </c>
      <c r="Z153" s="200" t="s">
        <v>180</v>
      </c>
      <c r="AA153" s="200" t="s">
        <v>180</v>
      </c>
      <c r="AB153" s="410">
        <f t="shared" si="6"/>
        <v>0</v>
      </c>
      <c r="AC153" s="409" t="str">
        <f t="shared" si="7"/>
        <v/>
      </c>
      <c r="AD153" s="409" t="str">
        <f t="shared" si="8"/>
        <v/>
      </c>
      <c r="AF153" s="540"/>
      <c r="AG153" s="410"/>
      <c r="AH153"/>
      <c r="AI153"/>
    </row>
    <row r="154" s="408" customFormat="1" ht="17.4" spans="1:35">
      <c r="A154" s="418" t="s">
        <v>185</v>
      </c>
      <c r="B154" s="419"/>
      <c r="C154" s="420"/>
      <c r="D154" s="421"/>
      <c r="E154" s="422" t="s">
        <v>202</v>
      </c>
      <c r="F154" s="422"/>
      <c r="G154" s="422" t="s">
        <v>213</v>
      </c>
      <c r="H154" s="422"/>
      <c r="I154" s="422"/>
      <c r="J154" s="422"/>
      <c r="K154" s="422"/>
      <c r="L154" s="422"/>
      <c r="M154" s="443"/>
      <c r="N154" s="444"/>
      <c r="O154" s="422"/>
      <c r="P154" s="531"/>
      <c r="Q154" s="465"/>
      <c r="R154" s="424"/>
      <c r="S154" s="473" t="s">
        <v>180</v>
      </c>
      <c r="T154" s="473" t="s">
        <v>180</v>
      </c>
      <c r="U154" s="467"/>
      <c r="V154" s="467"/>
      <c r="W154" s="467"/>
      <c r="X154" s="467"/>
      <c r="Y154" s="200" t="s">
        <v>240</v>
      </c>
      <c r="Z154" s="200" t="s">
        <v>180</v>
      </c>
      <c r="AA154" s="200" t="s">
        <v>180</v>
      </c>
      <c r="AB154" s="410">
        <f t="shared" si="6"/>
        <v>0</v>
      </c>
      <c r="AC154" s="409" t="str">
        <f t="shared" si="7"/>
        <v/>
      </c>
      <c r="AD154" s="409" t="str">
        <f t="shared" si="8"/>
        <v/>
      </c>
      <c r="AF154" s="540"/>
      <c r="AG154" s="410"/>
      <c r="AH154"/>
      <c r="AI154"/>
    </row>
    <row r="155" s="409" customFormat="1" ht="46.8" spans="1:35">
      <c r="A155" s="423" t="s">
        <v>206</v>
      </c>
      <c r="B155" s="424" t="s">
        <v>207</v>
      </c>
      <c r="C155" s="425" t="s">
        <v>208</v>
      </c>
      <c r="D155" s="424" t="s">
        <v>209</v>
      </c>
      <c r="E155" s="426" t="s">
        <v>210</v>
      </c>
      <c r="F155" s="427" t="s">
        <v>213</v>
      </c>
      <c r="G155" s="427">
        <v>116448.583333333</v>
      </c>
      <c r="H155" s="427" t="s">
        <v>213</v>
      </c>
      <c r="I155" s="427" t="s">
        <v>386</v>
      </c>
      <c r="J155" s="446" t="s">
        <v>217</v>
      </c>
      <c r="K155" s="446" t="s">
        <v>387</v>
      </c>
      <c r="L155" s="446" t="s">
        <v>390</v>
      </c>
      <c r="M155" s="447" t="s">
        <v>218</v>
      </c>
      <c r="N155" s="448" t="s">
        <v>219</v>
      </c>
      <c r="O155" s="449" t="s">
        <v>220</v>
      </c>
      <c r="P155" s="530" t="s">
        <v>221</v>
      </c>
      <c r="Q155" s="469" t="s">
        <v>222</v>
      </c>
      <c r="R155" s="426" t="s">
        <v>223</v>
      </c>
      <c r="S155" s="470" t="s">
        <v>224</v>
      </c>
      <c r="T155" s="470" t="s">
        <v>205</v>
      </c>
      <c r="U155" s="467" t="s">
        <v>225</v>
      </c>
      <c r="V155" s="470" t="s">
        <v>226</v>
      </c>
      <c r="W155" s="467"/>
      <c r="X155" s="467"/>
      <c r="Y155" s="200" t="s">
        <v>207</v>
      </c>
      <c r="Z155" s="200" t="s">
        <v>180</v>
      </c>
      <c r="AA155" s="200" t="s">
        <v>180</v>
      </c>
      <c r="AB155" s="410">
        <f t="shared" si="6"/>
        <v>1</v>
      </c>
      <c r="AC155" s="409" t="str">
        <f t="shared" si="7"/>
        <v>Forum Link</v>
      </c>
      <c r="AD155" s="409" t="str">
        <f t="shared" si="8"/>
        <v>Domains</v>
      </c>
      <c r="AF155" s="540"/>
      <c r="AG155" s="410"/>
      <c r="AH155"/>
      <c r="AI155"/>
    </row>
    <row r="156" s="408" customFormat="1" spans="1:35">
      <c r="A156" s="428" t="s">
        <v>230</v>
      </c>
      <c r="B156" s="438" t="s">
        <v>330</v>
      </c>
      <c r="C156" s="429" t="str">
        <f>VLOOKUP(B156,正厂竞争者数据汇总!D:H,2,FALSE)</f>
        <v>Motor目录</v>
      </c>
      <c r="D156" s="421" t="str">
        <f>VLOOKUP(B156,正厂竞争者数据汇总!D:H,3,FALSE)</f>
        <v>NM</v>
      </c>
      <c r="E156" s="430"/>
      <c r="F156" s="430">
        <v>93069.0217833333</v>
      </c>
      <c r="G156" s="430"/>
      <c r="H156" s="430"/>
      <c r="I156" s="453"/>
      <c r="J156" s="451">
        <v>0.191540894208241</v>
      </c>
      <c r="K156" s="451">
        <v>0.192337544606226</v>
      </c>
      <c r="L156" s="451">
        <v>0.21392234695695</v>
      </c>
      <c r="M156" s="451"/>
      <c r="N156" s="459"/>
      <c r="O156" s="430"/>
      <c r="P156" s="531">
        <f>VLOOKUP(B156,正厂竞争者数据汇总!D:M,6,FALSE)</f>
        <v>0</v>
      </c>
      <c r="Q156" s="429"/>
      <c r="R156" s="421"/>
      <c r="S156" s="473">
        <v>3889</v>
      </c>
      <c r="T156" s="473">
        <v>417</v>
      </c>
      <c r="U156" s="466"/>
      <c r="V156" s="466"/>
      <c r="W156" s="421"/>
      <c r="X156" s="421"/>
      <c r="Y156" s="200" t="s">
        <v>330</v>
      </c>
      <c r="Z156" s="200">
        <v>4008</v>
      </c>
      <c r="AA156" s="200">
        <v>431</v>
      </c>
      <c r="AB156" s="410">
        <f t="shared" si="6"/>
        <v>1</v>
      </c>
      <c r="AC156" s="409">
        <f t="shared" si="7"/>
        <v>4008</v>
      </c>
      <c r="AD156" s="409">
        <f t="shared" si="8"/>
        <v>431</v>
      </c>
      <c r="AF156" s="540"/>
      <c r="AG156" s="410"/>
      <c r="AH156"/>
      <c r="AI156"/>
    </row>
    <row r="157" s="408" customFormat="1" spans="1:35">
      <c r="A157" s="428" t="s">
        <v>243</v>
      </c>
      <c r="B157" s="438" t="s">
        <v>331</v>
      </c>
      <c r="C157" s="429" t="str">
        <f>VLOOKUP(B157,正厂竞争者数据汇总!D:H,2,FALSE)</f>
        <v>旧年份原厂、新年份Motor</v>
      </c>
      <c r="D157" s="421" t="str">
        <f>VLOOKUP(B157,正厂竞争者数据汇总!D:H,3,FALSE)</f>
        <v>GA</v>
      </c>
      <c r="E157" s="430" t="str">
        <f>VLOOKUP(B155,正厂竞争者数据汇总!D:H,4,FALSE)</f>
        <v>Alexa Traffic Rank</v>
      </c>
      <c r="F157" s="430">
        <v>83988.05</v>
      </c>
      <c r="G157" s="430">
        <v>148204.583333333</v>
      </c>
      <c r="H157" s="430">
        <v>93790.0833333333</v>
      </c>
      <c r="I157" s="453">
        <v>-0.433296541098874</v>
      </c>
      <c r="J157" s="451">
        <v>0.172851781307616</v>
      </c>
      <c r="K157" s="451">
        <v>0.175096059303969</v>
      </c>
      <c r="L157" s="451">
        <v>0.156360049039646</v>
      </c>
      <c r="M157" s="451" t="e">
        <f>J157-#REF!</f>
        <v>#REF!</v>
      </c>
      <c r="N157" s="459"/>
      <c r="O157" s="430"/>
      <c r="P157" s="531">
        <f>VLOOKUP(B157,正厂竞争者数据汇总!D:M,6,FALSE)</f>
        <v>0</v>
      </c>
      <c r="Q157" s="429" t="s">
        <v>180</v>
      </c>
      <c r="R157" s="421" t="s">
        <v>180</v>
      </c>
      <c r="S157" s="473">
        <v>8799</v>
      </c>
      <c r="T157" s="473">
        <v>1586</v>
      </c>
      <c r="U157" s="466"/>
      <c r="V157" s="466"/>
      <c r="W157" s="421"/>
      <c r="X157" s="421"/>
      <c r="Y157" s="200" t="s">
        <v>331</v>
      </c>
      <c r="Z157" s="200">
        <v>8715</v>
      </c>
      <c r="AA157" s="200">
        <v>1502</v>
      </c>
      <c r="AB157" s="410">
        <f t="shared" si="6"/>
        <v>1</v>
      </c>
      <c r="AC157" s="409">
        <f t="shared" si="7"/>
        <v>8715</v>
      </c>
      <c r="AD157" s="409">
        <f t="shared" si="8"/>
        <v>1502</v>
      </c>
      <c r="AF157" s="540"/>
      <c r="AG157" s="410"/>
      <c r="AH157"/>
      <c r="AI157"/>
    </row>
    <row r="158" s="408" customFormat="1" spans="1:35">
      <c r="A158" s="428" t="s">
        <v>230</v>
      </c>
      <c r="B158" s="438" t="s">
        <v>334</v>
      </c>
      <c r="C158" s="429" t="str">
        <f>VLOOKUP(B158,正厂竞争者数据汇总!D:H,2,FALSE)</f>
        <v>Motor目录</v>
      </c>
      <c r="D158" s="421" t="str">
        <f>VLOOKUP(B158,正厂竞争者数据汇总!D:H,3,FALSE)</f>
        <v>WA</v>
      </c>
      <c r="E158" s="430"/>
      <c r="F158" s="430">
        <v>60898.0934666667</v>
      </c>
      <c r="G158" s="430"/>
      <c r="H158" s="430"/>
      <c r="I158" s="453"/>
      <c r="J158" s="451">
        <v>0.125331448151862</v>
      </c>
      <c r="K158" s="451">
        <v>0.134352475195391</v>
      </c>
      <c r="L158" s="451">
        <v>0.0879526690075889</v>
      </c>
      <c r="M158" s="451"/>
      <c r="N158" s="459"/>
      <c r="O158" s="430"/>
      <c r="P158" s="531">
        <f>VLOOKUP(B158,正厂竞争者数据汇总!D:M,6,FALSE)</f>
        <v>0</v>
      </c>
      <c r="Q158" s="429"/>
      <c r="R158" s="421"/>
      <c r="S158" s="473">
        <v>3698</v>
      </c>
      <c r="T158" s="473">
        <v>331</v>
      </c>
      <c r="U158" s="466"/>
      <c r="V158" s="466"/>
      <c r="W158" s="421"/>
      <c r="X158" s="421"/>
      <c r="Y158" s="200" t="s">
        <v>334</v>
      </c>
      <c r="Z158" s="200">
        <v>4038</v>
      </c>
      <c r="AA158" s="200">
        <v>370</v>
      </c>
      <c r="AB158" s="410">
        <f t="shared" si="6"/>
        <v>1</v>
      </c>
      <c r="AC158" s="409">
        <f t="shared" si="7"/>
        <v>4038</v>
      </c>
      <c r="AD158" s="409">
        <f t="shared" si="8"/>
        <v>370</v>
      </c>
      <c r="AF158" s="540"/>
      <c r="AG158" s="410"/>
      <c r="AH158"/>
      <c r="AI158"/>
    </row>
    <row r="159" s="408" customFormat="1" spans="1:35">
      <c r="A159" s="428" t="s">
        <v>332</v>
      </c>
      <c r="B159" s="438" t="s">
        <v>333</v>
      </c>
      <c r="C159" s="429" t="str">
        <f>VLOOKUP(B159,正厂竞争者数据汇总!D:H,2,FALSE)</f>
        <v>Motor目录</v>
      </c>
      <c r="D159" s="421" t="str">
        <f>VLOOKUP(B159,正厂竞争者数据汇总!D:H,3,FALSE)</f>
        <v>TX</v>
      </c>
      <c r="E159" s="430"/>
      <c r="F159" s="430">
        <v>52658.275</v>
      </c>
      <c r="G159" s="430"/>
      <c r="H159" s="430"/>
      <c r="I159" s="453"/>
      <c r="J159" s="451">
        <v>0.108373472587306</v>
      </c>
      <c r="K159" s="451">
        <v>0.11592813092446</v>
      </c>
      <c r="L159" s="451">
        <v>0.146686279161802</v>
      </c>
      <c r="M159" s="451"/>
      <c r="N159" s="459"/>
      <c r="O159" s="430"/>
      <c r="P159" s="531" t="str">
        <f>VLOOKUP(B159,正厂竞争者数据汇总!D:M,6,FALSE)</f>
        <v>2023年9月新增，用区号确定的地址</v>
      </c>
      <c r="Q159" s="429"/>
      <c r="R159" s="421"/>
      <c r="S159" s="473">
        <v>3746</v>
      </c>
      <c r="T159" s="473">
        <v>376</v>
      </c>
      <c r="U159" s="466"/>
      <c r="V159" s="466"/>
      <c r="W159" s="421"/>
      <c r="X159" s="421"/>
      <c r="Y159" s="200" t="s">
        <v>333</v>
      </c>
      <c r="Z159" s="200">
        <v>3846</v>
      </c>
      <c r="AA159" s="200">
        <v>373</v>
      </c>
      <c r="AB159" s="410">
        <f t="shared" si="6"/>
        <v>1</v>
      </c>
      <c r="AC159" s="409">
        <f t="shared" si="7"/>
        <v>3846</v>
      </c>
      <c r="AD159" s="409">
        <f t="shared" si="8"/>
        <v>373</v>
      </c>
      <c r="AF159" s="540"/>
      <c r="AG159" s="410"/>
      <c r="AH159"/>
      <c r="AI159"/>
    </row>
    <row r="160" s="408" customFormat="1" spans="1:35">
      <c r="A160" s="428" t="s">
        <v>230</v>
      </c>
      <c r="B160" s="438" t="s">
        <v>336</v>
      </c>
      <c r="C160" s="429" t="str">
        <f>VLOOKUP(B160,正厂竞争者数据汇总!D:H,2,FALSE)</f>
        <v>Motor目录</v>
      </c>
      <c r="D160" s="421" t="str">
        <f>VLOOKUP(B160,正厂竞争者数据汇总!D:H,3,FALSE)</f>
        <v>IL</v>
      </c>
      <c r="E160" s="430"/>
      <c r="F160" s="430">
        <v>49685.7252</v>
      </c>
      <c r="G160" s="430"/>
      <c r="H160" s="430"/>
      <c r="I160" s="453"/>
      <c r="J160" s="451">
        <v>0.102255810277542</v>
      </c>
      <c r="K160" s="451">
        <v>0.109134944975509</v>
      </c>
      <c r="L160" s="451">
        <v>0.151484057922686</v>
      </c>
      <c r="M160" s="451"/>
      <c r="N160" s="459"/>
      <c r="O160" s="430"/>
      <c r="P160" s="531" t="str">
        <f>VLOOKUP(B160,正厂竞争者数据汇总!D:M,6,FALSE)</f>
        <v>2023年9月新增</v>
      </c>
      <c r="Q160" s="429"/>
      <c r="R160" s="421"/>
      <c r="S160" s="473">
        <v>2175</v>
      </c>
      <c r="T160" s="473">
        <v>326</v>
      </c>
      <c r="U160" s="466"/>
      <c r="V160" s="466"/>
      <c r="W160" s="421"/>
      <c r="X160" s="421"/>
      <c r="Y160" s="200" t="s">
        <v>336</v>
      </c>
      <c r="Z160" s="200">
        <v>2320</v>
      </c>
      <c r="AA160" s="200">
        <v>356</v>
      </c>
      <c r="AB160" s="410">
        <f t="shared" si="6"/>
        <v>1</v>
      </c>
      <c r="AC160" s="409">
        <f t="shared" si="7"/>
        <v>2320</v>
      </c>
      <c r="AD160" s="409">
        <f t="shared" si="8"/>
        <v>356</v>
      </c>
      <c r="AF160" s="540"/>
      <c r="AG160" s="410"/>
      <c r="AH160"/>
      <c r="AI160"/>
    </row>
    <row r="161" s="408" customFormat="1" spans="1:35">
      <c r="A161" s="428" t="s">
        <v>230</v>
      </c>
      <c r="B161" s="438" t="s">
        <v>335</v>
      </c>
      <c r="C161" s="429" t="str">
        <f>VLOOKUP(B161,正厂竞争者数据汇总!D:H,2,FALSE)</f>
        <v>Motor目录</v>
      </c>
      <c r="D161" s="421" t="str">
        <f>VLOOKUP(B161,正厂竞争者数据汇总!D:H,3,FALSE)</f>
        <v>NH</v>
      </c>
      <c r="E161" s="430"/>
      <c r="F161" s="430">
        <v>40821.46</v>
      </c>
      <c r="G161" s="430"/>
      <c r="H161" s="430"/>
      <c r="I161" s="453"/>
      <c r="J161" s="451">
        <v>0.0840126908122951</v>
      </c>
      <c r="K161" s="451">
        <v>0.102988110533746</v>
      </c>
      <c r="L161" s="451">
        <v>0.0822310533618036</v>
      </c>
      <c r="M161" s="451"/>
      <c r="N161" s="459"/>
      <c r="O161" s="430"/>
      <c r="P161" s="531" t="str">
        <f>VLOOKUP(B161,正厂竞争者数据汇总!D:M,6,FALSE)</f>
        <v>2023年9月新增</v>
      </c>
      <c r="Q161" s="429"/>
      <c r="R161" s="421"/>
      <c r="S161" s="473">
        <v>424</v>
      </c>
      <c r="T161" s="473">
        <v>119</v>
      </c>
      <c r="U161" s="466"/>
      <c r="V161" s="466"/>
      <c r="W161" s="421"/>
      <c r="X161" s="421"/>
      <c r="Y161" s="200" t="s">
        <v>335</v>
      </c>
      <c r="Z161" s="200">
        <v>424</v>
      </c>
      <c r="AA161" s="200">
        <v>119</v>
      </c>
      <c r="AB161" s="410">
        <f t="shared" si="6"/>
        <v>1</v>
      </c>
      <c r="AC161" s="409">
        <f t="shared" si="7"/>
        <v>424</v>
      </c>
      <c r="AD161" s="409">
        <f t="shared" si="8"/>
        <v>119</v>
      </c>
      <c r="AF161" s="540"/>
      <c r="AG161" s="410"/>
      <c r="AH161"/>
      <c r="AI161"/>
    </row>
    <row r="162" s="408" customFormat="1" spans="1:35">
      <c r="A162" s="428" t="s">
        <v>243</v>
      </c>
      <c r="B162" s="258" t="s">
        <v>395</v>
      </c>
      <c r="C162" s="429" t="e">
        <f>VLOOKUP(B162,正厂竞争者数据汇总!D:H,2,FALSE)</f>
        <v>#N/A</v>
      </c>
      <c r="D162" s="421" t="e">
        <f>VLOOKUP(B162,正厂竞争者数据汇总!D:H,3,FALSE)</f>
        <v>#N/A</v>
      </c>
      <c r="E162" s="430"/>
      <c r="F162" s="430">
        <v>33835</v>
      </c>
      <c r="G162" s="430"/>
      <c r="H162" s="430"/>
      <c r="I162" s="453"/>
      <c r="J162" s="451">
        <v>0.0696341922516736</v>
      </c>
      <c r="K162" s="451"/>
      <c r="L162" s="451"/>
      <c r="M162" s="451"/>
      <c r="N162" s="459"/>
      <c r="O162" s="430"/>
      <c r="P162" s="531" t="e">
        <f>VLOOKUP(B162,正厂竞争者数据汇总!D:M,6,FALSE)</f>
        <v>#N/A</v>
      </c>
      <c r="Q162" s="429"/>
      <c r="R162" s="421"/>
      <c r="S162" s="473">
        <v>1611</v>
      </c>
      <c r="T162" s="473">
        <v>144</v>
      </c>
      <c r="U162" s="466"/>
      <c r="V162" s="466"/>
      <c r="W162" s="421"/>
      <c r="X162" s="421"/>
      <c r="Y162" s="200"/>
      <c r="Z162" s="200"/>
      <c r="AA162" s="200"/>
      <c r="AB162" s="410"/>
      <c r="AC162" s="409"/>
      <c r="AD162" s="409"/>
      <c r="AF162" s="540"/>
      <c r="AG162" s="410"/>
      <c r="AH162"/>
      <c r="AI162"/>
    </row>
    <row r="163" s="408" customFormat="1" spans="1:35">
      <c r="A163" s="428" t="s">
        <v>243</v>
      </c>
      <c r="B163" s="438" t="s">
        <v>339</v>
      </c>
      <c r="C163" s="429" t="str">
        <f>VLOOKUP(B163,正厂竞争者数据汇总!D:H,2,FALSE)</f>
        <v>Motor目录</v>
      </c>
      <c r="D163" s="421" t="str">
        <f>VLOOKUP(B163,正厂竞争者数据汇总!D:H,3,FALSE)</f>
        <v>TX</v>
      </c>
      <c r="E163" s="430"/>
      <c r="F163" s="430">
        <v>27825.25</v>
      </c>
      <c r="G163" s="430"/>
      <c r="H163" s="430"/>
      <c r="I163" s="453"/>
      <c r="J163" s="451">
        <v>0.0572658137417136</v>
      </c>
      <c r="K163" s="451">
        <v>0.0752219758215107</v>
      </c>
      <c r="L163" s="451">
        <v>0.0535395399606092</v>
      </c>
      <c r="M163" s="451"/>
      <c r="N163" s="459"/>
      <c r="O163" s="430"/>
      <c r="P163" s="531"/>
      <c r="Q163" s="429"/>
      <c r="R163" s="421"/>
      <c r="S163" s="473">
        <v>11305</v>
      </c>
      <c r="T163" s="473">
        <v>98</v>
      </c>
      <c r="U163" s="466"/>
      <c r="V163" s="466"/>
      <c r="W163" s="421"/>
      <c r="X163" s="421"/>
      <c r="Y163" s="200" t="s">
        <v>339</v>
      </c>
      <c r="Z163" s="200">
        <v>11114</v>
      </c>
      <c r="AA163" s="200">
        <v>107</v>
      </c>
      <c r="AB163" s="410">
        <f t="shared" ref="AB163:AB226" si="9">IF(B163=Y163,1,0)</f>
        <v>1</v>
      </c>
      <c r="AC163" s="409">
        <f t="shared" ref="AC163:AC226" si="10">IF(Y163="Competitors","Forum Link",Z163)</f>
        <v>11114</v>
      </c>
      <c r="AD163" s="409">
        <f t="shared" ref="AD163:AD226" si="11">IF(Y163="Competitors","Domains",AA163)</f>
        <v>107</v>
      </c>
      <c r="AF163" s="540"/>
      <c r="AG163" s="410"/>
      <c r="AH163"/>
      <c r="AI163"/>
    </row>
    <row r="164" s="408" customFormat="1" spans="1:35">
      <c r="A164" s="428" t="s">
        <v>243</v>
      </c>
      <c r="B164" s="438" t="s">
        <v>340</v>
      </c>
      <c r="C164" s="429" t="str">
        <f>VLOOKUP(B164,正厂竞争者数据汇总!D:H,2,FALSE)</f>
        <v>Motor目录</v>
      </c>
      <c r="D164" s="421" t="str">
        <f>VLOOKUP(B164,正厂竞争者数据汇总!D:H,3,FALSE)</f>
        <v>NC</v>
      </c>
      <c r="E164" s="430"/>
      <c r="F164" s="430">
        <v>21399.9958666666</v>
      </c>
      <c r="G164" s="430"/>
      <c r="H164" s="430"/>
      <c r="I164" s="453"/>
      <c r="J164" s="451">
        <v>0.0440423060843648</v>
      </c>
      <c r="K164" s="451">
        <v>0.0495530671624771</v>
      </c>
      <c r="L164" s="451">
        <v>0.0515530924098128</v>
      </c>
      <c r="M164" s="451"/>
      <c r="N164" s="459"/>
      <c r="O164" s="430"/>
      <c r="P164" s="531"/>
      <c r="Q164" s="429"/>
      <c r="R164" s="421"/>
      <c r="S164" s="473">
        <v>7342</v>
      </c>
      <c r="T164" s="473">
        <v>404</v>
      </c>
      <c r="U164" s="466"/>
      <c r="V164" s="466"/>
      <c r="W164" s="421"/>
      <c r="X164" s="421"/>
      <c r="Y164" s="200" t="s">
        <v>340</v>
      </c>
      <c r="Z164" s="200">
        <v>7335</v>
      </c>
      <c r="AA164" s="200">
        <v>427</v>
      </c>
      <c r="AB164" s="410">
        <f t="shared" si="9"/>
        <v>1</v>
      </c>
      <c r="AC164" s="409">
        <f t="shared" si="10"/>
        <v>7335</v>
      </c>
      <c r="AD164" s="409">
        <f t="shared" si="11"/>
        <v>427</v>
      </c>
      <c r="AF164" s="540"/>
      <c r="AG164" s="410"/>
      <c r="AH164"/>
      <c r="AI164"/>
    </row>
    <row r="165" s="408" customFormat="1" spans="1:35">
      <c r="A165" s="428" t="s">
        <v>230</v>
      </c>
      <c r="B165" s="438" t="s">
        <v>337</v>
      </c>
      <c r="C165" s="429" t="str">
        <f>VLOOKUP(B165,正厂竞争者数据汇总!D:H,2,FALSE)</f>
        <v>Acc目录</v>
      </c>
      <c r="D165" s="421" t="str">
        <f>VLOOKUP(B165,正厂竞争者数据汇总!D:H,3,FALSE)</f>
        <v>AL</v>
      </c>
      <c r="E165" s="430"/>
      <c r="F165" s="430">
        <v>21715.4808333333</v>
      </c>
      <c r="G165" s="430"/>
      <c r="H165" s="430"/>
      <c r="I165" s="453"/>
      <c r="J165" s="451">
        <v>0.0446915905773863</v>
      </c>
      <c r="K165" s="451">
        <v>0.0453876914767106</v>
      </c>
      <c r="L165" s="451">
        <v>0.0562709121791011</v>
      </c>
      <c r="M165" s="451"/>
      <c r="N165" s="459"/>
      <c r="O165" s="430"/>
      <c r="P165" s="531" t="str">
        <f>VLOOKUP(B165,正厂竞争者数据汇总!D:M,6,FALSE)</f>
        <v>主营Acc</v>
      </c>
      <c r="Q165" s="429"/>
      <c r="R165" s="421"/>
      <c r="S165" s="473">
        <v>3171</v>
      </c>
      <c r="T165" s="473">
        <v>388</v>
      </c>
      <c r="U165" s="466"/>
      <c r="V165" s="466"/>
      <c r="W165" s="421"/>
      <c r="X165" s="421"/>
      <c r="Y165" s="200" t="s">
        <v>337</v>
      </c>
      <c r="Z165" s="200">
        <v>3235</v>
      </c>
      <c r="AA165" s="200">
        <v>406</v>
      </c>
      <c r="AB165" s="410">
        <f t="shared" si="9"/>
        <v>1</v>
      </c>
      <c r="AC165" s="409">
        <f t="shared" si="10"/>
        <v>3235</v>
      </c>
      <c r="AD165" s="409">
        <f t="shared" si="11"/>
        <v>406</v>
      </c>
      <c r="AF165" s="540"/>
      <c r="AG165" s="410"/>
      <c r="AH165"/>
      <c r="AI165"/>
    </row>
    <row r="166" s="410" customFormat="1" spans="1:35">
      <c r="A166" s="428"/>
      <c r="B166" s="255"/>
      <c r="C166" s="429"/>
      <c r="D166" s="421"/>
      <c r="E166" s="436"/>
      <c r="F166" s="436"/>
      <c r="G166" s="436"/>
      <c r="H166" s="436"/>
      <c r="I166" s="453"/>
      <c r="J166" s="457"/>
      <c r="K166" s="457"/>
      <c r="L166" s="457"/>
      <c r="M166" s="451"/>
      <c r="N166" s="455"/>
      <c r="O166" s="436"/>
      <c r="P166" s="531"/>
      <c r="Q166" s="500"/>
      <c r="R166" s="501"/>
      <c r="S166" s="473" t="s">
        <v>180</v>
      </c>
      <c r="T166" s="473" t="s">
        <v>180</v>
      </c>
      <c r="U166" s="466"/>
      <c r="V166" s="466"/>
      <c r="W166" s="435"/>
      <c r="X166" s="435"/>
      <c r="Y166" s="200" t="s">
        <v>240</v>
      </c>
      <c r="Z166" s="200" t="s">
        <v>180</v>
      </c>
      <c r="AA166" s="200" t="s">
        <v>180</v>
      </c>
      <c r="AB166" s="410">
        <f t="shared" si="9"/>
        <v>0</v>
      </c>
      <c r="AC166" s="409" t="str">
        <f t="shared" si="10"/>
        <v/>
      </c>
      <c r="AD166" s="409" t="str">
        <f t="shared" si="11"/>
        <v/>
      </c>
      <c r="AF166" s="540"/>
      <c r="AH166"/>
      <c r="AI166"/>
    </row>
    <row r="167" s="408" customFormat="1" spans="1:35">
      <c r="A167" s="428"/>
      <c r="B167" s="421"/>
      <c r="C167" s="439"/>
      <c r="D167" s="421"/>
      <c r="E167" s="430"/>
      <c r="F167" s="430">
        <v>485896.35215</v>
      </c>
      <c r="G167" s="430"/>
      <c r="H167" s="430">
        <v>484652.583333333</v>
      </c>
      <c r="I167" s="453" t="e">
        <v>#DIV/0!</v>
      </c>
      <c r="J167" s="430"/>
      <c r="K167" s="430"/>
      <c r="L167" s="430"/>
      <c r="M167" s="451"/>
      <c r="N167" s="459"/>
      <c r="O167" s="430"/>
      <c r="P167" s="531"/>
      <c r="Q167" s="429"/>
      <c r="R167" s="421"/>
      <c r="S167" s="473" t="s">
        <v>180</v>
      </c>
      <c r="T167" s="473" t="s">
        <v>180</v>
      </c>
      <c r="U167" s="466"/>
      <c r="V167" s="466"/>
      <c r="W167" s="421"/>
      <c r="X167" s="421"/>
      <c r="Y167" s="200" t="s">
        <v>240</v>
      </c>
      <c r="Z167" s="200" t="s">
        <v>180</v>
      </c>
      <c r="AA167" s="200" t="s">
        <v>180</v>
      </c>
      <c r="AB167" s="410">
        <f t="shared" si="9"/>
        <v>0</v>
      </c>
      <c r="AC167" s="409" t="str">
        <f t="shared" si="10"/>
        <v/>
      </c>
      <c r="AD167" s="409" t="str">
        <f t="shared" si="11"/>
        <v/>
      </c>
      <c r="AF167" s="540"/>
      <c r="AG167" s="410"/>
      <c r="AH167"/>
      <c r="AI167"/>
    </row>
    <row r="168" s="408" customFormat="1" spans="1:35">
      <c r="A168" s="423"/>
      <c r="B168" s="421"/>
      <c r="C168" s="425"/>
      <c r="D168" s="421"/>
      <c r="E168" s="430"/>
      <c r="F168" s="430"/>
      <c r="G168" s="430"/>
      <c r="H168" s="430"/>
      <c r="I168" s="453"/>
      <c r="J168" s="430"/>
      <c r="K168" s="430"/>
      <c r="L168" s="430"/>
      <c r="M168" s="451"/>
      <c r="N168" s="459"/>
      <c r="O168" s="430"/>
      <c r="P168" s="531"/>
      <c r="Q168" s="429"/>
      <c r="R168" s="421"/>
      <c r="S168" s="473" t="s">
        <v>180</v>
      </c>
      <c r="T168" s="473" t="s">
        <v>180</v>
      </c>
      <c r="U168" s="466"/>
      <c r="V168" s="466"/>
      <c r="W168" s="421"/>
      <c r="X168" s="421"/>
      <c r="Y168" s="200" t="s">
        <v>240</v>
      </c>
      <c r="Z168" s="200" t="s">
        <v>180</v>
      </c>
      <c r="AA168" s="200" t="s">
        <v>180</v>
      </c>
      <c r="AB168" s="410">
        <f t="shared" si="9"/>
        <v>0</v>
      </c>
      <c r="AC168" s="409" t="str">
        <f t="shared" si="10"/>
        <v/>
      </c>
      <c r="AD168" s="409" t="str">
        <f t="shared" si="11"/>
        <v/>
      </c>
      <c r="AF168" s="540"/>
      <c r="AG168" s="410"/>
      <c r="AH168"/>
      <c r="AI168"/>
    </row>
    <row r="169" s="408" customFormat="1" ht="17.4" spans="1:35">
      <c r="A169" s="418" t="s">
        <v>189</v>
      </c>
      <c r="B169" s="419"/>
      <c r="C169" s="420"/>
      <c r="D169" s="421"/>
      <c r="E169" s="422" t="s">
        <v>202</v>
      </c>
      <c r="F169" s="422"/>
      <c r="G169" s="422" t="s">
        <v>213</v>
      </c>
      <c r="H169" s="422"/>
      <c r="I169" s="422"/>
      <c r="J169" s="422"/>
      <c r="K169" s="422"/>
      <c r="L169" s="422"/>
      <c r="M169" s="443"/>
      <c r="N169" s="422"/>
      <c r="O169" s="422"/>
      <c r="P169" s="531"/>
      <c r="Q169" s="465"/>
      <c r="R169" s="424"/>
      <c r="S169" s="473" t="s">
        <v>180</v>
      </c>
      <c r="T169" s="473" t="s">
        <v>180</v>
      </c>
      <c r="U169" s="467"/>
      <c r="V169" s="467"/>
      <c r="W169" s="467"/>
      <c r="X169" s="467"/>
      <c r="Y169" s="200" t="s">
        <v>240</v>
      </c>
      <c r="Z169" s="200" t="s">
        <v>180</v>
      </c>
      <c r="AA169" s="200" t="s">
        <v>180</v>
      </c>
      <c r="AB169" s="410">
        <f t="shared" si="9"/>
        <v>0</v>
      </c>
      <c r="AC169" s="409" t="str">
        <f t="shared" si="10"/>
        <v/>
      </c>
      <c r="AD169" s="409" t="str">
        <f t="shared" si="11"/>
        <v/>
      </c>
      <c r="AF169" s="540"/>
      <c r="AG169" s="410"/>
      <c r="AH169"/>
      <c r="AI169"/>
    </row>
    <row r="170" s="409" customFormat="1" ht="46.8" spans="1:35">
      <c r="A170" s="423" t="s">
        <v>206</v>
      </c>
      <c r="B170" s="424" t="s">
        <v>207</v>
      </c>
      <c r="C170" s="425" t="s">
        <v>208</v>
      </c>
      <c r="D170" s="424" t="s">
        <v>209</v>
      </c>
      <c r="E170" s="426" t="s">
        <v>210</v>
      </c>
      <c r="F170" s="427" t="s">
        <v>213</v>
      </c>
      <c r="G170" s="427">
        <v>116448.583333333</v>
      </c>
      <c r="H170" s="427" t="s">
        <v>213</v>
      </c>
      <c r="I170" s="427" t="s">
        <v>386</v>
      </c>
      <c r="J170" s="446" t="s">
        <v>217</v>
      </c>
      <c r="K170" s="446" t="s">
        <v>387</v>
      </c>
      <c r="L170" s="446" t="s">
        <v>390</v>
      </c>
      <c r="M170" s="447" t="s">
        <v>218</v>
      </c>
      <c r="N170" s="448" t="s">
        <v>219</v>
      </c>
      <c r="O170" s="449" t="s">
        <v>220</v>
      </c>
      <c r="P170" s="530" t="s">
        <v>221</v>
      </c>
      <c r="Q170" s="469" t="s">
        <v>222</v>
      </c>
      <c r="R170" s="426" t="s">
        <v>223</v>
      </c>
      <c r="S170" s="470" t="s">
        <v>224</v>
      </c>
      <c r="T170" s="470" t="s">
        <v>205</v>
      </c>
      <c r="U170" s="467" t="s">
        <v>225</v>
      </c>
      <c r="V170" s="470" t="s">
        <v>226</v>
      </c>
      <c r="W170" s="467"/>
      <c r="X170" s="467"/>
      <c r="Y170" s="200" t="s">
        <v>207</v>
      </c>
      <c r="Z170" s="200" t="s">
        <v>180</v>
      </c>
      <c r="AA170" s="200" t="s">
        <v>180</v>
      </c>
      <c r="AB170" s="410">
        <f t="shared" si="9"/>
        <v>1</v>
      </c>
      <c r="AC170" s="409" t="str">
        <f t="shared" si="10"/>
        <v>Forum Link</v>
      </c>
      <c r="AD170" s="409" t="str">
        <f t="shared" si="11"/>
        <v>Domains</v>
      </c>
      <c r="AF170" s="540"/>
      <c r="AG170" s="410"/>
      <c r="AH170"/>
      <c r="AI170"/>
    </row>
    <row r="171" s="408" customFormat="1" spans="1:35">
      <c r="A171" s="428" t="s">
        <v>230</v>
      </c>
      <c r="B171" s="421" t="s">
        <v>354</v>
      </c>
      <c r="C171" s="429" t="str">
        <f>VLOOKUP(B171,正厂竞争者数据汇总!D:H,2,FALSE)</f>
        <v>Motor目录</v>
      </c>
      <c r="D171" s="421" t="str">
        <f>VLOOKUP(B171,正厂竞争者数据汇总!D:H,3,FALSE)</f>
        <v>NJ</v>
      </c>
      <c r="E171" s="430"/>
      <c r="F171" s="430">
        <v>112182.908333333</v>
      </c>
      <c r="G171" s="430"/>
      <c r="H171" s="430"/>
      <c r="I171" s="453"/>
      <c r="J171" s="451">
        <v>0.406611598996638</v>
      </c>
      <c r="K171" s="451">
        <v>0.443807538317286</v>
      </c>
      <c r="L171" s="451">
        <v>0.469937560712213</v>
      </c>
      <c r="M171" s="451"/>
      <c r="N171" s="459"/>
      <c r="O171" s="430"/>
      <c r="P171" s="531">
        <f>VLOOKUP(B171,正厂竞争者数据汇总!D:M,6,FALSE)</f>
        <v>0</v>
      </c>
      <c r="Q171" s="429"/>
      <c r="R171" s="421"/>
      <c r="S171" s="473">
        <v>6401</v>
      </c>
      <c r="T171" s="473">
        <v>650</v>
      </c>
      <c r="U171" s="466"/>
      <c r="V171" s="466"/>
      <c r="W171" s="421"/>
      <c r="X171" s="421"/>
      <c r="Y171" s="200" t="s">
        <v>354</v>
      </c>
      <c r="Z171" s="200">
        <v>6564</v>
      </c>
      <c r="AA171" s="200">
        <v>676</v>
      </c>
      <c r="AB171" s="410">
        <f t="shared" si="9"/>
        <v>1</v>
      </c>
      <c r="AC171" s="409">
        <f t="shared" si="10"/>
        <v>6564</v>
      </c>
      <c r="AD171" s="409">
        <f t="shared" si="11"/>
        <v>676</v>
      </c>
      <c r="AF171" s="540"/>
      <c r="AG171" s="410"/>
      <c r="AH171"/>
      <c r="AI171"/>
    </row>
    <row r="172" s="408" customFormat="1" spans="1:35">
      <c r="A172" s="428" t="s">
        <v>243</v>
      </c>
      <c r="B172" s="421" t="s">
        <v>353</v>
      </c>
      <c r="C172" s="429" t="str">
        <f>VLOOKUP(B172,正厂竞争者数据汇总!D:H,2,FALSE)</f>
        <v>Motor目录</v>
      </c>
      <c r="D172" s="421" t="str">
        <f>VLOOKUP(B172,正厂竞争者数据汇总!D:H,3,FALSE)</f>
        <v>WI</v>
      </c>
      <c r="E172" s="430">
        <f>VLOOKUP(B175,正厂竞争者数据汇总!D:H,4,FALSE)</f>
        <v>0</v>
      </c>
      <c r="F172" s="430">
        <v>58078.25</v>
      </c>
      <c r="G172" s="430">
        <v>127</v>
      </c>
      <c r="H172" s="430">
        <v>27910.6666666667</v>
      </c>
      <c r="I172" s="453">
        <v>456.30905511811</v>
      </c>
      <c r="J172" s="451">
        <v>0.210507023309268</v>
      </c>
      <c r="K172" s="451">
        <v>0.174396892529207</v>
      </c>
      <c r="L172" s="451">
        <v>0.150781110637578</v>
      </c>
      <c r="M172" s="451" t="e">
        <f>J172-#REF!</f>
        <v>#REF!</v>
      </c>
      <c r="N172" s="459"/>
      <c r="O172" s="430"/>
      <c r="P172" s="531" t="str">
        <f>VLOOKUP(B172,正厂竞争者数据汇总!D:M,6,FALSE)</f>
        <v>2023年9月新增</v>
      </c>
      <c r="Q172" s="429" t="s">
        <v>180</v>
      </c>
      <c r="R172" s="421" t="s">
        <v>180</v>
      </c>
      <c r="S172" s="473">
        <v>1789</v>
      </c>
      <c r="T172" s="473">
        <v>201</v>
      </c>
      <c r="U172" s="466"/>
      <c r="V172" s="466"/>
      <c r="W172" s="421"/>
      <c r="X172" s="421"/>
      <c r="Y172" s="200" t="s">
        <v>353</v>
      </c>
      <c r="Z172" s="200">
        <v>1814</v>
      </c>
      <c r="AA172" s="200">
        <v>197</v>
      </c>
      <c r="AB172" s="410">
        <f t="shared" si="9"/>
        <v>1</v>
      </c>
      <c r="AC172" s="409">
        <f t="shared" si="10"/>
        <v>1814</v>
      </c>
      <c r="AD172" s="409">
        <f t="shared" si="11"/>
        <v>197</v>
      </c>
      <c r="AF172" s="540"/>
      <c r="AG172" s="410"/>
      <c r="AH172"/>
      <c r="AI172"/>
    </row>
    <row r="173" s="408" customFormat="1" spans="1:35">
      <c r="A173" s="428" t="s">
        <v>230</v>
      </c>
      <c r="B173" s="421" t="s">
        <v>352</v>
      </c>
      <c r="C173" s="429" t="str">
        <f>VLOOKUP(B173,正厂竞争者数据汇总!D:H,2,FALSE)</f>
        <v>Motor目录</v>
      </c>
      <c r="D173" s="421" t="str">
        <f>VLOOKUP(B173,正厂竞争者数据汇总!D:H,3,FALSE)</f>
        <v>-</v>
      </c>
      <c r="E173" s="430" t="e">
        <f>VLOOKUP(B177,正厂竞争者数据汇总!D:H,4,FALSE)</f>
        <v>#N/A</v>
      </c>
      <c r="F173" s="430">
        <v>55760.9105</v>
      </c>
      <c r="G173" s="430">
        <v>129</v>
      </c>
      <c r="H173" s="430">
        <v>27912.6666666667</v>
      </c>
      <c r="I173" s="453">
        <v>431.255120155039</v>
      </c>
      <c r="J173" s="451">
        <v>0.202107730284048</v>
      </c>
      <c r="K173" s="451">
        <v>0.188857784400671</v>
      </c>
      <c r="L173" s="451">
        <v>0.15850324104086</v>
      </c>
      <c r="M173" s="451"/>
      <c r="N173" s="459"/>
      <c r="O173" s="430"/>
      <c r="P173" s="531" t="str">
        <f>VLOOKUP(B173,正厂竞争者数据汇总!D:M,6,FALSE)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73" s="429"/>
      <c r="R173" s="421"/>
      <c r="S173" s="473">
        <v>265</v>
      </c>
      <c r="T173" s="473">
        <v>98</v>
      </c>
      <c r="U173" s="466"/>
      <c r="V173" s="466"/>
      <c r="W173" s="421"/>
      <c r="X173" s="421"/>
      <c r="Y173" s="200" t="s">
        <v>352</v>
      </c>
      <c r="Z173" s="200">
        <v>232</v>
      </c>
      <c r="AA173" s="200">
        <v>84</v>
      </c>
      <c r="AB173" s="410">
        <f t="shared" si="9"/>
        <v>1</v>
      </c>
      <c r="AC173" s="409">
        <f t="shared" si="10"/>
        <v>232</v>
      </c>
      <c r="AD173" s="409">
        <f t="shared" si="11"/>
        <v>84</v>
      </c>
      <c r="AF173" s="540"/>
      <c r="AG173" s="410"/>
      <c r="AH173"/>
      <c r="AI173"/>
    </row>
    <row r="174" s="408" customFormat="1" spans="1:35">
      <c r="A174" s="428" t="s">
        <v>243</v>
      </c>
      <c r="B174" s="421" t="s">
        <v>355</v>
      </c>
      <c r="C174" s="429" t="str">
        <f>VLOOKUP(B174,正厂竞争者数据汇总!D:H,2,FALSE)</f>
        <v>旧年份原厂、新年份Motor</v>
      </c>
      <c r="D174" s="421" t="str">
        <f>VLOOKUP(B174,正厂竞争者数据汇总!D:H,3,FALSE)</f>
        <v>GA</v>
      </c>
      <c r="E174" s="430" t="e">
        <f>VLOOKUP(B176,正厂竞争者数据汇总!D:H,4,FALSE)</f>
        <v>#N/A</v>
      </c>
      <c r="F174" s="430">
        <v>31888.1516666667</v>
      </c>
      <c r="G174" s="430">
        <v>128</v>
      </c>
      <c r="H174" s="430">
        <v>27911.6666666667</v>
      </c>
      <c r="I174" s="453">
        <v>248.126184895834</v>
      </c>
      <c r="J174" s="451">
        <v>0.115579926843259</v>
      </c>
      <c r="K174" s="451">
        <v>0.130022437139453</v>
      </c>
      <c r="L174" s="451">
        <v>0.155334191494059</v>
      </c>
      <c r="M174" s="451"/>
      <c r="N174" s="459"/>
      <c r="O174" s="430"/>
      <c r="P174" s="531">
        <f>VLOOKUP(B174,正厂竞争者数据汇总!D:M,6,FALSE)</f>
        <v>0</v>
      </c>
      <c r="Q174" s="429" t="s">
        <v>180</v>
      </c>
      <c r="R174" s="421" t="s">
        <v>180</v>
      </c>
      <c r="S174" s="473">
        <v>4924</v>
      </c>
      <c r="T174" s="473">
        <v>1249</v>
      </c>
      <c r="U174" s="466"/>
      <c r="V174" s="466"/>
      <c r="W174" s="421"/>
      <c r="X174" s="421"/>
      <c r="Y174" s="200" t="s">
        <v>355</v>
      </c>
      <c r="Z174" s="200">
        <v>4795</v>
      </c>
      <c r="AA174" s="200">
        <v>1196</v>
      </c>
      <c r="AB174" s="410">
        <f t="shared" si="9"/>
        <v>1</v>
      </c>
      <c r="AC174" s="409">
        <f t="shared" si="10"/>
        <v>4795</v>
      </c>
      <c r="AD174" s="409">
        <f t="shared" si="11"/>
        <v>1196</v>
      </c>
      <c r="AF174" s="540"/>
      <c r="AG174" s="410"/>
      <c r="AH174"/>
      <c r="AI174"/>
    </row>
    <row r="175" s="408" customFormat="1" spans="1:35">
      <c r="A175" s="428" t="s">
        <v>230</v>
      </c>
      <c r="B175" s="431" t="s">
        <v>356</v>
      </c>
      <c r="C175" s="429" t="str">
        <f>VLOOKUP(B175,正厂竞争者数据汇总!D:H,2,FALSE)</f>
        <v>Motor目录</v>
      </c>
      <c r="D175" s="421" t="str">
        <f>VLOOKUP(B175,正厂竞争者数据汇总!D:H,3,FALSE)</f>
        <v>KS</v>
      </c>
      <c r="E175" s="430">
        <f>VLOOKUP(B175,正厂竞争者数据汇总!D:H,4,FALSE)</f>
        <v>0</v>
      </c>
      <c r="F175" s="430">
        <v>17986.75</v>
      </c>
      <c r="G175" s="430">
        <v>23846.5</v>
      </c>
      <c r="H175" s="430">
        <v>201650.166666667</v>
      </c>
      <c r="I175" s="453">
        <v>-0.245727884595224</v>
      </c>
      <c r="J175" s="451">
        <v>0.0651937205667868</v>
      </c>
      <c r="K175" s="451">
        <v>0.062915347613383</v>
      </c>
      <c r="L175" s="451">
        <v>0.0654438961152901</v>
      </c>
      <c r="M175" s="451" t="e">
        <f>J175-#REF!</f>
        <v>#REF!</v>
      </c>
      <c r="N175" s="459"/>
      <c r="O175" s="430"/>
      <c r="P175" s="531">
        <f>VLOOKUP(B175,正厂竞争者数据汇总!D:M,6,FALSE)</f>
        <v>0</v>
      </c>
      <c r="Q175" s="429" t="s">
        <v>180</v>
      </c>
      <c r="R175" s="421" t="s">
        <v>180</v>
      </c>
      <c r="S175" s="473">
        <v>692</v>
      </c>
      <c r="T175" s="473">
        <v>137</v>
      </c>
      <c r="U175" s="466"/>
      <c r="V175" s="466"/>
      <c r="W175" s="421"/>
      <c r="X175" s="421"/>
      <c r="Y175" s="200" t="s">
        <v>356</v>
      </c>
      <c r="Z175" s="200">
        <v>695</v>
      </c>
      <c r="AA175" s="200">
        <v>138</v>
      </c>
      <c r="AB175" s="410">
        <f t="shared" si="9"/>
        <v>1</v>
      </c>
      <c r="AC175" s="409">
        <f t="shared" si="10"/>
        <v>695</v>
      </c>
      <c r="AD175" s="409">
        <f t="shared" si="11"/>
        <v>138</v>
      </c>
      <c r="AF175" s="540"/>
      <c r="AG175" s="410"/>
      <c r="AH175"/>
      <c r="AI175"/>
    </row>
    <row r="176" s="410" customFormat="1" spans="1:35">
      <c r="A176" s="432"/>
      <c r="B176" s="433"/>
      <c r="C176" s="434"/>
      <c r="D176" s="421"/>
      <c r="E176" s="436"/>
      <c r="F176" s="436"/>
      <c r="G176" s="436">
        <v>749876.416666666</v>
      </c>
      <c r="H176" s="436"/>
      <c r="I176" s="453"/>
      <c r="J176" s="457"/>
      <c r="K176" s="457"/>
      <c r="L176" s="457"/>
      <c r="M176" s="451"/>
      <c r="N176" s="455"/>
      <c r="O176" s="436"/>
      <c r="P176" s="531"/>
      <c r="Q176" s="434"/>
      <c r="R176" s="435"/>
      <c r="S176" s="473" t="s">
        <v>180</v>
      </c>
      <c r="T176" s="473" t="s">
        <v>180</v>
      </c>
      <c r="U176" s="466"/>
      <c r="V176" s="466"/>
      <c r="W176" s="435"/>
      <c r="X176" s="435"/>
      <c r="Y176" s="200" t="s">
        <v>240</v>
      </c>
      <c r="Z176" s="200" t="s">
        <v>180</v>
      </c>
      <c r="AA176" s="200" t="s">
        <v>180</v>
      </c>
      <c r="AB176" s="410">
        <f t="shared" si="9"/>
        <v>0</v>
      </c>
      <c r="AC176" s="409" t="str">
        <f t="shared" si="10"/>
        <v/>
      </c>
      <c r="AD176" s="409" t="str">
        <f t="shared" si="11"/>
        <v/>
      </c>
      <c r="AF176" s="540"/>
      <c r="AH176"/>
      <c r="AI176"/>
    </row>
    <row r="177" s="408" customFormat="1" spans="1:35">
      <c r="A177" s="428"/>
      <c r="B177" s="421"/>
      <c r="C177" s="439"/>
      <c r="D177" s="421"/>
      <c r="E177" s="430"/>
      <c r="F177" s="430">
        <v>275896.9705</v>
      </c>
      <c r="G177" s="430"/>
      <c r="H177" s="430">
        <v>829193.583333334</v>
      </c>
      <c r="I177" s="453" t="e">
        <v>#DIV/0!</v>
      </c>
      <c r="J177" s="430"/>
      <c r="K177" s="430"/>
      <c r="L177" s="430"/>
      <c r="M177" s="451"/>
      <c r="N177" s="459"/>
      <c r="O177" s="430"/>
      <c r="P177" s="531"/>
      <c r="Q177" s="429"/>
      <c r="R177" s="421"/>
      <c r="S177" s="473" t="s">
        <v>180</v>
      </c>
      <c r="T177" s="473" t="s">
        <v>180</v>
      </c>
      <c r="U177" s="466"/>
      <c r="V177" s="466"/>
      <c r="W177" s="421"/>
      <c r="X177" s="421"/>
      <c r="Y177" s="200" t="s">
        <v>240</v>
      </c>
      <c r="Z177" s="200" t="s">
        <v>180</v>
      </c>
      <c r="AA177" s="200" t="s">
        <v>180</v>
      </c>
      <c r="AB177" s="410">
        <f t="shared" si="9"/>
        <v>0</v>
      </c>
      <c r="AC177" s="409" t="str">
        <f t="shared" si="10"/>
        <v/>
      </c>
      <c r="AD177" s="409" t="str">
        <f t="shared" si="11"/>
        <v/>
      </c>
      <c r="AF177" s="540"/>
      <c r="AG177" s="410"/>
      <c r="AH177"/>
      <c r="AI177"/>
    </row>
    <row r="178" s="408" customFormat="1" spans="1:35">
      <c r="A178" s="428"/>
      <c r="B178" s="421"/>
      <c r="C178" s="439"/>
      <c r="D178" s="421"/>
      <c r="E178" s="430"/>
      <c r="F178" s="430"/>
      <c r="G178" s="430"/>
      <c r="H178" s="430"/>
      <c r="I178" s="453"/>
      <c r="J178" s="430"/>
      <c r="K178" s="430"/>
      <c r="L178" s="430"/>
      <c r="M178" s="451"/>
      <c r="N178" s="459"/>
      <c r="O178" s="430"/>
      <c r="P178" s="531"/>
      <c r="Q178" s="429"/>
      <c r="R178" s="421"/>
      <c r="S178" s="473" t="s">
        <v>180</v>
      </c>
      <c r="T178" s="473" t="s">
        <v>180</v>
      </c>
      <c r="U178" s="466"/>
      <c r="V178" s="466"/>
      <c r="W178" s="421"/>
      <c r="X178" s="421"/>
      <c r="Y178" s="200" t="s">
        <v>240</v>
      </c>
      <c r="Z178" s="200" t="s">
        <v>180</v>
      </c>
      <c r="AA178" s="200" t="s">
        <v>180</v>
      </c>
      <c r="AB178" s="410">
        <f t="shared" si="9"/>
        <v>0</v>
      </c>
      <c r="AC178" s="409" t="str">
        <f t="shared" si="10"/>
        <v/>
      </c>
      <c r="AD178" s="409" t="str">
        <f t="shared" si="11"/>
        <v/>
      </c>
      <c r="AF178" s="540"/>
      <c r="AG178" s="410"/>
      <c r="AH178"/>
      <c r="AI178"/>
    </row>
    <row r="179" s="408" customFormat="1" ht="17.4" spans="1:35">
      <c r="A179" s="418" t="s">
        <v>187</v>
      </c>
      <c r="B179" s="419"/>
      <c r="C179" s="420"/>
      <c r="D179" s="421"/>
      <c r="E179" s="422" t="s">
        <v>202</v>
      </c>
      <c r="F179" s="422"/>
      <c r="G179" s="422" t="s">
        <v>213</v>
      </c>
      <c r="H179" s="422"/>
      <c r="I179" s="422"/>
      <c r="J179" s="422"/>
      <c r="K179" s="422"/>
      <c r="L179" s="422"/>
      <c r="M179" s="443"/>
      <c r="N179" s="422"/>
      <c r="O179" s="422"/>
      <c r="P179" s="531"/>
      <c r="Q179" s="465"/>
      <c r="R179" s="424"/>
      <c r="S179" s="473" t="s">
        <v>180</v>
      </c>
      <c r="T179" s="473" t="s">
        <v>180</v>
      </c>
      <c r="U179" s="467"/>
      <c r="V179" s="467"/>
      <c r="W179" s="467"/>
      <c r="X179" s="467"/>
      <c r="Y179" s="200" t="s">
        <v>240</v>
      </c>
      <c r="Z179" s="200" t="s">
        <v>180</v>
      </c>
      <c r="AA179" s="200" t="s">
        <v>180</v>
      </c>
      <c r="AB179" s="410">
        <f t="shared" si="9"/>
        <v>0</v>
      </c>
      <c r="AC179" s="409" t="str">
        <f t="shared" si="10"/>
        <v/>
      </c>
      <c r="AD179" s="409" t="str">
        <f t="shared" si="11"/>
        <v/>
      </c>
      <c r="AF179" s="540"/>
      <c r="AG179" s="410"/>
      <c r="AH179"/>
      <c r="AI179"/>
    </row>
    <row r="180" s="409" customFormat="1" ht="46.8" spans="1:35">
      <c r="A180" s="423" t="s">
        <v>206</v>
      </c>
      <c r="B180" s="424" t="s">
        <v>207</v>
      </c>
      <c r="C180" s="425" t="s">
        <v>208</v>
      </c>
      <c r="D180" s="424" t="s">
        <v>209</v>
      </c>
      <c r="E180" s="426" t="s">
        <v>210</v>
      </c>
      <c r="F180" s="427" t="s">
        <v>213</v>
      </c>
      <c r="G180" s="427">
        <v>116448.583333333</v>
      </c>
      <c r="H180" s="427" t="s">
        <v>213</v>
      </c>
      <c r="I180" s="427" t="s">
        <v>386</v>
      </c>
      <c r="J180" s="446" t="s">
        <v>217</v>
      </c>
      <c r="K180" s="446" t="s">
        <v>387</v>
      </c>
      <c r="L180" s="446" t="s">
        <v>390</v>
      </c>
      <c r="M180" s="447" t="s">
        <v>218</v>
      </c>
      <c r="N180" s="448" t="s">
        <v>219</v>
      </c>
      <c r="O180" s="449" t="s">
        <v>220</v>
      </c>
      <c r="P180" s="530" t="s">
        <v>221</v>
      </c>
      <c r="Q180" s="469" t="s">
        <v>222</v>
      </c>
      <c r="R180" s="426" t="s">
        <v>223</v>
      </c>
      <c r="S180" s="470" t="s">
        <v>224</v>
      </c>
      <c r="T180" s="470" t="s">
        <v>205</v>
      </c>
      <c r="U180" s="467" t="s">
        <v>225</v>
      </c>
      <c r="V180" s="470" t="s">
        <v>226</v>
      </c>
      <c r="W180" s="467"/>
      <c r="X180" s="467"/>
      <c r="Y180" s="200" t="s">
        <v>207</v>
      </c>
      <c r="Z180" s="200" t="s">
        <v>180</v>
      </c>
      <c r="AA180" s="200" t="s">
        <v>180</v>
      </c>
      <c r="AB180" s="410">
        <f t="shared" si="9"/>
        <v>1</v>
      </c>
      <c r="AC180" s="409" t="str">
        <f t="shared" si="10"/>
        <v>Forum Link</v>
      </c>
      <c r="AD180" s="409" t="str">
        <f t="shared" si="11"/>
        <v>Domains</v>
      </c>
      <c r="AF180" s="540"/>
      <c r="AG180" s="410"/>
      <c r="AH180"/>
      <c r="AI180"/>
    </row>
    <row r="181" s="408" customFormat="1" spans="1:35">
      <c r="A181" s="428" t="s">
        <v>230</v>
      </c>
      <c r="B181" s="438" t="s">
        <v>341</v>
      </c>
      <c r="C181" s="429" t="str">
        <f>VLOOKUP(B181,正厂竞争者数据汇总!D:H,2,FALSE)</f>
        <v>Motor目录</v>
      </c>
      <c r="D181" s="421" t="str">
        <f>VLOOKUP(B181,正厂竞争者数据汇总!D:H,3,FALSE)</f>
        <v>IL</v>
      </c>
      <c r="E181" s="430">
        <f>VLOOKUP(B181,正厂竞争者数据汇总!D:H,4,FALSE)</f>
        <v>0</v>
      </c>
      <c r="F181" s="430">
        <v>65429.9166666667</v>
      </c>
      <c r="G181" s="430">
        <v>1355.75</v>
      </c>
      <c r="H181" s="430">
        <v>65360.75</v>
      </c>
      <c r="I181" s="453">
        <v>47.261048620075</v>
      </c>
      <c r="J181" s="451">
        <v>0.285790988982683</v>
      </c>
      <c r="K181" s="451">
        <v>0.263056314259258</v>
      </c>
      <c r="L181" s="451">
        <v>0.320918438394759</v>
      </c>
      <c r="M181" s="451" t="e">
        <f>J181-#REF!</f>
        <v>#REF!</v>
      </c>
      <c r="N181" s="459"/>
      <c r="O181" s="430"/>
      <c r="P181" s="531">
        <f>VLOOKUP(B181,正厂竞争者数据汇总!D:M,6,FALSE)</f>
        <v>0</v>
      </c>
      <c r="Q181" s="429" t="s">
        <v>180</v>
      </c>
      <c r="R181" s="421" t="s">
        <v>180</v>
      </c>
      <c r="S181" s="473">
        <v>1664</v>
      </c>
      <c r="T181" s="473">
        <v>276</v>
      </c>
      <c r="U181" s="466"/>
      <c r="V181" s="466"/>
      <c r="W181" s="421"/>
      <c r="X181" s="421"/>
      <c r="Y181" s="200" t="s">
        <v>341</v>
      </c>
      <c r="Z181" s="200">
        <v>1801</v>
      </c>
      <c r="AA181" s="200">
        <v>292</v>
      </c>
      <c r="AB181" s="410">
        <f t="shared" si="9"/>
        <v>1</v>
      </c>
      <c r="AC181" s="409">
        <f t="shared" si="10"/>
        <v>1801</v>
      </c>
      <c r="AD181" s="409">
        <f t="shared" si="11"/>
        <v>292</v>
      </c>
      <c r="AF181" s="540"/>
      <c r="AG181" s="410"/>
      <c r="AH181"/>
      <c r="AI181"/>
    </row>
    <row r="182" s="408" customFormat="1" spans="1:35">
      <c r="A182" s="428" t="s">
        <v>230</v>
      </c>
      <c r="B182" s="438" t="s">
        <v>342</v>
      </c>
      <c r="C182" s="429" t="str">
        <f>VLOOKUP(B182,正厂竞争者数据汇总!D:H,2,FALSE)</f>
        <v>Motor目录</v>
      </c>
      <c r="D182" s="421" t="str">
        <f>VLOOKUP(B182,正厂竞争者数据汇总!D:H,3,FALSE)</f>
        <v>NE</v>
      </c>
      <c r="E182" s="430">
        <f>VLOOKUP(B182,正厂竞争者数据汇总!D:H,4,FALSE)</f>
        <v>0</v>
      </c>
      <c r="F182" s="430">
        <v>23457.8835166667</v>
      </c>
      <c r="G182" s="430">
        <v>1360.75</v>
      </c>
      <c r="H182" s="430">
        <v>65365.75</v>
      </c>
      <c r="I182" s="453">
        <v>16.2389369955295</v>
      </c>
      <c r="J182" s="451">
        <v>0.102461566072636</v>
      </c>
      <c r="K182" s="451">
        <v>0.091752842757544</v>
      </c>
      <c r="L182" s="451">
        <v>0.085178092289737</v>
      </c>
      <c r="M182" s="451"/>
      <c r="N182" s="459"/>
      <c r="O182" s="430"/>
      <c r="P182" s="531" t="str">
        <f>VLOOKUP(B182,正厂竞争者数据汇总!D:M,6,FALSE)</f>
        <v>2023年9月新增</v>
      </c>
      <c r="Q182" s="429"/>
      <c r="R182" s="421"/>
      <c r="S182" s="473">
        <v>985</v>
      </c>
      <c r="T182" s="473">
        <v>249</v>
      </c>
      <c r="U182" s="466"/>
      <c r="V182" s="466"/>
      <c r="W182" s="421"/>
      <c r="X182" s="421"/>
      <c r="Y182" s="200" t="s">
        <v>342</v>
      </c>
      <c r="Z182" s="200">
        <v>1156</v>
      </c>
      <c r="AA182" s="200">
        <v>256</v>
      </c>
      <c r="AB182" s="410">
        <f t="shared" si="9"/>
        <v>1</v>
      </c>
      <c r="AC182" s="409">
        <f t="shared" si="10"/>
        <v>1156</v>
      </c>
      <c r="AD182" s="409">
        <f t="shared" si="11"/>
        <v>256</v>
      </c>
      <c r="AF182" s="540"/>
      <c r="AG182" s="410"/>
      <c r="AH182"/>
      <c r="AI182"/>
    </row>
    <row r="183" s="408" customFormat="1" spans="1:35">
      <c r="A183" s="428" t="s">
        <v>230</v>
      </c>
      <c r="B183" s="438" t="s">
        <v>346</v>
      </c>
      <c r="C183" s="429" t="str">
        <f>VLOOKUP(B183,正厂竞争者数据汇总!D:H,2,FALSE)</f>
        <v>Motor目录</v>
      </c>
      <c r="D183" s="421" t="str">
        <f>VLOOKUP(B183,正厂竞争者数据汇总!D:H,3,FALSE)</f>
        <v>AZ</v>
      </c>
      <c r="E183" s="430">
        <f>VLOOKUP(B183,正厂竞争者数据汇总!D:H,4,FALSE)</f>
        <v>0</v>
      </c>
      <c r="F183" s="430">
        <v>22050.1666666667</v>
      </c>
      <c r="G183" s="430">
        <v>1364.75</v>
      </c>
      <c r="H183" s="430">
        <v>65369.75</v>
      </c>
      <c r="I183" s="453">
        <v>15.1569273981804</v>
      </c>
      <c r="J183" s="451">
        <v>0.0963128070451922</v>
      </c>
      <c r="K183" s="451">
        <v>0.108112288227295</v>
      </c>
      <c r="L183" s="451">
        <v>0.123878540397098</v>
      </c>
      <c r="M183" s="451"/>
      <c r="N183" s="459"/>
      <c r="O183" s="430"/>
      <c r="P183" s="531" t="str">
        <f>VLOOKUP(B183,正厂竞争者数据汇总!D:M,6,FALSE)</f>
        <v>2023年9月新增</v>
      </c>
      <c r="Q183" s="429"/>
      <c r="R183" s="421"/>
      <c r="S183" s="473">
        <v>1622</v>
      </c>
      <c r="T183" s="473">
        <v>197</v>
      </c>
      <c r="U183" s="466"/>
      <c r="V183" s="466"/>
      <c r="W183" s="421"/>
      <c r="X183" s="421"/>
      <c r="Y183" s="200" t="s">
        <v>346</v>
      </c>
      <c r="Z183" s="200">
        <v>1785</v>
      </c>
      <c r="AA183" s="200">
        <v>206</v>
      </c>
      <c r="AB183" s="410">
        <f t="shared" si="9"/>
        <v>1</v>
      </c>
      <c r="AC183" s="409">
        <f t="shared" si="10"/>
        <v>1785</v>
      </c>
      <c r="AD183" s="409">
        <f t="shared" si="11"/>
        <v>206</v>
      </c>
      <c r="AF183" s="540"/>
      <c r="AG183" s="410"/>
      <c r="AH183"/>
      <c r="AI183"/>
    </row>
    <row r="184" s="408" customFormat="1" spans="1:35">
      <c r="A184" s="428" t="s">
        <v>230</v>
      </c>
      <c r="B184" s="438" t="s">
        <v>345</v>
      </c>
      <c r="C184" s="429" t="str">
        <f>VLOOKUP(B184,正厂竞争者数据汇总!D:H,2,FALSE)</f>
        <v>Motor目录</v>
      </c>
      <c r="D184" s="421" t="str">
        <f>VLOOKUP(B184,正厂竞争者数据汇总!D:H,3,FALSE)</f>
        <v>CA</v>
      </c>
      <c r="E184" s="430">
        <f>VLOOKUP(B184,正厂竞争者数据汇总!D:H,4,FALSE)</f>
        <v>0</v>
      </c>
      <c r="F184" s="430">
        <v>21789.9166666667</v>
      </c>
      <c r="G184" s="430">
        <v>1363.75</v>
      </c>
      <c r="H184" s="430">
        <v>65368.75</v>
      </c>
      <c r="I184" s="453">
        <v>14.9779407271617</v>
      </c>
      <c r="J184" s="451">
        <v>0.0951760624385674</v>
      </c>
      <c r="K184" s="451">
        <v>0.106125733264814</v>
      </c>
      <c r="L184" s="451">
        <v>0.0683138529228292</v>
      </c>
      <c r="M184" s="451"/>
      <c r="N184" s="459"/>
      <c r="O184" s="430"/>
      <c r="P184" s="531"/>
      <c r="Q184" s="429"/>
      <c r="R184" s="421"/>
      <c r="S184" s="473">
        <v>785</v>
      </c>
      <c r="T184" s="473">
        <v>144</v>
      </c>
      <c r="U184" s="466"/>
      <c r="V184" s="466"/>
      <c r="W184" s="421"/>
      <c r="X184" s="421"/>
      <c r="Y184" s="200" t="s">
        <v>345</v>
      </c>
      <c r="Z184" s="200">
        <v>726</v>
      </c>
      <c r="AA184" s="200">
        <v>146</v>
      </c>
      <c r="AB184" s="410">
        <f t="shared" si="9"/>
        <v>1</v>
      </c>
      <c r="AC184" s="409">
        <f t="shared" si="10"/>
        <v>726</v>
      </c>
      <c r="AD184" s="409">
        <f t="shared" si="11"/>
        <v>146</v>
      </c>
      <c r="AF184" s="540"/>
      <c r="AG184" s="410"/>
      <c r="AH184"/>
      <c r="AI184"/>
    </row>
    <row r="185" s="408" customFormat="1" spans="1:35">
      <c r="A185" s="428" t="s">
        <v>230</v>
      </c>
      <c r="B185" s="438" t="s">
        <v>347</v>
      </c>
      <c r="C185" s="429" t="str">
        <f>VLOOKUP(B185,正厂竞争者数据汇总!D:H,2,FALSE)</f>
        <v>Motor目录</v>
      </c>
      <c r="D185" s="421" t="str">
        <f>VLOOKUP(B185,正厂竞争者数据汇总!D:H,3,FALSE)</f>
        <v>-</v>
      </c>
      <c r="E185" s="430">
        <f>VLOOKUP(B185,正厂竞争者数据汇总!D:H,4,FALSE)</f>
        <v>0</v>
      </c>
      <c r="F185" s="430">
        <v>19939.9244666667</v>
      </c>
      <c r="G185" s="430">
        <v>1361.75</v>
      </c>
      <c r="H185" s="430">
        <v>65366.75</v>
      </c>
      <c r="I185" s="453">
        <v>13.6428672419069</v>
      </c>
      <c r="J185" s="451">
        <v>0.0870954912353092</v>
      </c>
      <c r="K185" s="451">
        <v>0.0878584909740872</v>
      </c>
      <c r="L185" s="451">
        <v>0.0746295979633817</v>
      </c>
      <c r="M185" s="451"/>
      <c r="N185" s="459"/>
      <c r="O185" s="430"/>
      <c r="P185" s="531" t="str">
        <f>VLOOKUP(B185,正厂竞争者数据汇总!D:M,6,FALSE)</f>
        <v>2023年9月新增</v>
      </c>
      <c r="Q185" s="429"/>
      <c r="R185" s="421"/>
      <c r="S185" s="473">
        <v>898</v>
      </c>
      <c r="T185" s="473">
        <v>210</v>
      </c>
      <c r="U185" s="466"/>
      <c r="V185" s="466"/>
      <c r="W185" s="421"/>
      <c r="X185" s="421"/>
      <c r="Y185" s="200" t="s">
        <v>347</v>
      </c>
      <c r="Z185" s="200">
        <v>935</v>
      </c>
      <c r="AA185" s="200">
        <v>223</v>
      </c>
      <c r="AB185" s="410">
        <f t="shared" si="9"/>
        <v>1</v>
      </c>
      <c r="AC185" s="409">
        <f t="shared" si="10"/>
        <v>935</v>
      </c>
      <c r="AD185" s="409">
        <f t="shared" si="11"/>
        <v>223</v>
      </c>
      <c r="AF185" s="540"/>
      <c r="AG185" s="410"/>
      <c r="AH185"/>
      <c r="AI185"/>
    </row>
    <row r="186" s="408" customFormat="1" spans="1:35">
      <c r="A186" s="428" t="s">
        <v>230</v>
      </c>
      <c r="B186" s="438" t="s">
        <v>344</v>
      </c>
      <c r="C186" s="429" t="str">
        <f>VLOOKUP(B186,正厂竞争者数据汇总!D:H,2,FALSE)</f>
        <v>Motor目录</v>
      </c>
      <c r="D186" s="421" t="str">
        <f>VLOOKUP(B186,正厂竞争者数据汇总!D:H,3,FALSE)</f>
        <v>-</v>
      </c>
      <c r="E186" s="430">
        <f>VLOOKUP(B186,正厂竞争者数据汇总!D:H,4,FALSE)</f>
        <v>0</v>
      </c>
      <c r="F186" s="430">
        <v>19723.0233333333</v>
      </c>
      <c r="G186" s="430">
        <v>1363.75</v>
      </c>
      <c r="H186" s="430">
        <v>65368.75</v>
      </c>
      <c r="I186" s="453">
        <v>13.462345249007</v>
      </c>
      <c r="J186" s="451">
        <v>0.0861480899154723</v>
      </c>
      <c r="K186" s="451">
        <v>0.0950865077369704</v>
      </c>
      <c r="L186" s="451">
        <v>0.0741766078371308</v>
      </c>
      <c r="M186" s="451"/>
      <c r="N186" s="459"/>
      <c r="O186" s="430"/>
      <c r="P186" s="531">
        <f>VLOOKUP(B186,正厂竞争者数据汇总!D:M,6,FALSE)</f>
        <v>0</v>
      </c>
      <c r="Q186" s="429"/>
      <c r="R186" s="421"/>
      <c r="S186" s="473">
        <v>1159</v>
      </c>
      <c r="T186" s="473">
        <v>203</v>
      </c>
      <c r="U186" s="466"/>
      <c r="V186" s="466"/>
      <c r="W186" s="421"/>
      <c r="X186" s="421"/>
      <c r="Y186" s="200" t="s">
        <v>344</v>
      </c>
      <c r="Z186" s="200">
        <v>1277</v>
      </c>
      <c r="AA186" s="200">
        <v>236</v>
      </c>
      <c r="AB186" s="410">
        <f t="shared" si="9"/>
        <v>1</v>
      </c>
      <c r="AC186" s="409">
        <f t="shared" si="10"/>
        <v>1277</v>
      </c>
      <c r="AD186" s="409">
        <f t="shared" si="11"/>
        <v>236</v>
      </c>
      <c r="AF186" s="540"/>
      <c r="AG186" s="410"/>
      <c r="AH186"/>
      <c r="AI186"/>
    </row>
    <row r="187" s="408" customFormat="1" spans="1:35">
      <c r="A187" s="428" t="s">
        <v>230</v>
      </c>
      <c r="B187" s="438" t="s">
        <v>348</v>
      </c>
      <c r="C187" s="429" t="str">
        <f>VLOOKUP(B187,正厂竞争者数据汇总!D:H,2,FALSE)</f>
        <v>Motor目录</v>
      </c>
      <c r="D187" s="421" t="str">
        <f>VLOOKUP(B187,正厂竞争者数据汇总!D:H,3,FALSE)</f>
        <v>-</v>
      </c>
      <c r="E187" s="430">
        <f>VLOOKUP(B187,正厂竞争者数据汇总!D:H,4,FALSE)</f>
        <v>0</v>
      </c>
      <c r="F187" s="430">
        <v>19785.8333333333</v>
      </c>
      <c r="G187" s="430">
        <v>1362.75</v>
      </c>
      <c r="H187" s="430">
        <v>65367.75</v>
      </c>
      <c r="I187" s="453">
        <v>13.5190484926313</v>
      </c>
      <c r="J187" s="451">
        <v>0.086422437384222</v>
      </c>
      <c r="K187" s="451">
        <v>0.094414333316537</v>
      </c>
      <c r="L187" s="451">
        <v>0.0883126615449884</v>
      </c>
      <c r="M187" s="451"/>
      <c r="N187" s="459"/>
      <c r="O187" s="430"/>
      <c r="P187" s="531" t="str">
        <f>VLOOKUP(B187,正厂竞争者数据汇总!D:M,6,FALSE)</f>
        <v>2023年9月新增</v>
      </c>
      <c r="Q187" s="429"/>
      <c r="R187" s="421"/>
      <c r="S187" s="473">
        <v>458</v>
      </c>
      <c r="T187" s="473">
        <v>143</v>
      </c>
      <c r="U187" s="466"/>
      <c r="V187" s="466"/>
      <c r="W187" s="421"/>
      <c r="X187" s="421"/>
      <c r="Y187" s="200" t="s">
        <v>348</v>
      </c>
      <c r="Z187" s="200">
        <v>436</v>
      </c>
      <c r="AA187" s="200">
        <v>140</v>
      </c>
      <c r="AB187" s="410">
        <f t="shared" si="9"/>
        <v>1</v>
      </c>
      <c r="AC187" s="409">
        <f t="shared" si="10"/>
        <v>436</v>
      </c>
      <c r="AD187" s="409">
        <f t="shared" si="11"/>
        <v>140</v>
      </c>
      <c r="AF187" s="540"/>
      <c r="AG187" s="410"/>
      <c r="AH187"/>
      <c r="AI187"/>
    </row>
    <row r="188" s="408" customFormat="1" spans="1:35">
      <c r="A188" s="428" t="s">
        <v>230</v>
      </c>
      <c r="B188" s="438" t="s">
        <v>343</v>
      </c>
      <c r="C188" s="429" t="str">
        <f>VLOOKUP(B188,正厂竞争者数据汇总!D:H,2,FALSE)</f>
        <v>Motor目录</v>
      </c>
      <c r="D188" s="421" t="str">
        <f>VLOOKUP(B188,正厂竞争者数据汇总!D:H,3,FALSE)</f>
        <v>-</v>
      </c>
      <c r="E188" s="430">
        <f>VLOOKUP(B188,正厂竞争者数据汇总!D:H,4,FALSE)</f>
        <v>0</v>
      </c>
      <c r="F188" s="430">
        <v>14599.0833333333</v>
      </c>
      <c r="G188" s="430">
        <v>1368.75</v>
      </c>
      <c r="H188" s="430">
        <v>65373.75</v>
      </c>
      <c r="I188" s="453">
        <v>9.66599695585994</v>
      </c>
      <c r="J188" s="451">
        <v>0.0637672593307689</v>
      </c>
      <c r="K188" s="451">
        <v>0.0646849887741796</v>
      </c>
      <c r="L188" s="451">
        <v>0.0539073259851823</v>
      </c>
      <c r="M188" s="451"/>
      <c r="N188" s="459"/>
      <c r="O188" s="430"/>
      <c r="P188" s="531" t="str">
        <f>VLOOKUP(B188,正厂竞争者数据汇总!D:M,6,FALSE)</f>
        <v>2023年9月新增</v>
      </c>
      <c r="Q188" s="429"/>
      <c r="R188" s="421"/>
      <c r="S188" s="473">
        <v>167</v>
      </c>
      <c r="T188" s="473">
        <v>77</v>
      </c>
      <c r="U188" s="466"/>
      <c r="V188" s="466"/>
      <c r="W188" s="421"/>
      <c r="X188" s="421"/>
      <c r="Y188" s="200" t="s">
        <v>343</v>
      </c>
      <c r="Z188" s="200">
        <v>164</v>
      </c>
      <c r="AA188" s="200">
        <v>77</v>
      </c>
      <c r="AB188" s="410">
        <f t="shared" si="9"/>
        <v>1</v>
      </c>
      <c r="AC188" s="409">
        <f t="shared" si="10"/>
        <v>164</v>
      </c>
      <c r="AD188" s="409">
        <f t="shared" si="11"/>
        <v>77</v>
      </c>
      <c r="AF188" s="540"/>
      <c r="AG188" s="410"/>
      <c r="AH188"/>
      <c r="AI188"/>
    </row>
    <row r="189" s="408" customFormat="1" spans="1:35">
      <c r="A189" s="428" t="s">
        <v>230</v>
      </c>
      <c r="B189" s="438" t="s">
        <v>349</v>
      </c>
      <c r="C189" s="429" t="str">
        <f>VLOOKUP(B189,正厂竞争者数据汇总!D:H,2,FALSE)</f>
        <v>Motor目录</v>
      </c>
      <c r="D189" s="421" t="str">
        <f>VLOOKUP(B189,正厂竞争者数据汇总!D:H,3,FALSE)</f>
        <v>-</v>
      </c>
      <c r="E189" s="430">
        <f>VLOOKUP(B189,正厂竞争者数据汇总!D:H,4,FALSE)</f>
        <v>0</v>
      </c>
      <c r="F189" s="430">
        <v>12142.5833333333</v>
      </c>
      <c r="G189" s="430">
        <v>1374.75</v>
      </c>
      <c r="H189" s="430">
        <v>65379.75</v>
      </c>
      <c r="I189" s="453">
        <v>7.83257561980964</v>
      </c>
      <c r="J189" s="451">
        <v>0.0530375258968638</v>
      </c>
      <c r="K189" s="451">
        <v>0.0461650421701419</v>
      </c>
      <c r="L189" s="451">
        <v>0.0515292028704308</v>
      </c>
      <c r="M189" s="451"/>
      <c r="N189" s="459"/>
      <c r="O189" s="430"/>
      <c r="P189" s="531" t="str">
        <f>VLOOKUP(B189,正厂竞争者数据汇总!D:M,6,FALSE)</f>
        <v>2023年9月新增</v>
      </c>
      <c r="Q189" s="429"/>
      <c r="R189" s="421"/>
      <c r="S189" s="473">
        <v>283</v>
      </c>
      <c r="T189" s="473">
        <v>106</v>
      </c>
      <c r="U189" s="466"/>
      <c r="V189" s="466"/>
      <c r="W189" s="421"/>
      <c r="X189" s="421"/>
      <c r="Y189" s="200" t="s">
        <v>349</v>
      </c>
      <c r="Z189" s="200">
        <v>273</v>
      </c>
      <c r="AA189" s="200">
        <v>111</v>
      </c>
      <c r="AB189" s="410">
        <f t="shared" si="9"/>
        <v>1</v>
      </c>
      <c r="AC189" s="409">
        <f t="shared" si="10"/>
        <v>273</v>
      </c>
      <c r="AD189" s="409">
        <f t="shared" si="11"/>
        <v>111</v>
      </c>
      <c r="AF189" s="540"/>
      <c r="AG189" s="410"/>
      <c r="AH189"/>
      <c r="AI189"/>
    </row>
    <row r="190" s="408" customFormat="1" spans="1:35">
      <c r="A190" s="428" t="s">
        <v>230</v>
      </c>
      <c r="B190" s="438" t="s">
        <v>350</v>
      </c>
      <c r="C190" s="255" t="s">
        <v>351</v>
      </c>
      <c r="D190" s="421" t="str">
        <f>VLOOKUP(B190,正厂竞争者数据汇总!D:H,3,FALSE)</f>
        <v>UT</v>
      </c>
      <c r="E190" s="430">
        <f>VLOOKUP(B190,正厂竞争者数据汇总!D:H,4,FALSE)</f>
        <v>0</v>
      </c>
      <c r="F190" s="430">
        <v>7453.83333333333</v>
      </c>
      <c r="G190" s="430">
        <v>1374.75</v>
      </c>
      <c r="H190" s="430">
        <v>65379.75</v>
      </c>
      <c r="I190" s="453">
        <v>4.42195550706189</v>
      </c>
      <c r="J190" s="451">
        <v>0.0325575594249637</v>
      </c>
      <c r="K190" s="451">
        <v>0.0294924827655881</v>
      </c>
      <c r="L190" s="451">
        <v>0.034208013180888</v>
      </c>
      <c r="M190" s="451"/>
      <c r="N190" s="459"/>
      <c r="O190" s="430"/>
      <c r="P190" s="531"/>
      <c r="Q190" s="429"/>
      <c r="R190" s="421"/>
      <c r="S190" s="473">
        <v>2463</v>
      </c>
      <c r="T190" s="473">
        <v>78</v>
      </c>
      <c r="U190" s="466"/>
      <c r="V190" s="466"/>
      <c r="W190" s="421"/>
      <c r="X190" s="421"/>
      <c r="Y190" s="200" t="s">
        <v>350</v>
      </c>
      <c r="Z190" s="200">
        <v>4789</v>
      </c>
      <c r="AA190" s="200">
        <v>75</v>
      </c>
      <c r="AB190" s="410">
        <f t="shared" si="9"/>
        <v>1</v>
      </c>
      <c r="AC190" s="409">
        <f t="shared" si="10"/>
        <v>4789</v>
      </c>
      <c r="AD190" s="409">
        <f t="shared" si="11"/>
        <v>75</v>
      </c>
      <c r="AF190" s="540"/>
      <c r="AG190" s="410"/>
      <c r="AH190"/>
      <c r="AI190"/>
    </row>
    <row r="191" s="408" customFormat="1" spans="1:35">
      <c r="A191" s="428" t="s">
        <v>375</v>
      </c>
      <c r="B191" s="438" t="s">
        <v>376</v>
      </c>
      <c r="C191" s="429" t="str">
        <f>VLOOKUP(B191,正厂竞争者数据汇总!D:H,2,FALSE)</f>
        <v>无完整目录，category下放的PD</v>
      </c>
      <c r="D191" s="421" t="str">
        <f>VLOOKUP(B191,正厂竞争者数据汇总!D:H,3,FALSE)</f>
        <v>NY</v>
      </c>
      <c r="E191" s="430">
        <f>VLOOKUP(B191,正厂竞争者数据汇总!D:H,4,FALSE)</f>
        <v>0</v>
      </c>
      <c r="F191" s="430">
        <v>2571.08125</v>
      </c>
      <c r="G191" s="430">
        <v>1366.75</v>
      </c>
      <c r="H191" s="430">
        <v>65371.75</v>
      </c>
      <c r="I191" s="453">
        <v>0.881164258276935</v>
      </c>
      <c r="J191" s="451">
        <v>0.0112302122733204</v>
      </c>
      <c r="K191" s="451">
        <v>0.0132509757535845</v>
      </c>
      <c r="L191" s="451">
        <v>0.0249476666135747</v>
      </c>
      <c r="M191" s="451"/>
      <c r="N191" s="459"/>
      <c r="O191" s="430"/>
      <c r="P191" s="531" t="str">
        <f>VLOOKUP(B191,正厂竞争者数据汇总!D:M,6,FALSE)</f>
        <v>同时经营Audi，BMW、Dodge、Jaguar、Land Rover、Mercedes-Benz、Mini、Porsche、Saab、Volkswagen、Volvo。折算比例：Audi：30.3%，MB：69.7%</v>
      </c>
      <c r="Q191" s="429"/>
      <c r="R191" s="421"/>
      <c r="S191" s="473">
        <v>23948</v>
      </c>
      <c r="T191" s="473">
        <v>1548</v>
      </c>
      <c r="U191" s="466"/>
      <c r="V191" s="466"/>
      <c r="W191" s="421"/>
      <c r="X191" s="421"/>
      <c r="Y191" s="200" t="s">
        <v>376</v>
      </c>
      <c r="Z191" s="200">
        <v>23721</v>
      </c>
      <c r="AA191" s="200">
        <v>1471</v>
      </c>
      <c r="AB191" s="410">
        <f t="shared" si="9"/>
        <v>1</v>
      </c>
      <c r="AC191" s="409">
        <f t="shared" si="10"/>
        <v>23721</v>
      </c>
      <c r="AD191" s="409">
        <f t="shared" si="11"/>
        <v>1471</v>
      </c>
      <c r="AF191" s="540"/>
      <c r="AG191" s="410"/>
      <c r="AH191"/>
      <c r="AI191"/>
    </row>
    <row r="192" s="408" customFormat="1" spans="1:35">
      <c r="A192" s="428"/>
      <c r="B192" s="421"/>
      <c r="C192" s="429"/>
      <c r="D192" s="421"/>
      <c r="E192" s="430"/>
      <c r="F192" s="430"/>
      <c r="G192" s="430">
        <v>100126.666666667</v>
      </c>
      <c r="H192" s="430"/>
      <c r="I192" s="453"/>
      <c r="J192" s="451"/>
      <c r="K192" s="451"/>
      <c r="L192" s="451"/>
      <c r="M192" s="451"/>
      <c r="N192" s="459"/>
      <c r="O192" s="430"/>
      <c r="P192" s="531"/>
      <c r="Q192" s="429"/>
      <c r="R192" s="421"/>
      <c r="S192" s="473" t="s">
        <v>180</v>
      </c>
      <c r="T192" s="473" t="s">
        <v>180</v>
      </c>
      <c r="U192" s="466"/>
      <c r="V192" s="466"/>
      <c r="W192" s="421"/>
      <c r="X192" s="421"/>
      <c r="Y192" s="200" t="s">
        <v>240</v>
      </c>
      <c r="Z192" s="200" t="s">
        <v>180</v>
      </c>
      <c r="AA192" s="200" t="s">
        <v>180</v>
      </c>
      <c r="AB192" s="410">
        <f t="shared" si="9"/>
        <v>0</v>
      </c>
      <c r="AC192" s="409" t="str">
        <f t="shared" si="10"/>
        <v/>
      </c>
      <c r="AD192" s="409" t="str">
        <f t="shared" si="11"/>
        <v/>
      </c>
      <c r="AF192" s="540"/>
      <c r="AG192" s="410"/>
      <c r="AH192"/>
      <c r="AI192"/>
    </row>
    <row r="193" s="408" customFormat="1" spans="1:35">
      <c r="A193" s="428"/>
      <c r="B193" s="421"/>
      <c r="C193" s="439"/>
      <c r="D193" s="421"/>
      <c r="E193" s="430"/>
      <c r="F193" s="430">
        <v>228943.2459</v>
      </c>
      <c r="G193" s="430"/>
      <c r="H193" s="430">
        <v>96860.5</v>
      </c>
      <c r="I193" s="453" t="e">
        <v>#DIV/0!</v>
      </c>
      <c r="J193" s="430"/>
      <c r="K193" s="430"/>
      <c r="L193" s="430"/>
      <c r="M193" s="451"/>
      <c r="N193" s="459"/>
      <c r="O193" s="430"/>
      <c r="P193" s="531"/>
      <c r="Q193" s="429"/>
      <c r="R193" s="421"/>
      <c r="S193" s="473" t="s">
        <v>180</v>
      </c>
      <c r="T193" s="473" t="s">
        <v>180</v>
      </c>
      <c r="U193" s="466"/>
      <c r="V193" s="466"/>
      <c r="W193" s="421"/>
      <c r="X193" s="421"/>
      <c r="Y193" s="200" t="s">
        <v>240</v>
      </c>
      <c r="Z193" s="200" t="s">
        <v>180</v>
      </c>
      <c r="AA193" s="200" t="s">
        <v>180</v>
      </c>
      <c r="AB193" s="410">
        <f t="shared" si="9"/>
        <v>0</v>
      </c>
      <c r="AC193" s="409" t="str">
        <f t="shared" si="10"/>
        <v/>
      </c>
      <c r="AD193" s="409" t="str">
        <f t="shared" si="11"/>
        <v/>
      </c>
      <c r="AF193" s="540"/>
      <c r="AG193" s="410"/>
      <c r="AH193"/>
      <c r="AI193"/>
    </row>
    <row r="194" s="408" customFormat="1" spans="1:35">
      <c r="A194" s="428"/>
      <c r="B194" s="421"/>
      <c r="C194" s="439"/>
      <c r="D194" s="421"/>
      <c r="E194" s="421"/>
      <c r="F194" s="430"/>
      <c r="G194" s="430"/>
      <c r="H194" s="430"/>
      <c r="I194" s="453"/>
      <c r="J194" s="430"/>
      <c r="K194" s="430"/>
      <c r="L194" s="430"/>
      <c r="M194" s="451"/>
      <c r="N194" s="459"/>
      <c r="O194" s="430"/>
      <c r="P194" s="531"/>
      <c r="Q194" s="429"/>
      <c r="R194" s="421"/>
      <c r="S194" s="473" t="s">
        <v>180</v>
      </c>
      <c r="T194" s="473" t="s">
        <v>180</v>
      </c>
      <c r="U194" s="466"/>
      <c r="V194" s="466"/>
      <c r="W194" s="421"/>
      <c r="X194" s="421"/>
      <c r="Y194" s="200" t="s">
        <v>240</v>
      </c>
      <c r="Z194" s="200" t="s">
        <v>180</v>
      </c>
      <c r="AA194" s="200" t="s">
        <v>180</v>
      </c>
      <c r="AB194" s="410">
        <f t="shared" si="9"/>
        <v>0</v>
      </c>
      <c r="AC194" s="409" t="str">
        <f t="shared" si="10"/>
        <v/>
      </c>
      <c r="AD194" s="409" t="str">
        <f t="shared" si="11"/>
        <v/>
      </c>
      <c r="AF194" s="540"/>
      <c r="AG194" s="410"/>
      <c r="AH194"/>
      <c r="AI194"/>
    </row>
    <row r="195" s="408" customFormat="1" ht="17.4" spans="1:35">
      <c r="A195" s="418" t="s">
        <v>193</v>
      </c>
      <c r="B195" s="419"/>
      <c r="C195" s="420"/>
      <c r="D195" s="421"/>
      <c r="E195" s="422" t="s">
        <v>202</v>
      </c>
      <c r="F195" s="422"/>
      <c r="G195" s="422" t="s">
        <v>213</v>
      </c>
      <c r="H195" s="422"/>
      <c r="I195" s="422"/>
      <c r="J195" s="422"/>
      <c r="K195" s="422"/>
      <c r="L195" s="422"/>
      <c r="M195" s="443"/>
      <c r="N195" s="422"/>
      <c r="O195" s="422"/>
      <c r="P195" s="531"/>
      <c r="Q195" s="465"/>
      <c r="R195" s="424"/>
      <c r="S195" s="473" t="s">
        <v>180</v>
      </c>
      <c r="T195" s="473" t="s">
        <v>180</v>
      </c>
      <c r="U195" s="467"/>
      <c r="V195" s="467"/>
      <c r="W195" s="467"/>
      <c r="X195" s="467"/>
      <c r="Y195" s="200" t="s">
        <v>240</v>
      </c>
      <c r="Z195" s="200" t="s">
        <v>180</v>
      </c>
      <c r="AA195" s="200" t="s">
        <v>180</v>
      </c>
      <c r="AB195" s="410">
        <f t="shared" si="9"/>
        <v>0</v>
      </c>
      <c r="AC195" s="409" t="str">
        <f t="shared" si="10"/>
        <v/>
      </c>
      <c r="AD195" s="409" t="str">
        <f t="shared" si="11"/>
        <v/>
      </c>
      <c r="AF195" s="540"/>
      <c r="AG195" s="410"/>
      <c r="AH195"/>
      <c r="AI195"/>
    </row>
    <row r="196" s="409" customFormat="1" ht="46.8" spans="1:35">
      <c r="A196" s="423" t="s">
        <v>206</v>
      </c>
      <c r="B196" s="424" t="s">
        <v>207</v>
      </c>
      <c r="C196" s="425" t="s">
        <v>208</v>
      </c>
      <c r="D196" s="424" t="s">
        <v>209</v>
      </c>
      <c r="E196" s="426" t="s">
        <v>210</v>
      </c>
      <c r="F196" s="427" t="s">
        <v>213</v>
      </c>
      <c r="G196" s="427">
        <v>116448.583333333</v>
      </c>
      <c r="H196" s="427" t="s">
        <v>213</v>
      </c>
      <c r="I196" s="427" t="s">
        <v>386</v>
      </c>
      <c r="J196" s="446" t="s">
        <v>217</v>
      </c>
      <c r="K196" s="446" t="s">
        <v>387</v>
      </c>
      <c r="L196" s="446" t="s">
        <v>390</v>
      </c>
      <c r="M196" s="447" t="s">
        <v>218</v>
      </c>
      <c r="N196" s="448" t="s">
        <v>219</v>
      </c>
      <c r="O196" s="449" t="s">
        <v>220</v>
      </c>
      <c r="P196" s="530" t="s">
        <v>221</v>
      </c>
      <c r="Q196" s="469" t="s">
        <v>222</v>
      </c>
      <c r="R196" s="426" t="s">
        <v>223</v>
      </c>
      <c r="S196" s="470" t="s">
        <v>224</v>
      </c>
      <c r="T196" s="470" t="s">
        <v>205</v>
      </c>
      <c r="U196" s="467" t="s">
        <v>225</v>
      </c>
      <c r="V196" s="470" t="s">
        <v>226</v>
      </c>
      <c r="W196" s="467"/>
      <c r="X196" s="467"/>
      <c r="Y196" s="200" t="s">
        <v>207</v>
      </c>
      <c r="Z196" s="200" t="s">
        <v>180</v>
      </c>
      <c r="AA196" s="200" t="s">
        <v>180</v>
      </c>
      <c r="AB196" s="410">
        <f t="shared" si="9"/>
        <v>1</v>
      </c>
      <c r="AC196" s="409" t="str">
        <f t="shared" si="10"/>
        <v>Forum Link</v>
      </c>
      <c r="AD196" s="409" t="str">
        <f t="shared" si="11"/>
        <v>Domains</v>
      </c>
      <c r="AF196" s="540"/>
      <c r="AG196" s="410"/>
      <c r="AH196"/>
      <c r="AI196"/>
    </row>
    <row r="197" s="408" customFormat="1" spans="1:35">
      <c r="A197" s="428" t="s">
        <v>230</v>
      </c>
      <c r="B197" s="438" t="s">
        <v>365</v>
      </c>
      <c r="C197" s="429" t="str">
        <f>VLOOKUP(B197,正厂竞争者数据汇总!D:H,2,FALSE)</f>
        <v>Motor目录</v>
      </c>
      <c r="D197" s="421" t="str">
        <f>VLOOKUP(B197,正厂竞争者数据汇总!D:H,3,FALSE)</f>
        <v>OR</v>
      </c>
      <c r="E197" s="430">
        <f>VLOOKUP(B197,正厂竞争者数据汇总!D:H,4,FALSE)</f>
        <v>0</v>
      </c>
      <c r="F197" s="430">
        <v>61556.3764666667</v>
      </c>
      <c r="G197" s="430">
        <v>38319.6666666667</v>
      </c>
      <c r="H197" s="430">
        <v>273188.083333333</v>
      </c>
      <c r="I197" s="453"/>
      <c r="J197" s="451">
        <v>0.306665433753</v>
      </c>
      <c r="K197" s="451">
        <v>0.29130878395855</v>
      </c>
      <c r="L197" s="451">
        <v>0.274097233511992</v>
      </c>
      <c r="M197" s="451"/>
      <c r="N197" s="459"/>
      <c r="O197" s="430"/>
      <c r="P197" s="531">
        <f>VLOOKUP(B197,正厂竞争者数据汇总!D:M,6,FALSE)</f>
        <v>0</v>
      </c>
      <c r="Q197" s="429" t="s">
        <v>180</v>
      </c>
      <c r="R197" s="421" t="s">
        <v>180</v>
      </c>
      <c r="S197" s="473">
        <v>1659</v>
      </c>
      <c r="T197" s="473">
        <v>309</v>
      </c>
      <c r="U197" s="466"/>
      <c r="V197" s="466"/>
      <c r="W197" s="421"/>
      <c r="X197" s="421"/>
      <c r="Y197" s="200" t="s">
        <v>365</v>
      </c>
      <c r="Z197" s="200">
        <v>1749</v>
      </c>
      <c r="AA197" s="200">
        <v>336</v>
      </c>
      <c r="AB197" s="410">
        <f t="shared" si="9"/>
        <v>1</v>
      </c>
      <c r="AC197" s="409">
        <f t="shared" si="10"/>
        <v>1749</v>
      </c>
      <c r="AD197" s="409">
        <f t="shared" si="11"/>
        <v>336</v>
      </c>
      <c r="AF197" s="540"/>
      <c r="AG197" s="410"/>
      <c r="AH197"/>
      <c r="AI197"/>
    </row>
    <row r="198" s="408" customFormat="1" spans="1:35">
      <c r="A198" s="428" t="s">
        <v>230</v>
      </c>
      <c r="B198" s="438" t="s">
        <v>366</v>
      </c>
      <c r="C198" s="429" t="s">
        <v>65</v>
      </c>
      <c r="D198" s="421" t="s">
        <v>49</v>
      </c>
      <c r="E198" s="430"/>
      <c r="F198" s="430">
        <v>42336.7924666667</v>
      </c>
      <c r="G198" s="430">
        <v>38321.6666666667</v>
      </c>
      <c r="H198" s="430">
        <v>273190.083333333</v>
      </c>
      <c r="I198" s="453"/>
      <c r="J198" s="451">
        <v>0.210916099529211</v>
      </c>
      <c r="K198" s="451">
        <v>0.222666924034228</v>
      </c>
      <c r="L198" s="451">
        <v>0.240031611365367</v>
      </c>
      <c r="M198" s="451"/>
      <c r="N198" s="459"/>
      <c r="O198" s="430"/>
      <c r="P198" s="531"/>
      <c r="Q198" s="429"/>
      <c r="R198" s="421"/>
      <c r="S198" s="473">
        <v>413</v>
      </c>
      <c r="T198" s="473">
        <v>131</v>
      </c>
      <c r="U198" s="466"/>
      <c r="V198" s="466"/>
      <c r="W198" s="421"/>
      <c r="X198" s="421"/>
      <c r="Y198" s="200" t="s">
        <v>366</v>
      </c>
      <c r="Z198" s="200">
        <v>415</v>
      </c>
      <c r="AA198" s="200">
        <v>134</v>
      </c>
      <c r="AB198" s="410">
        <f t="shared" si="9"/>
        <v>1</v>
      </c>
      <c r="AC198" s="409">
        <f t="shared" si="10"/>
        <v>415</v>
      </c>
      <c r="AD198" s="409">
        <f t="shared" si="11"/>
        <v>134</v>
      </c>
      <c r="AF198" s="540"/>
      <c r="AG198" s="410"/>
      <c r="AH198"/>
      <c r="AI198"/>
    </row>
    <row r="199" s="408" customFormat="1" spans="1:35">
      <c r="A199" s="428" t="s">
        <v>367</v>
      </c>
      <c r="B199" s="438" t="s">
        <v>368</v>
      </c>
      <c r="C199" s="429" t="str">
        <f>VLOOKUP(B199,正厂竞争者数据汇总!D:H,2,FALSE)</f>
        <v>Motor目录</v>
      </c>
      <c r="D199" s="421" t="str">
        <f>VLOOKUP(B199,正厂竞争者数据汇总!D:H,3,FALSE)</f>
        <v>-</v>
      </c>
      <c r="E199" s="430">
        <f>VLOOKUP(B199,正厂竞争者数据汇总!D:H,4,FALSE)</f>
        <v>0</v>
      </c>
      <c r="F199" s="430">
        <v>23781.6666666666</v>
      </c>
      <c r="G199" s="430">
        <v>38320.6666666667</v>
      </c>
      <c r="H199" s="430">
        <v>273189.083333333</v>
      </c>
      <c r="I199" s="453"/>
      <c r="J199" s="451">
        <v>0.118477005020784</v>
      </c>
      <c r="K199" s="451">
        <v>0.116023341099568</v>
      </c>
      <c r="L199" s="451">
        <v>0.116420577294956</v>
      </c>
      <c r="M199" s="451"/>
      <c r="N199" s="459"/>
      <c r="O199" s="430"/>
      <c r="P199" s="531">
        <f>VLOOKUP(B199,正厂竞争者数据汇总!D:M,6,FALSE)</f>
        <v>0</v>
      </c>
      <c r="Q199" s="429"/>
      <c r="R199" s="421"/>
      <c r="S199" s="473">
        <v>5813</v>
      </c>
      <c r="T199" s="473">
        <v>438</v>
      </c>
      <c r="U199" s="466"/>
      <c r="V199" s="466"/>
      <c r="W199" s="421"/>
      <c r="X199" s="421"/>
      <c r="Y199" s="200" t="s">
        <v>368</v>
      </c>
      <c r="Z199" s="200">
        <v>6126</v>
      </c>
      <c r="AA199" s="200">
        <v>459</v>
      </c>
      <c r="AB199" s="410">
        <f t="shared" si="9"/>
        <v>1</v>
      </c>
      <c r="AC199" s="409">
        <f t="shared" si="10"/>
        <v>6126</v>
      </c>
      <c r="AD199" s="409">
        <f t="shared" si="11"/>
        <v>459</v>
      </c>
      <c r="AF199" s="540"/>
      <c r="AG199" s="410"/>
      <c r="AH199"/>
      <c r="AI199"/>
    </row>
    <row r="200" s="408" customFormat="1" spans="1:35">
      <c r="A200" s="428" t="s">
        <v>243</v>
      </c>
      <c r="B200" s="438" t="s">
        <v>369</v>
      </c>
      <c r="C200" s="429" t="str">
        <f>VLOOKUP(B200,正厂竞争者数据汇总!D:H,2,FALSE)</f>
        <v>旧年份原厂、新年份Motor</v>
      </c>
      <c r="D200" s="421" t="str">
        <f>VLOOKUP(B200,正厂竞争者数据汇总!D:H,3,FALSE)</f>
        <v>GA</v>
      </c>
      <c r="E200" s="430">
        <f>VLOOKUP(B200,正厂竞争者数据汇总!D:H,4,FALSE)</f>
        <v>0</v>
      </c>
      <c r="F200" s="430">
        <v>20355.8754666667</v>
      </c>
      <c r="G200" s="430">
        <v>38322.6666666667</v>
      </c>
      <c r="H200" s="430">
        <v>273191.083333333</v>
      </c>
      <c r="I200" s="453"/>
      <c r="J200" s="451">
        <v>0.101410182628078</v>
      </c>
      <c r="K200" s="451">
        <v>0.124410208994298</v>
      </c>
      <c r="L200" s="451">
        <v>0.117252212563044</v>
      </c>
      <c r="M200" s="451"/>
      <c r="N200" s="459"/>
      <c r="O200" s="430"/>
      <c r="P200" s="531">
        <f>VLOOKUP(B200,正厂竞争者数据汇总!D:M,6,FALSE)</f>
        <v>0</v>
      </c>
      <c r="Q200" s="429"/>
      <c r="R200" s="421"/>
      <c r="S200" s="473">
        <v>9034</v>
      </c>
      <c r="T200" s="473">
        <v>1330</v>
      </c>
      <c r="U200" s="466"/>
      <c r="V200" s="466"/>
      <c r="W200" s="421"/>
      <c r="X200" s="421"/>
      <c r="Y200" s="200" t="s">
        <v>369</v>
      </c>
      <c r="Z200" s="200">
        <v>9481</v>
      </c>
      <c r="AA200" s="200">
        <v>1271</v>
      </c>
      <c r="AB200" s="410">
        <f t="shared" si="9"/>
        <v>1</v>
      </c>
      <c r="AC200" s="409">
        <f t="shared" si="10"/>
        <v>9481</v>
      </c>
      <c r="AD200" s="409">
        <f t="shared" si="11"/>
        <v>1271</v>
      </c>
      <c r="AF200" s="540"/>
      <c r="AG200" s="410"/>
      <c r="AH200"/>
      <c r="AI200"/>
    </row>
    <row r="201" s="408" customFormat="1" spans="1:35">
      <c r="A201" s="428" t="s">
        <v>230</v>
      </c>
      <c r="B201" s="438" t="s">
        <v>373</v>
      </c>
      <c r="C201" s="429" t="str">
        <f>VLOOKUP(B201,正厂竞争者数据汇总!D:H,2,FALSE)</f>
        <v>Motor目录</v>
      </c>
      <c r="D201" s="421" t="str">
        <f>VLOOKUP(B201,正厂竞争者数据汇总!D:H,3,FALSE)</f>
        <v>MA</v>
      </c>
      <c r="E201" s="430">
        <f>VLOOKUP(B201,正厂竞争者数据汇总!D:H,4,FALSE)</f>
        <v>3939</v>
      </c>
      <c r="F201" s="430">
        <v>13942.2128333333</v>
      </c>
      <c r="G201" s="430">
        <v>38321.6666666667</v>
      </c>
      <c r="H201" s="430">
        <v>273190.083333333</v>
      </c>
      <c r="I201" s="453"/>
      <c r="J201" s="451">
        <v>0.0694581941210602</v>
      </c>
      <c r="K201" s="451">
        <v>0.0623274058284643</v>
      </c>
      <c r="L201" s="451">
        <v>0.0591914663467416</v>
      </c>
      <c r="M201" s="451"/>
      <c r="N201" s="459"/>
      <c r="O201" s="430"/>
      <c r="P201" s="531">
        <f>VLOOKUP(B201,正厂竞争者数据汇总!D:M,6,FALSE)</f>
        <v>0</v>
      </c>
      <c r="Q201" s="429"/>
      <c r="R201" s="421"/>
      <c r="S201" s="473">
        <v>49089</v>
      </c>
      <c r="T201" s="473">
        <v>85</v>
      </c>
      <c r="U201" s="466"/>
      <c r="V201" s="466"/>
      <c r="W201" s="421"/>
      <c r="X201" s="421"/>
      <c r="Y201" s="200" t="s">
        <v>373</v>
      </c>
      <c r="Z201" s="200">
        <v>43107</v>
      </c>
      <c r="AA201" s="200">
        <v>86</v>
      </c>
      <c r="AB201" s="410">
        <f t="shared" si="9"/>
        <v>1</v>
      </c>
      <c r="AC201" s="409">
        <f t="shared" si="10"/>
        <v>43107</v>
      </c>
      <c r="AD201" s="409">
        <f t="shared" si="11"/>
        <v>86</v>
      </c>
      <c r="AF201" s="540"/>
      <c r="AG201" s="410"/>
      <c r="AH201"/>
      <c r="AI201"/>
    </row>
    <row r="202" s="408" customFormat="1" spans="1:35">
      <c r="A202" s="428" t="s">
        <v>230</v>
      </c>
      <c r="B202" s="438" t="s">
        <v>372</v>
      </c>
      <c r="C202" s="429" t="str">
        <f>VLOOKUP(B202,正厂竞争者数据汇总!D:H,2,FALSE)</f>
        <v>Motor目录</v>
      </c>
      <c r="D202" s="421" t="str">
        <f>VLOOKUP(B202,正厂竞争者数据汇总!D:H,3,FALSE)</f>
        <v>NV</v>
      </c>
      <c r="E202" s="430">
        <f>VLOOKUP(B202,正厂竞争者数据汇总!D:H,4,FALSE)</f>
        <v>0</v>
      </c>
      <c r="F202" s="430">
        <v>12585.1564166667</v>
      </c>
      <c r="G202" s="430">
        <v>38326.6666666667</v>
      </c>
      <c r="H202" s="430">
        <v>273195.083333333</v>
      </c>
      <c r="I202" s="453"/>
      <c r="J202" s="451">
        <v>0.0626975249827507</v>
      </c>
      <c r="K202" s="451">
        <v>0.0506903142898508</v>
      </c>
      <c r="L202" s="451">
        <v>0.0563850321865149</v>
      </c>
      <c r="M202" s="451"/>
      <c r="N202" s="459"/>
      <c r="O202" s="430"/>
      <c r="P202" s="531" t="str">
        <f>VLOOKUP(B202,正厂竞争者数据汇总!D:M,6,FALSE)</f>
        <v>2023年9月新增</v>
      </c>
      <c r="Q202" s="429"/>
      <c r="R202" s="421"/>
      <c r="S202" s="473">
        <v>345</v>
      </c>
      <c r="T202" s="473">
        <v>53</v>
      </c>
      <c r="U202" s="466"/>
      <c r="V202" s="466"/>
      <c r="W202" s="421"/>
      <c r="X202" s="421"/>
      <c r="Y202" s="200" t="s">
        <v>372</v>
      </c>
      <c r="Z202" s="200">
        <v>330</v>
      </c>
      <c r="AA202" s="200">
        <v>54</v>
      </c>
      <c r="AB202" s="410">
        <f t="shared" si="9"/>
        <v>1</v>
      </c>
      <c r="AC202" s="409">
        <f t="shared" si="10"/>
        <v>330</v>
      </c>
      <c r="AD202" s="409">
        <f t="shared" si="11"/>
        <v>54</v>
      </c>
      <c r="AF202" s="540"/>
      <c r="AG202" s="410"/>
      <c r="AH202"/>
      <c r="AI202"/>
    </row>
    <row r="203" s="408" customFormat="1" ht="17.4" spans="1:35">
      <c r="A203" s="428" t="s">
        <v>230</v>
      </c>
      <c r="B203" s="438" t="s">
        <v>370</v>
      </c>
      <c r="C203" s="429" t="s">
        <v>247</v>
      </c>
      <c r="D203" s="421" t="s">
        <v>371</v>
      </c>
      <c r="E203" s="430"/>
      <c r="F203" s="430">
        <v>10351.6666666667</v>
      </c>
      <c r="G203" s="430">
        <v>38321.6666666667</v>
      </c>
      <c r="H203" s="430">
        <v>273190.083333333</v>
      </c>
      <c r="I203" s="453"/>
      <c r="J203" s="451">
        <v>0.0515705850574039</v>
      </c>
      <c r="K203" s="451">
        <v>0.0295803271962163</v>
      </c>
      <c r="L203" s="451">
        <v>0.0541209528149401</v>
      </c>
      <c r="M203" s="451"/>
      <c r="N203" s="459"/>
      <c r="O203" s="430"/>
      <c r="P203" s="531"/>
      <c r="Q203" s="429"/>
      <c r="R203" s="421"/>
      <c r="S203" s="473">
        <v>16477</v>
      </c>
      <c r="T203" s="473">
        <v>133</v>
      </c>
      <c r="U203" s="466"/>
      <c r="V203" s="466"/>
      <c r="W203" s="421"/>
      <c r="X203" s="421"/>
      <c r="Y203" s="200" t="s">
        <v>370</v>
      </c>
      <c r="Z203" s="200">
        <v>16539</v>
      </c>
      <c r="AA203" s="200">
        <v>147</v>
      </c>
      <c r="AB203" s="410">
        <f t="shared" si="9"/>
        <v>1</v>
      </c>
      <c r="AC203" s="409">
        <f t="shared" si="10"/>
        <v>16539</v>
      </c>
      <c r="AD203" s="409">
        <f t="shared" si="11"/>
        <v>147</v>
      </c>
      <c r="AF203" s="540"/>
      <c r="AG203" s="410"/>
      <c r="AH203"/>
      <c r="AI203"/>
    </row>
    <row r="204" s="408" customFormat="1" spans="1:35">
      <c r="A204" s="255" t="s">
        <v>230</v>
      </c>
      <c r="B204" s="438" t="s">
        <v>374</v>
      </c>
      <c r="C204" s="429" t="str">
        <f>VLOOKUP(B204,正厂竞争者数据汇总!D:H,2,FALSE)</f>
        <v>Motor目录</v>
      </c>
      <c r="D204" s="421" t="str">
        <f>VLOOKUP(B204,正厂竞争者数据汇总!D:H,3,FALSE)</f>
        <v>CT</v>
      </c>
      <c r="E204" s="430">
        <f>VLOOKUP(B204,正厂竞争者数据汇总!D:H,4,FALSE)</f>
        <v>0</v>
      </c>
      <c r="F204" s="430">
        <v>9241.31</v>
      </c>
      <c r="G204" s="430">
        <v>38327.6666666667</v>
      </c>
      <c r="H204" s="430">
        <v>273196.083333333</v>
      </c>
      <c r="I204" s="453"/>
      <c r="J204" s="451">
        <v>0.0460389402734023</v>
      </c>
      <c r="K204" s="451">
        <v>0.0534517099762492</v>
      </c>
      <c r="L204" s="451"/>
      <c r="M204" s="451"/>
      <c r="N204" s="459"/>
      <c r="O204" s="430"/>
      <c r="P204" s="531" t="str">
        <f>VLOOKUP(B204,正厂竞争者数据汇总!D:M,6,FALSE)</f>
        <v>2023年9月同时经营Audi，Volkswagen，Volvo.计算折算比例：Audi:63%, VW:0%, Volvo:37%.2023年12月，因流量大于5%加入监控</v>
      </c>
      <c r="Q204" s="429"/>
      <c r="R204" s="421"/>
      <c r="S204" s="473">
        <v>1657</v>
      </c>
      <c r="T204" s="473">
        <v>105</v>
      </c>
      <c r="U204" s="466"/>
      <c r="V204" s="466"/>
      <c r="W204" s="421"/>
      <c r="X204" s="421"/>
      <c r="Y204" s="200" t="s">
        <v>374</v>
      </c>
      <c r="Z204" s="200">
        <v>1881</v>
      </c>
      <c r="AA204" s="200">
        <v>105</v>
      </c>
      <c r="AB204" s="410">
        <f t="shared" si="9"/>
        <v>1</v>
      </c>
      <c r="AC204" s="409">
        <f t="shared" si="10"/>
        <v>1881</v>
      </c>
      <c r="AD204" s="409">
        <f t="shared" si="11"/>
        <v>105</v>
      </c>
      <c r="AF204" s="540"/>
      <c r="AG204" s="410"/>
      <c r="AH204"/>
      <c r="AI204"/>
    </row>
    <row r="205" s="408" customFormat="1" spans="1:35">
      <c r="A205" s="428" t="s">
        <v>230</v>
      </c>
      <c r="B205" s="438" t="s">
        <v>377</v>
      </c>
      <c r="C205" s="429" t="str">
        <f>VLOOKUP(B205,正厂竞争者数据汇总!D:H,2,FALSE)</f>
        <v>Motor目录</v>
      </c>
      <c r="D205" s="421" t="str">
        <f>VLOOKUP(B205,正厂竞争者数据汇总!D:H,3,FALSE)</f>
        <v>CA</v>
      </c>
      <c r="E205" s="430">
        <f>VLOOKUP(B205,正厂竞争者数据汇总!D:H,4,FALSE)</f>
        <v>0</v>
      </c>
      <c r="F205" s="430">
        <v>4005.98333333333</v>
      </c>
      <c r="G205" s="430">
        <v>38327.6666666667</v>
      </c>
      <c r="H205" s="430">
        <v>273196.083333333</v>
      </c>
      <c r="I205" s="453"/>
      <c r="J205" s="451">
        <v>0.0199572601091813</v>
      </c>
      <c r="K205" s="451">
        <v>0.0330511825167071</v>
      </c>
      <c r="L205" s="451">
        <v>0.0483626092990667</v>
      </c>
      <c r="M205" s="451"/>
      <c r="N205" s="459"/>
      <c r="O205" s="430"/>
      <c r="P205" s="531" t="str">
        <f>VLOOKUP(B205,正厂竞争者数据汇总!D:M,6,FALSE)</f>
        <v>2023年9月新增</v>
      </c>
      <c r="Q205" s="429"/>
      <c r="R205" s="421"/>
      <c r="S205" s="473">
        <v>211</v>
      </c>
      <c r="T205" s="473">
        <v>64</v>
      </c>
      <c r="U205" s="466"/>
      <c r="V205" s="466"/>
      <c r="W205" s="421"/>
      <c r="X205" s="421"/>
      <c r="Y205" s="200" t="s">
        <v>377</v>
      </c>
      <c r="Z205" s="200">
        <v>232</v>
      </c>
      <c r="AA205" s="200">
        <v>80</v>
      </c>
      <c r="AB205" s="410">
        <f t="shared" si="9"/>
        <v>1</v>
      </c>
      <c r="AC205" s="409">
        <f t="shared" si="10"/>
        <v>232</v>
      </c>
      <c r="AD205" s="409">
        <f t="shared" si="11"/>
        <v>80</v>
      </c>
      <c r="AF205" s="540"/>
      <c r="AG205" s="410"/>
      <c r="AH205"/>
      <c r="AI205"/>
    </row>
    <row r="206" s="408" customFormat="1" spans="1:35">
      <c r="A206" s="428" t="s">
        <v>375</v>
      </c>
      <c r="B206" s="438" t="s">
        <v>376</v>
      </c>
      <c r="C206" s="429" t="str">
        <f>VLOOKUP(B206,正厂竞争者数据汇总!D:H,2,FALSE)</f>
        <v>无完整目录，category下放的PD</v>
      </c>
      <c r="D206" s="421" t="str">
        <f>VLOOKUP(B206,正厂竞争者数据汇总!D:H,3,FALSE)</f>
        <v>NY</v>
      </c>
      <c r="E206" s="430">
        <f>VLOOKUP(B206,正厂竞争者数据汇总!D:H,4,FALSE)</f>
        <v>0</v>
      </c>
      <c r="F206" s="430">
        <v>2571.08125</v>
      </c>
      <c r="G206" s="430">
        <v>38329.6666666667</v>
      </c>
      <c r="H206" s="430">
        <v>273198.083333333</v>
      </c>
      <c r="I206" s="453"/>
      <c r="J206" s="451">
        <v>0.0128087745251284</v>
      </c>
      <c r="K206" s="451">
        <v>0.0164898021058672</v>
      </c>
      <c r="L206" s="451">
        <v>0.0341383046173764</v>
      </c>
      <c r="M206" s="451" t="e">
        <f>J206-#REF!</f>
        <v>#REF!</v>
      </c>
      <c r="N206" s="459"/>
      <c r="O206" s="430"/>
      <c r="P206" s="531" t="str">
        <f>VLOOKUP(B206,正厂竞争者数据汇总!D:M,6,FALSE)</f>
        <v>同时经营Audi，BMW、Dodge、Jaguar、Land Rover、Mercedes-Benz、Mini、Porsche、Saab、Volkswagen、Volvo。折算比例：Audi：30.3%，MB：69.7%</v>
      </c>
      <c r="Q206" s="429" t="s">
        <v>180</v>
      </c>
      <c r="R206" s="421" t="s">
        <v>180</v>
      </c>
      <c r="S206" s="473">
        <v>23948</v>
      </c>
      <c r="T206" s="473">
        <v>1548</v>
      </c>
      <c r="U206" s="466"/>
      <c r="V206" s="466"/>
      <c r="W206" s="421"/>
      <c r="X206" s="421"/>
      <c r="Y206" s="200" t="s">
        <v>376</v>
      </c>
      <c r="Z206" s="200">
        <v>23721</v>
      </c>
      <c r="AA206" s="200">
        <v>1471</v>
      </c>
      <c r="AB206" s="410">
        <f t="shared" si="9"/>
        <v>1</v>
      </c>
      <c r="AC206" s="409">
        <f t="shared" si="10"/>
        <v>23721</v>
      </c>
      <c r="AD206" s="409">
        <f t="shared" si="11"/>
        <v>1471</v>
      </c>
      <c r="AF206" s="540"/>
      <c r="AG206" s="410"/>
      <c r="AH206"/>
      <c r="AI206"/>
    </row>
    <row r="207" s="410" customFormat="1" spans="1:35">
      <c r="A207" s="432"/>
      <c r="B207" s="435"/>
      <c r="C207" s="429"/>
      <c r="D207" s="421"/>
      <c r="E207" s="430"/>
      <c r="F207" s="436"/>
      <c r="G207" s="436">
        <v>335229.333333333</v>
      </c>
      <c r="H207" s="436"/>
      <c r="I207" s="453"/>
      <c r="J207" s="457"/>
      <c r="K207" s="457"/>
      <c r="L207" s="457"/>
      <c r="M207" s="451"/>
      <c r="N207" s="455"/>
      <c r="O207" s="436"/>
      <c r="P207" s="531"/>
      <c r="Q207" s="434"/>
      <c r="R207" s="435"/>
      <c r="S207" s="473" t="s">
        <v>180</v>
      </c>
      <c r="T207" s="473" t="s">
        <v>180</v>
      </c>
      <c r="U207" s="466"/>
      <c r="V207" s="466"/>
      <c r="W207" s="435"/>
      <c r="X207" s="435"/>
      <c r="Y207" s="200" t="s">
        <v>240</v>
      </c>
      <c r="Z207" s="200" t="s">
        <v>180</v>
      </c>
      <c r="AA207" s="200" t="s">
        <v>180</v>
      </c>
      <c r="AB207" s="410">
        <f t="shared" si="9"/>
        <v>0</v>
      </c>
      <c r="AC207" s="409" t="str">
        <f t="shared" si="10"/>
        <v/>
      </c>
      <c r="AD207" s="409" t="str">
        <f t="shared" si="11"/>
        <v/>
      </c>
      <c r="AF207" s="540"/>
      <c r="AH207"/>
      <c r="AI207"/>
    </row>
    <row r="208" s="408" customFormat="1" spans="1:35">
      <c r="A208" s="428"/>
      <c r="B208" s="421"/>
      <c r="C208" s="439"/>
      <c r="D208" s="421"/>
      <c r="E208" s="421"/>
      <c r="F208" s="496">
        <v>200728.121566667</v>
      </c>
      <c r="G208" s="496"/>
      <c r="H208" s="496">
        <v>377262.166666666</v>
      </c>
      <c r="I208" s="453" t="e">
        <v>#DIV/0!</v>
      </c>
      <c r="J208" s="430"/>
      <c r="K208" s="430"/>
      <c r="L208" s="430"/>
      <c r="M208" s="451"/>
      <c r="N208" s="459"/>
      <c r="O208" s="430"/>
      <c r="P208" s="531"/>
      <c r="Q208" s="429"/>
      <c r="R208" s="421"/>
      <c r="S208" s="473" t="s">
        <v>180</v>
      </c>
      <c r="T208" s="473" t="s">
        <v>180</v>
      </c>
      <c r="U208" s="466"/>
      <c r="V208" s="466"/>
      <c r="W208" s="421"/>
      <c r="X208" s="421"/>
      <c r="Y208" s="200" t="s">
        <v>240</v>
      </c>
      <c r="Z208" s="200" t="s">
        <v>180</v>
      </c>
      <c r="AA208" s="200" t="s">
        <v>180</v>
      </c>
      <c r="AB208" s="410">
        <f t="shared" si="9"/>
        <v>0</v>
      </c>
      <c r="AC208" s="409" t="str">
        <f t="shared" si="10"/>
        <v/>
      </c>
      <c r="AD208" s="409" t="str">
        <f t="shared" si="11"/>
        <v/>
      </c>
      <c r="AF208" s="540"/>
      <c r="AG208" s="410"/>
      <c r="AH208"/>
      <c r="AI208"/>
    </row>
    <row r="209" s="408" customFormat="1" spans="1:35">
      <c r="A209" s="428"/>
      <c r="B209" s="421"/>
      <c r="C209" s="439"/>
      <c r="D209" s="421"/>
      <c r="E209" s="421"/>
      <c r="F209" s="496"/>
      <c r="G209" s="496"/>
      <c r="H209" s="496"/>
      <c r="I209" s="453"/>
      <c r="J209" s="430"/>
      <c r="K209" s="430"/>
      <c r="L209" s="430"/>
      <c r="M209" s="451"/>
      <c r="N209" s="459"/>
      <c r="O209" s="430"/>
      <c r="P209" s="531"/>
      <c r="Q209" s="429"/>
      <c r="R209" s="421"/>
      <c r="S209" s="473" t="s">
        <v>180</v>
      </c>
      <c r="T209" s="473" t="s">
        <v>180</v>
      </c>
      <c r="U209" s="466"/>
      <c r="V209" s="466"/>
      <c r="W209" s="421"/>
      <c r="X209" s="421"/>
      <c r="Y209" s="200" t="s">
        <v>240</v>
      </c>
      <c r="Z209" s="200" t="s">
        <v>180</v>
      </c>
      <c r="AA209" s="200" t="s">
        <v>180</v>
      </c>
      <c r="AB209" s="410">
        <f t="shared" si="9"/>
        <v>0</v>
      </c>
      <c r="AC209" s="409" t="str">
        <f t="shared" si="10"/>
        <v/>
      </c>
      <c r="AD209" s="409" t="str">
        <f t="shared" si="11"/>
        <v/>
      </c>
      <c r="AF209" s="540"/>
      <c r="AG209" s="410"/>
      <c r="AH209"/>
      <c r="AI209"/>
    </row>
    <row r="210" s="408" customFormat="1" ht="17.4" spans="1:35">
      <c r="A210" s="418" t="s">
        <v>191</v>
      </c>
      <c r="B210" s="419"/>
      <c r="C210" s="420"/>
      <c r="D210" s="421"/>
      <c r="E210" s="422" t="s">
        <v>202</v>
      </c>
      <c r="F210" s="422"/>
      <c r="G210" s="422" t="s">
        <v>213</v>
      </c>
      <c r="H210" s="422"/>
      <c r="I210" s="422"/>
      <c r="J210" s="422"/>
      <c r="K210" s="422"/>
      <c r="L210" s="422"/>
      <c r="M210" s="443"/>
      <c r="N210" s="422"/>
      <c r="O210" s="422"/>
      <c r="P210" s="531"/>
      <c r="Q210" s="465"/>
      <c r="R210" s="424"/>
      <c r="S210" s="473" t="s">
        <v>180</v>
      </c>
      <c r="T210" s="473" t="s">
        <v>180</v>
      </c>
      <c r="U210" s="467"/>
      <c r="V210" s="467"/>
      <c r="W210" s="467"/>
      <c r="X210" s="467"/>
      <c r="Y210" s="200" t="s">
        <v>240</v>
      </c>
      <c r="Z210" s="200" t="s">
        <v>180</v>
      </c>
      <c r="AA210" s="200" t="s">
        <v>180</v>
      </c>
      <c r="AB210" s="410">
        <f t="shared" si="9"/>
        <v>0</v>
      </c>
      <c r="AC210" s="409" t="str">
        <f t="shared" si="10"/>
        <v/>
      </c>
      <c r="AD210" s="409" t="str">
        <f t="shared" si="11"/>
        <v/>
      </c>
      <c r="AF210" s="540"/>
      <c r="AG210" s="410"/>
      <c r="AH210"/>
      <c r="AI210"/>
    </row>
    <row r="211" s="409" customFormat="1" ht="46.8" spans="1:35">
      <c r="A211" s="423" t="s">
        <v>206</v>
      </c>
      <c r="B211" s="424" t="s">
        <v>207</v>
      </c>
      <c r="C211" s="425" t="s">
        <v>208</v>
      </c>
      <c r="D211" s="424" t="s">
        <v>209</v>
      </c>
      <c r="E211" s="426" t="s">
        <v>210</v>
      </c>
      <c r="F211" s="427" t="s">
        <v>213</v>
      </c>
      <c r="G211" s="427">
        <v>116448.583333333</v>
      </c>
      <c r="H211" s="427" t="s">
        <v>213</v>
      </c>
      <c r="I211" s="427" t="s">
        <v>386</v>
      </c>
      <c r="J211" s="446" t="s">
        <v>217</v>
      </c>
      <c r="K211" s="446" t="s">
        <v>387</v>
      </c>
      <c r="L211" s="446" t="s">
        <v>390</v>
      </c>
      <c r="M211" s="447" t="s">
        <v>218</v>
      </c>
      <c r="N211" s="448" t="s">
        <v>219</v>
      </c>
      <c r="O211" s="449" t="s">
        <v>220</v>
      </c>
      <c r="P211" s="530" t="s">
        <v>221</v>
      </c>
      <c r="Q211" s="469" t="s">
        <v>222</v>
      </c>
      <c r="R211" s="426" t="s">
        <v>223</v>
      </c>
      <c r="S211" s="470" t="s">
        <v>224</v>
      </c>
      <c r="T211" s="470" t="s">
        <v>205</v>
      </c>
      <c r="U211" s="467" t="s">
        <v>225</v>
      </c>
      <c r="V211" s="470" t="s">
        <v>226</v>
      </c>
      <c r="W211" s="467"/>
      <c r="X211" s="467"/>
      <c r="Y211" s="200" t="s">
        <v>207</v>
      </c>
      <c r="Z211" s="200" t="s">
        <v>180</v>
      </c>
      <c r="AA211" s="200" t="s">
        <v>180</v>
      </c>
      <c r="AB211" s="410">
        <f t="shared" si="9"/>
        <v>1</v>
      </c>
      <c r="AC211" s="409" t="str">
        <f t="shared" si="10"/>
        <v>Forum Link</v>
      </c>
      <c r="AD211" s="409" t="str">
        <f t="shared" si="11"/>
        <v>Domains</v>
      </c>
      <c r="AF211" s="540"/>
      <c r="AG211" s="410"/>
      <c r="AH211"/>
      <c r="AI211"/>
    </row>
    <row r="212" s="408" customFormat="1" spans="1:35">
      <c r="A212" s="428" t="s">
        <v>325</v>
      </c>
      <c r="B212" s="421" t="s">
        <v>357</v>
      </c>
      <c r="C212" s="429" t="str">
        <f>VLOOKUP(B212,正厂竞争者数据汇总!D:H,2,FALSE)</f>
        <v>原厂目录</v>
      </c>
      <c r="D212" s="421" t="str">
        <f>VLOOKUP(B212,正厂竞争者数据汇总!D:H,3,FALSE)</f>
        <v>IL</v>
      </c>
      <c r="E212" s="430">
        <f>VLOOKUP(B212,正厂竞争者数据汇总!D:H,4,FALSE)</f>
        <v>0</v>
      </c>
      <c r="F212" s="430">
        <v>106461.89</v>
      </c>
      <c r="G212" s="430">
        <v>0</v>
      </c>
      <c r="H212" s="430">
        <v>99768.6666666667</v>
      </c>
      <c r="I212" s="453" t="e">
        <v>#DIV/0!</v>
      </c>
      <c r="J212" s="451">
        <v>0.561884070855872</v>
      </c>
      <c r="K212" s="451">
        <v>0.46564998899695</v>
      </c>
      <c r="L212" s="451">
        <v>0.487665740398558</v>
      </c>
      <c r="M212" s="451" t="e">
        <f>J212-#REF!</f>
        <v>#REF!</v>
      </c>
      <c r="N212" s="459"/>
      <c r="O212" s="430"/>
      <c r="P212" s="531">
        <f>VLOOKUP(B212,正厂竞争者数据汇总!D:M,6,FALSE)</f>
        <v>0</v>
      </c>
      <c r="Q212" s="429" t="s">
        <v>180</v>
      </c>
      <c r="R212" s="421" t="s">
        <v>180</v>
      </c>
      <c r="S212" s="473">
        <v>29399</v>
      </c>
      <c r="T212" s="473">
        <v>2397</v>
      </c>
      <c r="U212" s="466"/>
      <c r="V212" s="466"/>
      <c r="W212" s="421"/>
      <c r="X212" s="421"/>
      <c r="Y212" s="200" t="s">
        <v>357</v>
      </c>
      <c r="Z212" s="200">
        <v>28892</v>
      </c>
      <c r="AA212" s="200">
        <v>2244</v>
      </c>
      <c r="AB212" s="410">
        <f t="shared" si="9"/>
        <v>1</v>
      </c>
      <c r="AC212" s="409">
        <f t="shared" si="10"/>
        <v>28892</v>
      </c>
      <c r="AD212" s="409">
        <f t="shared" si="11"/>
        <v>2244</v>
      </c>
      <c r="AF212" s="540"/>
      <c r="AG212" s="410"/>
      <c r="AH212"/>
      <c r="AI212"/>
    </row>
    <row r="213" s="408" customFormat="1" spans="1:35">
      <c r="A213" s="428" t="s">
        <v>230</v>
      </c>
      <c r="B213" s="421" t="s">
        <v>364</v>
      </c>
      <c r="C213" s="429" t="str">
        <f>VLOOKUP(B213,正厂竞争者数据汇总!D:H,2,FALSE)</f>
        <v>Motor目录</v>
      </c>
      <c r="D213" s="421" t="str">
        <f>VLOOKUP(B213,正厂竞争者数据汇总!D:H,3,FALSE)</f>
        <v>TX</v>
      </c>
      <c r="E213" s="430"/>
      <c r="F213" s="430">
        <v>27841.6420666667</v>
      </c>
      <c r="G213" s="430"/>
      <c r="H213" s="430"/>
      <c r="I213" s="453"/>
      <c r="J213" s="451">
        <v>0.146942489784192</v>
      </c>
      <c r="K213" s="451">
        <v>0.189843036800623</v>
      </c>
      <c r="L213" s="451">
        <v>0.186142807802793</v>
      </c>
      <c r="M213" s="451"/>
      <c r="N213" s="459"/>
      <c r="O213" s="430"/>
      <c r="P213" s="531" t="str">
        <f>VLOOKUP(B213,正厂竞争者数据汇总!D:M,6,FALSE)</f>
        <v>2023年9月新增，202402导流到myswedishparts.com</v>
      </c>
      <c r="Q213" s="429"/>
      <c r="R213" s="421"/>
      <c r="S213" s="473">
        <v>1779</v>
      </c>
      <c r="T213" s="473">
        <v>296</v>
      </c>
      <c r="U213" s="466"/>
      <c r="V213" s="466"/>
      <c r="W213" s="421"/>
      <c r="X213" s="421"/>
      <c r="Y213" s="200" t="s">
        <v>364</v>
      </c>
      <c r="Z213" s="200">
        <v>1813</v>
      </c>
      <c r="AA213" s="200">
        <v>302</v>
      </c>
      <c r="AB213" s="410">
        <f t="shared" si="9"/>
        <v>1</v>
      </c>
      <c r="AC213" s="409">
        <f t="shared" si="10"/>
        <v>1813</v>
      </c>
      <c r="AD213" s="409">
        <f t="shared" si="11"/>
        <v>302</v>
      </c>
      <c r="AF213" s="540"/>
      <c r="AG213" s="410"/>
      <c r="AH213"/>
      <c r="AI213"/>
    </row>
    <row r="214" s="408" customFormat="1" spans="1:35">
      <c r="A214" s="428" t="s">
        <v>230</v>
      </c>
      <c r="B214" s="421" t="s">
        <v>358</v>
      </c>
      <c r="C214" s="429" t="str">
        <f>VLOOKUP(B214,正厂竞争者数据汇总!D:H,2,FALSE)</f>
        <v>Motor目录</v>
      </c>
      <c r="D214" s="421" t="str">
        <f>VLOOKUP(B214,正厂竞争者数据汇总!D:H,3,FALSE)</f>
        <v>CT</v>
      </c>
      <c r="E214" s="430"/>
      <c r="F214" s="430">
        <v>27462.9133333333</v>
      </c>
      <c r="G214" s="430"/>
      <c r="H214" s="430"/>
      <c r="I214" s="453"/>
      <c r="J214" s="451">
        <v>0.144943637026314</v>
      </c>
      <c r="K214" s="451">
        <v>0.139246377056604</v>
      </c>
      <c r="L214" s="451">
        <v>0.0821453629474613</v>
      </c>
      <c r="M214" s="451"/>
      <c r="N214" s="459"/>
      <c r="O214" s="430"/>
      <c r="P214" s="531" t="str">
        <f>VLOOKUP(B214,正厂竞争者数据汇总!D:M,6,FALSE)</f>
        <v>2023年9月新增</v>
      </c>
      <c r="Q214" s="429"/>
      <c r="R214" s="421"/>
      <c r="S214" s="473">
        <v>452</v>
      </c>
      <c r="T214" s="473">
        <v>104</v>
      </c>
      <c r="U214" s="466"/>
      <c r="V214" s="466"/>
      <c r="W214" s="421"/>
      <c r="X214" s="421"/>
      <c r="Y214" s="200" t="s">
        <v>358</v>
      </c>
      <c r="Z214" s="200">
        <v>449</v>
      </c>
      <c r="AA214" s="200">
        <v>99</v>
      </c>
      <c r="AB214" s="410">
        <f t="shared" si="9"/>
        <v>1</v>
      </c>
      <c r="AC214" s="409">
        <f t="shared" si="10"/>
        <v>449</v>
      </c>
      <c r="AD214" s="409">
        <f t="shared" si="11"/>
        <v>99</v>
      </c>
      <c r="AF214" s="540"/>
      <c r="AG214" s="410"/>
      <c r="AH214"/>
      <c r="AI214"/>
    </row>
    <row r="215" s="408" customFormat="1" spans="1:35">
      <c r="A215" s="428" t="s">
        <v>325</v>
      </c>
      <c r="B215" s="421" t="s">
        <v>362</v>
      </c>
      <c r="C215" s="429" t="str">
        <f>VLOOKUP(B215,正厂竞争者数据汇总!D:H,2,FALSE)</f>
        <v>原厂目录</v>
      </c>
      <c r="D215" s="421" t="str">
        <f>VLOOKUP(B215,正厂竞争者数据汇总!D:H,3,FALSE)</f>
        <v>CA</v>
      </c>
      <c r="E215" s="430"/>
      <c r="F215" s="430">
        <v>11070.1066666667</v>
      </c>
      <c r="G215" s="430"/>
      <c r="H215" s="430"/>
      <c r="I215" s="453"/>
      <c r="J215" s="451">
        <v>0.0584257577868983</v>
      </c>
      <c r="K215" s="451">
        <v>0.0785013023808006</v>
      </c>
      <c r="L215" s="451">
        <v>0.0950976480505117</v>
      </c>
      <c r="M215" s="451"/>
      <c r="N215" s="459"/>
      <c r="O215" s="430"/>
      <c r="P215" s="531">
        <f>VLOOKUP(B215,正厂竞争者数据汇总!D:M,6,FALSE)</f>
        <v>0</v>
      </c>
      <c r="Q215" s="429"/>
      <c r="R215" s="421"/>
      <c r="S215" s="473">
        <v>677</v>
      </c>
      <c r="T215" s="473">
        <v>171</v>
      </c>
      <c r="U215" s="466"/>
      <c r="V215" s="466"/>
      <c r="W215" s="421"/>
      <c r="X215" s="421"/>
      <c r="Y215" s="200" t="s">
        <v>362</v>
      </c>
      <c r="Z215" s="200">
        <v>687</v>
      </c>
      <c r="AA215" s="200">
        <v>173</v>
      </c>
      <c r="AB215" s="410">
        <f t="shared" si="9"/>
        <v>1</v>
      </c>
      <c r="AC215" s="409">
        <f t="shared" si="10"/>
        <v>687</v>
      </c>
      <c r="AD215" s="409">
        <f t="shared" si="11"/>
        <v>173</v>
      </c>
      <c r="AF215" s="540"/>
      <c r="AG215" s="410"/>
      <c r="AH215"/>
      <c r="AI215"/>
    </row>
    <row r="216" s="408" customFormat="1" spans="1:35">
      <c r="A216" s="428" t="s">
        <v>230</v>
      </c>
      <c r="B216" s="421" t="s">
        <v>359</v>
      </c>
      <c r="C216" s="429" t="str">
        <f>VLOOKUP(B216,正厂竞争者数据汇总!D:H,2,FALSE)</f>
        <v>Motor目录</v>
      </c>
      <c r="D216" s="421" t="str">
        <f>VLOOKUP(B216,正厂竞争者数据汇总!D:H,3,FALSE)</f>
        <v>NY</v>
      </c>
      <c r="E216" s="430"/>
      <c r="F216" s="430">
        <v>9493.58366666667</v>
      </c>
      <c r="G216" s="430"/>
      <c r="H216" s="430"/>
      <c r="I216" s="453"/>
      <c r="J216" s="451">
        <v>0.0501051919859537</v>
      </c>
      <c r="K216" s="451">
        <v>0.0698118601782794</v>
      </c>
      <c r="L216" s="451">
        <v>0.0681311794102495</v>
      </c>
      <c r="M216" s="451"/>
      <c r="N216" s="459"/>
      <c r="O216" s="430"/>
      <c r="P216" s="531" t="str">
        <f>VLOOKUP(B216,正厂竞争者数据汇总!D:M,6,FALSE)</f>
        <v>2023年9月新增</v>
      </c>
      <c r="Q216" s="429"/>
      <c r="R216" s="421"/>
      <c r="S216" s="473">
        <v>348</v>
      </c>
      <c r="T216" s="473">
        <v>113</v>
      </c>
      <c r="U216" s="466"/>
      <c r="V216" s="466"/>
      <c r="W216" s="421"/>
      <c r="X216" s="421"/>
      <c r="Y216" s="200" t="s">
        <v>359</v>
      </c>
      <c r="Z216" s="200">
        <v>356</v>
      </c>
      <c r="AA216" s="200">
        <v>114</v>
      </c>
      <c r="AB216" s="410">
        <f t="shared" si="9"/>
        <v>1</v>
      </c>
      <c r="AC216" s="409">
        <f t="shared" si="10"/>
        <v>356</v>
      </c>
      <c r="AD216" s="409">
        <f t="shared" si="11"/>
        <v>114</v>
      </c>
      <c r="AF216" s="540"/>
      <c r="AG216" s="410"/>
      <c r="AH216"/>
      <c r="AI216"/>
    </row>
    <row r="217" s="408" customFormat="1" spans="1:35">
      <c r="A217" s="428" t="s">
        <v>325</v>
      </c>
      <c r="B217" s="421" t="s">
        <v>363</v>
      </c>
      <c r="C217" s="429" t="str">
        <f>VLOOKUP(B217,正厂竞争者数据汇总!D:H,2,FALSE)</f>
        <v>原厂目录</v>
      </c>
      <c r="D217" s="421" t="str">
        <f>VLOOKUP(B217,正厂竞争者数据汇总!D:H,3,FALSE)</f>
        <v>MD</v>
      </c>
      <c r="E217" s="430"/>
      <c r="F217" s="430">
        <v>7142.91666666667</v>
      </c>
      <c r="G217" s="430"/>
      <c r="H217" s="430"/>
      <c r="I217" s="453"/>
      <c r="J217" s="451">
        <v>0.0376988525607701</v>
      </c>
      <c r="K217" s="451">
        <v>0.0569474345867428</v>
      </c>
      <c r="L217" s="451">
        <v>0.080817261390427</v>
      </c>
      <c r="M217" s="451"/>
      <c r="N217" s="459"/>
      <c r="O217" s="430"/>
      <c r="P217" s="531"/>
      <c r="Q217" s="429"/>
      <c r="R217" s="421"/>
      <c r="S217" s="473">
        <v>142</v>
      </c>
      <c r="T217" s="473">
        <v>38</v>
      </c>
      <c r="U217" s="466"/>
      <c r="V217" s="466"/>
      <c r="W217" s="421"/>
      <c r="X217" s="421"/>
      <c r="Y217" s="200" t="s">
        <v>363</v>
      </c>
      <c r="Z217" s="200">
        <v>147</v>
      </c>
      <c r="AA217" s="200">
        <v>41</v>
      </c>
      <c r="AB217" s="410">
        <f t="shared" si="9"/>
        <v>1</v>
      </c>
      <c r="AC217" s="409">
        <f t="shared" si="10"/>
        <v>147</v>
      </c>
      <c r="AD217" s="409">
        <f t="shared" si="11"/>
        <v>41</v>
      </c>
      <c r="AF217" s="540"/>
      <c r="AG217" s="410"/>
      <c r="AH217"/>
      <c r="AI217"/>
    </row>
    <row r="218" s="408" customFormat="1" spans="1:35">
      <c r="A218" s="428"/>
      <c r="B218" s="438"/>
      <c r="C218" s="429"/>
      <c r="D218" s="421"/>
      <c r="E218" s="430"/>
      <c r="F218" s="430"/>
      <c r="G218" s="430">
        <v>131075.583333333</v>
      </c>
      <c r="H218" s="430"/>
      <c r="I218" s="453"/>
      <c r="J218" s="451"/>
      <c r="K218" s="451"/>
      <c r="L218" s="451"/>
      <c r="M218" s="451"/>
      <c r="N218" s="459"/>
      <c r="O218" s="430"/>
      <c r="P218" s="531"/>
      <c r="Q218" s="429"/>
      <c r="R218" s="421"/>
      <c r="S218" s="473" t="s">
        <v>180</v>
      </c>
      <c r="T218" s="473" t="s">
        <v>180</v>
      </c>
      <c r="U218" s="466"/>
      <c r="V218" s="466"/>
      <c r="W218" s="421"/>
      <c r="X218" s="421"/>
      <c r="Y218" s="200" t="s">
        <v>240</v>
      </c>
      <c r="Z218" s="200" t="s">
        <v>180</v>
      </c>
      <c r="AA218" s="200" t="s">
        <v>180</v>
      </c>
      <c r="AB218" s="410">
        <f t="shared" si="9"/>
        <v>0</v>
      </c>
      <c r="AC218" s="409" t="str">
        <f t="shared" si="10"/>
        <v/>
      </c>
      <c r="AD218" s="409" t="str">
        <f t="shared" si="11"/>
        <v/>
      </c>
      <c r="AF218" s="540"/>
      <c r="AG218" s="410"/>
      <c r="AH218"/>
      <c r="AI218"/>
    </row>
    <row r="219" s="408" customFormat="1" spans="1:35">
      <c r="A219" s="428"/>
      <c r="B219" s="421"/>
      <c r="C219" s="439"/>
      <c r="D219" s="421"/>
      <c r="E219" s="421"/>
      <c r="F219" s="496">
        <v>189473.0524</v>
      </c>
      <c r="G219" s="496"/>
      <c r="H219" s="496">
        <v>117816.916666667</v>
      </c>
      <c r="I219" s="453" t="e">
        <v>#DIV/0!</v>
      </c>
      <c r="J219" s="430"/>
      <c r="K219" s="430"/>
      <c r="L219" s="430"/>
      <c r="M219" s="451"/>
      <c r="N219" s="459"/>
      <c r="O219" s="430"/>
      <c r="P219" s="531"/>
      <c r="Q219" s="429"/>
      <c r="R219" s="421"/>
      <c r="S219" s="473" t="s">
        <v>180</v>
      </c>
      <c r="T219" s="473" t="s">
        <v>180</v>
      </c>
      <c r="U219" s="466"/>
      <c r="V219" s="466"/>
      <c r="W219" s="421"/>
      <c r="X219" s="421"/>
      <c r="Y219" s="200" t="s">
        <v>240</v>
      </c>
      <c r="Z219" s="200" t="s">
        <v>180</v>
      </c>
      <c r="AA219" s="200" t="s">
        <v>180</v>
      </c>
      <c r="AB219" s="410">
        <f t="shared" si="9"/>
        <v>0</v>
      </c>
      <c r="AC219" s="409" t="str">
        <f t="shared" si="10"/>
        <v/>
      </c>
      <c r="AD219" s="409" t="str">
        <f t="shared" si="11"/>
        <v/>
      </c>
      <c r="AF219" s="540"/>
      <c r="AG219" s="410"/>
      <c r="AH219"/>
      <c r="AI219"/>
    </row>
    <row r="220" s="408" customFormat="1" spans="1:35">
      <c r="A220" s="428"/>
      <c r="B220" s="438"/>
      <c r="C220" s="439"/>
      <c r="D220" s="421"/>
      <c r="E220" s="430"/>
      <c r="F220" s="430"/>
      <c r="G220" s="430"/>
      <c r="H220" s="430"/>
      <c r="I220" s="453"/>
      <c r="J220" s="430"/>
      <c r="K220" s="430"/>
      <c r="L220" s="430"/>
      <c r="M220" s="451"/>
      <c r="N220" s="459"/>
      <c r="O220" s="430"/>
      <c r="P220" s="531"/>
      <c r="Q220" s="429"/>
      <c r="R220" s="421"/>
      <c r="S220" s="473" t="s">
        <v>180</v>
      </c>
      <c r="T220" s="473" t="s">
        <v>180</v>
      </c>
      <c r="U220" s="466"/>
      <c r="V220" s="466"/>
      <c r="W220" s="421"/>
      <c r="X220" s="421"/>
      <c r="Y220" s="200" t="s">
        <v>240</v>
      </c>
      <c r="Z220" s="200" t="s">
        <v>180</v>
      </c>
      <c r="AA220" s="200" t="s">
        <v>180</v>
      </c>
      <c r="AB220" s="410">
        <f t="shared" si="9"/>
        <v>0</v>
      </c>
      <c r="AC220" s="409" t="str">
        <f t="shared" si="10"/>
        <v/>
      </c>
      <c r="AD220" s="409" t="str">
        <f t="shared" si="11"/>
        <v/>
      </c>
      <c r="AF220" s="540"/>
      <c r="AG220" s="410"/>
      <c r="AH220"/>
      <c r="AI220"/>
    </row>
    <row r="221" s="408" customFormat="1" ht="17.4" spans="1:35">
      <c r="A221" s="418" t="s">
        <v>195</v>
      </c>
      <c r="B221" s="419"/>
      <c r="C221" s="420"/>
      <c r="D221" s="421"/>
      <c r="E221" s="422" t="s">
        <v>202</v>
      </c>
      <c r="F221" s="422"/>
      <c r="G221" s="422" t="s">
        <v>213</v>
      </c>
      <c r="H221" s="422"/>
      <c r="I221" s="422"/>
      <c r="J221" s="422"/>
      <c r="K221" s="422"/>
      <c r="L221" s="422"/>
      <c r="M221" s="443"/>
      <c r="N221" s="444"/>
      <c r="O221" s="422"/>
      <c r="P221" s="531"/>
      <c r="Q221" s="465"/>
      <c r="R221" s="424"/>
      <c r="S221" s="473" t="s">
        <v>180</v>
      </c>
      <c r="T221" s="473" t="s">
        <v>180</v>
      </c>
      <c r="U221" s="467"/>
      <c r="V221" s="467"/>
      <c r="W221" s="467"/>
      <c r="X221" s="467"/>
      <c r="Y221" s="200" t="s">
        <v>240</v>
      </c>
      <c r="Z221" s="200" t="s">
        <v>180</v>
      </c>
      <c r="AA221" s="200" t="s">
        <v>180</v>
      </c>
      <c r="AB221" s="410">
        <f t="shared" si="9"/>
        <v>0</v>
      </c>
      <c r="AC221" s="409" t="str">
        <f t="shared" si="10"/>
        <v/>
      </c>
      <c r="AD221" s="409" t="str">
        <f t="shared" si="11"/>
        <v/>
      </c>
      <c r="AF221" s="540"/>
      <c r="AG221" s="410"/>
      <c r="AH221"/>
      <c r="AI221"/>
    </row>
    <row r="222" s="409" customFormat="1" ht="46.8" spans="1:35">
      <c r="A222" s="423" t="s">
        <v>206</v>
      </c>
      <c r="B222" s="424" t="s">
        <v>207</v>
      </c>
      <c r="C222" s="425" t="s">
        <v>208</v>
      </c>
      <c r="D222" s="424" t="s">
        <v>209</v>
      </c>
      <c r="E222" s="426" t="s">
        <v>210</v>
      </c>
      <c r="F222" s="427" t="s">
        <v>213</v>
      </c>
      <c r="G222" s="427">
        <v>116448.583333333</v>
      </c>
      <c r="H222" s="427" t="s">
        <v>213</v>
      </c>
      <c r="I222" s="427" t="s">
        <v>386</v>
      </c>
      <c r="J222" s="446" t="s">
        <v>217</v>
      </c>
      <c r="K222" s="446" t="s">
        <v>387</v>
      </c>
      <c r="L222" s="446" t="s">
        <v>390</v>
      </c>
      <c r="M222" s="447" t="s">
        <v>218</v>
      </c>
      <c r="N222" s="448" t="s">
        <v>219</v>
      </c>
      <c r="O222" s="449" t="s">
        <v>220</v>
      </c>
      <c r="P222" s="530" t="s">
        <v>221</v>
      </c>
      <c r="Q222" s="469" t="s">
        <v>222</v>
      </c>
      <c r="R222" s="426" t="s">
        <v>223</v>
      </c>
      <c r="S222" s="470" t="s">
        <v>224</v>
      </c>
      <c r="T222" s="470" t="s">
        <v>205</v>
      </c>
      <c r="U222" s="467" t="s">
        <v>225</v>
      </c>
      <c r="V222" s="470" t="s">
        <v>226</v>
      </c>
      <c r="W222" s="467"/>
      <c r="X222" s="467"/>
      <c r="Y222" s="200" t="s">
        <v>207</v>
      </c>
      <c r="Z222" s="200" t="s">
        <v>180</v>
      </c>
      <c r="AA222" s="200" t="s">
        <v>180</v>
      </c>
      <c r="AB222" s="410">
        <f t="shared" si="9"/>
        <v>1</v>
      </c>
      <c r="AC222" s="409" t="str">
        <f t="shared" si="10"/>
        <v>Forum Link</v>
      </c>
      <c r="AD222" s="409" t="str">
        <f t="shared" si="11"/>
        <v>Domains</v>
      </c>
      <c r="AF222" s="540"/>
      <c r="AG222" s="410"/>
      <c r="AH222"/>
      <c r="AI222"/>
    </row>
    <row r="223" s="408" customFormat="1" spans="1:35">
      <c r="A223" s="428" t="s">
        <v>230</v>
      </c>
      <c r="B223" s="421" t="s">
        <v>378</v>
      </c>
      <c r="C223" s="429" t="str">
        <f>VLOOKUP(B223,正厂竞争者数据汇总!D:H,2,FALSE)</f>
        <v>Motor目录</v>
      </c>
      <c r="D223" s="421" t="str">
        <f>VLOOKUP(B223,正厂竞争者数据汇总!D:H,3,FALSE)</f>
        <v>FL</v>
      </c>
      <c r="E223" s="430" t="str">
        <f>VLOOKUP(B222,正厂竞争者数据汇总!D:H,4,FALSE)</f>
        <v>Alexa Traffic Rank</v>
      </c>
      <c r="F223" s="430">
        <v>71861.1948333333</v>
      </c>
      <c r="G223" s="430">
        <v>0</v>
      </c>
      <c r="H223" s="430">
        <v>88546.8333333332</v>
      </c>
      <c r="I223" s="453" t="e">
        <v>#DIV/0!</v>
      </c>
      <c r="J223" s="451">
        <v>0.464650723685497</v>
      </c>
      <c r="K223" s="451">
        <v>0.467170457517459</v>
      </c>
      <c r="L223" s="451">
        <v>0.433392946945439</v>
      </c>
      <c r="M223" s="451">
        <f>J223-K224</f>
        <v>0.308526494492744</v>
      </c>
      <c r="N223" s="459"/>
      <c r="O223" s="430"/>
      <c r="P223" s="531">
        <f>VLOOKUP(B223,正厂竞争者数据汇总!D:M,6,FALSE)</f>
        <v>0</v>
      </c>
      <c r="Q223" s="429" t="s">
        <v>180</v>
      </c>
      <c r="R223" s="421" t="s">
        <v>180</v>
      </c>
      <c r="S223" s="473">
        <v>2138</v>
      </c>
      <c r="T223" s="473">
        <v>219</v>
      </c>
      <c r="U223" s="466"/>
      <c r="V223" s="466"/>
      <c r="W223" s="421"/>
      <c r="X223" s="421"/>
      <c r="Y223" s="200" t="s">
        <v>378</v>
      </c>
      <c r="Z223" s="200">
        <v>4811</v>
      </c>
      <c r="AA223" s="200">
        <v>246</v>
      </c>
      <c r="AB223" s="410">
        <f t="shared" si="9"/>
        <v>1</v>
      </c>
      <c r="AC223" s="409">
        <f t="shared" si="10"/>
        <v>4811</v>
      </c>
      <c r="AD223" s="409">
        <f t="shared" si="11"/>
        <v>246</v>
      </c>
      <c r="AF223" s="540"/>
      <c r="AG223" s="410"/>
      <c r="AH223"/>
      <c r="AI223"/>
    </row>
    <row r="224" s="408" customFormat="1" spans="1:35">
      <c r="A224" s="428" t="s">
        <v>230</v>
      </c>
      <c r="B224" s="421" t="s">
        <v>379</v>
      </c>
      <c r="C224" s="429" t="str">
        <f>VLOOKUP(B224,正厂竞争者数据汇总!D:H,2,FALSE)</f>
        <v>Motor目录</v>
      </c>
      <c r="D224" s="421" t="str">
        <f>VLOOKUP(B224,正厂竞争者数据汇总!D:H,3,FALSE)</f>
        <v>FL</v>
      </c>
      <c r="E224" s="430">
        <f>VLOOKUP(B226,正厂竞争者数据汇总!D:H,4,FALSE)</f>
        <v>0</v>
      </c>
      <c r="F224" s="430">
        <v>23772.415</v>
      </c>
      <c r="G224" s="430">
        <v>4</v>
      </c>
      <c r="H224" s="430">
        <v>88550.8333333332</v>
      </c>
      <c r="I224" s="453">
        <v>5942.10375</v>
      </c>
      <c r="J224" s="451">
        <v>0.15371119084675</v>
      </c>
      <c r="K224" s="451">
        <v>0.156124229192753</v>
      </c>
      <c r="L224" s="451">
        <v>0.145391818660855</v>
      </c>
      <c r="M224" s="451"/>
      <c r="N224" s="459"/>
      <c r="O224" s="430"/>
      <c r="P224" s="531" t="str">
        <f>VLOOKUP(B224,正厂竞争者数据汇总!D:M,6,FALSE)</f>
        <v>2023年9月新增</v>
      </c>
      <c r="Q224" s="429" t="s">
        <v>180</v>
      </c>
      <c r="R224" s="421" t="s">
        <v>180</v>
      </c>
      <c r="S224" s="473">
        <v>79952</v>
      </c>
      <c r="T224" s="473">
        <v>105</v>
      </c>
      <c r="U224" s="466"/>
      <c r="V224" s="466"/>
      <c r="W224" s="421"/>
      <c r="X224" s="421"/>
      <c r="Y224" s="200" t="s">
        <v>379</v>
      </c>
      <c r="Z224" s="200">
        <v>79039</v>
      </c>
      <c r="AA224" s="200">
        <v>128</v>
      </c>
      <c r="AB224" s="410">
        <f t="shared" si="9"/>
        <v>1</v>
      </c>
      <c r="AC224" s="409">
        <f t="shared" si="10"/>
        <v>79039</v>
      </c>
      <c r="AD224" s="409">
        <f t="shared" si="11"/>
        <v>128</v>
      </c>
      <c r="AF224" s="540"/>
      <c r="AG224" s="410"/>
      <c r="AH224"/>
      <c r="AI224"/>
    </row>
    <row r="225" s="408" customFormat="1" spans="1:35">
      <c r="A225" s="428" t="s">
        <v>230</v>
      </c>
      <c r="B225" s="421" t="s">
        <v>380</v>
      </c>
      <c r="C225" s="429" t="str">
        <f>VLOOKUP(B225,正厂竞争者数据汇总!D:H,2,FALSE)</f>
        <v>Motor目录</v>
      </c>
      <c r="D225" s="421" t="str">
        <f>VLOOKUP(B225,正厂竞争者数据汇总!D:H,3,FALSE)</f>
        <v>FL</v>
      </c>
      <c r="E225" s="430">
        <f>VLOOKUP(B223,正厂竞争者数据汇总!D:H,4,FALSE)</f>
        <v>0</v>
      </c>
      <c r="F225" s="430">
        <v>17262.2556333333</v>
      </c>
      <c r="G225" s="430">
        <v>1</v>
      </c>
      <c r="H225" s="430">
        <v>88547.8333333332</v>
      </c>
      <c r="I225" s="453">
        <v>17261.2556333333</v>
      </c>
      <c r="J225" s="451">
        <v>0.111616841204424</v>
      </c>
      <c r="K225" s="451">
        <v>0.119962687029154</v>
      </c>
      <c r="L225" s="451">
        <v>0.144133453114601</v>
      </c>
      <c r="M225" s="451"/>
      <c r="N225" s="459"/>
      <c r="O225" s="430"/>
      <c r="P225" s="531"/>
      <c r="Q225" s="429"/>
      <c r="R225" s="421"/>
      <c r="S225" s="473">
        <v>962</v>
      </c>
      <c r="T225" s="473">
        <v>184</v>
      </c>
      <c r="U225" s="466"/>
      <c r="V225" s="466"/>
      <c r="W225" s="421"/>
      <c r="X225" s="421"/>
      <c r="Y225" s="200" t="s">
        <v>380</v>
      </c>
      <c r="Z225" s="200">
        <v>974</v>
      </c>
      <c r="AA225" s="200">
        <v>209</v>
      </c>
      <c r="AB225" s="410">
        <f t="shared" si="9"/>
        <v>1</v>
      </c>
      <c r="AC225" s="409">
        <f t="shared" si="10"/>
        <v>974</v>
      </c>
      <c r="AD225" s="409">
        <f t="shared" si="11"/>
        <v>209</v>
      </c>
      <c r="AF225" s="540"/>
      <c r="AG225" s="410"/>
      <c r="AH225"/>
      <c r="AI225"/>
    </row>
    <row r="226" s="408" customFormat="1" spans="1:35">
      <c r="A226" s="428" t="s">
        <v>325</v>
      </c>
      <c r="B226" s="421" t="s">
        <v>383</v>
      </c>
      <c r="C226" s="429" t="str">
        <f>VLOOKUP(B226,正厂竞争者数据汇总!D:H,2,FALSE)</f>
        <v>Motor目录</v>
      </c>
      <c r="D226" s="421" t="str">
        <f>VLOOKUP(B226,正厂竞争者数据汇总!D:H,3,FALSE)</f>
        <v>CA</v>
      </c>
      <c r="E226" s="430">
        <f>VLOOKUP(B227,正厂竞争者数据汇总!D:H,4,FALSE)</f>
        <v>0</v>
      </c>
      <c r="F226" s="430">
        <v>16802.3743666667</v>
      </c>
      <c r="G226" s="430">
        <v>3</v>
      </c>
      <c r="H226" s="430">
        <v>88549.8333333332</v>
      </c>
      <c r="I226" s="453">
        <v>5599.79145555557</v>
      </c>
      <c r="J226" s="451">
        <v>0.108643273010051</v>
      </c>
      <c r="K226" s="451">
        <v>0.11030958633172</v>
      </c>
      <c r="L226" s="451">
        <v>0.101889326434778</v>
      </c>
      <c r="M226" s="451"/>
      <c r="N226" s="459"/>
      <c r="O226" s="430"/>
      <c r="P226" s="531"/>
      <c r="Q226" s="429"/>
      <c r="R226" s="421"/>
      <c r="S226" s="473">
        <v>258</v>
      </c>
      <c r="T226" s="473">
        <v>37</v>
      </c>
      <c r="U226" s="466"/>
      <c r="V226" s="466"/>
      <c r="W226" s="421"/>
      <c r="X226" s="421"/>
      <c r="Y226" s="200" t="s">
        <v>383</v>
      </c>
      <c r="Z226" s="200">
        <v>249</v>
      </c>
      <c r="AA226" s="200">
        <v>36</v>
      </c>
      <c r="AB226" s="410">
        <f t="shared" si="9"/>
        <v>1</v>
      </c>
      <c r="AC226" s="409">
        <f t="shared" si="10"/>
        <v>249</v>
      </c>
      <c r="AD226" s="409">
        <f t="shared" si="11"/>
        <v>36</v>
      </c>
      <c r="AF226" s="540"/>
      <c r="AG226" s="410"/>
      <c r="AH226"/>
      <c r="AI226"/>
    </row>
    <row r="227" s="408" customFormat="1" spans="1:35">
      <c r="A227" s="428" t="s">
        <v>230</v>
      </c>
      <c r="B227" s="421" t="s">
        <v>381</v>
      </c>
      <c r="C227" s="429" t="str">
        <f>VLOOKUP(B227,正厂竞争者数据汇总!D:H,2,FALSE)</f>
        <v>Motor目录</v>
      </c>
      <c r="D227" s="421" t="str">
        <f>VLOOKUP(B227,正厂竞争者数据汇总!D:H,3,FALSE)</f>
        <v>CA</v>
      </c>
      <c r="E227" s="430">
        <f>VLOOKUP(B225,正厂竞争者数据汇总!D:H,4,FALSE)</f>
        <v>0</v>
      </c>
      <c r="F227" s="430">
        <v>10755.8266666667</v>
      </c>
      <c r="G227" s="430">
        <v>2</v>
      </c>
      <c r="H227" s="430">
        <v>88548.8333333332</v>
      </c>
      <c r="I227" s="453">
        <v>5376.91333333335</v>
      </c>
      <c r="J227" s="451">
        <v>0.0695466121332042</v>
      </c>
      <c r="K227" s="451">
        <v>0.0686248359405083</v>
      </c>
      <c r="L227" s="451">
        <v>0.083444248703944</v>
      </c>
      <c r="M227" s="451"/>
      <c r="N227" s="459"/>
      <c r="O227" s="430"/>
      <c r="P227" s="531"/>
      <c r="Q227" s="429"/>
      <c r="R227" s="421"/>
      <c r="S227" s="473">
        <v>381</v>
      </c>
      <c r="T227" s="473">
        <v>82</v>
      </c>
      <c r="U227" s="466"/>
      <c r="V227" s="466"/>
      <c r="W227" s="421"/>
      <c r="X227" s="421"/>
      <c r="Y227" s="200" t="s">
        <v>381</v>
      </c>
      <c r="Z227" s="200">
        <v>342</v>
      </c>
      <c r="AA227" s="200">
        <v>78</v>
      </c>
      <c r="AB227" s="410">
        <f t="shared" ref="AB227:AB232" si="12">IF(B227=Y227,1,0)</f>
        <v>1</v>
      </c>
      <c r="AC227" s="409">
        <f t="shared" ref="AC227:AC232" si="13">IF(Y227="Competitors","Forum Link",Z227)</f>
        <v>342</v>
      </c>
      <c r="AD227" s="409">
        <f t="shared" ref="AD227:AD232" si="14">IF(Y227="Competitors","Domains",AA227)</f>
        <v>78</v>
      </c>
      <c r="AF227" s="540"/>
      <c r="AG227" s="410"/>
      <c r="AH227"/>
      <c r="AI227"/>
    </row>
    <row r="228" s="408" customFormat="1" spans="1:35">
      <c r="A228" s="428" t="s">
        <v>230</v>
      </c>
      <c r="B228" s="421" t="s">
        <v>382</v>
      </c>
      <c r="C228" s="429" t="str">
        <f>VLOOKUP(B228,正厂竞争者数据汇总!D:H,2,FALSE)</f>
        <v>Motor目录</v>
      </c>
      <c r="D228" s="421" t="str">
        <f>VLOOKUP(B228,正厂竞争者数据汇总!D:H,3,FALSE)</f>
        <v>NJ</v>
      </c>
      <c r="E228" s="430">
        <f>VLOOKUP(B224,正厂竞争者数据汇总!D:H,4,FALSE)</f>
        <v>0</v>
      </c>
      <c r="F228" s="430">
        <v>10431.596437</v>
      </c>
      <c r="G228" s="430">
        <v>5</v>
      </c>
      <c r="H228" s="430">
        <v>88551.8333333332</v>
      </c>
      <c r="I228" s="453">
        <v>2085.3192874</v>
      </c>
      <c r="J228" s="451">
        <v>0.0674501564424137</v>
      </c>
      <c r="K228" s="451">
        <v>0.0493398422133127</v>
      </c>
      <c r="L228" s="451">
        <v>0.0562604205450165</v>
      </c>
      <c r="M228" s="451"/>
      <c r="N228" s="459"/>
      <c r="O228" s="430"/>
      <c r="P228" s="531" t="str">
        <f>VLOOKUP(B228,正厂竞争者数据汇总!D:M,6,FALSE)</f>
        <v>2023年9月新增</v>
      </c>
      <c r="Q228" s="429" t="s">
        <v>180</v>
      </c>
      <c r="R228" s="421" t="s">
        <v>180</v>
      </c>
      <c r="S228" s="473">
        <v>160588</v>
      </c>
      <c r="T228" s="473">
        <v>223</v>
      </c>
      <c r="U228" s="466"/>
      <c r="V228" s="466"/>
      <c r="W228" s="421"/>
      <c r="X228" s="421"/>
      <c r="Y228" s="200" t="s">
        <v>382</v>
      </c>
      <c r="Z228" s="200">
        <v>145396</v>
      </c>
      <c r="AA228" s="200">
        <v>239</v>
      </c>
      <c r="AB228" s="410">
        <f t="shared" si="12"/>
        <v>1</v>
      </c>
      <c r="AC228" s="409">
        <f t="shared" si="13"/>
        <v>145396</v>
      </c>
      <c r="AD228" s="409">
        <f t="shared" si="14"/>
        <v>239</v>
      </c>
      <c r="AF228" s="540"/>
      <c r="AG228" s="410"/>
      <c r="AH228"/>
      <c r="AI228"/>
    </row>
    <row r="229" s="408" customFormat="1" spans="1:35">
      <c r="A229" s="428" t="s">
        <v>230</v>
      </c>
      <c r="B229" s="421" t="s">
        <v>384</v>
      </c>
      <c r="C229" s="255" t="s">
        <v>351</v>
      </c>
      <c r="D229" s="270" t="s">
        <v>49</v>
      </c>
      <c r="E229" s="430"/>
      <c r="F229" s="430">
        <v>3770.70833333333</v>
      </c>
      <c r="G229" s="430"/>
      <c r="H229" s="430"/>
      <c r="I229" s="453"/>
      <c r="J229" s="451">
        <v>0.0243812026776594</v>
      </c>
      <c r="K229" s="451">
        <v>0.0284683617750934</v>
      </c>
      <c r="L229" s="451">
        <v>0.0354877855953662</v>
      </c>
      <c r="M229" s="451"/>
      <c r="N229" s="459"/>
      <c r="O229" s="430"/>
      <c r="P229" s="531"/>
      <c r="Q229" s="429"/>
      <c r="R229" s="421"/>
      <c r="S229" s="473">
        <v>151</v>
      </c>
      <c r="T229" s="473">
        <v>67</v>
      </c>
      <c r="U229" s="466"/>
      <c r="V229" s="466"/>
      <c r="W229" s="421"/>
      <c r="X229" s="421"/>
      <c r="Y229" s="200" t="s">
        <v>384</v>
      </c>
      <c r="Z229" s="200">
        <v>150</v>
      </c>
      <c r="AA229" s="200">
        <v>66</v>
      </c>
      <c r="AB229" s="410">
        <f t="shared" si="12"/>
        <v>1</v>
      </c>
      <c r="AC229" s="409">
        <f t="shared" si="13"/>
        <v>150</v>
      </c>
      <c r="AD229" s="409">
        <f t="shared" si="14"/>
        <v>66</v>
      </c>
      <c r="AF229" s="540"/>
      <c r="AG229" s="410"/>
      <c r="AH229"/>
      <c r="AI229"/>
    </row>
    <row r="230" s="408" customFormat="1" spans="1:30">
      <c r="A230" s="428"/>
      <c r="B230" s="421"/>
      <c r="C230" s="429"/>
      <c r="D230" s="421"/>
      <c r="E230" s="430"/>
      <c r="F230" s="430"/>
      <c r="G230" s="430"/>
      <c r="H230" s="430"/>
      <c r="I230" s="453"/>
      <c r="J230" s="451"/>
      <c r="K230" s="451"/>
      <c r="L230" s="451"/>
      <c r="M230" s="451"/>
      <c r="N230" s="459"/>
      <c r="O230" s="430"/>
      <c r="P230" s="531"/>
      <c r="Q230" s="429"/>
      <c r="R230" s="421"/>
      <c r="S230" s="473" t="s">
        <v>180</v>
      </c>
      <c r="T230" s="473" t="s">
        <v>180</v>
      </c>
      <c r="U230" s="466"/>
      <c r="V230" s="466"/>
      <c r="W230" s="421"/>
      <c r="X230" s="421"/>
      <c r="Y230" s="200" t="s">
        <v>240</v>
      </c>
      <c r="Z230" s="200" t="s">
        <v>180</v>
      </c>
      <c r="AA230" s="200" t="s">
        <v>180</v>
      </c>
      <c r="AB230" s="410">
        <f t="shared" si="12"/>
        <v>0</v>
      </c>
      <c r="AC230" s="409" t="str">
        <f t="shared" si="13"/>
        <v/>
      </c>
      <c r="AD230" s="409" t="str">
        <f t="shared" si="14"/>
        <v/>
      </c>
    </row>
    <row r="231" s="408" customFormat="1" spans="1:30">
      <c r="A231" s="428"/>
      <c r="B231" s="421"/>
      <c r="C231" s="439"/>
      <c r="D231" s="421"/>
      <c r="E231" s="430"/>
      <c r="F231" s="430">
        <v>154656.371270333</v>
      </c>
      <c r="G231" s="430"/>
      <c r="H231" s="430">
        <v>88546.8333333332</v>
      </c>
      <c r="I231" s="453" t="e">
        <v>#DIV/0!</v>
      </c>
      <c r="J231" s="430"/>
      <c r="K231" s="430"/>
      <c r="L231" s="430"/>
      <c r="M231" s="451"/>
      <c r="N231" s="459"/>
      <c r="O231" s="430"/>
      <c r="P231" s="531"/>
      <c r="Q231" s="429"/>
      <c r="R231" s="421"/>
      <c r="S231" s="473" t="s">
        <v>180</v>
      </c>
      <c r="T231" s="473" t="s">
        <v>180</v>
      </c>
      <c r="U231" s="466"/>
      <c r="V231" s="466"/>
      <c r="W231" s="421"/>
      <c r="X231" s="421"/>
      <c r="Y231" s="200" t="s">
        <v>240</v>
      </c>
      <c r="Z231" s="200" t="s">
        <v>180</v>
      </c>
      <c r="AA231" s="200" t="s">
        <v>180</v>
      </c>
      <c r="AB231" s="410">
        <f t="shared" si="12"/>
        <v>0</v>
      </c>
      <c r="AC231" s="409" t="str">
        <f t="shared" si="13"/>
        <v/>
      </c>
      <c r="AD231" s="409" t="str">
        <f t="shared" si="14"/>
        <v/>
      </c>
    </row>
    <row r="232" s="408" customFormat="1" spans="1:30">
      <c r="A232" s="423"/>
      <c r="B232" s="421"/>
      <c r="C232" s="425"/>
      <c r="D232" s="421"/>
      <c r="E232" s="430"/>
      <c r="F232" s="430"/>
      <c r="G232" s="430"/>
      <c r="H232" s="430"/>
      <c r="I232" s="453"/>
      <c r="J232" s="430"/>
      <c r="K232" s="430"/>
      <c r="L232" s="430"/>
      <c r="M232" s="451"/>
      <c r="N232" s="459"/>
      <c r="O232" s="430"/>
      <c r="P232" s="531"/>
      <c r="Q232" s="429"/>
      <c r="R232" s="421"/>
      <c r="S232" s="473" t="s">
        <v>180</v>
      </c>
      <c r="T232" s="473" t="s">
        <v>180</v>
      </c>
      <c r="U232" s="466"/>
      <c r="V232" s="466"/>
      <c r="W232" s="421"/>
      <c r="X232" s="421"/>
      <c r="Y232" s="200" t="s">
        <v>240</v>
      </c>
      <c r="Z232" s="200" t="s">
        <v>180</v>
      </c>
      <c r="AA232" s="200" t="s">
        <v>180</v>
      </c>
      <c r="AB232" s="410">
        <f t="shared" si="12"/>
        <v>0</v>
      </c>
      <c r="AC232" s="409" t="str">
        <f t="shared" si="13"/>
        <v/>
      </c>
      <c r="AD232" s="409" t="str">
        <f t="shared" si="14"/>
        <v/>
      </c>
    </row>
    <row r="233" s="408" customFormat="1" spans="3:27">
      <c r="C233" s="411"/>
      <c r="F233" s="502"/>
      <c r="G233" s="502"/>
      <c r="H233" s="502"/>
      <c r="I233" s="502"/>
      <c r="J233" s="412"/>
      <c r="K233" s="412"/>
      <c r="L233" s="412"/>
      <c r="M233" s="413"/>
      <c r="N233" s="414"/>
      <c r="O233" s="412"/>
      <c r="P233" s="528"/>
      <c r="U233" s="416"/>
      <c r="V233" s="416"/>
      <c r="Y233" s="200"/>
      <c r="Z233" s="200" t="s">
        <v>180</v>
      </c>
      <c r="AA233" s="200" t="s">
        <v>180</v>
      </c>
    </row>
    <row r="234" s="408" customFormat="1" spans="3:27">
      <c r="C234" s="411"/>
      <c r="E234" s="412"/>
      <c r="F234" s="412"/>
      <c r="G234" s="412"/>
      <c r="H234" s="412"/>
      <c r="I234" s="412"/>
      <c r="J234" s="412"/>
      <c r="K234" s="412"/>
      <c r="L234" s="412"/>
      <c r="M234" s="413"/>
      <c r="N234" s="414"/>
      <c r="O234" s="412"/>
      <c r="U234" s="416"/>
      <c r="V234" s="416"/>
      <c r="Y234" s="200"/>
      <c r="Z234" s="200" t="s">
        <v>180</v>
      </c>
      <c r="AA234" s="200" t="s">
        <v>180</v>
      </c>
    </row>
    <row r="235" s="408" customFormat="1" spans="3:27">
      <c r="C235" s="411"/>
      <c r="F235" s="412"/>
      <c r="G235" s="412"/>
      <c r="H235" s="412"/>
      <c r="I235" s="412"/>
      <c r="J235" s="412"/>
      <c r="K235" s="412"/>
      <c r="L235" s="412"/>
      <c r="M235" s="413"/>
      <c r="N235" s="414"/>
      <c r="O235" s="412"/>
      <c r="P235" s="528"/>
      <c r="U235" s="416"/>
      <c r="V235" s="416"/>
      <c r="Y235" s="200"/>
      <c r="Z235" s="200" t="s">
        <v>180</v>
      </c>
      <c r="AA235" s="200" t="s">
        <v>180</v>
      </c>
    </row>
    <row r="236" s="408" customFormat="1" spans="3:27">
      <c r="C236" s="411"/>
      <c r="F236" s="412"/>
      <c r="G236" s="412"/>
      <c r="H236" s="412"/>
      <c r="I236" s="412"/>
      <c r="J236" s="412"/>
      <c r="K236" s="412"/>
      <c r="L236" s="412"/>
      <c r="M236" s="413"/>
      <c r="N236" s="414"/>
      <c r="O236" s="412"/>
      <c r="P236" s="528"/>
      <c r="U236" s="416"/>
      <c r="V236" s="416"/>
      <c r="Y236" s="200"/>
      <c r="Z236" s="200" t="s">
        <v>180</v>
      </c>
      <c r="AA236" s="200" t="s">
        <v>180</v>
      </c>
    </row>
    <row r="237" s="408" customFormat="1" spans="3:27">
      <c r="C237" s="411"/>
      <c r="F237" s="412"/>
      <c r="G237" s="412"/>
      <c r="H237" s="412"/>
      <c r="I237" s="412"/>
      <c r="J237" s="412"/>
      <c r="K237" s="412"/>
      <c r="L237" s="412"/>
      <c r="M237" s="413"/>
      <c r="N237" s="414"/>
      <c r="O237" s="412"/>
      <c r="P237" s="528"/>
      <c r="U237" s="416"/>
      <c r="V237" s="416"/>
      <c r="Y237" s="200"/>
      <c r="Z237" s="200" t="s">
        <v>180</v>
      </c>
      <c r="AA237" s="200" t="s">
        <v>180</v>
      </c>
    </row>
    <row r="238" s="408" customFormat="1" spans="3:27">
      <c r="C238" s="411"/>
      <c r="F238" s="412"/>
      <c r="G238" s="412"/>
      <c r="H238" s="412"/>
      <c r="I238" s="412"/>
      <c r="J238" s="412"/>
      <c r="K238" s="412"/>
      <c r="L238" s="412"/>
      <c r="M238" s="413"/>
      <c r="N238" s="414"/>
      <c r="O238" s="412"/>
      <c r="P238" s="528"/>
      <c r="U238" s="416"/>
      <c r="V238" s="416"/>
      <c r="Y238" s="200"/>
      <c r="Z238" s="200" t="s">
        <v>180</v>
      </c>
      <c r="AA238" s="200" t="s">
        <v>180</v>
      </c>
    </row>
    <row r="239" s="408" customFormat="1" spans="3:27">
      <c r="C239" s="411"/>
      <c r="F239" s="412"/>
      <c r="G239" s="412"/>
      <c r="H239" s="412"/>
      <c r="I239" s="412"/>
      <c r="J239" s="412"/>
      <c r="K239" s="412"/>
      <c r="L239" s="412"/>
      <c r="M239" s="413"/>
      <c r="N239" s="414"/>
      <c r="O239" s="412"/>
      <c r="P239" s="528"/>
      <c r="U239" s="416"/>
      <c r="V239" s="416"/>
      <c r="Y239" s="200"/>
      <c r="Z239" s="200" t="s">
        <v>180</v>
      </c>
      <c r="AA239" s="200" t="s">
        <v>180</v>
      </c>
    </row>
    <row r="240" s="408" customFormat="1" spans="3:27">
      <c r="C240" s="411"/>
      <c r="F240" s="412"/>
      <c r="G240" s="412"/>
      <c r="H240" s="412"/>
      <c r="I240" s="412"/>
      <c r="J240" s="412"/>
      <c r="K240" s="412"/>
      <c r="L240" s="412"/>
      <c r="M240" s="413"/>
      <c r="N240" s="414"/>
      <c r="O240" s="412"/>
      <c r="P240" s="528"/>
      <c r="U240" s="416"/>
      <c r="V240" s="416"/>
      <c r="Y240" s="200"/>
      <c r="Z240" s="200" t="s">
        <v>180</v>
      </c>
      <c r="AA240" s="200" t="s">
        <v>180</v>
      </c>
    </row>
    <row r="241" s="408" customFormat="1" spans="3:27">
      <c r="C241" s="411"/>
      <c r="F241" s="412"/>
      <c r="G241" s="412"/>
      <c r="H241" s="412"/>
      <c r="I241" s="412"/>
      <c r="J241" s="412"/>
      <c r="K241" s="412"/>
      <c r="L241" s="412"/>
      <c r="M241" s="413"/>
      <c r="N241" s="414"/>
      <c r="O241" s="412"/>
      <c r="P241" s="528"/>
      <c r="U241" s="416"/>
      <c r="V241" s="416"/>
      <c r="Y241" s="200"/>
      <c r="Z241" s="200" t="s">
        <v>180</v>
      </c>
      <c r="AA241" s="200" t="s">
        <v>180</v>
      </c>
    </row>
    <row r="242" s="408" customFormat="1" spans="3:27">
      <c r="C242" s="411"/>
      <c r="F242" s="412"/>
      <c r="G242" s="412"/>
      <c r="H242" s="412"/>
      <c r="I242" s="412"/>
      <c r="J242" s="412"/>
      <c r="K242" s="412"/>
      <c r="L242" s="412"/>
      <c r="M242" s="413"/>
      <c r="N242" s="414"/>
      <c r="O242" s="412"/>
      <c r="P242" s="528"/>
      <c r="U242" s="416"/>
      <c r="V242" s="416"/>
      <c r="Y242" s="200"/>
      <c r="Z242" s="200" t="s">
        <v>180</v>
      </c>
      <c r="AA242" s="200" t="s">
        <v>180</v>
      </c>
    </row>
    <row r="243" s="408" customFormat="1" spans="3:27">
      <c r="C243" s="411"/>
      <c r="F243" s="412"/>
      <c r="G243" s="412"/>
      <c r="H243" s="412"/>
      <c r="I243" s="412"/>
      <c r="J243" s="412"/>
      <c r="K243" s="412"/>
      <c r="L243" s="412"/>
      <c r="M243" s="413"/>
      <c r="N243" s="414"/>
      <c r="O243" s="412"/>
      <c r="P243" s="528"/>
      <c r="U243" s="416"/>
      <c r="V243" s="416"/>
      <c r="Y243" s="200"/>
      <c r="Z243" s="200" t="s">
        <v>180</v>
      </c>
      <c r="AA243" s="200" t="s">
        <v>180</v>
      </c>
    </row>
    <row r="244" s="408" customFormat="1" spans="3:27">
      <c r="C244" s="411"/>
      <c r="F244" s="412"/>
      <c r="G244" s="412"/>
      <c r="H244" s="412"/>
      <c r="I244" s="412"/>
      <c r="J244" s="412"/>
      <c r="K244" s="412"/>
      <c r="L244" s="412"/>
      <c r="M244" s="413"/>
      <c r="N244" s="414"/>
      <c r="O244" s="412"/>
      <c r="P244" s="528"/>
      <c r="U244" s="416"/>
      <c r="V244" s="416"/>
      <c r="Y244" s="200"/>
      <c r="Z244" s="200" t="s">
        <v>180</v>
      </c>
      <c r="AA244" s="200" t="s">
        <v>180</v>
      </c>
    </row>
    <row r="245" s="411" customFormat="1" spans="1:27">
      <c r="A245" s="408"/>
      <c r="B245" s="503"/>
      <c r="D245" s="408"/>
      <c r="E245" s="408"/>
      <c r="F245" s="412"/>
      <c r="G245" s="412"/>
      <c r="H245" s="412"/>
      <c r="I245" s="412"/>
      <c r="J245" s="412"/>
      <c r="K245" s="412"/>
      <c r="L245" s="412"/>
      <c r="M245" s="413"/>
      <c r="N245" s="414"/>
      <c r="O245" s="412"/>
      <c r="P245" s="528"/>
      <c r="Q245" s="408"/>
      <c r="R245" s="408"/>
      <c r="S245" s="408"/>
      <c r="T245" s="408"/>
      <c r="U245" s="416"/>
      <c r="V245" s="416"/>
      <c r="W245" s="408"/>
      <c r="X245" s="408"/>
      <c r="Y245" s="200"/>
      <c r="Z245" s="200" t="s">
        <v>180</v>
      </c>
      <c r="AA245" s="200" t="s">
        <v>180</v>
      </c>
    </row>
  </sheetData>
  <mergeCells count="19">
    <mergeCell ref="V1:X1"/>
    <mergeCell ref="V12:X12"/>
    <mergeCell ref="V24:X24"/>
    <mergeCell ref="V36:X36"/>
    <mergeCell ref="V49:X49"/>
    <mergeCell ref="V60:X60"/>
    <mergeCell ref="V70:X70"/>
    <mergeCell ref="V79:X79"/>
    <mergeCell ref="V93:X93"/>
    <mergeCell ref="V105:X105"/>
    <mergeCell ref="V118:X118"/>
    <mergeCell ref="V132:X132"/>
    <mergeCell ref="V143:X143"/>
    <mergeCell ref="V154:X154"/>
    <mergeCell ref="V169:X169"/>
    <mergeCell ref="V179:X179"/>
    <mergeCell ref="V195:X195"/>
    <mergeCell ref="V210:X210"/>
    <mergeCell ref="V221:X221"/>
  </mergeCells>
  <conditionalFormatting sqref="M3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{85b8f6f0-7c06-4ea8-8eb3-9680aff5690c}</x14:id>
        </ext>
      </extLst>
    </cfRule>
  </conditionalFormatting>
  <conditionalFormatting sqref="M1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{e1cf3c3b-d2f2-44ac-ae4c-d8eae2077ff1}</x14:id>
        </ext>
      </extLst>
    </cfRule>
  </conditionalFormatting>
  <conditionalFormatting sqref="I26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{10fdd0c8-6207-4d6d-91aa-c34492f37a10}</x14:id>
        </ext>
      </extLst>
    </cfRule>
  </conditionalFormatting>
  <conditionalFormatting sqref="M26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{4e31c5d2-dd6b-44bb-9699-cbe7a88de687}</x14:id>
        </ext>
      </extLst>
    </cfRule>
  </conditionalFormatting>
  <conditionalFormatting sqref="M33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{9fac065f-1a99-4ae8-93a1-6add9cb7c348}</x14:id>
        </ext>
      </extLst>
    </cfRule>
  </conditionalFormatting>
  <conditionalFormatting sqref="M38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{ae6bd9d5-42af-4e3a-bd94-2d918084c923}</x14:id>
        </ext>
      </extLst>
    </cfRule>
  </conditionalFormatting>
  <conditionalFormatting sqref="M51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{96349e08-2ef0-4cdb-bed9-106a015c1d49}</x14:id>
        </ext>
      </extLst>
    </cfRule>
  </conditionalFormatting>
  <conditionalFormatting sqref="M62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{f2cac606-c3e7-488d-ba86-2a1f5f040d41}</x14:id>
        </ext>
      </extLst>
    </cfRule>
  </conditionalFormatting>
  <conditionalFormatting sqref="M7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{58405134-6058-40b5-89f3-ad411cd6809a}</x14:id>
        </ext>
      </extLst>
    </cfRule>
  </conditionalFormatting>
  <conditionalFormatting sqref="M81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{3cf15ba4-6441-4149-b927-185ec1fbac82}</x14:id>
        </ext>
      </extLst>
    </cfRule>
  </conditionalFormatting>
  <conditionalFormatting sqref="I9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{9e0878c0-325b-4414-b644-e7003b04f3b1}</x14:id>
        </ext>
      </extLst>
    </cfRule>
  </conditionalFormatting>
  <conditionalFormatting sqref="I95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{189c6960-2c05-41d2-ba1f-d1b158099609}</x14:id>
        </ext>
      </extLst>
    </cfRule>
  </conditionalFormatting>
  <conditionalFormatting sqref="M95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{707ae1e3-0463-49db-a9ef-30c0358a60a9}</x14:id>
        </ext>
      </extLst>
    </cfRule>
  </conditionalFormatting>
  <conditionalFormatting sqref="M96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{ed77c056-e9cf-43a6-bff0-a660d5e6bb5a}</x14:id>
        </ext>
      </extLst>
    </cfRule>
  </conditionalFormatting>
  <conditionalFormatting sqref="M107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{5cd89ee6-b5c8-4627-a394-627abf3d063e}</x14:id>
        </ext>
      </extLst>
    </cfRule>
  </conditionalFormatting>
  <conditionalFormatting sqref="I12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{149020f7-ae0c-4068-8d09-2b4676a40467}</x14:id>
        </ext>
      </extLst>
    </cfRule>
  </conditionalFormatting>
  <conditionalFormatting sqref="M120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{536a33ea-2ad2-4494-a5ef-a6dca7b90d56}</x14:id>
        </ext>
      </extLst>
    </cfRule>
  </conditionalFormatting>
  <conditionalFormatting sqref="M122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{d09b09d9-e371-451b-b71b-a2e1154fae6b}</x14:id>
        </ext>
      </extLst>
    </cfRule>
  </conditionalFormatting>
  <conditionalFormatting sqref="I12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{3138303b-7222-461b-abac-fafbe58df57d}</x14:id>
        </ext>
      </extLst>
    </cfRule>
  </conditionalFormatting>
  <conditionalFormatting sqref="M134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{f55215fb-04d1-47c0-9e3b-60b83a0213dc}</x14:id>
        </ext>
      </extLst>
    </cfRule>
  </conditionalFormatting>
  <conditionalFormatting sqref="M145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{1e7add65-257c-4a19-812b-76d83fce149f}</x14:id>
        </ext>
      </extLst>
    </cfRule>
  </conditionalFormatting>
  <conditionalFormatting sqref="I4:I8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{cd15627b-4a23-4c7c-8e0f-472ba19e057c}</x14:id>
        </ext>
      </extLst>
    </cfRule>
  </conditionalFormatting>
  <conditionalFormatting sqref="I15:I20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{8b7436d7-59d5-49a7-bf8e-3ac26d1fa84b}</x14:id>
        </ext>
      </extLst>
    </cfRule>
  </conditionalFormatting>
  <conditionalFormatting sqref="I33:I3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{5c535595-814b-4c3d-a239-179e6c915d32}</x14:id>
        </ext>
      </extLst>
    </cfRule>
  </conditionalFormatting>
  <conditionalFormatting sqref="I39:I45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{8ca0e9d3-4a6d-45ae-9eeb-7d23781f4bc1}</x14:id>
        </ext>
      </extLst>
    </cfRule>
  </conditionalFormatting>
  <conditionalFormatting sqref="I52:I56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{6ae8c606-5060-4c14-8cde-35ae97ab5735}</x14:id>
        </ext>
      </extLst>
    </cfRule>
  </conditionalFormatting>
  <conditionalFormatting sqref="I63:I66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{fab8e2bc-d5b1-4385-919e-8f8f5fef1ca9}</x14:id>
        </ext>
      </extLst>
    </cfRule>
  </conditionalFormatting>
  <conditionalFormatting sqref="I73:I75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{500f7b0b-9ab2-4d9e-b0f5-f3c0c6e285de}</x14:id>
        </ext>
      </extLst>
    </cfRule>
  </conditionalFormatting>
  <conditionalFormatting sqref="I82:I89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{a7b61cff-2ade-4b38-9ee5-d0f9dc0ef724}</x14:id>
        </ext>
      </extLst>
    </cfRule>
  </conditionalFormatting>
  <conditionalFormatting sqref="I97:I101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{63f6d0ec-9c04-44a5-9db4-3f7aa9721843}</x14:id>
        </ext>
      </extLst>
    </cfRule>
  </conditionalFormatting>
  <conditionalFormatting sqref="I108:I114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{2dff8945-4711-4484-8534-49647da0d2ed}</x14:id>
        </ext>
      </extLst>
    </cfRule>
  </conditionalFormatting>
  <conditionalFormatting sqref="I135:I139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{9b778b6b-50a1-4a43-8e69-e7691284c84d}</x14:id>
        </ext>
      </extLst>
    </cfRule>
  </conditionalFormatting>
  <conditionalFormatting sqref="I140:I141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{543c8856-34af-43e9-a59d-c5ab58b31feb}</x14:id>
        </ext>
      </extLst>
    </cfRule>
  </conditionalFormatting>
  <conditionalFormatting sqref="I146:I150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{53615c95-79f3-40b6-b44d-9cbc7ac20c5f}</x14:id>
        </ext>
      </extLst>
    </cfRule>
  </conditionalFormatting>
  <conditionalFormatting sqref="M4:M8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{534917f7-8eaf-46a2-bf1b-c474b6e438e3}</x14:id>
        </ext>
      </extLst>
    </cfRule>
  </conditionalFormatting>
  <conditionalFormatting sqref="M15:M20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{a97b1f82-8fad-4b4d-9c51-e2420abbf3dc}</x14:id>
        </ext>
      </extLst>
    </cfRule>
  </conditionalFormatting>
  <conditionalFormatting sqref="M39:M45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{22887068-1d05-41eb-a018-1c51fc05d4e3}</x14:id>
        </ext>
      </extLst>
    </cfRule>
  </conditionalFormatting>
  <conditionalFormatting sqref="M52:M56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{05ce5dfc-9760-4e3e-b488-263e0e31a8da}</x14:id>
        </ext>
      </extLst>
    </cfRule>
  </conditionalFormatting>
  <conditionalFormatting sqref="M63:M66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{7a022a1c-14f6-4f87-9dc5-8e0795f90b0e}</x14:id>
        </ext>
      </extLst>
    </cfRule>
  </conditionalFormatting>
  <conditionalFormatting sqref="M73:M75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{504f412a-7b7a-40ea-9ed8-27905fd7abc0}</x14:id>
        </ext>
      </extLst>
    </cfRule>
  </conditionalFormatting>
  <conditionalFormatting sqref="M82:M89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{4606e17e-339d-450f-82c9-ed884313ee82}</x14:id>
        </ext>
      </extLst>
    </cfRule>
  </conditionalFormatting>
  <conditionalFormatting sqref="M97:M101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{7f7ca893-cce1-44c3-94e0-723c05fd78d3}</x14:id>
        </ext>
      </extLst>
    </cfRule>
  </conditionalFormatting>
  <conditionalFormatting sqref="M108:M11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{4a147b50-68a4-4a81-b2a2-4d5f70bde177}</x14:id>
        </ext>
      </extLst>
    </cfRule>
  </conditionalFormatting>
  <conditionalFormatting sqref="M135:M139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{7f0fccd6-b5ec-44cb-baeb-fb417939140c}</x14:id>
        </ext>
      </extLst>
    </cfRule>
  </conditionalFormatting>
  <conditionalFormatting sqref="M146:M15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{9f0fa712-ab31-462f-babc-442ff0d8945c}</x14:id>
        </ext>
      </extLst>
    </cfRule>
  </conditionalFormatting>
  <conditionalFormatting sqref="I9:I10 I3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{8c2d1b9a-ccd1-4520-a344-ff900c97f59b}</x14:id>
        </ext>
      </extLst>
    </cfRule>
  </conditionalFormatting>
  <conditionalFormatting sqref="I21:I22 I1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{e4101cfd-c391-4de9-9dcf-309fdc69a9a4}</x14:id>
        </ext>
      </extLst>
    </cfRule>
  </conditionalFormatting>
  <conditionalFormatting sqref="I27 I30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{66b0ad89-d5ff-4c19-804d-cad9adccf29b}</x14:id>
        </ext>
      </extLst>
    </cfRule>
  </conditionalFormatting>
  <conditionalFormatting sqref="M27 M30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{db4a0f69-5da5-4071-aa11-c7f2a5df132c}</x14:id>
        </ext>
      </extLst>
    </cfRule>
  </conditionalFormatting>
  <conditionalFormatting sqref="I28:I29 I31:I32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{b5518139-c57d-4ebe-854f-3ef9acab8bb2}</x14:id>
        </ext>
      </extLst>
    </cfRule>
  </conditionalFormatting>
  <conditionalFormatting sqref="M28:M29 M31:M32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{ab7a0ddc-922d-4673-8006-400b1402d4eb}</x14:id>
        </ext>
      </extLst>
    </cfRule>
  </conditionalFormatting>
  <conditionalFormatting sqref="I46:I47 I38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{ae8a4f4a-3948-4e8d-ad03-d3d534ff888d}</x14:id>
        </ext>
      </extLst>
    </cfRule>
  </conditionalFormatting>
  <conditionalFormatting sqref="I51 I57:I58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{2928facc-5426-43b9-9386-e90273b370b7}</x14:id>
        </ext>
      </extLst>
    </cfRule>
  </conditionalFormatting>
  <conditionalFormatting sqref="I67:I68 I62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{7b43c7d4-75f7-4508-b327-ca2219333579}</x14:id>
        </ext>
      </extLst>
    </cfRule>
  </conditionalFormatting>
  <conditionalFormatting sqref="I72 I76:I77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{000b78ea-c985-4fa0-8867-b2a4d8db6678}</x14:id>
        </ext>
      </extLst>
    </cfRule>
  </conditionalFormatting>
  <conditionalFormatting sqref="I90:I91 I81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{edea172b-dc5f-41b4-a8ca-0b1509ca71f4}</x14:id>
        </ext>
      </extLst>
    </cfRule>
  </conditionalFormatting>
  <conditionalFormatting sqref="I96 I102:I103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{e7ec85b8-894a-4ae7-9282-171917668050}</x14:id>
        </ext>
      </extLst>
    </cfRule>
  </conditionalFormatting>
  <conditionalFormatting sqref="I115:I116 I107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{3289a00b-aa80-4dab-9cf4-48374bd1783e}</x14:id>
        </ext>
      </extLst>
    </cfRule>
  </conditionalFormatting>
  <conditionalFormatting sqref="I123:I126 I121 I128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{e5a6c2a9-685b-4ff2-8d44-161bdbe27225}</x14:id>
        </ext>
      </extLst>
    </cfRule>
  </conditionalFormatting>
  <conditionalFormatting sqref="M123:M128 M121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{48e4ceab-e7bf-499e-839a-e1a53291a995}</x14:id>
        </ext>
      </extLst>
    </cfRule>
  </conditionalFormatting>
  <conditionalFormatting sqref="I129:I130 I122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{1f74d01c-4838-430f-b5a2-fad9e226198a}</x14:id>
        </ext>
      </extLst>
    </cfRule>
  </conditionalFormatting>
  <conditionalFormatting sqref="I151:I152 I145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{71d90dc1-e8de-4c1a-ad7c-bac05abb5b35}</x14:id>
        </ext>
      </extLst>
    </cfRule>
  </conditionalFormatting>
  <hyperlinks>
    <hyperlink ref="B97" r:id="rId1" display="subarupartsplus.com" tooltip="http://www.subarupartsplus.com"/>
    <hyperlink ref="B41" r:id="rId2" display="moparfactoryparts.com" tooltip="http://www.moparfactoryparts.com"/>
    <hyperlink ref="B95" r:id="rId3" display="subaruparts.com" tooltip="http://www.subaruparts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5b8f6f0-7c06-4ea8-8eb3-9680aff569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</xm:sqref>
        </x14:conditionalFormatting>
        <x14:conditionalFormatting xmlns:xm="http://schemas.microsoft.com/office/excel/2006/main">
          <x14:cfRule type="dataBar" id="{e1cf3c3b-d2f2-44ac-ae4c-d8eae2077f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</xm:sqref>
        </x14:conditionalFormatting>
        <x14:conditionalFormatting xmlns:xm="http://schemas.microsoft.com/office/excel/2006/main">
          <x14:cfRule type="dataBar" id="{10fdd0c8-6207-4d6d-91aa-c34492f37a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I26</xm:sqref>
        </x14:conditionalFormatting>
        <x14:conditionalFormatting xmlns:xm="http://schemas.microsoft.com/office/excel/2006/main">
          <x14:cfRule type="dataBar" id="{4e31c5d2-dd6b-44bb-9699-cbe7a88de68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M26</xm:sqref>
        </x14:conditionalFormatting>
        <x14:conditionalFormatting xmlns:xm="http://schemas.microsoft.com/office/excel/2006/main">
          <x14:cfRule type="dataBar" id="{9fac065f-1a99-4ae8-93a1-6add9cb7c3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M33</xm:sqref>
        </x14:conditionalFormatting>
        <x14:conditionalFormatting xmlns:xm="http://schemas.microsoft.com/office/excel/2006/main">
          <x14:cfRule type="dataBar" id="{ae6bd9d5-42af-4e3a-bd94-2d918084c9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M38</xm:sqref>
        </x14:conditionalFormatting>
        <x14:conditionalFormatting xmlns:xm="http://schemas.microsoft.com/office/excel/2006/main">
          <x14:cfRule type="dataBar" id="{96349e08-2ef0-4cdb-bed9-106a015c1d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M51</xm:sqref>
        </x14:conditionalFormatting>
        <x14:conditionalFormatting xmlns:xm="http://schemas.microsoft.com/office/excel/2006/main">
          <x14:cfRule type="dataBar" id="{f2cac606-c3e7-488d-ba86-2a1f5f040d4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M62</xm:sqref>
        </x14:conditionalFormatting>
        <x14:conditionalFormatting xmlns:xm="http://schemas.microsoft.com/office/excel/2006/main">
          <x14:cfRule type="dataBar" id="{58405134-6058-40b5-89f3-ad411cd680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M72</xm:sqref>
        </x14:conditionalFormatting>
        <x14:conditionalFormatting xmlns:xm="http://schemas.microsoft.com/office/excel/2006/main">
          <x14:cfRule type="dataBar" id="{3cf15ba4-6441-4149-b927-185ec1fbac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M81</xm:sqref>
        </x14:conditionalFormatting>
        <x14:conditionalFormatting xmlns:xm="http://schemas.microsoft.com/office/excel/2006/main">
          <x14:cfRule type="dataBar" id="{9e0878c0-325b-4414-b644-e7003b04f3b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I92</xm:sqref>
        </x14:conditionalFormatting>
        <x14:conditionalFormatting xmlns:xm="http://schemas.microsoft.com/office/excel/2006/main">
          <x14:cfRule type="dataBar" id="{189c6960-2c05-41d2-ba1f-d1b1580996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I95</xm:sqref>
        </x14:conditionalFormatting>
        <x14:conditionalFormatting xmlns:xm="http://schemas.microsoft.com/office/excel/2006/main">
          <x14:cfRule type="dataBar" id="{707ae1e3-0463-49db-a9ef-30c0358a60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M95</xm:sqref>
        </x14:conditionalFormatting>
        <x14:conditionalFormatting xmlns:xm="http://schemas.microsoft.com/office/excel/2006/main">
          <x14:cfRule type="dataBar" id="{ed77c056-e9cf-43a6-bff0-a660d5e6bb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M96</xm:sqref>
        </x14:conditionalFormatting>
        <x14:conditionalFormatting xmlns:xm="http://schemas.microsoft.com/office/excel/2006/main">
          <x14:cfRule type="dataBar" id="{5cd89ee6-b5c8-4627-a394-627abf3d06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M107</xm:sqref>
        </x14:conditionalFormatting>
        <x14:conditionalFormatting xmlns:xm="http://schemas.microsoft.com/office/excel/2006/main">
          <x14:cfRule type="dataBar" id="{149020f7-ae0c-4068-8d09-2b4676a404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I120</xm:sqref>
        </x14:conditionalFormatting>
        <x14:conditionalFormatting xmlns:xm="http://schemas.microsoft.com/office/excel/2006/main">
          <x14:cfRule type="dataBar" id="{536a33ea-2ad2-4494-a5ef-a6dca7b90d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M120</xm:sqref>
        </x14:conditionalFormatting>
        <x14:conditionalFormatting xmlns:xm="http://schemas.microsoft.com/office/excel/2006/main">
          <x14:cfRule type="dataBar" id="{d09b09d9-e371-451b-b71b-a2e1154fae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M122</xm:sqref>
        </x14:conditionalFormatting>
        <x14:conditionalFormatting xmlns:xm="http://schemas.microsoft.com/office/excel/2006/main">
          <x14:cfRule type="dataBar" id="{3138303b-7222-461b-abac-fafbe58df57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I127</xm:sqref>
        </x14:conditionalFormatting>
        <x14:conditionalFormatting xmlns:xm="http://schemas.microsoft.com/office/excel/2006/main">
          <x14:cfRule type="dataBar" id="{f55215fb-04d1-47c0-9e3b-60b83a0213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M134</xm:sqref>
        </x14:conditionalFormatting>
        <x14:conditionalFormatting xmlns:xm="http://schemas.microsoft.com/office/excel/2006/main">
          <x14:cfRule type="dataBar" id="{1e7add65-257c-4a19-812b-76d83fce14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M145</xm:sqref>
        </x14:conditionalFormatting>
        <x14:conditionalFormatting xmlns:xm="http://schemas.microsoft.com/office/excel/2006/main">
          <x14:cfRule type="dataBar" id="{cd15627b-4a23-4c7c-8e0f-472ba19e057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I4:I8</xm:sqref>
        </x14:conditionalFormatting>
        <x14:conditionalFormatting xmlns:xm="http://schemas.microsoft.com/office/excel/2006/main">
          <x14:cfRule type="dataBar" id="{8b7436d7-59d5-49a7-bf8e-3ac26d1fa84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I15:I20</xm:sqref>
        </x14:conditionalFormatting>
        <x14:conditionalFormatting xmlns:xm="http://schemas.microsoft.com/office/excel/2006/main">
          <x14:cfRule type="dataBar" id="{5c535595-814b-4c3d-a239-179e6c915d3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I33:I34</xm:sqref>
        </x14:conditionalFormatting>
        <x14:conditionalFormatting xmlns:xm="http://schemas.microsoft.com/office/excel/2006/main">
          <x14:cfRule type="dataBar" id="{8ca0e9d3-4a6d-45ae-9eeb-7d23781f4b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I39:I45</xm:sqref>
        </x14:conditionalFormatting>
        <x14:conditionalFormatting xmlns:xm="http://schemas.microsoft.com/office/excel/2006/main">
          <x14:cfRule type="dataBar" id="{6ae8c606-5060-4c14-8cde-35ae97ab57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I52:I56</xm:sqref>
        </x14:conditionalFormatting>
        <x14:conditionalFormatting xmlns:xm="http://schemas.microsoft.com/office/excel/2006/main">
          <x14:cfRule type="dataBar" id="{fab8e2bc-d5b1-4385-919e-8f8f5fef1c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I63:I66</xm:sqref>
        </x14:conditionalFormatting>
        <x14:conditionalFormatting xmlns:xm="http://schemas.microsoft.com/office/excel/2006/main">
          <x14:cfRule type="dataBar" id="{500f7b0b-9ab2-4d9e-b0f5-f3c0c6e285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I73:I75</xm:sqref>
        </x14:conditionalFormatting>
        <x14:conditionalFormatting xmlns:xm="http://schemas.microsoft.com/office/excel/2006/main">
          <x14:cfRule type="dataBar" id="{a7b61cff-2ade-4b38-9ee5-d0f9dc0ef7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I82:I89</xm:sqref>
        </x14:conditionalFormatting>
        <x14:conditionalFormatting xmlns:xm="http://schemas.microsoft.com/office/excel/2006/main">
          <x14:cfRule type="dataBar" id="{63f6d0ec-9c04-44a5-9db4-3f7aa97218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I97:I101</xm:sqref>
        </x14:conditionalFormatting>
        <x14:conditionalFormatting xmlns:xm="http://schemas.microsoft.com/office/excel/2006/main">
          <x14:cfRule type="dataBar" id="{2dff8945-4711-4484-8534-49647da0d2e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I108:I114</xm:sqref>
        </x14:conditionalFormatting>
        <x14:conditionalFormatting xmlns:xm="http://schemas.microsoft.com/office/excel/2006/main">
          <x14:cfRule type="dataBar" id="{9b778b6b-50a1-4a43-8e69-e7691284c8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I135:I139</xm:sqref>
        </x14:conditionalFormatting>
        <x14:conditionalFormatting xmlns:xm="http://schemas.microsoft.com/office/excel/2006/main">
          <x14:cfRule type="dataBar" id="{543c8856-34af-43e9-a59d-c5ab58b31fe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I140:I141</xm:sqref>
        </x14:conditionalFormatting>
        <x14:conditionalFormatting xmlns:xm="http://schemas.microsoft.com/office/excel/2006/main">
          <x14:cfRule type="dataBar" id="{53615c95-79f3-40b6-b44d-9cbc7ac20c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I146:I150</xm:sqref>
        </x14:conditionalFormatting>
        <x14:conditionalFormatting xmlns:xm="http://schemas.microsoft.com/office/excel/2006/main">
          <x14:cfRule type="dataBar" id="{534917f7-8eaf-46a2-bf1b-c474b6e438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M4:M8</xm:sqref>
        </x14:conditionalFormatting>
        <x14:conditionalFormatting xmlns:xm="http://schemas.microsoft.com/office/excel/2006/main">
          <x14:cfRule type="dataBar" id="{a97b1f82-8fad-4b4d-9c51-e2420abbf3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M15:M20</xm:sqref>
        </x14:conditionalFormatting>
        <x14:conditionalFormatting xmlns:xm="http://schemas.microsoft.com/office/excel/2006/main">
          <x14:cfRule type="dataBar" id="{22887068-1d05-41eb-a018-1c51fc05d4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M39:M45</xm:sqref>
        </x14:conditionalFormatting>
        <x14:conditionalFormatting xmlns:xm="http://schemas.microsoft.com/office/excel/2006/main">
          <x14:cfRule type="dataBar" id="{05ce5dfc-9760-4e3e-b488-263e0e31a8d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M52:M56</xm:sqref>
        </x14:conditionalFormatting>
        <x14:conditionalFormatting xmlns:xm="http://schemas.microsoft.com/office/excel/2006/main">
          <x14:cfRule type="dataBar" id="{7a022a1c-14f6-4f87-9dc5-8e0795f90b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M63:M66</xm:sqref>
        </x14:conditionalFormatting>
        <x14:conditionalFormatting xmlns:xm="http://schemas.microsoft.com/office/excel/2006/main">
          <x14:cfRule type="dataBar" id="{504f412a-7b7a-40ea-9ed8-27905fd7ab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M73:M75</xm:sqref>
        </x14:conditionalFormatting>
        <x14:conditionalFormatting xmlns:xm="http://schemas.microsoft.com/office/excel/2006/main">
          <x14:cfRule type="dataBar" id="{4606e17e-339d-450f-82c9-ed884313ee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M82:M89</xm:sqref>
        </x14:conditionalFormatting>
        <x14:conditionalFormatting xmlns:xm="http://schemas.microsoft.com/office/excel/2006/main">
          <x14:cfRule type="dataBar" id="{7f7ca893-cce1-44c3-94e0-723c05fd78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M97:M101</xm:sqref>
        </x14:conditionalFormatting>
        <x14:conditionalFormatting xmlns:xm="http://schemas.microsoft.com/office/excel/2006/main">
          <x14:cfRule type="dataBar" id="{4a147b50-68a4-4a81-b2a2-4d5f70bde17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M108:M114</xm:sqref>
        </x14:conditionalFormatting>
        <x14:conditionalFormatting xmlns:xm="http://schemas.microsoft.com/office/excel/2006/main">
          <x14:cfRule type="dataBar" id="{7f0fccd6-b5ec-44cb-baeb-fb41793914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M135:M139</xm:sqref>
        </x14:conditionalFormatting>
        <x14:conditionalFormatting xmlns:xm="http://schemas.microsoft.com/office/excel/2006/main">
          <x14:cfRule type="dataBar" id="{9f0fa712-ab31-462f-babc-442ff0d894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M146:M150</xm:sqref>
        </x14:conditionalFormatting>
        <x14:conditionalFormatting xmlns:xm="http://schemas.microsoft.com/office/excel/2006/main">
          <x14:cfRule type="dataBar" id="{8c2d1b9a-ccd1-4520-a344-ff900c97f5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I9:I10 I3</xm:sqref>
        </x14:conditionalFormatting>
        <x14:conditionalFormatting xmlns:xm="http://schemas.microsoft.com/office/excel/2006/main">
          <x14:cfRule type="dataBar" id="{e4101cfd-c391-4de9-9dcf-309fdc69a9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I21:I22 I14</xm:sqref>
        </x14:conditionalFormatting>
        <x14:conditionalFormatting xmlns:xm="http://schemas.microsoft.com/office/excel/2006/main">
          <x14:cfRule type="dataBar" id="{66b0ad89-d5ff-4c19-804d-cad9adccf2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I27 I30</xm:sqref>
        </x14:conditionalFormatting>
        <x14:conditionalFormatting xmlns:xm="http://schemas.microsoft.com/office/excel/2006/main">
          <x14:cfRule type="dataBar" id="{db4a0f69-5da5-4071-aa11-c7f2a5df13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M27 M30</xm:sqref>
        </x14:conditionalFormatting>
        <x14:conditionalFormatting xmlns:xm="http://schemas.microsoft.com/office/excel/2006/main">
          <x14:cfRule type="dataBar" id="{b5518139-c57d-4ebe-854f-3ef9acab8b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I28:I29 I31:I32</xm:sqref>
        </x14:conditionalFormatting>
        <x14:conditionalFormatting xmlns:xm="http://schemas.microsoft.com/office/excel/2006/main">
          <x14:cfRule type="dataBar" id="{ab7a0ddc-922d-4673-8006-400b1402d4e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M28:M29 M31:M32</xm:sqref>
        </x14:conditionalFormatting>
        <x14:conditionalFormatting xmlns:xm="http://schemas.microsoft.com/office/excel/2006/main">
          <x14:cfRule type="dataBar" id="{ae8a4f4a-3948-4e8d-ad03-d3d534ff88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I46:I47 I38</xm:sqref>
        </x14:conditionalFormatting>
        <x14:conditionalFormatting xmlns:xm="http://schemas.microsoft.com/office/excel/2006/main">
          <x14:cfRule type="dataBar" id="{2928facc-5426-43b9-9386-e90273b3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I51 I57:I58</xm:sqref>
        </x14:conditionalFormatting>
        <x14:conditionalFormatting xmlns:xm="http://schemas.microsoft.com/office/excel/2006/main">
          <x14:cfRule type="dataBar" id="{7b43c7d4-75f7-4508-b327-ca22193335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I67:I68 I62</xm:sqref>
        </x14:conditionalFormatting>
        <x14:conditionalFormatting xmlns:xm="http://schemas.microsoft.com/office/excel/2006/main">
          <x14:cfRule type="dataBar" id="{000b78ea-c985-4fa0-8867-b2a4d8db66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I72 I76:I77</xm:sqref>
        </x14:conditionalFormatting>
        <x14:conditionalFormatting xmlns:xm="http://schemas.microsoft.com/office/excel/2006/main">
          <x14:cfRule type="dataBar" id="{edea172b-dc5f-41b4-a8ca-0b1509ca71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I90:I91 I81</xm:sqref>
        </x14:conditionalFormatting>
        <x14:conditionalFormatting xmlns:xm="http://schemas.microsoft.com/office/excel/2006/main">
          <x14:cfRule type="dataBar" id="{e7ec85b8-894a-4ae7-9282-1719176680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I96 I102:I103</xm:sqref>
        </x14:conditionalFormatting>
        <x14:conditionalFormatting xmlns:xm="http://schemas.microsoft.com/office/excel/2006/main">
          <x14:cfRule type="dataBar" id="{3289a00b-aa80-4dab-9cf4-48374bd178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I115:I116 I107</xm:sqref>
        </x14:conditionalFormatting>
        <x14:conditionalFormatting xmlns:xm="http://schemas.microsoft.com/office/excel/2006/main">
          <x14:cfRule type="dataBar" id="{e5a6c2a9-685b-4ff2-8d44-161bdbe2722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I123:I126 I121 I128</xm:sqref>
        </x14:conditionalFormatting>
        <x14:conditionalFormatting xmlns:xm="http://schemas.microsoft.com/office/excel/2006/main">
          <x14:cfRule type="dataBar" id="{48e4ceab-e7bf-499e-839a-e1a53291a9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M123:M128 M121</xm:sqref>
        </x14:conditionalFormatting>
        <x14:conditionalFormatting xmlns:xm="http://schemas.microsoft.com/office/excel/2006/main">
          <x14:cfRule type="dataBar" id="{1f74d01c-4838-430f-b5a2-fad9e226198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I129:I130 I122</xm:sqref>
        </x14:conditionalFormatting>
        <x14:conditionalFormatting xmlns:xm="http://schemas.microsoft.com/office/excel/2006/main">
          <x14:cfRule type="dataBar" id="{71d90dc1-e8de-4c1a-ad7c-bac05abb5b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I151:I152 I145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6"/>
  <sheetViews>
    <sheetView workbookViewId="0">
      <selection activeCell="A1" sqref="A1"/>
    </sheetView>
  </sheetViews>
  <sheetFormatPr defaultColWidth="9" defaultRowHeight="15.6"/>
  <cols>
    <col min="1" max="1" width="13.4444444444444" style="408" customWidth="1"/>
    <col min="2" max="2" width="53.7777777777778" style="408" customWidth="1"/>
    <col min="3" max="3" width="14.4444444444444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19.2222222222222" style="413" hidden="1" customWidth="1"/>
    <col min="14" max="14" width="7.33333333333333" style="414" hidden="1" customWidth="1"/>
    <col min="15" max="15" width="16.3333333333333" style="412" hidden="1" customWidth="1"/>
    <col min="16" max="16" width="96.4444444444444" style="528" customWidth="1"/>
    <col min="17" max="17" width="31.6666666666667" style="408" hidden="1" customWidth="1"/>
    <col min="18" max="18" width="14.8888888888889" style="408" hidden="1" customWidth="1"/>
    <col min="19" max="20" width="10.1111111111111" style="408" customWidth="1"/>
    <col min="21" max="21" width="17.1111111111111" style="416" customWidth="1"/>
    <col min="22" max="22" width="16.8888888888889" style="416" customWidth="1"/>
    <col min="23" max="23" width="10.8888888888889" style="408" hidden="1" customWidth="1"/>
    <col min="24" max="24" width="11.1111111111111" style="408" hidden="1" customWidth="1"/>
    <col min="25" max="27" width="9" style="200" hidden="1" customWidth="1"/>
    <col min="28" max="28" width="9.55555555555556" style="417" hidden="1" customWidth="1"/>
    <col min="29" max="29" width="9.44444444444444" style="417" hidden="1" customWidth="1"/>
    <col min="30" max="30" width="9" style="417" hidden="1" customWidth="1"/>
    <col min="31" max="16384" width="9" style="417"/>
  </cols>
  <sheetData>
    <row r="1" s="408" customFormat="1" ht="17.4" spans="1:27">
      <c r="A1" s="418" t="s">
        <v>138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43"/>
      <c r="N1" s="444"/>
      <c r="O1" s="422"/>
      <c r="P1" s="531"/>
      <c r="Q1" s="465"/>
      <c r="R1" s="424"/>
      <c r="S1" s="473"/>
      <c r="T1" s="473"/>
      <c r="U1" s="467"/>
      <c r="V1" s="467"/>
      <c r="W1" s="467"/>
      <c r="X1" s="467"/>
      <c r="Y1" s="538" t="s">
        <v>203</v>
      </c>
      <c r="Z1" s="538" t="s">
        <v>204</v>
      </c>
      <c r="AA1" s="538" t="s">
        <v>205</v>
      </c>
    </row>
    <row r="2" s="409" customFormat="1" ht="48.6" spans="1:30">
      <c r="A2" s="423" t="s">
        <v>206</v>
      </c>
      <c r="B2" s="424" t="s">
        <v>207</v>
      </c>
      <c r="C2" s="425" t="s">
        <v>208</v>
      </c>
      <c r="D2" s="424" t="s">
        <v>209</v>
      </c>
      <c r="E2" s="426" t="s">
        <v>210</v>
      </c>
      <c r="F2" s="427" t="s">
        <v>396</v>
      </c>
      <c r="G2" s="427" t="s">
        <v>212</v>
      </c>
      <c r="H2" s="427" t="s">
        <v>397</v>
      </c>
      <c r="I2" s="427" t="s">
        <v>214</v>
      </c>
      <c r="J2" s="446" t="s">
        <v>387</v>
      </c>
      <c r="K2" s="446" t="s">
        <v>398</v>
      </c>
      <c r="L2" s="446" t="s">
        <v>399</v>
      </c>
      <c r="M2" s="447" t="s">
        <v>218</v>
      </c>
      <c r="N2" s="448" t="s">
        <v>219</v>
      </c>
      <c r="O2" s="449" t="s">
        <v>220</v>
      </c>
      <c r="P2" s="530" t="s">
        <v>221</v>
      </c>
      <c r="Q2" s="469" t="s">
        <v>222</v>
      </c>
      <c r="R2" s="426" t="s">
        <v>223</v>
      </c>
      <c r="S2" s="470" t="s">
        <v>224</v>
      </c>
      <c r="T2" s="470" t="s">
        <v>205</v>
      </c>
      <c r="U2" s="467" t="s">
        <v>225</v>
      </c>
      <c r="V2" s="470" t="s">
        <v>226</v>
      </c>
      <c r="W2" s="467"/>
      <c r="X2" s="467"/>
      <c r="Y2" s="200" t="s">
        <v>207</v>
      </c>
      <c r="Z2" s="200" t="s">
        <v>180</v>
      </c>
      <c r="AA2" s="200" t="s">
        <v>180</v>
      </c>
      <c r="AC2" s="409" t="str">
        <f>IF(Y2="Competitors","Forum Link",Z2)</f>
        <v>Forum Link</v>
      </c>
      <c r="AD2" s="409" t="str">
        <f>IF(Y2="Competitors","Domains",AA2)</f>
        <v>Domains</v>
      </c>
    </row>
    <row r="3" s="410" customFormat="1" ht="17.4" spans="1:30">
      <c r="A3" s="432" t="s">
        <v>227</v>
      </c>
      <c r="B3" s="432" t="s">
        <v>139</v>
      </c>
      <c r="C3" s="434" t="str">
        <f>VLOOKUP(B3,正厂竞争者数据汇总!D:H,2,FALSE)</f>
        <v>原厂目录</v>
      </c>
      <c r="D3" s="435" t="str">
        <f>VLOOKUP(B3,正厂竞争者数据汇总!D:H,3,FALSE)</f>
        <v>CA</v>
      </c>
      <c r="E3" s="436">
        <f>VLOOKUP(B3,正厂竞争者数据汇总!D:H,4,FALSE)</f>
        <v>0</v>
      </c>
      <c r="F3" s="436">
        <v>1443250</v>
      </c>
      <c r="G3" s="436">
        <v>1150833.33333333</v>
      </c>
      <c r="H3" s="436">
        <v>1200750</v>
      </c>
      <c r="I3" s="454">
        <f>(F3/G3)-1</f>
        <v>0.254091238233168</v>
      </c>
      <c r="J3" s="455">
        <v>0.617999075062569</v>
      </c>
      <c r="K3" s="455">
        <v>0.604224111726319</v>
      </c>
      <c r="L3" s="455">
        <v>0.571823205362833</v>
      </c>
      <c r="M3" s="456">
        <f>J3-K3</f>
        <v>0.0137749633362501</v>
      </c>
      <c r="N3" s="455" t="str">
        <f>IFERROR(O3*0.5/$F$3,"")</f>
        <v/>
      </c>
      <c r="O3" s="436" t="s">
        <v>180</v>
      </c>
      <c r="P3" s="531">
        <f t="array" ref="P3">INDEX(正厂竞争者数据汇总!I:I,MATCH($A$1&amp;B3,正厂竞争者数据汇总!A:A&amp;正厂竞争者数据汇总!D:D,0))</f>
        <v>0</v>
      </c>
      <c r="Q3" s="434" t="s">
        <v>228</v>
      </c>
      <c r="R3" s="435" t="s">
        <v>229</v>
      </c>
      <c r="S3" s="476">
        <v>169977</v>
      </c>
      <c r="T3" s="476">
        <v>9452</v>
      </c>
      <c r="U3" s="477"/>
      <c r="V3" s="477"/>
      <c r="W3" s="477"/>
      <c r="X3" s="477"/>
      <c r="Y3" s="200" t="s">
        <v>139</v>
      </c>
      <c r="Z3" s="200">
        <v>169977</v>
      </c>
      <c r="AA3" s="200">
        <v>9452</v>
      </c>
      <c r="AB3" s="410">
        <f>IF(B3=Y3,1,0)</f>
        <v>1</v>
      </c>
      <c r="AC3" s="409">
        <f t="shared" ref="AC3:AC66" si="0">IF(Y3="Competitors","Forum Link",Z3)</f>
        <v>169977</v>
      </c>
      <c r="AD3" s="409">
        <f t="shared" ref="AD3:AD66" si="1">IF(Y3="Competitors","Domains",AA3)</f>
        <v>9452</v>
      </c>
    </row>
    <row r="4" s="408" customFormat="1" spans="1:30">
      <c r="A4" s="428" t="s">
        <v>230</v>
      </c>
      <c r="B4" s="421" t="s">
        <v>231</v>
      </c>
      <c r="C4" s="429" t="str">
        <f>VLOOKUP(B4,正厂竞争者数据汇总!D:H,2,FALSE)</f>
        <v>原厂目录</v>
      </c>
      <c r="D4" s="421" t="str">
        <f>VLOOKUP(B4,正厂竞争者数据汇总!D:H,3,FALSE)</f>
        <v>TX</v>
      </c>
      <c r="E4" s="430"/>
      <c r="F4" s="430">
        <v>375347</v>
      </c>
      <c r="G4" s="430"/>
      <c r="H4" s="430"/>
      <c r="I4" s="450"/>
      <c r="J4" s="451">
        <v>0.160723435875635</v>
      </c>
      <c r="K4" s="451">
        <v>0.170993625332501</v>
      </c>
      <c r="L4" s="451">
        <v>0.171568449216218</v>
      </c>
      <c r="M4" s="452"/>
      <c r="N4" s="451"/>
      <c r="O4" s="430"/>
      <c r="P4" s="531">
        <f t="array" ref="P4">INDEX(正厂竞争者数据汇总!I:I,MATCH($A$1&amp;B4,正厂竞争者数据汇总!A:A&amp;正厂竞争者数据汇总!D:D,0))</f>
        <v>0</v>
      </c>
      <c r="Q4" s="429"/>
      <c r="R4" s="421"/>
      <c r="S4" s="472">
        <v>60670</v>
      </c>
      <c r="T4" s="472">
        <v>1383</v>
      </c>
      <c r="U4" s="466"/>
      <c r="V4" s="466"/>
      <c r="W4" s="466"/>
      <c r="X4" s="466"/>
      <c r="Y4" s="200" t="s">
        <v>231</v>
      </c>
      <c r="Z4" s="200">
        <v>60670</v>
      </c>
      <c r="AA4" s="200">
        <v>1383</v>
      </c>
      <c r="AB4" s="410">
        <f t="shared" ref="AB4:AB67" si="2">IF(B4=Y4,1,0)</f>
        <v>1</v>
      </c>
      <c r="AC4" s="409">
        <f t="shared" si="0"/>
        <v>60670</v>
      </c>
      <c r="AD4" s="409">
        <f t="shared" si="1"/>
        <v>1383</v>
      </c>
    </row>
    <row r="5" s="408" customFormat="1" spans="1:30">
      <c r="A5" s="428" t="s">
        <v>230</v>
      </c>
      <c r="B5" s="421" t="s">
        <v>235</v>
      </c>
      <c r="C5" s="429" t="str">
        <f>VLOOKUP(B5,正厂竞争者数据汇总!D:H,2,FALSE)</f>
        <v>原厂目录</v>
      </c>
      <c r="D5" s="421" t="str">
        <f>VLOOKUP(B5,正厂竞争者数据汇总!D:H,3,FALSE)</f>
        <v>NJ</v>
      </c>
      <c r="E5" s="430"/>
      <c r="F5" s="430">
        <v>142984.533333334</v>
      </c>
      <c r="G5" s="430"/>
      <c r="H5" s="430"/>
      <c r="I5" s="450"/>
      <c r="J5" s="451">
        <v>0.0612259202135829</v>
      </c>
      <c r="K5" s="451">
        <v>0.0609025589759168</v>
      </c>
      <c r="L5" s="451">
        <v>0.075858199735933</v>
      </c>
      <c r="M5" s="452"/>
      <c r="N5" s="451"/>
      <c r="O5" s="430"/>
      <c r="P5" s="531" t="str">
        <f t="array" ref="P5">INDEX(正厂竞争者数据汇总!I:I,MATCH($A$1&amp;B5,正厂竞争者数据汇总!A:A&amp;正厂竞争者数据汇总!D:D,0))</f>
        <v>2021年06月新加竞争者</v>
      </c>
      <c r="Q5" s="429"/>
      <c r="R5" s="421"/>
      <c r="S5" s="472">
        <v>2849</v>
      </c>
      <c r="T5" s="472">
        <v>447</v>
      </c>
      <c r="U5" s="466"/>
      <c r="V5" s="466"/>
      <c r="W5" s="466"/>
      <c r="X5" s="466"/>
      <c r="Y5" s="200" t="s">
        <v>235</v>
      </c>
      <c r="Z5" s="200">
        <v>2849</v>
      </c>
      <c r="AA5" s="200">
        <v>447</v>
      </c>
      <c r="AB5" s="410">
        <f t="shared" si="2"/>
        <v>1</v>
      </c>
      <c r="AC5" s="409">
        <f t="shared" si="0"/>
        <v>2849</v>
      </c>
      <c r="AD5" s="409">
        <f t="shared" si="1"/>
        <v>447</v>
      </c>
    </row>
    <row r="6" s="408" customFormat="1" spans="1:30">
      <c r="A6" s="428" t="s">
        <v>238</v>
      </c>
      <c r="B6" s="421" t="s">
        <v>239</v>
      </c>
      <c r="C6" s="429" t="str">
        <f>VLOOKUP(B6,正厂竞争者数据汇总!D:H,2,FALSE)</f>
        <v>原厂目录</v>
      </c>
      <c r="D6" s="421" t="str">
        <f>VLOOKUP(B6,正厂竞争者数据汇总!D:H,3,FALSE)</f>
        <v>MA</v>
      </c>
      <c r="E6" s="430"/>
      <c r="F6" s="430">
        <v>132635.333333333</v>
      </c>
      <c r="G6" s="430"/>
      <c r="H6" s="430"/>
      <c r="I6" s="450"/>
      <c r="J6" s="451">
        <v>0.056794396896321</v>
      </c>
      <c r="K6" s="451">
        <v>0.0564786002223625</v>
      </c>
      <c r="L6" s="451">
        <v>0.0590542684306213</v>
      </c>
      <c r="M6" s="452"/>
      <c r="N6" s="451"/>
      <c r="O6" s="430"/>
      <c r="P6" s="531" t="str">
        <f t="array" ref="P6">INDEX(正厂竞争者数据汇总!I:I,MATCH($A$1&amp;B6,正厂竞争者数据汇总!A:A&amp;正厂竞争者数据汇总!D:D,0))</f>
        <v>2023年10月，Semrush中仅能获取acura子域名流量</v>
      </c>
      <c r="Q6" s="429"/>
      <c r="R6" s="421"/>
      <c r="S6" s="472">
        <v>147366</v>
      </c>
      <c r="T6" s="472">
        <v>6689</v>
      </c>
      <c r="U6" s="466"/>
      <c r="V6" s="466"/>
      <c r="W6" s="466"/>
      <c r="X6" s="466"/>
      <c r="Y6" s="200" t="s">
        <v>239</v>
      </c>
      <c r="Z6" s="200">
        <v>147366</v>
      </c>
      <c r="AA6" s="200">
        <v>6689</v>
      </c>
      <c r="AB6" s="410">
        <f t="shared" si="2"/>
        <v>1</v>
      </c>
      <c r="AC6" s="409">
        <f t="shared" si="0"/>
        <v>147366</v>
      </c>
      <c r="AD6" s="409">
        <f t="shared" si="1"/>
        <v>6689</v>
      </c>
    </row>
    <row r="7" s="408" customFormat="1" spans="1:30">
      <c r="A7" s="428" t="s">
        <v>230</v>
      </c>
      <c r="B7" s="421" t="s">
        <v>237</v>
      </c>
      <c r="C7" s="429" t="str">
        <f>VLOOKUP(B7,正厂竞争者数据汇总!D:H,2,FALSE)</f>
        <v>原厂目录</v>
      </c>
      <c r="D7" s="421" t="str">
        <f>VLOOKUP(B7,正厂竞争者数据汇总!D:H,3,FALSE)</f>
        <v>MA</v>
      </c>
      <c r="E7" s="430"/>
      <c r="F7" s="430">
        <v>125384.635633333</v>
      </c>
      <c r="G7" s="430"/>
      <c r="H7" s="430"/>
      <c r="I7" s="450"/>
      <c r="J7" s="451">
        <v>0.0536896510295909</v>
      </c>
      <c r="K7" s="451">
        <v>0.0510898920573654</v>
      </c>
      <c r="L7" s="451">
        <v>0.0538244075165449</v>
      </c>
      <c r="M7" s="452"/>
      <c r="N7" s="451"/>
      <c r="O7" s="430"/>
      <c r="P7" s="531">
        <f t="array" ref="P7">INDEX(正厂竞争者数据汇总!I:I,MATCH($A$1&amp;B7,正厂竞争者数据汇总!A:A&amp;正厂竞争者数据汇总!D:D,0))</f>
        <v>0</v>
      </c>
      <c r="Q7" s="429"/>
      <c r="R7" s="421"/>
      <c r="S7" s="472">
        <v>33995</v>
      </c>
      <c r="T7" s="472">
        <v>926</v>
      </c>
      <c r="U7" s="466"/>
      <c r="V7" s="466"/>
      <c r="W7" s="466"/>
      <c r="X7" s="466"/>
      <c r="Y7" s="200" t="s">
        <v>237</v>
      </c>
      <c r="Z7" s="200">
        <v>33995</v>
      </c>
      <c r="AA7" s="200">
        <v>926</v>
      </c>
      <c r="AB7" s="410">
        <f t="shared" si="2"/>
        <v>1</v>
      </c>
      <c r="AC7" s="409">
        <f t="shared" si="0"/>
        <v>33995</v>
      </c>
      <c r="AD7" s="409">
        <f t="shared" si="1"/>
        <v>926</v>
      </c>
    </row>
    <row r="8" s="408" customFormat="1" spans="1:30">
      <c r="A8" s="428" t="s">
        <v>230</v>
      </c>
      <c r="B8" s="421" t="s">
        <v>236</v>
      </c>
      <c r="C8" s="429" t="str">
        <f>VLOOKUP(B8,正厂竞争者数据汇总!D:H,2,FALSE)</f>
        <v>原厂目录</v>
      </c>
      <c r="D8" s="421" t="str">
        <f>VLOOKUP(B8,正厂竞争者数据汇总!D:H,3,FALSE)</f>
        <v>AL</v>
      </c>
      <c r="E8" s="430"/>
      <c r="F8" s="430">
        <v>115757.98</v>
      </c>
      <c r="G8" s="430"/>
      <c r="H8" s="430"/>
      <c r="I8" s="450"/>
      <c r="J8" s="451">
        <v>0.0495675209223013</v>
      </c>
      <c r="K8" s="451">
        <v>0.0563112116855349</v>
      </c>
      <c r="L8" s="451">
        <v>0.0678714697378497</v>
      </c>
      <c r="M8" s="452"/>
      <c r="N8" s="451"/>
      <c r="O8" s="430"/>
      <c r="P8" s="531" t="str">
        <f t="array" ref="P8">INDEX(正厂竞争者数据汇总!I:I,MATCH($A$1&amp;B8,正厂竞争者数据汇总!A:A&amp;正厂竞争者数据汇总!D:D,0))</f>
        <v>2022年1月 新加入 CompetitorSites
2022年1月 新加入 MarketingShare</v>
      </c>
      <c r="Q8" s="429"/>
      <c r="R8" s="421"/>
      <c r="S8" s="472">
        <v>2666</v>
      </c>
      <c r="T8" s="472">
        <v>306</v>
      </c>
      <c r="U8" s="466"/>
      <c r="V8" s="466"/>
      <c r="W8" s="466"/>
      <c r="X8" s="466"/>
      <c r="Y8" s="200" t="s">
        <v>236</v>
      </c>
      <c r="Z8" s="200">
        <v>2666</v>
      </c>
      <c r="AA8" s="200">
        <v>306</v>
      </c>
      <c r="AB8" s="410">
        <f t="shared" si="2"/>
        <v>1</v>
      </c>
      <c r="AC8" s="409">
        <f t="shared" si="0"/>
        <v>2666</v>
      </c>
      <c r="AD8" s="409">
        <f t="shared" si="1"/>
        <v>306</v>
      </c>
    </row>
    <row r="9" s="410" customFormat="1" spans="1:30">
      <c r="A9" s="432"/>
      <c r="B9" s="435"/>
      <c r="C9" s="434"/>
      <c r="D9" s="435"/>
      <c r="E9" s="430"/>
      <c r="F9" s="430"/>
      <c r="G9" s="430"/>
      <c r="H9" s="430"/>
      <c r="I9" s="453"/>
      <c r="J9" s="436"/>
      <c r="K9" s="436"/>
      <c r="L9" s="436"/>
      <c r="M9" s="451"/>
      <c r="N9" s="455"/>
      <c r="O9" s="436"/>
      <c r="P9" s="531"/>
      <c r="Q9" s="434"/>
      <c r="R9" s="435"/>
      <c r="S9" s="473" t="s">
        <v>180</v>
      </c>
      <c r="T9" s="473" t="s">
        <v>180</v>
      </c>
      <c r="U9" s="477"/>
      <c r="V9" s="466"/>
      <c r="W9" s="435"/>
      <c r="X9" s="435"/>
      <c r="Y9" s="200" t="s">
        <v>240</v>
      </c>
      <c r="Z9" s="200" t="s">
        <v>180</v>
      </c>
      <c r="AA9" s="200" t="s">
        <v>180</v>
      </c>
      <c r="AB9" s="410">
        <f t="shared" si="2"/>
        <v>0</v>
      </c>
      <c r="AC9" s="409" t="str">
        <f t="shared" si="0"/>
        <v/>
      </c>
      <c r="AD9" s="409" t="str">
        <f t="shared" si="1"/>
        <v/>
      </c>
    </row>
    <row r="10" s="408" customFormat="1" spans="1:30">
      <c r="A10" s="428"/>
      <c r="B10" s="421"/>
      <c r="C10" s="439"/>
      <c r="D10" s="421"/>
      <c r="E10" s="430"/>
      <c r="F10" s="430">
        <v>2335359.4823</v>
      </c>
      <c r="G10" s="430">
        <v>2122774.16666666</v>
      </c>
      <c r="H10" s="430">
        <v>2262821.16666667</v>
      </c>
      <c r="I10" s="453">
        <f>(F10/G10)-1</f>
        <v>0.100145045559489</v>
      </c>
      <c r="J10" s="451"/>
      <c r="K10" s="451"/>
      <c r="L10" s="451"/>
      <c r="M10" s="451"/>
      <c r="N10" s="451">
        <f>SUM(N3:N4)</f>
        <v>0</v>
      </c>
      <c r="O10" s="451"/>
      <c r="P10" s="531"/>
      <c r="Q10" s="429"/>
      <c r="R10" s="421"/>
      <c r="S10" s="473" t="s">
        <v>180</v>
      </c>
      <c r="T10" s="473" t="s">
        <v>180</v>
      </c>
      <c r="U10" s="466"/>
      <c r="V10" s="466"/>
      <c r="W10" s="421"/>
      <c r="X10" s="421"/>
      <c r="Y10" s="200" t="s">
        <v>240</v>
      </c>
      <c r="Z10" s="200" t="s">
        <v>180</v>
      </c>
      <c r="AA10" s="200" t="s">
        <v>180</v>
      </c>
      <c r="AB10" s="410">
        <f t="shared" si="2"/>
        <v>0</v>
      </c>
      <c r="AC10" s="409" t="str">
        <f t="shared" si="0"/>
        <v/>
      </c>
      <c r="AD10" s="409" t="str">
        <f t="shared" si="1"/>
        <v/>
      </c>
    </row>
    <row r="11" s="408" customFormat="1" spans="1:30">
      <c r="A11" s="428"/>
      <c r="B11" s="421"/>
      <c r="C11" s="439"/>
      <c r="D11" s="421"/>
      <c r="E11" s="430"/>
      <c r="F11" s="430"/>
      <c r="G11" s="430"/>
      <c r="H11" s="430"/>
      <c r="I11" s="453"/>
      <c r="J11" s="430"/>
      <c r="K11" s="430"/>
      <c r="L11" s="430"/>
      <c r="M11" s="451"/>
      <c r="N11" s="451"/>
      <c r="O11" s="430"/>
      <c r="P11" s="531"/>
      <c r="Q11" s="429"/>
      <c r="R11" s="421"/>
      <c r="S11" s="473" t="s">
        <v>180</v>
      </c>
      <c r="T11" s="473" t="s">
        <v>180</v>
      </c>
      <c r="U11" s="466"/>
      <c r="V11" s="466"/>
      <c r="W11" s="421"/>
      <c r="X11" s="421"/>
      <c r="Y11" s="200" t="s">
        <v>240</v>
      </c>
      <c r="Z11" s="200" t="s">
        <v>180</v>
      </c>
      <c r="AA11" s="200" t="s">
        <v>180</v>
      </c>
      <c r="AB11" s="410">
        <f t="shared" si="2"/>
        <v>0</v>
      </c>
      <c r="AC11" s="409" t="str">
        <f t="shared" si="0"/>
        <v/>
      </c>
      <c r="AD11" s="409" t="str">
        <f t="shared" si="1"/>
        <v/>
      </c>
    </row>
    <row r="12" s="408" customFormat="1" ht="17.4" spans="1:30">
      <c r="A12" s="418" t="s">
        <v>141</v>
      </c>
      <c r="B12" s="441"/>
      <c r="C12" s="420"/>
      <c r="D12" s="421"/>
      <c r="E12" s="422" t="s">
        <v>202</v>
      </c>
      <c r="F12" s="422"/>
      <c r="G12" s="422"/>
      <c r="H12" s="422"/>
      <c r="I12" s="422"/>
      <c r="J12" s="422"/>
      <c r="K12" s="422"/>
      <c r="L12" s="422"/>
      <c r="M12" s="443"/>
      <c r="N12" s="444"/>
      <c r="O12" s="422"/>
      <c r="P12" s="531"/>
      <c r="Q12" s="465"/>
      <c r="R12" s="424"/>
      <c r="S12" s="473" t="s">
        <v>180</v>
      </c>
      <c r="T12" s="473" t="s">
        <v>180</v>
      </c>
      <c r="U12" s="467"/>
      <c r="V12" s="467"/>
      <c r="W12" s="467"/>
      <c r="X12" s="467"/>
      <c r="Y12" s="200" t="s">
        <v>240</v>
      </c>
      <c r="Z12" s="200" t="s">
        <v>180</v>
      </c>
      <c r="AA12" s="200" t="s">
        <v>180</v>
      </c>
      <c r="AB12" s="410">
        <f t="shared" si="2"/>
        <v>0</v>
      </c>
      <c r="AC12" s="409" t="str">
        <f t="shared" si="0"/>
        <v/>
      </c>
      <c r="AD12" s="409" t="str">
        <f t="shared" si="1"/>
        <v/>
      </c>
    </row>
    <row r="13" s="409" customFormat="1" ht="48.6" spans="1:30">
      <c r="A13" s="423" t="s">
        <v>206</v>
      </c>
      <c r="B13" s="424" t="s">
        <v>207</v>
      </c>
      <c r="C13" s="425" t="s">
        <v>208</v>
      </c>
      <c r="D13" s="424" t="s">
        <v>209</v>
      </c>
      <c r="E13" s="426" t="s">
        <v>210</v>
      </c>
      <c r="F13" s="427" t="s">
        <v>396</v>
      </c>
      <c r="G13" s="427" t="s">
        <v>212</v>
      </c>
      <c r="H13" s="427" t="s">
        <v>397</v>
      </c>
      <c r="I13" s="427" t="s">
        <v>214</v>
      </c>
      <c r="J13" s="446" t="s">
        <v>387</v>
      </c>
      <c r="K13" s="446" t="s">
        <v>398</v>
      </c>
      <c r="L13" s="446" t="s">
        <v>399</v>
      </c>
      <c r="M13" s="447" t="s">
        <v>218</v>
      </c>
      <c r="N13" s="448" t="s">
        <v>219</v>
      </c>
      <c r="O13" s="449" t="s">
        <v>220</v>
      </c>
      <c r="P13" s="530" t="s">
        <v>221</v>
      </c>
      <c r="Q13" s="469" t="s">
        <v>222</v>
      </c>
      <c r="R13" s="426" t="s">
        <v>223</v>
      </c>
      <c r="S13" s="470" t="s">
        <v>224</v>
      </c>
      <c r="T13" s="470" t="s">
        <v>205</v>
      </c>
      <c r="U13" s="467" t="s">
        <v>225</v>
      </c>
      <c r="V13" s="470" t="s">
        <v>226</v>
      </c>
      <c r="W13" s="467"/>
      <c r="X13" s="467"/>
      <c r="Y13" s="200" t="s">
        <v>207</v>
      </c>
      <c r="Z13" s="200" t="s">
        <v>180</v>
      </c>
      <c r="AA13" s="200" t="s">
        <v>180</v>
      </c>
      <c r="AB13" s="410">
        <f t="shared" si="2"/>
        <v>1</v>
      </c>
      <c r="AC13" s="409" t="str">
        <f t="shared" si="0"/>
        <v>Forum Link</v>
      </c>
      <c r="AD13" s="409" t="str">
        <f t="shared" si="1"/>
        <v>Domains</v>
      </c>
    </row>
    <row r="14" s="410" customFormat="1" ht="17.4" spans="1:30">
      <c r="A14" s="432" t="s">
        <v>227</v>
      </c>
      <c r="B14" s="432" t="s">
        <v>142</v>
      </c>
      <c r="C14" s="434" t="str">
        <f>VLOOKUP(B14,正厂竞争者数据汇总!D:H,2,FALSE)</f>
        <v>原厂目录</v>
      </c>
      <c r="D14" s="435" t="str">
        <f>VLOOKUP(B14,正厂竞争者数据汇总!D:H,3,FALSE)</f>
        <v>CA</v>
      </c>
      <c r="E14" s="436">
        <f>VLOOKUP(B14,正厂竞争者数据汇总!D:H,4,FALSE)</f>
        <v>0</v>
      </c>
      <c r="F14" s="436">
        <v>753589.583333333</v>
      </c>
      <c r="G14" s="436">
        <v>506654</v>
      </c>
      <c r="H14" s="436">
        <v>541471.75</v>
      </c>
      <c r="I14" s="454">
        <f>(F14/G14)-1</f>
        <v>0.487385046468266</v>
      </c>
      <c r="J14" s="455">
        <v>0.371037150212324</v>
      </c>
      <c r="K14" s="455">
        <v>0.355682331079862</v>
      </c>
      <c r="L14" s="455">
        <v>0.301854310196029</v>
      </c>
      <c r="M14" s="456">
        <f>J14-K14</f>
        <v>0.0153548191324619</v>
      </c>
      <c r="N14" s="455" t="str">
        <f>IFERROR(O14*0.5/#REF!,"")</f>
        <v/>
      </c>
      <c r="O14" s="436" t="s">
        <v>180</v>
      </c>
      <c r="P14" s="531">
        <f t="array" ref="P14">INDEX(正厂竞争者数据汇总!I:I,MATCH($A$12&amp;B14,正厂竞争者数据汇总!A:A&amp;正厂竞争者数据汇总!D:D,0))</f>
        <v>0</v>
      </c>
      <c r="Q14" s="434" t="s">
        <v>241</v>
      </c>
      <c r="R14" s="435" t="s">
        <v>229</v>
      </c>
      <c r="S14" s="476">
        <v>42218</v>
      </c>
      <c r="T14" s="476">
        <v>4939</v>
      </c>
      <c r="U14" s="477"/>
      <c r="V14" s="477"/>
      <c r="W14" s="435"/>
      <c r="X14" s="435"/>
      <c r="Y14" s="200" t="s">
        <v>142</v>
      </c>
      <c r="Z14" s="200">
        <v>42218</v>
      </c>
      <c r="AA14" s="200">
        <v>4939</v>
      </c>
      <c r="AB14" s="410">
        <f t="shared" si="2"/>
        <v>1</v>
      </c>
      <c r="AC14" s="409">
        <f t="shared" si="0"/>
        <v>42218</v>
      </c>
      <c r="AD14" s="409">
        <f t="shared" si="1"/>
        <v>4939</v>
      </c>
    </row>
    <row r="15" s="408" customFormat="1" spans="1:30">
      <c r="A15" s="428" t="s">
        <v>243</v>
      </c>
      <c r="B15" s="421" t="s">
        <v>244</v>
      </c>
      <c r="C15" s="429" t="str">
        <f>VLOOKUP(B15,正厂竞争者数据汇总!D:H,2,FALSE)</f>
        <v>旧年份原厂、新年份Motor</v>
      </c>
      <c r="D15" s="421" t="str">
        <f>VLOOKUP(B15,正厂竞争者数据汇总!D:H,3,FALSE)</f>
        <v>FL</v>
      </c>
      <c r="E15" s="430"/>
      <c r="F15" s="430">
        <v>371781.75</v>
      </c>
      <c r="G15" s="430"/>
      <c r="H15" s="430"/>
      <c r="I15" s="450"/>
      <c r="J15" s="451">
        <v>0.183050355354944</v>
      </c>
      <c r="K15" s="451">
        <v>0.186775654728692</v>
      </c>
      <c r="L15" s="451">
        <v>0.18690476368229</v>
      </c>
      <c r="M15" s="452"/>
      <c r="N15" s="451"/>
      <c r="O15" s="430"/>
      <c r="P15" s="531">
        <f t="array" ref="P15">INDEX(正厂竞争者数据汇总!I:I,MATCH($A$12&amp;B15,正厂竞争者数据汇总!A:A&amp;正厂竞争者数据汇总!D:D,0))</f>
        <v>0</v>
      </c>
      <c r="Q15" s="429"/>
      <c r="R15" s="421"/>
      <c r="S15" s="472">
        <v>5818</v>
      </c>
      <c r="T15" s="472">
        <v>620</v>
      </c>
      <c r="U15" s="466"/>
      <c r="V15" s="466"/>
      <c r="W15" s="466"/>
      <c r="X15" s="466"/>
      <c r="Y15" s="200" t="s">
        <v>244</v>
      </c>
      <c r="Z15" s="200">
        <v>5818</v>
      </c>
      <c r="AA15" s="200">
        <v>620</v>
      </c>
      <c r="AB15" s="410">
        <f t="shared" si="2"/>
        <v>1</v>
      </c>
      <c r="AC15" s="409">
        <f t="shared" si="0"/>
        <v>5818</v>
      </c>
      <c r="AD15" s="409">
        <f t="shared" si="1"/>
        <v>620</v>
      </c>
    </row>
    <row r="16" s="408" customFormat="1" spans="1:30">
      <c r="A16" s="428" t="s">
        <v>230</v>
      </c>
      <c r="B16" s="421" t="s">
        <v>242</v>
      </c>
      <c r="C16" s="429" t="str">
        <f>VLOOKUP(B16,正厂竞争者数据汇总!D:H,2,FALSE)</f>
        <v>Motor目录</v>
      </c>
      <c r="D16" s="421" t="str">
        <f>VLOOKUP(B16,正厂竞争者数据汇总!D:H,3,FALSE)</f>
        <v>KS</v>
      </c>
      <c r="E16" s="430"/>
      <c r="F16" s="430">
        <v>356905.33</v>
      </c>
      <c r="G16" s="430"/>
      <c r="H16" s="430"/>
      <c r="I16" s="450"/>
      <c r="J16" s="451">
        <v>0.175725805488229</v>
      </c>
      <c r="K16" s="451">
        <v>0.165304057582987</v>
      </c>
      <c r="L16" s="451">
        <v>0.15468126631836</v>
      </c>
      <c r="M16" s="452"/>
      <c r="N16" s="451"/>
      <c r="O16" s="430"/>
      <c r="P16" s="531">
        <f t="array" ref="P16">INDEX(正厂竞争者数据汇总!I:I,MATCH($A$12&amp;B16,正厂竞争者数据汇总!A:A&amp;正厂竞争者数据汇总!D:D,0))</f>
        <v>0</v>
      </c>
      <c r="Q16" s="429"/>
      <c r="R16" s="421"/>
      <c r="S16" s="472">
        <v>1011324</v>
      </c>
      <c r="T16" s="472">
        <v>1281</v>
      </c>
      <c r="U16" s="466"/>
      <c r="V16" s="466"/>
      <c r="W16" s="466"/>
      <c r="X16" s="466"/>
      <c r="Y16" s="200" t="s">
        <v>242</v>
      </c>
      <c r="Z16" s="200">
        <v>1011324</v>
      </c>
      <c r="AA16" s="200">
        <v>1281</v>
      </c>
      <c r="AB16" s="410">
        <f t="shared" si="2"/>
        <v>1</v>
      </c>
      <c r="AC16" s="409">
        <f t="shared" si="0"/>
        <v>1011324</v>
      </c>
      <c r="AD16" s="409">
        <f t="shared" si="1"/>
        <v>1281</v>
      </c>
    </row>
    <row r="17" s="408" customFormat="1" spans="1:30">
      <c r="A17" s="428" t="s">
        <v>230</v>
      </c>
      <c r="B17" s="421" t="s">
        <v>245</v>
      </c>
      <c r="C17" s="429" t="str">
        <f>VLOOKUP(B17,正厂竞争者数据汇总!D:H,2,FALSE)</f>
        <v>Motor目录</v>
      </c>
      <c r="D17" s="421" t="str">
        <f>VLOOKUP(B17,正厂竞争者数据汇总!D:H,3,FALSE)</f>
        <v>SC,NC,MS</v>
      </c>
      <c r="E17" s="430"/>
      <c r="F17" s="430">
        <v>176545.833333333</v>
      </c>
      <c r="G17" s="430"/>
      <c r="H17" s="430"/>
      <c r="I17" s="450"/>
      <c r="J17" s="451">
        <v>0.0869240556538917</v>
      </c>
      <c r="K17" s="451">
        <v>0.103886471922923</v>
      </c>
      <c r="L17" s="451">
        <v>0.11625456757181</v>
      </c>
      <c r="M17" s="452"/>
      <c r="N17" s="451"/>
      <c r="O17" s="430"/>
      <c r="P17" s="531" t="str">
        <f t="array" ref="P17">INDEX(正厂竞争者数据汇总!I:I,MATCH($A$12&amp;B17,正厂竞争者数据汇总!A:A&amp;正厂竞争者数据汇总!D:D,0))</f>
        <v>2021年02新加竞争者</v>
      </c>
      <c r="Q17" s="429"/>
      <c r="R17" s="421"/>
      <c r="S17" s="472">
        <v>3883</v>
      </c>
      <c r="T17" s="472">
        <v>375</v>
      </c>
      <c r="U17" s="466"/>
      <c r="V17" s="466"/>
      <c r="W17" s="466"/>
      <c r="X17" s="466"/>
      <c r="Y17" s="200" t="s">
        <v>245</v>
      </c>
      <c r="Z17" s="200">
        <v>3883</v>
      </c>
      <c r="AA17" s="200">
        <v>375</v>
      </c>
      <c r="AB17" s="410">
        <f t="shared" si="2"/>
        <v>1</v>
      </c>
      <c r="AC17" s="409">
        <f t="shared" si="0"/>
        <v>3883</v>
      </c>
      <c r="AD17" s="409">
        <f t="shared" si="1"/>
        <v>375</v>
      </c>
    </row>
    <row r="18" s="408" customFormat="1" spans="1:30">
      <c r="A18" s="428" t="s">
        <v>230</v>
      </c>
      <c r="B18" s="421" t="s">
        <v>248</v>
      </c>
      <c r="C18" s="429" t="str">
        <f>VLOOKUP(B18,正厂竞争者数据汇总!D:H,2,FALSE)</f>
        <v>Motor</v>
      </c>
      <c r="D18" s="421" t="str">
        <f>VLOOKUP(B18,正厂竞争者数据汇总!D:H,3,FALSE)</f>
        <v>VA</v>
      </c>
      <c r="E18" s="430"/>
      <c r="F18" s="430">
        <v>131856.104</v>
      </c>
      <c r="G18" s="430"/>
      <c r="H18" s="430"/>
      <c r="I18" s="450"/>
      <c r="J18" s="451">
        <v>0.0649206333902038</v>
      </c>
      <c r="K18" s="451">
        <v>0.0574828013579635</v>
      </c>
      <c r="L18" s="451">
        <v>0.0895307025188819</v>
      </c>
      <c r="M18" s="452"/>
      <c r="N18" s="451"/>
      <c r="O18" s="430"/>
      <c r="P18" s="531" t="str">
        <f t="array" ref="P18">INDEX(正厂竞争者数据汇总!I:I,MATCH($A$12&amp;B18,正厂竞争者数据汇总!A:A&amp;正厂竞争者数据汇总!D:D,0))</f>
        <v>2023年11月新增，toyotaparts.mcgeorgetoyota.com将流量导出至此网站，10月报告中更换竞品名称为toyotaparts.mcgeorgetoyota.com</v>
      </c>
      <c r="Q18" s="429"/>
      <c r="R18" s="421"/>
      <c r="S18" s="472">
        <v>69</v>
      </c>
      <c r="T18" s="472">
        <v>19</v>
      </c>
      <c r="U18" s="466"/>
      <c r="V18" s="466"/>
      <c r="W18" s="466"/>
      <c r="X18" s="466"/>
      <c r="Y18" s="200" t="s">
        <v>248</v>
      </c>
      <c r="Z18" s="200">
        <v>69</v>
      </c>
      <c r="AA18" s="200">
        <v>19</v>
      </c>
      <c r="AB18" s="410">
        <f t="shared" si="2"/>
        <v>1</v>
      </c>
      <c r="AC18" s="409">
        <f t="shared" si="0"/>
        <v>69</v>
      </c>
      <c r="AD18" s="409">
        <f t="shared" si="1"/>
        <v>19</v>
      </c>
    </row>
    <row r="19" s="408" customFormat="1" ht="17.4" spans="1:30">
      <c r="A19" s="428" t="s">
        <v>230</v>
      </c>
      <c r="B19" s="421" t="s">
        <v>249</v>
      </c>
      <c r="C19" s="429" t="s">
        <v>247</v>
      </c>
      <c r="D19" s="421" t="s">
        <v>250</v>
      </c>
      <c r="E19" s="430"/>
      <c r="F19" s="430">
        <v>120917.921666667</v>
      </c>
      <c r="G19" s="430"/>
      <c r="H19" s="430"/>
      <c r="I19" s="450"/>
      <c r="J19" s="451">
        <v>0.0595351130868167</v>
      </c>
      <c r="K19" s="451">
        <v>0.065950759501455</v>
      </c>
      <c r="L19" s="451">
        <v>0.0800104864891672</v>
      </c>
      <c r="M19" s="452"/>
      <c r="N19" s="451"/>
      <c r="O19" s="430"/>
      <c r="P19" s="531" t="str">
        <f t="array" ref="P19">INDEX(正厂竞争者数据汇总!I:I,MATCH($A$12&amp;B19,正厂竞争者数据汇总!A:A&amp;正厂竞争者数据汇总!D:D,0))</f>
        <v>2023年2月新增正厂</v>
      </c>
      <c r="Q19" s="429"/>
      <c r="R19" s="421"/>
      <c r="S19" s="472">
        <v>2863</v>
      </c>
      <c r="T19" s="472">
        <v>190</v>
      </c>
      <c r="U19" s="466"/>
      <c r="V19" s="466"/>
      <c r="W19" s="466"/>
      <c r="X19" s="466"/>
      <c r="Y19" s="200" t="s">
        <v>249</v>
      </c>
      <c r="Z19" s="200">
        <v>2863</v>
      </c>
      <c r="AA19" s="200">
        <v>190</v>
      </c>
      <c r="AB19" s="410">
        <f t="shared" si="2"/>
        <v>1</v>
      </c>
      <c r="AC19" s="409">
        <f t="shared" si="0"/>
        <v>2863</v>
      </c>
      <c r="AD19" s="409">
        <f t="shared" si="1"/>
        <v>190</v>
      </c>
    </row>
    <row r="20" s="408" customFormat="1" ht="17.4" spans="1:30">
      <c r="A20" s="428" t="s">
        <v>230</v>
      </c>
      <c r="B20" s="421" t="s">
        <v>246</v>
      </c>
      <c r="C20" s="429" t="s">
        <v>247</v>
      </c>
      <c r="D20" s="421" t="s">
        <v>49</v>
      </c>
      <c r="E20" s="430"/>
      <c r="F20" s="430">
        <v>119438.868333333</v>
      </c>
      <c r="G20" s="430"/>
      <c r="H20" s="430"/>
      <c r="I20" s="450"/>
      <c r="J20" s="451">
        <v>0.0588068868135914</v>
      </c>
      <c r="K20" s="451">
        <v>0.0649179238261167</v>
      </c>
      <c r="L20" s="451">
        <v>0.0707639032234605</v>
      </c>
      <c r="M20" s="452"/>
      <c r="N20" s="451"/>
      <c r="O20" s="430"/>
      <c r="P20" s="531" t="str">
        <f t="array" ref="P20">INDEX(正厂竞争者数据汇总!I:I,MATCH($A$12&amp;B20,正厂竞争者数据汇总!A:A&amp;正厂竞争者数据汇总!D:D,0))</f>
        <v>2023年2月新增正厂</v>
      </c>
      <c r="Q20" s="429"/>
      <c r="R20" s="421"/>
      <c r="S20" s="472">
        <v>1996</v>
      </c>
      <c r="T20" s="472">
        <v>157</v>
      </c>
      <c r="U20" s="466"/>
      <c r="V20" s="466"/>
      <c r="W20" s="466"/>
      <c r="X20" s="466"/>
      <c r="Y20" s="200" t="s">
        <v>246</v>
      </c>
      <c r="Z20" s="200">
        <v>1996</v>
      </c>
      <c r="AA20" s="200">
        <v>157</v>
      </c>
      <c r="AB20" s="410">
        <f t="shared" si="2"/>
        <v>1</v>
      </c>
      <c r="AC20" s="409">
        <f t="shared" si="0"/>
        <v>1996</v>
      </c>
      <c r="AD20" s="409">
        <f t="shared" si="1"/>
        <v>157</v>
      </c>
    </row>
    <row r="21" s="410" customFormat="1" spans="1:30">
      <c r="A21" s="428"/>
      <c r="B21" s="438"/>
      <c r="C21" s="429"/>
      <c r="D21" s="421"/>
      <c r="E21" s="430"/>
      <c r="F21" s="430"/>
      <c r="G21" s="430"/>
      <c r="H21" s="430"/>
      <c r="I21" s="453"/>
      <c r="J21" s="463"/>
      <c r="K21" s="463"/>
      <c r="L21" s="463"/>
      <c r="M21" s="451"/>
      <c r="N21" s="459"/>
      <c r="O21" s="430"/>
      <c r="P21" s="531"/>
      <c r="Q21" s="429"/>
      <c r="R21" s="435"/>
      <c r="S21" s="473" t="s">
        <v>180</v>
      </c>
      <c r="T21" s="473" t="s">
        <v>180</v>
      </c>
      <c r="U21" s="466"/>
      <c r="V21" s="466"/>
      <c r="W21" s="421"/>
      <c r="X21" s="421"/>
      <c r="Y21" s="200" t="s">
        <v>240</v>
      </c>
      <c r="Z21" s="200" t="s">
        <v>180</v>
      </c>
      <c r="AA21" s="200" t="s">
        <v>180</v>
      </c>
      <c r="AB21" s="410">
        <f t="shared" si="2"/>
        <v>0</v>
      </c>
      <c r="AC21" s="409" t="str">
        <f t="shared" si="0"/>
        <v/>
      </c>
      <c r="AD21" s="409" t="str">
        <f t="shared" si="1"/>
        <v/>
      </c>
    </row>
    <row r="22" s="408" customFormat="1" spans="1:30">
      <c r="A22" s="428"/>
      <c r="B22" s="421"/>
      <c r="C22" s="439"/>
      <c r="D22" s="421"/>
      <c r="E22" s="430"/>
      <c r="F22" s="430">
        <v>2031035.39066667</v>
      </c>
      <c r="G22" s="430">
        <v>1471722.72</v>
      </c>
      <c r="H22" s="430">
        <v>1511577.56416667</v>
      </c>
      <c r="I22" s="453">
        <f>(F22/G22)-1</f>
        <v>0.380039434783388</v>
      </c>
      <c r="J22" s="430"/>
      <c r="K22" s="513"/>
      <c r="L22" s="430"/>
      <c r="M22" s="451"/>
      <c r="N22" s="459"/>
      <c r="O22" s="430"/>
      <c r="P22" s="531"/>
      <c r="Q22" s="429" t="s">
        <v>180</v>
      </c>
      <c r="R22" s="421"/>
      <c r="S22" s="473" t="s">
        <v>180</v>
      </c>
      <c r="T22" s="473" t="s">
        <v>180</v>
      </c>
      <c r="U22" s="466"/>
      <c r="V22" s="466"/>
      <c r="W22" s="421"/>
      <c r="X22" s="421"/>
      <c r="Y22" s="200" t="s">
        <v>240</v>
      </c>
      <c r="Z22" s="200" t="s">
        <v>180</v>
      </c>
      <c r="AA22" s="200" t="s">
        <v>180</v>
      </c>
      <c r="AB22" s="410">
        <f t="shared" si="2"/>
        <v>0</v>
      </c>
      <c r="AC22" s="409" t="str">
        <f t="shared" si="0"/>
        <v/>
      </c>
      <c r="AD22" s="409" t="str">
        <f t="shared" si="1"/>
        <v/>
      </c>
    </row>
    <row r="23" s="408" customFormat="1" spans="1:30">
      <c r="A23" s="428"/>
      <c r="B23" s="421"/>
      <c r="C23" s="439"/>
      <c r="D23" s="421"/>
      <c r="E23" s="430"/>
      <c r="F23" s="430"/>
      <c r="G23" s="430"/>
      <c r="H23" s="430"/>
      <c r="I23" s="453"/>
      <c r="J23" s="430"/>
      <c r="K23" s="430"/>
      <c r="L23" s="430"/>
      <c r="M23" s="451"/>
      <c r="N23" s="451"/>
      <c r="O23" s="430"/>
      <c r="P23" s="531"/>
      <c r="Q23" s="429"/>
      <c r="R23" s="421"/>
      <c r="S23" s="473" t="s">
        <v>180</v>
      </c>
      <c r="T23" s="473" t="s">
        <v>180</v>
      </c>
      <c r="U23" s="466"/>
      <c r="V23" s="466"/>
      <c r="W23" s="421"/>
      <c r="X23" s="421"/>
      <c r="Y23" s="200" t="s">
        <v>240</v>
      </c>
      <c r="Z23" s="200" t="s">
        <v>180</v>
      </c>
      <c r="AA23" s="200" t="s">
        <v>180</v>
      </c>
      <c r="AB23" s="410">
        <f t="shared" si="2"/>
        <v>0</v>
      </c>
      <c r="AC23" s="409" t="str">
        <f t="shared" si="0"/>
        <v/>
      </c>
      <c r="AD23" s="409" t="str">
        <f t="shared" si="1"/>
        <v/>
      </c>
    </row>
    <row r="24" s="408" customFormat="1" ht="17.4" spans="1:30">
      <c r="A24" s="418" t="s">
        <v>145</v>
      </c>
      <c r="B24" s="419"/>
      <c r="C24" s="420"/>
      <c r="D24" s="421"/>
      <c r="E24" s="422" t="s">
        <v>202</v>
      </c>
      <c r="F24" s="422"/>
      <c r="G24" s="422"/>
      <c r="H24" s="422"/>
      <c r="I24" s="422"/>
      <c r="J24" s="422"/>
      <c r="K24" s="422"/>
      <c r="L24" s="422"/>
      <c r="M24" s="443"/>
      <c r="N24" s="444"/>
      <c r="O24" s="422"/>
      <c r="P24" s="529"/>
      <c r="Q24" s="465"/>
      <c r="R24" s="424"/>
      <c r="S24" s="421" t="s">
        <v>180</v>
      </c>
      <c r="T24" s="421" t="s">
        <v>180</v>
      </c>
      <c r="U24" s="466"/>
      <c r="V24" s="467"/>
      <c r="W24" s="467"/>
      <c r="X24" s="467"/>
      <c r="Y24" s="200" t="s">
        <v>240</v>
      </c>
      <c r="Z24" s="200" t="s">
        <v>180</v>
      </c>
      <c r="AA24" s="200" t="s">
        <v>180</v>
      </c>
      <c r="AB24" s="410">
        <f t="shared" si="2"/>
        <v>0</v>
      </c>
      <c r="AC24" s="409" t="str">
        <f t="shared" si="0"/>
        <v/>
      </c>
      <c r="AD24" s="409" t="str">
        <f t="shared" si="1"/>
        <v/>
      </c>
    </row>
    <row r="25" s="409" customFormat="1" ht="48.6" spans="1:30">
      <c r="A25" s="423" t="s">
        <v>206</v>
      </c>
      <c r="B25" s="424" t="s">
        <v>207</v>
      </c>
      <c r="C25" s="425" t="s">
        <v>208</v>
      </c>
      <c r="D25" s="424" t="s">
        <v>209</v>
      </c>
      <c r="E25" s="426" t="s">
        <v>210</v>
      </c>
      <c r="F25" s="427" t="s">
        <v>396</v>
      </c>
      <c r="G25" s="427" t="s">
        <v>212</v>
      </c>
      <c r="H25" s="427" t="s">
        <v>397</v>
      </c>
      <c r="I25" s="427" t="s">
        <v>214</v>
      </c>
      <c r="J25" s="446" t="s">
        <v>387</v>
      </c>
      <c r="K25" s="446" t="s">
        <v>398</v>
      </c>
      <c r="L25" s="446" t="s">
        <v>399</v>
      </c>
      <c r="M25" s="447" t="s">
        <v>218</v>
      </c>
      <c r="N25" s="448" t="s">
        <v>219</v>
      </c>
      <c r="O25" s="449" t="s">
        <v>220</v>
      </c>
      <c r="P25" s="530" t="s">
        <v>221</v>
      </c>
      <c r="Q25" s="469" t="s">
        <v>222</v>
      </c>
      <c r="R25" s="426" t="s">
        <v>223</v>
      </c>
      <c r="S25" s="470" t="s">
        <v>224</v>
      </c>
      <c r="T25" s="470" t="s">
        <v>205</v>
      </c>
      <c r="U25" s="467" t="s">
        <v>225</v>
      </c>
      <c r="V25" s="470" t="s">
        <v>226</v>
      </c>
      <c r="W25" s="467"/>
      <c r="X25" s="467"/>
      <c r="Y25" s="200" t="s">
        <v>207</v>
      </c>
      <c r="Z25" s="200" t="s">
        <v>180</v>
      </c>
      <c r="AA25" s="200" t="s">
        <v>180</v>
      </c>
      <c r="AB25" s="410">
        <f t="shared" si="2"/>
        <v>1</v>
      </c>
      <c r="AC25" s="409" t="str">
        <f t="shared" si="0"/>
        <v>Forum Link</v>
      </c>
      <c r="AD25" s="409" t="str">
        <f t="shared" si="1"/>
        <v>Domains</v>
      </c>
    </row>
    <row r="26" s="410" customFormat="1" spans="1:30">
      <c r="A26" s="432" t="s">
        <v>227</v>
      </c>
      <c r="B26" s="432" t="s">
        <v>146</v>
      </c>
      <c r="C26" s="434" t="str">
        <f>VLOOKUP(B26,正厂竞争者数据汇总!D:H,2,FALSE)</f>
        <v>原厂目录</v>
      </c>
      <c r="D26" s="435" t="str">
        <f>VLOOKUP(B26,正厂竞争者数据汇总!D:H,3,FALSE)</f>
        <v>AZ</v>
      </c>
      <c r="E26" s="436"/>
      <c r="F26" s="436">
        <v>601672.583333333</v>
      </c>
      <c r="G26" s="436"/>
      <c r="H26" s="436"/>
      <c r="I26" s="510"/>
      <c r="J26" s="457">
        <v>0.300354830882225</v>
      </c>
      <c r="K26" s="457">
        <v>0.299558229274056</v>
      </c>
      <c r="L26" s="457">
        <v>0.295755001385393</v>
      </c>
      <c r="M26" s="461"/>
      <c r="N26" s="457"/>
      <c r="O26" s="436"/>
      <c r="P26" s="531">
        <f t="array" ref="P26">INDEX(正厂竞争者数据汇总!I:I,MATCH($A$24&amp;B26,正厂竞争者数据汇总!A:A&amp;正厂竞争者数据汇总!D:D,0))</f>
        <v>0</v>
      </c>
      <c r="Q26" s="434"/>
      <c r="R26" s="435"/>
      <c r="S26" s="476">
        <v>30066</v>
      </c>
      <c r="T26" s="476">
        <v>4690</v>
      </c>
      <c r="U26" s="477"/>
      <c r="V26" s="477"/>
      <c r="W26" s="477"/>
      <c r="X26" s="477"/>
      <c r="Y26" s="200" t="s">
        <v>146</v>
      </c>
      <c r="Z26" s="200">
        <v>30066</v>
      </c>
      <c r="AA26" s="200">
        <v>4690</v>
      </c>
      <c r="AB26" s="410">
        <f t="shared" si="2"/>
        <v>1</v>
      </c>
      <c r="AC26" s="409">
        <f t="shared" si="0"/>
        <v>30066</v>
      </c>
      <c r="AD26" s="409">
        <f t="shared" si="1"/>
        <v>4690</v>
      </c>
    </row>
    <row r="27" s="408" customFormat="1" spans="1:30">
      <c r="A27" s="428" t="s">
        <v>230</v>
      </c>
      <c r="B27" s="421" t="s">
        <v>251</v>
      </c>
      <c r="C27" s="429" t="str">
        <f>VLOOKUP(B27,正厂竞争者数据汇总!D:H,2,FALSE)</f>
        <v>Motor目录</v>
      </c>
      <c r="D27" s="421" t="str">
        <f>VLOOKUP(B27,正厂竞争者数据汇总!D:H,3,FALSE)</f>
        <v>NC</v>
      </c>
      <c r="E27" s="430"/>
      <c r="F27" s="430">
        <v>418959.833333333</v>
      </c>
      <c r="G27" s="430"/>
      <c r="H27" s="430"/>
      <c r="I27" s="450"/>
      <c r="J27" s="451">
        <v>0.20914466334851</v>
      </c>
      <c r="K27" s="451">
        <v>0.211167152043391</v>
      </c>
      <c r="L27" s="451">
        <v>0.250811952688669</v>
      </c>
      <c r="M27" s="452"/>
      <c r="N27" s="451"/>
      <c r="O27" s="430"/>
      <c r="P27" s="531">
        <f t="array" ref="P27">INDEX(正厂竞争者数据汇总!I:I,MATCH($A$24&amp;B27,正厂竞争者数据汇总!A:A&amp;正厂竞争者数据汇总!D:D,0))</f>
        <v>0</v>
      </c>
      <c r="Q27" s="429" t="s">
        <v>180</v>
      </c>
      <c r="R27" s="421" t="s">
        <v>180</v>
      </c>
      <c r="S27" s="472">
        <v>106261</v>
      </c>
      <c r="T27" s="472">
        <v>2197</v>
      </c>
      <c r="U27" s="466"/>
      <c r="V27" s="466"/>
      <c r="W27" s="466"/>
      <c r="X27" s="466"/>
      <c r="Y27" s="200" t="s">
        <v>251</v>
      </c>
      <c r="Z27" s="200">
        <v>106261</v>
      </c>
      <c r="AA27" s="200">
        <v>2197</v>
      </c>
      <c r="AB27" s="410">
        <f t="shared" si="2"/>
        <v>1</v>
      </c>
      <c r="AC27" s="409">
        <f t="shared" si="0"/>
        <v>106261</v>
      </c>
      <c r="AD27" s="409">
        <f t="shared" si="1"/>
        <v>2197</v>
      </c>
    </row>
    <row r="28" s="408" customFormat="1" spans="1:30">
      <c r="A28" s="428" t="s">
        <v>230</v>
      </c>
      <c r="B28" s="421" t="s">
        <v>252</v>
      </c>
      <c r="C28" s="429" t="str">
        <f>VLOOKUP(B28,正厂竞争者数据汇总!D:H,2,FALSE)</f>
        <v>Motor目录</v>
      </c>
      <c r="D28" s="421" t="str">
        <f>VLOOKUP(B28,正厂竞争者数据汇总!D:H,3,FALSE)</f>
        <v>AZ</v>
      </c>
      <c r="E28" s="430"/>
      <c r="F28" s="430">
        <v>282928.083333333</v>
      </c>
      <c r="G28" s="430"/>
      <c r="H28" s="430"/>
      <c r="I28" s="450"/>
      <c r="J28" s="451">
        <v>0.141237641493689</v>
      </c>
      <c r="K28" s="451">
        <v>0.13562694816651</v>
      </c>
      <c r="L28" s="451">
        <v>0.13075031317606</v>
      </c>
      <c r="M28" s="452"/>
      <c r="N28" s="451"/>
      <c r="O28" s="430"/>
      <c r="P28" s="531">
        <f t="array" ref="P28">INDEX(正厂竞争者数据汇总!I:I,MATCH($A$24&amp;B28,正厂竞争者数据汇总!A:A&amp;正厂竞争者数据汇总!D:D,0))</f>
        <v>0</v>
      </c>
      <c r="Q28" s="429" t="s">
        <v>180</v>
      </c>
      <c r="R28" s="421" t="s">
        <v>180</v>
      </c>
      <c r="S28" s="472">
        <v>10566</v>
      </c>
      <c r="T28" s="472">
        <v>908</v>
      </c>
      <c r="U28" s="466"/>
      <c r="V28" s="466"/>
      <c r="W28" s="466"/>
      <c r="X28" s="466"/>
      <c r="Y28" s="200" t="s">
        <v>252</v>
      </c>
      <c r="Z28" s="200">
        <v>10566</v>
      </c>
      <c r="AA28" s="200">
        <v>908</v>
      </c>
      <c r="AB28" s="410">
        <f t="shared" si="2"/>
        <v>1</v>
      </c>
      <c r="AC28" s="409">
        <f t="shared" si="0"/>
        <v>10566</v>
      </c>
      <c r="AD28" s="409">
        <f t="shared" si="1"/>
        <v>908</v>
      </c>
    </row>
    <row r="29" s="408" customFormat="1" spans="1:30">
      <c r="A29" s="428" t="s">
        <v>391</v>
      </c>
      <c r="B29" s="421" t="s">
        <v>256</v>
      </c>
      <c r="C29" s="429" t="str">
        <f>VLOOKUP(B29,正厂竞争者数据汇总!D:H,2,FALSE)</f>
        <v>原厂目录</v>
      </c>
      <c r="D29" s="421" t="str">
        <f>VLOOKUP(B29,正厂竞争者数据汇总!D:H,3,FALSE)</f>
        <v>KY</v>
      </c>
      <c r="E29" s="430"/>
      <c r="F29" s="430">
        <v>198953.766666667</v>
      </c>
      <c r="G29" s="430"/>
      <c r="H29" s="430"/>
      <c r="I29" s="450"/>
      <c r="J29" s="451">
        <v>0.0993176797411799</v>
      </c>
      <c r="K29" s="451">
        <v>0.0998889275141105</v>
      </c>
      <c r="L29" s="451">
        <v>0.0889244574706326</v>
      </c>
      <c r="M29" s="452"/>
      <c r="N29" s="451"/>
      <c r="O29" s="430"/>
      <c r="P29" s="531">
        <f t="array" ref="P29">INDEX(正厂竞争者数据汇总!I:I,MATCH($A$24&amp;B29,正厂竞争者数据汇总!A:A&amp;正厂竞争者数据汇总!D:D,0))</f>
        <v>0</v>
      </c>
      <c r="Q29" s="429" t="s">
        <v>257</v>
      </c>
      <c r="R29" s="421" t="s">
        <v>229</v>
      </c>
      <c r="S29" s="472">
        <v>18136</v>
      </c>
      <c r="T29" s="472">
        <v>1815</v>
      </c>
      <c r="U29" s="466"/>
      <c r="V29" s="466"/>
      <c r="W29" s="466"/>
      <c r="X29" s="466"/>
      <c r="Y29" s="200" t="s">
        <v>256</v>
      </c>
      <c r="Z29" s="200">
        <v>18136</v>
      </c>
      <c r="AA29" s="200">
        <v>1815</v>
      </c>
      <c r="AB29" s="410">
        <f t="shared" si="2"/>
        <v>1</v>
      </c>
      <c r="AC29" s="409">
        <f t="shared" si="0"/>
        <v>18136</v>
      </c>
      <c r="AD29" s="409">
        <f t="shared" si="1"/>
        <v>1815</v>
      </c>
    </row>
    <row r="30" s="408" customFormat="1" spans="1:30">
      <c r="A30" s="428" t="s">
        <v>230</v>
      </c>
      <c r="B30" s="421" t="s">
        <v>258</v>
      </c>
      <c r="C30" s="429" t="str">
        <f>VLOOKUP(B30,正厂竞争者数据汇总!D:H,2,FALSE)</f>
        <v>Motor目录</v>
      </c>
      <c r="D30" s="421" t="str">
        <f>VLOOKUP(B30,正厂竞争者数据汇总!D:H,3,FALSE)</f>
        <v>NM</v>
      </c>
      <c r="E30" s="430"/>
      <c r="F30" s="430">
        <v>192503.916666667</v>
      </c>
      <c r="G30" s="430"/>
      <c r="H30" s="430"/>
      <c r="I30" s="450"/>
      <c r="J30" s="451">
        <v>0.0960979159366981</v>
      </c>
      <c r="K30" s="451">
        <v>0.103695899606534</v>
      </c>
      <c r="L30" s="451">
        <v>0.0939242147754185</v>
      </c>
      <c r="M30" s="452"/>
      <c r="N30" s="451"/>
      <c r="O30" s="430"/>
      <c r="P30" s="531">
        <f t="array" ref="P30">INDEX(正厂竞争者数据汇总!I:I,MATCH($A$24&amp;B30,正厂竞争者数据汇总!A:A&amp;正厂竞争者数据汇总!D:D,0))</f>
        <v>0</v>
      </c>
      <c r="Q30" s="429" t="s">
        <v>180</v>
      </c>
      <c r="R30" s="421"/>
      <c r="S30" s="472">
        <v>2408</v>
      </c>
      <c r="T30" s="472">
        <v>483</v>
      </c>
      <c r="U30" s="466"/>
      <c r="V30" s="466"/>
      <c r="W30" s="466"/>
      <c r="X30" s="466"/>
      <c r="Y30" s="200" t="s">
        <v>258</v>
      </c>
      <c r="Z30" s="200">
        <v>2408</v>
      </c>
      <c r="AA30" s="200">
        <v>483</v>
      </c>
      <c r="AB30" s="410">
        <f t="shared" si="2"/>
        <v>1</v>
      </c>
      <c r="AC30" s="409">
        <f t="shared" si="0"/>
        <v>2408</v>
      </c>
      <c r="AD30" s="409">
        <f t="shared" si="1"/>
        <v>483</v>
      </c>
    </row>
    <row r="31" s="408" customFormat="1" ht="17.4" spans="1:30">
      <c r="A31" s="428" t="s">
        <v>230</v>
      </c>
      <c r="B31" s="421" t="s">
        <v>253</v>
      </c>
      <c r="C31" s="429" t="str">
        <f>VLOOKUP(B31,正厂竞争者数据汇总!D:H,2,FALSE)</f>
        <v>Motor目录</v>
      </c>
      <c r="D31" s="421" t="str">
        <f>VLOOKUP(B31,正厂竞争者数据汇总!D:H,3,FALSE)</f>
        <v>TX</v>
      </c>
      <c r="E31" s="430"/>
      <c r="F31" s="430">
        <v>165279.58</v>
      </c>
      <c r="G31" s="430"/>
      <c r="H31" s="430"/>
      <c r="I31" s="450"/>
      <c r="J31" s="451">
        <v>0.0825075326254024</v>
      </c>
      <c r="K31" s="451">
        <v>0.0657926497800276</v>
      </c>
      <c r="L31" s="451">
        <v>0.0572155340779897</v>
      </c>
      <c r="M31" s="452"/>
      <c r="N31" s="451"/>
      <c r="O31" s="430"/>
      <c r="P31" s="531" t="str">
        <f t="array" ref="P31">INDEX(正厂竞争者数据汇总!I:I,MATCH($A$24&amp;B31,正厂竞争者数据汇总!A:A&amp;正厂竞争者数据汇总!D:D,0))</f>
        <v>202306，原竞品gmpartsonline.net将网站导流至此，现新网站正式成为新增竞品</v>
      </c>
      <c r="Q31" s="434" t="s">
        <v>254</v>
      </c>
      <c r="R31" s="421" t="s">
        <v>229</v>
      </c>
      <c r="S31" s="472">
        <v>359</v>
      </c>
      <c r="T31" s="472">
        <v>158</v>
      </c>
      <c r="U31" s="466"/>
      <c r="V31" s="466"/>
      <c r="W31" s="466"/>
      <c r="X31" s="466"/>
      <c r="Y31" s="200" t="s">
        <v>253</v>
      </c>
      <c r="Z31" s="200">
        <v>359</v>
      </c>
      <c r="AA31" s="200">
        <v>158</v>
      </c>
      <c r="AB31" s="410">
        <f t="shared" si="2"/>
        <v>1</v>
      </c>
      <c r="AC31" s="409">
        <f t="shared" si="0"/>
        <v>359</v>
      </c>
      <c r="AD31" s="409">
        <f t="shared" si="1"/>
        <v>158</v>
      </c>
    </row>
    <row r="32" s="408" customFormat="1" spans="1:30">
      <c r="A32" s="428" t="s">
        <v>230</v>
      </c>
      <c r="B32" s="421" t="s">
        <v>255</v>
      </c>
      <c r="C32" s="429" t="str">
        <f>VLOOKUP(B32,正厂竞争者数据汇总!D:H,2,FALSE)</f>
        <v>Motor目录</v>
      </c>
      <c r="D32" s="421" t="str">
        <f>VLOOKUP(B32,正厂竞争者数据汇总!D:H,3,FALSE)</f>
        <v>RI</v>
      </c>
      <c r="E32" s="430"/>
      <c r="F32" s="430">
        <v>142908.183333333</v>
      </c>
      <c r="G32" s="430"/>
      <c r="H32" s="430"/>
      <c r="I32" s="450"/>
      <c r="J32" s="451">
        <v>0.0713397359722959</v>
      </c>
      <c r="K32" s="451">
        <v>0.0842701936153702</v>
      </c>
      <c r="L32" s="451">
        <v>0.0826185264258369</v>
      </c>
      <c r="M32" s="452"/>
      <c r="N32" s="451"/>
      <c r="O32" s="430"/>
      <c r="P32" s="531" t="str">
        <f t="array" ref="P32">INDEX(正厂竞争者数据汇总!I:I,MATCH($A$24&amp;B32,正厂竞争者数据汇总!A:A&amp;正厂竞争者数据汇总!D:D,0))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32" s="429" t="s">
        <v>180</v>
      </c>
      <c r="R32" s="421" t="s">
        <v>180</v>
      </c>
      <c r="S32" s="472">
        <v>38224</v>
      </c>
      <c r="T32" s="472">
        <v>1673</v>
      </c>
      <c r="U32" s="466"/>
      <c r="V32" s="466"/>
      <c r="W32" s="466"/>
      <c r="X32" s="466"/>
      <c r="Y32" s="200" t="s">
        <v>255</v>
      </c>
      <c r="Z32" s="200">
        <v>38224</v>
      </c>
      <c r="AA32" s="200">
        <v>1673</v>
      </c>
      <c r="AB32" s="410">
        <f t="shared" si="2"/>
        <v>1</v>
      </c>
      <c r="AC32" s="409">
        <f t="shared" si="0"/>
        <v>38224</v>
      </c>
      <c r="AD32" s="409">
        <f t="shared" si="1"/>
        <v>1673</v>
      </c>
    </row>
    <row r="33" s="410" customFormat="1" spans="1:30">
      <c r="A33" s="428"/>
      <c r="B33" s="431"/>
      <c r="C33" s="429"/>
      <c r="D33" s="421"/>
      <c r="E33" s="430"/>
      <c r="F33" s="430"/>
      <c r="G33" s="430"/>
      <c r="H33" s="430"/>
      <c r="I33" s="450"/>
      <c r="J33" s="455"/>
      <c r="K33" s="455"/>
      <c r="L33" s="455"/>
      <c r="M33" s="452"/>
      <c r="N33" s="457"/>
      <c r="O33" s="436"/>
      <c r="P33" s="531"/>
      <c r="Q33" s="434"/>
      <c r="R33" s="435"/>
      <c r="S33" s="473" t="s">
        <v>180</v>
      </c>
      <c r="T33" s="473" t="s">
        <v>180</v>
      </c>
      <c r="U33" s="477"/>
      <c r="V33" s="466"/>
      <c r="W33" s="435"/>
      <c r="X33" s="435"/>
      <c r="Y33" s="200" t="s">
        <v>240</v>
      </c>
      <c r="Z33" s="200" t="s">
        <v>180</v>
      </c>
      <c r="AA33" s="200" t="s">
        <v>180</v>
      </c>
      <c r="AB33" s="410">
        <f t="shared" si="2"/>
        <v>0</v>
      </c>
      <c r="AC33" s="409" t="str">
        <f t="shared" si="0"/>
        <v/>
      </c>
      <c r="AD33" s="409" t="str">
        <f t="shared" si="1"/>
        <v/>
      </c>
    </row>
    <row r="34" s="408" customFormat="1" spans="1:30">
      <c r="A34" s="428"/>
      <c r="B34" s="421"/>
      <c r="C34" s="439"/>
      <c r="D34" s="421"/>
      <c r="E34" s="430"/>
      <c r="F34" s="430">
        <v>2003205.94666667</v>
      </c>
      <c r="G34" s="430"/>
      <c r="H34" s="430"/>
      <c r="I34" s="453"/>
      <c r="J34" s="430"/>
      <c r="K34" s="430"/>
      <c r="L34" s="430"/>
      <c r="M34" s="451"/>
      <c r="N34" s="451"/>
      <c r="O34" s="430"/>
      <c r="P34" s="531"/>
      <c r="Q34" s="429"/>
      <c r="R34" s="421"/>
      <c r="S34" s="473" t="s">
        <v>180</v>
      </c>
      <c r="T34" s="473" t="s">
        <v>180</v>
      </c>
      <c r="U34" s="466"/>
      <c r="V34" s="466"/>
      <c r="W34" s="421"/>
      <c r="X34" s="421"/>
      <c r="Y34" s="200" t="s">
        <v>240</v>
      </c>
      <c r="Z34" s="200" t="s">
        <v>180</v>
      </c>
      <c r="AA34" s="200" t="s">
        <v>180</v>
      </c>
      <c r="AB34" s="410">
        <f t="shared" si="2"/>
        <v>0</v>
      </c>
      <c r="AC34" s="409" t="str">
        <f t="shared" si="0"/>
        <v/>
      </c>
      <c r="AD34" s="409" t="str">
        <f t="shared" si="1"/>
        <v/>
      </c>
    </row>
    <row r="35" s="408" customFormat="1" spans="1:30">
      <c r="A35" s="428"/>
      <c r="B35" s="421"/>
      <c r="C35" s="439"/>
      <c r="D35" s="421"/>
      <c r="E35" s="430"/>
      <c r="F35" s="430"/>
      <c r="G35" s="430"/>
      <c r="H35" s="430"/>
      <c r="I35" s="453"/>
      <c r="J35" s="430"/>
      <c r="K35" s="430"/>
      <c r="L35" s="430"/>
      <c r="M35" s="451"/>
      <c r="N35" s="451"/>
      <c r="O35" s="430"/>
      <c r="P35" s="531"/>
      <c r="Q35" s="429"/>
      <c r="R35" s="421"/>
      <c r="S35" s="473" t="s">
        <v>180</v>
      </c>
      <c r="T35" s="473" t="s">
        <v>180</v>
      </c>
      <c r="U35" s="466"/>
      <c r="V35" s="466"/>
      <c r="W35" s="421"/>
      <c r="X35" s="421"/>
      <c r="Y35" s="200" t="s">
        <v>240</v>
      </c>
      <c r="Z35" s="200" t="s">
        <v>180</v>
      </c>
      <c r="AA35" s="200" t="s">
        <v>180</v>
      </c>
      <c r="AB35" s="410">
        <f t="shared" si="2"/>
        <v>0</v>
      </c>
      <c r="AC35" s="409" t="str">
        <f t="shared" si="0"/>
        <v/>
      </c>
      <c r="AD35" s="409" t="str">
        <f t="shared" si="1"/>
        <v/>
      </c>
    </row>
    <row r="36" s="408" customFormat="1" ht="17.4" spans="1:30">
      <c r="A36" s="418" t="s">
        <v>152</v>
      </c>
      <c r="B36" s="419"/>
      <c r="C36" s="420"/>
      <c r="D36" s="421"/>
      <c r="E36" s="422" t="s">
        <v>202</v>
      </c>
      <c r="F36" s="422"/>
      <c r="G36" s="422"/>
      <c r="H36" s="422"/>
      <c r="I36" s="422"/>
      <c r="J36" s="422"/>
      <c r="K36" s="422"/>
      <c r="L36" s="422"/>
      <c r="M36" s="443"/>
      <c r="N36" s="444"/>
      <c r="O36" s="422"/>
      <c r="P36" s="531"/>
      <c r="Q36" s="465"/>
      <c r="R36" s="424"/>
      <c r="S36" s="473" t="s">
        <v>180</v>
      </c>
      <c r="T36" s="473" t="s">
        <v>180</v>
      </c>
      <c r="U36" s="467"/>
      <c r="V36" s="467"/>
      <c r="W36" s="467"/>
      <c r="X36" s="467"/>
      <c r="Y36" s="200" t="s">
        <v>240</v>
      </c>
      <c r="Z36" s="200" t="s">
        <v>180</v>
      </c>
      <c r="AA36" s="200" t="s">
        <v>180</v>
      </c>
      <c r="AB36" s="410">
        <f t="shared" si="2"/>
        <v>0</v>
      </c>
      <c r="AC36" s="409" t="str">
        <f t="shared" si="0"/>
        <v/>
      </c>
      <c r="AD36" s="409" t="str">
        <f t="shared" si="1"/>
        <v/>
      </c>
    </row>
    <row r="37" s="409" customFormat="1" ht="48.6" spans="1:30">
      <c r="A37" s="423" t="s">
        <v>206</v>
      </c>
      <c r="B37" s="424" t="s">
        <v>207</v>
      </c>
      <c r="C37" s="425" t="s">
        <v>208</v>
      </c>
      <c r="D37" s="424" t="s">
        <v>209</v>
      </c>
      <c r="E37" s="426" t="s">
        <v>210</v>
      </c>
      <c r="F37" s="427" t="s">
        <v>396</v>
      </c>
      <c r="G37" s="427" t="s">
        <v>212</v>
      </c>
      <c r="H37" s="427" t="s">
        <v>397</v>
      </c>
      <c r="I37" s="427" t="s">
        <v>214</v>
      </c>
      <c r="J37" s="446" t="s">
        <v>387</v>
      </c>
      <c r="K37" s="446" t="s">
        <v>398</v>
      </c>
      <c r="L37" s="446" t="s">
        <v>399</v>
      </c>
      <c r="M37" s="447" t="s">
        <v>218</v>
      </c>
      <c r="N37" s="448" t="s">
        <v>219</v>
      </c>
      <c r="O37" s="449" t="s">
        <v>220</v>
      </c>
      <c r="P37" s="530" t="s">
        <v>221</v>
      </c>
      <c r="Q37" s="469" t="s">
        <v>222</v>
      </c>
      <c r="R37" s="426" t="s">
        <v>223</v>
      </c>
      <c r="S37" s="470" t="s">
        <v>224</v>
      </c>
      <c r="T37" s="470" t="s">
        <v>205</v>
      </c>
      <c r="U37" s="467" t="s">
        <v>225</v>
      </c>
      <c r="V37" s="470" t="s">
        <v>226</v>
      </c>
      <c r="W37" s="467"/>
      <c r="X37" s="467"/>
      <c r="Y37" s="200" t="s">
        <v>207</v>
      </c>
      <c r="Z37" s="200" t="s">
        <v>180</v>
      </c>
      <c r="AA37" s="200" t="s">
        <v>180</v>
      </c>
      <c r="AB37" s="410">
        <f t="shared" si="2"/>
        <v>1</v>
      </c>
      <c r="AC37" s="409" t="str">
        <f t="shared" si="0"/>
        <v>Forum Link</v>
      </c>
      <c r="AD37" s="409" t="str">
        <f t="shared" si="1"/>
        <v>Domains</v>
      </c>
    </row>
    <row r="38" s="410" customFormat="1" ht="17.4" spans="1:30">
      <c r="A38" s="432" t="s">
        <v>227</v>
      </c>
      <c r="B38" s="432" t="s">
        <v>153</v>
      </c>
      <c r="C38" s="434" t="str">
        <f>VLOOKUP(B38,正厂竞争者数据汇总!D:H,2,FALSE)</f>
        <v>原厂目录</v>
      </c>
      <c r="D38" s="435" t="str">
        <f>VLOOKUP(B38,正厂竞争者数据汇总!D:H,3,FALSE)</f>
        <v>CA</v>
      </c>
      <c r="E38" s="436">
        <f>VLOOKUP(B38,正厂竞争者数据汇总!D:H,4,FALSE)</f>
        <v>0</v>
      </c>
      <c r="F38" s="436">
        <v>534402.25</v>
      </c>
      <c r="G38" s="436">
        <v>436555.583333333</v>
      </c>
      <c r="H38" s="436">
        <v>490593.833333333</v>
      </c>
      <c r="I38" s="454">
        <f>(F38/G38)-1</f>
        <v>0.22413335300755</v>
      </c>
      <c r="J38" s="457">
        <v>0.343653859673218</v>
      </c>
      <c r="K38" s="457">
        <v>0.306125481709221</v>
      </c>
      <c r="L38" s="457">
        <v>0.29314999197907</v>
      </c>
      <c r="M38" s="456">
        <f>J38-K38</f>
        <v>0.037528377963997</v>
      </c>
      <c r="N38" s="457" t="str">
        <f>IFERROR(O38*0.5/#REF!,"")</f>
        <v/>
      </c>
      <c r="O38" s="436" t="s">
        <v>180</v>
      </c>
      <c r="P38" s="531">
        <f t="array" ref="P38">INDEX(正厂竞争者数据汇总!I:I,MATCH($A$36&amp;B38,正厂竞争者数据汇总!A:A&amp;正厂竞争者数据汇总!D:D,0))</f>
        <v>0</v>
      </c>
      <c r="Q38" s="434" t="s">
        <v>268</v>
      </c>
      <c r="R38" s="435" t="s">
        <v>229</v>
      </c>
      <c r="S38" s="476">
        <v>26019</v>
      </c>
      <c r="T38" s="476">
        <v>4085</v>
      </c>
      <c r="U38" s="477"/>
      <c r="V38" s="477"/>
      <c r="W38" s="477"/>
      <c r="X38" s="477"/>
      <c r="Y38" s="200" t="s">
        <v>153</v>
      </c>
      <c r="Z38" s="200">
        <v>26019</v>
      </c>
      <c r="AA38" s="200">
        <v>4085</v>
      </c>
      <c r="AB38" s="410">
        <f t="shared" si="2"/>
        <v>1</v>
      </c>
      <c r="AC38" s="409">
        <f t="shared" si="0"/>
        <v>26019</v>
      </c>
      <c r="AD38" s="409">
        <f t="shared" si="1"/>
        <v>4085</v>
      </c>
    </row>
    <row r="39" s="408" customFormat="1" ht="17.4" spans="1:30">
      <c r="A39" s="428" t="s">
        <v>243</v>
      </c>
      <c r="B39" s="421" t="s">
        <v>270</v>
      </c>
      <c r="C39" s="429" t="s">
        <v>247</v>
      </c>
      <c r="D39" s="421" t="str">
        <f>VLOOKUP(B39,正厂竞争者数据汇总!D:H,3,FALSE)</f>
        <v>FL</v>
      </c>
      <c r="E39" s="430"/>
      <c r="F39" s="430">
        <v>286294.583333333</v>
      </c>
      <c r="G39" s="430"/>
      <c r="H39" s="430"/>
      <c r="I39" s="450"/>
      <c r="J39" s="451">
        <v>0.184105210197067</v>
      </c>
      <c r="K39" s="451">
        <v>0.186920369428127</v>
      </c>
      <c r="L39" s="451">
        <v>0.192821487151624</v>
      </c>
      <c r="M39" s="452"/>
      <c r="N39" s="451"/>
      <c r="O39" s="430"/>
      <c r="P39" s="531">
        <f t="array" ref="P39">INDEX(正厂竞争者数据汇总!I:I,MATCH($A$36&amp;B39,正厂竞争者数据汇总!A:A&amp;正厂竞争者数据汇总!D:D,0))</f>
        <v>0</v>
      </c>
      <c r="Q39" s="429"/>
      <c r="R39" s="421"/>
      <c r="S39" s="472">
        <v>65089</v>
      </c>
      <c r="T39" s="472">
        <v>711</v>
      </c>
      <c r="U39" s="466"/>
      <c r="V39" s="466"/>
      <c r="W39" s="466"/>
      <c r="X39" s="466"/>
      <c r="Y39" s="200" t="s">
        <v>270</v>
      </c>
      <c r="Z39" s="200">
        <v>65089</v>
      </c>
      <c r="AA39" s="200">
        <v>711</v>
      </c>
      <c r="AB39" s="410">
        <f t="shared" si="2"/>
        <v>1</v>
      </c>
      <c r="AC39" s="409">
        <f t="shared" si="0"/>
        <v>65089</v>
      </c>
      <c r="AD39" s="409">
        <f t="shared" si="1"/>
        <v>711</v>
      </c>
    </row>
    <row r="40" s="408" customFormat="1" spans="1:30">
      <c r="A40" s="428" t="s">
        <v>230</v>
      </c>
      <c r="B40" s="421" t="s">
        <v>269</v>
      </c>
      <c r="C40" s="429" t="str">
        <f>VLOOKUP(B40,正厂竞争者数据汇总!D:H,2,FALSE)</f>
        <v>Motor目录</v>
      </c>
      <c r="D40" s="421" t="str">
        <f>VLOOKUP(B40,正厂竞争者数据汇总!D:H,3,FALSE)</f>
        <v>-</v>
      </c>
      <c r="E40" s="430"/>
      <c r="F40" s="430">
        <v>258209.75</v>
      </c>
      <c r="G40" s="430"/>
      <c r="H40" s="430"/>
      <c r="I40" s="450"/>
      <c r="J40" s="451">
        <v>0.166044916900624</v>
      </c>
      <c r="K40" s="451">
        <v>0.137623497444578</v>
      </c>
      <c r="L40" s="451">
        <v>0.153005808003098</v>
      </c>
      <c r="M40" s="452"/>
      <c r="N40" s="451"/>
      <c r="O40" s="430"/>
      <c r="P40" s="531" t="str">
        <f t="array" ref="P40">INDEX(正厂竞争者数据汇总!I:I,MATCH($A$36&amp;B40,正厂竞争者数据汇总!A:A&amp;正厂竞争者数据汇总!D:D,0))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40" s="429"/>
      <c r="R40" s="421"/>
      <c r="S40" s="472">
        <v>1561</v>
      </c>
      <c r="T40" s="472">
        <v>188</v>
      </c>
      <c r="U40" s="466"/>
      <c r="V40" s="466"/>
      <c r="W40" s="466"/>
      <c r="X40" s="466"/>
      <c r="Y40" s="200" t="s">
        <v>269</v>
      </c>
      <c r="Z40" s="200">
        <v>1561</v>
      </c>
      <c r="AA40" s="200">
        <v>188</v>
      </c>
      <c r="AB40" s="410">
        <f t="shared" si="2"/>
        <v>1</v>
      </c>
      <c r="AC40" s="409">
        <f t="shared" si="0"/>
        <v>1561</v>
      </c>
      <c r="AD40" s="409">
        <f t="shared" si="1"/>
        <v>188</v>
      </c>
    </row>
    <row r="41" s="408" customFormat="1" ht="17.4" spans="1:30">
      <c r="A41" s="428" t="s">
        <v>230</v>
      </c>
      <c r="B41" s="421" t="s">
        <v>255</v>
      </c>
      <c r="C41" s="429" t="s">
        <v>247</v>
      </c>
      <c r="D41" s="421" t="str">
        <f>VLOOKUP(B41,正厂竞争者数据汇总!D:H,3,FALSE)</f>
        <v>RI</v>
      </c>
      <c r="E41" s="430"/>
      <c r="F41" s="430">
        <v>240687.466666667</v>
      </c>
      <c r="G41" s="430"/>
      <c r="H41" s="430"/>
      <c r="I41" s="450"/>
      <c r="J41" s="451">
        <v>0.154776999713173</v>
      </c>
      <c r="K41" s="451">
        <v>0.19233771709124</v>
      </c>
      <c r="L41" s="451">
        <v>0.188630089926045</v>
      </c>
      <c r="M41" s="452"/>
      <c r="N41" s="451"/>
      <c r="O41" s="430"/>
      <c r="P41" s="531" t="str">
        <f t="array" ref="P41">INDEX(正厂竞争者数据汇总!I:I,MATCH($A$36&amp;B41,正厂竞争者数据汇总!A:A&amp;正厂竞争者数据汇总!D:D,0))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41" s="429"/>
      <c r="R41" s="421"/>
      <c r="S41" s="472">
        <v>38224</v>
      </c>
      <c r="T41" s="472">
        <v>1673</v>
      </c>
      <c r="U41" s="466"/>
      <c r="V41" s="466"/>
      <c r="W41" s="466"/>
      <c r="X41" s="466"/>
      <c r="Y41" s="200" t="s">
        <v>255</v>
      </c>
      <c r="Z41" s="200">
        <v>38224</v>
      </c>
      <c r="AA41" s="200">
        <v>1673</v>
      </c>
      <c r="AB41" s="410">
        <f t="shared" si="2"/>
        <v>1</v>
      </c>
      <c r="AC41" s="409">
        <f t="shared" si="0"/>
        <v>38224</v>
      </c>
      <c r="AD41" s="409">
        <f t="shared" si="1"/>
        <v>1673</v>
      </c>
    </row>
    <row r="42" s="408" customFormat="1" ht="17.4" spans="1:30">
      <c r="A42" s="428" t="s">
        <v>230</v>
      </c>
      <c r="B42" s="421" t="s">
        <v>273</v>
      </c>
      <c r="C42" s="429" t="s">
        <v>247</v>
      </c>
      <c r="D42" s="421" t="str">
        <f>VLOOKUP(B42,正厂竞争者数据汇总!D:H,3,FALSE)</f>
        <v>GA</v>
      </c>
      <c r="E42" s="430"/>
      <c r="F42" s="430">
        <v>104679.403333333</v>
      </c>
      <c r="G42" s="430"/>
      <c r="H42" s="430"/>
      <c r="I42" s="450"/>
      <c r="J42" s="451">
        <v>0.0673153621336538</v>
      </c>
      <c r="K42" s="451">
        <v>0.0761525483649117</v>
      </c>
      <c r="L42" s="451">
        <v>0.0808887299582843</v>
      </c>
      <c r="M42" s="452"/>
      <c r="N42" s="451"/>
      <c r="O42" s="430"/>
      <c r="P42" s="531">
        <f t="array" ref="P42">INDEX(正厂竞争者数据汇总!I:I,MATCH($A$36&amp;B42,正厂竞争者数据汇总!A:A&amp;正厂竞争者数据汇总!D:D,0))</f>
        <v>0</v>
      </c>
      <c r="Q42" s="429"/>
      <c r="R42" s="421"/>
      <c r="S42" s="472">
        <v>6625</v>
      </c>
      <c r="T42" s="472">
        <v>453</v>
      </c>
      <c r="U42" s="466"/>
      <c r="V42" s="466"/>
      <c r="W42" s="466"/>
      <c r="X42" s="466"/>
      <c r="Y42" s="200" t="s">
        <v>273</v>
      </c>
      <c r="Z42" s="200">
        <v>6625</v>
      </c>
      <c r="AA42" s="200">
        <v>453</v>
      </c>
      <c r="AB42" s="410">
        <f t="shared" si="2"/>
        <v>1</v>
      </c>
      <c r="AC42" s="409">
        <f t="shared" si="0"/>
        <v>6625</v>
      </c>
      <c r="AD42" s="409">
        <f t="shared" si="1"/>
        <v>453</v>
      </c>
    </row>
    <row r="43" s="408" customFormat="1" ht="17.4" spans="1:30">
      <c r="A43" s="428" t="s">
        <v>230</v>
      </c>
      <c r="B43" s="421" t="s">
        <v>292</v>
      </c>
      <c r="C43" s="429" t="s">
        <v>247</v>
      </c>
      <c r="D43" s="421" t="str">
        <f>VLOOKUP(B43,正厂竞争者数据汇总!D:H,3,FALSE)</f>
        <v>MA</v>
      </c>
      <c r="E43" s="430"/>
      <c r="F43" s="430">
        <v>72767.4445</v>
      </c>
      <c r="G43" s="430"/>
      <c r="H43" s="430"/>
      <c r="I43" s="450"/>
      <c r="J43" s="451">
        <v>0.0467939892861261</v>
      </c>
      <c r="K43" s="451">
        <v>0.0533172052365479</v>
      </c>
      <c r="L43" s="451">
        <v>0.0490133944472455</v>
      </c>
      <c r="M43" s="452"/>
      <c r="N43" s="451"/>
      <c r="O43" s="430"/>
      <c r="P43" s="531" t="str">
        <f t="array" ref="P43">INDEX(正厂竞争者数据汇总!I:I,MATCH($A$36&amp;B43,正厂竞争者数据汇总!A:A&amp;正厂竞争者数据汇总!D:D,0))</f>
        <v>同时经营多品牌，流量折算比例为Ford:23%,GM:23%,Infiniti:0%,Kia:13%,Mopar:31%,Nissan:10%</v>
      </c>
      <c r="Q43" s="429"/>
      <c r="R43" s="421"/>
      <c r="S43" s="472">
        <v>7144</v>
      </c>
      <c r="T43" s="472">
        <v>831</v>
      </c>
      <c r="U43" s="466"/>
      <c r="V43" s="466"/>
      <c r="W43" s="466"/>
      <c r="X43" s="466"/>
      <c r="Y43" s="200" t="s">
        <v>292</v>
      </c>
      <c r="Z43" s="200">
        <v>7144</v>
      </c>
      <c r="AA43" s="200">
        <v>831</v>
      </c>
      <c r="AB43" s="410">
        <f t="shared" si="2"/>
        <v>1</v>
      </c>
      <c r="AC43" s="409">
        <f t="shared" si="0"/>
        <v>7144</v>
      </c>
      <c r="AD43" s="409">
        <f t="shared" si="1"/>
        <v>831</v>
      </c>
    </row>
    <row r="44" s="408" customFormat="1" ht="17.4" spans="1:30">
      <c r="A44" s="428" t="s">
        <v>230</v>
      </c>
      <c r="B44" s="421" t="s">
        <v>400</v>
      </c>
      <c r="C44" s="429" t="s">
        <v>247</v>
      </c>
      <c r="D44" s="421" t="str">
        <f>VLOOKUP(B44,正厂竞争者数据汇总!D:H,3,FALSE)</f>
        <v>MO</v>
      </c>
      <c r="E44" s="430"/>
      <c r="F44" s="430">
        <v>58018.75</v>
      </c>
      <c r="G44" s="430"/>
      <c r="H44" s="430"/>
      <c r="I44" s="450"/>
      <c r="J44" s="451">
        <v>0.0373096620961373</v>
      </c>
      <c r="K44" s="451">
        <v>0.047523180725375</v>
      </c>
      <c r="L44" s="451">
        <v>0.042490498534633</v>
      </c>
      <c r="M44" s="452"/>
      <c r="N44" s="451"/>
      <c r="O44" s="430"/>
      <c r="P44" s="531">
        <f t="array" ref="P44">INDEX(正厂竞争者数据汇总!I:I,MATCH($A$36&amp;B44,正厂竞争者数据汇总!A:A&amp;正厂竞争者数据汇总!D:D,0))</f>
        <v>0</v>
      </c>
      <c r="Q44" s="429"/>
      <c r="R44" s="421"/>
      <c r="S44" s="472">
        <v>5665</v>
      </c>
      <c r="T44" s="472">
        <v>527</v>
      </c>
      <c r="U44" s="466"/>
      <c r="V44" s="466"/>
      <c r="W44" s="466"/>
      <c r="X44" s="466"/>
      <c r="Y44" s="200" t="s">
        <v>400</v>
      </c>
      <c r="Z44" s="200">
        <v>5665</v>
      </c>
      <c r="AA44" s="200">
        <v>527</v>
      </c>
      <c r="AB44" s="410">
        <f t="shared" si="2"/>
        <v>1</v>
      </c>
      <c r="AC44" s="409">
        <f t="shared" si="0"/>
        <v>5665</v>
      </c>
      <c r="AD44" s="409">
        <f t="shared" si="1"/>
        <v>527</v>
      </c>
    </row>
    <row r="45" s="408" customFormat="1" spans="1:30">
      <c r="A45" s="428"/>
      <c r="B45" s="421"/>
      <c r="C45" s="429"/>
      <c r="D45" s="421"/>
      <c r="E45" s="430"/>
      <c r="F45" s="430"/>
      <c r="G45" s="430"/>
      <c r="H45" s="430"/>
      <c r="I45" s="450"/>
      <c r="J45" s="451"/>
      <c r="K45" s="451"/>
      <c r="L45" s="451"/>
      <c r="M45" s="452"/>
      <c r="N45" s="451"/>
      <c r="O45" s="430"/>
      <c r="P45" s="531"/>
      <c r="Q45" s="429"/>
      <c r="R45" s="421"/>
      <c r="S45" s="472" t="s">
        <v>180</v>
      </c>
      <c r="T45" s="472" t="s">
        <v>180</v>
      </c>
      <c r="U45" s="466"/>
      <c r="V45" s="466"/>
      <c r="W45" s="421"/>
      <c r="X45" s="421"/>
      <c r="Y45" s="200" t="s">
        <v>240</v>
      </c>
      <c r="Z45" s="200" t="s">
        <v>180</v>
      </c>
      <c r="AA45" s="200" t="s">
        <v>180</v>
      </c>
      <c r="AB45" s="410">
        <f t="shared" si="2"/>
        <v>0</v>
      </c>
      <c r="AC45" s="409" t="str">
        <f t="shared" si="0"/>
        <v/>
      </c>
      <c r="AD45" s="409" t="str">
        <f t="shared" si="1"/>
        <v/>
      </c>
    </row>
    <row r="46" s="408" customFormat="1" spans="1:30">
      <c r="A46" s="428"/>
      <c r="B46" s="421"/>
      <c r="C46" s="439"/>
      <c r="D46" s="421"/>
      <c r="E46" s="430"/>
      <c r="F46" s="430">
        <v>1555059.64783333</v>
      </c>
      <c r="G46" s="430">
        <v>1270419.34583333</v>
      </c>
      <c r="H46" s="430">
        <v>1259631.94083333</v>
      </c>
      <c r="I46" s="453">
        <f>(F46/G46)-1</f>
        <v>0.224052241437878</v>
      </c>
      <c r="J46" s="430"/>
      <c r="K46" s="451"/>
      <c r="L46" s="430"/>
      <c r="M46" s="451"/>
      <c r="N46" s="459">
        <f>SUM(N38:N44)</f>
        <v>0</v>
      </c>
      <c r="O46" s="430" t="s">
        <v>180</v>
      </c>
      <c r="P46" s="531"/>
      <c r="Q46" s="429"/>
      <c r="R46" s="421"/>
      <c r="S46" s="473" t="s">
        <v>180</v>
      </c>
      <c r="T46" s="473" t="s">
        <v>180</v>
      </c>
      <c r="U46" s="466"/>
      <c r="V46" s="466"/>
      <c r="W46" s="421"/>
      <c r="X46" s="421"/>
      <c r="Y46" s="200" t="s">
        <v>240</v>
      </c>
      <c r="Z46" s="200" t="s">
        <v>180</v>
      </c>
      <c r="AA46" s="200" t="s">
        <v>180</v>
      </c>
      <c r="AB46" s="410">
        <f t="shared" si="2"/>
        <v>0</v>
      </c>
      <c r="AC46" s="409" t="str">
        <f t="shared" si="0"/>
        <v/>
      </c>
      <c r="AD46" s="409" t="str">
        <f t="shared" si="1"/>
        <v/>
      </c>
    </row>
    <row r="47" s="408" customFormat="1" spans="1:30">
      <c r="A47" s="428"/>
      <c r="B47" s="421"/>
      <c r="C47" s="439"/>
      <c r="D47" s="421"/>
      <c r="E47" s="430"/>
      <c r="F47" s="430"/>
      <c r="G47" s="430"/>
      <c r="H47" s="430"/>
      <c r="I47" s="453"/>
      <c r="J47" s="430"/>
      <c r="K47" s="430"/>
      <c r="L47" s="430"/>
      <c r="M47" s="451"/>
      <c r="N47" s="459"/>
      <c r="O47" s="430"/>
      <c r="P47" s="531"/>
      <c r="Q47" s="429"/>
      <c r="R47" s="421"/>
      <c r="S47" s="473" t="s">
        <v>180</v>
      </c>
      <c r="T47" s="473" t="s">
        <v>180</v>
      </c>
      <c r="U47" s="466"/>
      <c r="V47" s="466"/>
      <c r="W47" s="421"/>
      <c r="X47" s="421"/>
      <c r="Y47" s="200" t="s">
        <v>240</v>
      </c>
      <c r="Z47" s="200" t="s">
        <v>180</v>
      </c>
      <c r="AA47" s="200" t="s">
        <v>180</v>
      </c>
      <c r="AB47" s="410">
        <f t="shared" si="2"/>
        <v>0</v>
      </c>
      <c r="AC47" s="409" t="str">
        <f t="shared" si="0"/>
        <v/>
      </c>
      <c r="AD47" s="409" t="str">
        <f t="shared" si="1"/>
        <v/>
      </c>
    </row>
    <row r="48" s="408" customFormat="1" ht="17.4" spans="1:30">
      <c r="A48" s="418" t="s">
        <v>149</v>
      </c>
      <c r="B48" s="419"/>
      <c r="C48" s="420"/>
      <c r="D48" s="421"/>
      <c r="E48" s="422" t="s">
        <v>202</v>
      </c>
      <c r="F48" s="422"/>
      <c r="G48" s="422"/>
      <c r="H48" s="422"/>
      <c r="I48" s="422"/>
      <c r="J48" s="422"/>
      <c r="K48" s="422"/>
      <c r="L48" s="422"/>
      <c r="M48" s="443"/>
      <c r="N48" s="444"/>
      <c r="O48" s="422"/>
      <c r="P48" s="531"/>
      <c r="Q48" s="465"/>
      <c r="R48" s="424"/>
      <c r="S48" s="473" t="s">
        <v>180</v>
      </c>
      <c r="T48" s="473" t="s">
        <v>180</v>
      </c>
      <c r="U48" s="467"/>
      <c r="V48" s="467"/>
      <c r="W48" s="467"/>
      <c r="X48" s="467"/>
      <c r="Y48" s="200" t="s">
        <v>240</v>
      </c>
      <c r="Z48" s="200" t="s">
        <v>180</v>
      </c>
      <c r="AA48" s="200" t="s">
        <v>180</v>
      </c>
      <c r="AB48" s="410">
        <f t="shared" si="2"/>
        <v>0</v>
      </c>
      <c r="AC48" s="409" t="str">
        <f t="shared" si="0"/>
        <v/>
      </c>
      <c r="AD48" s="409" t="str">
        <f t="shared" si="1"/>
        <v/>
      </c>
    </row>
    <row r="49" s="409" customFormat="1" ht="48.6" spans="1:30">
      <c r="A49" s="423" t="s">
        <v>206</v>
      </c>
      <c r="B49" s="424" t="s">
        <v>207</v>
      </c>
      <c r="C49" s="425" t="s">
        <v>208</v>
      </c>
      <c r="D49" s="424" t="s">
        <v>209</v>
      </c>
      <c r="E49" s="426" t="s">
        <v>210</v>
      </c>
      <c r="F49" s="427" t="s">
        <v>396</v>
      </c>
      <c r="G49" s="427" t="s">
        <v>212</v>
      </c>
      <c r="H49" s="427" t="s">
        <v>397</v>
      </c>
      <c r="I49" s="427" t="s">
        <v>214</v>
      </c>
      <c r="J49" s="446" t="s">
        <v>387</v>
      </c>
      <c r="K49" s="446" t="s">
        <v>398</v>
      </c>
      <c r="L49" s="446" t="s">
        <v>399</v>
      </c>
      <c r="M49" s="447" t="s">
        <v>218</v>
      </c>
      <c r="N49" s="448" t="s">
        <v>219</v>
      </c>
      <c r="O49" s="449" t="s">
        <v>220</v>
      </c>
      <c r="P49" s="530" t="s">
        <v>221</v>
      </c>
      <c r="Q49" s="469" t="s">
        <v>222</v>
      </c>
      <c r="R49" s="426" t="s">
        <v>223</v>
      </c>
      <c r="S49" s="470" t="s">
        <v>224</v>
      </c>
      <c r="T49" s="470" t="s">
        <v>205</v>
      </c>
      <c r="U49" s="467" t="s">
        <v>225</v>
      </c>
      <c r="V49" s="470" t="s">
        <v>226</v>
      </c>
      <c r="W49" s="467"/>
      <c r="X49" s="467"/>
      <c r="Y49" s="200" t="s">
        <v>207</v>
      </c>
      <c r="Z49" s="200" t="s">
        <v>180</v>
      </c>
      <c r="AA49" s="200" t="s">
        <v>180</v>
      </c>
      <c r="AB49" s="410">
        <f t="shared" si="2"/>
        <v>1</v>
      </c>
      <c r="AC49" s="409" t="str">
        <f t="shared" si="0"/>
        <v>Forum Link</v>
      </c>
      <c r="AD49" s="409" t="str">
        <f t="shared" si="1"/>
        <v>Domains</v>
      </c>
    </row>
    <row r="50" s="410" customFormat="1" ht="17.4" spans="1:30">
      <c r="A50" s="432" t="s">
        <v>227</v>
      </c>
      <c r="B50" s="432" t="s">
        <v>150</v>
      </c>
      <c r="C50" s="434" t="str">
        <f>VLOOKUP(B50,正厂竞争者数据汇总!D:H,2,FALSE)</f>
        <v>原厂目录</v>
      </c>
      <c r="D50" s="435" t="str">
        <f>VLOOKUP(B50,正厂竞争者数据汇总!D:H,3,FALSE)</f>
        <v>AZ</v>
      </c>
      <c r="E50" s="436">
        <f>VLOOKUP(B50,正厂竞争者数据汇总!D:H,4,FALSE)</f>
        <v>0</v>
      </c>
      <c r="F50" s="436">
        <v>540949.623333333</v>
      </c>
      <c r="G50" s="436">
        <v>521458.083333333</v>
      </c>
      <c r="H50" s="436">
        <v>566477.333333333</v>
      </c>
      <c r="I50" s="454">
        <f>(F50/G50)-1</f>
        <v>0.037378920037836</v>
      </c>
      <c r="J50" s="455">
        <v>0.373462364909511</v>
      </c>
      <c r="K50" s="455">
        <v>0.366332309995353</v>
      </c>
      <c r="L50" s="455">
        <v>0.380975386744149</v>
      </c>
      <c r="M50" s="456">
        <f>J50-K50</f>
        <v>0.00713005491415802</v>
      </c>
      <c r="N50" s="457" t="str">
        <f>IFERROR(O50*0.5/#REF!,"")</f>
        <v/>
      </c>
      <c r="O50" s="436" t="s">
        <v>180</v>
      </c>
      <c r="P50" s="531">
        <f t="array" ref="P50">INDEX(正厂竞争者数据汇总!I:I,MATCH($A$48&amp;B50,正厂竞争者数据汇总!A:A&amp;正厂竞争者数据汇总!D:D,0))</f>
        <v>0</v>
      </c>
      <c r="Q50" s="434" t="s">
        <v>259</v>
      </c>
      <c r="R50" s="435" t="s">
        <v>229</v>
      </c>
      <c r="S50" s="476">
        <v>56716</v>
      </c>
      <c r="T50" s="476">
        <v>8700</v>
      </c>
      <c r="U50" s="477"/>
      <c r="V50" s="477"/>
      <c r="W50" s="477"/>
      <c r="X50" s="477"/>
      <c r="Y50" s="200" t="s">
        <v>150</v>
      </c>
      <c r="Z50" s="200">
        <v>56716</v>
      </c>
      <c r="AA50" s="200">
        <v>8700</v>
      </c>
      <c r="AB50" s="410">
        <f t="shared" si="2"/>
        <v>1</v>
      </c>
      <c r="AC50" s="409">
        <f t="shared" si="0"/>
        <v>56716</v>
      </c>
      <c r="AD50" s="409">
        <f t="shared" si="1"/>
        <v>8700</v>
      </c>
    </row>
    <row r="51" s="408" customFormat="1" spans="1:30">
      <c r="A51" s="428" t="s">
        <v>230</v>
      </c>
      <c r="B51" s="421" t="s">
        <v>255</v>
      </c>
      <c r="C51" s="429" t="str">
        <f>VLOOKUP(B51,正厂竞争者数据汇总!D:H,2,FALSE)</f>
        <v>Motor目录</v>
      </c>
      <c r="D51" s="421" t="str">
        <f>VLOOKUP(B51,正厂竞争者数据汇总!D:H,3,FALSE)</f>
        <v>RI</v>
      </c>
      <c r="E51" s="430"/>
      <c r="F51" s="430">
        <v>218123.016666667</v>
      </c>
      <c r="G51" s="430"/>
      <c r="H51" s="430"/>
      <c r="I51" s="450"/>
      <c r="J51" s="451">
        <v>0.150588398867105</v>
      </c>
      <c r="K51" s="451">
        <v>0.181738067644754</v>
      </c>
      <c r="L51" s="451">
        <v>0.187057558789819</v>
      </c>
      <c r="M51" s="452"/>
      <c r="N51" s="451"/>
      <c r="O51" s="430"/>
      <c r="P51" s="531" t="str">
        <f t="array" ref="P51">INDEX(正厂竞争者数据汇总!I:I,MATCH($A$48&amp;B51,正厂竞争者数据汇总!A:A&amp;正厂竞争者数据汇总!D:D,0))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51" s="429"/>
      <c r="R51" s="421"/>
      <c r="S51" s="472">
        <v>38224</v>
      </c>
      <c r="T51" s="472">
        <v>1673</v>
      </c>
      <c r="U51" s="466"/>
      <c r="V51" s="466"/>
      <c r="W51" s="466"/>
      <c r="X51" s="466"/>
      <c r="Y51" s="200" t="s">
        <v>255</v>
      </c>
      <c r="Z51" s="200">
        <v>38224</v>
      </c>
      <c r="AA51" s="200">
        <v>1673</v>
      </c>
      <c r="AB51" s="410">
        <f t="shared" si="2"/>
        <v>1</v>
      </c>
      <c r="AC51" s="409">
        <f t="shared" si="0"/>
        <v>38224</v>
      </c>
      <c r="AD51" s="409">
        <f t="shared" si="1"/>
        <v>1673</v>
      </c>
    </row>
    <row r="52" s="408" customFormat="1" spans="1:30">
      <c r="A52" s="428" t="s">
        <v>230</v>
      </c>
      <c r="B52" s="421" t="s">
        <v>260</v>
      </c>
      <c r="C52" s="429" t="str">
        <f>VLOOKUP(B52,正厂竞争者数据汇总!D:H,2,FALSE)</f>
        <v>Motor目录</v>
      </c>
      <c r="D52" s="421" t="str">
        <f>VLOOKUP(B52,正厂竞争者数据汇总!D:H,3,FALSE)</f>
        <v>TX</v>
      </c>
      <c r="E52" s="430"/>
      <c r="F52" s="430">
        <v>161477.46085</v>
      </c>
      <c r="G52" s="430"/>
      <c r="H52" s="430"/>
      <c r="I52" s="450"/>
      <c r="J52" s="451">
        <v>0.111481276273047</v>
      </c>
      <c r="K52" s="451">
        <v>0.100829382165201</v>
      </c>
      <c r="L52" s="451">
        <v>0.10827358588933</v>
      </c>
      <c r="M52" s="452"/>
      <c r="N52" s="451"/>
      <c r="O52" s="430"/>
      <c r="P52" s="531">
        <f t="array" ref="P52">INDEX(正厂竞争者数据汇总!I:I,MATCH($A$48&amp;B52,正厂竞争者数据汇总!A:A&amp;正厂竞争者数据汇总!D:D,0))</f>
        <v>0</v>
      </c>
      <c r="Q52" s="429"/>
      <c r="R52" s="421"/>
      <c r="S52" s="472">
        <v>3755</v>
      </c>
      <c r="T52" s="472">
        <v>567</v>
      </c>
      <c r="U52" s="466"/>
      <c r="V52" s="466"/>
      <c r="W52" s="466"/>
      <c r="X52" s="466"/>
      <c r="Y52" s="200" t="s">
        <v>260</v>
      </c>
      <c r="Z52" s="200">
        <v>3755</v>
      </c>
      <c r="AA52" s="200">
        <v>567</v>
      </c>
      <c r="AB52" s="410">
        <f t="shared" si="2"/>
        <v>1</v>
      </c>
      <c r="AC52" s="409">
        <f t="shared" si="0"/>
        <v>3755</v>
      </c>
      <c r="AD52" s="409">
        <f t="shared" si="1"/>
        <v>567</v>
      </c>
    </row>
    <row r="53" s="408" customFormat="1" spans="1:30">
      <c r="A53" s="428" t="s">
        <v>230</v>
      </c>
      <c r="B53" s="421" t="s">
        <v>261</v>
      </c>
      <c r="C53" s="429" t="str">
        <f>VLOOKUP(B53,正厂竞争者数据汇总!D:H,2,FALSE)</f>
        <v>Motor目录</v>
      </c>
      <c r="D53" s="421" t="str">
        <f>VLOOKUP(B53,正厂竞争者数据汇总!D:H,3,FALSE)</f>
        <v>MO</v>
      </c>
      <c r="E53" s="430"/>
      <c r="F53" s="430">
        <v>140379</v>
      </c>
      <c r="G53" s="430"/>
      <c r="H53" s="430"/>
      <c r="I53" s="450"/>
      <c r="J53" s="451">
        <v>0.0969152598731493</v>
      </c>
      <c r="K53" s="451">
        <v>0.0985151904693436</v>
      </c>
      <c r="L53" s="451">
        <v>0.116017501866349</v>
      </c>
      <c r="M53" s="452"/>
      <c r="N53" s="451"/>
      <c r="O53" s="430"/>
      <c r="P53" s="531" t="str">
        <f t="array" ref="P53">INDEX(正厂竞争者数据汇总!I:I,MATCH($A$48&amp;B53,正厂竞争者数据汇总!A:A&amp;正厂竞争者数据汇总!D:D,0))</f>
        <v>2022年1月 新加入 CompetitorSites
2022年1月 新加入 MarketingShare</v>
      </c>
      <c r="Q53" s="429"/>
      <c r="R53" s="421"/>
      <c r="S53" s="472">
        <v>1695</v>
      </c>
      <c r="T53" s="472">
        <v>308</v>
      </c>
      <c r="U53" s="466"/>
      <c r="V53" s="466"/>
      <c r="W53" s="466"/>
      <c r="X53" s="466"/>
      <c r="Y53" s="200" t="s">
        <v>261</v>
      </c>
      <c r="Z53" s="200">
        <v>1695</v>
      </c>
      <c r="AA53" s="200">
        <v>308</v>
      </c>
      <c r="AB53" s="410">
        <f t="shared" si="2"/>
        <v>1</v>
      </c>
      <c r="AC53" s="409">
        <f t="shared" si="0"/>
        <v>1695</v>
      </c>
      <c r="AD53" s="409">
        <f t="shared" si="1"/>
        <v>308</v>
      </c>
    </row>
    <row r="54" s="408" customFormat="1" spans="1:30">
      <c r="A54" s="428" t="s">
        <v>243</v>
      </c>
      <c r="B54" s="421" t="s">
        <v>262</v>
      </c>
      <c r="C54" s="429" t="str">
        <f>VLOOKUP(B54,正厂竞争者数据汇总!D:H,2,FALSE)</f>
        <v>原厂目录</v>
      </c>
      <c r="D54" s="421" t="str">
        <f>VLOOKUP(B54,正厂竞争者数据汇总!D:H,3,FALSE)</f>
        <v>FL</v>
      </c>
      <c r="E54" s="430"/>
      <c r="F54" s="430">
        <v>131259</v>
      </c>
      <c r="G54" s="430"/>
      <c r="H54" s="430"/>
      <c r="I54" s="450"/>
      <c r="J54" s="451">
        <v>0.090618967906095</v>
      </c>
      <c r="K54" s="451">
        <v>0.0907817903979284</v>
      </c>
      <c r="L54" s="451">
        <v>0.0959327588341184</v>
      </c>
      <c r="M54" s="452"/>
      <c r="N54" s="451"/>
      <c r="O54" s="430"/>
      <c r="P54" s="531" t="str">
        <f t="array" ref="P54">INDEX(正厂竞争者数据汇总!I:I,MATCH($A$48&amp;B54,正厂竞争者数据汇总!A:A&amp;正厂竞争者数据汇总!D:D,0))</f>
        <v>变为精确运费</v>
      </c>
      <c r="Q54" s="429"/>
      <c r="R54" s="421"/>
      <c r="S54" s="472">
        <v>32780</v>
      </c>
      <c r="T54" s="472">
        <v>2182</v>
      </c>
      <c r="U54" s="466"/>
      <c r="V54" s="466"/>
      <c r="W54" s="466"/>
      <c r="X54" s="466"/>
      <c r="Y54" s="200" t="s">
        <v>262</v>
      </c>
      <c r="Z54" s="200">
        <v>32780</v>
      </c>
      <c r="AA54" s="200">
        <v>2182</v>
      </c>
      <c r="AB54" s="410">
        <f t="shared" si="2"/>
        <v>1</v>
      </c>
      <c r="AC54" s="409">
        <f t="shared" si="0"/>
        <v>32780</v>
      </c>
      <c r="AD54" s="409">
        <f t="shared" si="1"/>
        <v>2182</v>
      </c>
    </row>
    <row r="55" s="408" customFormat="1" spans="1:30">
      <c r="A55" s="428" t="s">
        <v>243</v>
      </c>
      <c r="B55" s="421" t="s">
        <v>265</v>
      </c>
      <c r="C55" s="429" t="str">
        <f>VLOOKUP(B55,正厂竞争者数据汇总!D:H,2,FALSE)</f>
        <v>原厂目录</v>
      </c>
      <c r="D55" s="421" t="s">
        <v>266</v>
      </c>
      <c r="E55" s="430"/>
      <c r="F55" s="430">
        <v>105383.073333333</v>
      </c>
      <c r="G55" s="430"/>
      <c r="H55" s="430"/>
      <c r="I55" s="450"/>
      <c r="J55" s="451">
        <v>0.072754670843439</v>
      </c>
      <c r="K55" s="451">
        <v>0.0607867064108672</v>
      </c>
      <c r="L55" s="451">
        <v>0.0641009116186033</v>
      </c>
      <c r="M55" s="452"/>
      <c r="N55" s="451"/>
      <c r="O55" s="430"/>
      <c r="P55" s="531" t="str">
        <f t="array" ref="P55">INDEX(正厂竞争者数据汇总!I:I,MATCH($A$48&amp;B55,正厂竞争者数据汇总!A:A&amp;正厂竞争者数据汇总!D:D,0))</f>
        <v>因MS大于5%，202305重新加入MS计算基准</v>
      </c>
      <c r="Q55" s="429"/>
      <c r="R55" s="421"/>
      <c r="S55" s="472">
        <v>51136</v>
      </c>
      <c r="T55" s="472">
        <v>1637</v>
      </c>
      <c r="U55" s="466"/>
      <c r="V55" s="466"/>
      <c r="W55" s="466"/>
      <c r="X55" s="466"/>
      <c r="Y55" s="200" t="s">
        <v>265</v>
      </c>
      <c r="Z55" s="200">
        <v>51136</v>
      </c>
      <c r="AA55" s="200">
        <v>1637</v>
      </c>
      <c r="AB55" s="410">
        <f t="shared" si="2"/>
        <v>1</v>
      </c>
      <c r="AC55" s="409">
        <f t="shared" si="0"/>
        <v>51136</v>
      </c>
      <c r="AD55" s="409">
        <f t="shared" si="1"/>
        <v>1637</v>
      </c>
    </row>
    <row r="56" s="408" customFormat="1" spans="1:30">
      <c r="A56" s="428" t="s">
        <v>243</v>
      </c>
      <c r="B56" s="421" t="s">
        <v>264</v>
      </c>
      <c r="C56" s="429" t="str">
        <f>VLOOKUP(B56,正厂竞争者数据汇总!D:H,2,FALSE)</f>
        <v>原厂目录</v>
      </c>
      <c r="D56" s="421" t="s">
        <v>60</v>
      </c>
      <c r="E56" s="430"/>
      <c r="F56" s="430">
        <v>84372.8266666668</v>
      </c>
      <c r="G56" s="430"/>
      <c r="H56" s="430"/>
      <c r="I56" s="450"/>
      <c r="J56" s="451">
        <v>0.0582495560064696</v>
      </c>
      <c r="K56" s="451">
        <v>0.0577334557451331</v>
      </c>
      <c r="L56" s="451"/>
      <c r="M56" s="452"/>
      <c r="N56" s="451"/>
      <c r="O56" s="430"/>
      <c r="P56" s="531" t="str">
        <f t="array" ref="P56">INDEX(正厂竞争者数据汇总!I:I,MATCH($A$48&amp;B56,正厂竞争者数据汇总!A:A&amp;正厂竞争者数据汇总!D:D,0))</f>
        <v>2023年3月新增正厂，2023年10月因流量大于5%加入MS监控</v>
      </c>
      <c r="Q56" s="429"/>
      <c r="R56" s="421"/>
      <c r="S56" s="472">
        <v>3052</v>
      </c>
      <c r="T56" s="472">
        <v>479</v>
      </c>
      <c r="U56" s="466"/>
      <c r="V56" s="466"/>
      <c r="W56" s="466"/>
      <c r="X56" s="466"/>
      <c r="Y56" s="200" t="s">
        <v>264</v>
      </c>
      <c r="Z56" s="200">
        <v>3052</v>
      </c>
      <c r="AA56" s="200">
        <v>479</v>
      </c>
      <c r="AB56" s="410">
        <f t="shared" si="2"/>
        <v>1</v>
      </c>
      <c r="AC56" s="409">
        <f t="shared" si="0"/>
        <v>3052</v>
      </c>
      <c r="AD56" s="409">
        <f t="shared" si="1"/>
        <v>479</v>
      </c>
    </row>
    <row r="57" s="408" customFormat="1" spans="1:30">
      <c r="A57" s="428" t="s">
        <v>230</v>
      </c>
      <c r="B57" s="421" t="s">
        <v>267</v>
      </c>
      <c r="C57" s="429" t="str">
        <f>VLOOKUP(B57,正厂竞争者数据汇总!D:H,2,FALSE)</f>
        <v>原厂目录</v>
      </c>
      <c r="D57" s="421" t="str">
        <f>VLOOKUP(B57,正厂竞争者数据汇总!D:H,3,FALSE)</f>
        <v>AZ</v>
      </c>
      <c r="E57" s="430"/>
      <c r="F57" s="430">
        <v>66527.5833333333</v>
      </c>
      <c r="G57" s="430"/>
      <c r="H57" s="430"/>
      <c r="I57" s="450"/>
      <c r="J57" s="451">
        <v>0.0459295053211847</v>
      </c>
      <c r="K57" s="451">
        <v>0.0432830971714195</v>
      </c>
      <c r="L57" s="451">
        <v>0.047642296257632</v>
      </c>
      <c r="M57" s="452"/>
      <c r="N57" s="451"/>
      <c r="O57" s="430"/>
      <c r="P57" s="531" t="str">
        <f t="array" ref="P57">INDEX(正厂竞争者数据汇总!I:I,MATCH($A$48&amp;B57,正厂竞争者数据汇总!A:A&amp;正厂竞争者数据汇总!D:D,0))</f>
        <v>2022年1月 新加入 CompetitorSites</v>
      </c>
      <c r="Q57" s="429"/>
      <c r="R57" s="421"/>
      <c r="S57" s="472">
        <v>2245</v>
      </c>
      <c r="T57" s="472">
        <v>411</v>
      </c>
      <c r="U57" s="466"/>
      <c r="V57" s="466"/>
      <c r="W57" s="466"/>
      <c r="X57" s="466"/>
      <c r="Y57" s="200" t="s">
        <v>267</v>
      </c>
      <c r="Z57" s="200">
        <v>2245</v>
      </c>
      <c r="AA57" s="200">
        <v>411</v>
      </c>
      <c r="AB57" s="410">
        <f t="shared" si="2"/>
        <v>1</v>
      </c>
      <c r="AC57" s="409">
        <f t="shared" si="0"/>
        <v>2245</v>
      </c>
      <c r="AD57" s="409">
        <f t="shared" si="1"/>
        <v>411</v>
      </c>
    </row>
    <row r="58" s="410" customFormat="1" spans="1:30">
      <c r="A58" s="428"/>
      <c r="B58" s="431"/>
      <c r="C58" s="429"/>
      <c r="D58" s="421"/>
      <c r="E58" s="430"/>
      <c r="F58" s="430"/>
      <c r="G58" s="430"/>
      <c r="H58" s="430"/>
      <c r="I58" s="453"/>
      <c r="J58" s="451"/>
      <c r="K58" s="451"/>
      <c r="L58" s="451"/>
      <c r="M58" s="451"/>
      <c r="N58" s="455"/>
      <c r="O58" s="436"/>
      <c r="P58" s="531"/>
      <c r="Q58" s="434"/>
      <c r="R58" s="435"/>
      <c r="S58" s="473" t="s">
        <v>180</v>
      </c>
      <c r="T58" s="473" t="s">
        <v>180</v>
      </c>
      <c r="U58" s="477"/>
      <c r="V58" s="466"/>
      <c r="W58" s="435"/>
      <c r="X58" s="435"/>
      <c r="Y58" s="200" t="s">
        <v>240</v>
      </c>
      <c r="Z58" s="200" t="s">
        <v>180</v>
      </c>
      <c r="AA58" s="200" t="s">
        <v>180</v>
      </c>
      <c r="AB58" s="410">
        <f t="shared" si="2"/>
        <v>0</v>
      </c>
      <c r="AC58" s="409" t="str">
        <f t="shared" si="0"/>
        <v/>
      </c>
      <c r="AD58" s="409" t="str">
        <f t="shared" si="1"/>
        <v/>
      </c>
    </row>
    <row r="59" s="408" customFormat="1" spans="1:30">
      <c r="A59" s="428"/>
      <c r="B59" s="421"/>
      <c r="C59" s="439"/>
      <c r="D59" s="421"/>
      <c r="E59" s="430"/>
      <c r="F59" s="430">
        <v>1448471.58418333</v>
      </c>
      <c r="G59" s="430">
        <v>1468579.74166667</v>
      </c>
      <c r="H59" s="430">
        <v>1519526.8275</v>
      </c>
      <c r="I59" s="453">
        <f>(F59/G59)-1</f>
        <v>-0.0136922476273025</v>
      </c>
      <c r="J59" s="430"/>
      <c r="K59" s="430"/>
      <c r="L59" s="430"/>
      <c r="M59" s="451"/>
      <c r="N59" s="451"/>
      <c r="O59" s="430"/>
      <c r="P59" s="531"/>
      <c r="Q59" s="429"/>
      <c r="R59" s="421"/>
      <c r="S59" s="473" t="s">
        <v>180</v>
      </c>
      <c r="T59" s="473" t="s">
        <v>180</v>
      </c>
      <c r="U59" s="466"/>
      <c r="V59" s="466"/>
      <c r="W59" s="421"/>
      <c r="X59" s="421"/>
      <c r="Y59" s="200" t="s">
        <v>240</v>
      </c>
      <c r="Z59" s="200" t="s">
        <v>180</v>
      </c>
      <c r="AA59" s="200" t="s">
        <v>180</v>
      </c>
      <c r="AB59" s="410">
        <f t="shared" si="2"/>
        <v>0</v>
      </c>
      <c r="AC59" s="409" t="str">
        <f t="shared" si="0"/>
        <v/>
      </c>
      <c r="AD59" s="409" t="str">
        <f t="shared" si="1"/>
        <v/>
      </c>
    </row>
    <row r="60" s="408" customFormat="1" spans="1:30">
      <c r="A60" s="428"/>
      <c r="B60" s="421"/>
      <c r="C60" s="439"/>
      <c r="D60" s="421"/>
      <c r="E60" s="430"/>
      <c r="F60" s="430"/>
      <c r="G60" s="430"/>
      <c r="H60" s="430"/>
      <c r="I60" s="453"/>
      <c r="J60" s="430"/>
      <c r="K60" s="430"/>
      <c r="L60" s="430"/>
      <c r="M60" s="451"/>
      <c r="N60" s="451"/>
      <c r="O60" s="430"/>
      <c r="P60" s="531"/>
      <c r="Q60" s="429"/>
      <c r="R60" s="421"/>
      <c r="S60" s="473" t="s">
        <v>180</v>
      </c>
      <c r="T60" s="473" t="s">
        <v>180</v>
      </c>
      <c r="U60" s="466"/>
      <c r="V60" s="466"/>
      <c r="W60" s="421"/>
      <c r="X60" s="421"/>
      <c r="Y60" s="200" t="s">
        <v>240</v>
      </c>
      <c r="Z60" s="200" t="s">
        <v>180</v>
      </c>
      <c r="AA60" s="200" t="s">
        <v>180</v>
      </c>
      <c r="AB60" s="410">
        <f t="shared" si="2"/>
        <v>0</v>
      </c>
      <c r="AC60" s="409" t="str">
        <f t="shared" si="0"/>
        <v/>
      </c>
      <c r="AD60" s="409" t="str">
        <f t="shared" si="1"/>
        <v/>
      </c>
    </row>
    <row r="61" s="408" customFormat="1" ht="17.4" spans="1:30">
      <c r="A61" s="418" t="s">
        <v>274</v>
      </c>
      <c r="B61" s="419"/>
      <c r="C61" s="420"/>
      <c r="D61" s="421"/>
      <c r="E61" s="422" t="s">
        <v>202</v>
      </c>
      <c r="F61" s="422"/>
      <c r="G61" s="422"/>
      <c r="H61" s="422"/>
      <c r="I61" s="422"/>
      <c r="J61" s="422"/>
      <c r="K61" s="422"/>
      <c r="L61" s="422"/>
      <c r="M61" s="443"/>
      <c r="N61" s="444"/>
      <c r="O61" s="422"/>
      <c r="P61" s="531"/>
      <c r="Q61" s="465"/>
      <c r="R61" s="424"/>
      <c r="S61" s="473" t="s">
        <v>180</v>
      </c>
      <c r="T61" s="473" t="s">
        <v>180</v>
      </c>
      <c r="U61" s="467"/>
      <c r="V61" s="467"/>
      <c r="W61" s="467"/>
      <c r="X61" s="467"/>
      <c r="Y61" s="200" t="s">
        <v>240</v>
      </c>
      <c r="Z61" s="200" t="s">
        <v>180</v>
      </c>
      <c r="AA61" s="200" t="s">
        <v>180</v>
      </c>
      <c r="AB61" s="410">
        <f t="shared" si="2"/>
        <v>0</v>
      </c>
      <c r="AC61" s="409" t="str">
        <f t="shared" si="0"/>
        <v/>
      </c>
      <c r="AD61" s="409" t="str">
        <f t="shared" si="1"/>
        <v/>
      </c>
    </row>
    <row r="62" s="409" customFormat="1" ht="48.6" spans="1:30">
      <c r="A62" s="423" t="s">
        <v>206</v>
      </c>
      <c r="B62" s="424" t="s">
        <v>207</v>
      </c>
      <c r="C62" s="425" t="s">
        <v>208</v>
      </c>
      <c r="D62" s="424" t="s">
        <v>209</v>
      </c>
      <c r="E62" s="426" t="s">
        <v>210</v>
      </c>
      <c r="F62" s="427" t="s">
        <v>396</v>
      </c>
      <c r="G62" s="427" t="s">
        <v>212</v>
      </c>
      <c r="H62" s="427" t="s">
        <v>397</v>
      </c>
      <c r="I62" s="427" t="s">
        <v>214</v>
      </c>
      <c r="J62" s="446" t="s">
        <v>387</v>
      </c>
      <c r="K62" s="446" t="s">
        <v>398</v>
      </c>
      <c r="L62" s="446" t="s">
        <v>399</v>
      </c>
      <c r="M62" s="447" t="s">
        <v>218</v>
      </c>
      <c r="N62" s="448" t="s">
        <v>219</v>
      </c>
      <c r="O62" s="449" t="s">
        <v>220</v>
      </c>
      <c r="P62" s="530" t="s">
        <v>221</v>
      </c>
      <c r="Q62" s="469" t="s">
        <v>222</v>
      </c>
      <c r="R62" s="426" t="s">
        <v>223</v>
      </c>
      <c r="S62" s="470" t="s">
        <v>224</v>
      </c>
      <c r="T62" s="470" t="s">
        <v>205</v>
      </c>
      <c r="U62" s="467" t="s">
        <v>225</v>
      </c>
      <c r="V62" s="470" t="s">
        <v>226</v>
      </c>
      <c r="W62" s="467"/>
      <c r="X62" s="467"/>
      <c r="Y62" s="200" t="s">
        <v>207</v>
      </c>
      <c r="Z62" s="200" t="s">
        <v>180</v>
      </c>
      <c r="AA62" s="200" t="s">
        <v>180</v>
      </c>
      <c r="AB62" s="410">
        <f t="shared" si="2"/>
        <v>1</v>
      </c>
      <c r="AC62" s="409" t="str">
        <f t="shared" si="0"/>
        <v>Forum Link</v>
      </c>
      <c r="AD62" s="409" t="str">
        <f t="shared" si="1"/>
        <v>Domains</v>
      </c>
    </row>
    <row r="63" s="410" customFormat="1" ht="17.4" spans="1:30">
      <c r="A63" s="432" t="s">
        <v>227</v>
      </c>
      <c r="B63" s="432" t="s">
        <v>157</v>
      </c>
      <c r="C63" s="434" t="str">
        <f>VLOOKUP(B63,正厂竞争者数据汇总!D:H,2,FALSE)</f>
        <v>原厂目录</v>
      </c>
      <c r="D63" s="435" t="str">
        <f>VLOOKUP(B63,正厂竞争者数据汇总!D:H,3,FALSE)</f>
        <v>CA</v>
      </c>
      <c r="E63" s="436">
        <f>VLOOKUP(B63,正厂竞争者数据汇总!D:H,4,FALSE)</f>
        <v>0</v>
      </c>
      <c r="F63" s="436">
        <v>311391.45</v>
      </c>
      <c r="G63" s="436">
        <v>278909.416666667</v>
      </c>
      <c r="H63" s="436">
        <v>329867.416666667</v>
      </c>
      <c r="I63" s="454">
        <f>(F63/G63)-1</f>
        <v>0.116460870061455</v>
      </c>
      <c r="J63" s="457">
        <v>0.390896354722365</v>
      </c>
      <c r="K63" s="457">
        <v>0.404547248703697</v>
      </c>
      <c r="L63" s="457">
        <v>0.441652992912969</v>
      </c>
      <c r="M63" s="456">
        <f>J63-K63</f>
        <v>-0.013650893981332</v>
      </c>
      <c r="N63" s="457" t="str">
        <f>IFERROR(O63*0.5/$F$63,"")</f>
        <v/>
      </c>
      <c r="O63" s="436" t="s">
        <v>180</v>
      </c>
      <c r="P63" s="531">
        <f t="array" ref="P63">INDEX(正厂竞争者数据汇总!I:I,MATCH($A$61&amp;B63,正厂竞争者数据汇总!A:A&amp;正厂竞争者数据汇总!D:D,0))</f>
        <v>0</v>
      </c>
      <c r="Q63" s="434" t="s">
        <v>275</v>
      </c>
      <c r="R63" s="435" t="s">
        <v>229</v>
      </c>
      <c r="S63" s="476">
        <v>39909</v>
      </c>
      <c r="T63" s="476">
        <v>6992</v>
      </c>
      <c r="U63" s="477"/>
      <c r="V63" s="477"/>
      <c r="W63" s="435"/>
      <c r="X63" s="435"/>
      <c r="Y63" s="200" t="s">
        <v>157</v>
      </c>
      <c r="Z63" s="200">
        <v>39909</v>
      </c>
      <c r="AA63" s="200">
        <v>6992</v>
      </c>
      <c r="AB63" s="410">
        <f t="shared" si="2"/>
        <v>1</v>
      </c>
      <c r="AC63" s="409">
        <f t="shared" si="0"/>
        <v>39909</v>
      </c>
      <c r="AD63" s="409">
        <f t="shared" si="1"/>
        <v>6992</v>
      </c>
    </row>
    <row r="64" s="408" customFormat="1" spans="1:30">
      <c r="A64" s="428" t="s">
        <v>230</v>
      </c>
      <c r="B64" s="421" t="s">
        <v>276</v>
      </c>
      <c r="C64" s="429" t="str">
        <f>VLOOKUP(B64,正厂竞争者数据汇总!D:H,2,FALSE)</f>
        <v>Motor目录</v>
      </c>
      <c r="D64" s="421" t="str">
        <f>VLOOKUP(B64,正厂竞争者数据汇总!D:H,3,FALSE)</f>
        <v>-</v>
      </c>
      <c r="E64" s="430"/>
      <c r="F64" s="430">
        <v>241845.193333333</v>
      </c>
      <c r="G64" s="430"/>
      <c r="H64" s="430"/>
      <c r="I64" s="450"/>
      <c r="J64" s="451">
        <v>0.303593449598971</v>
      </c>
      <c r="K64" s="451">
        <v>0.291135163386125</v>
      </c>
      <c r="L64" s="451">
        <v>0.286964905078423</v>
      </c>
      <c r="M64" s="452"/>
      <c r="N64" s="451"/>
      <c r="O64" s="430"/>
      <c r="P64" s="531" t="str">
        <f t="array" ref="P64">INDEX(正厂竞争者数据汇总!I:I,MATCH($A$61&amp;B64,正厂竞争者数据汇总!A:A&amp;正厂竞争者数据汇总!D:D,0))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64" s="429"/>
      <c r="R64" s="421"/>
      <c r="S64" s="472">
        <v>1945</v>
      </c>
      <c r="T64" s="472">
        <v>226</v>
      </c>
      <c r="U64" s="466"/>
      <c r="V64" s="466"/>
      <c r="W64" s="466"/>
      <c r="X64" s="466"/>
      <c r="Y64" s="200" t="s">
        <v>276</v>
      </c>
      <c r="Z64" s="200">
        <v>1945</v>
      </c>
      <c r="AA64" s="200">
        <v>226</v>
      </c>
      <c r="AB64" s="410">
        <f t="shared" si="2"/>
        <v>1</v>
      </c>
      <c r="AC64" s="409">
        <f t="shared" si="0"/>
        <v>1945</v>
      </c>
      <c r="AD64" s="409">
        <f t="shared" si="1"/>
        <v>226</v>
      </c>
    </row>
    <row r="65" s="408" customFormat="1" spans="1:30">
      <c r="A65" s="428" t="s">
        <v>230</v>
      </c>
      <c r="B65" s="421" t="s">
        <v>278</v>
      </c>
      <c r="C65" s="429" t="str">
        <f>VLOOKUP(B65,正厂竞争者数据汇总!D:H,2,FALSE)</f>
        <v>Motor</v>
      </c>
      <c r="D65" s="421" t="str">
        <f>VLOOKUP(B65,正厂竞争者数据汇总!D:H,3,FALSE)</f>
        <v>NM</v>
      </c>
      <c r="E65" s="430"/>
      <c r="F65" s="430">
        <v>100259.123333333</v>
      </c>
      <c r="G65" s="430"/>
      <c r="H65" s="430"/>
      <c r="I65" s="450"/>
      <c r="J65" s="451">
        <v>0.125857424276292</v>
      </c>
      <c r="K65" s="451">
        <v>0.137026697907149</v>
      </c>
      <c r="L65" s="451">
        <v>0.128390052299007</v>
      </c>
      <c r="M65" s="452"/>
      <c r="N65" s="451"/>
      <c r="O65" s="430"/>
      <c r="P65" s="531" t="str">
        <f t="array" ref="P65">INDEX(正厂竞争者数据汇总!I:I,MATCH($A$61&amp;B65,正厂竞争者数据汇总!A:A&amp;正厂竞争者数据汇总!D:D,0))</f>
        <v>2020年11月新增竞争者</v>
      </c>
      <c r="Q65" s="429"/>
      <c r="R65" s="421"/>
      <c r="S65" s="472">
        <v>7789</v>
      </c>
      <c r="T65" s="472">
        <v>414</v>
      </c>
      <c r="U65" s="466"/>
      <c r="V65" s="466"/>
      <c r="W65" s="466"/>
      <c r="X65" s="466"/>
      <c r="Y65" s="200" t="s">
        <v>278</v>
      </c>
      <c r="Z65" s="200">
        <v>7789</v>
      </c>
      <c r="AA65" s="200">
        <v>414</v>
      </c>
      <c r="AB65" s="410">
        <f t="shared" si="2"/>
        <v>1</v>
      </c>
      <c r="AC65" s="409">
        <f t="shared" si="0"/>
        <v>7789</v>
      </c>
      <c r="AD65" s="409">
        <f t="shared" si="1"/>
        <v>414</v>
      </c>
    </row>
    <row r="66" s="408" customFormat="1" spans="1:30">
      <c r="A66" s="428" t="s">
        <v>243</v>
      </c>
      <c r="B66" s="421" t="s">
        <v>277</v>
      </c>
      <c r="C66" s="429" t="str">
        <f>VLOOKUP(B66,正厂竞争者数据汇总!D:H,2,FALSE)</f>
        <v>Motor目录</v>
      </c>
      <c r="D66" s="421" t="str">
        <f>VLOOKUP(B66,正厂竞争者数据汇总!D:H,3,FALSE)</f>
        <v>FL</v>
      </c>
      <c r="E66" s="430"/>
      <c r="F66" s="430">
        <v>92960.3333333333</v>
      </c>
      <c r="G66" s="430"/>
      <c r="H66" s="430"/>
      <c r="I66" s="450"/>
      <c r="J66" s="451">
        <v>0.116695096907047</v>
      </c>
      <c r="K66" s="451">
        <v>0.118772208311655</v>
      </c>
      <c r="L66" s="451">
        <v>0.101290584102824</v>
      </c>
      <c r="M66" s="452"/>
      <c r="N66" s="451"/>
      <c r="O66" s="430"/>
      <c r="P66" s="531">
        <f t="array" ref="P66">INDEX(正厂竞争者数据汇总!I:I,MATCH($A$61&amp;B66,正厂竞争者数据汇总!A:A&amp;正厂竞争者数据汇总!D:D,0))</f>
        <v>0</v>
      </c>
      <c r="Q66" s="429"/>
      <c r="R66" s="421"/>
      <c r="S66" s="472">
        <v>55886</v>
      </c>
      <c r="T66" s="472">
        <v>713</v>
      </c>
      <c r="U66" s="466"/>
      <c r="V66" s="466"/>
      <c r="W66" s="466"/>
      <c r="X66" s="466"/>
      <c r="Y66" s="200" t="s">
        <v>277</v>
      </c>
      <c r="Z66" s="200">
        <v>55886</v>
      </c>
      <c r="AA66" s="200">
        <v>713</v>
      </c>
      <c r="AB66" s="410">
        <f t="shared" si="2"/>
        <v>1</v>
      </c>
      <c r="AC66" s="409">
        <f t="shared" si="0"/>
        <v>55886</v>
      </c>
      <c r="AD66" s="409">
        <f t="shared" si="1"/>
        <v>713</v>
      </c>
    </row>
    <row r="67" s="408" customFormat="1" spans="1:30">
      <c r="A67" s="428" t="s">
        <v>230</v>
      </c>
      <c r="B67" s="421" t="s">
        <v>279</v>
      </c>
      <c r="C67" s="429" t="str">
        <f>VLOOKUP(B67,正厂竞争者数据汇总!D:H,2,FALSE)</f>
        <v>Motor目录</v>
      </c>
      <c r="D67" s="421" t="str">
        <f>VLOOKUP(B67,正厂竞争者数据汇总!D:H,3,FALSE)</f>
        <v>-</v>
      </c>
      <c r="E67" s="430"/>
      <c r="F67" s="430">
        <v>50152.6333333333</v>
      </c>
      <c r="G67" s="430"/>
      <c r="H67" s="430"/>
      <c r="I67" s="450"/>
      <c r="J67" s="451">
        <v>0.0629576744953252</v>
      </c>
      <c r="K67" s="451">
        <v>0.048518681691374</v>
      </c>
      <c r="L67" s="451">
        <v>0.0417014656067771</v>
      </c>
      <c r="M67" s="452"/>
      <c r="N67" s="451"/>
      <c r="O67" s="430"/>
      <c r="P67" s="531" t="str">
        <f t="array" ref="P67">INDEX(正厂竞争者数据汇总!I:I,MATCH($A$61&amp;B67,正厂竞争者数据汇总!A:A&amp;正厂竞争者数据汇总!D:D,0))</f>
        <v>同时经营多品牌零件，semrush流量折算比例：Ford:0%, GM:36%, Honda:25%, Hyundai:0%, Infiniti:1%, Kia:1%, Lexus:4%, Mopar:0%, Nissan:25%, Subaru:5%, Toyota:2%</v>
      </c>
      <c r="Q67" s="429"/>
      <c r="R67" s="421"/>
      <c r="S67" s="472">
        <v>498</v>
      </c>
      <c r="T67" s="472">
        <v>70</v>
      </c>
      <c r="U67" s="466"/>
      <c r="V67" s="466"/>
      <c r="W67" s="466"/>
      <c r="X67" s="466"/>
      <c r="Y67" s="200" t="s">
        <v>279</v>
      </c>
      <c r="Z67" s="200">
        <v>498</v>
      </c>
      <c r="AA67" s="200">
        <v>70</v>
      </c>
      <c r="AB67" s="410">
        <f t="shared" si="2"/>
        <v>1</v>
      </c>
      <c r="AC67" s="409">
        <f t="shared" ref="AC67:AC130" si="3">IF(Y67="Competitors","Forum Link",Z67)</f>
        <v>498</v>
      </c>
      <c r="AD67" s="409">
        <f t="shared" ref="AD67:AD130" si="4">IF(Y67="Competitors","Domains",AA67)</f>
        <v>70</v>
      </c>
    </row>
    <row r="68" s="408" customFormat="1" spans="1:30">
      <c r="A68" s="428"/>
      <c r="B68" s="431"/>
      <c r="C68" s="429"/>
      <c r="D68" s="421"/>
      <c r="E68" s="430"/>
      <c r="F68" s="430"/>
      <c r="G68" s="430"/>
      <c r="H68" s="430"/>
      <c r="I68" s="453"/>
      <c r="J68" s="451"/>
      <c r="K68" s="451"/>
      <c r="L68" s="451"/>
      <c r="M68" s="451"/>
      <c r="N68" s="451"/>
      <c r="O68" s="430"/>
      <c r="P68" s="531"/>
      <c r="Q68" s="429"/>
      <c r="R68" s="435"/>
      <c r="S68" s="473" t="s">
        <v>180</v>
      </c>
      <c r="T68" s="473" t="s">
        <v>180</v>
      </c>
      <c r="U68" s="466"/>
      <c r="V68" s="466"/>
      <c r="W68" s="421"/>
      <c r="X68" s="421"/>
      <c r="Y68" s="200" t="s">
        <v>240</v>
      </c>
      <c r="Z68" s="200" t="s">
        <v>180</v>
      </c>
      <c r="AA68" s="200" t="s">
        <v>180</v>
      </c>
      <c r="AB68" s="410">
        <f t="shared" ref="AB68:AB131" si="5">IF(B68=Y68,1,0)</f>
        <v>0</v>
      </c>
      <c r="AC68" s="409" t="str">
        <f t="shared" si="3"/>
        <v/>
      </c>
      <c r="AD68" s="409" t="str">
        <f t="shared" si="4"/>
        <v/>
      </c>
    </row>
    <row r="69" s="408" customFormat="1" spans="1:30">
      <c r="A69" s="428"/>
      <c r="B69" s="421"/>
      <c r="C69" s="439"/>
      <c r="D69" s="421"/>
      <c r="E69" s="430"/>
      <c r="F69" s="430">
        <v>796608.733333333</v>
      </c>
      <c r="G69" s="430">
        <v>704838.916666666</v>
      </c>
      <c r="H69" s="430">
        <v>764789.250000002</v>
      </c>
      <c r="I69" s="453">
        <f>(F69/G69)-1</f>
        <v>0.130199701657602</v>
      </c>
      <c r="J69" s="490"/>
      <c r="K69" s="480"/>
      <c r="L69" s="480"/>
      <c r="M69" s="451"/>
      <c r="N69" s="451">
        <f>SUM(N63:N67)</f>
        <v>0</v>
      </c>
      <c r="O69" s="430"/>
      <c r="P69" s="531"/>
      <c r="Q69" s="429"/>
      <c r="R69" s="421"/>
      <c r="S69" s="473" t="s">
        <v>180</v>
      </c>
      <c r="T69" s="473" t="s">
        <v>180</v>
      </c>
      <c r="U69" s="466"/>
      <c r="V69" s="466"/>
      <c r="W69" s="421"/>
      <c r="X69" s="421"/>
      <c r="Y69" s="200" t="s">
        <v>240</v>
      </c>
      <c r="Z69" s="200" t="s">
        <v>180</v>
      </c>
      <c r="AA69" s="200" t="s">
        <v>180</v>
      </c>
      <c r="AB69" s="410">
        <f t="shared" si="5"/>
        <v>0</v>
      </c>
      <c r="AC69" s="409" t="str">
        <f t="shared" si="3"/>
        <v/>
      </c>
      <c r="AD69" s="409" t="str">
        <f t="shared" si="4"/>
        <v/>
      </c>
    </row>
    <row r="70" s="408" customFormat="1" spans="1:30">
      <c r="A70" s="428"/>
      <c r="B70" s="421"/>
      <c r="C70" s="439"/>
      <c r="D70" s="421"/>
      <c r="E70" s="430"/>
      <c r="F70" s="430"/>
      <c r="G70" s="430"/>
      <c r="H70" s="430"/>
      <c r="I70" s="453"/>
      <c r="J70" s="430"/>
      <c r="K70" s="430"/>
      <c r="L70" s="430"/>
      <c r="M70" s="451"/>
      <c r="N70" s="459"/>
      <c r="O70" s="430"/>
      <c r="P70" s="531"/>
      <c r="Q70" s="429"/>
      <c r="R70" s="421"/>
      <c r="S70" s="473" t="s">
        <v>180</v>
      </c>
      <c r="T70" s="473" t="s">
        <v>180</v>
      </c>
      <c r="U70" s="466"/>
      <c r="V70" s="466"/>
      <c r="W70" s="421"/>
      <c r="X70" s="421"/>
      <c r="Y70" s="200" t="s">
        <v>240</v>
      </c>
      <c r="Z70" s="200" t="s">
        <v>180</v>
      </c>
      <c r="AA70" s="200" t="s">
        <v>180</v>
      </c>
      <c r="AB70" s="410">
        <f t="shared" si="5"/>
        <v>0</v>
      </c>
      <c r="AC70" s="409" t="str">
        <f t="shared" si="3"/>
        <v/>
      </c>
      <c r="AD70" s="409" t="str">
        <f t="shared" si="4"/>
        <v/>
      </c>
    </row>
    <row r="71" s="408" customFormat="1" ht="17.4" spans="1:30">
      <c r="A71" s="418" t="s">
        <v>159</v>
      </c>
      <c r="B71" s="419"/>
      <c r="C71" s="420"/>
      <c r="D71" s="421"/>
      <c r="E71" s="422" t="s">
        <v>202</v>
      </c>
      <c r="F71" s="422"/>
      <c r="G71" s="422"/>
      <c r="H71" s="422"/>
      <c r="I71" s="422"/>
      <c r="J71" s="422"/>
      <c r="K71" s="422"/>
      <c r="L71" s="422"/>
      <c r="M71" s="443"/>
      <c r="N71" s="444"/>
      <c r="O71" s="422"/>
      <c r="P71" s="531"/>
      <c r="Q71" s="465"/>
      <c r="R71" s="424"/>
      <c r="S71" s="473" t="s">
        <v>180</v>
      </c>
      <c r="T71" s="473" t="s">
        <v>180</v>
      </c>
      <c r="U71" s="467"/>
      <c r="V71" s="467"/>
      <c r="W71" s="467"/>
      <c r="X71" s="467"/>
      <c r="Y71" s="200" t="s">
        <v>240</v>
      </c>
      <c r="Z71" s="200" t="s">
        <v>180</v>
      </c>
      <c r="AA71" s="200" t="s">
        <v>180</v>
      </c>
      <c r="AB71" s="410">
        <f t="shared" si="5"/>
        <v>0</v>
      </c>
      <c r="AC71" s="409" t="str">
        <f t="shared" si="3"/>
        <v/>
      </c>
      <c r="AD71" s="409" t="str">
        <f t="shared" si="4"/>
        <v/>
      </c>
    </row>
    <row r="72" s="409" customFormat="1" ht="48.6" spans="1:30">
      <c r="A72" s="423" t="s">
        <v>206</v>
      </c>
      <c r="B72" s="424" t="s">
        <v>207</v>
      </c>
      <c r="C72" s="425" t="s">
        <v>208</v>
      </c>
      <c r="D72" s="424" t="s">
        <v>209</v>
      </c>
      <c r="E72" s="426" t="s">
        <v>210</v>
      </c>
      <c r="F72" s="427" t="s">
        <v>396</v>
      </c>
      <c r="G72" s="427" t="s">
        <v>212</v>
      </c>
      <c r="H72" s="427" t="s">
        <v>397</v>
      </c>
      <c r="I72" s="427" t="s">
        <v>214</v>
      </c>
      <c r="J72" s="446" t="s">
        <v>387</v>
      </c>
      <c r="K72" s="446" t="s">
        <v>398</v>
      </c>
      <c r="L72" s="446" t="s">
        <v>399</v>
      </c>
      <c r="M72" s="447" t="s">
        <v>218</v>
      </c>
      <c r="N72" s="448" t="s">
        <v>219</v>
      </c>
      <c r="O72" s="449" t="s">
        <v>220</v>
      </c>
      <c r="P72" s="530" t="s">
        <v>221</v>
      </c>
      <c r="Q72" s="469" t="s">
        <v>222</v>
      </c>
      <c r="R72" s="426" t="s">
        <v>223</v>
      </c>
      <c r="S72" s="470" t="s">
        <v>224</v>
      </c>
      <c r="T72" s="470" t="s">
        <v>205</v>
      </c>
      <c r="U72" s="467" t="s">
        <v>225</v>
      </c>
      <c r="V72" s="470" t="s">
        <v>226</v>
      </c>
      <c r="W72" s="467"/>
      <c r="X72" s="467"/>
      <c r="Y72" s="200" t="s">
        <v>207</v>
      </c>
      <c r="Z72" s="200" t="s">
        <v>180</v>
      </c>
      <c r="AA72" s="200" t="s">
        <v>180</v>
      </c>
      <c r="AB72" s="410">
        <f t="shared" si="5"/>
        <v>1</v>
      </c>
      <c r="AC72" s="409" t="str">
        <f t="shared" si="3"/>
        <v>Forum Link</v>
      </c>
      <c r="AD72" s="409" t="str">
        <f t="shared" si="4"/>
        <v>Domains</v>
      </c>
    </row>
    <row r="73" s="410" customFormat="1" ht="17.4" spans="1:30">
      <c r="A73" s="432" t="s">
        <v>227</v>
      </c>
      <c r="B73" s="432" t="s">
        <v>160</v>
      </c>
      <c r="C73" s="434" t="str">
        <f>VLOOKUP(B73,正厂竞争者数据汇总!D:H,2,FALSE)</f>
        <v>原厂目录</v>
      </c>
      <c r="D73" s="435" t="str">
        <f>VLOOKUP(B73,正厂竞争者数据汇总!D:H,3,FALSE)</f>
        <v>CA</v>
      </c>
      <c r="E73" s="436">
        <f>VLOOKUP(B73,正厂竞争者数据汇总!D:H,4,FALSE)</f>
        <v>0</v>
      </c>
      <c r="F73" s="436">
        <v>363623.586666667</v>
      </c>
      <c r="G73" s="436">
        <v>369856.833333333</v>
      </c>
      <c r="H73" s="436">
        <v>370810.25</v>
      </c>
      <c r="I73" s="454">
        <f>(F73/G73)-1</f>
        <v>-0.0168531337125474</v>
      </c>
      <c r="J73" s="455">
        <v>0.576880211756514</v>
      </c>
      <c r="K73" s="455">
        <v>0.543698131130185</v>
      </c>
      <c r="L73" s="455">
        <v>0.549402843724838</v>
      </c>
      <c r="M73" s="456">
        <f>J73-K73</f>
        <v>0.0331820806263291</v>
      </c>
      <c r="N73" s="455" t="str">
        <f>IFERROR(O73*0.5/$F$73,"")</f>
        <v/>
      </c>
      <c r="O73" s="436" t="s">
        <v>180</v>
      </c>
      <c r="P73" s="531">
        <f t="array" ref="P73">INDEX(正厂竞争者数据汇总!I:I,MATCH($A$71&amp;B73,正厂竞争者数据汇总!A:A&amp;正厂竞争者数据汇总!D:D,0))</f>
        <v>0</v>
      </c>
      <c r="Q73" s="434" t="s">
        <v>280</v>
      </c>
      <c r="R73" s="435" t="s">
        <v>229</v>
      </c>
      <c r="S73" s="476">
        <v>53116</v>
      </c>
      <c r="T73" s="476">
        <v>7428</v>
      </c>
      <c r="U73" s="477"/>
      <c r="V73" s="477"/>
      <c r="W73" s="435"/>
      <c r="X73" s="435"/>
      <c r="Y73" s="200" t="s">
        <v>160</v>
      </c>
      <c r="Z73" s="200">
        <v>53116</v>
      </c>
      <c r="AA73" s="200">
        <v>7428</v>
      </c>
      <c r="AB73" s="410">
        <f t="shared" si="5"/>
        <v>1</v>
      </c>
      <c r="AC73" s="409">
        <f t="shared" si="3"/>
        <v>53116</v>
      </c>
      <c r="AD73" s="409">
        <f t="shared" si="4"/>
        <v>7428</v>
      </c>
    </row>
    <row r="74" s="408" customFormat="1" spans="1:30">
      <c r="A74" s="428" t="s">
        <v>230</v>
      </c>
      <c r="B74" s="421" t="s">
        <v>255</v>
      </c>
      <c r="C74" s="429" t="str">
        <f>VLOOKUP(B74,正厂竞争者数据汇总!D:H,2,FALSE)</f>
        <v>Motor目录</v>
      </c>
      <c r="D74" s="421" t="str">
        <f>VLOOKUP(B74,正厂竞争者数据汇总!D:H,3,FALSE)</f>
        <v>RI</v>
      </c>
      <c r="E74" s="430"/>
      <c r="F74" s="430">
        <v>105300.766666667</v>
      </c>
      <c r="G74" s="430"/>
      <c r="H74" s="430"/>
      <c r="I74" s="450"/>
      <c r="J74" s="451">
        <v>0.167057173407389</v>
      </c>
      <c r="K74" s="451">
        <v>0.196979130771587</v>
      </c>
      <c r="L74" s="451">
        <v>0.18460348814452</v>
      </c>
      <c r="M74" s="452"/>
      <c r="N74" s="451"/>
      <c r="O74" s="430"/>
      <c r="P74" s="531" t="str">
        <f t="array" ref="P74">INDEX(正厂竞争者数据汇总!I:I,MATCH($A$71&amp;B74,正厂竞争者数据汇总!A:A&amp;正厂竞争者数据汇总!D:D,0))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74" s="429"/>
      <c r="R74" s="421"/>
      <c r="S74" s="472">
        <v>38224</v>
      </c>
      <c r="T74" s="472">
        <v>1673</v>
      </c>
      <c r="U74" s="466"/>
      <c r="V74" s="466"/>
      <c r="W74" s="466"/>
      <c r="X74" s="466"/>
      <c r="Y74" s="200" t="s">
        <v>255</v>
      </c>
      <c r="Z74" s="200">
        <v>38224</v>
      </c>
      <c r="AA74" s="200">
        <v>1673</v>
      </c>
      <c r="AB74" s="410">
        <f t="shared" si="5"/>
        <v>1</v>
      </c>
      <c r="AC74" s="409">
        <f t="shared" si="3"/>
        <v>38224</v>
      </c>
      <c r="AD74" s="409">
        <f t="shared" si="4"/>
        <v>1673</v>
      </c>
    </row>
    <row r="75" s="408" customFormat="1" spans="1:30">
      <c r="A75" s="428" t="s">
        <v>230</v>
      </c>
      <c r="B75" s="421" t="s">
        <v>281</v>
      </c>
      <c r="C75" s="429" t="str">
        <f>VLOOKUP(B75,正厂竞争者数据汇总!D:H,2,FALSE)</f>
        <v>Motor目录</v>
      </c>
      <c r="D75" s="421" t="str">
        <f>VLOOKUP(B75,正厂竞争者数据汇总!D:H,3,FALSE)</f>
        <v>-</v>
      </c>
      <c r="E75" s="430"/>
      <c r="F75" s="430">
        <v>90900.5</v>
      </c>
      <c r="G75" s="430"/>
      <c r="H75" s="430"/>
      <c r="I75" s="450"/>
      <c r="J75" s="451">
        <v>0.144211491255223</v>
      </c>
      <c r="K75" s="451">
        <v>0.119118638642505</v>
      </c>
      <c r="L75" s="451">
        <v>0.100989820420752</v>
      </c>
      <c r="M75" s="452"/>
      <c r="N75" s="451"/>
      <c r="O75" s="430"/>
      <c r="P75" s="531" t="str">
        <f t="array" ref="P75">INDEX(正厂竞争者数据汇总!I:I,MATCH($A$71&amp;B75,正厂竞争者数据汇总!A:A&amp;正厂竞争者数据汇总!D:D,0))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75" s="429"/>
      <c r="R75" s="421"/>
      <c r="S75" s="472">
        <v>586</v>
      </c>
      <c r="T75" s="472">
        <v>86</v>
      </c>
      <c r="U75" s="466"/>
      <c r="V75" s="466"/>
      <c r="W75" s="466"/>
      <c r="X75" s="466"/>
      <c r="Y75" s="200" t="s">
        <v>281</v>
      </c>
      <c r="Z75" s="200">
        <v>586</v>
      </c>
      <c r="AA75" s="200">
        <v>86</v>
      </c>
      <c r="AB75" s="410">
        <f t="shared" si="5"/>
        <v>1</v>
      </c>
      <c r="AC75" s="409">
        <f t="shared" si="3"/>
        <v>586</v>
      </c>
      <c r="AD75" s="409">
        <f t="shared" si="4"/>
        <v>86</v>
      </c>
    </row>
    <row r="76" s="408" customFormat="1" spans="1:30">
      <c r="A76" s="428" t="s">
        <v>230</v>
      </c>
      <c r="B76" s="421" t="s">
        <v>282</v>
      </c>
      <c r="C76" s="429" t="str">
        <f>VLOOKUP(B76,正厂竞争者数据汇总!D:H,2,FALSE)</f>
        <v>原厂目录</v>
      </c>
      <c r="D76" s="421" t="str">
        <f>VLOOKUP(B76,正厂竞争者数据汇总!D:H,3,FALSE)</f>
        <v>MA</v>
      </c>
      <c r="E76" s="430"/>
      <c r="F76" s="430">
        <v>59203.6133333333</v>
      </c>
      <c r="G76" s="430"/>
      <c r="H76" s="430"/>
      <c r="I76" s="450"/>
      <c r="J76" s="451">
        <v>0.0939251309563492</v>
      </c>
      <c r="K76" s="451">
        <v>0.12012772666564</v>
      </c>
      <c r="L76" s="451">
        <v>0.141893579459381</v>
      </c>
      <c r="M76" s="452"/>
      <c r="N76" s="451"/>
      <c r="O76" s="430"/>
      <c r="P76" s="531" t="str">
        <f t="array" ref="P76">INDEX(正厂竞争者数据汇总!I:I,MATCH($A$71&amp;B76,正厂竞争者数据汇总!A:A&amp;正厂竞争者数据汇总!D:D,0))</f>
        <v>2021年08月新增竞争者</v>
      </c>
      <c r="Q76" s="429"/>
      <c r="R76" s="421"/>
      <c r="S76" s="472">
        <v>3741</v>
      </c>
      <c r="T76" s="472">
        <v>410</v>
      </c>
      <c r="U76" s="466"/>
      <c r="V76" s="466"/>
      <c r="W76" s="466"/>
      <c r="X76" s="466"/>
      <c r="Y76" s="200" t="s">
        <v>282</v>
      </c>
      <c r="Z76" s="200">
        <v>3741</v>
      </c>
      <c r="AA76" s="200">
        <v>410</v>
      </c>
      <c r="AB76" s="410">
        <f t="shared" si="5"/>
        <v>1</v>
      </c>
      <c r="AC76" s="409">
        <f t="shared" si="3"/>
        <v>3741</v>
      </c>
      <c r="AD76" s="409">
        <f t="shared" si="4"/>
        <v>410</v>
      </c>
    </row>
    <row r="77" s="408" customFormat="1" spans="1:30">
      <c r="A77" s="428" t="s">
        <v>243</v>
      </c>
      <c r="B77" s="421" t="s">
        <v>401</v>
      </c>
      <c r="C77" s="429" t="str">
        <f>VLOOKUP(B77,正厂竞争者数据汇总!D:H,2,FALSE)</f>
        <v>Motor目录</v>
      </c>
      <c r="D77" s="421" t="str">
        <f>VLOOKUP(B77,正厂竞争者数据汇总!D:H,3,FALSE)</f>
        <v>FL</v>
      </c>
      <c r="E77" s="430"/>
      <c r="F77" s="430">
        <v>11299.25</v>
      </c>
      <c r="G77" s="430"/>
      <c r="H77" s="430"/>
      <c r="I77" s="450"/>
      <c r="J77" s="451">
        <v>0.0179259926245244</v>
      </c>
      <c r="K77" s="451">
        <v>0.0200763727900829</v>
      </c>
      <c r="L77" s="451">
        <v>0.0231102682505077</v>
      </c>
      <c r="M77" s="452"/>
      <c r="N77" s="451"/>
      <c r="O77" s="430"/>
      <c r="P77" s="531" t="str">
        <f t="array" ref="P77">INDEX(正厂竞争者数据汇总!I:I,MATCH($A$71&amp;B77,正厂竞争者数据汇总!A:A&amp;正厂竞争者数据汇总!D:D,0))</f>
        <v>2023年1月新增</v>
      </c>
      <c r="Q77" s="429"/>
      <c r="R77" s="421"/>
      <c r="S77" s="472">
        <v>2741</v>
      </c>
      <c r="T77" s="472">
        <v>195</v>
      </c>
      <c r="U77" s="466"/>
      <c r="V77" s="466"/>
      <c r="W77" s="466"/>
      <c r="X77" s="466"/>
      <c r="Y77" s="200" t="s">
        <v>401</v>
      </c>
      <c r="Z77" s="200">
        <v>2741</v>
      </c>
      <c r="AA77" s="200">
        <v>195</v>
      </c>
      <c r="AB77" s="410">
        <f t="shared" si="5"/>
        <v>1</v>
      </c>
      <c r="AC77" s="409">
        <f t="shared" si="3"/>
        <v>2741</v>
      </c>
      <c r="AD77" s="409">
        <f t="shared" si="4"/>
        <v>195</v>
      </c>
    </row>
    <row r="78" s="408" customFormat="1" spans="1:30">
      <c r="A78" s="428"/>
      <c r="B78" s="421"/>
      <c r="C78" s="429"/>
      <c r="D78" s="421"/>
      <c r="E78" s="430"/>
      <c r="F78" s="430"/>
      <c r="G78" s="430"/>
      <c r="H78" s="430"/>
      <c r="I78" s="453"/>
      <c r="J78" s="451"/>
      <c r="K78" s="451"/>
      <c r="L78" s="451"/>
      <c r="M78" s="451"/>
      <c r="N78" s="451"/>
      <c r="O78" s="430"/>
      <c r="P78" s="531"/>
      <c r="Q78" s="429"/>
      <c r="R78" s="421"/>
      <c r="S78" s="473" t="s">
        <v>180</v>
      </c>
      <c r="T78" s="473" t="s">
        <v>180</v>
      </c>
      <c r="U78" s="466"/>
      <c r="V78" s="466"/>
      <c r="W78" s="421"/>
      <c r="X78" s="421"/>
      <c r="Y78" s="200" t="s">
        <v>240</v>
      </c>
      <c r="Z78" s="200" t="s">
        <v>180</v>
      </c>
      <c r="AA78" s="200" t="s">
        <v>180</v>
      </c>
      <c r="AB78" s="410">
        <f t="shared" si="5"/>
        <v>0</v>
      </c>
      <c r="AC78" s="409" t="str">
        <f t="shared" si="3"/>
        <v/>
      </c>
      <c r="AD78" s="409" t="str">
        <f t="shared" si="4"/>
        <v/>
      </c>
    </row>
    <row r="79" s="408" customFormat="1" spans="1:30">
      <c r="A79" s="428"/>
      <c r="B79" s="421"/>
      <c r="C79" s="429"/>
      <c r="D79" s="421"/>
      <c r="E79" s="430"/>
      <c r="F79" s="430">
        <v>630327.716666667</v>
      </c>
      <c r="G79" s="430">
        <v>675366.255</v>
      </c>
      <c r="H79" s="430">
        <v>656929.13</v>
      </c>
      <c r="I79" s="453">
        <f>(F79/G79)-1</f>
        <v>-0.0666875758151894</v>
      </c>
      <c r="J79" s="451"/>
      <c r="K79" s="451"/>
      <c r="L79" s="451"/>
      <c r="M79" s="451"/>
      <c r="N79" s="451">
        <f>SUM(N73:N75)</f>
        <v>0</v>
      </c>
      <c r="O79" s="430"/>
      <c r="P79" s="531"/>
      <c r="Q79" s="429"/>
      <c r="R79" s="421"/>
      <c r="S79" s="473" t="s">
        <v>180</v>
      </c>
      <c r="T79" s="473" t="s">
        <v>180</v>
      </c>
      <c r="U79" s="466"/>
      <c r="V79" s="466"/>
      <c r="W79" s="421"/>
      <c r="X79" s="421"/>
      <c r="Y79" s="200" t="s">
        <v>240</v>
      </c>
      <c r="Z79" s="200" t="s">
        <v>180</v>
      </c>
      <c r="AA79" s="200" t="s">
        <v>180</v>
      </c>
      <c r="AB79" s="410">
        <f t="shared" si="5"/>
        <v>0</v>
      </c>
      <c r="AC79" s="409" t="str">
        <f t="shared" si="3"/>
        <v/>
      </c>
      <c r="AD79" s="409" t="str">
        <f t="shared" si="4"/>
        <v/>
      </c>
    </row>
    <row r="80" s="408" customFormat="1" spans="1:30">
      <c r="A80" s="428"/>
      <c r="B80" s="421"/>
      <c r="C80" s="429"/>
      <c r="D80" s="421"/>
      <c r="E80" s="430"/>
      <c r="F80" s="430"/>
      <c r="G80" s="430"/>
      <c r="H80" s="430"/>
      <c r="I80" s="453"/>
      <c r="J80" s="451"/>
      <c r="K80" s="451"/>
      <c r="L80" s="451"/>
      <c r="M80" s="451"/>
      <c r="N80" s="451"/>
      <c r="O80" s="430"/>
      <c r="P80" s="531"/>
      <c r="Q80" s="429"/>
      <c r="R80" s="421"/>
      <c r="S80" s="473" t="s">
        <v>180</v>
      </c>
      <c r="T80" s="473" t="s">
        <v>180</v>
      </c>
      <c r="U80" s="466"/>
      <c r="V80" s="466"/>
      <c r="W80" s="421"/>
      <c r="X80" s="421"/>
      <c r="Y80" s="200" t="s">
        <v>240</v>
      </c>
      <c r="Z80" s="200" t="s">
        <v>180</v>
      </c>
      <c r="AA80" s="200" t="s">
        <v>180</v>
      </c>
      <c r="AB80" s="410">
        <f t="shared" si="5"/>
        <v>0</v>
      </c>
      <c r="AC80" s="409" t="str">
        <f t="shared" si="3"/>
        <v/>
      </c>
      <c r="AD80" s="409" t="str">
        <f t="shared" si="4"/>
        <v/>
      </c>
    </row>
    <row r="81" s="408" customFormat="1" ht="17.4" spans="1:30">
      <c r="A81" s="418" t="s">
        <v>162</v>
      </c>
      <c r="B81" s="419"/>
      <c r="C81" s="420"/>
      <c r="D81" s="421"/>
      <c r="E81" s="422" t="s">
        <v>202</v>
      </c>
      <c r="F81" s="422"/>
      <c r="G81" s="422"/>
      <c r="H81" s="422"/>
      <c r="I81" s="422"/>
      <c r="J81" s="422"/>
      <c r="K81" s="422"/>
      <c r="L81" s="422"/>
      <c r="M81" s="443"/>
      <c r="N81" s="444"/>
      <c r="O81" s="422"/>
      <c r="P81" s="531"/>
      <c r="Q81" s="465"/>
      <c r="R81" s="424"/>
      <c r="S81" s="473" t="s">
        <v>180</v>
      </c>
      <c r="T81" s="473" t="s">
        <v>180</v>
      </c>
      <c r="U81" s="467"/>
      <c r="V81" s="467"/>
      <c r="W81" s="467"/>
      <c r="X81" s="467"/>
      <c r="Y81" s="200" t="s">
        <v>240</v>
      </c>
      <c r="Z81" s="200" t="s">
        <v>180</v>
      </c>
      <c r="AA81" s="200" t="s">
        <v>180</v>
      </c>
      <c r="AB81" s="410">
        <f t="shared" si="5"/>
        <v>0</v>
      </c>
      <c r="AC81" s="409" t="str">
        <f t="shared" si="3"/>
        <v/>
      </c>
      <c r="AD81" s="409" t="str">
        <f t="shared" si="4"/>
        <v/>
      </c>
    </row>
    <row r="82" s="409" customFormat="1" ht="48.6" spans="1:30">
      <c r="A82" s="423" t="s">
        <v>206</v>
      </c>
      <c r="B82" s="424" t="s">
        <v>207</v>
      </c>
      <c r="C82" s="425" t="s">
        <v>208</v>
      </c>
      <c r="D82" s="424" t="s">
        <v>209</v>
      </c>
      <c r="E82" s="426" t="s">
        <v>210</v>
      </c>
      <c r="F82" s="427" t="s">
        <v>396</v>
      </c>
      <c r="G82" s="427" t="s">
        <v>212</v>
      </c>
      <c r="H82" s="427" t="s">
        <v>397</v>
      </c>
      <c r="I82" s="427" t="s">
        <v>214</v>
      </c>
      <c r="J82" s="446" t="s">
        <v>387</v>
      </c>
      <c r="K82" s="446" t="s">
        <v>398</v>
      </c>
      <c r="L82" s="446" t="s">
        <v>399</v>
      </c>
      <c r="M82" s="447" t="s">
        <v>218</v>
      </c>
      <c r="N82" s="448" t="s">
        <v>219</v>
      </c>
      <c r="O82" s="449" t="s">
        <v>220</v>
      </c>
      <c r="P82" s="530" t="s">
        <v>221</v>
      </c>
      <c r="Q82" s="469" t="s">
        <v>222</v>
      </c>
      <c r="R82" s="426" t="s">
        <v>223</v>
      </c>
      <c r="S82" s="470" t="s">
        <v>224</v>
      </c>
      <c r="T82" s="470" t="s">
        <v>205</v>
      </c>
      <c r="U82" s="467" t="s">
        <v>225</v>
      </c>
      <c r="V82" s="470" t="s">
        <v>226</v>
      </c>
      <c r="W82" s="467"/>
      <c r="X82" s="467"/>
      <c r="Y82" s="200" t="s">
        <v>207</v>
      </c>
      <c r="Z82" s="200" t="s">
        <v>180</v>
      </c>
      <c r="AA82" s="200" t="s">
        <v>180</v>
      </c>
      <c r="AB82" s="410">
        <f t="shared" si="5"/>
        <v>1</v>
      </c>
      <c r="AC82" s="409" t="str">
        <f t="shared" si="3"/>
        <v>Forum Link</v>
      </c>
      <c r="AD82" s="409" t="str">
        <f t="shared" si="4"/>
        <v>Domains</v>
      </c>
    </row>
    <row r="83" s="410" customFormat="1" ht="17.4" spans="1:30">
      <c r="A83" s="432" t="s">
        <v>227</v>
      </c>
      <c r="B83" s="432" t="s">
        <v>163</v>
      </c>
      <c r="C83" s="434" t="str">
        <f>VLOOKUP(B83,正厂竞争者数据汇总!D:H,2,FALSE)</f>
        <v>原厂目录</v>
      </c>
      <c r="D83" s="435" t="str">
        <f>VLOOKUP(B83,正厂竞争者数据汇总!D:H,3,FALSE)</f>
        <v>CA</v>
      </c>
      <c r="E83" s="436">
        <f>VLOOKUP(B83,正厂竞争者数据汇总!D:H,4,FALSE)</f>
        <v>0</v>
      </c>
      <c r="F83" s="436">
        <v>273990.333333333</v>
      </c>
      <c r="G83" s="436">
        <v>213503.583333333</v>
      </c>
      <c r="H83" s="436">
        <v>235149.083333333</v>
      </c>
      <c r="I83" s="454">
        <f>(F83/G83)-1</f>
        <v>0.283305549516539</v>
      </c>
      <c r="J83" s="457">
        <v>0.492874085722336</v>
      </c>
      <c r="K83" s="457">
        <v>0.464874967102259</v>
      </c>
      <c r="L83" s="457">
        <v>0.42639031764785</v>
      </c>
      <c r="M83" s="456">
        <f>J83-K83</f>
        <v>0.027999118620077</v>
      </c>
      <c r="N83" s="457" t="str">
        <f>IFERROR(O83*0.5/$F$83,"")</f>
        <v/>
      </c>
      <c r="O83" s="436" t="s">
        <v>180</v>
      </c>
      <c r="P83" s="531">
        <f t="array" ref="P83">INDEX(正厂竞争者数据汇总!I:I,MATCH($A$81&amp;B83,正厂竞争者数据汇总!A:A&amp;正厂竞争者数据汇总!D:D,0))</f>
        <v>0</v>
      </c>
      <c r="Q83" s="434" t="s">
        <v>284</v>
      </c>
      <c r="R83" s="435" t="s">
        <v>229</v>
      </c>
      <c r="S83" s="476">
        <v>30521</v>
      </c>
      <c r="T83" s="476">
        <v>6195</v>
      </c>
      <c r="U83" s="477"/>
      <c r="V83" s="477"/>
      <c r="W83" s="435"/>
      <c r="X83" s="435"/>
      <c r="Y83" s="200" t="s">
        <v>163</v>
      </c>
      <c r="Z83" s="200">
        <v>30521</v>
      </c>
      <c r="AA83" s="200">
        <v>6195</v>
      </c>
      <c r="AB83" s="410">
        <f t="shared" si="5"/>
        <v>1</v>
      </c>
      <c r="AC83" s="409">
        <f t="shared" si="3"/>
        <v>30521</v>
      </c>
      <c r="AD83" s="409">
        <f t="shared" si="4"/>
        <v>6195</v>
      </c>
    </row>
    <row r="84" s="408" customFormat="1" spans="1:30">
      <c r="A84" s="428" t="s">
        <v>230</v>
      </c>
      <c r="B84" s="255" t="s">
        <v>285</v>
      </c>
      <c r="C84" s="429" t="str">
        <f>VLOOKUP(B84,正厂竞争者数据汇总!D:H,2,FALSE)</f>
        <v>Motor目录</v>
      </c>
      <c r="D84" s="421" t="str">
        <f>VLOOKUP(B84,正厂竞争者数据汇总!D:H,3,FALSE)</f>
        <v>AZ</v>
      </c>
      <c r="E84" s="430"/>
      <c r="F84" s="430">
        <v>66138.7485</v>
      </c>
      <c r="G84" s="430"/>
      <c r="H84" s="430"/>
      <c r="I84" s="450"/>
      <c r="J84" s="451">
        <v>0.118975274788613</v>
      </c>
      <c r="K84" s="451">
        <v>0.117061015601338</v>
      </c>
      <c r="L84" s="451">
        <v>0.126482096346981</v>
      </c>
      <c r="M84" s="452"/>
      <c r="N84" s="451"/>
      <c r="O84" s="430"/>
      <c r="P84" s="531">
        <f t="array" ref="P84">INDEX(正厂竞争者数据汇总!I:I,MATCH($A$81&amp;B84,正厂竞争者数据汇总!A:A&amp;正厂竞争者数据汇总!D:D,0))</f>
        <v>0</v>
      </c>
      <c r="Q84" s="429"/>
      <c r="R84" s="421"/>
      <c r="S84" s="472">
        <v>5743</v>
      </c>
      <c r="T84" s="472">
        <v>406</v>
      </c>
      <c r="U84" s="466"/>
      <c r="V84" s="466"/>
      <c r="W84" s="466"/>
      <c r="X84" s="466"/>
      <c r="Y84" s="200" t="s">
        <v>285</v>
      </c>
      <c r="Z84" s="200">
        <v>5743</v>
      </c>
      <c r="AA84" s="200">
        <v>406</v>
      </c>
      <c r="AB84" s="410">
        <f t="shared" si="5"/>
        <v>1</v>
      </c>
      <c r="AC84" s="409">
        <f t="shared" si="3"/>
        <v>5743</v>
      </c>
      <c r="AD84" s="409">
        <f t="shared" si="4"/>
        <v>406</v>
      </c>
    </row>
    <row r="85" s="408" customFormat="1" spans="1:30">
      <c r="A85" s="428" t="s">
        <v>230</v>
      </c>
      <c r="B85" s="421" t="s">
        <v>255</v>
      </c>
      <c r="C85" s="429" t="str">
        <f>VLOOKUP(B85,正厂竞争者数据汇总!D:H,2,FALSE)</f>
        <v>Motor目录</v>
      </c>
      <c r="D85" s="421" t="str">
        <f>VLOOKUP(B85,正厂竞争者数据汇总!D:H,3,FALSE)</f>
        <v>RI</v>
      </c>
      <c r="E85" s="430"/>
      <c r="F85" s="430">
        <v>45128.9</v>
      </c>
      <c r="G85" s="430"/>
      <c r="H85" s="430"/>
      <c r="I85" s="450"/>
      <c r="J85" s="451">
        <v>0.0811812046671529</v>
      </c>
      <c r="K85" s="451">
        <v>0.103480193999223</v>
      </c>
      <c r="L85" s="451">
        <v>0.101951308866639</v>
      </c>
      <c r="M85" s="452"/>
      <c r="N85" s="451"/>
      <c r="O85" s="430"/>
      <c r="P85" s="531" t="str">
        <f t="array" ref="P85">INDEX(正厂竞争者数据汇总!I:I,MATCH($A$81&amp;B85,正厂竞争者数据汇总!A:A&amp;正厂竞争者数据汇总!D:D,0))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85" s="429"/>
      <c r="R85" s="421"/>
      <c r="S85" s="472">
        <v>38224</v>
      </c>
      <c r="T85" s="472">
        <v>1673</v>
      </c>
      <c r="U85" s="466"/>
      <c r="V85" s="466"/>
      <c r="W85" s="466"/>
      <c r="X85" s="466"/>
      <c r="Y85" s="200" t="s">
        <v>255</v>
      </c>
      <c r="Z85" s="200">
        <v>38224</v>
      </c>
      <c r="AA85" s="200">
        <v>1673</v>
      </c>
      <c r="AB85" s="410">
        <f t="shared" si="5"/>
        <v>1</v>
      </c>
      <c r="AC85" s="409">
        <f t="shared" si="3"/>
        <v>38224</v>
      </c>
      <c r="AD85" s="409">
        <f t="shared" si="4"/>
        <v>1673</v>
      </c>
    </row>
    <row r="86" s="408" customFormat="1" spans="1:30">
      <c r="A86" s="428" t="s">
        <v>230</v>
      </c>
      <c r="B86" s="421" t="s">
        <v>287</v>
      </c>
      <c r="C86" s="429" t="str">
        <f>VLOOKUP(B86,正厂竞争者数据汇总!D:H,2,FALSE)</f>
        <v>Motor目录</v>
      </c>
      <c r="D86" s="421" t="str">
        <f>VLOOKUP(B86,正厂竞争者数据汇总!D:H,3,FALSE)</f>
        <v>CA</v>
      </c>
      <c r="E86" s="430"/>
      <c r="F86" s="430">
        <v>35057.2269333333</v>
      </c>
      <c r="G86" s="430"/>
      <c r="H86" s="430"/>
      <c r="I86" s="450"/>
      <c r="J86" s="451">
        <v>0.0630635338937522</v>
      </c>
      <c r="K86" s="451">
        <v>0.0565617734381787</v>
      </c>
      <c r="L86" s="451">
        <v>0.0667133593144789</v>
      </c>
      <c r="M86" s="452"/>
      <c r="N86" s="451"/>
      <c r="O86" s="430"/>
      <c r="P86" s="531">
        <f t="array" ref="P86">INDEX(正厂竞争者数据汇总!I:I,MATCH($A$81&amp;B86,正厂竞争者数据汇总!A:A&amp;正厂竞争者数据汇总!D:D,0))</f>
        <v>0</v>
      </c>
      <c r="Q86" s="429"/>
      <c r="R86" s="421"/>
      <c r="S86" s="472">
        <v>471</v>
      </c>
      <c r="T86" s="472">
        <v>130</v>
      </c>
      <c r="U86" s="466"/>
      <c r="V86" s="466"/>
      <c r="W86" s="466"/>
      <c r="X86" s="466"/>
      <c r="Y86" s="200" t="s">
        <v>287</v>
      </c>
      <c r="Z86" s="200">
        <v>471</v>
      </c>
      <c r="AA86" s="200">
        <v>130</v>
      </c>
      <c r="AB86" s="410">
        <f t="shared" si="5"/>
        <v>1</v>
      </c>
      <c r="AC86" s="409">
        <f t="shared" si="3"/>
        <v>471</v>
      </c>
      <c r="AD86" s="409">
        <f t="shared" si="4"/>
        <v>130</v>
      </c>
    </row>
    <row r="87" s="408" customFormat="1" spans="1:30">
      <c r="A87" s="428" t="s">
        <v>230</v>
      </c>
      <c r="B87" s="421" t="s">
        <v>286</v>
      </c>
      <c r="C87" s="429" t="str">
        <f>VLOOKUP(B87,正厂竞争者数据汇总!D:H,2,FALSE)</f>
        <v>Motor目录</v>
      </c>
      <c r="D87" s="421" t="str">
        <f>VLOOKUP(B87,正厂竞争者数据汇总!D:H,3,FALSE)</f>
        <v>-</v>
      </c>
      <c r="E87" s="430"/>
      <c r="F87" s="430">
        <v>32494.9166666667</v>
      </c>
      <c r="G87" s="430"/>
      <c r="H87" s="430"/>
      <c r="I87" s="450"/>
      <c r="J87" s="451">
        <v>0.0584542605859825</v>
      </c>
      <c r="K87" s="451">
        <v>0.0572965410628607</v>
      </c>
      <c r="L87" s="451">
        <v>0.0505059222991268</v>
      </c>
      <c r="M87" s="452"/>
      <c r="N87" s="451"/>
      <c r="O87" s="430"/>
      <c r="P87" s="531" t="str">
        <f t="array" ref="P87">INDEX(正厂竞争者数据汇总!I:I,MATCH($A$81&amp;B87,正厂竞争者数据汇总!A:A&amp;正厂竞争者数据汇总!D:D,0))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87" s="429"/>
      <c r="R87" s="421"/>
      <c r="S87" s="472">
        <v>269</v>
      </c>
      <c r="T87" s="472">
        <v>58</v>
      </c>
      <c r="U87" s="466"/>
      <c r="V87" s="466"/>
      <c r="W87" s="466"/>
      <c r="X87" s="466"/>
      <c r="Y87" s="200" t="s">
        <v>286</v>
      </c>
      <c r="Z87" s="200">
        <v>269</v>
      </c>
      <c r="AA87" s="200">
        <v>58</v>
      </c>
      <c r="AB87" s="410">
        <f t="shared" si="5"/>
        <v>1</v>
      </c>
      <c r="AC87" s="409">
        <f t="shared" si="3"/>
        <v>269</v>
      </c>
      <c r="AD87" s="409">
        <f t="shared" si="4"/>
        <v>58</v>
      </c>
    </row>
    <row r="88" s="408" customFormat="1" spans="1:30">
      <c r="A88" s="428" t="s">
        <v>230</v>
      </c>
      <c r="B88" s="421" t="s">
        <v>292</v>
      </c>
      <c r="C88" s="429" t="str">
        <f>VLOOKUP(B88,正厂竞争者数据汇总!D:H,2,FALSE)</f>
        <v>Motor目录</v>
      </c>
      <c r="D88" s="421" t="str">
        <f>VLOOKUP(B88,正厂竞争者数据汇总!D:H,3,FALSE)</f>
        <v>MA</v>
      </c>
      <c r="E88" s="430"/>
      <c r="F88" s="430">
        <v>29416.6265</v>
      </c>
      <c r="G88" s="430"/>
      <c r="H88" s="430"/>
      <c r="I88" s="450"/>
      <c r="J88" s="451">
        <v>0.0529168044537689</v>
      </c>
      <c r="K88" s="451">
        <v>0.0635159226871377</v>
      </c>
      <c r="L88" s="451">
        <v>0.060628280821327</v>
      </c>
      <c r="M88" s="452"/>
      <c r="N88" s="451"/>
      <c r="O88" s="430"/>
      <c r="P88" s="531" t="str">
        <f t="array" ref="P88">INDEX(正厂竞争者数据汇总!I:I,MATCH($A$81&amp;B88,正厂竞争者数据汇总!A:A&amp;正厂竞争者数据汇总!D:D,0))</f>
        <v>同时经营多品牌，流量折算比例为Ford:23%,GM:23%,Infiniti:0%,Kia:13%,Mopar:31%,Nissan:10%</v>
      </c>
      <c r="Q88" s="429"/>
      <c r="R88" s="421"/>
      <c r="S88" s="472">
        <v>7144</v>
      </c>
      <c r="T88" s="472">
        <v>831</v>
      </c>
      <c r="U88" s="466"/>
      <c r="V88" s="466"/>
      <c r="W88" s="466"/>
      <c r="X88" s="466"/>
      <c r="Y88" s="200" t="s">
        <v>292</v>
      </c>
      <c r="Z88" s="200">
        <v>7144</v>
      </c>
      <c r="AA88" s="200">
        <v>831</v>
      </c>
      <c r="AB88" s="410">
        <f t="shared" si="5"/>
        <v>1</v>
      </c>
      <c r="AC88" s="409">
        <f t="shared" si="3"/>
        <v>7144</v>
      </c>
      <c r="AD88" s="409">
        <f t="shared" si="4"/>
        <v>831</v>
      </c>
    </row>
    <row r="89" s="408" customFormat="1" ht="17.4" spans="1:30">
      <c r="A89" s="428" t="s">
        <v>243</v>
      </c>
      <c r="B89" s="421" t="s">
        <v>290</v>
      </c>
      <c r="C89" s="429" t="s">
        <v>247</v>
      </c>
      <c r="D89" s="421" t="s">
        <v>291</v>
      </c>
      <c r="E89" s="430"/>
      <c r="F89" s="430">
        <v>26410.1666666667</v>
      </c>
      <c r="G89" s="430"/>
      <c r="H89" s="430"/>
      <c r="I89" s="450"/>
      <c r="J89" s="451">
        <v>0.0475085620402954</v>
      </c>
      <c r="K89" s="451">
        <v>0.0568211203825893</v>
      </c>
      <c r="L89" s="451">
        <v>0.0667427982943836</v>
      </c>
      <c r="M89" s="452"/>
      <c r="N89" s="451"/>
      <c r="O89" s="430"/>
      <c r="P89" s="531" t="str">
        <f t="array" ref="P89">INDEX(正厂竞争者数据汇总!I:I,MATCH($A$81&amp;B89,正厂竞争者数据汇总!A:A&amp;正厂竞争者数据汇总!D:D,0))</f>
        <v>2023年2月新增正厂</v>
      </c>
      <c r="Q89" s="429"/>
      <c r="R89" s="421"/>
      <c r="S89" s="472">
        <v>5059</v>
      </c>
      <c r="T89" s="472">
        <v>132</v>
      </c>
      <c r="U89" s="466"/>
      <c r="V89" s="466"/>
      <c r="W89" s="466"/>
      <c r="X89" s="466"/>
      <c r="Y89" s="200" t="s">
        <v>290</v>
      </c>
      <c r="Z89" s="200">
        <v>5059</v>
      </c>
      <c r="AA89" s="200">
        <v>132</v>
      </c>
      <c r="AB89" s="410">
        <f t="shared" si="5"/>
        <v>1</v>
      </c>
      <c r="AC89" s="409">
        <f t="shared" si="3"/>
        <v>5059</v>
      </c>
      <c r="AD89" s="409">
        <f t="shared" si="4"/>
        <v>132</v>
      </c>
    </row>
    <row r="90" s="408" customFormat="1" spans="1:30">
      <c r="A90" s="428" t="s">
        <v>230</v>
      </c>
      <c r="B90" s="421" t="s">
        <v>289</v>
      </c>
      <c r="C90" s="429" t="str">
        <f>VLOOKUP(B90,正厂竞争者数据汇总!D:H,2,FALSE)</f>
        <v>Motor目录</v>
      </c>
      <c r="D90" s="421" t="str">
        <f>VLOOKUP(B90,正厂竞争者数据汇总!D:H,3,FALSE)</f>
        <v>WA</v>
      </c>
      <c r="E90" s="430"/>
      <c r="F90" s="430">
        <v>24413.47</v>
      </c>
      <c r="G90" s="430"/>
      <c r="H90" s="430"/>
      <c r="I90" s="450"/>
      <c r="J90" s="451">
        <v>0.0439167563292125</v>
      </c>
      <c r="K90" s="451">
        <v>0.0409952394042263</v>
      </c>
      <c r="L90" s="451">
        <v>0.0514482559088053</v>
      </c>
      <c r="M90" s="452"/>
      <c r="N90" s="451"/>
      <c r="O90" s="430"/>
      <c r="P90" s="531" t="str">
        <f t="array" ref="P90">INDEX(正厂竞争者数据汇总!I:I,MATCH($A$81&amp;B90,正厂竞争者数据汇总!A:A&amp;正厂竞争者数据汇总!D:D,0))</f>
        <v>2021年11月重开
2021年10月临时关站
2020年10月从PartSites变成Revolution，加入MarketingShare</v>
      </c>
      <c r="Q90" s="429"/>
      <c r="R90" s="421"/>
      <c r="S90" s="472">
        <v>1195</v>
      </c>
      <c r="T90" s="472">
        <v>202</v>
      </c>
      <c r="U90" s="466"/>
      <c r="V90" s="466"/>
      <c r="W90" s="466"/>
      <c r="X90" s="466"/>
      <c r="Y90" s="200" t="s">
        <v>289</v>
      </c>
      <c r="Z90" s="200">
        <v>1195</v>
      </c>
      <c r="AA90" s="200">
        <v>202</v>
      </c>
      <c r="AB90" s="410">
        <f t="shared" si="5"/>
        <v>1</v>
      </c>
      <c r="AC90" s="409">
        <f t="shared" si="3"/>
        <v>1195</v>
      </c>
      <c r="AD90" s="409">
        <f t="shared" si="4"/>
        <v>202</v>
      </c>
    </row>
    <row r="91" s="408" customFormat="1" spans="1:30">
      <c r="A91" s="428" t="s">
        <v>230</v>
      </c>
      <c r="B91" s="421" t="s">
        <v>288</v>
      </c>
      <c r="C91" s="429" t="str">
        <f>VLOOKUP(B91,正厂竞争者数据汇总!D:H,2,FALSE)</f>
        <v>原厂目录</v>
      </c>
      <c r="D91" s="421" t="str">
        <f>VLOOKUP(B91,正厂竞争者数据汇总!D:H,3,FALSE)</f>
        <v>CT</v>
      </c>
      <c r="E91" s="430"/>
      <c r="F91" s="430">
        <v>22852.9166666667</v>
      </c>
      <c r="G91" s="430"/>
      <c r="H91" s="430"/>
      <c r="I91" s="450"/>
      <c r="J91" s="451">
        <v>0.0411095175188861</v>
      </c>
      <c r="K91" s="451">
        <v>0.039393226322187</v>
      </c>
      <c r="L91" s="451">
        <v>0.0491376605004087</v>
      </c>
      <c r="M91" s="452"/>
      <c r="N91" s="451"/>
      <c r="O91" s="430"/>
      <c r="P91" s="531" t="str">
        <f t="array" ref="P91">INDEX(正厂竞争者数据汇总!I:I,MATCH($A$81&amp;B91,正厂竞争者数据汇总!A:A&amp;正厂竞争者数据汇总!D:D,0))</f>
        <v>2022年1月 新加入 CompetitorSites
2022年1月 新加入 MarketingShare</v>
      </c>
      <c r="Q91" s="429"/>
      <c r="R91" s="421"/>
      <c r="S91" s="472">
        <v>445</v>
      </c>
      <c r="T91" s="472">
        <v>140</v>
      </c>
      <c r="U91" s="466"/>
      <c r="V91" s="466"/>
      <c r="W91" s="466"/>
      <c r="X91" s="466"/>
      <c r="Y91" s="200" t="s">
        <v>288</v>
      </c>
      <c r="Z91" s="200">
        <v>445</v>
      </c>
      <c r="AA91" s="200">
        <v>140</v>
      </c>
      <c r="AB91" s="410">
        <f t="shared" si="5"/>
        <v>1</v>
      </c>
      <c r="AC91" s="409">
        <f t="shared" si="3"/>
        <v>445</v>
      </c>
      <c r="AD91" s="409">
        <f t="shared" si="4"/>
        <v>140</v>
      </c>
    </row>
    <row r="92" s="408" customFormat="1" spans="1:30">
      <c r="A92" s="428"/>
      <c r="B92" s="421"/>
      <c r="C92" s="439"/>
      <c r="D92" s="421"/>
      <c r="E92" s="421"/>
      <c r="F92" s="430"/>
      <c r="G92" s="430"/>
      <c r="H92" s="430"/>
      <c r="I92" s="453"/>
      <c r="J92" s="430"/>
      <c r="K92" s="430"/>
      <c r="L92" s="430"/>
      <c r="M92" s="451"/>
      <c r="N92" s="451"/>
      <c r="O92" s="430"/>
      <c r="P92" s="531"/>
      <c r="Q92" s="429"/>
      <c r="R92" s="421"/>
      <c r="S92" s="473" t="s">
        <v>180</v>
      </c>
      <c r="T92" s="473" t="s">
        <v>180</v>
      </c>
      <c r="U92" s="466"/>
      <c r="V92" s="466"/>
      <c r="W92" s="421"/>
      <c r="X92" s="421"/>
      <c r="Y92" s="200" t="s">
        <v>240</v>
      </c>
      <c r="Z92" s="200" t="s">
        <v>180</v>
      </c>
      <c r="AA92" s="200" t="s">
        <v>180</v>
      </c>
      <c r="AB92" s="410">
        <f t="shared" si="5"/>
        <v>0</v>
      </c>
      <c r="AC92" s="409" t="str">
        <f t="shared" si="3"/>
        <v/>
      </c>
      <c r="AD92" s="409" t="str">
        <f t="shared" si="4"/>
        <v/>
      </c>
    </row>
    <row r="93" s="408" customFormat="1" spans="1:30">
      <c r="A93" s="428"/>
      <c r="B93" s="421"/>
      <c r="C93" s="439"/>
      <c r="D93" s="421"/>
      <c r="E93" s="421"/>
      <c r="F93" s="430">
        <v>555903.305266666</v>
      </c>
      <c r="G93" s="430">
        <v>445410.310833333</v>
      </c>
      <c r="H93" s="430">
        <v>428652.916666666</v>
      </c>
      <c r="I93" s="453">
        <f>(F93/G93)-1</f>
        <v>0.248070131620007</v>
      </c>
      <c r="J93" s="430"/>
      <c r="K93" s="430"/>
      <c r="L93" s="430"/>
      <c r="M93" s="451"/>
      <c r="N93" s="451">
        <f>SUM(N83:N84)</f>
        <v>0</v>
      </c>
      <c r="O93" s="430"/>
      <c r="P93" s="531"/>
      <c r="Q93" s="429"/>
      <c r="R93" s="421"/>
      <c r="S93" s="473" t="s">
        <v>180</v>
      </c>
      <c r="T93" s="473" t="s">
        <v>180</v>
      </c>
      <c r="U93" s="466"/>
      <c r="V93" s="466"/>
      <c r="W93" s="421"/>
      <c r="X93" s="421"/>
      <c r="Y93" s="200" t="s">
        <v>240</v>
      </c>
      <c r="Z93" s="200" t="s">
        <v>180</v>
      </c>
      <c r="AA93" s="200" t="s">
        <v>180</v>
      </c>
      <c r="AB93" s="410">
        <f t="shared" si="5"/>
        <v>0</v>
      </c>
      <c r="AC93" s="409" t="str">
        <f t="shared" si="3"/>
        <v/>
      </c>
      <c r="AD93" s="409" t="str">
        <f t="shared" si="4"/>
        <v/>
      </c>
    </row>
    <row r="94" s="408" customFormat="1" spans="1:30">
      <c r="A94" s="428"/>
      <c r="B94" s="421"/>
      <c r="C94" s="439"/>
      <c r="D94" s="421"/>
      <c r="E94" s="421"/>
      <c r="F94" s="430"/>
      <c r="G94" s="430"/>
      <c r="H94" s="430"/>
      <c r="I94" s="453"/>
      <c r="J94" s="430"/>
      <c r="K94" s="430"/>
      <c r="L94" s="430"/>
      <c r="M94" s="451"/>
      <c r="N94" s="451"/>
      <c r="O94" s="430"/>
      <c r="P94" s="531"/>
      <c r="Q94" s="429"/>
      <c r="R94" s="421"/>
      <c r="S94" s="473" t="s">
        <v>180</v>
      </c>
      <c r="T94" s="473" t="s">
        <v>180</v>
      </c>
      <c r="U94" s="466"/>
      <c r="V94" s="466"/>
      <c r="W94" s="421"/>
      <c r="X94" s="421"/>
      <c r="Y94" s="200" t="s">
        <v>240</v>
      </c>
      <c r="Z94" s="200" t="s">
        <v>180</v>
      </c>
      <c r="AA94" s="200" t="s">
        <v>180</v>
      </c>
      <c r="AB94" s="410">
        <f t="shared" si="5"/>
        <v>0</v>
      </c>
      <c r="AC94" s="409" t="str">
        <f t="shared" si="3"/>
        <v/>
      </c>
      <c r="AD94" s="409" t="str">
        <f t="shared" si="4"/>
        <v/>
      </c>
    </row>
    <row r="95" s="408" customFormat="1" spans="1:30">
      <c r="A95" s="428"/>
      <c r="B95" s="421"/>
      <c r="C95" s="439"/>
      <c r="D95" s="421"/>
      <c r="E95" s="421"/>
      <c r="F95" s="430"/>
      <c r="G95" s="430"/>
      <c r="H95" s="430"/>
      <c r="I95" s="453"/>
      <c r="J95" s="430"/>
      <c r="K95" s="430"/>
      <c r="L95" s="430"/>
      <c r="M95" s="451"/>
      <c r="N95" s="451"/>
      <c r="O95" s="430"/>
      <c r="P95" s="531"/>
      <c r="Q95" s="429"/>
      <c r="R95" s="421"/>
      <c r="S95" s="473" t="s">
        <v>180</v>
      </c>
      <c r="T95" s="473" t="s">
        <v>180</v>
      </c>
      <c r="U95" s="466"/>
      <c r="V95" s="466"/>
      <c r="W95" s="421"/>
      <c r="X95" s="421"/>
      <c r="Y95" s="200" t="s">
        <v>240</v>
      </c>
      <c r="Z95" s="200" t="s">
        <v>180</v>
      </c>
      <c r="AA95" s="200" t="s">
        <v>180</v>
      </c>
      <c r="AB95" s="410">
        <f t="shared" si="5"/>
        <v>0</v>
      </c>
      <c r="AC95" s="409" t="str">
        <f t="shared" si="3"/>
        <v/>
      </c>
      <c r="AD95" s="409" t="str">
        <f t="shared" si="4"/>
        <v/>
      </c>
    </row>
    <row r="96" s="408" customFormat="1" ht="17.4" spans="1:30">
      <c r="A96" s="418" t="s">
        <v>168</v>
      </c>
      <c r="B96" s="487"/>
      <c r="C96" s="420"/>
      <c r="D96" s="421"/>
      <c r="E96" s="422" t="s">
        <v>202</v>
      </c>
      <c r="F96" s="422"/>
      <c r="G96" s="422" t="s">
        <v>212</v>
      </c>
      <c r="H96" s="422"/>
      <c r="I96" s="422"/>
      <c r="J96" s="422"/>
      <c r="K96" s="422"/>
      <c r="L96" s="422"/>
      <c r="M96" s="443"/>
      <c r="N96" s="444"/>
      <c r="O96" s="422"/>
      <c r="P96" s="531"/>
      <c r="Q96" s="465"/>
      <c r="R96" s="424"/>
      <c r="S96" s="473" t="s">
        <v>180</v>
      </c>
      <c r="T96" s="473" t="s">
        <v>180</v>
      </c>
      <c r="U96" s="467"/>
      <c r="V96" s="467"/>
      <c r="W96" s="467"/>
      <c r="X96" s="467"/>
      <c r="Y96" s="200" t="s">
        <v>240</v>
      </c>
      <c r="Z96" s="200" t="s">
        <v>180</v>
      </c>
      <c r="AA96" s="200" t="s">
        <v>180</v>
      </c>
      <c r="AB96" s="410">
        <f t="shared" si="5"/>
        <v>0</v>
      </c>
      <c r="AC96" s="409" t="str">
        <f t="shared" si="3"/>
        <v/>
      </c>
      <c r="AD96" s="409" t="str">
        <f t="shared" si="4"/>
        <v/>
      </c>
    </row>
    <row r="97" s="409" customFormat="1" ht="48.6" spans="1:30">
      <c r="A97" s="423" t="s">
        <v>206</v>
      </c>
      <c r="B97" s="424" t="s">
        <v>207</v>
      </c>
      <c r="C97" s="425" t="s">
        <v>208</v>
      </c>
      <c r="D97" s="424" t="s">
        <v>209</v>
      </c>
      <c r="E97" s="426" t="s">
        <v>210</v>
      </c>
      <c r="F97" s="427" t="s">
        <v>396</v>
      </c>
      <c r="G97" s="427">
        <v>197584.75</v>
      </c>
      <c r="H97" s="427" t="s">
        <v>397</v>
      </c>
      <c r="I97" s="427" t="s">
        <v>214</v>
      </c>
      <c r="J97" s="446" t="s">
        <v>387</v>
      </c>
      <c r="K97" s="446" t="s">
        <v>398</v>
      </c>
      <c r="L97" s="446" t="s">
        <v>399</v>
      </c>
      <c r="M97" s="447" t="s">
        <v>218</v>
      </c>
      <c r="N97" s="448" t="s">
        <v>219</v>
      </c>
      <c r="O97" s="449" t="s">
        <v>220</v>
      </c>
      <c r="P97" s="530" t="s">
        <v>221</v>
      </c>
      <c r="Q97" s="469" t="s">
        <v>222</v>
      </c>
      <c r="R97" s="426" t="s">
        <v>223</v>
      </c>
      <c r="S97" s="470" t="s">
        <v>224</v>
      </c>
      <c r="T97" s="470" t="s">
        <v>205</v>
      </c>
      <c r="U97" s="467" t="s">
        <v>225</v>
      </c>
      <c r="V97" s="470" t="s">
        <v>226</v>
      </c>
      <c r="W97" s="467"/>
      <c r="X97" s="467"/>
      <c r="Y97" s="200" t="s">
        <v>207</v>
      </c>
      <c r="Z97" s="200" t="s">
        <v>180</v>
      </c>
      <c r="AA97" s="200" t="s">
        <v>180</v>
      </c>
      <c r="AB97" s="410">
        <f t="shared" si="5"/>
        <v>1</v>
      </c>
      <c r="AC97" s="409" t="str">
        <f t="shared" si="3"/>
        <v>Forum Link</v>
      </c>
      <c r="AD97" s="409" t="str">
        <f t="shared" si="4"/>
        <v>Domains</v>
      </c>
    </row>
    <row r="98" s="410" customFormat="1" ht="17.4" spans="1:30">
      <c r="A98" s="432" t="s">
        <v>227</v>
      </c>
      <c r="B98" s="432" t="s">
        <v>169</v>
      </c>
      <c r="C98" s="434" t="str">
        <f>VLOOKUP(B98,正厂竞争者数据汇总!D:H,2,FALSE)</f>
        <v>原厂目录</v>
      </c>
      <c r="D98" s="435" t="str">
        <f>VLOOKUP(B98,正厂竞争者数据汇总!D:H,3,FALSE)</f>
        <v>CA</v>
      </c>
      <c r="E98" s="436">
        <f>VLOOKUP(B98,正厂竞争者数据汇总!D:H,4,FALSE)</f>
        <v>0</v>
      </c>
      <c r="F98" s="436">
        <v>307121.280533333</v>
      </c>
      <c r="G98" s="436">
        <v>39089.5833333333</v>
      </c>
      <c r="H98" s="436">
        <v>201623.666666667</v>
      </c>
      <c r="I98" s="454">
        <f>(F98/G98)-1</f>
        <v>6.85685736055002</v>
      </c>
      <c r="J98" s="457">
        <v>0.62279478145527</v>
      </c>
      <c r="K98" s="457">
        <v>0.633196949198088</v>
      </c>
      <c r="L98" s="457">
        <v>0.613831577040421</v>
      </c>
      <c r="M98" s="456">
        <f>J98-K104</f>
        <v>0.572952009872424</v>
      </c>
      <c r="N98" s="457" t="str">
        <f>IFERROR(O98*0.5/$F$98,"")</f>
        <v/>
      </c>
      <c r="O98" s="436" t="s">
        <v>180</v>
      </c>
      <c r="P98" s="531">
        <f t="array" ref="P98">INDEX(正厂竞争者数据汇总!I:I,MATCH($A$96&amp;B98,正厂竞争者数据汇总!A:A&amp;正厂竞争者数据汇总!D:D,0))</f>
        <v>0</v>
      </c>
      <c r="Q98" s="434" t="s">
        <v>299</v>
      </c>
      <c r="R98" s="435" t="s">
        <v>229</v>
      </c>
      <c r="S98" s="476">
        <v>25098</v>
      </c>
      <c r="T98" s="476">
        <v>3453</v>
      </c>
      <c r="U98" s="477"/>
      <c r="V98" s="477"/>
      <c r="W98" s="435"/>
      <c r="X98" s="435"/>
      <c r="Y98" s="200" t="s">
        <v>169</v>
      </c>
      <c r="Z98" s="200">
        <v>25098</v>
      </c>
      <c r="AA98" s="200">
        <v>3453</v>
      </c>
      <c r="AB98" s="410">
        <f t="shared" si="5"/>
        <v>1</v>
      </c>
      <c r="AC98" s="409">
        <f t="shared" si="3"/>
        <v>25098</v>
      </c>
      <c r="AD98" s="409">
        <f t="shared" si="4"/>
        <v>3453</v>
      </c>
    </row>
    <row r="99" s="408" customFormat="1" ht="17.4" spans="1:30">
      <c r="A99" s="428" t="s">
        <v>243</v>
      </c>
      <c r="B99" s="421" t="s">
        <v>300</v>
      </c>
      <c r="C99" s="429" t="s">
        <v>301</v>
      </c>
      <c r="D99" s="421" t="s">
        <v>302</v>
      </c>
      <c r="E99" s="430"/>
      <c r="F99" s="430">
        <v>35447.1666666666</v>
      </c>
      <c r="G99" s="430"/>
      <c r="H99" s="430"/>
      <c r="I99" s="450"/>
      <c r="J99" s="451">
        <v>0.0718814091261876</v>
      </c>
      <c r="K99" s="451">
        <v>0.0610286640671596</v>
      </c>
      <c r="L99" s="451">
        <v>0.0643524166959716</v>
      </c>
      <c r="M99" s="452"/>
      <c r="N99" s="451"/>
      <c r="O99" s="430"/>
      <c r="P99" s="531" t="str">
        <f t="array" ref="P99">INDEX(正厂竞争者数据汇总!I:I,MATCH($A$96&amp;B99,正厂竞争者数据汇总!A:A&amp;正厂竞争者数据汇总!D:D,0))</f>
        <v>2023年3月新增正厂，202305因流量超过MS5%加入MS计算基准</v>
      </c>
      <c r="Q99" s="429"/>
      <c r="R99" s="421"/>
      <c r="S99" s="472">
        <v>588</v>
      </c>
      <c r="T99" s="472">
        <v>174</v>
      </c>
      <c r="U99" s="466"/>
      <c r="V99" s="466"/>
      <c r="W99" s="466"/>
      <c r="X99" s="466"/>
      <c r="Y99" s="200" t="s">
        <v>300</v>
      </c>
      <c r="Z99" s="200">
        <v>588</v>
      </c>
      <c r="AA99" s="200">
        <v>174</v>
      </c>
      <c r="AB99" s="410">
        <f t="shared" si="5"/>
        <v>1</v>
      </c>
      <c r="AC99" s="409">
        <f t="shared" si="3"/>
        <v>588</v>
      </c>
      <c r="AD99" s="409">
        <f t="shared" si="4"/>
        <v>174</v>
      </c>
    </row>
    <row r="100" s="408" customFormat="1" ht="17.4" spans="1:30">
      <c r="A100" s="428" t="s">
        <v>230</v>
      </c>
      <c r="B100" s="421" t="s">
        <v>307</v>
      </c>
      <c r="C100" s="429" t="s">
        <v>247</v>
      </c>
      <c r="D100" s="421" t="s">
        <v>49</v>
      </c>
      <c r="E100" s="430"/>
      <c r="F100" s="430">
        <v>33123.0833333334</v>
      </c>
      <c r="G100" s="430"/>
      <c r="H100" s="430"/>
      <c r="I100" s="450"/>
      <c r="J100" s="451">
        <v>0.0671685251177804</v>
      </c>
      <c r="K100" s="451">
        <v>0.0492423267034244</v>
      </c>
      <c r="L100" s="451">
        <v>0.0532012498565414</v>
      </c>
      <c r="M100" s="452"/>
      <c r="N100" s="451"/>
      <c r="O100" s="430"/>
      <c r="P100" s="531" t="str">
        <f t="array" ref="P100">INDEX(正厂竞争者数据汇总!I:I,MATCH($A$96&amp;B100,正厂竞争者数据汇总!A:A&amp;正厂竞争者数据汇总!D:D,0))</f>
        <v>2023年2月新增正厂</v>
      </c>
      <c r="Q100" s="429"/>
      <c r="R100" s="421"/>
      <c r="S100" s="472">
        <v>754</v>
      </c>
      <c r="T100" s="472">
        <v>70</v>
      </c>
      <c r="U100" s="466"/>
      <c r="V100" s="466"/>
      <c r="W100" s="466"/>
      <c r="X100" s="466"/>
      <c r="Y100" s="200" t="s">
        <v>307</v>
      </c>
      <c r="Z100" s="200">
        <v>754</v>
      </c>
      <c r="AA100" s="200">
        <v>70</v>
      </c>
      <c r="AB100" s="410">
        <f t="shared" si="5"/>
        <v>1</v>
      </c>
      <c r="AC100" s="409">
        <f t="shared" si="3"/>
        <v>754</v>
      </c>
      <c r="AD100" s="409">
        <f t="shared" si="4"/>
        <v>70</v>
      </c>
    </row>
    <row r="101" s="408" customFormat="1" ht="17.4" spans="1:30">
      <c r="A101" s="428" t="s">
        <v>243</v>
      </c>
      <c r="B101" s="421" t="s">
        <v>303</v>
      </c>
      <c r="C101" s="429" t="s">
        <v>247</v>
      </c>
      <c r="D101" s="421" t="s">
        <v>49</v>
      </c>
      <c r="E101" s="430"/>
      <c r="F101" s="430">
        <v>31979.9825</v>
      </c>
      <c r="G101" s="430"/>
      <c r="H101" s="430"/>
      <c r="I101" s="450"/>
      <c r="J101" s="451">
        <v>0.0648504922141635</v>
      </c>
      <c r="K101" s="451">
        <v>0.068720767361752</v>
      </c>
      <c r="L101" s="451">
        <v>0.055948476961076</v>
      </c>
      <c r="M101" s="452"/>
      <c r="N101" s="451"/>
      <c r="O101" s="430"/>
      <c r="P101" s="531" t="str">
        <f t="array" ref="P101">INDEX(正厂竞争者数据汇总!I:I,MATCH($A$96&amp;B101,正厂竞争者数据汇总!A:A&amp;正厂竞争者数据汇总!D:D,0))</f>
        <v>2023年3月新增正厂，202306因流量超过MS5%加入MS计算基准</v>
      </c>
      <c r="Q101" s="429"/>
      <c r="R101" s="421"/>
      <c r="S101" s="472">
        <v>668</v>
      </c>
      <c r="T101" s="472">
        <v>300</v>
      </c>
      <c r="U101" s="466"/>
      <c r="V101" s="466"/>
      <c r="W101" s="466"/>
      <c r="X101" s="466"/>
      <c r="Y101" s="200" t="s">
        <v>303</v>
      </c>
      <c r="Z101" s="200">
        <v>668</v>
      </c>
      <c r="AA101" s="200">
        <v>300</v>
      </c>
      <c r="AB101" s="410">
        <f t="shared" si="5"/>
        <v>1</v>
      </c>
      <c r="AC101" s="409">
        <f t="shared" si="3"/>
        <v>668</v>
      </c>
      <c r="AD101" s="409">
        <f t="shared" si="4"/>
        <v>300</v>
      </c>
    </row>
    <row r="102" s="408" customFormat="1" spans="1:30">
      <c r="A102" s="428" t="s">
        <v>230</v>
      </c>
      <c r="B102" s="421" t="s">
        <v>304</v>
      </c>
      <c r="C102" s="429" t="str">
        <f>VLOOKUP(B102,正厂竞争者数据汇总!D:H,2,FALSE)</f>
        <v>Motor目录</v>
      </c>
      <c r="D102" s="421" t="str">
        <f>VLOOKUP(B102,正厂竞争者数据汇总!D:H,3,FALSE)</f>
        <v>CA</v>
      </c>
      <c r="E102" s="430"/>
      <c r="F102" s="430">
        <v>25242.8366666667</v>
      </c>
      <c r="G102" s="430"/>
      <c r="H102" s="430"/>
      <c r="I102" s="450"/>
      <c r="J102" s="451">
        <v>0.0511885953256876</v>
      </c>
      <c r="K102" s="451">
        <v>0.0415684813375982</v>
      </c>
      <c r="L102" s="451">
        <v>0.0485128289253996</v>
      </c>
      <c r="M102" s="452"/>
      <c r="N102" s="451"/>
      <c r="O102" s="430"/>
      <c r="P102" s="531">
        <f t="array" ref="P102">INDEX(正厂竞争者数据汇总!I:I,MATCH($A$96&amp;B102,正厂竞争者数据汇总!A:A&amp;正厂竞争者数据汇总!D:D,0))</f>
        <v>0</v>
      </c>
      <c r="Q102" s="429"/>
      <c r="R102" s="421"/>
      <c r="S102" s="472">
        <v>772</v>
      </c>
      <c r="T102" s="472">
        <v>127</v>
      </c>
      <c r="U102" s="466"/>
      <c r="V102" s="466"/>
      <c r="W102" s="466"/>
      <c r="X102" s="466"/>
      <c r="Y102" s="200" t="s">
        <v>304</v>
      </c>
      <c r="Z102" s="200">
        <v>772</v>
      </c>
      <c r="AA102" s="200">
        <v>127</v>
      </c>
      <c r="AB102" s="410">
        <f t="shared" si="5"/>
        <v>1</v>
      </c>
      <c r="AC102" s="409">
        <f t="shared" si="3"/>
        <v>772</v>
      </c>
      <c r="AD102" s="409">
        <f t="shared" si="4"/>
        <v>127</v>
      </c>
    </row>
    <row r="103" s="408" customFormat="1" spans="1:30">
      <c r="A103" s="428" t="s">
        <v>230</v>
      </c>
      <c r="B103" s="421" t="s">
        <v>308</v>
      </c>
      <c r="C103" s="429" t="str">
        <f>VLOOKUP(B103,正厂竞争者数据汇总!D:H,2,FALSE)</f>
        <v>Motor目录</v>
      </c>
      <c r="D103" s="421" t="str">
        <f>VLOOKUP(B103,正厂竞争者数据汇总!D:H,3,FALSE)</f>
        <v>OH</v>
      </c>
      <c r="E103" s="430"/>
      <c r="F103" s="430">
        <v>20768</v>
      </c>
      <c r="G103" s="430"/>
      <c r="H103" s="430"/>
      <c r="I103" s="450"/>
      <c r="J103" s="451">
        <v>0.0421143139244604</v>
      </c>
      <c r="K103" s="451">
        <v>0.0468031290043519</v>
      </c>
      <c r="L103" s="451">
        <v>0.0636911991155939</v>
      </c>
      <c r="M103" s="452"/>
      <c r="N103" s="451"/>
      <c r="O103" s="430"/>
      <c r="P103" s="531">
        <f t="array" ref="P103">INDEX(正厂竞争者数据汇总!I:I,MATCH($A$96&amp;B103,正厂竞争者数据汇总!A:A&amp;正厂竞争者数据汇总!D:D,0))</f>
        <v>0</v>
      </c>
      <c r="Q103" s="429"/>
      <c r="R103" s="421"/>
      <c r="S103" s="472">
        <v>665</v>
      </c>
      <c r="T103" s="472">
        <v>178</v>
      </c>
      <c r="U103" s="466"/>
      <c r="V103" s="466"/>
      <c r="W103" s="466"/>
      <c r="X103" s="466"/>
      <c r="Y103" s="200" t="s">
        <v>308</v>
      </c>
      <c r="Z103" s="200">
        <v>665</v>
      </c>
      <c r="AA103" s="200">
        <v>178</v>
      </c>
      <c r="AB103" s="410">
        <f t="shared" si="5"/>
        <v>1</v>
      </c>
      <c r="AC103" s="409">
        <f t="shared" si="3"/>
        <v>665</v>
      </c>
      <c r="AD103" s="409">
        <f t="shared" si="4"/>
        <v>178</v>
      </c>
    </row>
    <row r="104" s="408" customFormat="1" spans="1:30">
      <c r="A104" s="428" t="s">
        <v>305</v>
      </c>
      <c r="B104" s="421" t="s">
        <v>306</v>
      </c>
      <c r="C104" s="429" t="str">
        <f>VLOOKUP(B104,正厂竞争者数据汇总!D:H,2,FALSE)</f>
        <v>Motor目录</v>
      </c>
      <c r="D104" s="421" t="str">
        <f>VLOOKUP(B104,正厂竞争者数据汇总!D:H,3,FALSE)</f>
        <v>CA</v>
      </c>
      <c r="E104" s="430"/>
      <c r="F104" s="430">
        <v>20656.3333333333</v>
      </c>
      <c r="G104" s="430"/>
      <c r="H104" s="430"/>
      <c r="I104" s="450"/>
      <c r="J104" s="451">
        <v>0.0418878710770557</v>
      </c>
      <c r="K104" s="451">
        <v>0.0498427715828462</v>
      </c>
      <c r="L104" s="451">
        <v>0.0447283157992052</v>
      </c>
      <c r="M104" s="452"/>
      <c r="N104" s="451"/>
      <c r="O104" s="430"/>
      <c r="P104" s="531">
        <f t="array" ref="P104">INDEX(正厂竞争者数据汇总!I:I,MATCH($A$96&amp;B104,正厂竞争者数据汇总!A:A&amp;正厂竞争者数据汇总!D:D,0))</f>
        <v>0</v>
      </c>
      <c r="Q104" s="429"/>
      <c r="R104" s="421"/>
      <c r="S104" s="472">
        <v>1449</v>
      </c>
      <c r="T104" s="472">
        <v>265</v>
      </c>
      <c r="U104" s="466"/>
      <c r="V104" s="466"/>
      <c r="W104" s="466"/>
      <c r="X104" s="466"/>
      <c r="Y104" s="200" t="s">
        <v>306</v>
      </c>
      <c r="Z104" s="200">
        <v>1449</v>
      </c>
      <c r="AA104" s="200">
        <v>265</v>
      </c>
      <c r="AB104" s="410">
        <f t="shared" si="5"/>
        <v>1</v>
      </c>
      <c r="AC104" s="409">
        <f t="shared" si="3"/>
        <v>1449</v>
      </c>
      <c r="AD104" s="409">
        <f t="shared" si="4"/>
        <v>265</v>
      </c>
    </row>
    <row r="105" s="408" customFormat="1" spans="1:30">
      <c r="A105" s="428" t="s">
        <v>230</v>
      </c>
      <c r="B105" s="421" t="s">
        <v>309</v>
      </c>
      <c r="C105" s="429" t="str">
        <f>VLOOKUP(B105,正厂竞争者数据汇总!D:H,2,FALSE)</f>
        <v>Motor目录</v>
      </c>
      <c r="D105" s="421" t="str">
        <f>VLOOKUP(B105,正厂竞争者数据汇总!D:H,3,FALSE)</f>
        <v>FL</v>
      </c>
      <c r="E105" s="430"/>
      <c r="F105" s="430">
        <v>18795.315</v>
      </c>
      <c r="G105" s="430"/>
      <c r="H105" s="430"/>
      <c r="I105" s="450"/>
      <c r="J105" s="451">
        <v>0.0381140117593952</v>
      </c>
      <c r="K105" s="451">
        <v>0.0495969107447795</v>
      </c>
      <c r="L105" s="451">
        <v>0.0557339356057916</v>
      </c>
      <c r="M105" s="452"/>
      <c r="N105" s="451"/>
      <c r="O105" s="430"/>
      <c r="P105" s="531" t="str">
        <f t="array" ref="P105">INDEX(正厂竞争者数据汇总!I:I,MATCH($A$96&amp;B105,正厂竞争者数据汇总!A:A&amp;正厂竞争者数据汇总!D:D,0))</f>
        <v>同时经营多品牌网站零件，折算比例为：toyota：33%，lexus：42%，subaru:25%</v>
      </c>
      <c r="Q105" s="429"/>
      <c r="R105" s="421"/>
      <c r="S105" s="472">
        <v>1414</v>
      </c>
      <c r="T105" s="472">
        <v>278</v>
      </c>
      <c r="U105" s="466"/>
      <c r="V105" s="466"/>
      <c r="W105" s="466"/>
      <c r="X105" s="466"/>
      <c r="Y105" s="200" t="s">
        <v>309</v>
      </c>
      <c r="Z105" s="200">
        <v>1414</v>
      </c>
      <c r="AA105" s="200">
        <v>278</v>
      </c>
      <c r="AB105" s="410">
        <f t="shared" si="5"/>
        <v>1</v>
      </c>
      <c r="AC105" s="409">
        <f t="shared" si="3"/>
        <v>1414</v>
      </c>
      <c r="AD105" s="409">
        <f t="shared" si="4"/>
        <v>278</v>
      </c>
    </row>
    <row r="106" s="408" customFormat="1" spans="1:30">
      <c r="A106" s="440"/>
      <c r="B106" s="431"/>
      <c r="C106" s="429"/>
      <c r="D106" s="421"/>
      <c r="E106" s="430"/>
      <c r="F106" s="430"/>
      <c r="G106" s="430">
        <v>259436.916666667</v>
      </c>
      <c r="H106" s="430"/>
      <c r="I106" s="453"/>
      <c r="J106" s="451"/>
      <c r="K106" s="451"/>
      <c r="L106" s="451"/>
      <c r="M106" s="451"/>
      <c r="N106" s="451"/>
      <c r="O106" s="430"/>
      <c r="P106" s="531"/>
      <c r="Q106" s="429"/>
      <c r="R106" s="421"/>
      <c r="S106" s="473" t="s">
        <v>180</v>
      </c>
      <c r="T106" s="473" t="s">
        <v>180</v>
      </c>
      <c r="U106" s="466"/>
      <c r="V106" s="466"/>
      <c r="W106" s="421"/>
      <c r="X106" s="421"/>
      <c r="Y106" s="200" t="s">
        <v>240</v>
      </c>
      <c r="Z106" s="200" t="s">
        <v>180</v>
      </c>
      <c r="AA106" s="200" t="s">
        <v>180</v>
      </c>
      <c r="AB106" s="410">
        <f t="shared" si="5"/>
        <v>0</v>
      </c>
      <c r="AC106" s="409" t="str">
        <f t="shared" si="3"/>
        <v/>
      </c>
      <c r="AD106" s="409" t="str">
        <f t="shared" si="4"/>
        <v/>
      </c>
    </row>
    <row r="107" s="408" customFormat="1" spans="1:30">
      <c r="A107" s="428"/>
      <c r="B107" s="431"/>
      <c r="C107" s="439"/>
      <c r="D107" s="421"/>
      <c r="E107" s="430"/>
      <c r="F107" s="430">
        <v>493133.998033333</v>
      </c>
      <c r="G107" s="430"/>
      <c r="H107" s="430">
        <v>254943.25</v>
      </c>
      <c r="I107" s="453" t="e">
        <f>(F107/G107)-1</f>
        <v>#DIV/0!</v>
      </c>
      <c r="J107" s="430"/>
      <c r="K107" s="430"/>
      <c r="L107" s="430"/>
      <c r="M107" s="451"/>
      <c r="N107" s="451">
        <f>SUM(N98:N103)</f>
        <v>0</v>
      </c>
      <c r="O107" s="430"/>
      <c r="P107" s="531"/>
      <c r="Q107" s="429"/>
      <c r="R107" s="421"/>
      <c r="S107" s="473" t="s">
        <v>180</v>
      </c>
      <c r="T107" s="473" t="s">
        <v>180</v>
      </c>
      <c r="U107" s="466"/>
      <c r="V107" s="466"/>
      <c r="W107" s="421"/>
      <c r="X107" s="421"/>
      <c r="Y107" s="200" t="s">
        <v>240</v>
      </c>
      <c r="Z107" s="200" t="s">
        <v>180</v>
      </c>
      <c r="AA107" s="200" t="s">
        <v>180</v>
      </c>
      <c r="AB107" s="410">
        <f t="shared" si="5"/>
        <v>0</v>
      </c>
      <c r="AC107" s="409" t="str">
        <f t="shared" si="3"/>
        <v/>
      </c>
      <c r="AD107" s="409" t="str">
        <f t="shared" si="4"/>
        <v/>
      </c>
    </row>
    <row r="108" s="408" customFormat="1" spans="1:30">
      <c r="A108" s="428"/>
      <c r="B108" s="421"/>
      <c r="C108" s="439"/>
      <c r="D108" s="421"/>
      <c r="E108" s="430"/>
      <c r="F108" s="451"/>
      <c r="G108" s="451"/>
      <c r="H108" s="451"/>
      <c r="I108" s="453"/>
      <c r="J108" s="451"/>
      <c r="K108" s="451"/>
      <c r="L108" s="451"/>
      <c r="M108" s="451"/>
      <c r="N108" s="451"/>
      <c r="O108" s="451"/>
      <c r="P108" s="531"/>
      <c r="Q108" s="429"/>
      <c r="R108" s="421"/>
      <c r="S108" s="473" t="s">
        <v>180</v>
      </c>
      <c r="T108" s="473" t="s">
        <v>180</v>
      </c>
      <c r="U108" s="466"/>
      <c r="V108" s="466"/>
      <c r="W108" s="421"/>
      <c r="X108" s="421"/>
      <c r="Y108" s="200" t="s">
        <v>240</v>
      </c>
      <c r="Z108" s="200" t="s">
        <v>180</v>
      </c>
      <c r="AA108" s="200" t="s">
        <v>180</v>
      </c>
      <c r="AB108" s="410">
        <f t="shared" si="5"/>
        <v>0</v>
      </c>
      <c r="AC108" s="409" t="str">
        <f t="shared" si="3"/>
        <v/>
      </c>
      <c r="AD108" s="409" t="str">
        <f t="shared" si="4"/>
        <v/>
      </c>
    </row>
    <row r="109" s="408" customFormat="1" ht="17.4" spans="1:30">
      <c r="A109" s="418" t="s">
        <v>165</v>
      </c>
      <c r="B109" s="419"/>
      <c r="C109" s="420"/>
      <c r="D109" s="421"/>
      <c r="E109" s="422" t="s">
        <v>202</v>
      </c>
      <c r="F109" s="422"/>
      <c r="G109" s="422"/>
      <c r="H109" s="422"/>
      <c r="I109" s="422"/>
      <c r="J109" s="422"/>
      <c r="K109" s="422"/>
      <c r="L109" s="422"/>
      <c r="M109" s="443"/>
      <c r="N109" s="444"/>
      <c r="O109" s="422"/>
      <c r="P109" s="531"/>
      <c r="Q109" s="465"/>
      <c r="R109" s="424"/>
      <c r="S109" s="473" t="s">
        <v>180</v>
      </c>
      <c r="T109" s="473" t="s">
        <v>180</v>
      </c>
      <c r="U109" s="467"/>
      <c r="V109" s="467"/>
      <c r="W109" s="467"/>
      <c r="X109" s="467"/>
      <c r="Y109" s="200" t="s">
        <v>240</v>
      </c>
      <c r="Z109" s="200" t="s">
        <v>180</v>
      </c>
      <c r="AA109" s="200" t="s">
        <v>180</v>
      </c>
      <c r="AB109" s="410">
        <f t="shared" si="5"/>
        <v>0</v>
      </c>
      <c r="AC109" s="409" t="str">
        <f t="shared" si="3"/>
        <v/>
      </c>
      <c r="AD109" s="409" t="str">
        <f t="shared" si="4"/>
        <v/>
      </c>
    </row>
    <row r="110" s="409" customFormat="1" ht="48.6" spans="1:30">
      <c r="A110" s="423" t="s">
        <v>206</v>
      </c>
      <c r="B110" s="424" t="s">
        <v>207</v>
      </c>
      <c r="C110" s="425" t="s">
        <v>208</v>
      </c>
      <c r="D110" s="424" t="s">
        <v>209</v>
      </c>
      <c r="E110" s="426" t="s">
        <v>210</v>
      </c>
      <c r="F110" s="427" t="s">
        <v>396</v>
      </c>
      <c r="G110" s="427" t="s">
        <v>212</v>
      </c>
      <c r="H110" s="427" t="s">
        <v>397</v>
      </c>
      <c r="I110" s="427" t="s">
        <v>214</v>
      </c>
      <c r="J110" s="446" t="s">
        <v>387</v>
      </c>
      <c r="K110" s="446" t="s">
        <v>398</v>
      </c>
      <c r="L110" s="446" t="s">
        <v>399</v>
      </c>
      <c r="M110" s="447" t="s">
        <v>218</v>
      </c>
      <c r="N110" s="448" t="s">
        <v>219</v>
      </c>
      <c r="O110" s="449" t="s">
        <v>220</v>
      </c>
      <c r="P110" s="530" t="s">
        <v>221</v>
      </c>
      <c r="Q110" s="469" t="s">
        <v>222</v>
      </c>
      <c r="R110" s="426" t="s">
        <v>223</v>
      </c>
      <c r="S110" s="470" t="s">
        <v>224</v>
      </c>
      <c r="T110" s="470" t="s">
        <v>205</v>
      </c>
      <c r="U110" s="467" t="s">
        <v>225</v>
      </c>
      <c r="V110" s="470" t="s">
        <v>226</v>
      </c>
      <c r="W110" s="467"/>
      <c r="X110" s="467"/>
      <c r="Y110" s="200" t="s">
        <v>207</v>
      </c>
      <c r="Z110" s="200" t="s">
        <v>180</v>
      </c>
      <c r="AA110" s="200" t="s">
        <v>180</v>
      </c>
      <c r="AB110" s="410">
        <f t="shared" si="5"/>
        <v>1</v>
      </c>
      <c r="AC110" s="409" t="str">
        <f t="shared" si="3"/>
        <v>Forum Link</v>
      </c>
      <c r="AD110" s="409" t="str">
        <f t="shared" si="4"/>
        <v>Domains</v>
      </c>
    </row>
    <row r="111" s="408" customFormat="1" spans="1:30">
      <c r="A111" s="428" t="s">
        <v>230</v>
      </c>
      <c r="B111" s="421" t="s">
        <v>293</v>
      </c>
      <c r="C111" s="429" t="str">
        <f>VLOOKUP(B111,正厂竞争者数据汇总!D:H,2,FALSE)</f>
        <v>Motor目录</v>
      </c>
      <c r="D111" s="421" t="str">
        <f>VLOOKUP(B111,正厂竞争者数据汇总!D:H,3,FALSE)</f>
        <v>WA</v>
      </c>
      <c r="E111" s="430"/>
      <c r="F111" s="430">
        <v>193840.583333333</v>
      </c>
      <c r="G111" s="430"/>
      <c r="H111" s="430"/>
      <c r="I111" s="450"/>
      <c r="J111" s="451">
        <v>0.394805861793048</v>
      </c>
      <c r="K111" s="451">
        <v>0.383601508169092</v>
      </c>
      <c r="L111" s="451">
        <v>0.388667328274167</v>
      </c>
      <c r="M111" s="452"/>
      <c r="N111" s="451"/>
      <c r="O111" s="430"/>
      <c r="P111" s="531">
        <f t="array" ref="P111">INDEX(正厂竞争者数据汇总!I:I,MATCH($A$109&amp;B111,正厂竞争者数据汇总!A:A&amp;正厂竞争者数据汇总!D:D,0))</f>
        <v>0</v>
      </c>
      <c r="Q111" s="429"/>
      <c r="R111" s="421"/>
      <c r="S111" s="472">
        <v>17787</v>
      </c>
      <c r="T111" s="472">
        <v>616</v>
      </c>
      <c r="U111" s="466"/>
      <c r="V111" s="466"/>
      <c r="W111" s="466"/>
      <c r="X111" s="466"/>
      <c r="Y111" s="200" t="s">
        <v>293</v>
      </c>
      <c r="Z111" s="200">
        <v>17787</v>
      </c>
      <c r="AA111" s="200">
        <v>616</v>
      </c>
      <c r="AB111" s="410">
        <f t="shared" si="5"/>
        <v>1</v>
      </c>
      <c r="AC111" s="409">
        <f t="shared" si="3"/>
        <v>17787</v>
      </c>
      <c r="AD111" s="409">
        <f t="shared" si="4"/>
        <v>616</v>
      </c>
    </row>
    <row r="112" s="410" customFormat="1" spans="1:30">
      <c r="A112" s="432" t="s">
        <v>227</v>
      </c>
      <c r="B112" s="432" t="s">
        <v>166</v>
      </c>
      <c r="C112" s="434" t="str">
        <f>VLOOKUP(B112,正厂竞争者数据汇总!D:H,2,FALSE)</f>
        <v>原厂目录</v>
      </c>
      <c r="D112" s="435" t="str">
        <f>VLOOKUP(B112,正厂竞争者数据汇总!D:H,3,FALSE)</f>
        <v>AZ</v>
      </c>
      <c r="E112" s="462"/>
      <c r="F112" s="436">
        <v>149635.083333333</v>
      </c>
      <c r="G112" s="462"/>
      <c r="H112" s="462"/>
      <c r="I112" s="510"/>
      <c r="J112" s="461">
        <v>0.304770069373456</v>
      </c>
      <c r="K112" s="457">
        <v>0.304419968442909</v>
      </c>
      <c r="L112" s="457">
        <v>0.312394554537185</v>
      </c>
      <c r="M112" s="461"/>
      <c r="N112" s="461"/>
      <c r="O112" s="462"/>
      <c r="P112" s="531">
        <f t="array" ref="P112">INDEX(正厂竞争者数据汇总!I:I,MATCH($A$109&amp;B112,正厂竞争者数据汇总!A:A&amp;正厂竞争者数据汇总!D:D,0))</f>
        <v>0</v>
      </c>
      <c r="Q112" s="434"/>
      <c r="R112" s="435"/>
      <c r="S112" s="476">
        <v>19966</v>
      </c>
      <c r="T112" s="476">
        <v>3700</v>
      </c>
      <c r="U112" s="477"/>
      <c r="V112" s="477"/>
      <c r="W112" s="435"/>
      <c r="X112" s="435"/>
      <c r="Y112" s="200" t="s">
        <v>166</v>
      </c>
      <c r="Z112" s="200">
        <v>19966</v>
      </c>
      <c r="AA112" s="200">
        <v>3700</v>
      </c>
      <c r="AB112" s="410">
        <f t="shared" si="5"/>
        <v>1</v>
      </c>
      <c r="AC112" s="409">
        <f t="shared" si="3"/>
        <v>19966</v>
      </c>
      <c r="AD112" s="409">
        <f t="shared" si="4"/>
        <v>3700</v>
      </c>
    </row>
    <row r="113" s="408" customFormat="1" spans="1:30">
      <c r="A113" s="428" t="s">
        <v>230</v>
      </c>
      <c r="B113" s="421" t="s">
        <v>294</v>
      </c>
      <c r="C113" s="429" t="str">
        <f>VLOOKUP(B113,正厂竞争者数据汇总!D:H,2,FALSE)</f>
        <v>Motor目录</v>
      </c>
      <c r="D113" s="421" t="str">
        <f>VLOOKUP(B113,正厂竞争者数据汇总!D:H,3,FALSE)</f>
        <v>MA</v>
      </c>
      <c r="E113" s="430"/>
      <c r="F113" s="430">
        <v>45006.21385</v>
      </c>
      <c r="G113" s="430"/>
      <c r="H113" s="430"/>
      <c r="I113" s="450"/>
      <c r="J113" s="451">
        <v>0.091666650706142</v>
      </c>
      <c r="K113" s="451">
        <v>0.0638987473148033</v>
      </c>
      <c r="L113" s="451">
        <v>0.0632776126500794</v>
      </c>
      <c r="M113" s="452"/>
      <c r="N113" s="451"/>
      <c r="O113" s="430"/>
      <c r="P113" s="531" t="str">
        <f t="array" ref="P113">INDEX(正厂竞争者数据汇总!I:I,MATCH($A$109&amp;B113,正厂竞争者数据汇总!A:A&amp;正厂竞争者数据汇总!D:D,0))</f>
        <v>2022年1月 新加入 CompetitorSites</v>
      </c>
      <c r="Q113" s="429"/>
      <c r="R113" s="421"/>
      <c r="S113" s="472">
        <v>2913</v>
      </c>
      <c r="T113" s="472">
        <v>301</v>
      </c>
      <c r="U113" s="466"/>
      <c r="V113" s="466"/>
      <c r="W113" s="466"/>
      <c r="X113" s="466"/>
      <c r="Y113" s="200" t="s">
        <v>294</v>
      </c>
      <c r="Z113" s="200">
        <v>2913</v>
      </c>
      <c r="AA113" s="200">
        <v>301</v>
      </c>
      <c r="AB113" s="410">
        <f t="shared" si="5"/>
        <v>1</v>
      </c>
      <c r="AC113" s="409">
        <f t="shared" si="3"/>
        <v>2913</v>
      </c>
      <c r="AD113" s="409">
        <f t="shared" si="4"/>
        <v>301</v>
      </c>
    </row>
    <row r="114" s="408" customFormat="1" spans="1:30">
      <c r="A114" s="428" t="s">
        <v>243</v>
      </c>
      <c r="B114" s="421" t="s">
        <v>298</v>
      </c>
      <c r="C114" s="429" t="str">
        <f>VLOOKUP(B114,正厂竞争者数据汇总!D:H,2,FALSE)</f>
        <v>原厂目录</v>
      </c>
      <c r="D114" s="421" t="str">
        <f>VLOOKUP(B114,正厂竞争者数据汇总!D:H,3,FALSE)</f>
        <v>IL</v>
      </c>
      <c r="E114" s="430"/>
      <c r="F114" s="430">
        <v>41951.9166666666</v>
      </c>
      <c r="G114" s="430"/>
      <c r="H114" s="430"/>
      <c r="I114" s="450"/>
      <c r="J114" s="451">
        <v>0.0854457943152777</v>
      </c>
      <c r="K114" s="451">
        <v>0.11498029750433</v>
      </c>
      <c r="L114" s="451">
        <v>0.109713549295874</v>
      </c>
      <c r="M114" s="452"/>
      <c r="N114" s="451"/>
      <c r="O114" s="430"/>
      <c r="P114" s="531">
        <f t="array" ref="P114">INDEX(正厂竞争者数据汇总!I:I,MATCH($A$109&amp;B114,正厂竞争者数据汇总!A:A&amp;正厂竞争者数据汇总!D:D,0))</f>
        <v>0</v>
      </c>
      <c r="Q114" s="429"/>
      <c r="R114" s="421"/>
      <c r="S114" s="472">
        <v>682</v>
      </c>
      <c r="T114" s="472">
        <v>157</v>
      </c>
      <c r="U114" s="466"/>
      <c r="V114" s="466"/>
      <c r="W114" s="466"/>
      <c r="X114" s="466"/>
      <c r="Y114" s="200" t="s">
        <v>298</v>
      </c>
      <c r="Z114" s="200">
        <v>682</v>
      </c>
      <c r="AA114" s="200">
        <v>157</v>
      </c>
      <c r="AB114" s="410">
        <f t="shared" si="5"/>
        <v>1</v>
      </c>
      <c r="AC114" s="409">
        <f t="shared" si="3"/>
        <v>682</v>
      </c>
      <c r="AD114" s="409">
        <f t="shared" si="4"/>
        <v>157</v>
      </c>
    </row>
    <row r="115" s="408" customFormat="1" spans="1:30">
      <c r="A115" s="428" t="s">
        <v>230</v>
      </c>
      <c r="B115" s="421" t="s">
        <v>295</v>
      </c>
      <c r="C115" s="429" t="str">
        <f>VLOOKUP(B115,正厂竞争者数据汇总!D:H,2,FALSE)</f>
        <v>Motor目录</v>
      </c>
      <c r="D115" s="421" t="str">
        <f>VLOOKUP(B115,正厂竞争者数据汇总!D:H,3,FALSE)</f>
        <v>NY</v>
      </c>
      <c r="E115" s="430"/>
      <c r="F115" s="430">
        <v>34334.8333333333</v>
      </c>
      <c r="G115" s="430"/>
      <c r="H115" s="430"/>
      <c r="I115" s="450"/>
      <c r="J115" s="451">
        <v>0.0699316584307672</v>
      </c>
      <c r="K115" s="451">
        <v>0.0606609243317669</v>
      </c>
      <c r="L115" s="451">
        <v>0.0550042804552956</v>
      </c>
      <c r="M115" s="452"/>
      <c r="N115" s="451"/>
      <c r="O115" s="430"/>
      <c r="P115" s="531" t="str">
        <f t="array" ref="P115">INDEX(正厂竞争者数据汇总!I:I,MATCH($A$109&amp;B115,正厂竞争者数据汇总!A:A&amp;正厂竞争者数据汇总!D:D,0))</f>
        <v>2023年4月，流量更新为子站parts.subaruonlineparts.com，子站主营parts，此前监控域名为subaruonlineparts.com,该子域名的实际成单效率较高，流量不能完全反应其竞争力</v>
      </c>
      <c r="Q115" s="429"/>
      <c r="R115" s="421"/>
      <c r="S115" s="472">
        <v>1160</v>
      </c>
      <c r="T115" s="472">
        <v>116</v>
      </c>
      <c r="U115" s="466"/>
      <c r="V115" s="466"/>
      <c r="W115" s="466"/>
      <c r="X115" s="466"/>
      <c r="Y115" s="200" t="s">
        <v>295</v>
      </c>
      <c r="Z115" s="200">
        <v>1160</v>
      </c>
      <c r="AA115" s="200">
        <v>116</v>
      </c>
      <c r="AB115" s="410">
        <f t="shared" si="5"/>
        <v>1</v>
      </c>
      <c r="AC115" s="409">
        <f t="shared" si="3"/>
        <v>1160</v>
      </c>
      <c r="AD115" s="409">
        <f t="shared" si="4"/>
        <v>116</v>
      </c>
    </row>
    <row r="116" s="408" customFormat="1" spans="1:30">
      <c r="A116" s="428" t="s">
        <v>230</v>
      </c>
      <c r="B116" s="421" t="s">
        <v>296</v>
      </c>
      <c r="C116" s="429" t="str">
        <f>VLOOKUP(B116,正厂竞争者数据汇总!D:H,2,FALSE)</f>
        <v>Motor目录</v>
      </c>
      <c r="D116" s="421" t="str">
        <f>VLOOKUP(B116,正厂竞争者数据汇总!D:H,3,FALSE)</f>
        <v>NY</v>
      </c>
      <c r="E116" s="430"/>
      <c r="F116" s="430">
        <v>26208.3333333334</v>
      </c>
      <c r="G116" s="430"/>
      <c r="H116" s="430"/>
      <c r="I116" s="450"/>
      <c r="J116" s="451">
        <v>0.0533799653813095</v>
      </c>
      <c r="K116" s="451">
        <v>0.0401131387541157</v>
      </c>
      <c r="L116" s="451">
        <v>0.0339264823951975</v>
      </c>
      <c r="M116" s="452"/>
      <c r="N116" s="451"/>
      <c r="O116" s="430"/>
      <c r="P116" s="531" t="str">
        <f t="array" ref="P116">INDEX(正厂竞争者数据汇总!I:I,MATCH($A$109&amp;B116,正厂竞争者数据汇总!A:A&amp;正厂竞争者数据汇总!D:D,0))</f>
        <v>2023年2月新增正厂，Semrush子域名查不到流量。202306因流量上涨加入MS计算基准</v>
      </c>
      <c r="Q116" s="429"/>
      <c r="R116" s="421"/>
      <c r="S116" s="472">
        <v>32</v>
      </c>
      <c r="T116" s="472">
        <v>17</v>
      </c>
      <c r="U116" s="466"/>
      <c r="V116" s="466"/>
      <c r="W116" s="466"/>
      <c r="X116" s="466"/>
      <c r="Y116" s="200" t="s">
        <v>296</v>
      </c>
      <c r="Z116" s="200">
        <v>32</v>
      </c>
      <c r="AA116" s="200">
        <v>17</v>
      </c>
      <c r="AB116" s="410">
        <f t="shared" si="5"/>
        <v>1</v>
      </c>
      <c r="AC116" s="409">
        <f t="shared" si="3"/>
        <v>32</v>
      </c>
      <c r="AD116" s="409">
        <f t="shared" si="4"/>
        <v>17</v>
      </c>
    </row>
    <row r="117" s="408" customFormat="1" spans="1:30">
      <c r="A117" s="428"/>
      <c r="B117" s="421"/>
      <c r="C117" s="429"/>
      <c r="D117" s="421"/>
      <c r="E117" s="430"/>
      <c r="F117" s="481"/>
      <c r="G117" s="481"/>
      <c r="H117" s="481"/>
      <c r="I117" s="453"/>
      <c r="J117" s="451"/>
      <c r="K117" s="451"/>
      <c r="L117" s="451"/>
      <c r="M117" s="451"/>
      <c r="N117" s="451"/>
      <c r="O117" s="430"/>
      <c r="P117" s="531"/>
      <c r="Q117" s="429"/>
      <c r="R117" s="421"/>
      <c r="S117" s="473" t="s">
        <v>180</v>
      </c>
      <c r="T117" s="473" t="s">
        <v>180</v>
      </c>
      <c r="U117" s="466"/>
      <c r="V117" s="466"/>
      <c r="W117" s="421"/>
      <c r="X117" s="421"/>
      <c r="Y117" s="200" t="s">
        <v>240</v>
      </c>
      <c r="Z117" s="200" t="s">
        <v>180</v>
      </c>
      <c r="AA117" s="200" t="s">
        <v>180</v>
      </c>
      <c r="AB117" s="410">
        <f t="shared" si="5"/>
        <v>0</v>
      </c>
      <c r="AC117" s="409" t="str">
        <f t="shared" si="3"/>
        <v/>
      </c>
      <c r="AD117" s="409" t="str">
        <f t="shared" si="4"/>
        <v/>
      </c>
    </row>
    <row r="118" s="408" customFormat="1" spans="1:30">
      <c r="A118" s="428"/>
      <c r="B118" s="421"/>
      <c r="C118" s="439"/>
      <c r="D118" s="421"/>
      <c r="E118" s="421"/>
      <c r="F118" s="481">
        <v>490976.963849999</v>
      </c>
      <c r="G118" s="481">
        <v>427571.166666666</v>
      </c>
      <c r="H118" s="481">
        <v>496054.5</v>
      </c>
      <c r="I118" s="453">
        <f>(F118/G118)-1</f>
        <v>0.148292967642423</v>
      </c>
      <c r="J118" s="430"/>
      <c r="K118" s="430"/>
      <c r="L118" s="430"/>
      <c r="M118" s="451"/>
      <c r="N118" s="451">
        <f>SUM(N111:N114)</f>
        <v>0</v>
      </c>
      <c r="O118" s="430"/>
      <c r="P118" s="531"/>
      <c r="Q118" s="429"/>
      <c r="R118" s="421"/>
      <c r="S118" s="473" t="s">
        <v>180</v>
      </c>
      <c r="T118" s="473" t="s">
        <v>180</v>
      </c>
      <c r="U118" s="466"/>
      <c r="V118" s="466"/>
      <c r="W118" s="421"/>
      <c r="X118" s="421"/>
      <c r="Y118" s="200" t="s">
        <v>240</v>
      </c>
      <c r="Z118" s="200" t="s">
        <v>180</v>
      </c>
      <c r="AA118" s="200" t="s">
        <v>180</v>
      </c>
      <c r="AB118" s="410">
        <f t="shared" si="5"/>
        <v>0</v>
      </c>
      <c r="AC118" s="409" t="str">
        <f t="shared" si="3"/>
        <v/>
      </c>
      <c r="AD118" s="409" t="str">
        <f t="shared" si="4"/>
        <v/>
      </c>
    </row>
    <row r="119" s="408" customFormat="1" spans="1:30">
      <c r="A119" s="428"/>
      <c r="B119" s="421"/>
      <c r="C119" s="429"/>
      <c r="D119" s="421"/>
      <c r="E119" s="430"/>
      <c r="F119" s="451"/>
      <c r="G119" s="451"/>
      <c r="H119" s="451"/>
      <c r="I119" s="453"/>
      <c r="J119" s="451"/>
      <c r="K119" s="451"/>
      <c r="L119" s="451"/>
      <c r="M119" s="451"/>
      <c r="N119" s="451"/>
      <c r="O119" s="451"/>
      <c r="P119" s="531"/>
      <c r="Q119" s="429"/>
      <c r="R119" s="421"/>
      <c r="S119" s="473" t="s">
        <v>180</v>
      </c>
      <c r="T119" s="473" t="s">
        <v>180</v>
      </c>
      <c r="U119" s="466"/>
      <c r="V119" s="466"/>
      <c r="W119" s="421"/>
      <c r="X119" s="421"/>
      <c r="Y119" s="200" t="s">
        <v>240</v>
      </c>
      <c r="Z119" s="200" t="s">
        <v>180</v>
      </c>
      <c r="AA119" s="200" t="s">
        <v>180</v>
      </c>
      <c r="AB119" s="410">
        <f t="shared" si="5"/>
        <v>0</v>
      </c>
      <c r="AC119" s="409" t="str">
        <f t="shared" si="3"/>
        <v/>
      </c>
      <c r="AD119" s="409" t="str">
        <f t="shared" si="4"/>
        <v/>
      </c>
    </row>
    <row r="120" s="408" customFormat="1" ht="17.4" spans="1:30">
      <c r="A120" s="418" t="s">
        <v>171</v>
      </c>
      <c r="B120" s="419"/>
      <c r="C120" s="420"/>
      <c r="D120" s="421"/>
      <c r="E120" s="422" t="s">
        <v>202</v>
      </c>
      <c r="F120" s="422"/>
      <c r="G120" s="422"/>
      <c r="H120" s="422"/>
      <c r="I120" s="422"/>
      <c r="J120" s="422"/>
      <c r="K120" s="422"/>
      <c r="L120" s="422"/>
      <c r="M120" s="443"/>
      <c r="N120" s="422"/>
      <c r="O120" s="422"/>
      <c r="P120" s="531"/>
      <c r="Q120" s="465"/>
      <c r="R120" s="424"/>
      <c r="S120" s="473" t="s">
        <v>180</v>
      </c>
      <c r="T120" s="473" t="s">
        <v>180</v>
      </c>
      <c r="U120" s="467"/>
      <c r="V120" s="467"/>
      <c r="W120" s="467"/>
      <c r="X120" s="467"/>
      <c r="Y120" s="200" t="s">
        <v>240</v>
      </c>
      <c r="Z120" s="200" t="s">
        <v>180</v>
      </c>
      <c r="AA120" s="200" t="s">
        <v>180</v>
      </c>
      <c r="AB120" s="410">
        <f t="shared" si="5"/>
        <v>0</v>
      </c>
      <c r="AC120" s="409" t="str">
        <f t="shared" si="3"/>
        <v/>
      </c>
      <c r="AD120" s="409" t="str">
        <f t="shared" si="4"/>
        <v/>
      </c>
    </row>
    <row r="121" s="409" customFormat="1" ht="48.6" spans="1:30">
      <c r="A121" s="423" t="s">
        <v>206</v>
      </c>
      <c r="B121" s="424" t="s">
        <v>207</v>
      </c>
      <c r="C121" s="425" t="s">
        <v>208</v>
      </c>
      <c r="D121" s="424" t="s">
        <v>209</v>
      </c>
      <c r="E121" s="426" t="s">
        <v>210</v>
      </c>
      <c r="F121" s="427" t="s">
        <v>396</v>
      </c>
      <c r="G121" s="427" t="s">
        <v>212</v>
      </c>
      <c r="H121" s="427" t="s">
        <v>397</v>
      </c>
      <c r="I121" s="427" t="s">
        <v>214</v>
      </c>
      <c r="J121" s="446" t="s">
        <v>387</v>
      </c>
      <c r="K121" s="446" t="s">
        <v>398</v>
      </c>
      <c r="L121" s="446" t="s">
        <v>399</v>
      </c>
      <c r="M121" s="447" t="s">
        <v>218</v>
      </c>
      <c r="N121" s="448" t="s">
        <v>219</v>
      </c>
      <c r="O121" s="449" t="s">
        <v>220</v>
      </c>
      <c r="P121" s="530" t="s">
        <v>221</v>
      </c>
      <c r="Q121" s="469" t="s">
        <v>222</v>
      </c>
      <c r="R121" s="426" t="s">
        <v>223</v>
      </c>
      <c r="S121" s="470" t="s">
        <v>224</v>
      </c>
      <c r="T121" s="470" t="s">
        <v>205</v>
      </c>
      <c r="U121" s="467" t="s">
        <v>225</v>
      </c>
      <c r="V121" s="470" t="s">
        <v>226</v>
      </c>
      <c r="W121" s="467"/>
      <c r="X121" s="467"/>
      <c r="Y121" s="200" t="s">
        <v>207</v>
      </c>
      <c r="Z121" s="200" t="s">
        <v>180</v>
      </c>
      <c r="AA121" s="200" t="s">
        <v>180</v>
      </c>
      <c r="AB121" s="410">
        <f t="shared" si="5"/>
        <v>1</v>
      </c>
      <c r="AC121" s="409" t="str">
        <f t="shared" si="3"/>
        <v>Forum Link</v>
      </c>
      <c r="AD121" s="409" t="str">
        <f t="shared" si="4"/>
        <v>Domains</v>
      </c>
    </row>
    <row r="122" s="408" customFormat="1" spans="1:30">
      <c r="A122" s="428" t="s">
        <v>230</v>
      </c>
      <c r="B122" s="421" t="s">
        <v>310</v>
      </c>
      <c r="C122" s="429" t="str">
        <f>VLOOKUP(B122,正厂竞争者数据汇总!D:H,2,FALSE)</f>
        <v>Motor目录</v>
      </c>
      <c r="D122" s="421" t="str">
        <f>VLOOKUP(B122,正厂竞争者数据汇总!D:H,3,FALSE)</f>
        <v>MD</v>
      </c>
      <c r="E122" s="430"/>
      <c r="F122" s="430">
        <v>135169.973333333</v>
      </c>
      <c r="G122" s="430"/>
      <c r="H122" s="430"/>
      <c r="I122" s="450"/>
      <c r="J122" s="451">
        <v>0.284470367366077</v>
      </c>
      <c r="K122" s="451">
        <v>0.256758115575983</v>
      </c>
      <c r="L122" s="451">
        <v>0.211974527313976</v>
      </c>
      <c r="M122" s="452"/>
      <c r="N122" s="451"/>
      <c r="O122" s="430"/>
      <c r="P122" s="531">
        <f t="array" ref="P122">INDEX(正厂竞争者数据汇总!I:I,MATCH($A$120&amp;B122,正厂竞争者数据汇总!A:A&amp;正厂竞争者数据汇总!D:D,0))</f>
        <v>0</v>
      </c>
      <c r="Q122" s="429"/>
      <c r="R122" s="421"/>
      <c r="S122" s="472">
        <v>691305</v>
      </c>
      <c r="T122" s="472">
        <v>1012</v>
      </c>
      <c r="U122" s="466"/>
      <c r="V122" s="466"/>
      <c r="W122" s="466"/>
      <c r="X122" s="466"/>
      <c r="Y122" s="200" t="s">
        <v>310</v>
      </c>
      <c r="Z122" s="200">
        <v>691305</v>
      </c>
      <c r="AA122" s="200">
        <v>1012</v>
      </c>
      <c r="AB122" s="410">
        <f t="shared" si="5"/>
        <v>1</v>
      </c>
      <c r="AC122" s="409">
        <f t="shared" si="3"/>
        <v>691305</v>
      </c>
      <c r="AD122" s="409">
        <f t="shared" si="4"/>
        <v>1012</v>
      </c>
    </row>
    <row r="123" s="410" customFormat="1" spans="1:30">
      <c r="A123" s="432" t="s">
        <v>227</v>
      </c>
      <c r="B123" s="432" t="s">
        <v>172</v>
      </c>
      <c r="C123" s="434" t="str">
        <f>VLOOKUP(B123,正厂竞争者数据汇总!D:H,2,FALSE)</f>
        <v>原厂目录</v>
      </c>
      <c r="D123" s="477" t="str">
        <f>VLOOKUP(B123,正厂竞争者数据汇总!D:H,3,FALSE)</f>
        <v>CA</v>
      </c>
      <c r="E123" s="436">
        <f>VLOOKUP(B123,正厂竞争者数据汇总!D:H,4,FALSE)</f>
        <v>0</v>
      </c>
      <c r="F123" s="436">
        <v>89051.03</v>
      </c>
      <c r="G123" s="436">
        <v>132262.583333333</v>
      </c>
      <c r="H123" s="436">
        <v>137115.416666667</v>
      </c>
      <c r="I123" s="454">
        <f>(F123/G123)-1</f>
        <v>-0.326710338209784</v>
      </c>
      <c r="J123" s="457">
        <v>0.187411291085759</v>
      </c>
      <c r="K123" s="457">
        <v>0.207698412225494</v>
      </c>
      <c r="L123" s="457">
        <v>0.242745797490226</v>
      </c>
      <c r="M123" s="456">
        <f>J123-K123</f>
        <v>-0.020287121139735</v>
      </c>
      <c r="N123" s="455"/>
      <c r="O123" s="436"/>
      <c r="P123" s="531">
        <f t="array" ref="P123">INDEX(正厂竞争者数据汇总!I:I,MATCH($A$120&amp;B123,正厂竞争者数据汇总!A:A&amp;正厂竞争者数据汇总!D:D,0))</f>
        <v>0</v>
      </c>
      <c r="Q123" s="491" t="s">
        <v>313</v>
      </c>
      <c r="R123" s="435" t="s">
        <v>180</v>
      </c>
      <c r="S123" s="476">
        <v>16330</v>
      </c>
      <c r="T123" s="476">
        <v>4369</v>
      </c>
      <c r="U123" s="477"/>
      <c r="V123" s="477"/>
      <c r="W123" s="435"/>
      <c r="X123" s="435"/>
      <c r="Y123" s="200" t="s">
        <v>172</v>
      </c>
      <c r="Z123" s="200" t="s">
        <v>180</v>
      </c>
      <c r="AA123" s="200" t="s">
        <v>180</v>
      </c>
      <c r="AB123" s="410">
        <f t="shared" si="5"/>
        <v>1</v>
      </c>
      <c r="AC123" s="409" t="str">
        <f t="shared" si="3"/>
        <v/>
      </c>
      <c r="AD123" s="409" t="str">
        <f t="shared" si="4"/>
        <v/>
      </c>
    </row>
    <row r="124" s="408" customFormat="1" spans="1:30">
      <c r="A124" s="428" t="s">
        <v>230</v>
      </c>
      <c r="B124" s="421" t="s">
        <v>311</v>
      </c>
      <c r="C124" s="429" t="str">
        <f>VLOOKUP(B124,正厂竞争者数据汇总!D:H,2,FALSE)</f>
        <v>原厂目录</v>
      </c>
      <c r="D124" s="421" t="str">
        <f>VLOOKUP(B124,正厂竞争者数据汇总!D:H,3,FALSE)</f>
        <v>GA</v>
      </c>
      <c r="E124" s="430"/>
      <c r="F124" s="430">
        <v>76826.4166666667</v>
      </c>
      <c r="G124" s="430"/>
      <c r="H124" s="430"/>
      <c r="I124" s="450"/>
      <c r="J124" s="451">
        <v>0.161684125798348</v>
      </c>
      <c r="K124" s="451">
        <v>0.153225338712555</v>
      </c>
      <c r="L124" s="451">
        <v>0.150402510144657</v>
      </c>
      <c r="M124" s="452"/>
      <c r="N124" s="451"/>
      <c r="O124" s="430"/>
      <c r="P124" s="531">
        <f t="array" ref="P124">INDEX(正厂竞争者数据汇总!I:I,MATCH($A$120&amp;B124,正厂竞争者数据汇总!A:A&amp;正厂竞争者数据汇总!D:D,0))</f>
        <v>0</v>
      </c>
      <c r="Q124" s="429"/>
      <c r="R124" s="421"/>
      <c r="S124" s="472">
        <v>6523</v>
      </c>
      <c r="T124" s="472">
        <v>424</v>
      </c>
      <c r="U124" s="466"/>
      <c r="V124" s="466"/>
      <c r="W124" s="466"/>
      <c r="X124" s="466"/>
      <c r="Y124" s="200" t="s">
        <v>311</v>
      </c>
      <c r="Z124" s="200">
        <v>6523</v>
      </c>
      <c r="AA124" s="200">
        <v>424</v>
      </c>
      <c r="AB124" s="410">
        <f t="shared" si="5"/>
        <v>1</v>
      </c>
      <c r="AC124" s="409">
        <f t="shared" si="3"/>
        <v>6523</v>
      </c>
      <c r="AD124" s="409">
        <f t="shared" si="4"/>
        <v>424</v>
      </c>
    </row>
    <row r="125" s="408" customFormat="1" spans="1:30">
      <c r="A125" s="428" t="s">
        <v>243</v>
      </c>
      <c r="B125" s="421" t="s">
        <v>314</v>
      </c>
      <c r="C125" s="429" t="str">
        <f>VLOOKUP(B125,正厂竞争者数据汇总!D:H,2,FALSE)</f>
        <v>原厂目录</v>
      </c>
      <c r="D125" s="421" t="str">
        <f>VLOOKUP(B125,正厂竞争者数据汇总!D:H,3,FALSE)</f>
        <v>WA</v>
      </c>
      <c r="E125" s="430"/>
      <c r="F125" s="430">
        <v>56531.9166666667</v>
      </c>
      <c r="G125" s="430"/>
      <c r="H125" s="430"/>
      <c r="I125" s="450"/>
      <c r="J125" s="451">
        <v>0.118973576050187</v>
      </c>
      <c r="K125" s="451">
        <v>0.121804171133994</v>
      </c>
      <c r="L125" s="451">
        <v>0.115828562159617</v>
      </c>
      <c r="M125" s="452"/>
      <c r="N125" s="451"/>
      <c r="O125" s="430"/>
      <c r="P125" s="531">
        <f t="array" ref="P125">INDEX(正厂竞争者数据汇总!I:I,MATCH($A$120&amp;B125,正厂竞争者数据汇总!A:A&amp;正厂竞争者数据汇总!D:D,0))</f>
        <v>0</v>
      </c>
      <c r="Q125" s="429"/>
      <c r="R125" s="421"/>
      <c r="S125" s="472">
        <v>3346</v>
      </c>
      <c r="T125" s="472">
        <v>649</v>
      </c>
      <c r="U125" s="466"/>
      <c r="V125" s="466"/>
      <c r="W125" s="466"/>
      <c r="X125" s="466"/>
      <c r="Y125" s="200" t="s">
        <v>314</v>
      </c>
      <c r="Z125" s="200">
        <v>3346</v>
      </c>
      <c r="AA125" s="200">
        <v>649</v>
      </c>
      <c r="AB125" s="410">
        <f t="shared" si="5"/>
        <v>1</v>
      </c>
      <c r="AC125" s="409">
        <f t="shared" si="3"/>
        <v>3346</v>
      </c>
      <c r="AD125" s="409">
        <f t="shared" si="4"/>
        <v>649</v>
      </c>
    </row>
    <row r="126" s="408" customFormat="1" spans="1:30">
      <c r="A126" s="428" t="s">
        <v>230</v>
      </c>
      <c r="B126" s="421" t="s">
        <v>315</v>
      </c>
      <c r="C126" s="429" t="str">
        <f>VLOOKUP(B126,正厂竞争者数据汇总!D:H,2,FALSE)</f>
        <v>Motor目录</v>
      </c>
      <c r="D126" s="421" t="str">
        <f>VLOOKUP(B126,正厂竞争者数据汇总!D:H,3,FALSE)</f>
        <v>IL</v>
      </c>
      <c r="E126" s="430"/>
      <c r="F126" s="430">
        <v>41174.75</v>
      </c>
      <c r="G126" s="430"/>
      <c r="H126" s="430"/>
      <c r="I126" s="450"/>
      <c r="J126" s="451">
        <v>0.0866538327252739</v>
      </c>
      <c r="K126" s="451">
        <v>0.0869814798981557</v>
      </c>
      <c r="L126" s="451">
        <v>0.0897415792735195</v>
      </c>
      <c r="M126" s="452"/>
      <c r="N126" s="451"/>
      <c r="O126" s="430"/>
      <c r="P126" s="531">
        <f t="array" ref="P126">INDEX(正厂竞争者数据汇总!I:I,MATCH($A$120&amp;B126,正厂竞争者数据汇总!A:A&amp;正厂竞争者数据汇总!D:D,0))</f>
        <v>0</v>
      </c>
      <c r="Q126" s="429"/>
      <c r="R126" s="421"/>
      <c r="S126" s="472">
        <v>1051</v>
      </c>
      <c r="T126" s="472">
        <v>207</v>
      </c>
      <c r="U126" s="466"/>
      <c r="V126" s="466"/>
      <c r="W126" s="466"/>
      <c r="X126" s="466"/>
      <c r="Y126" s="200" t="s">
        <v>315</v>
      </c>
      <c r="Z126" s="200">
        <v>1051</v>
      </c>
      <c r="AA126" s="200">
        <v>207</v>
      </c>
      <c r="AB126" s="410">
        <f t="shared" si="5"/>
        <v>1</v>
      </c>
      <c r="AC126" s="409">
        <f t="shared" si="3"/>
        <v>1051</v>
      </c>
      <c r="AD126" s="409">
        <f t="shared" si="4"/>
        <v>207</v>
      </c>
    </row>
    <row r="127" s="408" customFormat="1" spans="1:30">
      <c r="A127" s="428" t="s">
        <v>230</v>
      </c>
      <c r="B127" s="421" t="s">
        <v>317</v>
      </c>
      <c r="C127" s="429" t="str">
        <f>VLOOKUP(B127,正厂竞争者数据汇总!D:H,2,FALSE)</f>
        <v>Motor目录</v>
      </c>
      <c r="D127" s="421" t="str">
        <f>VLOOKUP(B127,正厂竞争者数据汇总!D:H,3,FALSE)</f>
        <v>PA</v>
      </c>
      <c r="E127" s="430"/>
      <c r="F127" s="430">
        <v>21797.15</v>
      </c>
      <c r="G127" s="430"/>
      <c r="H127" s="430"/>
      <c r="I127" s="450"/>
      <c r="J127" s="451">
        <v>0.04587293401873</v>
      </c>
      <c r="K127" s="451">
        <v>0.0501677571472819</v>
      </c>
      <c r="L127" s="451">
        <v>0.0561287439557787</v>
      </c>
      <c r="M127" s="452"/>
      <c r="N127" s="451"/>
      <c r="O127" s="430"/>
      <c r="P127" s="531">
        <f t="array" ref="P127">INDEX(正厂竞争者数据汇总!I:I,MATCH($A$120&amp;B127,正厂竞争者数据汇总!A:A&amp;正厂竞争者数据汇总!D:D,0))</f>
        <v>0</v>
      </c>
      <c r="Q127" s="429"/>
      <c r="R127" s="421"/>
      <c r="S127" s="472">
        <v>588</v>
      </c>
      <c r="T127" s="472">
        <v>181</v>
      </c>
      <c r="U127" s="466"/>
      <c r="V127" s="466"/>
      <c r="W127" s="466"/>
      <c r="X127" s="466"/>
      <c r="Y127" s="200" t="s">
        <v>317</v>
      </c>
      <c r="Z127" s="200">
        <v>588</v>
      </c>
      <c r="AA127" s="200">
        <v>181</v>
      </c>
      <c r="AB127" s="410">
        <f t="shared" si="5"/>
        <v>1</v>
      </c>
      <c r="AC127" s="409">
        <f t="shared" si="3"/>
        <v>588</v>
      </c>
      <c r="AD127" s="409">
        <f t="shared" si="4"/>
        <v>181</v>
      </c>
    </row>
    <row r="128" s="408" customFormat="1" spans="1:30">
      <c r="A128" s="428" t="s">
        <v>243</v>
      </c>
      <c r="B128" s="421" t="s">
        <v>388</v>
      </c>
      <c r="C128" s="255" t="s">
        <v>389</v>
      </c>
      <c r="D128" s="270" t="s">
        <v>49</v>
      </c>
      <c r="E128" s="430"/>
      <c r="F128" s="430">
        <v>20748.0833333333</v>
      </c>
      <c r="G128" s="430"/>
      <c r="H128" s="430"/>
      <c r="I128" s="450"/>
      <c r="J128" s="451">
        <v>0.0436651331832423</v>
      </c>
      <c r="K128" s="451">
        <v>0.0435657336370526</v>
      </c>
      <c r="L128" s="451">
        <v>0.049774216005103</v>
      </c>
      <c r="M128" s="452"/>
      <c r="N128" s="451"/>
      <c r="O128" s="430"/>
      <c r="P128" s="531">
        <f t="array" ref="P128">INDEX(正厂竞争者数据汇总!I:I,MATCH($A$120&amp;B128,正厂竞争者数据汇总!A:A&amp;正厂竞争者数据汇总!D:D,0))</f>
        <v>0</v>
      </c>
      <c r="Q128" s="429"/>
      <c r="R128" s="421"/>
      <c r="S128" s="472">
        <v>1036</v>
      </c>
      <c r="T128" s="472">
        <v>316</v>
      </c>
      <c r="U128" s="466"/>
      <c r="V128" s="466"/>
      <c r="W128" s="466"/>
      <c r="X128" s="466"/>
      <c r="Y128" s="200" t="s">
        <v>388</v>
      </c>
      <c r="Z128" s="200">
        <v>1036</v>
      </c>
      <c r="AA128" s="200">
        <v>316</v>
      </c>
      <c r="AB128" s="410">
        <f t="shared" si="5"/>
        <v>1</v>
      </c>
      <c r="AC128" s="409">
        <f t="shared" si="3"/>
        <v>1036</v>
      </c>
      <c r="AD128" s="409">
        <f t="shared" si="4"/>
        <v>316</v>
      </c>
    </row>
    <row r="129" s="408" customFormat="1" spans="1:30">
      <c r="A129" s="428" t="s">
        <v>230</v>
      </c>
      <c r="B129" s="421" t="s">
        <v>392</v>
      </c>
      <c r="C129" s="429" t="str">
        <f>VLOOKUP(B129,正厂竞争者数据汇总!D:H,2,FALSE)</f>
        <v>Motor目录</v>
      </c>
      <c r="D129" s="421" t="str">
        <f>VLOOKUP(B129,正厂竞争者数据汇总!D:H,3,FALSE)</f>
        <v>LA</v>
      </c>
      <c r="E129" s="430"/>
      <c r="F129" s="430">
        <v>20330.23</v>
      </c>
      <c r="G129" s="430"/>
      <c r="H129" s="430"/>
      <c r="I129" s="450"/>
      <c r="J129" s="451">
        <v>0.042785744896723</v>
      </c>
      <c r="K129" s="451">
        <v>0.0440682320670377</v>
      </c>
      <c r="L129" s="451">
        <v>0.0372108597983213</v>
      </c>
      <c r="M129" s="452"/>
      <c r="N129" s="451"/>
      <c r="O129" s="430"/>
      <c r="P129" s="531">
        <f t="array" ref="P129">INDEX(正厂竞争者数据汇总!I:I,MATCH($A$120&amp;B129,正厂竞争者数据汇总!A:A&amp;正厂竞争者数据汇总!D:D,0))</f>
        <v>0</v>
      </c>
      <c r="Q129" s="429"/>
      <c r="R129" s="421"/>
      <c r="S129" s="472">
        <v>856</v>
      </c>
      <c r="T129" s="472">
        <v>157</v>
      </c>
      <c r="U129" s="466"/>
      <c r="V129" s="466"/>
      <c r="W129" s="466"/>
      <c r="X129" s="466"/>
      <c r="Y129" s="200" t="s">
        <v>392</v>
      </c>
      <c r="Z129" s="200">
        <v>856</v>
      </c>
      <c r="AA129" s="200">
        <v>157</v>
      </c>
      <c r="AB129" s="410">
        <f t="shared" si="5"/>
        <v>1</v>
      </c>
      <c r="AC129" s="409">
        <f t="shared" si="3"/>
        <v>856</v>
      </c>
      <c r="AD129" s="409">
        <f t="shared" si="4"/>
        <v>157</v>
      </c>
    </row>
    <row r="130" s="408" customFormat="1" spans="1:30">
      <c r="A130" s="428" t="s">
        <v>230</v>
      </c>
      <c r="B130" s="421" t="s">
        <v>393</v>
      </c>
      <c r="C130" s="537" t="s">
        <v>351</v>
      </c>
      <c r="D130" s="421" t="s">
        <v>60</v>
      </c>
      <c r="E130" s="430"/>
      <c r="F130" s="430">
        <v>13534.0833333333</v>
      </c>
      <c r="G130" s="430"/>
      <c r="H130" s="430"/>
      <c r="I130" s="450"/>
      <c r="J130" s="451">
        <v>0.02848299487566</v>
      </c>
      <c r="K130" s="451">
        <v>0.0357307596024463</v>
      </c>
      <c r="L130" s="451">
        <v>0.0461932038588016</v>
      </c>
      <c r="M130" s="452"/>
      <c r="N130" s="451"/>
      <c r="O130" s="430"/>
      <c r="P130" s="531" t="str">
        <f t="array" ref="P130">INDEX(正厂竞争者数据汇总!I:I,MATCH($A$120&amp;B130,正厂竞争者数据汇总!A:A&amp;正厂竞争者数据汇总!D:D,0))</f>
        <v>2022年1月加入CompetitorSites，202305因流量大于MS5%，加入MS计算基准</v>
      </c>
      <c r="Q130" s="429"/>
      <c r="R130" s="421"/>
      <c r="S130" s="472">
        <v>328</v>
      </c>
      <c r="T130" s="472">
        <v>95</v>
      </c>
      <c r="U130" s="466"/>
      <c r="V130" s="466"/>
      <c r="W130" s="466"/>
      <c r="X130" s="466"/>
      <c r="Y130" s="200" t="s">
        <v>393</v>
      </c>
      <c r="Z130" s="200">
        <v>328</v>
      </c>
      <c r="AA130" s="200">
        <v>95</v>
      </c>
      <c r="AB130" s="410">
        <f t="shared" si="5"/>
        <v>1</v>
      </c>
      <c r="AC130" s="409">
        <f t="shared" si="3"/>
        <v>328</v>
      </c>
      <c r="AD130" s="409">
        <f t="shared" si="4"/>
        <v>95</v>
      </c>
    </row>
    <row r="131" s="408" customFormat="1" spans="1:30">
      <c r="A131" s="428"/>
      <c r="B131" s="438"/>
      <c r="C131" s="429"/>
      <c r="D131" s="466"/>
      <c r="E131" s="430"/>
      <c r="F131" s="430"/>
      <c r="G131" s="430"/>
      <c r="H131" s="430"/>
      <c r="I131" s="453"/>
      <c r="J131" s="451"/>
      <c r="K131" s="451"/>
      <c r="L131" s="451"/>
      <c r="M131" s="451"/>
      <c r="N131" s="459"/>
      <c r="O131" s="430"/>
      <c r="P131" s="531"/>
      <c r="Q131" s="492"/>
      <c r="R131" s="421"/>
      <c r="S131" s="473" t="s">
        <v>180</v>
      </c>
      <c r="T131" s="473" t="s">
        <v>180</v>
      </c>
      <c r="U131" s="466"/>
      <c r="V131" s="466"/>
      <c r="W131" s="421"/>
      <c r="X131" s="421"/>
      <c r="Y131" s="200" t="s">
        <v>240</v>
      </c>
      <c r="Z131" s="200" t="s">
        <v>180</v>
      </c>
      <c r="AA131" s="200" t="s">
        <v>180</v>
      </c>
      <c r="AB131" s="410">
        <f t="shared" si="5"/>
        <v>0</v>
      </c>
      <c r="AC131" s="409" t="str">
        <f t="shared" ref="AC131:AC194" si="6">IF(Y131="Competitors","Forum Link",Z131)</f>
        <v/>
      </c>
      <c r="AD131" s="409" t="str">
        <f t="shared" ref="AD131:AD194" si="7">IF(Y131="Competitors","Domains",AA131)</f>
        <v/>
      </c>
    </row>
    <row r="132" s="408" customFormat="1" spans="1:30">
      <c r="A132" s="428"/>
      <c r="B132" s="421"/>
      <c r="C132" s="439"/>
      <c r="D132" s="421"/>
      <c r="E132" s="430"/>
      <c r="F132" s="430">
        <v>475163.633333333</v>
      </c>
      <c r="G132" s="430">
        <v>451480.499999999</v>
      </c>
      <c r="H132" s="430">
        <v>457440.166666667</v>
      </c>
      <c r="I132" s="453">
        <f>(F132/G132)-1</f>
        <v>0.0524566029614437</v>
      </c>
      <c r="J132" s="430"/>
      <c r="K132" s="430"/>
      <c r="L132" s="430"/>
      <c r="M132" s="451"/>
      <c r="N132" s="451"/>
      <c r="O132" s="430"/>
      <c r="P132" s="531"/>
      <c r="Q132" s="493"/>
      <c r="R132" s="421"/>
      <c r="S132" s="473" t="s">
        <v>180</v>
      </c>
      <c r="T132" s="473" t="s">
        <v>180</v>
      </c>
      <c r="U132" s="466"/>
      <c r="V132" s="466"/>
      <c r="W132" s="421"/>
      <c r="X132" s="421"/>
      <c r="Y132" s="200" t="s">
        <v>240</v>
      </c>
      <c r="Z132" s="200" t="s">
        <v>180</v>
      </c>
      <c r="AA132" s="200" t="s">
        <v>180</v>
      </c>
      <c r="AB132" s="410">
        <f t="shared" ref="AB132:AB195" si="8">IF(B132=Y132,1,0)</f>
        <v>0</v>
      </c>
      <c r="AC132" s="409" t="str">
        <f t="shared" si="6"/>
        <v/>
      </c>
      <c r="AD132" s="409" t="str">
        <f t="shared" si="7"/>
        <v/>
      </c>
    </row>
    <row r="133" s="408" customFormat="1" spans="1:30">
      <c r="A133" s="428"/>
      <c r="B133" s="421"/>
      <c r="C133" s="439"/>
      <c r="D133" s="421"/>
      <c r="E133" s="430"/>
      <c r="F133" s="430"/>
      <c r="G133" s="430"/>
      <c r="H133" s="430"/>
      <c r="I133" s="453"/>
      <c r="J133" s="430"/>
      <c r="K133" s="430"/>
      <c r="L133" s="430"/>
      <c r="M133" s="451"/>
      <c r="N133" s="451"/>
      <c r="O133" s="430"/>
      <c r="P133" s="531"/>
      <c r="Q133" s="493"/>
      <c r="R133" s="421"/>
      <c r="S133" s="473" t="s">
        <v>180</v>
      </c>
      <c r="T133" s="473" t="s">
        <v>180</v>
      </c>
      <c r="U133" s="466"/>
      <c r="V133" s="466"/>
      <c r="W133" s="421"/>
      <c r="X133" s="421"/>
      <c r="Y133" s="200" t="s">
        <v>240</v>
      </c>
      <c r="Z133" s="200" t="s">
        <v>180</v>
      </c>
      <c r="AA133" s="200" t="s">
        <v>180</v>
      </c>
      <c r="AB133" s="410">
        <f t="shared" si="8"/>
        <v>0</v>
      </c>
      <c r="AC133" s="409" t="str">
        <f t="shared" si="6"/>
        <v/>
      </c>
      <c r="AD133" s="409" t="str">
        <f t="shared" si="7"/>
        <v/>
      </c>
    </row>
    <row r="134" s="408" customFormat="1" ht="17.4" spans="1:30">
      <c r="A134" s="418" t="s">
        <v>174</v>
      </c>
      <c r="B134" s="419"/>
      <c r="C134" s="420"/>
      <c r="D134" s="421"/>
      <c r="E134" s="422" t="s">
        <v>202</v>
      </c>
      <c r="F134" s="422"/>
      <c r="G134" s="422"/>
      <c r="H134" s="422"/>
      <c r="I134" s="422"/>
      <c r="J134" s="422"/>
      <c r="K134" s="422"/>
      <c r="L134" s="422"/>
      <c r="M134" s="443"/>
      <c r="N134" s="444"/>
      <c r="O134" s="422"/>
      <c r="P134" s="531"/>
      <c r="Q134" s="465"/>
      <c r="R134" s="424"/>
      <c r="S134" s="473" t="s">
        <v>180</v>
      </c>
      <c r="T134" s="473" t="s">
        <v>180</v>
      </c>
      <c r="U134" s="467"/>
      <c r="V134" s="467"/>
      <c r="W134" s="467"/>
      <c r="X134" s="467"/>
      <c r="Y134" s="200" t="s">
        <v>240</v>
      </c>
      <c r="Z134" s="200" t="s">
        <v>180</v>
      </c>
      <c r="AA134" s="200" t="s">
        <v>180</v>
      </c>
      <c r="AB134" s="410">
        <f t="shared" si="8"/>
        <v>0</v>
      </c>
      <c r="AC134" s="409" t="str">
        <f t="shared" si="6"/>
        <v/>
      </c>
      <c r="AD134" s="409" t="str">
        <f t="shared" si="7"/>
        <v/>
      </c>
    </row>
    <row r="135" s="409" customFormat="1" ht="48.6" spans="1:30">
      <c r="A135" s="423" t="s">
        <v>206</v>
      </c>
      <c r="B135" s="424" t="s">
        <v>207</v>
      </c>
      <c r="C135" s="425" t="s">
        <v>208</v>
      </c>
      <c r="D135" s="424" t="s">
        <v>209</v>
      </c>
      <c r="E135" s="426" t="s">
        <v>210</v>
      </c>
      <c r="F135" s="427" t="s">
        <v>396</v>
      </c>
      <c r="G135" s="427" t="s">
        <v>212</v>
      </c>
      <c r="H135" s="427" t="s">
        <v>397</v>
      </c>
      <c r="I135" s="427" t="s">
        <v>214</v>
      </c>
      <c r="J135" s="446" t="s">
        <v>387</v>
      </c>
      <c r="K135" s="446" t="s">
        <v>398</v>
      </c>
      <c r="L135" s="446" t="s">
        <v>399</v>
      </c>
      <c r="M135" s="447" t="s">
        <v>218</v>
      </c>
      <c r="N135" s="448" t="s">
        <v>219</v>
      </c>
      <c r="O135" s="449" t="s">
        <v>220</v>
      </c>
      <c r="P135" s="530" t="s">
        <v>221</v>
      </c>
      <c r="Q135" s="469" t="s">
        <v>222</v>
      </c>
      <c r="R135" s="426" t="s">
        <v>223</v>
      </c>
      <c r="S135" s="470" t="s">
        <v>224</v>
      </c>
      <c r="T135" s="470" t="s">
        <v>205</v>
      </c>
      <c r="U135" s="467" t="s">
        <v>225</v>
      </c>
      <c r="V135" s="470" t="s">
        <v>226</v>
      </c>
      <c r="W135" s="467"/>
      <c r="X135" s="467"/>
      <c r="Y135" s="200" t="s">
        <v>207</v>
      </c>
      <c r="Z135" s="200" t="s">
        <v>180</v>
      </c>
      <c r="AA135" s="200" t="s">
        <v>180</v>
      </c>
      <c r="AB135" s="410">
        <f t="shared" si="8"/>
        <v>1</v>
      </c>
      <c r="AC135" s="409" t="str">
        <f t="shared" si="6"/>
        <v>Forum Link</v>
      </c>
      <c r="AD135" s="409" t="str">
        <f t="shared" si="7"/>
        <v>Domains</v>
      </c>
    </row>
    <row r="136" s="410" customFormat="1" ht="17.4" spans="1:30">
      <c r="A136" s="435" t="s">
        <v>227</v>
      </c>
      <c r="B136" s="435" t="s">
        <v>175</v>
      </c>
      <c r="C136" s="435" t="str">
        <f>VLOOKUP(B136,正厂竞争者数据汇总!D:H,2,FALSE)</f>
        <v>原厂目录</v>
      </c>
      <c r="D136" s="435" t="str">
        <f>VLOOKUP(B136,正厂竞争者数据汇总!D:H,3,FALSE)</f>
        <v>CA</v>
      </c>
      <c r="E136" s="436">
        <f>VLOOKUP(B136,正厂竞争者数据汇总!D:H,4,FALSE)</f>
        <v>325311</v>
      </c>
      <c r="F136" s="436">
        <v>220176.5</v>
      </c>
      <c r="G136" s="436">
        <f t="array" ref="G136">INDEX(正厂竞争者数据汇总!$H$2:$H$448,MATCH($A$134&amp;$B136,正厂竞争者数据汇总!$A$2:$A$448&amp;正厂竞争者数据汇总!$D$2:$D$448,0))</f>
        <v>209547.25</v>
      </c>
      <c r="H136" s="436">
        <f t="array" ref="H136">INDEX(正厂竞争者数据汇总!$H$2:$H$448,MATCH($A$134&amp;$B136,正厂竞争者数据汇总!$A$2:$A$448&amp;正厂竞争者数据汇总!$D$2:$D$448,0))</f>
        <v>209547.25</v>
      </c>
      <c r="I136" s="436">
        <f t="array" ref="I136">INDEX(正厂竞争者数据汇总!$H$2:$H$448,MATCH($A$134&amp;$B136,正厂竞争者数据汇总!$A$2:$A$448&amp;正厂竞争者数据汇总!$D$2:$D$448,0))</f>
        <v>209547.25</v>
      </c>
      <c r="J136" s="457">
        <v>0.471712483650054</v>
      </c>
      <c r="K136" s="457">
        <v>0.449806076053775</v>
      </c>
      <c r="L136" s="457">
        <v>0.415524249606574</v>
      </c>
      <c r="M136" s="456">
        <f>J136-K136</f>
        <v>0.021906407596279</v>
      </c>
      <c r="N136" s="457" t="str">
        <f>IFERROR(O136*0.5/$F$136,"")</f>
        <v/>
      </c>
      <c r="O136" s="436" t="s">
        <v>180</v>
      </c>
      <c r="P136" s="531">
        <f t="array" ref="P136">INDEX(正厂竞争者数据汇总!I:I,MATCH($A$134&amp;B136,正厂竞争者数据汇总!A:A&amp;正厂竞争者数据汇总!D:D,0))</f>
        <v>0</v>
      </c>
      <c r="Q136" s="434" t="s">
        <v>318</v>
      </c>
      <c r="R136" s="435" t="s">
        <v>229</v>
      </c>
      <c r="S136" s="476">
        <v>16859</v>
      </c>
      <c r="T136" s="476">
        <v>3644</v>
      </c>
      <c r="U136" s="477"/>
      <c r="V136" s="477"/>
      <c r="W136" s="435"/>
      <c r="X136" s="435"/>
      <c r="Y136" s="200" t="s">
        <v>175</v>
      </c>
      <c r="Z136" s="200">
        <v>16859</v>
      </c>
      <c r="AA136" s="200">
        <v>3644</v>
      </c>
      <c r="AB136" s="410">
        <f t="shared" si="8"/>
        <v>1</v>
      </c>
      <c r="AC136" s="409">
        <f t="shared" si="6"/>
        <v>16859</v>
      </c>
      <c r="AD136" s="409">
        <f t="shared" si="7"/>
        <v>3644</v>
      </c>
    </row>
    <row r="137" s="408" customFormat="1" spans="1:30">
      <c r="A137" s="428" t="s">
        <v>230</v>
      </c>
      <c r="B137" s="421" t="s">
        <v>319</v>
      </c>
      <c r="C137" s="429" t="str">
        <f>VLOOKUP(B137,正厂竞争者数据汇总!D:H,2,FALSE)</f>
        <v>Motor目录</v>
      </c>
      <c r="D137" s="421" t="str">
        <f>VLOOKUP(B137,正厂竞争者数据汇总!D:H,3,FALSE)</f>
        <v>-</v>
      </c>
      <c r="E137" s="430"/>
      <c r="F137" s="430">
        <v>94112.3333333333</v>
      </c>
      <c r="G137" s="430"/>
      <c r="H137" s="430"/>
      <c r="I137" s="450"/>
      <c r="J137" s="451">
        <v>0.201628977201329</v>
      </c>
      <c r="K137" s="451">
        <v>0.187936715865613</v>
      </c>
      <c r="L137" s="451">
        <v>0.173516725657426</v>
      </c>
      <c r="M137" s="452"/>
      <c r="N137" s="451"/>
      <c r="O137" s="430"/>
      <c r="P137" s="531" t="str">
        <f t="array" ref="P137">INDEX(正厂竞争者数据汇总!I:I,MATCH($A$134&amp;B137,正厂竞争者数据汇总!A:A&amp;正厂竞争者数据汇总!D:D,0))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37" s="429"/>
      <c r="R137" s="421"/>
      <c r="S137" s="472">
        <v>569</v>
      </c>
      <c r="T137" s="472">
        <v>92</v>
      </c>
      <c r="U137" s="466"/>
      <c r="V137" s="466"/>
      <c r="W137" s="466"/>
      <c r="X137" s="466"/>
      <c r="Y137" s="200" t="s">
        <v>319</v>
      </c>
      <c r="Z137" s="200">
        <v>569</v>
      </c>
      <c r="AA137" s="200">
        <v>92</v>
      </c>
      <c r="AB137" s="410">
        <f t="shared" si="8"/>
        <v>1</v>
      </c>
      <c r="AC137" s="409">
        <f t="shared" si="6"/>
        <v>569</v>
      </c>
      <c r="AD137" s="409">
        <f t="shared" si="7"/>
        <v>92</v>
      </c>
    </row>
    <row r="138" s="408" customFormat="1" spans="1:30">
      <c r="A138" s="428" t="s">
        <v>230</v>
      </c>
      <c r="B138" s="421" t="s">
        <v>320</v>
      </c>
      <c r="C138" s="429" t="str">
        <f>VLOOKUP(B138,正厂竞争者数据汇总!D:H,2,FALSE)</f>
        <v>原厂目录</v>
      </c>
      <c r="D138" s="421" t="str">
        <f>VLOOKUP(B138,正厂竞争者数据汇总!D:H,3,FALSE)</f>
        <v>AZ</v>
      </c>
      <c r="E138" s="430"/>
      <c r="F138" s="430">
        <v>51479.4583333333</v>
      </c>
      <c r="G138" s="430"/>
      <c r="H138" s="430"/>
      <c r="I138" s="450"/>
      <c r="J138" s="451">
        <v>0.110291076238273</v>
      </c>
      <c r="K138" s="451">
        <v>0.121782946300851</v>
      </c>
      <c r="L138" s="451">
        <v>0.154355427048003</v>
      </c>
      <c r="M138" s="452"/>
      <c r="N138" s="451"/>
      <c r="O138" s="430"/>
      <c r="P138" s="531">
        <f t="array" ref="P138">INDEX(正厂竞争者数据汇总!I:I,MATCH($A$134&amp;B138,正厂竞争者数据汇总!A:A&amp;正厂竞争者数据汇总!D:D,0))</f>
        <v>0</v>
      </c>
      <c r="Q138" s="429"/>
      <c r="R138" s="421"/>
      <c r="S138" s="472">
        <v>8420</v>
      </c>
      <c r="T138" s="472">
        <v>396</v>
      </c>
      <c r="U138" s="466"/>
      <c r="V138" s="466"/>
      <c r="W138" s="466"/>
      <c r="X138" s="466"/>
      <c r="Y138" s="200" t="s">
        <v>320</v>
      </c>
      <c r="Z138" s="200">
        <v>8420</v>
      </c>
      <c r="AA138" s="200">
        <v>396</v>
      </c>
      <c r="AB138" s="410">
        <f t="shared" si="8"/>
        <v>1</v>
      </c>
      <c r="AC138" s="409">
        <f t="shared" si="6"/>
        <v>8420</v>
      </c>
      <c r="AD138" s="409">
        <f t="shared" si="7"/>
        <v>396</v>
      </c>
    </row>
    <row r="139" s="408" customFormat="1" spans="1:30">
      <c r="A139" s="428" t="s">
        <v>230</v>
      </c>
      <c r="B139" s="421" t="s">
        <v>321</v>
      </c>
      <c r="C139" s="429" t="str">
        <f>VLOOKUP(B139,正厂竞争者数据汇总!D:H,2,FALSE)</f>
        <v>原厂目录</v>
      </c>
      <c r="D139" s="421" t="str">
        <f>VLOOKUP(B139,正厂竞争者数据汇总!D:H,3,FALSE)</f>
        <v>CO</v>
      </c>
      <c r="E139" s="430"/>
      <c r="F139" s="430">
        <v>37125.9183333333</v>
      </c>
      <c r="G139" s="430"/>
      <c r="H139" s="430"/>
      <c r="I139" s="450"/>
      <c r="J139" s="451">
        <v>0.0795396381757623</v>
      </c>
      <c r="K139" s="451">
        <v>0.0826518003430877</v>
      </c>
      <c r="L139" s="451">
        <v>0.0886817014745233</v>
      </c>
      <c r="M139" s="452"/>
      <c r="N139" s="451"/>
      <c r="O139" s="430"/>
      <c r="P139" s="531" t="str">
        <f t="array" ref="P139">INDEX(正厂竞争者数据汇总!I:I,MATCH($A$134&amp;B139,正厂竞争者数据汇总!A:A&amp;正厂竞争者数据汇总!D:D,0))</f>
        <v>同时经营honda/acura，折算比例：acura75%，honda25%</v>
      </c>
      <c r="Q139" s="429"/>
      <c r="R139" s="421"/>
      <c r="S139" s="472">
        <v>1330</v>
      </c>
      <c r="T139" s="472">
        <v>264</v>
      </c>
      <c r="U139" s="466"/>
      <c r="V139" s="466"/>
      <c r="W139" s="466"/>
      <c r="X139" s="466"/>
      <c r="Y139" s="200" t="s">
        <v>321</v>
      </c>
      <c r="Z139" s="200">
        <v>1330</v>
      </c>
      <c r="AA139" s="200">
        <v>264</v>
      </c>
      <c r="AB139" s="410">
        <f t="shared" si="8"/>
        <v>1</v>
      </c>
      <c r="AC139" s="409">
        <f t="shared" si="6"/>
        <v>1330</v>
      </c>
      <c r="AD139" s="409">
        <f t="shared" si="7"/>
        <v>264</v>
      </c>
    </row>
    <row r="140" s="408" customFormat="1" spans="1:30">
      <c r="A140" s="428" t="s">
        <v>230</v>
      </c>
      <c r="B140" s="421" t="s">
        <v>323</v>
      </c>
      <c r="C140" s="429" t="str">
        <f>VLOOKUP(B140,正厂竞争者数据汇总!D:H,2,FALSE)</f>
        <v>原厂目录</v>
      </c>
      <c r="D140" s="421" t="str">
        <f>VLOOKUP(B140,正厂竞争者数据汇总!D:H,3,FALSE)</f>
        <v>NJ</v>
      </c>
      <c r="E140" s="430"/>
      <c r="F140" s="430">
        <v>33025.5</v>
      </c>
      <c r="G140" s="430"/>
      <c r="H140" s="430"/>
      <c r="I140" s="450"/>
      <c r="J140" s="451">
        <v>0.0707547836793884</v>
      </c>
      <c r="K140" s="451">
        <v>0.0793899694077838</v>
      </c>
      <c r="L140" s="451">
        <v>0.0871282717811527</v>
      </c>
      <c r="M140" s="452"/>
      <c r="N140" s="451"/>
      <c r="O140" s="430"/>
      <c r="P140" s="531" t="str">
        <f t="array" ref="P140">INDEX(正厂竞争者数据汇总!I:I,MATCH($A$134&amp;B140,正厂竞争者数据汇总!A:A&amp;正厂竞争者数据汇总!D:D,0))</f>
        <v>2022年1月 新加入 CompetitorSites
2022年1月 新加入 MarketingShare</v>
      </c>
      <c r="Q140" s="429"/>
      <c r="R140" s="421"/>
      <c r="S140" s="472">
        <v>1111</v>
      </c>
      <c r="T140" s="472">
        <v>183</v>
      </c>
      <c r="U140" s="466"/>
      <c r="V140" s="466"/>
      <c r="W140" s="466"/>
      <c r="X140" s="466"/>
      <c r="Y140" s="200" t="s">
        <v>323</v>
      </c>
      <c r="Z140" s="200">
        <v>1111</v>
      </c>
      <c r="AA140" s="200">
        <v>183</v>
      </c>
      <c r="AB140" s="410">
        <f t="shared" si="8"/>
        <v>1</v>
      </c>
      <c r="AC140" s="409">
        <f t="shared" si="6"/>
        <v>1111</v>
      </c>
      <c r="AD140" s="409">
        <f t="shared" si="7"/>
        <v>183</v>
      </c>
    </row>
    <row r="141" s="408" customFormat="1" spans="1:30">
      <c r="A141" s="428" t="s">
        <v>238</v>
      </c>
      <c r="B141" s="421" t="s">
        <v>322</v>
      </c>
      <c r="C141" s="429" t="str">
        <f>VLOOKUP(B141,正厂竞争者数据汇总!D:H,2,FALSE)</f>
        <v>原厂目录</v>
      </c>
      <c r="D141" s="421" t="str">
        <f>VLOOKUP(B141,正厂竞争者数据汇总!D:H,3,FALSE)</f>
        <v>MA</v>
      </c>
      <c r="E141" s="430"/>
      <c r="F141" s="430">
        <v>30840.25</v>
      </c>
      <c r="G141" s="430"/>
      <c r="H141" s="430"/>
      <c r="I141" s="450"/>
      <c r="J141" s="451">
        <v>0.0660730410551925</v>
      </c>
      <c r="K141" s="451">
        <v>0.0784324920288898</v>
      </c>
      <c r="L141" s="451">
        <v>0.0807936244323219</v>
      </c>
      <c r="M141" s="452"/>
      <c r="N141" s="451"/>
      <c r="O141" s="430"/>
      <c r="P141" s="531">
        <f t="array" ref="P141">INDEX(正厂竞争者数据汇总!I:I,MATCH($A$134&amp;B141,正厂竞争者数据汇总!A:A&amp;正厂竞争者数据汇总!D:D,0))</f>
        <v>0</v>
      </c>
      <c r="Q141" s="429"/>
      <c r="R141" s="421"/>
      <c r="S141" s="472">
        <v>28657</v>
      </c>
      <c r="T141" s="472">
        <v>1803</v>
      </c>
      <c r="U141" s="466"/>
      <c r="V141" s="466"/>
      <c r="W141" s="466"/>
      <c r="X141" s="466"/>
      <c r="Y141" s="200" t="s">
        <v>322</v>
      </c>
      <c r="Z141" s="200">
        <v>28657</v>
      </c>
      <c r="AA141" s="200">
        <v>1803</v>
      </c>
      <c r="AB141" s="410">
        <f t="shared" si="8"/>
        <v>1</v>
      </c>
      <c r="AC141" s="409">
        <f t="shared" si="6"/>
        <v>28657</v>
      </c>
      <c r="AD141" s="409">
        <f t="shared" si="7"/>
        <v>1803</v>
      </c>
    </row>
    <row r="142" s="408" customFormat="1" spans="1:30">
      <c r="A142" s="428"/>
      <c r="B142" s="438"/>
      <c r="C142" s="429"/>
      <c r="D142" s="421"/>
      <c r="E142" s="430"/>
      <c r="F142" s="486"/>
      <c r="G142" s="486">
        <v>409170.916666667</v>
      </c>
      <c r="H142" s="486"/>
      <c r="I142" s="453"/>
      <c r="J142" s="451"/>
      <c r="K142" s="430"/>
      <c r="L142" s="430"/>
      <c r="M142" s="451"/>
      <c r="N142" s="451"/>
      <c r="O142" s="430"/>
      <c r="P142" s="531"/>
      <c r="Q142" s="429"/>
      <c r="R142" s="421"/>
      <c r="S142" s="473" t="s">
        <v>180</v>
      </c>
      <c r="T142" s="473" t="s">
        <v>180</v>
      </c>
      <c r="U142" s="466"/>
      <c r="V142" s="466"/>
      <c r="W142" s="421"/>
      <c r="X142" s="421"/>
      <c r="Y142" s="200" t="s">
        <v>240</v>
      </c>
      <c r="Z142" s="200" t="s">
        <v>180</v>
      </c>
      <c r="AA142" s="200" t="s">
        <v>180</v>
      </c>
      <c r="AB142" s="410">
        <f t="shared" si="8"/>
        <v>0</v>
      </c>
      <c r="AC142" s="409" t="str">
        <f t="shared" si="6"/>
        <v/>
      </c>
      <c r="AD142" s="409" t="str">
        <f t="shared" si="7"/>
        <v/>
      </c>
    </row>
    <row r="143" s="408" customFormat="1" spans="1:30">
      <c r="A143" s="428"/>
      <c r="B143" s="421"/>
      <c r="C143" s="439"/>
      <c r="D143" s="421"/>
      <c r="E143" s="421"/>
      <c r="F143" s="430">
        <v>466759.96</v>
      </c>
      <c r="G143" s="430"/>
      <c r="H143" s="430">
        <v>444921.666666667</v>
      </c>
      <c r="I143" s="453" t="e">
        <f>(F143/G143)-1</f>
        <v>#DIV/0!</v>
      </c>
      <c r="J143" s="430"/>
      <c r="K143" s="430"/>
      <c r="L143" s="430"/>
      <c r="M143" s="451"/>
      <c r="N143" s="451">
        <f>SUM(N136:N142)</f>
        <v>0</v>
      </c>
      <c r="O143" s="430"/>
      <c r="P143" s="531"/>
      <c r="Q143" s="429" t="s">
        <v>180</v>
      </c>
      <c r="R143" s="421" t="s">
        <v>180</v>
      </c>
      <c r="S143" s="473" t="s">
        <v>180</v>
      </c>
      <c r="T143" s="473" t="s">
        <v>180</v>
      </c>
      <c r="U143" s="466"/>
      <c r="V143" s="466"/>
      <c r="W143" s="421"/>
      <c r="X143" s="421"/>
      <c r="Y143" s="200" t="s">
        <v>240</v>
      </c>
      <c r="Z143" s="200" t="s">
        <v>180</v>
      </c>
      <c r="AA143" s="200" t="s">
        <v>180</v>
      </c>
      <c r="AB143" s="410">
        <f t="shared" si="8"/>
        <v>0</v>
      </c>
      <c r="AC143" s="409" t="str">
        <f t="shared" si="6"/>
        <v/>
      </c>
      <c r="AD143" s="409" t="str">
        <f t="shared" si="7"/>
        <v/>
      </c>
    </row>
    <row r="144" s="408" customFormat="1" spans="1:30">
      <c r="A144" s="428"/>
      <c r="B144" s="421"/>
      <c r="C144" s="439"/>
      <c r="D144" s="421"/>
      <c r="E144" s="430"/>
      <c r="F144" s="430"/>
      <c r="G144" s="430"/>
      <c r="H144" s="430"/>
      <c r="I144" s="453"/>
      <c r="J144" s="430"/>
      <c r="K144" s="430"/>
      <c r="L144" s="430"/>
      <c r="M144" s="451"/>
      <c r="N144" s="459"/>
      <c r="O144" s="430"/>
      <c r="P144" s="531"/>
      <c r="Q144" s="429"/>
      <c r="R144" s="421" t="s">
        <v>180</v>
      </c>
      <c r="S144" s="473" t="s">
        <v>180</v>
      </c>
      <c r="T144" s="473" t="s">
        <v>180</v>
      </c>
      <c r="U144" s="466"/>
      <c r="V144" s="466"/>
      <c r="W144" s="421"/>
      <c r="X144" s="421"/>
      <c r="Y144" s="200" t="s">
        <v>240</v>
      </c>
      <c r="Z144" s="200" t="s">
        <v>180</v>
      </c>
      <c r="AA144" s="200" t="s">
        <v>180</v>
      </c>
      <c r="AB144" s="410">
        <f t="shared" si="8"/>
        <v>0</v>
      </c>
      <c r="AC144" s="409" t="str">
        <f t="shared" si="6"/>
        <v/>
      </c>
      <c r="AD144" s="409" t="str">
        <f t="shared" si="7"/>
        <v/>
      </c>
    </row>
    <row r="145" s="408" customFormat="1" ht="17.4" spans="1:30">
      <c r="A145" s="418" t="s">
        <v>177</v>
      </c>
      <c r="B145" s="419"/>
      <c r="C145" s="420"/>
      <c r="D145" s="421"/>
      <c r="E145" s="422" t="s">
        <v>202</v>
      </c>
      <c r="F145" s="422"/>
      <c r="G145" s="422" t="s">
        <v>212</v>
      </c>
      <c r="H145" s="422"/>
      <c r="I145" s="422"/>
      <c r="J145" s="422"/>
      <c r="K145" s="422"/>
      <c r="L145" s="422"/>
      <c r="M145" s="443"/>
      <c r="N145" s="444"/>
      <c r="O145" s="422"/>
      <c r="P145" s="531"/>
      <c r="Q145" s="465"/>
      <c r="R145" s="424"/>
      <c r="S145" s="473" t="s">
        <v>180</v>
      </c>
      <c r="T145" s="473" t="s">
        <v>180</v>
      </c>
      <c r="U145" s="467"/>
      <c r="V145" s="467"/>
      <c r="W145" s="467"/>
      <c r="X145" s="467"/>
      <c r="Y145" s="200" t="s">
        <v>240</v>
      </c>
      <c r="Z145" s="200" t="s">
        <v>180</v>
      </c>
      <c r="AA145" s="200" t="s">
        <v>180</v>
      </c>
      <c r="AB145" s="410">
        <f t="shared" si="8"/>
        <v>0</v>
      </c>
      <c r="AC145" s="409" t="str">
        <f t="shared" si="6"/>
        <v/>
      </c>
      <c r="AD145" s="409" t="str">
        <f t="shared" si="7"/>
        <v/>
      </c>
    </row>
    <row r="146" s="409" customFormat="1" ht="48.6" spans="1:30">
      <c r="A146" s="423" t="s">
        <v>206</v>
      </c>
      <c r="B146" s="424" t="s">
        <v>207</v>
      </c>
      <c r="C146" s="425" t="s">
        <v>208</v>
      </c>
      <c r="D146" s="424" t="s">
        <v>209</v>
      </c>
      <c r="E146" s="426" t="s">
        <v>210</v>
      </c>
      <c r="F146" s="427" t="s">
        <v>396</v>
      </c>
      <c r="G146" s="427">
        <v>93920.4166666667</v>
      </c>
      <c r="H146" s="427" t="s">
        <v>397</v>
      </c>
      <c r="I146" s="427" t="s">
        <v>214</v>
      </c>
      <c r="J146" s="446" t="s">
        <v>387</v>
      </c>
      <c r="K146" s="446" t="s">
        <v>398</v>
      </c>
      <c r="L146" s="446" t="s">
        <v>399</v>
      </c>
      <c r="M146" s="447" t="s">
        <v>218</v>
      </c>
      <c r="N146" s="448" t="s">
        <v>219</v>
      </c>
      <c r="O146" s="449" t="s">
        <v>220</v>
      </c>
      <c r="P146" s="530" t="s">
        <v>221</v>
      </c>
      <c r="Q146" s="469" t="s">
        <v>222</v>
      </c>
      <c r="R146" s="426" t="s">
        <v>223</v>
      </c>
      <c r="S146" s="470" t="s">
        <v>224</v>
      </c>
      <c r="T146" s="470" t="s">
        <v>205</v>
      </c>
      <c r="U146" s="467" t="s">
        <v>225</v>
      </c>
      <c r="V146" s="470" t="s">
        <v>226</v>
      </c>
      <c r="W146" s="467"/>
      <c r="X146" s="467"/>
      <c r="Y146" s="200" t="s">
        <v>207</v>
      </c>
      <c r="Z146" s="200" t="s">
        <v>180</v>
      </c>
      <c r="AA146" s="200" t="s">
        <v>180</v>
      </c>
      <c r="AB146" s="410">
        <f t="shared" si="8"/>
        <v>1</v>
      </c>
      <c r="AC146" s="409" t="str">
        <f t="shared" si="6"/>
        <v>Forum Link</v>
      </c>
      <c r="AD146" s="409" t="str">
        <f t="shared" si="7"/>
        <v>Domains</v>
      </c>
    </row>
    <row r="147" s="410" customFormat="1" ht="17.4" spans="1:30">
      <c r="A147" s="432" t="s">
        <v>227</v>
      </c>
      <c r="B147" s="432" t="s">
        <v>178</v>
      </c>
      <c r="C147" s="434" t="str">
        <f>VLOOKUP(B147,正厂竞争者数据汇总!D:H,2,FALSE)</f>
        <v>原厂目录</v>
      </c>
      <c r="D147" s="435" t="str">
        <f>VLOOKUP(B147,正厂竞争者数据汇总!D:H,3,FALSE)</f>
        <v>CA</v>
      </c>
      <c r="E147" s="436">
        <f>VLOOKUP(B147,正厂竞争者数据汇总!D:H,4,FALSE)</f>
        <v>0</v>
      </c>
      <c r="F147" s="436">
        <v>109658.416666667</v>
      </c>
      <c r="G147" s="436">
        <v>19160.4166666667</v>
      </c>
      <c r="H147" s="436">
        <v>93560.5000000002</v>
      </c>
      <c r="I147" s="454">
        <f>(F147/G147)-1</f>
        <v>4.72317494835273</v>
      </c>
      <c r="J147" s="457">
        <v>0.562345717937072</v>
      </c>
      <c r="K147" s="457">
        <v>0.564777952589824</v>
      </c>
      <c r="L147" s="457">
        <v>0.558279342406974</v>
      </c>
      <c r="M147" s="456" t="e">
        <f>J147-#REF!</f>
        <v>#REF!</v>
      </c>
      <c r="N147" s="457" t="str">
        <f>IFERROR(O147*0.5/#REF!,"")</f>
        <v/>
      </c>
      <c r="O147" s="436" t="s">
        <v>180</v>
      </c>
      <c r="P147" s="531">
        <f t="array" ref="P147">INDEX(正厂竞争者数据汇总!I:I,MATCH($A$145&amp;B147,正厂竞争者数据汇总!A:A&amp;正厂竞争者数据汇总!D:D,0))</f>
        <v>0</v>
      </c>
      <c r="Q147" s="434" t="s">
        <v>324</v>
      </c>
      <c r="R147" s="435" t="s">
        <v>229</v>
      </c>
      <c r="S147" s="476">
        <v>20931</v>
      </c>
      <c r="T147" s="476">
        <v>4210</v>
      </c>
      <c r="U147" s="477"/>
      <c r="V147" s="477"/>
      <c r="W147" s="435"/>
      <c r="X147" s="435"/>
      <c r="Y147" s="200" t="s">
        <v>178</v>
      </c>
      <c r="Z147" s="200">
        <v>20931</v>
      </c>
      <c r="AA147" s="200">
        <v>4210</v>
      </c>
      <c r="AB147" s="410">
        <f t="shared" si="8"/>
        <v>1</v>
      </c>
      <c r="AC147" s="409">
        <f t="shared" si="6"/>
        <v>20931</v>
      </c>
      <c r="AD147" s="409">
        <f t="shared" si="7"/>
        <v>4210</v>
      </c>
    </row>
    <row r="148" s="408" customFormat="1" spans="1:30">
      <c r="A148" s="428" t="s">
        <v>230</v>
      </c>
      <c r="B148" s="421" t="s">
        <v>327</v>
      </c>
      <c r="C148" s="429" t="str">
        <f>VLOOKUP(B148,正厂竞争者数据汇总!D:H,2,FALSE)</f>
        <v>Motor目录</v>
      </c>
      <c r="D148" s="421" t="str">
        <f>VLOOKUP(B148,正厂竞争者数据汇总!D:H,3,FALSE)</f>
        <v>-</v>
      </c>
      <c r="E148" s="430"/>
      <c r="F148" s="430">
        <v>31237.4166666667</v>
      </c>
      <c r="G148" s="430"/>
      <c r="H148" s="430"/>
      <c r="I148" s="450"/>
      <c r="J148" s="451">
        <v>0.160190417077723</v>
      </c>
      <c r="K148" s="451">
        <v>0.137706728208826</v>
      </c>
      <c r="L148" s="451">
        <v>0.119922204904071</v>
      </c>
      <c r="M148" s="452"/>
      <c r="N148" s="451"/>
      <c r="O148" s="430"/>
      <c r="P148" s="531" t="str">
        <f t="array" ref="P148">INDEX(正厂竞争者数据汇总!I:I,MATCH($A$145&amp;B148,正厂竞争者数据汇总!A:A&amp;正厂竞争者数据汇总!D:D,0))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48" s="429"/>
      <c r="R148" s="421"/>
      <c r="S148" s="472">
        <v>248</v>
      </c>
      <c r="T148" s="472">
        <v>26</v>
      </c>
      <c r="U148" s="466"/>
      <c r="V148" s="466"/>
      <c r="W148" s="466"/>
      <c r="X148" s="466"/>
      <c r="Y148" s="200" t="s">
        <v>327</v>
      </c>
      <c r="Z148" s="200">
        <v>248</v>
      </c>
      <c r="AA148" s="200">
        <v>26</v>
      </c>
      <c r="AB148" s="410">
        <f t="shared" si="8"/>
        <v>1</v>
      </c>
      <c r="AC148" s="409">
        <f t="shared" si="6"/>
        <v>248</v>
      </c>
      <c r="AD148" s="409">
        <f t="shared" si="7"/>
        <v>26</v>
      </c>
    </row>
    <row r="149" s="408" customFormat="1" spans="1:30">
      <c r="A149" s="428" t="s">
        <v>325</v>
      </c>
      <c r="B149" s="421" t="s">
        <v>326</v>
      </c>
      <c r="C149" s="429" t="str">
        <f>VLOOKUP(B149,正厂竞争者数据汇总!D:H,2,FALSE)</f>
        <v>原厂目录</v>
      </c>
      <c r="D149" s="421" t="str">
        <f>VLOOKUP(B149,正厂竞争者数据汇总!D:H,3,FALSE)</f>
        <v>IL</v>
      </c>
      <c r="E149" s="430"/>
      <c r="F149" s="430">
        <v>26105.7004</v>
      </c>
      <c r="G149" s="430"/>
      <c r="H149" s="430"/>
      <c r="I149" s="450"/>
      <c r="J149" s="451">
        <v>0.133874163789112</v>
      </c>
      <c r="K149" s="451">
        <v>0.0840880368646202</v>
      </c>
      <c r="L149" s="451">
        <v>0.0705872213347891</v>
      </c>
      <c r="M149" s="452"/>
      <c r="N149" s="451"/>
      <c r="O149" s="430"/>
      <c r="P149" s="531">
        <f t="array" ref="P149">INDEX(正厂竞争者数据汇总!I:I,MATCH($A$145&amp;B149,正厂竞争者数据汇总!A:A&amp;正厂竞争者数据汇总!D:D,0))</f>
        <v>0</v>
      </c>
      <c r="Q149" s="429"/>
      <c r="R149" s="421"/>
      <c r="S149" s="472">
        <v>624</v>
      </c>
      <c r="T149" s="472">
        <v>78</v>
      </c>
      <c r="U149" s="466"/>
      <c r="V149" s="466"/>
      <c r="W149" s="466"/>
      <c r="X149" s="466"/>
      <c r="Y149" s="200" t="s">
        <v>326</v>
      </c>
      <c r="Z149" s="200">
        <v>624</v>
      </c>
      <c r="AA149" s="200">
        <v>78</v>
      </c>
      <c r="AB149" s="410">
        <f t="shared" si="8"/>
        <v>1</v>
      </c>
      <c r="AC149" s="409">
        <f t="shared" si="6"/>
        <v>624</v>
      </c>
      <c r="AD149" s="409">
        <f t="shared" si="7"/>
        <v>78</v>
      </c>
    </row>
    <row r="150" s="408" customFormat="1" spans="1:30">
      <c r="A150" s="428" t="s">
        <v>230</v>
      </c>
      <c r="B150" s="421" t="s">
        <v>328</v>
      </c>
      <c r="C150" s="429" t="str">
        <f>VLOOKUP(B150,正厂竞争者数据汇总!D:H,2,FALSE)</f>
        <v>Motor目录</v>
      </c>
      <c r="D150" s="421" t="str">
        <f>VLOOKUP(B150,正厂竞争者数据汇总!D:H,3,FALSE)</f>
        <v>AZ</v>
      </c>
      <c r="E150" s="430"/>
      <c r="F150" s="430">
        <v>15375.2066666667</v>
      </c>
      <c r="G150" s="430"/>
      <c r="H150" s="430"/>
      <c r="I150" s="450"/>
      <c r="J150" s="451">
        <v>0.0788464934495606</v>
      </c>
      <c r="K150" s="451">
        <v>0.111769458757066</v>
      </c>
      <c r="L150" s="451">
        <v>0.12699483736484</v>
      </c>
      <c r="M150" s="452"/>
      <c r="N150" s="451"/>
      <c r="O150" s="430"/>
      <c r="P150" s="531" t="str">
        <f t="array" ref="P150">INDEX(正厂竞争者数据汇总!I:I,MATCH($A$145&amp;B150,正厂竞争者数据汇总!A:A&amp;正厂竞争者数据汇总!D:D,0))</f>
        <v>2022年1月 新加入 MarketingShare</v>
      </c>
      <c r="Q150" s="429"/>
      <c r="R150" s="421"/>
      <c r="S150" s="472">
        <v>327</v>
      </c>
      <c r="T150" s="472">
        <v>78</v>
      </c>
      <c r="U150" s="466"/>
      <c r="V150" s="466"/>
      <c r="W150" s="466"/>
      <c r="X150" s="466"/>
      <c r="Y150" s="200" t="s">
        <v>328</v>
      </c>
      <c r="Z150" s="200">
        <v>327</v>
      </c>
      <c r="AA150" s="200">
        <v>78</v>
      </c>
      <c r="AB150" s="410">
        <f t="shared" si="8"/>
        <v>1</v>
      </c>
      <c r="AC150" s="409">
        <f t="shared" si="6"/>
        <v>327</v>
      </c>
      <c r="AD150" s="409">
        <f t="shared" si="7"/>
        <v>78</v>
      </c>
    </row>
    <row r="151" s="408" customFormat="1" spans="1:30">
      <c r="A151" s="428" t="s">
        <v>230</v>
      </c>
      <c r="B151" s="421" t="s">
        <v>329</v>
      </c>
      <c r="C151" s="429" t="str">
        <f>VLOOKUP(B151,正厂竞争者数据汇总!D:H,2,FALSE)</f>
        <v>Motor目录</v>
      </c>
      <c r="D151" s="421" t="str">
        <f>VLOOKUP(B151,正厂竞争者数据汇总!D:H,3,FALSE)</f>
        <v>AZ</v>
      </c>
      <c r="E151" s="430"/>
      <c r="F151" s="430">
        <v>9048.49396666667</v>
      </c>
      <c r="G151" s="430"/>
      <c r="H151" s="430"/>
      <c r="I151" s="450"/>
      <c r="J151" s="451">
        <v>0.0464021093009376</v>
      </c>
      <c r="K151" s="451">
        <v>0.0395314742848084</v>
      </c>
      <c r="L151" s="451">
        <v>0.0605394890083925</v>
      </c>
      <c r="M151" s="452"/>
      <c r="N151" s="451"/>
      <c r="O151" s="430"/>
      <c r="P151" s="531">
        <f t="array" ref="P151">INDEX(正厂竞争者数据汇总!I:I,MATCH($A$145&amp;B151,正厂竞争者数据汇总!A:A&amp;正厂竞争者数据汇总!D:D,0))</f>
        <v>0</v>
      </c>
      <c r="Q151" s="429"/>
      <c r="R151" s="421"/>
      <c r="S151" s="472">
        <v>807</v>
      </c>
      <c r="T151" s="472">
        <v>152</v>
      </c>
      <c r="U151" s="466"/>
      <c r="V151" s="466"/>
      <c r="W151" s="466"/>
      <c r="X151" s="466"/>
      <c r="Y151" s="200" t="s">
        <v>329</v>
      </c>
      <c r="Z151" s="200">
        <v>807</v>
      </c>
      <c r="AA151" s="200">
        <v>152</v>
      </c>
      <c r="AB151" s="410">
        <f t="shared" si="8"/>
        <v>1</v>
      </c>
      <c r="AC151" s="409">
        <f t="shared" si="6"/>
        <v>807</v>
      </c>
      <c r="AD151" s="409">
        <f t="shared" si="7"/>
        <v>152</v>
      </c>
    </row>
    <row r="152" s="408" customFormat="1" spans="1:30">
      <c r="A152" s="428" t="s">
        <v>230</v>
      </c>
      <c r="B152" s="421" t="s">
        <v>394</v>
      </c>
      <c r="C152" s="429" t="str">
        <f>VLOOKUP(B152,正厂竞争者数据汇总!D:H,2,FALSE)</f>
        <v>Motor目录</v>
      </c>
      <c r="D152" s="421" t="str">
        <f>VLOOKUP(B152,正厂竞争者数据汇总!D:H,3,FALSE)</f>
        <v>GA</v>
      </c>
      <c r="E152" s="430"/>
      <c r="F152" s="430">
        <v>3576.54686666667</v>
      </c>
      <c r="G152" s="430"/>
      <c r="H152" s="430"/>
      <c r="I152" s="450"/>
      <c r="J152" s="451">
        <v>0.0183410984455935</v>
      </c>
      <c r="K152" s="451">
        <v>0.0261118248092224</v>
      </c>
      <c r="L152" s="451">
        <v>0.0253309244588451</v>
      </c>
      <c r="M152" s="452"/>
      <c r="N152" s="451"/>
      <c r="O152" s="430"/>
      <c r="P152" s="531" t="str">
        <f t="array" ref="P152">INDEX(正厂竞争者数据汇总!I:I,MATCH($A$145&amp;B152,正厂竞争者数据汇总!A:A&amp;正厂竞争者数据汇总!D:D,0))</f>
        <v>2023/6，因流量上涨加入MS计算基准</v>
      </c>
      <c r="Q152" s="429"/>
      <c r="R152" s="421"/>
      <c r="S152" s="472">
        <v>2018</v>
      </c>
      <c r="T152" s="472">
        <v>83</v>
      </c>
      <c r="U152" s="466"/>
      <c r="V152" s="466"/>
      <c r="W152" s="466"/>
      <c r="X152" s="466"/>
      <c r="Y152" s="200" t="s">
        <v>394</v>
      </c>
      <c r="Z152" s="200">
        <v>2018</v>
      </c>
      <c r="AA152" s="200">
        <v>83</v>
      </c>
      <c r="AB152" s="410">
        <f t="shared" si="8"/>
        <v>1</v>
      </c>
      <c r="AC152" s="409">
        <f t="shared" si="6"/>
        <v>2018</v>
      </c>
      <c r="AD152" s="409">
        <f t="shared" si="7"/>
        <v>83</v>
      </c>
    </row>
    <row r="153" s="408" customFormat="1" spans="1:30">
      <c r="A153" s="428"/>
      <c r="B153" s="431"/>
      <c r="C153" s="429"/>
      <c r="D153" s="421"/>
      <c r="E153" s="430"/>
      <c r="F153" s="430"/>
      <c r="G153" s="430">
        <v>161698.333333333</v>
      </c>
      <c r="H153" s="430"/>
      <c r="I153" s="453"/>
      <c r="J153" s="451"/>
      <c r="K153" s="451"/>
      <c r="L153" s="451"/>
      <c r="M153" s="451"/>
      <c r="N153" s="451"/>
      <c r="O153" s="430"/>
      <c r="P153" s="531"/>
      <c r="Q153" s="429"/>
      <c r="R153" s="421"/>
      <c r="S153" s="473" t="s">
        <v>180</v>
      </c>
      <c r="T153" s="473" t="s">
        <v>180</v>
      </c>
      <c r="U153" s="466"/>
      <c r="V153" s="466"/>
      <c r="W153" s="421"/>
      <c r="X153" s="421"/>
      <c r="Y153" s="200" t="s">
        <v>240</v>
      </c>
      <c r="Z153" s="200" t="s">
        <v>180</v>
      </c>
      <c r="AA153" s="200" t="s">
        <v>180</v>
      </c>
      <c r="AB153" s="410">
        <f t="shared" si="8"/>
        <v>0</v>
      </c>
      <c r="AC153" s="409" t="str">
        <f t="shared" si="6"/>
        <v/>
      </c>
      <c r="AD153" s="409" t="str">
        <f t="shared" si="7"/>
        <v/>
      </c>
    </row>
    <row r="154" s="408" customFormat="1" spans="1:30">
      <c r="A154" s="428"/>
      <c r="B154" s="421"/>
      <c r="C154" s="439"/>
      <c r="D154" s="421"/>
      <c r="E154" s="430"/>
      <c r="F154" s="430">
        <v>195001.781233334</v>
      </c>
      <c r="G154" s="430"/>
      <c r="H154" s="430">
        <v>167907.166666667</v>
      </c>
      <c r="I154" s="453" t="e">
        <f>(F154/G154)-1</f>
        <v>#DIV/0!</v>
      </c>
      <c r="J154" s="430"/>
      <c r="K154" s="430"/>
      <c r="L154" s="430"/>
      <c r="M154" s="451"/>
      <c r="N154" s="451">
        <f>SUM(N147:N148)</f>
        <v>0</v>
      </c>
      <c r="O154" s="430"/>
      <c r="P154" s="531"/>
      <c r="Q154" s="493"/>
      <c r="R154" s="421"/>
      <c r="S154" s="473" t="s">
        <v>180</v>
      </c>
      <c r="T154" s="473" t="s">
        <v>180</v>
      </c>
      <c r="U154" s="466"/>
      <c r="V154" s="466"/>
      <c r="W154" s="421"/>
      <c r="X154" s="421"/>
      <c r="Y154" s="200" t="s">
        <v>240</v>
      </c>
      <c r="Z154" s="200" t="s">
        <v>180</v>
      </c>
      <c r="AA154" s="200" t="s">
        <v>180</v>
      </c>
      <c r="AB154" s="410">
        <f t="shared" si="8"/>
        <v>0</v>
      </c>
      <c r="AC154" s="409" t="str">
        <f t="shared" si="6"/>
        <v/>
      </c>
      <c r="AD154" s="409" t="str">
        <f t="shared" si="7"/>
        <v/>
      </c>
    </row>
    <row r="155" s="408" customFormat="1" spans="1:30">
      <c r="A155" s="428"/>
      <c r="B155" s="421"/>
      <c r="C155" s="439"/>
      <c r="D155" s="421"/>
      <c r="E155" s="430"/>
      <c r="F155" s="430"/>
      <c r="G155" s="430"/>
      <c r="H155" s="430"/>
      <c r="I155" s="453"/>
      <c r="J155" s="430"/>
      <c r="K155" s="430"/>
      <c r="L155" s="430"/>
      <c r="M155" s="451"/>
      <c r="N155" s="451"/>
      <c r="O155" s="430"/>
      <c r="P155" s="531"/>
      <c r="Q155" s="493"/>
      <c r="R155" s="421"/>
      <c r="S155" s="473" t="s">
        <v>180</v>
      </c>
      <c r="T155" s="473" t="s">
        <v>180</v>
      </c>
      <c r="U155" s="466"/>
      <c r="V155" s="466"/>
      <c r="W155" s="421"/>
      <c r="X155" s="421"/>
      <c r="Y155" s="200" t="s">
        <v>240</v>
      </c>
      <c r="Z155" s="200" t="s">
        <v>180</v>
      </c>
      <c r="AA155" s="200" t="s">
        <v>180</v>
      </c>
      <c r="AB155" s="410">
        <f t="shared" si="8"/>
        <v>0</v>
      </c>
      <c r="AC155" s="409" t="str">
        <f t="shared" si="6"/>
        <v/>
      </c>
      <c r="AD155" s="409" t="str">
        <f t="shared" si="7"/>
        <v/>
      </c>
    </row>
    <row r="156" s="408" customFormat="1" ht="17.4" spans="1:30">
      <c r="A156" s="418" t="s">
        <v>185</v>
      </c>
      <c r="B156" s="419"/>
      <c r="C156" s="420"/>
      <c r="D156" s="421"/>
      <c r="E156" s="422" t="s">
        <v>202</v>
      </c>
      <c r="F156" s="422"/>
      <c r="G156" s="422" t="s">
        <v>212</v>
      </c>
      <c r="H156" s="422"/>
      <c r="I156" s="422"/>
      <c r="J156" s="422"/>
      <c r="K156" s="422"/>
      <c r="L156" s="422"/>
      <c r="M156" s="443"/>
      <c r="N156" s="444"/>
      <c r="O156" s="422"/>
      <c r="P156" s="531"/>
      <c r="Q156" s="465"/>
      <c r="R156" s="424"/>
      <c r="S156" s="473" t="s">
        <v>180</v>
      </c>
      <c r="T156" s="473" t="s">
        <v>180</v>
      </c>
      <c r="U156" s="467"/>
      <c r="V156" s="467"/>
      <c r="W156" s="467"/>
      <c r="X156" s="467"/>
      <c r="Y156" s="200" t="s">
        <v>240</v>
      </c>
      <c r="Z156" s="200" t="s">
        <v>180</v>
      </c>
      <c r="AA156" s="200" t="s">
        <v>180</v>
      </c>
      <c r="AB156" s="410">
        <f t="shared" si="8"/>
        <v>0</v>
      </c>
      <c r="AC156" s="409" t="str">
        <f t="shared" si="6"/>
        <v/>
      </c>
      <c r="AD156" s="409" t="str">
        <f t="shared" si="7"/>
        <v/>
      </c>
    </row>
    <row r="157" s="409" customFormat="1" ht="48.6" spans="1:30">
      <c r="A157" s="423" t="s">
        <v>206</v>
      </c>
      <c r="B157" s="424" t="s">
        <v>207</v>
      </c>
      <c r="C157" s="425" t="s">
        <v>208</v>
      </c>
      <c r="D157" s="424" t="s">
        <v>209</v>
      </c>
      <c r="E157" s="426" t="s">
        <v>210</v>
      </c>
      <c r="F157" s="427" t="s">
        <v>396</v>
      </c>
      <c r="G157" s="427">
        <v>116448.583333333</v>
      </c>
      <c r="H157" s="427" t="s">
        <v>397</v>
      </c>
      <c r="I157" s="427" t="s">
        <v>214</v>
      </c>
      <c r="J157" s="446" t="s">
        <v>387</v>
      </c>
      <c r="K157" s="446" t="s">
        <v>398</v>
      </c>
      <c r="L157" s="446" t="s">
        <v>399</v>
      </c>
      <c r="M157" s="447" t="s">
        <v>218</v>
      </c>
      <c r="N157" s="448" t="s">
        <v>219</v>
      </c>
      <c r="O157" s="449" t="s">
        <v>220</v>
      </c>
      <c r="P157" s="530" t="s">
        <v>221</v>
      </c>
      <c r="Q157" s="469" t="s">
        <v>222</v>
      </c>
      <c r="R157" s="426" t="s">
        <v>223</v>
      </c>
      <c r="S157" s="470" t="s">
        <v>224</v>
      </c>
      <c r="T157" s="470" t="s">
        <v>205</v>
      </c>
      <c r="U157" s="467" t="s">
        <v>225</v>
      </c>
      <c r="V157" s="470" t="s">
        <v>226</v>
      </c>
      <c r="W157" s="467"/>
      <c r="X157" s="467"/>
      <c r="Y157" s="200" t="s">
        <v>207</v>
      </c>
      <c r="Z157" s="200" t="s">
        <v>180</v>
      </c>
      <c r="AA157" s="200" t="s">
        <v>180</v>
      </c>
      <c r="AB157" s="410">
        <f t="shared" si="8"/>
        <v>1</v>
      </c>
      <c r="AC157" s="409" t="str">
        <f t="shared" si="6"/>
        <v>Forum Link</v>
      </c>
      <c r="AD157" s="409" t="str">
        <f t="shared" si="7"/>
        <v>Domains</v>
      </c>
    </row>
    <row r="158" s="408" customFormat="1" spans="1:30">
      <c r="A158" s="428" t="s">
        <v>230</v>
      </c>
      <c r="B158" s="438" t="s">
        <v>330</v>
      </c>
      <c r="C158" s="429" t="str">
        <f>VLOOKUP(B158,正厂竞争者数据汇总!D:H,2,FALSE)</f>
        <v>Motor目录</v>
      </c>
      <c r="D158" s="421" t="str">
        <f>VLOOKUP(B158,正厂竞争者数据汇总!D:H,3,FALSE)</f>
        <v>NM</v>
      </c>
      <c r="E158" s="430"/>
      <c r="F158" s="430">
        <v>94962.6979666667</v>
      </c>
      <c r="G158" s="430"/>
      <c r="H158" s="430"/>
      <c r="I158" s="453"/>
      <c r="J158" s="451">
        <v>0.192337544606226</v>
      </c>
      <c r="K158" s="451">
        <v>0.21392234695695</v>
      </c>
      <c r="L158" s="451">
        <v>0.252053643451624</v>
      </c>
      <c r="M158" s="451"/>
      <c r="N158" s="459"/>
      <c r="O158" s="430"/>
      <c r="P158" s="531">
        <f>VLOOKUP(B158,正厂竞争者数据汇总!D:M,6,FALSE)</f>
        <v>0</v>
      </c>
      <c r="Q158" s="429"/>
      <c r="R158" s="421"/>
      <c r="S158" s="473">
        <v>4008</v>
      </c>
      <c r="T158" s="473">
        <v>431</v>
      </c>
      <c r="U158" s="466"/>
      <c r="V158" s="466"/>
      <c r="W158" s="421"/>
      <c r="X158" s="421"/>
      <c r="Y158" s="200" t="s">
        <v>330</v>
      </c>
      <c r="Z158" s="200">
        <v>4008</v>
      </c>
      <c r="AA158" s="200">
        <v>431</v>
      </c>
      <c r="AB158" s="410">
        <f t="shared" si="8"/>
        <v>1</v>
      </c>
      <c r="AC158" s="409">
        <f t="shared" si="6"/>
        <v>4008</v>
      </c>
      <c r="AD158" s="409">
        <f t="shared" si="7"/>
        <v>431</v>
      </c>
    </row>
    <row r="159" s="408" customFormat="1" spans="1:30">
      <c r="A159" s="428" t="s">
        <v>243</v>
      </c>
      <c r="B159" s="438" t="s">
        <v>331</v>
      </c>
      <c r="C159" s="429" t="str">
        <f>VLOOKUP(B159,正厂竞争者数据汇总!D:H,2,FALSE)</f>
        <v>旧年份原厂、新年份Motor</v>
      </c>
      <c r="D159" s="421" t="str">
        <f>VLOOKUP(B159,正厂竞争者数据汇总!D:H,3,FALSE)</f>
        <v>GA</v>
      </c>
      <c r="E159" s="430" t="str">
        <f>VLOOKUP(B157,正厂竞争者数据汇总!D:H,4,FALSE)</f>
        <v>Alexa Traffic Rank</v>
      </c>
      <c r="F159" s="430">
        <v>86450.07</v>
      </c>
      <c r="G159" s="430">
        <v>148204.583333333</v>
      </c>
      <c r="H159" s="430">
        <v>93790.0833333333</v>
      </c>
      <c r="I159" s="453">
        <f>(F159/G159)-1</f>
        <v>-0.416684234349476</v>
      </c>
      <c r="J159" s="451">
        <v>0.175096059303969</v>
      </c>
      <c r="K159" s="451">
        <v>0.156360049039646</v>
      </c>
      <c r="L159" s="451">
        <v>0.177108243016465</v>
      </c>
      <c r="M159" s="451" t="e">
        <f>J159-#REF!</f>
        <v>#REF!</v>
      </c>
      <c r="N159" s="459"/>
      <c r="O159" s="430"/>
      <c r="P159" s="531">
        <f>VLOOKUP(B159,正厂竞争者数据汇总!D:M,6,FALSE)</f>
        <v>0</v>
      </c>
      <c r="Q159" s="429" t="s">
        <v>180</v>
      </c>
      <c r="R159" s="421" t="s">
        <v>180</v>
      </c>
      <c r="S159" s="473">
        <v>8715</v>
      </c>
      <c r="T159" s="473">
        <v>1502</v>
      </c>
      <c r="U159" s="466"/>
      <c r="V159" s="466"/>
      <c r="W159" s="421"/>
      <c r="X159" s="421"/>
      <c r="Y159" s="200" t="s">
        <v>331</v>
      </c>
      <c r="Z159" s="200">
        <v>8715</v>
      </c>
      <c r="AA159" s="200">
        <v>1502</v>
      </c>
      <c r="AB159" s="410">
        <f t="shared" si="8"/>
        <v>1</v>
      </c>
      <c r="AC159" s="409">
        <f t="shared" si="6"/>
        <v>8715</v>
      </c>
      <c r="AD159" s="409">
        <f t="shared" si="7"/>
        <v>1502</v>
      </c>
    </row>
    <row r="160" s="408" customFormat="1" spans="1:30">
      <c r="A160" s="428" t="s">
        <v>230</v>
      </c>
      <c r="B160" s="438" t="s">
        <v>334</v>
      </c>
      <c r="C160" s="429" t="str">
        <f>VLOOKUP(B160,正厂竞争者数据汇总!D:H,2,FALSE)</f>
        <v>Motor目录</v>
      </c>
      <c r="D160" s="421" t="str">
        <f>VLOOKUP(B160,正厂竞争者数据汇总!D:H,3,FALSE)</f>
        <v>WA</v>
      </c>
      <c r="E160" s="430"/>
      <c r="F160" s="430">
        <v>66333.7652</v>
      </c>
      <c r="G160" s="430"/>
      <c r="H160" s="430"/>
      <c r="I160" s="453"/>
      <c r="J160" s="451">
        <v>0.134352475195391</v>
      </c>
      <c r="K160" s="451">
        <v>0.0879526690075889</v>
      </c>
      <c r="L160" s="451">
        <v>0.102883166854073</v>
      </c>
      <c r="M160" s="451"/>
      <c r="N160" s="459"/>
      <c r="O160" s="430"/>
      <c r="P160" s="531">
        <f>VLOOKUP(B160,正厂竞争者数据汇总!D:M,6,FALSE)</f>
        <v>0</v>
      </c>
      <c r="Q160" s="429"/>
      <c r="R160" s="421"/>
      <c r="S160" s="473">
        <v>4038</v>
      </c>
      <c r="T160" s="473">
        <v>370</v>
      </c>
      <c r="U160" s="466"/>
      <c r="V160" s="466"/>
      <c r="W160" s="421"/>
      <c r="X160" s="421"/>
      <c r="Y160" s="200" t="s">
        <v>334</v>
      </c>
      <c r="Z160" s="200">
        <v>4038</v>
      </c>
      <c r="AA160" s="200">
        <v>370</v>
      </c>
      <c r="AB160" s="410">
        <f t="shared" si="8"/>
        <v>1</v>
      </c>
      <c r="AC160" s="409">
        <f t="shared" si="6"/>
        <v>4038</v>
      </c>
      <c r="AD160" s="409">
        <f t="shared" si="7"/>
        <v>370</v>
      </c>
    </row>
    <row r="161" s="408" customFormat="1" spans="1:30">
      <c r="A161" s="428" t="s">
        <v>332</v>
      </c>
      <c r="B161" s="438" t="s">
        <v>333</v>
      </c>
      <c r="C161" s="429" t="str">
        <f>VLOOKUP(B161,正厂竞争者数据汇总!D:H,2,FALSE)</f>
        <v>Motor目录</v>
      </c>
      <c r="D161" s="421" t="str">
        <f>VLOOKUP(B161,正厂竞争者数据汇总!D:H,3,FALSE)</f>
        <v>TX</v>
      </c>
      <c r="E161" s="430"/>
      <c r="F161" s="430">
        <v>57237.125</v>
      </c>
      <c r="G161" s="430"/>
      <c r="H161" s="430"/>
      <c r="I161" s="453"/>
      <c r="J161" s="451">
        <v>0.11592813092446</v>
      </c>
      <c r="K161" s="451">
        <v>0.146686279161802</v>
      </c>
      <c r="L161" s="451">
        <v>0.144545245741146</v>
      </c>
      <c r="M161" s="451"/>
      <c r="N161" s="459"/>
      <c r="O161" s="430"/>
      <c r="P161" s="531" t="str">
        <f>VLOOKUP(B161,正厂竞争者数据汇总!D:M,6,FALSE)</f>
        <v>2023年9月新增，用区号确定的地址</v>
      </c>
      <c r="Q161" s="429"/>
      <c r="R161" s="421"/>
      <c r="S161" s="473">
        <v>3846</v>
      </c>
      <c r="T161" s="473">
        <v>373</v>
      </c>
      <c r="U161" s="466"/>
      <c r="V161" s="466"/>
      <c r="W161" s="421"/>
      <c r="X161" s="421"/>
      <c r="Y161" s="200" t="s">
        <v>333</v>
      </c>
      <c r="Z161" s="200">
        <v>3846</v>
      </c>
      <c r="AA161" s="200">
        <v>373</v>
      </c>
      <c r="AB161" s="410">
        <f t="shared" si="8"/>
        <v>1</v>
      </c>
      <c r="AC161" s="409">
        <f t="shared" si="6"/>
        <v>3846</v>
      </c>
      <c r="AD161" s="409">
        <f t="shared" si="7"/>
        <v>373</v>
      </c>
    </row>
    <row r="162" s="408" customFormat="1" spans="1:30">
      <c r="A162" s="428" t="s">
        <v>230</v>
      </c>
      <c r="B162" s="438" t="s">
        <v>336</v>
      </c>
      <c r="C162" s="429" t="str">
        <f>VLOOKUP(B162,正厂竞争者数据汇总!D:H,2,FALSE)</f>
        <v>Motor目录</v>
      </c>
      <c r="D162" s="421" t="str">
        <f>VLOOKUP(B162,正厂竞争者数据汇总!D:H,3,FALSE)</f>
        <v>IL</v>
      </c>
      <c r="E162" s="430"/>
      <c r="F162" s="430">
        <v>53883.1294666667</v>
      </c>
      <c r="G162" s="430"/>
      <c r="H162" s="430"/>
      <c r="I162" s="453"/>
      <c r="J162" s="451">
        <v>0.109134944975509</v>
      </c>
      <c r="K162" s="451">
        <v>0.151484057922686</v>
      </c>
      <c r="L162" s="451">
        <v>0.162412752822532</v>
      </c>
      <c r="M162" s="451"/>
      <c r="N162" s="459"/>
      <c r="O162" s="430"/>
      <c r="P162" s="531" t="str">
        <f>VLOOKUP(B162,正厂竞争者数据汇总!D:M,6,FALSE)</f>
        <v>2023年9月新增</v>
      </c>
      <c r="Q162" s="429"/>
      <c r="R162" s="421"/>
      <c r="S162" s="473">
        <v>2320</v>
      </c>
      <c r="T162" s="473">
        <v>356</v>
      </c>
      <c r="U162" s="466"/>
      <c r="V162" s="466"/>
      <c r="W162" s="421"/>
      <c r="X162" s="421"/>
      <c r="Y162" s="200" t="s">
        <v>336</v>
      </c>
      <c r="Z162" s="200">
        <v>2320</v>
      </c>
      <c r="AA162" s="200">
        <v>356</v>
      </c>
      <c r="AB162" s="410">
        <f t="shared" si="8"/>
        <v>1</v>
      </c>
      <c r="AC162" s="409">
        <f t="shared" si="6"/>
        <v>2320</v>
      </c>
      <c r="AD162" s="409">
        <f t="shared" si="7"/>
        <v>356</v>
      </c>
    </row>
    <row r="163" s="408" customFormat="1" spans="1:30">
      <c r="A163" s="428" t="s">
        <v>230</v>
      </c>
      <c r="B163" s="438" t="s">
        <v>335</v>
      </c>
      <c r="C163" s="429" t="str">
        <f>VLOOKUP(B163,正厂竞争者数据汇总!D:H,2,FALSE)</f>
        <v>Motor目录</v>
      </c>
      <c r="D163" s="421" t="str">
        <f>VLOOKUP(B163,正厂竞争者数据汇总!D:H,3,FALSE)</f>
        <v>NH</v>
      </c>
      <c r="E163" s="430"/>
      <c r="F163" s="430">
        <v>50848.2566666667</v>
      </c>
      <c r="G163" s="430"/>
      <c r="H163" s="430"/>
      <c r="I163" s="453"/>
      <c r="J163" s="451">
        <v>0.102988110533746</v>
      </c>
      <c r="K163" s="451">
        <v>0.0822310533618036</v>
      </c>
      <c r="L163" s="451">
        <v>0.0922926079840112</v>
      </c>
      <c r="M163" s="451"/>
      <c r="N163" s="459"/>
      <c r="O163" s="430"/>
      <c r="P163" s="531" t="str">
        <f>VLOOKUP(B163,正厂竞争者数据汇总!D:M,6,FALSE)</f>
        <v>2023年9月新增</v>
      </c>
      <c r="Q163" s="429"/>
      <c r="R163" s="421"/>
      <c r="S163" s="473">
        <v>424</v>
      </c>
      <c r="T163" s="473">
        <v>119</v>
      </c>
      <c r="U163" s="466"/>
      <c r="V163" s="466"/>
      <c r="W163" s="421"/>
      <c r="X163" s="421"/>
      <c r="Y163" s="200" t="s">
        <v>335</v>
      </c>
      <c r="Z163" s="200">
        <v>424</v>
      </c>
      <c r="AA163" s="200">
        <v>119</v>
      </c>
      <c r="AB163" s="410">
        <f t="shared" si="8"/>
        <v>1</v>
      </c>
      <c r="AC163" s="409">
        <f t="shared" si="6"/>
        <v>424</v>
      </c>
      <c r="AD163" s="409">
        <f t="shared" si="7"/>
        <v>119</v>
      </c>
    </row>
    <row r="164" s="408" customFormat="1" spans="1:30">
      <c r="A164" s="428" t="s">
        <v>243</v>
      </c>
      <c r="B164" s="438" t="s">
        <v>339</v>
      </c>
      <c r="C164" s="429" t="str">
        <f>VLOOKUP(B164,正厂竞争者数据汇总!D:H,2,FALSE)</f>
        <v>Motor目录</v>
      </c>
      <c r="D164" s="421" t="str">
        <f>VLOOKUP(B164,正厂竞争者数据汇总!D:H,3,FALSE)</f>
        <v>TX</v>
      </c>
      <c r="E164" s="430"/>
      <c r="F164" s="430">
        <v>37139.3</v>
      </c>
      <c r="G164" s="430"/>
      <c r="H164" s="430"/>
      <c r="I164" s="453"/>
      <c r="J164" s="451">
        <v>0.0752219758215107</v>
      </c>
      <c r="K164" s="451">
        <v>0.0535395399606092</v>
      </c>
      <c r="L164" s="451"/>
      <c r="M164" s="451"/>
      <c r="N164" s="459"/>
      <c r="O164" s="430"/>
      <c r="P164" s="531"/>
      <c r="Q164" s="429"/>
      <c r="R164" s="421"/>
      <c r="S164" s="473">
        <v>11114</v>
      </c>
      <c r="T164" s="473">
        <v>107</v>
      </c>
      <c r="U164" s="466"/>
      <c r="V164" s="466"/>
      <c r="W164" s="421"/>
      <c r="X164" s="421"/>
      <c r="Y164" s="200" t="s">
        <v>339</v>
      </c>
      <c r="Z164" s="200">
        <v>11114</v>
      </c>
      <c r="AA164" s="200">
        <v>107</v>
      </c>
      <c r="AB164" s="410">
        <f t="shared" si="8"/>
        <v>1</v>
      </c>
      <c r="AC164" s="409">
        <f t="shared" si="6"/>
        <v>11114</v>
      </c>
      <c r="AD164" s="409">
        <f t="shared" si="7"/>
        <v>107</v>
      </c>
    </row>
    <row r="165" s="408" customFormat="1" spans="1:30">
      <c r="A165" s="428" t="s">
        <v>243</v>
      </c>
      <c r="B165" s="438" t="s">
        <v>340</v>
      </c>
      <c r="C165" s="429" t="str">
        <f>VLOOKUP(B165,正厂竞争者数据汇总!D:H,2,FALSE)</f>
        <v>Motor目录</v>
      </c>
      <c r="D165" s="421" t="str">
        <f>VLOOKUP(B165,正厂竞争者数据汇总!D:H,3,FALSE)</f>
        <v>NC</v>
      </c>
      <c r="E165" s="430"/>
      <c r="F165" s="430">
        <v>24465.8054666667</v>
      </c>
      <c r="G165" s="430"/>
      <c r="H165" s="430"/>
      <c r="I165" s="453"/>
      <c r="J165" s="451">
        <v>0.0495530671624771</v>
      </c>
      <c r="K165" s="451">
        <v>0.0515530924098128</v>
      </c>
      <c r="L165" s="451"/>
      <c r="M165" s="451"/>
      <c r="N165" s="459"/>
      <c r="O165" s="430"/>
      <c r="P165" s="531"/>
      <c r="Q165" s="429"/>
      <c r="R165" s="421"/>
      <c r="S165" s="473">
        <v>7335</v>
      </c>
      <c r="T165" s="473">
        <v>427</v>
      </c>
      <c r="U165" s="466"/>
      <c r="V165" s="466"/>
      <c r="W165" s="421"/>
      <c r="X165" s="421"/>
      <c r="Y165" s="200" t="s">
        <v>340</v>
      </c>
      <c r="Z165" s="200">
        <v>7335</v>
      </c>
      <c r="AA165" s="200">
        <v>427</v>
      </c>
      <c r="AB165" s="410">
        <f t="shared" si="8"/>
        <v>1</v>
      </c>
      <c r="AC165" s="409">
        <f t="shared" si="6"/>
        <v>7335</v>
      </c>
      <c r="AD165" s="409">
        <f t="shared" si="7"/>
        <v>427</v>
      </c>
    </row>
    <row r="166" s="408" customFormat="1" spans="1:30">
      <c r="A166" s="428" t="s">
        <v>230</v>
      </c>
      <c r="B166" s="438" t="s">
        <v>337</v>
      </c>
      <c r="C166" s="429" t="str">
        <f>VLOOKUP(B166,正厂竞争者数据汇总!D:H,2,FALSE)</f>
        <v>Acc目录</v>
      </c>
      <c r="D166" s="421" t="str">
        <f>VLOOKUP(B166,正厂竞争者数据汇总!D:H,3,FALSE)</f>
        <v>AL</v>
      </c>
      <c r="E166" s="430"/>
      <c r="F166" s="430">
        <v>22409.2370833333</v>
      </c>
      <c r="G166" s="430"/>
      <c r="H166" s="430"/>
      <c r="I166" s="453"/>
      <c r="J166" s="451">
        <v>0.0453876914767106</v>
      </c>
      <c r="K166" s="451">
        <v>0.0562709121791011</v>
      </c>
      <c r="L166" s="451">
        <v>0.0687043401301493</v>
      </c>
      <c r="M166" s="451"/>
      <c r="N166" s="459"/>
      <c r="O166" s="430"/>
      <c r="P166" s="531" t="str">
        <f>VLOOKUP(B166,正厂竞争者数据汇总!D:M,6,FALSE)</f>
        <v>主营Acc</v>
      </c>
      <c r="Q166" s="429"/>
      <c r="R166" s="421"/>
      <c r="S166" s="473">
        <v>3235</v>
      </c>
      <c r="T166" s="473">
        <v>406</v>
      </c>
      <c r="U166" s="466"/>
      <c r="V166" s="466"/>
      <c r="W166" s="421"/>
      <c r="X166" s="421"/>
      <c r="Y166" s="200" t="s">
        <v>337</v>
      </c>
      <c r="Z166" s="200">
        <v>3235</v>
      </c>
      <c r="AA166" s="200">
        <v>406</v>
      </c>
      <c r="AB166" s="410">
        <f t="shared" si="8"/>
        <v>1</v>
      </c>
      <c r="AC166" s="409">
        <f t="shared" si="6"/>
        <v>3235</v>
      </c>
      <c r="AD166" s="409">
        <f t="shared" si="7"/>
        <v>406</v>
      </c>
    </row>
    <row r="167" s="410" customFormat="1" spans="1:30">
      <c r="A167" s="428"/>
      <c r="B167" s="255"/>
      <c r="C167" s="429"/>
      <c r="D167" s="421"/>
      <c r="E167" s="436"/>
      <c r="F167" s="436"/>
      <c r="G167" s="436"/>
      <c r="H167" s="436"/>
      <c r="I167" s="453"/>
      <c r="J167" s="457"/>
      <c r="K167" s="457"/>
      <c r="L167" s="457"/>
      <c r="M167" s="451"/>
      <c r="N167" s="455"/>
      <c r="O167" s="436"/>
      <c r="P167" s="531"/>
      <c r="Q167" s="500"/>
      <c r="R167" s="501"/>
      <c r="S167" s="473" t="s">
        <v>180</v>
      </c>
      <c r="T167" s="473" t="s">
        <v>180</v>
      </c>
      <c r="U167" s="466"/>
      <c r="V167" s="466"/>
      <c r="W167" s="435"/>
      <c r="X167" s="435"/>
      <c r="Y167" s="200" t="s">
        <v>240</v>
      </c>
      <c r="Z167" s="200" t="s">
        <v>180</v>
      </c>
      <c r="AA167" s="200" t="s">
        <v>180</v>
      </c>
      <c r="AB167" s="410">
        <f t="shared" si="8"/>
        <v>0</v>
      </c>
      <c r="AC167" s="409" t="str">
        <f t="shared" si="6"/>
        <v/>
      </c>
      <c r="AD167" s="409" t="str">
        <f t="shared" si="7"/>
        <v/>
      </c>
    </row>
    <row r="168" s="408" customFormat="1" spans="1:30">
      <c r="A168" s="428"/>
      <c r="B168" s="421"/>
      <c r="C168" s="439"/>
      <c r="D168" s="421"/>
      <c r="E168" s="430"/>
      <c r="F168" s="430">
        <v>493729.38685</v>
      </c>
      <c r="G168" s="430"/>
      <c r="H168" s="430">
        <v>484652.583333333</v>
      </c>
      <c r="I168" s="453" t="e">
        <f>(F168/G168)-1</f>
        <v>#DIV/0!</v>
      </c>
      <c r="J168" s="430"/>
      <c r="K168" s="430"/>
      <c r="L168" s="430"/>
      <c r="M168" s="451"/>
      <c r="N168" s="459"/>
      <c r="O168" s="430"/>
      <c r="P168" s="531"/>
      <c r="Q168" s="429"/>
      <c r="R168" s="421"/>
      <c r="S168" s="473" t="s">
        <v>180</v>
      </c>
      <c r="T168" s="473" t="s">
        <v>180</v>
      </c>
      <c r="U168" s="466"/>
      <c r="V168" s="466"/>
      <c r="W168" s="421"/>
      <c r="X168" s="421"/>
      <c r="Y168" s="200" t="s">
        <v>240</v>
      </c>
      <c r="Z168" s="200" t="s">
        <v>180</v>
      </c>
      <c r="AA168" s="200" t="s">
        <v>180</v>
      </c>
      <c r="AB168" s="410">
        <f t="shared" si="8"/>
        <v>0</v>
      </c>
      <c r="AC168" s="409" t="str">
        <f t="shared" si="6"/>
        <v/>
      </c>
      <c r="AD168" s="409" t="str">
        <f t="shared" si="7"/>
        <v/>
      </c>
    </row>
    <row r="169" s="408" customFormat="1" spans="1:30">
      <c r="A169" s="423"/>
      <c r="B169" s="421"/>
      <c r="C169" s="425"/>
      <c r="D169" s="421"/>
      <c r="E169" s="430"/>
      <c r="F169" s="430"/>
      <c r="G169" s="430"/>
      <c r="H169" s="430"/>
      <c r="I169" s="453"/>
      <c r="J169" s="430"/>
      <c r="K169" s="430"/>
      <c r="L169" s="430"/>
      <c r="M169" s="451"/>
      <c r="N169" s="459"/>
      <c r="O169" s="430"/>
      <c r="P169" s="531"/>
      <c r="Q169" s="429"/>
      <c r="R169" s="421"/>
      <c r="S169" s="473" t="s">
        <v>180</v>
      </c>
      <c r="T169" s="473" t="s">
        <v>180</v>
      </c>
      <c r="U169" s="466"/>
      <c r="V169" s="466"/>
      <c r="W169" s="421"/>
      <c r="X169" s="421"/>
      <c r="Y169" s="200" t="s">
        <v>240</v>
      </c>
      <c r="Z169" s="200" t="s">
        <v>180</v>
      </c>
      <c r="AA169" s="200" t="s">
        <v>180</v>
      </c>
      <c r="AB169" s="410">
        <f t="shared" si="8"/>
        <v>0</v>
      </c>
      <c r="AC169" s="409" t="str">
        <f t="shared" si="6"/>
        <v/>
      </c>
      <c r="AD169" s="409" t="str">
        <f t="shared" si="7"/>
        <v/>
      </c>
    </row>
    <row r="170" s="408" customFormat="1" ht="17.4" spans="1:30">
      <c r="A170" s="418" t="s">
        <v>189</v>
      </c>
      <c r="B170" s="419"/>
      <c r="C170" s="420"/>
      <c r="D170" s="421"/>
      <c r="E170" s="422" t="s">
        <v>202</v>
      </c>
      <c r="F170" s="422"/>
      <c r="G170" s="422" t="s">
        <v>212</v>
      </c>
      <c r="H170" s="422"/>
      <c r="I170" s="422"/>
      <c r="J170" s="422"/>
      <c r="K170" s="422"/>
      <c r="L170" s="422"/>
      <c r="M170" s="443"/>
      <c r="N170" s="422"/>
      <c r="O170" s="422"/>
      <c r="P170" s="531"/>
      <c r="Q170" s="465"/>
      <c r="R170" s="424"/>
      <c r="S170" s="473" t="s">
        <v>180</v>
      </c>
      <c r="T170" s="473" t="s">
        <v>180</v>
      </c>
      <c r="U170" s="467"/>
      <c r="V170" s="467"/>
      <c r="W170" s="467"/>
      <c r="X170" s="467"/>
      <c r="Y170" s="200" t="s">
        <v>240</v>
      </c>
      <c r="Z170" s="200" t="s">
        <v>180</v>
      </c>
      <c r="AA170" s="200" t="s">
        <v>180</v>
      </c>
      <c r="AB170" s="410">
        <f t="shared" si="8"/>
        <v>0</v>
      </c>
      <c r="AC170" s="409" t="str">
        <f t="shared" si="6"/>
        <v/>
      </c>
      <c r="AD170" s="409" t="str">
        <f t="shared" si="7"/>
        <v/>
      </c>
    </row>
    <row r="171" s="409" customFormat="1" ht="48.6" spans="1:30">
      <c r="A171" s="423" t="s">
        <v>206</v>
      </c>
      <c r="B171" s="424" t="s">
        <v>207</v>
      </c>
      <c r="C171" s="425" t="s">
        <v>208</v>
      </c>
      <c r="D171" s="424" t="s">
        <v>209</v>
      </c>
      <c r="E171" s="426" t="s">
        <v>210</v>
      </c>
      <c r="F171" s="427" t="s">
        <v>396</v>
      </c>
      <c r="G171" s="427">
        <v>116448.583333333</v>
      </c>
      <c r="H171" s="427" t="s">
        <v>397</v>
      </c>
      <c r="I171" s="427" t="s">
        <v>214</v>
      </c>
      <c r="J171" s="446" t="s">
        <v>387</v>
      </c>
      <c r="K171" s="446" t="s">
        <v>398</v>
      </c>
      <c r="L171" s="446" t="s">
        <v>399</v>
      </c>
      <c r="M171" s="447" t="s">
        <v>218</v>
      </c>
      <c r="N171" s="448" t="s">
        <v>219</v>
      </c>
      <c r="O171" s="449" t="s">
        <v>220</v>
      </c>
      <c r="P171" s="530" t="s">
        <v>221</v>
      </c>
      <c r="Q171" s="469" t="s">
        <v>222</v>
      </c>
      <c r="R171" s="426" t="s">
        <v>223</v>
      </c>
      <c r="S171" s="470" t="s">
        <v>224</v>
      </c>
      <c r="T171" s="470" t="s">
        <v>205</v>
      </c>
      <c r="U171" s="467" t="s">
        <v>225</v>
      </c>
      <c r="V171" s="470" t="s">
        <v>226</v>
      </c>
      <c r="W171" s="467"/>
      <c r="X171" s="467"/>
      <c r="Y171" s="200" t="s">
        <v>207</v>
      </c>
      <c r="Z171" s="200" t="s">
        <v>180</v>
      </c>
      <c r="AA171" s="200" t="s">
        <v>180</v>
      </c>
      <c r="AB171" s="410">
        <f t="shared" si="8"/>
        <v>1</v>
      </c>
      <c r="AC171" s="409" t="str">
        <f t="shared" si="6"/>
        <v>Forum Link</v>
      </c>
      <c r="AD171" s="409" t="str">
        <f t="shared" si="7"/>
        <v>Domains</v>
      </c>
    </row>
    <row r="172" s="408" customFormat="1" spans="1:30">
      <c r="A172" s="428" t="s">
        <v>230</v>
      </c>
      <c r="B172" s="421" t="s">
        <v>354</v>
      </c>
      <c r="C172" s="429" t="str">
        <f>VLOOKUP(B172,正厂竞争者数据汇总!D:H,2,FALSE)</f>
        <v>Motor目录</v>
      </c>
      <c r="D172" s="421" t="str">
        <f>VLOOKUP(B172,正厂竞争者数据汇总!D:H,3,FALSE)</f>
        <v>NJ</v>
      </c>
      <c r="E172" s="430"/>
      <c r="F172" s="430">
        <v>126363.766666667</v>
      </c>
      <c r="G172" s="430"/>
      <c r="H172" s="430"/>
      <c r="I172" s="453"/>
      <c r="J172" s="451">
        <v>0.443807538317286</v>
      </c>
      <c r="K172" s="451">
        <v>0.469937560712213</v>
      </c>
      <c r="L172" s="451">
        <v>0.469682974706976</v>
      </c>
      <c r="M172" s="451"/>
      <c r="N172" s="459"/>
      <c r="O172" s="430"/>
      <c r="P172" s="531">
        <f>VLOOKUP(B172,正厂竞争者数据汇总!D:M,6,FALSE)</f>
        <v>0</v>
      </c>
      <c r="Q172" s="429"/>
      <c r="R172" s="421"/>
      <c r="S172" s="473">
        <v>6564</v>
      </c>
      <c r="T172" s="473">
        <v>676</v>
      </c>
      <c r="U172" s="466"/>
      <c r="V172" s="466"/>
      <c r="W172" s="421"/>
      <c r="X172" s="421"/>
      <c r="Y172" s="200" t="s">
        <v>354</v>
      </c>
      <c r="Z172" s="200">
        <v>6564</v>
      </c>
      <c r="AA172" s="200">
        <v>676</v>
      </c>
      <c r="AB172" s="410">
        <f t="shared" si="8"/>
        <v>1</v>
      </c>
      <c r="AC172" s="409">
        <f t="shared" si="6"/>
        <v>6564</v>
      </c>
      <c r="AD172" s="409">
        <f t="shared" si="7"/>
        <v>676</v>
      </c>
    </row>
    <row r="173" s="408" customFormat="1" spans="1:30">
      <c r="A173" s="428" t="s">
        <v>230</v>
      </c>
      <c r="B173" s="421" t="s">
        <v>352</v>
      </c>
      <c r="C173" s="429" t="str">
        <f>VLOOKUP(B173,正厂竞争者数据汇总!D:H,2,FALSE)</f>
        <v>Motor目录</v>
      </c>
      <c r="D173" s="421" t="str">
        <f>VLOOKUP(B173,正厂竞争者数据汇总!D:H,3,FALSE)</f>
        <v>-</v>
      </c>
      <c r="E173" s="430" t="e">
        <f>VLOOKUP(B178,正厂竞争者数据汇总!D:H,4,FALSE)</f>
        <v>#N/A</v>
      </c>
      <c r="F173" s="430">
        <v>53772.8157833333</v>
      </c>
      <c r="G173" s="430">
        <v>129</v>
      </c>
      <c r="H173" s="430">
        <v>27912.6666666667</v>
      </c>
      <c r="I173" s="453">
        <f>(F173/G173)-1</f>
        <v>415.843533204134</v>
      </c>
      <c r="J173" s="451">
        <v>0.188857784400671</v>
      </c>
      <c r="K173" s="451">
        <v>0.15850324104086</v>
      </c>
      <c r="L173" s="451">
        <v>0.138725707596715</v>
      </c>
      <c r="M173" s="451"/>
      <c r="N173" s="459"/>
      <c r="O173" s="430"/>
      <c r="P173" s="531" t="str">
        <f>VLOOKUP(B173,正厂竞争者数据汇总!D:M,6,FALSE)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73" s="429"/>
      <c r="R173" s="421"/>
      <c r="S173" s="473">
        <v>232</v>
      </c>
      <c r="T173" s="473">
        <v>84</v>
      </c>
      <c r="U173" s="466"/>
      <c r="V173" s="466"/>
      <c r="W173" s="421"/>
      <c r="X173" s="421"/>
      <c r="Y173" s="200" t="s">
        <v>352</v>
      </c>
      <c r="Z173" s="200">
        <v>232</v>
      </c>
      <c r="AA173" s="200">
        <v>84</v>
      </c>
      <c r="AB173" s="410">
        <f t="shared" si="8"/>
        <v>1</v>
      </c>
      <c r="AC173" s="409">
        <f t="shared" si="6"/>
        <v>232</v>
      </c>
      <c r="AD173" s="409">
        <f t="shared" si="7"/>
        <v>84</v>
      </c>
    </row>
    <row r="174" s="408" customFormat="1" spans="1:30">
      <c r="A174" s="428" t="s">
        <v>243</v>
      </c>
      <c r="B174" s="421" t="s">
        <v>353</v>
      </c>
      <c r="C174" s="429" t="str">
        <f>VLOOKUP(B174,正厂竞争者数据汇总!D:H,2,FALSE)</f>
        <v>Motor目录</v>
      </c>
      <c r="D174" s="421" t="str">
        <f>VLOOKUP(B174,正厂竞争者数据汇总!D:H,3,FALSE)</f>
        <v>WI</v>
      </c>
      <c r="E174" s="430">
        <f>VLOOKUP(B176,正厂竞争者数据汇总!D:H,4,FALSE)</f>
        <v>0</v>
      </c>
      <c r="F174" s="430">
        <v>49655.4166666667</v>
      </c>
      <c r="G174" s="430">
        <v>127</v>
      </c>
      <c r="H174" s="430">
        <v>27910.6666666667</v>
      </c>
      <c r="I174" s="453">
        <f>(F174/G174)-1</f>
        <v>389.987532808399</v>
      </c>
      <c r="J174" s="451">
        <v>0.174396892529207</v>
      </c>
      <c r="K174" s="451">
        <v>0.150781110637578</v>
      </c>
      <c r="L174" s="451">
        <v>0.145523357496629</v>
      </c>
      <c r="M174" s="451" t="e">
        <f>J174-#REF!</f>
        <v>#REF!</v>
      </c>
      <c r="N174" s="459"/>
      <c r="O174" s="430"/>
      <c r="P174" s="531" t="str">
        <f>VLOOKUP(B174,正厂竞争者数据汇总!D:M,6,FALSE)</f>
        <v>2023年9月新增</v>
      </c>
      <c r="Q174" s="429" t="s">
        <v>180</v>
      </c>
      <c r="R174" s="421" t="s">
        <v>180</v>
      </c>
      <c r="S174" s="473">
        <v>1814</v>
      </c>
      <c r="T174" s="473">
        <v>197</v>
      </c>
      <c r="U174" s="466"/>
      <c r="V174" s="466"/>
      <c r="W174" s="421"/>
      <c r="X174" s="421"/>
      <c r="Y174" s="200" t="s">
        <v>353</v>
      </c>
      <c r="Z174" s="200">
        <v>1814</v>
      </c>
      <c r="AA174" s="200">
        <v>197</v>
      </c>
      <c r="AB174" s="410">
        <f t="shared" si="8"/>
        <v>1</v>
      </c>
      <c r="AC174" s="409">
        <f t="shared" si="6"/>
        <v>1814</v>
      </c>
      <c r="AD174" s="409">
        <f t="shared" si="7"/>
        <v>197</v>
      </c>
    </row>
    <row r="175" s="408" customFormat="1" spans="1:30">
      <c r="A175" s="428" t="s">
        <v>243</v>
      </c>
      <c r="B175" s="421" t="s">
        <v>355</v>
      </c>
      <c r="C175" s="429" t="str">
        <f>VLOOKUP(B175,正厂竞争者数据汇总!D:H,2,FALSE)</f>
        <v>旧年份原厂、新年份Motor</v>
      </c>
      <c r="D175" s="421" t="str">
        <f>VLOOKUP(B175,正厂竞争者数据汇总!D:H,3,FALSE)</f>
        <v>GA</v>
      </c>
      <c r="E175" s="430" t="e">
        <f>VLOOKUP(B177,正厂竞争者数据汇总!D:H,4,FALSE)</f>
        <v>#N/A</v>
      </c>
      <c r="F175" s="430">
        <v>37020.8333333333</v>
      </c>
      <c r="G175" s="430">
        <v>128</v>
      </c>
      <c r="H175" s="430">
        <v>27911.6666666667</v>
      </c>
      <c r="I175" s="453">
        <f>(F175/G175)-1</f>
        <v>288.225260416666</v>
      </c>
      <c r="J175" s="451">
        <v>0.130022437139453</v>
      </c>
      <c r="K175" s="451">
        <v>0.155334191494059</v>
      </c>
      <c r="L175" s="451">
        <v>0.183323142079202</v>
      </c>
      <c r="M175" s="451"/>
      <c r="N175" s="459"/>
      <c r="O175" s="430"/>
      <c r="P175" s="531">
        <f>VLOOKUP(B175,正厂竞争者数据汇总!D:M,6,FALSE)</f>
        <v>0</v>
      </c>
      <c r="Q175" s="429" t="s">
        <v>180</v>
      </c>
      <c r="R175" s="421" t="s">
        <v>180</v>
      </c>
      <c r="S175" s="473">
        <v>4795</v>
      </c>
      <c r="T175" s="473">
        <v>1196</v>
      </c>
      <c r="U175" s="466"/>
      <c r="V175" s="466"/>
      <c r="W175" s="421"/>
      <c r="X175" s="421"/>
      <c r="Y175" s="200" t="s">
        <v>355</v>
      </c>
      <c r="Z175" s="200">
        <v>4795</v>
      </c>
      <c r="AA175" s="200">
        <v>1196</v>
      </c>
      <c r="AB175" s="410">
        <f t="shared" si="8"/>
        <v>1</v>
      </c>
      <c r="AC175" s="409">
        <f t="shared" si="6"/>
        <v>4795</v>
      </c>
      <c r="AD175" s="409">
        <f t="shared" si="7"/>
        <v>1196</v>
      </c>
    </row>
    <row r="176" s="408" customFormat="1" spans="1:30">
      <c r="A176" s="428" t="s">
        <v>230</v>
      </c>
      <c r="B176" s="431" t="s">
        <v>356</v>
      </c>
      <c r="C176" s="429" t="str">
        <f>VLOOKUP(B176,正厂竞争者数据汇总!D:H,2,FALSE)</f>
        <v>Motor目录</v>
      </c>
      <c r="D176" s="421" t="str">
        <f>VLOOKUP(B176,正厂竞争者数据汇总!D:H,3,FALSE)</f>
        <v>KS</v>
      </c>
      <c r="E176" s="430">
        <f>VLOOKUP(B176,正厂竞争者数据汇总!D:H,4,FALSE)</f>
        <v>0</v>
      </c>
      <c r="F176" s="430">
        <v>17913.6666666667</v>
      </c>
      <c r="G176" s="430">
        <v>23846.5</v>
      </c>
      <c r="H176" s="430">
        <v>201650.166666667</v>
      </c>
      <c r="I176" s="453">
        <f>(F176/G176)-1</f>
        <v>-0.248792625053291</v>
      </c>
      <c r="J176" s="451">
        <v>0.062915347613383</v>
      </c>
      <c r="K176" s="451">
        <v>0.0654438961152901</v>
      </c>
      <c r="L176" s="451">
        <v>0.0627448181204782</v>
      </c>
      <c r="M176" s="451" t="e">
        <f>J176-#REF!</f>
        <v>#REF!</v>
      </c>
      <c r="N176" s="459"/>
      <c r="O176" s="430"/>
      <c r="P176" s="531">
        <f>VLOOKUP(B176,正厂竞争者数据汇总!D:M,6,FALSE)</f>
        <v>0</v>
      </c>
      <c r="Q176" s="429" t="s">
        <v>180</v>
      </c>
      <c r="R176" s="421" t="s">
        <v>180</v>
      </c>
      <c r="S176" s="473">
        <v>695</v>
      </c>
      <c r="T176" s="473">
        <v>138</v>
      </c>
      <c r="U176" s="466"/>
      <c r="V176" s="466"/>
      <c r="W176" s="421"/>
      <c r="X176" s="421"/>
      <c r="Y176" s="200" t="s">
        <v>356</v>
      </c>
      <c r="Z176" s="200">
        <v>695</v>
      </c>
      <c r="AA176" s="200">
        <v>138</v>
      </c>
      <c r="AB176" s="410">
        <f t="shared" si="8"/>
        <v>1</v>
      </c>
      <c r="AC176" s="409">
        <f t="shared" si="6"/>
        <v>695</v>
      </c>
      <c r="AD176" s="409">
        <f t="shared" si="7"/>
        <v>138</v>
      </c>
    </row>
    <row r="177" s="410" customFormat="1" spans="1:30">
      <c r="A177" s="432"/>
      <c r="B177" s="433"/>
      <c r="C177" s="434"/>
      <c r="D177" s="421"/>
      <c r="E177" s="436"/>
      <c r="F177" s="436"/>
      <c r="G177" s="436">
        <v>749876.416666666</v>
      </c>
      <c r="H177" s="436"/>
      <c r="I177" s="453"/>
      <c r="J177" s="457"/>
      <c r="K177" s="457"/>
      <c r="L177" s="457"/>
      <c r="M177" s="451"/>
      <c r="N177" s="455"/>
      <c r="O177" s="436"/>
      <c r="P177" s="531"/>
      <c r="Q177" s="434"/>
      <c r="R177" s="435"/>
      <c r="S177" s="473" t="s">
        <v>180</v>
      </c>
      <c r="T177" s="473" t="s">
        <v>180</v>
      </c>
      <c r="U177" s="466"/>
      <c r="V177" s="466"/>
      <c r="W177" s="435"/>
      <c r="X177" s="435"/>
      <c r="Y177" s="200" t="s">
        <v>240</v>
      </c>
      <c r="Z177" s="200" t="s">
        <v>180</v>
      </c>
      <c r="AA177" s="200" t="s">
        <v>180</v>
      </c>
      <c r="AB177" s="410">
        <f t="shared" si="8"/>
        <v>0</v>
      </c>
      <c r="AC177" s="409" t="str">
        <f t="shared" si="6"/>
        <v/>
      </c>
      <c r="AD177" s="409" t="str">
        <f t="shared" si="7"/>
        <v/>
      </c>
    </row>
    <row r="178" s="408" customFormat="1" spans="1:30">
      <c r="A178" s="428"/>
      <c r="B178" s="421"/>
      <c r="C178" s="439"/>
      <c r="D178" s="421"/>
      <c r="E178" s="430"/>
      <c r="F178" s="430">
        <v>284726.499116667</v>
      </c>
      <c r="G178" s="430"/>
      <c r="H178" s="430">
        <v>829193.583333334</v>
      </c>
      <c r="I178" s="453" t="e">
        <f>(F178/G178)-1</f>
        <v>#DIV/0!</v>
      </c>
      <c r="J178" s="430"/>
      <c r="K178" s="430"/>
      <c r="L178" s="430"/>
      <c r="M178" s="451"/>
      <c r="N178" s="459"/>
      <c r="O178" s="430"/>
      <c r="P178" s="531"/>
      <c r="Q178" s="429"/>
      <c r="R178" s="421"/>
      <c r="S178" s="473" t="s">
        <v>180</v>
      </c>
      <c r="T178" s="473" t="s">
        <v>180</v>
      </c>
      <c r="U178" s="466"/>
      <c r="V178" s="466"/>
      <c r="W178" s="421"/>
      <c r="X178" s="421"/>
      <c r="Y178" s="200" t="s">
        <v>240</v>
      </c>
      <c r="Z178" s="200" t="s">
        <v>180</v>
      </c>
      <c r="AA178" s="200" t="s">
        <v>180</v>
      </c>
      <c r="AB178" s="410">
        <f t="shared" si="8"/>
        <v>0</v>
      </c>
      <c r="AC178" s="409" t="str">
        <f t="shared" si="6"/>
        <v/>
      </c>
      <c r="AD178" s="409" t="str">
        <f t="shared" si="7"/>
        <v/>
      </c>
    </row>
    <row r="179" s="408" customFormat="1" spans="1:30">
      <c r="A179" s="428"/>
      <c r="B179" s="421"/>
      <c r="C179" s="439"/>
      <c r="D179" s="421"/>
      <c r="E179" s="430"/>
      <c r="F179" s="430"/>
      <c r="G179" s="430"/>
      <c r="H179" s="430"/>
      <c r="I179" s="453"/>
      <c r="J179" s="430"/>
      <c r="K179" s="430"/>
      <c r="L179" s="430"/>
      <c r="M179" s="451"/>
      <c r="N179" s="459"/>
      <c r="O179" s="430"/>
      <c r="P179" s="531"/>
      <c r="Q179" s="429"/>
      <c r="R179" s="421"/>
      <c r="S179" s="473" t="s">
        <v>180</v>
      </c>
      <c r="T179" s="473" t="s">
        <v>180</v>
      </c>
      <c r="U179" s="466"/>
      <c r="V179" s="466"/>
      <c r="W179" s="421"/>
      <c r="X179" s="421"/>
      <c r="Y179" s="200" t="s">
        <v>240</v>
      </c>
      <c r="Z179" s="200" t="s">
        <v>180</v>
      </c>
      <c r="AA179" s="200" t="s">
        <v>180</v>
      </c>
      <c r="AB179" s="410">
        <f t="shared" si="8"/>
        <v>0</v>
      </c>
      <c r="AC179" s="409" t="str">
        <f t="shared" si="6"/>
        <v/>
      </c>
      <c r="AD179" s="409" t="str">
        <f t="shared" si="7"/>
        <v/>
      </c>
    </row>
    <row r="180" s="408" customFormat="1" ht="17.4" spans="1:30">
      <c r="A180" s="418" t="s">
        <v>187</v>
      </c>
      <c r="B180" s="419"/>
      <c r="C180" s="420"/>
      <c r="D180" s="421"/>
      <c r="E180" s="422" t="s">
        <v>202</v>
      </c>
      <c r="F180" s="422"/>
      <c r="G180" s="422" t="s">
        <v>212</v>
      </c>
      <c r="H180" s="422"/>
      <c r="I180" s="422"/>
      <c r="J180" s="422"/>
      <c r="K180" s="422"/>
      <c r="L180" s="422"/>
      <c r="M180" s="443"/>
      <c r="N180" s="422"/>
      <c r="O180" s="422"/>
      <c r="P180" s="531"/>
      <c r="Q180" s="465"/>
      <c r="R180" s="424"/>
      <c r="S180" s="473" t="s">
        <v>180</v>
      </c>
      <c r="T180" s="473" t="s">
        <v>180</v>
      </c>
      <c r="U180" s="467"/>
      <c r="V180" s="467"/>
      <c r="W180" s="467"/>
      <c r="X180" s="467"/>
      <c r="Y180" s="200" t="s">
        <v>240</v>
      </c>
      <c r="Z180" s="200" t="s">
        <v>180</v>
      </c>
      <c r="AA180" s="200" t="s">
        <v>180</v>
      </c>
      <c r="AB180" s="410">
        <f t="shared" si="8"/>
        <v>0</v>
      </c>
      <c r="AC180" s="409" t="str">
        <f t="shared" si="6"/>
        <v/>
      </c>
      <c r="AD180" s="409" t="str">
        <f t="shared" si="7"/>
        <v/>
      </c>
    </row>
    <row r="181" s="409" customFormat="1" ht="48.6" spans="1:30">
      <c r="A181" s="423" t="s">
        <v>206</v>
      </c>
      <c r="B181" s="424" t="s">
        <v>207</v>
      </c>
      <c r="C181" s="425" t="s">
        <v>208</v>
      </c>
      <c r="D181" s="424" t="s">
        <v>209</v>
      </c>
      <c r="E181" s="426" t="s">
        <v>210</v>
      </c>
      <c r="F181" s="427" t="s">
        <v>396</v>
      </c>
      <c r="G181" s="427">
        <v>116448.583333333</v>
      </c>
      <c r="H181" s="427" t="s">
        <v>397</v>
      </c>
      <c r="I181" s="427" t="s">
        <v>214</v>
      </c>
      <c r="J181" s="446" t="s">
        <v>387</v>
      </c>
      <c r="K181" s="446" t="s">
        <v>398</v>
      </c>
      <c r="L181" s="446" t="s">
        <v>399</v>
      </c>
      <c r="M181" s="447" t="s">
        <v>218</v>
      </c>
      <c r="N181" s="448" t="s">
        <v>219</v>
      </c>
      <c r="O181" s="449" t="s">
        <v>220</v>
      </c>
      <c r="P181" s="530" t="s">
        <v>221</v>
      </c>
      <c r="Q181" s="469" t="s">
        <v>222</v>
      </c>
      <c r="R181" s="426" t="s">
        <v>223</v>
      </c>
      <c r="S181" s="470" t="s">
        <v>224</v>
      </c>
      <c r="T181" s="470" t="s">
        <v>205</v>
      </c>
      <c r="U181" s="467" t="s">
        <v>225</v>
      </c>
      <c r="V181" s="470" t="s">
        <v>226</v>
      </c>
      <c r="W181" s="467"/>
      <c r="X181" s="467"/>
      <c r="Y181" s="200" t="s">
        <v>207</v>
      </c>
      <c r="Z181" s="200" t="s">
        <v>180</v>
      </c>
      <c r="AA181" s="200" t="s">
        <v>180</v>
      </c>
      <c r="AB181" s="410">
        <f t="shared" si="8"/>
        <v>1</v>
      </c>
      <c r="AC181" s="409" t="str">
        <f t="shared" si="6"/>
        <v>Forum Link</v>
      </c>
      <c r="AD181" s="409" t="str">
        <f t="shared" si="7"/>
        <v>Domains</v>
      </c>
    </row>
    <row r="182" s="408" customFormat="1" spans="1:30">
      <c r="A182" s="428" t="s">
        <v>230</v>
      </c>
      <c r="B182" s="438" t="s">
        <v>341</v>
      </c>
      <c r="C182" s="429" t="str">
        <f>VLOOKUP(B182,正厂竞争者数据汇总!D:H,2,FALSE)</f>
        <v>Motor目录</v>
      </c>
      <c r="D182" s="421" t="str">
        <f>VLOOKUP(B182,正厂竞争者数据汇总!D:H,3,FALSE)</f>
        <v>IL</v>
      </c>
      <c r="E182" s="430">
        <f>VLOOKUP(B182,正厂竞争者数据汇总!D:H,4,FALSE)</f>
        <v>0</v>
      </c>
      <c r="F182" s="430">
        <v>66418.8333333333</v>
      </c>
      <c r="G182" s="430">
        <v>1355.75</v>
      </c>
      <c r="H182" s="430">
        <v>65360.75</v>
      </c>
      <c r="I182" s="453">
        <f t="shared" ref="I182:I192" si="9">(F182/G182)-1</f>
        <v>47.9904726780994</v>
      </c>
      <c r="J182" s="451">
        <v>0.263056314259258</v>
      </c>
      <c r="K182" s="451">
        <v>0.320918438394759</v>
      </c>
      <c r="L182" s="451">
        <v>0.295078981221414</v>
      </c>
      <c r="M182" s="451" t="e">
        <f>J182-#REF!</f>
        <v>#REF!</v>
      </c>
      <c r="N182" s="459"/>
      <c r="O182" s="430"/>
      <c r="P182" s="531">
        <f>VLOOKUP(B182,正厂竞争者数据汇总!D:M,6,FALSE)</f>
        <v>0</v>
      </c>
      <c r="Q182" s="429" t="s">
        <v>180</v>
      </c>
      <c r="R182" s="421" t="s">
        <v>180</v>
      </c>
      <c r="S182" s="473">
        <v>1801</v>
      </c>
      <c r="T182" s="473">
        <v>292</v>
      </c>
      <c r="U182" s="466"/>
      <c r="V182" s="466"/>
      <c r="W182" s="421"/>
      <c r="X182" s="421"/>
      <c r="Y182" s="200" t="s">
        <v>341</v>
      </c>
      <c r="Z182" s="200">
        <v>1801</v>
      </c>
      <c r="AA182" s="200">
        <v>292</v>
      </c>
      <c r="AB182" s="410">
        <f t="shared" si="8"/>
        <v>1</v>
      </c>
      <c r="AC182" s="409">
        <f t="shared" si="6"/>
        <v>1801</v>
      </c>
      <c r="AD182" s="409">
        <f t="shared" si="7"/>
        <v>292</v>
      </c>
    </row>
    <row r="183" s="408" customFormat="1" spans="1:30">
      <c r="A183" s="428" t="s">
        <v>230</v>
      </c>
      <c r="B183" s="438" t="s">
        <v>346</v>
      </c>
      <c r="C183" s="429" t="str">
        <f>VLOOKUP(B183,正厂竞争者数据汇总!D:H,2,FALSE)</f>
        <v>Motor目录</v>
      </c>
      <c r="D183" s="421" t="str">
        <f>VLOOKUP(B183,正厂竞争者数据汇总!D:H,3,FALSE)</f>
        <v>AZ</v>
      </c>
      <c r="E183" s="430">
        <f>VLOOKUP(B183,正厂竞争者数据汇总!D:H,4,FALSE)</f>
        <v>0</v>
      </c>
      <c r="F183" s="430">
        <v>27297.1666666666</v>
      </c>
      <c r="G183" s="430">
        <v>1364.75</v>
      </c>
      <c r="H183" s="430">
        <v>65369.75</v>
      </c>
      <c r="I183" s="453">
        <f t="shared" si="9"/>
        <v>19.0015875923551</v>
      </c>
      <c r="J183" s="451">
        <v>0.108112288227295</v>
      </c>
      <c r="K183" s="451">
        <v>0.123878540397098</v>
      </c>
      <c r="L183" s="451">
        <v>0.123245276669298</v>
      </c>
      <c r="M183" s="451"/>
      <c r="N183" s="459"/>
      <c r="O183" s="430"/>
      <c r="P183" s="531" t="str">
        <f>VLOOKUP(B183,正厂竞争者数据汇总!D:M,6,FALSE)</f>
        <v>2023年9月新增</v>
      </c>
      <c r="Q183" s="429"/>
      <c r="R183" s="421"/>
      <c r="S183" s="473">
        <v>1785</v>
      </c>
      <c r="T183" s="473">
        <v>206</v>
      </c>
      <c r="U183" s="466"/>
      <c r="V183" s="466"/>
      <c r="W183" s="421"/>
      <c r="X183" s="421"/>
      <c r="Y183" s="200" t="s">
        <v>346</v>
      </c>
      <c r="Z183" s="200">
        <v>1785</v>
      </c>
      <c r="AA183" s="200">
        <v>206</v>
      </c>
      <c r="AB183" s="410">
        <f t="shared" si="8"/>
        <v>1</v>
      </c>
      <c r="AC183" s="409">
        <f t="shared" si="6"/>
        <v>1785</v>
      </c>
      <c r="AD183" s="409">
        <f t="shared" si="7"/>
        <v>206</v>
      </c>
    </row>
    <row r="184" s="408" customFormat="1" spans="1:30">
      <c r="A184" s="428" t="s">
        <v>230</v>
      </c>
      <c r="B184" s="438" t="s">
        <v>345</v>
      </c>
      <c r="C184" s="429" t="str">
        <f>VLOOKUP(B184,正厂竞争者数据汇总!D:H,2,FALSE)</f>
        <v>Motor目录</v>
      </c>
      <c r="D184" s="421" t="str">
        <f>VLOOKUP(B184,正厂竞争者数据汇总!D:H,3,FALSE)</f>
        <v>CA</v>
      </c>
      <c r="E184" s="430">
        <f>VLOOKUP(B184,正厂竞争者数据汇总!D:H,4,FALSE)</f>
        <v>0</v>
      </c>
      <c r="F184" s="430">
        <v>26795.5833333333</v>
      </c>
      <c r="G184" s="430">
        <v>1363.75</v>
      </c>
      <c r="H184" s="430">
        <v>65368.75</v>
      </c>
      <c r="I184" s="453">
        <f t="shared" si="9"/>
        <v>18.6484570730217</v>
      </c>
      <c r="J184" s="451">
        <v>0.106125733264814</v>
      </c>
      <c r="K184" s="451">
        <v>0.0683138529228292</v>
      </c>
      <c r="L184" s="451">
        <v>0.0638877247222525</v>
      </c>
      <c r="M184" s="451"/>
      <c r="N184" s="459"/>
      <c r="O184" s="430"/>
      <c r="P184" s="531"/>
      <c r="Q184" s="429"/>
      <c r="R184" s="421"/>
      <c r="S184" s="473">
        <v>726</v>
      </c>
      <c r="T184" s="473">
        <v>146</v>
      </c>
      <c r="U184" s="466"/>
      <c r="V184" s="466"/>
      <c r="W184" s="421"/>
      <c r="X184" s="421"/>
      <c r="Y184" s="200" t="s">
        <v>345</v>
      </c>
      <c r="Z184" s="200">
        <v>726</v>
      </c>
      <c r="AA184" s="200">
        <v>146</v>
      </c>
      <c r="AB184" s="410">
        <f t="shared" si="8"/>
        <v>1</v>
      </c>
      <c r="AC184" s="409">
        <f t="shared" si="6"/>
        <v>726</v>
      </c>
      <c r="AD184" s="409">
        <f t="shared" si="7"/>
        <v>146</v>
      </c>
    </row>
    <row r="185" s="408" customFormat="1" spans="1:30">
      <c r="A185" s="428" t="s">
        <v>230</v>
      </c>
      <c r="B185" s="438" t="s">
        <v>344</v>
      </c>
      <c r="C185" s="429" t="str">
        <f>VLOOKUP(B185,正厂竞争者数据汇总!D:H,2,FALSE)</f>
        <v>Motor目录</v>
      </c>
      <c r="D185" s="421" t="str">
        <f>VLOOKUP(B185,正厂竞争者数据汇总!D:H,3,FALSE)</f>
        <v>-</v>
      </c>
      <c r="E185" s="430">
        <f>VLOOKUP(B185,正厂竞争者数据汇总!D:H,4,FALSE)</f>
        <v>0</v>
      </c>
      <c r="F185" s="430">
        <v>24008.3</v>
      </c>
      <c r="G185" s="430">
        <v>1363.75</v>
      </c>
      <c r="H185" s="430">
        <v>65368.75</v>
      </c>
      <c r="I185" s="453">
        <f t="shared" si="9"/>
        <v>16.6046196150321</v>
      </c>
      <c r="J185" s="451">
        <v>0.0950865077369704</v>
      </c>
      <c r="K185" s="451">
        <v>0.0741766078371308</v>
      </c>
      <c r="L185" s="451">
        <v>0.0960829496759033</v>
      </c>
      <c r="M185" s="451"/>
      <c r="N185" s="459"/>
      <c r="O185" s="430"/>
      <c r="P185" s="531">
        <f>VLOOKUP(B185,正厂竞争者数据汇总!D:M,6,FALSE)</f>
        <v>0</v>
      </c>
      <c r="Q185" s="429"/>
      <c r="R185" s="421"/>
      <c r="S185" s="473">
        <v>1277</v>
      </c>
      <c r="T185" s="473">
        <v>236</v>
      </c>
      <c r="U185" s="466"/>
      <c r="V185" s="466"/>
      <c r="W185" s="421"/>
      <c r="X185" s="421"/>
      <c r="Y185" s="200" t="s">
        <v>344</v>
      </c>
      <c r="Z185" s="200">
        <v>1277</v>
      </c>
      <c r="AA185" s="200">
        <v>236</v>
      </c>
      <c r="AB185" s="410">
        <f t="shared" si="8"/>
        <v>1</v>
      </c>
      <c r="AC185" s="409">
        <f t="shared" si="6"/>
        <v>1277</v>
      </c>
      <c r="AD185" s="409">
        <f t="shared" si="7"/>
        <v>236</v>
      </c>
    </row>
    <row r="186" s="408" customFormat="1" spans="1:30">
      <c r="A186" s="428" t="s">
        <v>230</v>
      </c>
      <c r="B186" s="438" t="s">
        <v>348</v>
      </c>
      <c r="C186" s="429" t="str">
        <f>VLOOKUP(B186,正厂竞争者数据汇总!D:H,2,FALSE)</f>
        <v>Motor目录</v>
      </c>
      <c r="D186" s="421" t="str">
        <f>VLOOKUP(B186,正厂竞争者数据汇总!D:H,3,FALSE)</f>
        <v>-</v>
      </c>
      <c r="E186" s="430">
        <f>VLOOKUP(B186,正厂竞争者数据汇总!D:H,4,FALSE)</f>
        <v>0</v>
      </c>
      <c r="F186" s="430">
        <v>23838.5833333333</v>
      </c>
      <c r="G186" s="430">
        <v>1362.75</v>
      </c>
      <c r="H186" s="430">
        <v>65367.75</v>
      </c>
      <c r="I186" s="453">
        <f t="shared" si="9"/>
        <v>16.4929982266251</v>
      </c>
      <c r="J186" s="451">
        <v>0.094414333316537</v>
      </c>
      <c r="K186" s="451">
        <v>0.0883126615449884</v>
      </c>
      <c r="L186" s="451">
        <v>0.0720094875554566</v>
      </c>
      <c r="M186" s="451"/>
      <c r="N186" s="459"/>
      <c r="O186" s="430"/>
      <c r="P186" s="531" t="str">
        <f>VLOOKUP(B186,正厂竞争者数据汇总!D:M,6,FALSE)</f>
        <v>2023年9月新增</v>
      </c>
      <c r="Q186" s="429"/>
      <c r="R186" s="421"/>
      <c r="S186" s="473">
        <v>436</v>
      </c>
      <c r="T186" s="473">
        <v>140</v>
      </c>
      <c r="U186" s="466"/>
      <c r="V186" s="466"/>
      <c r="W186" s="421"/>
      <c r="X186" s="421"/>
      <c r="Y186" s="200" t="s">
        <v>348</v>
      </c>
      <c r="Z186" s="200">
        <v>436</v>
      </c>
      <c r="AA186" s="200">
        <v>140</v>
      </c>
      <c r="AB186" s="410">
        <f t="shared" si="8"/>
        <v>1</v>
      </c>
      <c r="AC186" s="409">
        <f t="shared" si="6"/>
        <v>436</v>
      </c>
      <c r="AD186" s="409">
        <f t="shared" si="7"/>
        <v>140</v>
      </c>
    </row>
    <row r="187" s="408" customFormat="1" spans="1:30">
      <c r="A187" s="428" t="s">
        <v>230</v>
      </c>
      <c r="B187" s="438" t="s">
        <v>342</v>
      </c>
      <c r="C187" s="429" t="str">
        <f>VLOOKUP(B187,正厂竞争者数据汇总!D:H,2,FALSE)</f>
        <v>Motor目录</v>
      </c>
      <c r="D187" s="421" t="str">
        <f>VLOOKUP(B187,正厂竞争者数据汇总!D:H,3,FALSE)</f>
        <v>NE</v>
      </c>
      <c r="E187" s="430">
        <f>VLOOKUP(B187,正厂竞争者数据汇总!D:H,4,FALSE)</f>
        <v>0</v>
      </c>
      <c r="F187" s="430">
        <v>23166.5861666667</v>
      </c>
      <c r="G187" s="430">
        <v>1360.75</v>
      </c>
      <c r="H187" s="430">
        <v>65365.75</v>
      </c>
      <c r="I187" s="453">
        <f t="shared" si="9"/>
        <v>16.0248658215445</v>
      </c>
      <c r="J187" s="451">
        <v>0.091752842757544</v>
      </c>
      <c r="K187" s="451">
        <v>0.085178092289737</v>
      </c>
      <c r="L187" s="451">
        <v>0.0826494153433246</v>
      </c>
      <c r="M187" s="451"/>
      <c r="N187" s="459"/>
      <c r="O187" s="430"/>
      <c r="P187" s="531" t="str">
        <f>VLOOKUP(B187,正厂竞争者数据汇总!D:M,6,FALSE)</f>
        <v>2023年9月新增</v>
      </c>
      <c r="Q187" s="429"/>
      <c r="R187" s="421"/>
      <c r="S187" s="473">
        <v>1156</v>
      </c>
      <c r="T187" s="473">
        <v>256</v>
      </c>
      <c r="U187" s="466"/>
      <c r="V187" s="466"/>
      <c r="W187" s="421"/>
      <c r="X187" s="421"/>
      <c r="Y187" s="200" t="s">
        <v>342</v>
      </c>
      <c r="Z187" s="200">
        <v>1156</v>
      </c>
      <c r="AA187" s="200">
        <v>256</v>
      </c>
      <c r="AB187" s="410">
        <f t="shared" si="8"/>
        <v>1</v>
      </c>
      <c r="AC187" s="409">
        <f t="shared" si="6"/>
        <v>1156</v>
      </c>
      <c r="AD187" s="409">
        <f t="shared" si="7"/>
        <v>256</v>
      </c>
    </row>
    <row r="188" s="408" customFormat="1" spans="1:30">
      <c r="A188" s="428" t="s">
        <v>230</v>
      </c>
      <c r="B188" s="438" t="s">
        <v>347</v>
      </c>
      <c r="C188" s="429" t="str">
        <f>VLOOKUP(B188,正厂竞争者数据汇总!D:H,2,FALSE)</f>
        <v>Motor目录</v>
      </c>
      <c r="D188" s="421" t="str">
        <f>VLOOKUP(B188,正厂竞争者数据汇总!D:H,3,FALSE)</f>
        <v>-</v>
      </c>
      <c r="E188" s="430">
        <f>VLOOKUP(B188,正厂竞争者数据汇总!D:H,4,FALSE)</f>
        <v>0</v>
      </c>
      <c r="F188" s="430">
        <v>22183.3050666667</v>
      </c>
      <c r="G188" s="430">
        <v>1361.75</v>
      </c>
      <c r="H188" s="430">
        <v>65366.75</v>
      </c>
      <c r="I188" s="453">
        <f t="shared" si="9"/>
        <v>15.2902919527569</v>
      </c>
      <c r="J188" s="451">
        <v>0.0878584909740872</v>
      </c>
      <c r="K188" s="451">
        <v>0.0746295979633817</v>
      </c>
      <c r="L188" s="451">
        <v>0.0640162567504054</v>
      </c>
      <c r="M188" s="451"/>
      <c r="N188" s="459"/>
      <c r="O188" s="430"/>
      <c r="P188" s="531" t="str">
        <f>VLOOKUP(B188,正厂竞争者数据汇总!D:M,6,FALSE)</f>
        <v>2023年9月新增</v>
      </c>
      <c r="Q188" s="429"/>
      <c r="R188" s="421"/>
      <c r="S188" s="473">
        <v>935</v>
      </c>
      <c r="T188" s="473">
        <v>223</v>
      </c>
      <c r="U188" s="466"/>
      <c r="V188" s="466"/>
      <c r="W188" s="421"/>
      <c r="X188" s="421"/>
      <c r="Y188" s="200" t="s">
        <v>347</v>
      </c>
      <c r="Z188" s="200">
        <v>935</v>
      </c>
      <c r="AA188" s="200">
        <v>223</v>
      </c>
      <c r="AB188" s="410">
        <f t="shared" si="8"/>
        <v>1</v>
      </c>
      <c r="AC188" s="409">
        <f t="shared" si="6"/>
        <v>935</v>
      </c>
      <c r="AD188" s="409">
        <f t="shared" si="7"/>
        <v>223</v>
      </c>
    </row>
    <row r="189" s="408" customFormat="1" spans="1:30">
      <c r="A189" s="428" t="s">
        <v>230</v>
      </c>
      <c r="B189" s="438" t="s">
        <v>343</v>
      </c>
      <c r="C189" s="429" t="str">
        <f>VLOOKUP(B189,正厂竞争者数据汇总!D:H,2,FALSE)</f>
        <v>Motor目录</v>
      </c>
      <c r="D189" s="421" t="str">
        <f>VLOOKUP(B189,正厂竞争者数据汇总!D:H,3,FALSE)</f>
        <v>-</v>
      </c>
      <c r="E189" s="430">
        <f>VLOOKUP(B189,正厂竞争者数据汇总!D:H,4,FALSE)</f>
        <v>0</v>
      </c>
      <c r="F189" s="430">
        <v>16332.25</v>
      </c>
      <c r="G189" s="430">
        <v>1368.75</v>
      </c>
      <c r="H189" s="430">
        <v>65373.75</v>
      </c>
      <c r="I189" s="453">
        <f t="shared" si="9"/>
        <v>10.9322374429224</v>
      </c>
      <c r="J189" s="451">
        <v>0.0646849887741796</v>
      </c>
      <c r="K189" s="451">
        <v>0.0539073259851823</v>
      </c>
      <c r="L189" s="451">
        <v>0.0648784509237512</v>
      </c>
      <c r="M189" s="451"/>
      <c r="N189" s="459"/>
      <c r="O189" s="430"/>
      <c r="P189" s="531" t="str">
        <f>VLOOKUP(B189,正厂竞争者数据汇总!D:M,6,FALSE)</f>
        <v>2023年9月新增</v>
      </c>
      <c r="Q189" s="429"/>
      <c r="R189" s="421"/>
      <c r="S189" s="473">
        <v>164</v>
      </c>
      <c r="T189" s="473">
        <v>77</v>
      </c>
      <c r="U189" s="466"/>
      <c r="V189" s="466"/>
      <c r="W189" s="421"/>
      <c r="X189" s="421"/>
      <c r="Y189" s="200" t="s">
        <v>343</v>
      </c>
      <c r="Z189" s="200">
        <v>164</v>
      </c>
      <c r="AA189" s="200">
        <v>77</v>
      </c>
      <c r="AB189" s="410">
        <f t="shared" si="8"/>
        <v>1</v>
      </c>
      <c r="AC189" s="409">
        <f t="shared" si="6"/>
        <v>164</v>
      </c>
      <c r="AD189" s="409">
        <f t="shared" si="7"/>
        <v>77</v>
      </c>
    </row>
    <row r="190" s="408" customFormat="1" spans="1:30">
      <c r="A190" s="428" t="s">
        <v>230</v>
      </c>
      <c r="B190" s="438" t="s">
        <v>349</v>
      </c>
      <c r="C190" s="429" t="str">
        <f>VLOOKUP(B190,正厂竞争者数据汇总!D:H,2,FALSE)</f>
        <v>Motor目录</v>
      </c>
      <c r="D190" s="421" t="str">
        <f>VLOOKUP(B190,正厂竞争者数据汇总!D:H,3,FALSE)</f>
        <v>-</v>
      </c>
      <c r="E190" s="430">
        <f>VLOOKUP(B190,正厂竞争者数据汇总!D:H,4,FALSE)</f>
        <v>0</v>
      </c>
      <c r="F190" s="430">
        <v>11656.1666666667</v>
      </c>
      <c r="G190" s="430">
        <v>1374.75</v>
      </c>
      <c r="H190" s="430">
        <v>65379.75</v>
      </c>
      <c r="I190" s="453">
        <f t="shared" si="9"/>
        <v>7.47875371279629</v>
      </c>
      <c r="J190" s="451">
        <v>0.0461650421701419</v>
      </c>
      <c r="K190" s="451">
        <v>0.0515292028704308</v>
      </c>
      <c r="L190" s="451">
        <v>0.0562731153954811</v>
      </c>
      <c r="M190" s="451"/>
      <c r="N190" s="459"/>
      <c r="O190" s="430"/>
      <c r="P190" s="531" t="str">
        <f>VLOOKUP(B190,正厂竞争者数据汇总!D:M,6,FALSE)</f>
        <v>2023年9月新增</v>
      </c>
      <c r="Q190" s="429"/>
      <c r="R190" s="421"/>
      <c r="S190" s="473">
        <v>273</v>
      </c>
      <c r="T190" s="473">
        <v>111</v>
      </c>
      <c r="U190" s="466"/>
      <c r="V190" s="466"/>
      <c r="W190" s="421"/>
      <c r="X190" s="421"/>
      <c r="Y190" s="200" t="s">
        <v>349</v>
      </c>
      <c r="Z190" s="200">
        <v>273</v>
      </c>
      <c r="AA190" s="200">
        <v>111</v>
      </c>
      <c r="AB190" s="410">
        <f t="shared" si="8"/>
        <v>1</v>
      </c>
      <c r="AC190" s="409">
        <f t="shared" si="6"/>
        <v>273</v>
      </c>
      <c r="AD190" s="409">
        <f t="shared" si="7"/>
        <v>111</v>
      </c>
    </row>
    <row r="191" s="408" customFormat="1" spans="1:30">
      <c r="A191" s="428" t="s">
        <v>230</v>
      </c>
      <c r="B191" s="438" t="s">
        <v>350</v>
      </c>
      <c r="C191" s="255" t="s">
        <v>351</v>
      </c>
      <c r="D191" s="421" t="str">
        <f>VLOOKUP(B191,正厂竞争者数据汇总!D:H,3,FALSE)</f>
        <v>UT</v>
      </c>
      <c r="E191" s="430">
        <f>VLOOKUP(B191,正厂竞争者数据汇总!D:H,4,FALSE)</f>
        <v>0</v>
      </c>
      <c r="F191" s="430">
        <v>7446.52833333334</v>
      </c>
      <c r="G191" s="430">
        <v>1374.75</v>
      </c>
      <c r="H191" s="430">
        <v>65379.75</v>
      </c>
      <c r="I191" s="453">
        <f t="shared" si="9"/>
        <v>4.4166418136631</v>
      </c>
      <c r="J191" s="451">
        <v>0.0294924827655881</v>
      </c>
      <c r="K191" s="451">
        <v>0.034208013180888</v>
      </c>
      <c r="L191" s="451">
        <v>0.0436497491024753</v>
      </c>
      <c r="M191" s="451"/>
      <c r="N191" s="459"/>
      <c r="O191" s="430"/>
      <c r="P191" s="531"/>
      <c r="Q191" s="429"/>
      <c r="R191" s="421"/>
      <c r="S191" s="473">
        <v>4789</v>
      </c>
      <c r="T191" s="473">
        <v>75</v>
      </c>
      <c r="U191" s="466"/>
      <c r="V191" s="466"/>
      <c r="W191" s="421"/>
      <c r="X191" s="421"/>
      <c r="Y191" s="200" t="s">
        <v>350</v>
      </c>
      <c r="Z191" s="200">
        <v>4789</v>
      </c>
      <c r="AA191" s="200">
        <v>75</v>
      </c>
      <c r="AB191" s="410">
        <f t="shared" si="8"/>
        <v>1</v>
      </c>
      <c r="AC191" s="409">
        <f t="shared" si="6"/>
        <v>4789</v>
      </c>
      <c r="AD191" s="409">
        <f t="shared" si="7"/>
        <v>75</v>
      </c>
    </row>
    <row r="192" s="408" customFormat="1" spans="1:30">
      <c r="A192" s="428" t="s">
        <v>375</v>
      </c>
      <c r="B192" s="438" t="s">
        <v>376</v>
      </c>
      <c r="C192" s="429" t="str">
        <f>VLOOKUP(B192,正厂竞争者数据汇总!D:H,2,FALSE)</f>
        <v>无完整目录，category下放的PD</v>
      </c>
      <c r="D192" s="421" t="str">
        <f>VLOOKUP(B192,正厂竞争者数据汇总!D:H,3,FALSE)</f>
        <v>NY</v>
      </c>
      <c r="E192" s="430">
        <f>VLOOKUP(B192,正厂竞争者数据汇总!D:H,4,FALSE)</f>
        <v>0</v>
      </c>
      <c r="F192" s="430">
        <v>3345.72600000001</v>
      </c>
      <c r="G192" s="430">
        <v>1366.75</v>
      </c>
      <c r="H192" s="430">
        <v>65371.75</v>
      </c>
      <c r="I192" s="453">
        <f t="shared" si="9"/>
        <v>1.44794293030913</v>
      </c>
      <c r="J192" s="451">
        <v>0.0132509757535845</v>
      </c>
      <c r="K192" s="451">
        <v>0.0249476666135747</v>
      </c>
      <c r="L192" s="451">
        <v>0.0382285926402372</v>
      </c>
      <c r="M192" s="451"/>
      <c r="N192" s="459"/>
      <c r="O192" s="430"/>
      <c r="P192" s="531" t="str">
        <f>VLOOKUP(B192,正厂竞争者数据汇总!D:M,6,FALSE)</f>
        <v>同时经营Audi，BMW、Dodge、Jaguar、Land Rover、Mercedes-Benz、Mini、Porsche、Saab、Volkswagen、Volvo。折算比例：Audi：30.3%，MB：69.7%</v>
      </c>
      <c r="Q192" s="429"/>
      <c r="R192" s="421"/>
      <c r="S192" s="473">
        <v>23721</v>
      </c>
      <c r="T192" s="473">
        <v>1471</v>
      </c>
      <c r="U192" s="466"/>
      <c r="V192" s="466"/>
      <c r="W192" s="421"/>
      <c r="X192" s="421"/>
      <c r="Y192" s="200" t="s">
        <v>376</v>
      </c>
      <c r="Z192" s="200">
        <v>23721</v>
      </c>
      <c r="AA192" s="200">
        <v>1471</v>
      </c>
      <c r="AB192" s="410">
        <f t="shared" si="8"/>
        <v>1</v>
      </c>
      <c r="AC192" s="409">
        <f t="shared" si="6"/>
        <v>23721</v>
      </c>
      <c r="AD192" s="409">
        <f t="shared" si="7"/>
        <v>1471</v>
      </c>
    </row>
    <row r="193" s="408" customFormat="1" spans="1:30">
      <c r="A193" s="428"/>
      <c r="B193" s="421"/>
      <c r="C193" s="429"/>
      <c r="D193" s="421"/>
      <c r="E193" s="430"/>
      <c r="F193" s="430"/>
      <c r="G193" s="430">
        <v>100126.666666667</v>
      </c>
      <c r="H193" s="430"/>
      <c r="I193" s="453"/>
      <c r="J193" s="451"/>
      <c r="K193" s="451"/>
      <c r="L193" s="451"/>
      <c r="M193" s="451"/>
      <c r="N193" s="459"/>
      <c r="O193" s="430"/>
      <c r="P193" s="531"/>
      <c r="Q193" s="429"/>
      <c r="R193" s="421"/>
      <c r="S193" s="473" t="s">
        <v>180</v>
      </c>
      <c r="T193" s="473" t="s">
        <v>180</v>
      </c>
      <c r="U193" s="466"/>
      <c r="V193" s="466"/>
      <c r="W193" s="421"/>
      <c r="X193" s="421"/>
      <c r="Y193" s="200" t="s">
        <v>240</v>
      </c>
      <c r="Z193" s="200" t="s">
        <v>180</v>
      </c>
      <c r="AA193" s="200" t="s">
        <v>180</v>
      </c>
      <c r="AB193" s="410">
        <f t="shared" si="8"/>
        <v>0</v>
      </c>
      <c r="AC193" s="409" t="str">
        <f t="shared" si="6"/>
        <v/>
      </c>
      <c r="AD193" s="409" t="str">
        <f t="shared" si="7"/>
        <v/>
      </c>
    </row>
    <row r="194" s="408" customFormat="1" spans="1:30">
      <c r="A194" s="428"/>
      <c r="B194" s="421"/>
      <c r="C194" s="439"/>
      <c r="D194" s="421"/>
      <c r="E194" s="430"/>
      <c r="F194" s="430">
        <v>252489.0289</v>
      </c>
      <c r="G194" s="430"/>
      <c r="H194" s="430">
        <v>96860.5</v>
      </c>
      <c r="I194" s="453" t="e">
        <f>(F194/G194)-1</f>
        <v>#DIV/0!</v>
      </c>
      <c r="J194" s="430"/>
      <c r="K194" s="430"/>
      <c r="L194" s="430"/>
      <c r="M194" s="451"/>
      <c r="N194" s="459"/>
      <c r="O194" s="430"/>
      <c r="P194" s="531"/>
      <c r="Q194" s="429"/>
      <c r="R194" s="421"/>
      <c r="S194" s="473" t="s">
        <v>180</v>
      </c>
      <c r="T194" s="473" t="s">
        <v>180</v>
      </c>
      <c r="U194" s="466"/>
      <c r="V194" s="466"/>
      <c r="W194" s="421"/>
      <c r="X194" s="421"/>
      <c r="Y194" s="200" t="s">
        <v>240</v>
      </c>
      <c r="Z194" s="200" t="s">
        <v>180</v>
      </c>
      <c r="AA194" s="200" t="s">
        <v>180</v>
      </c>
      <c r="AB194" s="410">
        <f t="shared" si="8"/>
        <v>0</v>
      </c>
      <c r="AC194" s="409" t="str">
        <f t="shared" si="6"/>
        <v/>
      </c>
      <c r="AD194" s="409" t="str">
        <f t="shared" si="7"/>
        <v/>
      </c>
    </row>
    <row r="195" s="408" customFormat="1" spans="1:30">
      <c r="A195" s="428"/>
      <c r="B195" s="421"/>
      <c r="C195" s="439"/>
      <c r="D195" s="421"/>
      <c r="E195" s="421"/>
      <c r="F195" s="430"/>
      <c r="G195" s="430"/>
      <c r="H195" s="430"/>
      <c r="I195" s="453"/>
      <c r="J195" s="430"/>
      <c r="K195" s="430"/>
      <c r="L195" s="430"/>
      <c r="M195" s="451"/>
      <c r="N195" s="459"/>
      <c r="O195" s="430"/>
      <c r="P195" s="531"/>
      <c r="Q195" s="429"/>
      <c r="R195" s="421"/>
      <c r="S195" s="473" t="s">
        <v>180</v>
      </c>
      <c r="T195" s="473" t="s">
        <v>180</v>
      </c>
      <c r="U195" s="466"/>
      <c r="V195" s="466"/>
      <c r="W195" s="421"/>
      <c r="X195" s="421"/>
      <c r="Y195" s="200" t="s">
        <v>240</v>
      </c>
      <c r="Z195" s="200" t="s">
        <v>180</v>
      </c>
      <c r="AA195" s="200" t="s">
        <v>180</v>
      </c>
      <c r="AB195" s="410">
        <f t="shared" si="8"/>
        <v>0</v>
      </c>
      <c r="AC195" s="409" t="str">
        <f t="shared" ref="AC195:AC258" si="10">IF(Y195="Competitors","Forum Link",Z195)</f>
        <v/>
      </c>
      <c r="AD195" s="409" t="str">
        <f t="shared" ref="AD195:AD258" si="11">IF(Y195="Competitors","Domains",AA195)</f>
        <v/>
      </c>
    </row>
    <row r="196" s="408" customFormat="1" ht="17.4" spans="1:30">
      <c r="A196" s="418" t="s">
        <v>191</v>
      </c>
      <c r="B196" s="419"/>
      <c r="C196" s="420"/>
      <c r="D196" s="421"/>
      <c r="E196" s="422" t="s">
        <v>202</v>
      </c>
      <c r="F196" s="422"/>
      <c r="G196" s="422" t="s">
        <v>212</v>
      </c>
      <c r="H196" s="422"/>
      <c r="I196" s="422"/>
      <c r="J196" s="422"/>
      <c r="K196" s="422"/>
      <c r="L196" s="422"/>
      <c r="M196" s="443"/>
      <c r="N196" s="422"/>
      <c r="O196" s="422"/>
      <c r="P196" s="531"/>
      <c r="Q196" s="465"/>
      <c r="R196" s="424"/>
      <c r="S196" s="473" t="s">
        <v>180</v>
      </c>
      <c r="T196" s="473" t="s">
        <v>180</v>
      </c>
      <c r="U196" s="467"/>
      <c r="V196" s="467"/>
      <c r="W196" s="467"/>
      <c r="X196" s="467"/>
      <c r="Y196" s="200" t="s">
        <v>240</v>
      </c>
      <c r="Z196" s="200" t="s">
        <v>180</v>
      </c>
      <c r="AA196" s="200" t="s">
        <v>180</v>
      </c>
      <c r="AB196" s="410">
        <f t="shared" ref="AB196:AB259" si="12">IF(B196=Y196,1,0)</f>
        <v>0</v>
      </c>
      <c r="AC196" s="409" t="str">
        <f t="shared" si="10"/>
        <v/>
      </c>
      <c r="AD196" s="409" t="str">
        <f t="shared" si="11"/>
        <v/>
      </c>
    </row>
    <row r="197" s="409" customFormat="1" ht="48.6" spans="1:30">
      <c r="A197" s="423" t="s">
        <v>206</v>
      </c>
      <c r="B197" s="424" t="s">
        <v>207</v>
      </c>
      <c r="C197" s="425" t="s">
        <v>208</v>
      </c>
      <c r="D197" s="424" t="s">
        <v>209</v>
      </c>
      <c r="E197" s="426" t="s">
        <v>210</v>
      </c>
      <c r="F197" s="427" t="s">
        <v>396</v>
      </c>
      <c r="G197" s="427">
        <v>116448.583333333</v>
      </c>
      <c r="H197" s="427" t="s">
        <v>397</v>
      </c>
      <c r="I197" s="427" t="s">
        <v>214</v>
      </c>
      <c r="J197" s="446" t="s">
        <v>387</v>
      </c>
      <c r="K197" s="446" t="s">
        <v>398</v>
      </c>
      <c r="L197" s="446" t="s">
        <v>399</v>
      </c>
      <c r="M197" s="447" t="s">
        <v>218</v>
      </c>
      <c r="N197" s="448" t="s">
        <v>219</v>
      </c>
      <c r="O197" s="449" t="s">
        <v>220</v>
      </c>
      <c r="P197" s="530" t="s">
        <v>221</v>
      </c>
      <c r="Q197" s="469" t="s">
        <v>222</v>
      </c>
      <c r="R197" s="426" t="s">
        <v>223</v>
      </c>
      <c r="S197" s="470" t="s">
        <v>224</v>
      </c>
      <c r="T197" s="470" t="s">
        <v>205</v>
      </c>
      <c r="U197" s="467" t="s">
        <v>225</v>
      </c>
      <c r="V197" s="470" t="s">
        <v>226</v>
      </c>
      <c r="W197" s="467"/>
      <c r="X197" s="467"/>
      <c r="Y197" s="200" t="s">
        <v>207</v>
      </c>
      <c r="Z197" s="200" t="s">
        <v>180</v>
      </c>
      <c r="AA197" s="200" t="s">
        <v>180</v>
      </c>
      <c r="AB197" s="410">
        <f t="shared" si="12"/>
        <v>1</v>
      </c>
      <c r="AC197" s="409" t="str">
        <f t="shared" si="10"/>
        <v>Forum Link</v>
      </c>
      <c r="AD197" s="409" t="str">
        <f t="shared" si="11"/>
        <v>Domains</v>
      </c>
    </row>
    <row r="198" s="408" customFormat="1" spans="1:30">
      <c r="A198" s="428" t="s">
        <v>325</v>
      </c>
      <c r="B198" s="421" t="s">
        <v>357</v>
      </c>
      <c r="C198" s="429" t="str">
        <f>VLOOKUP(B198,正厂竞争者数据汇总!D:H,2,FALSE)</f>
        <v>原厂目录</v>
      </c>
      <c r="D198" s="421" t="str">
        <f>VLOOKUP(B198,正厂竞争者数据汇总!D:H,3,FALSE)</f>
        <v>IL</v>
      </c>
      <c r="E198" s="430">
        <f>VLOOKUP(B198,正厂竞争者数据汇总!D:H,4,FALSE)</f>
        <v>0</v>
      </c>
      <c r="F198" s="430">
        <v>98328.53</v>
      </c>
      <c r="G198" s="430">
        <v>0</v>
      </c>
      <c r="H198" s="430">
        <v>99768.6666666667</v>
      </c>
      <c r="I198" s="453" t="e">
        <f>(F198/G198)-1</f>
        <v>#DIV/0!</v>
      </c>
      <c r="J198" s="451">
        <v>0.46564998899695</v>
      </c>
      <c r="K198" s="451">
        <v>0.487665740398558</v>
      </c>
      <c r="L198" s="451">
        <v>0.502313661817666</v>
      </c>
      <c r="M198" s="451" t="e">
        <f>J198-#REF!</f>
        <v>#REF!</v>
      </c>
      <c r="N198" s="459"/>
      <c r="O198" s="430"/>
      <c r="P198" s="531">
        <f>VLOOKUP(B198,正厂竞争者数据汇总!D:M,6,FALSE)</f>
        <v>0</v>
      </c>
      <c r="Q198" s="429" t="s">
        <v>180</v>
      </c>
      <c r="R198" s="421" t="s">
        <v>180</v>
      </c>
      <c r="S198" s="473">
        <v>28892</v>
      </c>
      <c r="T198" s="473">
        <v>2244</v>
      </c>
      <c r="U198" s="466"/>
      <c r="V198" s="466"/>
      <c r="W198" s="421"/>
      <c r="X198" s="421"/>
      <c r="Y198" s="200" t="s">
        <v>357</v>
      </c>
      <c r="Z198" s="200">
        <v>28892</v>
      </c>
      <c r="AA198" s="200">
        <v>2244</v>
      </c>
      <c r="AB198" s="410">
        <f t="shared" si="12"/>
        <v>1</v>
      </c>
      <c r="AC198" s="409">
        <f t="shared" si="10"/>
        <v>28892</v>
      </c>
      <c r="AD198" s="409">
        <f t="shared" si="11"/>
        <v>2244</v>
      </c>
    </row>
    <row r="199" s="408" customFormat="1" spans="1:30">
      <c r="A199" s="428" t="s">
        <v>230</v>
      </c>
      <c r="B199" s="421" t="s">
        <v>364</v>
      </c>
      <c r="C199" s="429" t="str">
        <f>VLOOKUP(B199,正厂竞争者数据汇总!D:H,2,FALSE)</f>
        <v>Motor目录</v>
      </c>
      <c r="D199" s="421" t="str">
        <f>VLOOKUP(B199,正厂竞争者数据汇总!D:H,3,FALSE)</f>
        <v>TX</v>
      </c>
      <c r="E199" s="430"/>
      <c r="F199" s="430">
        <v>40088.0214333333</v>
      </c>
      <c r="G199" s="430"/>
      <c r="H199" s="430"/>
      <c r="I199" s="453"/>
      <c r="J199" s="451">
        <v>0.189843036800623</v>
      </c>
      <c r="K199" s="451">
        <v>0.186142807802793</v>
      </c>
      <c r="L199" s="451">
        <v>0.174975928001679</v>
      </c>
      <c r="M199" s="451"/>
      <c r="N199" s="459"/>
      <c r="O199" s="430"/>
      <c r="P199" s="531" t="str">
        <f>VLOOKUP(B199,正厂竞争者数据汇总!D:M,6,FALSE)</f>
        <v>2023年9月新增，202402导流到myswedishparts.com</v>
      </c>
      <c r="Q199" s="429"/>
      <c r="R199" s="421"/>
      <c r="S199" s="473">
        <v>1813</v>
      </c>
      <c r="T199" s="473">
        <v>302</v>
      </c>
      <c r="U199" s="466"/>
      <c r="V199" s="466"/>
      <c r="W199" s="421"/>
      <c r="X199" s="421"/>
      <c r="Y199" s="200" t="s">
        <v>364</v>
      </c>
      <c r="Z199" s="200">
        <v>1813</v>
      </c>
      <c r="AA199" s="200">
        <v>302</v>
      </c>
      <c r="AB199" s="410">
        <f t="shared" si="12"/>
        <v>1</v>
      </c>
      <c r="AC199" s="409">
        <f t="shared" si="10"/>
        <v>1813</v>
      </c>
      <c r="AD199" s="409">
        <f t="shared" si="11"/>
        <v>302</v>
      </c>
    </row>
    <row r="200" s="408" customFormat="1" spans="1:30">
      <c r="A200" s="428" t="s">
        <v>230</v>
      </c>
      <c r="B200" s="421" t="s">
        <v>358</v>
      </c>
      <c r="C200" s="429" t="str">
        <f>VLOOKUP(B200,正厂竞争者数据汇总!D:H,2,FALSE)</f>
        <v>Motor目录</v>
      </c>
      <c r="D200" s="421" t="str">
        <f>VLOOKUP(B200,正厂竞争者数据汇总!D:H,3,FALSE)</f>
        <v>CT</v>
      </c>
      <c r="E200" s="430"/>
      <c r="F200" s="430">
        <v>29403.8266666667</v>
      </c>
      <c r="G200" s="430"/>
      <c r="H200" s="430"/>
      <c r="I200" s="453"/>
      <c r="J200" s="451">
        <v>0.139246377056604</v>
      </c>
      <c r="K200" s="451">
        <v>0.0821453629474613</v>
      </c>
      <c r="L200" s="451">
        <v>0.102454336794175</v>
      </c>
      <c r="M200" s="451"/>
      <c r="N200" s="459"/>
      <c r="O200" s="430"/>
      <c r="P200" s="531" t="str">
        <f>VLOOKUP(B200,正厂竞争者数据汇总!D:M,6,FALSE)</f>
        <v>2023年9月新增</v>
      </c>
      <c r="Q200" s="429"/>
      <c r="R200" s="421"/>
      <c r="S200" s="473">
        <v>449</v>
      </c>
      <c r="T200" s="473">
        <v>99</v>
      </c>
      <c r="U200" s="466"/>
      <c r="V200" s="466"/>
      <c r="W200" s="421"/>
      <c r="X200" s="421"/>
      <c r="Y200" s="200" t="s">
        <v>358</v>
      </c>
      <c r="Z200" s="200">
        <v>449</v>
      </c>
      <c r="AA200" s="200">
        <v>99</v>
      </c>
      <c r="AB200" s="410">
        <f t="shared" si="12"/>
        <v>1</v>
      </c>
      <c r="AC200" s="409">
        <f t="shared" si="10"/>
        <v>449</v>
      </c>
      <c r="AD200" s="409">
        <f t="shared" si="11"/>
        <v>99</v>
      </c>
    </row>
    <row r="201" s="408" customFormat="1" spans="1:30">
      <c r="A201" s="428" t="s">
        <v>325</v>
      </c>
      <c r="B201" s="421" t="s">
        <v>362</v>
      </c>
      <c r="C201" s="429" t="str">
        <f>VLOOKUP(B201,正厂竞争者数据汇总!D:H,2,FALSE)</f>
        <v>原厂目录</v>
      </c>
      <c r="D201" s="421" t="str">
        <f>VLOOKUP(B201,正厂竞争者数据汇总!D:H,3,FALSE)</f>
        <v>CA</v>
      </c>
      <c r="E201" s="430"/>
      <c r="F201" s="430">
        <v>16576.6516666667</v>
      </c>
      <c r="G201" s="430"/>
      <c r="H201" s="430"/>
      <c r="I201" s="453"/>
      <c r="J201" s="451">
        <v>0.0785013023808006</v>
      </c>
      <c r="K201" s="451">
        <v>0.0950976480505117</v>
      </c>
      <c r="L201" s="451">
        <v>0.106754374209381</v>
      </c>
      <c r="M201" s="451"/>
      <c r="N201" s="459"/>
      <c r="O201" s="430"/>
      <c r="P201" s="531">
        <f>VLOOKUP(B201,正厂竞争者数据汇总!D:M,6,FALSE)</f>
        <v>0</v>
      </c>
      <c r="Q201" s="429"/>
      <c r="R201" s="421"/>
      <c r="S201" s="473">
        <v>687</v>
      </c>
      <c r="T201" s="473">
        <v>173</v>
      </c>
      <c r="U201" s="466"/>
      <c r="V201" s="466"/>
      <c r="W201" s="421"/>
      <c r="X201" s="421"/>
      <c r="Y201" s="200" t="s">
        <v>362</v>
      </c>
      <c r="Z201" s="200">
        <v>687</v>
      </c>
      <c r="AA201" s="200">
        <v>173</v>
      </c>
      <c r="AB201" s="410">
        <f t="shared" si="12"/>
        <v>1</v>
      </c>
      <c r="AC201" s="409">
        <f t="shared" si="10"/>
        <v>687</v>
      </c>
      <c r="AD201" s="409">
        <f t="shared" si="11"/>
        <v>173</v>
      </c>
    </row>
    <row r="202" s="408" customFormat="1" spans="1:30">
      <c r="A202" s="428" t="s">
        <v>325</v>
      </c>
      <c r="B202" s="421" t="s">
        <v>363</v>
      </c>
      <c r="C202" s="429" t="str">
        <f>VLOOKUP(B202,正厂竞争者数据汇总!D:H,2,FALSE)</f>
        <v>原厂目录</v>
      </c>
      <c r="D202" s="421" t="str">
        <f>VLOOKUP(B202,正厂竞争者数据汇总!D:H,3,FALSE)</f>
        <v>MD</v>
      </c>
      <c r="E202" s="430"/>
      <c r="F202" s="430">
        <v>12025.25</v>
      </c>
      <c r="G202" s="430"/>
      <c r="H202" s="430"/>
      <c r="I202" s="453"/>
      <c r="J202" s="451">
        <v>0.0569474345867428</v>
      </c>
      <c r="K202" s="451">
        <v>0.080817261390427</v>
      </c>
      <c r="L202" s="451">
        <v>0.0578558763175691</v>
      </c>
      <c r="M202" s="451"/>
      <c r="N202" s="459"/>
      <c r="O202" s="430"/>
      <c r="P202" s="531"/>
      <c r="Q202" s="429"/>
      <c r="R202" s="421"/>
      <c r="S202" s="473">
        <v>147</v>
      </c>
      <c r="T202" s="473">
        <v>41</v>
      </c>
      <c r="U202" s="466"/>
      <c r="V202" s="466"/>
      <c r="W202" s="421"/>
      <c r="X202" s="421"/>
      <c r="Y202" s="200" t="s">
        <v>363</v>
      </c>
      <c r="Z202" s="200">
        <v>147</v>
      </c>
      <c r="AA202" s="200">
        <v>41</v>
      </c>
      <c r="AB202" s="410">
        <f t="shared" si="12"/>
        <v>1</v>
      </c>
      <c r="AC202" s="409">
        <f t="shared" si="10"/>
        <v>147</v>
      </c>
      <c r="AD202" s="409">
        <f t="shared" si="11"/>
        <v>41</v>
      </c>
    </row>
    <row r="203" s="408" customFormat="1" spans="1:30">
      <c r="A203" s="428" t="s">
        <v>230</v>
      </c>
      <c r="B203" s="421" t="s">
        <v>359</v>
      </c>
      <c r="C203" s="429" t="str">
        <f>VLOOKUP(B203,正厂竞争者数据汇总!D:H,2,FALSE)</f>
        <v>Motor目录</v>
      </c>
      <c r="D203" s="421" t="str">
        <f>VLOOKUP(B203,正厂竞争者数据汇总!D:H,3,FALSE)</f>
        <v>NY</v>
      </c>
      <c r="E203" s="430"/>
      <c r="F203" s="430">
        <v>14741.754</v>
      </c>
      <c r="G203" s="430"/>
      <c r="H203" s="430"/>
      <c r="I203" s="453"/>
      <c r="J203" s="451">
        <v>0.0698118601782794</v>
      </c>
      <c r="K203" s="451">
        <v>0.0681311794102495</v>
      </c>
      <c r="L203" s="451">
        <v>0.0556458228595288</v>
      </c>
      <c r="M203" s="451"/>
      <c r="N203" s="459"/>
      <c r="O203" s="430"/>
      <c r="P203" s="531" t="str">
        <f>VLOOKUP(B203,正厂竞争者数据汇总!D:M,6,FALSE)</f>
        <v>2023年9月新增</v>
      </c>
      <c r="Q203" s="429"/>
      <c r="R203" s="421"/>
      <c r="S203" s="473">
        <v>356</v>
      </c>
      <c r="T203" s="473">
        <v>114</v>
      </c>
      <c r="U203" s="466"/>
      <c r="V203" s="466"/>
      <c r="W203" s="421"/>
      <c r="X203" s="421"/>
      <c r="Y203" s="200" t="s">
        <v>359</v>
      </c>
      <c r="Z203" s="200">
        <v>356</v>
      </c>
      <c r="AA203" s="200">
        <v>114</v>
      </c>
      <c r="AB203" s="410">
        <f t="shared" si="12"/>
        <v>1</v>
      </c>
      <c r="AC203" s="409">
        <f t="shared" si="10"/>
        <v>356</v>
      </c>
      <c r="AD203" s="409">
        <f t="shared" si="11"/>
        <v>114</v>
      </c>
    </row>
    <row r="204" s="408" customFormat="1" spans="1:30">
      <c r="A204" s="428"/>
      <c r="B204" s="438"/>
      <c r="C204" s="429"/>
      <c r="D204" s="421"/>
      <c r="E204" s="430"/>
      <c r="F204" s="430"/>
      <c r="G204" s="430">
        <v>131075.583333333</v>
      </c>
      <c r="H204" s="430"/>
      <c r="I204" s="453"/>
      <c r="J204" s="451"/>
      <c r="K204" s="451"/>
      <c r="L204" s="451"/>
      <c r="M204" s="451"/>
      <c r="N204" s="459"/>
      <c r="O204" s="430"/>
      <c r="P204" s="531"/>
      <c r="Q204" s="429"/>
      <c r="R204" s="421"/>
      <c r="S204" s="473" t="s">
        <v>180</v>
      </c>
      <c r="T204" s="473" t="s">
        <v>180</v>
      </c>
      <c r="U204" s="466"/>
      <c r="V204" s="466"/>
      <c r="W204" s="421"/>
      <c r="X204" s="421"/>
      <c r="Y204" s="200" t="s">
        <v>240</v>
      </c>
      <c r="Z204" s="200" t="s">
        <v>180</v>
      </c>
      <c r="AA204" s="200" t="s">
        <v>180</v>
      </c>
      <c r="AB204" s="410">
        <f t="shared" si="12"/>
        <v>0</v>
      </c>
      <c r="AC204" s="409" t="str">
        <f t="shared" si="10"/>
        <v/>
      </c>
      <c r="AD204" s="409" t="str">
        <f t="shared" si="11"/>
        <v/>
      </c>
    </row>
    <row r="205" s="408" customFormat="1" spans="1:30">
      <c r="A205" s="428"/>
      <c r="B205" s="421"/>
      <c r="C205" s="439"/>
      <c r="D205" s="421"/>
      <c r="E205" s="421"/>
      <c r="F205" s="496">
        <v>211164.033766667</v>
      </c>
      <c r="G205" s="496"/>
      <c r="H205" s="496">
        <v>117816.916666667</v>
      </c>
      <c r="I205" s="453" t="e">
        <f>(F205/G205)-1</f>
        <v>#DIV/0!</v>
      </c>
      <c r="J205" s="430"/>
      <c r="K205" s="430"/>
      <c r="L205" s="430"/>
      <c r="M205" s="451"/>
      <c r="N205" s="459"/>
      <c r="O205" s="430"/>
      <c r="P205" s="531"/>
      <c r="Q205" s="429"/>
      <c r="R205" s="421"/>
      <c r="S205" s="473" t="s">
        <v>180</v>
      </c>
      <c r="T205" s="473" t="s">
        <v>180</v>
      </c>
      <c r="U205" s="466"/>
      <c r="V205" s="466"/>
      <c r="W205" s="421"/>
      <c r="X205" s="421"/>
      <c r="Y205" s="200" t="s">
        <v>240</v>
      </c>
      <c r="Z205" s="200" t="s">
        <v>180</v>
      </c>
      <c r="AA205" s="200" t="s">
        <v>180</v>
      </c>
      <c r="AB205" s="410">
        <f t="shared" si="12"/>
        <v>0</v>
      </c>
      <c r="AC205" s="409" t="str">
        <f t="shared" si="10"/>
        <v/>
      </c>
      <c r="AD205" s="409" t="str">
        <f t="shared" si="11"/>
        <v/>
      </c>
    </row>
    <row r="206" s="408" customFormat="1" spans="1:30">
      <c r="A206" s="428"/>
      <c r="B206" s="438"/>
      <c r="C206" s="439"/>
      <c r="D206" s="421"/>
      <c r="E206" s="430"/>
      <c r="F206" s="430"/>
      <c r="G206" s="430"/>
      <c r="H206" s="430"/>
      <c r="I206" s="453"/>
      <c r="J206" s="430"/>
      <c r="K206" s="430"/>
      <c r="L206" s="430"/>
      <c r="M206" s="451"/>
      <c r="N206" s="459"/>
      <c r="O206" s="430"/>
      <c r="P206" s="531"/>
      <c r="Q206" s="429"/>
      <c r="R206" s="421"/>
      <c r="S206" s="473" t="s">
        <v>180</v>
      </c>
      <c r="T206" s="473" t="s">
        <v>180</v>
      </c>
      <c r="U206" s="466"/>
      <c r="V206" s="466"/>
      <c r="W206" s="421"/>
      <c r="X206" s="421"/>
      <c r="Y206" s="200" t="s">
        <v>240</v>
      </c>
      <c r="Z206" s="200" t="s">
        <v>180</v>
      </c>
      <c r="AA206" s="200" t="s">
        <v>180</v>
      </c>
      <c r="AB206" s="410">
        <f t="shared" si="12"/>
        <v>0</v>
      </c>
      <c r="AC206" s="409" t="str">
        <f t="shared" si="10"/>
        <v/>
      </c>
      <c r="AD206" s="409" t="str">
        <f t="shared" si="11"/>
        <v/>
      </c>
    </row>
    <row r="207" s="408" customFormat="1" ht="17.4" spans="1:30">
      <c r="A207" s="418" t="s">
        <v>193</v>
      </c>
      <c r="B207" s="419"/>
      <c r="C207" s="420"/>
      <c r="D207" s="421"/>
      <c r="E207" s="422" t="s">
        <v>202</v>
      </c>
      <c r="F207" s="422"/>
      <c r="G207" s="422" t="s">
        <v>212</v>
      </c>
      <c r="H207" s="422"/>
      <c r="I207" s="422"/>
      <c r="J207" s="422"/>
      <c r="K207" s="422"/>
      <c r="L207" s="422"/>
      <c r="M207" s="443"/>
      <c r="N207" s="422"/>
      <c r="O207" s="422"/>
      <c r="P207" s="531"/>
      <c r="Q207" s="465"/>
      <c r="R207" s="424"/>
      <c r="S207" s="473" t="s">
        <v>180</v>
      </c>
      <c r="T207" s="473" t="s">
        <v>180</v>
      </c>
      <c r="U207" s="467"/>
      <c r="V207" s="467"/>
      <c r="W207" s="467"/>
      <c r="X207" s="467"/>
      <c r="Y207" s="200" t="s">
        <v>240</v>
      </c>
      <c r="Z207" s="200" t="s">
        <v>180</v>
      </c>
      <c r="AA207" s="200" t="s">
        <v>180</v>
      </c>
      <c r="AB207" s="410">
        <f t="shared" si="12"/>
        <v>0</v>
      </c>
      <c r="AC207" s="409" t="str">
        <f t="shared" si="10"/>
        <v/>
      </c>
      <c r="AD207" s="409" t="str">
        <f t="shared" si="11"/>
        <v/>
      </c>
    </row>
    <row r="208" s="409" customFormat="1" ht="48.6" spans="1:30">
      <c r="A208" s="423" t="s">
        <v>206</v>
      </c>
      <c r="B208" s="424" t="s">
        <v>207</v>
      </c>
      <c r="C208" s="425" t="s">
        <v>208</v>
      </c>
      <c r="D208" s="424" t="s">
        <v>209</v>
      </c>
      <c r="E208" s="426" t="s">
        <v>210</v>
      </c>
      <c r="F208" s="427" t="s">
        <v>396</v>
      </c>
      <c r="G208" s="427">
        <v>116448.583333333</v>
      </c>
      <c r="H208" s="427" t="s">
        <v>397</v>
      </c>
      <c r="I208" s="427" t="s">
        <v>214</v>
      </c>
      <c r="J208" s="446" t="s">
        <v>387</v>
      </c>
      <c r="K208" s="446" t="s">
        <v>398</v>
      </c>
      <c r="L208" s="446" t="s">
        <v>399</v>
      </c>
      <c r="M208" s="447" t="s">
        <v>218</v>
      </c>
      <c r="N208" s="448" t="s">
        <v>219</v>
      </c>
      <c r="O208" s="449" t="s">
        <v>220</v>
      </c>
      <c r="P208" s="530" t="s">
        <v>221</v>
      </c>
      <c r="Q208" s="469" t="s">
        <v>222</v>
      </c>
      <c r="R208" s="426" t="s">
        <v>223</v>
      </c>
      <c r="S208" s="470" t="s">
        <v>224</v>
      </c>
      <c r="T208" s="470" t="s">
        <v>205</v>
      </c>
      <c r="U208" s="467" t="s">
        <v>225</v>
      </c>
      <c r="V208" s="470" t="s">
        <v>226</v>
      </c>
      <c r="W208" s="467"/>
      <c r="X208" s="467"/>
      <c r="Y208" s="200" t="s">
        <v>207</v>
      </c>
      <c r="Z208" s="200" t="s">
        <v>180</v>
      </c>
      <c r="AA208" s="200" t="s">
        <v>180</v>
      </c>
      <c r="AB208" s="410">
        <f t="shared" si="12"/>
        <v>1</v>
      </c>
      <c r="AC208" s="409" t="str">
        <f t="shared" si="10"/>
        <v>Forum Link</v>
      </c>
      <c r="AD208" s="409" t="str">
        <f t="shared" si="11"/>
        <v>Domains</v>
      </c>
    </row>
    <row r="209" s="408" customFormat="1" spans="1:30">
      <c r="A209" s="428" t="s">
        <v>230</v>
      </c>
      <c r="B209" s="438" t="s">
        <v>365</v>
      </c>
      <c r="C209" s="429" t="str">
        <f>VLOOKUP(B209,正厂竞争者数据汇总!D:H,2,FALSE)</f>
        <v>Motor目录</v>
      </c>
      <c r="D209" s="421" t="str">
        <f>VLOOKUP(B209,正厂竞争者数据汇总!D:H,3,FALSE)</f>
        <v>OR</v>
      </c>
      <c r="E209" s="430">
        <f>VLOOKUP(B209,正厂竞争者数据汇总!D:H,4,FALSE)</f>
        <v>0</v>
      </c>
      <c r="F209" s="430">
        <v>59105.5833333333</v>
      </c>
      <c r="G209" s="430">
        <v>38319.6666666667</v>
      </c>
      <c r="H209" s="430">
        <v>273188.083333333</v>
      </c>
      <c r="I209" s="453"/>
      <c r="J209" s="451">
        <v>0.29130878395855</v>
      </c>
      <c r="K209" s="451">
        <v>0.274097233511992</v>
      </c>
      <c r="L209" s="451">
        <v>0.26929171707616</v>
      </c>
      <c r="M209" s="451"/>
      <c r="N209" s="459"/>
      <c r="O209" s="430"/>
      <c r="P209" s="531">
        <f>VLOOKUP(B209,正厂竞争者数据汇总!D:M,6,FALSE)</f>
        <v>0</v>
      </c>
      <c r="Q209" s="429" t="s">
        <v>180</v>
      </c>
      <c r="R209" s="421" t="s">
        <v>180</v>
      </c>
      <c r="S209" s="473">
        <v>1749</v>
      </c>
      <c r="T209" s="473">
        <v>336</v>
      </c>
      <c r="U209" s="466"/>
      <c r="V209" s="466"/>
      <c r="W209" s="421"/>
      <c r="X209" s="421"/>
      <c r="Y209" s="200" t="s">
        <v>365</v>
      </c>
      <c r="Z209" s="200">
        <v>1749</v>
      </c>
      <c r="AA209" s="200">
        <v>336</v>
      </c>
      <c r="AB209" s="410">
        <f t="shared" si="12"/>
        <v>1</v>
      </c>
      <c r="AC209" s="409">
        <f t="shared" si="10"/>
        <v>1749</v>
      </c>
      <c r="AD209" s="409">
        <f t="shared" si="11"/>
        <v>336</v>
      </c>
    </row>
    <row r="210" s="408" customFormat="1" spans="1:30">
      <c r="A210" s="428" t="s">
        <v>230</v>
      </c>
      <c r="B210" s="438" t="s">
        <v>366</v>
      </c>
      <c r="C210" s="429" t="s">
        <v>65</v>
      </c>
      <c r="D210" s="421" t="s">
        <v>49</v>
      </c>
      <c r="E210" s="430"/>
      <c r="F210" s="430">
        <v>45178.3782666667</v>
      </c>
      <c r="G210" s="430">
        <v>38321.6666666667</v>
      </c>
      <c r="H210" s="430">
        <v>273190.083333333</v>
      </c>
      <c r="I210" s="453"/>
      <c r="J210" s="451">
        <v>0.222666924034228</v>
      </c>
      <c r="K210" s="451">
        <v>0.240031611365367</v>
      </c>
      <c r="L210" s="451">
        <v>0.21854590575464</v>
      </c>
      <c r="M210" s="451"/>
      <c r="N210" s="459"/>
      <c r="O210" s="430"/>
      <c r="P210" s="531"/>
      <c r="Q210" s="429"/>
      <c r="R210" s="421"/>
      <c r="S210" s="473">
        <v>415</v>
      </c>
      <c r="T210" s="473">
        <v>134</v>
      </c>
      <c r="U210" s="466"/>
      <c r="V210" s="466"/>
      <c r="W210" s="421"/>
      <c r="X210" s="421"/>
      <c r="Y210" s="200" t="s">
        <v>366</v>
      </c>
      <c r="Z210" s="200">
        <v>415</v>
      </c>
      <c r="AA210" s="200">
        <v>134</v>
      </c>
      <c r="AB210" s="410">
        <f t="shared" si="12"/>
        <v>1</v>
      </c>
      <c r="AC210" s="409">
        <f t="shared" si="10"/>
        <v>415</v>
      </c>
      <c r="AD210" s="409">
        <f t="shared" si="11"/>
        <v>134</v>
      </c>
    </row>
    <row r="211" s="408" customFormat="1" spans="1:30">
      <c r="A211" s="428" t="s">
        <v>243</v>
      </c>
      <c r="B211" s="438" t="s">
        <v>369</v>
      </c>
      <c r="C211" s="429" t="str">
        <f>VLOOKUP(B211,正厂竞争者数据汇总!D:H,2,FALSE)</f>
        <v>旧年份原厂、新年份Motor</v>
      </c>
      <c r="D211" s="421" t="str">
        <f>VLOOKUP(B211,正厂竞争者数据汇总!D:H,3,FALSE)</f>
        <v>GA</v>
      </c>
      <c r="E211" s="430">
        <f>VLOOKUP(B211,正厂竞争者数据汇总!D:H,4,FALSE)</f>
        <v>0</v>
      </c>
      <c r="F211" s="430">
        <v>25242.4176</v>
      </c>
      <c r="G211" s="430">
        <v>38322.6666666667</v>
      </c>
      <c r="H211" s="430">
        <v>273191.083333333</v>
      </c>
      <c r="I211" s="453"/>
      <c r="J211" s="451">
        <v>0.124410208994298</v>
      </c>
      <c r="K211" s="451">
        <v>0.117252212563044</v>
      </c>
      <c r="L211" s="451">
        <v>0.128482887442892</v>
      </c>
      <c r="M211" s="451"/>
      <c r="N211" s="459"/>
      <c r="O211" s="430"/>
      <c r="P211" s="531">
        <f>VLOOKUP(B211,正厂竞争者数据汇总!D:M,6,FALSE)</f>
        <v>0</v>
      </c>
      <c r="Q211" s="429"/>
      <c r="R211" s="421"/>
      <c r="S211" s="473">
        <v>9481</v>
      </c>
      <c r="T211" s="473">
        <v>1271</v>
      </c>
      <c r="U211" s="466"/>
      <c r="V211" s="466"/>
      <c r="W211" s="421"/>
      <c r="X211" s="421"/>
      <c r="Y211" s="200" t="s">
        <v>369</v>
      </c>
      <c r="Z211" s="200">
        <v>9481</v>
      </c>
      <c r="AA211" s="200">
        <v>1271</v>
      </c>
      <c r="AB211" s="410">
        <f t="shared" si="12"/>
        <v>1</v>
      </c>
      <c r="AC211" s="409">
        <f t="shared" si="10"/>
        <v>9481</v>
      </c>
      <c r="AD211" s="409">
        <f t="shared" si="11"/>
        <v>1271</v>
      </c>
    </row>
    <row r="212" s="408" customFormat="1" spans="1:30">
      <c r="A212" s="428" t="s">
        <v>367</v>
      </c>
      <c r="B212" s="438" t="s">
        <v>368</v>
      </c>
      <c r="C212" s="429" t="str">
        <f>VLOOKUP(B212,正厂竞争者数据汇总!D:H,2,FALSE)</f>
        <v>Motor目录</v>
      </c>
      <c r="D212" s="421" t="str">
        <f>VLOOKUP(B212,正厂竞争者数据汇总!D:H,3,FALSE)</f>
        <v>-</v>
      </c>
      <c r="E212" s="430">
        <f>VLOOKUP(B212,正厂竞争者数据汇总!D:H,4,FALSE)</f>
        <v>0</v>
      </c>
      <c r="F212" s="430">
        <v>23540.75</v>
      </c>
      <c r="G212" s="430">
        <v>38320.6666666667</v>
      </c>
      <c r="H212" s="430">
        <v>273189.083333333</v>
      </c>
      <c r="I212" s="453"/>
      <c r="J212" s="451">
        <v>0.116023341099568</v>
      </c>
      <c r="K212" s="451">
        <v>0.116420577294956</v>
      </c>
      <c r="L212" s="451">
        <v>0.117096450808569</v>
      </c>
      <c r="M212" s="451"/>
      <c r="N212" s="459"/>
      <c r="O212" s="430"/>
      <c r="P212" s="531">
        <f>VLOOKUP(B212,正厂竞争者数据汇总!D:M,6,FALSE)</f>
        <v>0</v>
      </c>
      <c r="Q212" s="429"/>
      <c r="R212" s="421"/>
      <c r="S212" s="473">
        <v>6126</v>
      </c>
      <c r="T212" s="473">
        <v>459</v>
      </c>
      <c r="U212" s="466"/>
      <c r="V212" s="466"/>
      <c r="W212" s="421"/>
      <c r="X212" s="421"/>
      <c r="Y212" s="200" t="s">
        <v>368</v>
      </c>
      <c r="Z212" s="200">
        <v>6126</v>
      </c>
      <c r="AA212" s="200">
        <v>459</v>
      </c>
      <c r="AB212" s="410">
        <f t="shared" si="12"/>
        <v>1</v>
      </c>
      <c r="AC212" s="409">
        <f t="shared" si="10"/>
        <v>6126</v>
      </c>
      <c r="AD212" s="409">
        <f t="shared" si="11"/>
        <v>459</v>
      </c>
    </row>
    <row r="213" s="408" customFormat="1" spans="1:30">
      <c r="A213" s="428" t="s">
        <v>230</v>
      </c>
      <c r="B213" s="438" t="s">
        <v>373</v>
      </c>
      <c r="C213" s="429" t="str">
        <f>VLOOKUP(B213,正厂竞争者数据汇总!D:H,2,FALSE)</f>
        <v>Motor目录</v>
      </c>
      <c r="D213" s="421" t="str">
        <f>VLOOKUP(B213,正厂竞争者数据汇总!D:H,3,FALSE)</f>
        <v>MA</v>
      </c>
      <c r="E213" s="430">
        <f>VLOOKUP(B213,正厂竞争者数据汇总!D:H,4,FALSE)</f>
        <v>3939</v>
      </c>
      <c r="F213" s="430">
        <v>12646.0233333333</v>
      </c>
      <c r="G213" s="430">
        <v>38321.6666666667</v>
      </c>
      <c r="H213" s="430">
        <v>273190.083333333</v>
      </c>
      <c r="I213" s="453"/>
      <c r="J213" s="451">
        <v>0.0623274058284643</v>
      </c>
      <c r="K213" s="451">
        <v>0.0591914663467416</v>
      </c>
      <c r="L213" s="451">
        <v>0.048561138467554</v>
      </c>
      <c r="M213" s="451"/>
      <c r="N213" s="459"/>
      <c r="O213" s="430"/>
      <c r="P213" s="531">
        <f>VLOOKUP(B213,正厂竞争者数据汇总!D:M,6,FALSE)</f>
        <v>0</v>
      </c>
      <c r="Q213" s="429"/>
      <c r="R213" s="421"/>
      <c r="S213" s="473">
        <v>43107</v>
      </c>
      <c r="T213" s="473">
        <v>86</v>
      </c>
      <c r="U213" s="466"/>
      <c r="V213" s="466"/>
      <c r="W213" s="421"/>
      <c r="X213" s="421"/>
      <c r="Y213" s="200" t="s">
        <v>373</v>
      </c>
      <c r="Z213" s="200">
        <v>43107</v>
      </c>
      <c r="AA213" s="200">
        <v>86</v>
      </c>
      <c r="AB213" s="410">
        <f t="shared" si="12"/>
        <v>1</v>
      </c>
      <c r="AC213" s="409">
        <f t="shared" si="10"/>
        <v>43107</v>
      </c>
      <c r="AD213" s="409">
        <f t="shared" si="11"/>
        <v>86</v>
      </c>
    </row>
    <row r="214" s="408" customFormat="1" spans="1:30">
      <c r="A214" s="255" t="s">
        <v>230</v>
      </c>
      <c r="B214" s="438" t="s">
        <v>374</v>
      </c>
      <c r="C214" s="429" t="str">
        <f>VLOOKUP(B214,正厂竞争者数据汇总!D:H,2,FALSE)</f>
        <v>Motor目录</v>
      </c>
      <c r="D214" s="421" t="str">
        <f>VLOOKUP(B214,正厂竞争者数据汇总!D:H,3,FALSE)</f>
        <v>CT</v>
      </c>
      <c r="E214" s="430">
        <f>VLOOKUP(B214,正厂竞争者数据汇总!D:H,4,FALSE)</f>
        <v>0</v>
      </c>
      <c r="F214" s="430">
        <v>10845.1741666667</v>
      </c>
      <c r="G214" s="430">
        <v>38327.6666666667</v>
      </c>
      <c r="H214" s="430">
        <v>273196.083333333</v>
      </c>
      <c r="I214" s="453"/>
      <c r="J214" s="451">
        <v>0.0534517099762492</v>
      </c>
      <c r="K214" s="451"/>
      <c r="L214" s="451"/>
      <c r="M214" s="451"/>
      <c r="N214" s="459"/>
      <c r="O214" s="430"/>
      <c r="P214" s="531" t="str">
        <f>VLOOKUP(B214,正厂竞争者数据汇总!D:M,6,FALSE)</f>
        <v>2023年9月同时经营Audi，Volkswagen，Volvo.计算折算比例：Audi:63%, VW:0%, Volvo:37%.2023年12月，因流量大于5%加入监控</v>
      </c>
      <c r="Q214" s="429"/>
      <c r="R214" s="421"/>
      <c r="S214" s="473">
        <v>1881</v>
      </c>
      <c r="T214" s="473">
        <v>105</v>
      </c>
      <c r="U214" s="466"/>
      <c r="V214" s="466"/>
      <c r="W214" s="421"/>
      <c r="X214" s="421"/>
      <c r="Y214" s="200" t="s">
        <v>374</v>
      </c>
      <c r="Z214" s="200">
        <v>1881</v>
      </c>
      <c r="AA214" s="200">
        <v>105</v>
      </c>
      <c r="AB214" s="410">
        <f t="shared" si="12"/>
        <v>1</v>
      </c>
      <c r="AC214" s="409">
        <f t="shared" si="10"/>
        <v>1881</v>
      </c>
      <c r="AD214" s="409">
        <f t="shared" si="11"/>
        <v>105</v>
      </c>
    </row>
    <row r="215" s="408" customFormat="1" spans="1:30">
      <c r="A215" s="428" t="s">
        <v>230</v>
      </c>
      <c r="B215" s="438" t="s">
        <v>372</v>
      </c>
      <c r="C215" s="429" t="str">
        <f>VLOOKUP(B215,正厂竞争者数据汇总!D:H,2,FALSE)</f>
        <v>Motor目录</v>
      </c>
      <c r="D215" s="421" t="str">
        <f>VLOOKUP(B215,正厂竞争者数据汇总!D:H,3,FALSE)</f>
        <v>NV</v>
      </c>
      <c r="E215" s="430">
        <f>VLOOKUP(B215,正厂竞争者数据汇总!D:H,4,FALSE)</f>
        <v>0</v>
      </c>
      <c r="F215" s="430">
        <v>10284.8961666667</v>
      </c>
      <c r="G215" s="430">
        <v>38326.6666666667</v>
      </c>
      <c r="H215" s="430">
        <v>273195.083333333</v>
      </c>
      <c r="I215" s="453"/>
      <c r="J215" s="451">
        <v>0.0506903142898508</v>
      </c>
      <c r="K215" s="451">
        <v>0.0563850321865149</v>
      </c>
      <c r="L215" s="451">
        <v>0.0419003259654262</v>
      </c>
      <c r="M215" s="451"/>
      <c r="N215" s="459"/>
      <c r="O215" s="430"/>
      <c r="P215" s="531" t="str">
        <f>VLOOKUP(B215,正厂竞争者数据汇总!D:M,6,FALSE)</f>
        <v>2023年9月新增</v>
      </c>
      <c r="Q215" s="429"/>
      <c r="R215" s="421"/>
      <c r="S215" s="473">
        <v>330</v>
      </c>
      <c r="T215" s="473">
        <v>54</v>
      </c>
      <c r="U215" s="466"/>
      <c r="V215" s="466"/>
      <c r="W215" s="421"/>
      <c r="X215" s="421"/>
      <c r="Y215" s="200" t="s">
        <v>372</v>
      </c>
      <c r="Z215" s="200">
        <v>330</v>
      </c>
      <c r="AA215" s="200">
        <v>54</v>
      </c>
      <c r="AB215" s="410">
        <f t="shared" si="12"/>
        <v>1</v>
      </c>
      <c r="AC215" s="409">
        <f t="shared" si="10"/>
        <v>330</v>
      </c>
      <c r="AD215" s="409">
        <f t="shared" si="11"/>
        <v>54</v>
      </c>
    </row>
    <row r="216" s="408" customFormat="1" ht="17.4" spans="1:30">
      <c r="A216" s="428" t="s">
        <v>230</v>
      </c>
      <c r="B216" s="438" t="s">
        <v>370</v>
      </c>
      <c r="C216" s="429" t="s">
        <v>247</v>
      </c>
      <c r="D216" s="421" t="s">
        <v>371</v>
      </c>
      <c r="E216" s="430"/>
      <c r="F216" s="430">
        <v>6001.75</v>
      </c>
      <c r="G216" s="430">
        <v>38321.6666666667</v>
      </c>
      <c r="H216" s="430">
        <v>273190.083333333</v>
      </c>
      <c r="I216" s="453"/>
      <c r="J216" s="451">
        <v>0.0295803271962163</v>
      </c>
      <c r="K216" s="451">
        <v>0.0541209528149401</v>
      </c>
      <c r="L216" s="451">
        <v>0.0660345362202244</v>
      </c>
      <c r="M216" s="451"/>
      <c r="N216" s="459"/>
      <c r="O216" s="430"/>
      <c r="P216" s="531"/>
      <c r="Q216" s="429"/>
      <c r="R216" s="421"/>
      <c r="S216" s="473">
        <v>16539</v>
      </c>
      <c r="T216" s="473">
        <v>147</v>
      </c>
      <c r="U216" s="466"/>
      <c r="V216" s="466"/>
      <c r="W216" s="421"/>
      <c r="X216" s="421"/>
      <c r="Y216" s="200" t="s">
        <v>370</v>
      </c>
      <c r="Z216" s="200">
        <v>16539</v>
      </c>
      <c r="AA216" s="200">
        <v>147</v>
      </c>
      <c r="AB216" s="410">
        <f t="shared" si="12"/>
        <v>1</v>
      </c>
      <c r="AC216" s="409">
        <f t="shared" si="10"/>
        <v>16539</v>
      </c>
      <c r="AD216" s="409">
        <f t="shared" si="11"/>
        <v>147</v>
      </c>
    </row>
    <row r="217" s="408" customFormat="1" spans="1:30">
      <c r="A217" s="428" t="s">
        <v>230</v>
      </c>
      <c r="B217" s="438" t="s">
        <v>377</v>
      </c>
      <c r="C217" s="429" t="str">
        <f>VLOOKUP(B217,正厂竞争者数据汇总!D:H,2,FALSE)</f>
        <v>Motor目录</v>
      </c>
      <c r="D217" s="421" t="str">
        <f>VLOOKUP(B217,正厂竞争者数据汇总!D:H,3,FALSE)</f>
        <v>CA</v>
      </c>
      <c r="E217" s="430">
        <f>VLOOKUP(B217,正厂竞争者数据汇总!D:H,4,FALSE)</f>
        <v>0</v>
      </c>
      <c r="F217" s="430">
        <v>6705.975</v>
      </c>
      <c r="G217" s="430">
        <v>38327.6666666667</v>
      </c>
      <c r="H217" s="430">
        <v>273196.083333333</v>
      </c>
      <c r="I217" s="453"/>
      <c r="J217" s="451">
        <v>0.0330511825167071</v>
      </c>
      <c r="K217" s="451">
        <v>0.0483626092990667</v>
      </c>
      <c r="L217" s="451">
        <v>0.0567503060171167</v>
      </c>
      <c r="M217" s="451"/>
      <c r="N217" s="459"/>
      <c r="O217" s="430"/>
      <c r="P217" s="531" t="str">
        <f>VLOOKUP(B217,正厂竞争者数据汇总!D:M,6,FALSE)</f>
        <v>2023年9月新增</v>
      </c>
      <c r="Q217" s="429"/>
      <c r="R217" s="421"/>
      <c r="S217" s="473">
        <v>232</v>
      </c>
      <c r="T217" s="473">
        <v>80</v>
      </c>
      <c r="U217" s="466"/>
      <c r="V217" s="466"/>
      <c r="W217" s="421"/>
      <c r="X217" s="421"/>
      <c r="Y217" s="200" t="s">
        <v>377</v>
      </c>
      <c r="Z217" s="200">
        <v>232</v>
      </c>
      <c r="AA217" s="200">
        <v>80</v>
      </c>
      <c r="AB217" s="410">
        <f t="shared" si="12"/>
        <v>1</v>
      </c>
      <c r="AC217" s="409">
        <f t="shared" si="10"/>
        <v>232</v>
      </c>
      <c r="AD217" s="409">
        <f t="shared" si="11"/>
        <v>80</v>
      </c>
    </row>
    <row r="218" s="408" customFormat="1" spans="1:30">
      <c r="A218" s="428" t="s">
        <v>375</v>
      </c>
      <c r="B218" s="438" t="s">
        <v>376</v>
      </c>
      <c r="C218" s="429" t="str">
        <f>VLOOKUP(B218,正厂竞争者数据汇总!D:H,2,FALSE)</f>
        <v>无完整目录，category下放的PD</v>
      </c>
      <c r="D218" s="421" t="str">
        <f>VLOOKUP(B218,正厂竞争者数据汇总!D:H,3,FALSE)</f>
        <v>NY</v>
      </c>
      <c r="E218" s="430">
        <f>VLOOKUP(B218,正厂竞争者数据汇总!D:H,4,FALSE)</f>
        <v>0</v>
      </c>
      <c r="F218" s="430">
        <v>3345.72600000001</v>
      </c>
      <c r="G218" s="430">
        <v>38329.6666666667</v>
      </c>
      <c r="H218" s="430">
        <v>273198.083333333</v>
      </c>
      <c r="I218" s="453"/>
      <c r="J218" s="451">
        <v>0.0164898021058672</v>
      </c>
      <c r="K218" s="451">
        <v>0.0341383046173764</v>
      </c>
      <c r="L218" s="451">
        <v>0.0533367322474182</v>
      </c>
      <c r="M218" s="451" t="e">
        <f>J218-#REF!</f>
        <v>#REF!</v>
      </c>
      <c r="N218" s="459"/>
      <c r="O218" s="430"/>
      <c r="P218" s="531" t="str">
        <f>VLOOKUP(B218,正厂竞争者数据汇总!D:M,6,FALSE)</f>
        <v>同时经营Audi，BMW、Dodge、Jaguar、Land Rover、Mercedes-Benz、Mini、Porsche、Saab、Volkswagen、Volvo。折算比例：Audi：30.3%，MB：69.7%</v>
      </c>
      <c r="Q218" s="429" t="s">
        <v>180</v>
      </c>
      <c r="R218" s="421" t="s">
        <v>180</v>
      </c>
      <c r="S218" s="473">
        <v>23721</v>
      </c>
      <c r="T218" s="473">
        <v>1471</v>
      </c>
      <c r="U218" s="466"/>
      <c r="V218" s="466"/>
      <c r="W218" s="421"/>
      <c r="X218" s="421"/>
      <c r="Y218" s="200" t="s">
        <v>376</v>
      </c>
      <c r="Z218" s="200">
        <v>23721</v>
      </c>
      <c r="AA218" s="200">
        <v>1471</v>
      </c>
      <c r="AB218" s="410">
        <f t="shared" si="12"/>
        <v>1</v>
      </c>
      <c r="AC218" s="409">
        <f t="shared" si="10"/>
        <v>23721</v>
      </c>
      <c r="AD218" s="409">
        <f t="shared" si="11"/>
        <v>1471</v>
      </c>
    </row>
    <row r="219" s="410" customFormat="1" spans="1:30">
      <c r="A219" s="432"/>
      <c r="B219" s="435"/>
      <c r="C219" s="429"/>
      <c r="D219" s="421"/>
      <c r="E219" s="430"/>
      <c r="F219" s="436"/>
      <c r="G219" s="436">
        <v>335229.333333333</v>
      </c>
      <c r="H219" s="436"/>
      <c r="I219" s="453"/>
      <c r="J219" s="457"/>
      <c r="K219" s="457"/>
      <c r="L219" s="457"/>
      <c r="M219" s="451"/>
      <c r="N219" s="455"/>
      <c r="O219" s="436"/>
      <c r="P219" s="531"/>
      <c r="Q219" s="434"/>
      <c r="R219" s="435"/>
      <c r="S219" s="473" t="s">
        <v>180</v>
      </c>
      <c r="T219" s="473" t="s">
        <v>180</v>
      </c>
      <c r="U219" s="466"/>
      <c r="V219" s="466"/>
      <c r="W219" s="435"/>
      <c r="X219" s="435"/>
      <c r="Y219" s="200" t="s">
        <v>240</v>
      </c>
      <c r="Z219" s="200" t="s">
        <v>180</v>
      </c>
      <c r="AA219" s="200" t="s">
        <v>180</v>
      </c>
      <c r="AB219" s="410">
        <f t="shared" si="12"/>
        <v>0</v>
      </c>
      <c r="AC219" s="409" t="str">
        <f t="shared" si="10"/>
        <v/>
      </c>
      <c r="AD219" s="409" t="str">
        <f t="shared" si="11"/>
        <v/>
      </c>
    </row>
    <row r="220" s="408" customFormat="1" spans="1:30">
      <c r="A220" s="428"/>
      <c r="B220" s="421"/>
      <c r="C220" s="439"/>
      <c r="D220" s="421"/>
      <c r="E220" s="421"/>
      <c r="F220" s="496">
        <v>202896.673866667</v>
      </c>
      <c r="G220" s="496"/>
      <c r="H220" s="496">
        <v>377262.166666666</v>
      </c>
      <c r="I220" s="453" t="e">
        <f>(F220/G220)-1</f>
        <v>#DIV/0!</v>
      </c>
      <c r="J220" s="430"/>
      <c r="K220" s="430"/>
      <c r="L220" s="430"/>
      <c r="M220" s="451"/>
      <c r="N220" s="459"/>
      <c r="O220" s="430"/>
      <c r="P220" s="531"/>
      <c r="Q220" s="429"/>
      <c r="R220" s="421"/>
      <c r="S220" s="473" t="s">
        <v>180</v>
      </c>
      <c r="T220" s="473" t="s">
        <v>180</v>
      </c>
      <c r="U220" s="466"/>
      <c r="V220" s="466"/>
      <c r="W220" s="421"/>
      <c r="X220" s="421"/>
      <c r="Y220" s="200" t="s">
        <v>240</v>
      </c>
      <c r="Z220" s="200" t="s">
        <v>180</v>
      </c>
      <c r="AA220" s="200" t="s">
        <v>180</v>
      </c>
      <c r="AB220" s="410">
        <f t="shared" si="12"/>
        <v>0</v>
      </c>
      <c r="AC220" s="409" t="str">
        <f t="shared" si="10"/>
        <v/>
      </c>
      <c r="AD220" s="409" t="str">
        <f t="shared" si="11"/>
        <v/>
      </c>
    </row>
    <row r="221" s="408" customFormat="1" spans="1:30">
      <c r="A221" s="428"/>
      <c r="B221" s="421"/>
      <c r="C221" s="439"/>
      <c r="D221" s="421"/>
      <c r="E221" s="421"/>
      <c r="F221" s="496"/>
      <c r="G221" s="496"/>
      <c r="H221" s="496"/>
      <c r="I221" s="453"/>
      <c r="J221" s="430"/>
      <c r="K221" s="430"/>
      <c r="L221" s="430"/>
      <c r="M221" s="451"/>
      <c r="N221" s="459"/>
      <c r="O221" s="430"/>
      <c r="P221" s="531"/>
      <c r="Q221" s="429"/>
      <c r="R221" s="421"/>
      <c r="S221" s="473" t="s">
        <v>180</v>
      </c>
      <c r="T221" s="473" t="s">
        <v>180</v>
      </c>
      <c r="U221" s="466"/>
      <c r="V221" s="466"/>
      <c r="W221" s="421"/>
      <c r="X221" s="421"/>
      <c r="Y221" s="200" t="s">
        <v>240</v>
      </c>
      <c r="Z221" s="200" t="s">
        <v>180</v>
      </c>
      <c r="AA221" s="200" t="s">
        <v>180</v>
      </c>
      <c r="AB221" s="410">
        <f t="shared" si="12"/>
        <v>0</v>
      </c>
      <c r="AC221" s="409" t="str">
        <f t="shared" si="10"/>
        <v/>
      </c>
      <c r="AD221" s="409" t="str">
        <f t="shared" si="11"/>
        <v/>
      </c>
    </row>
    <row r="222" s="408" customFormat="1" ht="17.4" spans="1:30">
      <c r="A222" s="418" t="s">
        <v>195</v>
      </c>
      <c r="B222" s="419"/>
      <c r="C222" s="420"/>
      <c r="D222" s="421"/>
      <c r="E222" s="422" t="s">
        <v>202</v>
      </c>
      <c r="F222" s="422"/>
      <c r="G222" s="422" t="s">
        <v>212</v>
      </c>
      <c r="H222" s="422"/>
      <c r="I222" s="422"/>
      <c r="J222" s="422"/>
      <c r="K222" s="422"/>
      <c r="L222" s="422"/>
      <c r="M222" s="443"/>
      <c r="N222" s="444"/>
      <c r="O222" s="422"/>
      <c r="P222" s="531"/>
      <c r="Q222" s="465"/>
      <c r="R222" s="424"/>
      <c r="S222" s="473" t="s">
        <v>180</v>
      </c>
      <c r="T222" s="473" t="s">
        <v>180</v>
      </c>
      <c r="U222" s="467"/>
      <c r="V222" s="467"/>
      <c r="W222" s="467"/>
      <c r="X222" s="467"/>
      <c r="Y222" s="200" t="s">
        <v>240</v>
      </c>
      <c r="Z222" s="200" t="s">
        <v>180</v>
      </c>
      <c r="AA222" s="200" t="s">
        <v>180</v>
      </c>
      <c r="AB222" s="410">
        <f t="shared" si="12"/>
        <v>0</v>
      </c>
      <c r="AC222" s="409" t="str">
        <f t="shared" si="10"/>
        <v/>
      </c>
      <c r="AD222" s="409" t="str">
        <f t="shared" si="11"/>
        <v/>
      </c>
    </row>
    <row r="223" s="409" customFormat="1" ht="48.6" spans="1:30">
      <c r="A223" s="423" t="s">
        <v>206</v>
      </c>
      <c r="B223" s="424" t="s">
        <v>207</v>
      </c>
      <c r="C223" s="425" t="s">
        <v>208</v>
      </c>
      <c r="D223" s="424" t="s">
        <v>209</v>
      </c>
      <c r="E223" s="426" t="s">
        <v>210</v>
      </c>
      <c r="F223" s="427" t="s">
        <v>396</v>
      </c>
      <c r="G223" s="427">
        <v>116448.583333333</v>
      </c>
      <c r="H223" s="427" t="s">
        <v>397</v>
      </c>
      <c r="I223" s="427" t="s">
        <v>214</v>
      </c>
      <c r="J223" s="446" t="s">
        <v>387</v>
      </c>
      <c r="K223" s="446" t="s">
        <v>398</v>
      </c>
      <c r="L223" s="446" t="s">
        <v>399</v>
      </c>
      <c r="M223" s="447" t="s">
        <v>218</v>
      </c>
      <c r="N223" s="448" t="s">
        <v>219</v>
      </c>
      <c r="O223" s="449" t="s">
        <v>220</v>
      </c>
      <c r="P223" s="530" t="s">
        <v>221</v>
      </c>
      <c r="Q223" s="469" t="s">
        <v>222</v>
      </c>
      <c r="R223" s="426" t="s">
        <v>223</v>
      </c>
      <c r="S223" s="470" t="s">
        <v>224</v>
      </c>
      <c r="T223" s="470" t="s">
        <v>205</v>
      </c>
      <c r="U223" s="467" t="s">
        <v>225</v>
      </c>
      <c r="V223" s="470" t="s">
        <v>226</v>
      </c>
      <c r="W223" s="467"/>
      <c r="X223" s="467"/>
      <c r="Y223" s="200" t="s">
        <v>207</v>
      </c>
      <c r="Z223" s="200" t="s">
        <v>180</v>
      </c>
      <c r="AA223" s="200" t="s">
        <v>180</v>
      </c>
      <c r="AB223" s="410">
        <f t="shared" si="12"/>
        <v>1</v>
      </c>
      <c r="AC223" s="409" t="str">
        <f t="shared" si="10"/>
        <v>Forum Link</v>
      </c>
      <c r="AD223" s="409" t="str">
        <f t="shared" si="11"/>
        <v>Domains</v>
      </c>
    </row>
    <row r="224" s="408" customFormat="1" spans="1:30">
      <c r="A224" s="428" t="s">
        <v>230</v>
      </c>
      <c r="B224" s="421" t="s">
        <v>378</v>
      </c>
      <c r="C224" s="429" t="str">
        <f>VLOOKUP(B224,正厂竞争者数据汇总!D:H,2,FALSE)</f>
        <v>Motor目录</v>
      </c>
      <c r="D224" s="421" t="str">
        <f>VLOOKUP(B224,正厂竞争者数据汇总!D:H,3,FALSE)</f>
        <v>FL</v>
      </c>
      <c r="E224" s="430" t="str">
        <f>VLOOKUP(B223,正厂竞争者数据汇总!D:H,4,FALSE)</f>
        <v>Alexa Traffic Rank</v>
      </c>
      <c r="F224" s="430">
        <v>90767.3466666667</v>
      </c>
      <c r="G224" s="430">
        <v>0</v>
      </c>
      <c r="H224" s="430">
        <v>88546.8333333332</v>
      </c>
      <c r="I224" s="453" t="e">
        <f t="shared" ref="I224:I229" si="13">(F224/G224)-1</f>
        <v>#DIV/0!</v>
      </c>
      <c r="J224" s="451">
        <v>0.467170457517459</v>
      </c>
      <c r="K224" s="451">
        <v>0.433392946945439</v>
      </c>
      <c r="L224" s="451">
        <v>0.416294065344422</v>
      </c>
      <c r="M224" s="451">
        <f>J224-K225</f>
        <v>0.321778638856604</v>
      </c>
      <c r="N224" s="459"/>
      <c r="O224" s="430"/>
      <c r="P224" s="531">
        <f>VLOOKUP(B224,正厂竞争者数据汇总!D:M,6,FALSE)</f>
        <v>0</v>
      </c>
      <c r="Q224" s="429" t="s">
        <v>180</v>
      </c>
      <c r="R224" s="421" t="s">
        <v>180</v>
      </c>
      <c r="S224" s="473">
        <v>4811</v>
      </c>
      <c r="T224" s="473">
        <v>246</v>
      </c>
      <c r="U224" s="466"/>
      <c r="V224" s="466"/>
      <c r="W224" s="421"/>
      <c r="X224" s="421"/>
      <c r="Y224" s="200" t="s">
        <v>378</v>
      </c>
      <c r="Z224" s="200">
        <v>4811</v>
      </c>
      <c r="AA224" s="200">
        <v>246</v>
      </c>
      <c r="AB224" s="410">
        <f t="shared" si="12"/>
        <v>1</v>
      </c>
      <c r="AC224" s="409">
        <f t="shared" si="10"/>
        <v>4811</v>
      </c>
      <c r="AD224" s="409">
        <f t="shared" si="11"/>
        <v>246</v>
      </c>
    </row>
    <row r="225" s="408" customFormat="1" spans="1:30">
      <c r="A225" s="428" t="s">
        <v>230</v>
      </c>
      <c r="B225" s="421" t="s">
        <v>379</v>
      </c>
      <c r="C225" s="429" t="str">
        <f>VLOOKUP(B225,正厂竞争者数据汇总!D:H,2,FALSE)</f>
        <v>Motor目录</v>
      </c>
      <c r="D225" s="421" t="str">
        <f>VLOOKUP(B225,正厂竞争者数据汇总!D:H,3,FALSE)</f>
        <v>FL</v>
      </c>
      <c r="E225" s="430">
        <f>VLOOKUP(B227,正厂竞争者数据汇总!D:H,4,FALSE)</f>
        <v>0</v>
      </c>
      <c r="F225" s="430">
        <v>30333.6433333333</v>
      </c>
      <c r="G225" s="430">
        <v>4</v>
      </c>
      <c r="H225" s="430">
        <v>88550.8333333332</v>
      </c>
      <c r="I225" s="453">
        <f t="shared" si="13"/>
        <v>7582.41083333333</v>
      </c>
      <c r="J225" s="451">
        <v>0.156124229192753</v>
      </c>
      <c r="K225" s="451">
        <v>0.145391818660855</v>
      </c>
      <c r="L225" s="451">
        <v>0.131559664549711</v>
      </c>
      <c r="M225" s="451"/>
      <c r="N225" s="459"/>
      <c r="O225" s="430"/>
      <c r="P225" s="531" t="str">
        <f>VLOOKUP(B225,正厂竞争者数据汇总!D:M,6,FALSE)</f>
        <v>2023年9月新增</v>
      </c>
      <c r="Q225" s="429" t="s">
        <v>180</v>
      </c>
      <c r="R225" s="421" t="s">
        <v>180</v>
      </c>
      <c r="S225" s="473">
        <v>79039</v>
      </c>
      <c r="T225" s="473">
        <v>128</v>
      </c>
      <c r="U225" s="466"/>
      <c r="V225" s="466"/>
      <c r="W225" s="421"/>
      <c r="X225" s="421"/>
      <c r="Y225" s="200" t="s">
        <v>379</v>
      </c>
      <c r="Z225" s="200">
        <v>79039</v>
      </c>
      <c r="AA225" s="200">
        <v>128</v>
      </c>
      <c r="AB225" s="410">
        <f t="shared" si="12"/>
        <v>1</v>
      </c>
      <c r="AC225" s="409">
        <f t="shared" si="10"/>
        <v>79039</v>
      </c>
      <c r="AD225" s="409">
        <f t="shared" si="11"/>
        <v>128</v>
      </c>
    </row>
    <row r="226" s="408" customFormat="1" spans="1:30">
      <c r="A226" s="428" t="s">
        <v>230</v>
      </c>
      <c r="B226" s="421" t="s">
        <v>380</v>
      </c>
      <c r="C226" s="429" t="str">
        <f>VLOOKUP(B226,正厂竞争者数据汇总!D:H,2,FALSE)</f>
        <v>Motor目录</v>
      </c>
      <c r="D226" s="421" t="str">
        <f>VLOOKUP(B226,正厂竞争者数据汇总!D:H,3,FALSE)</f>
        <v>FL</v>
      </c>
      <c r="E226" s="430">
        <f>VLOOKUP(B224,正厂竞争者数据汇总!D:H,4,FALSE)</f>
        <v>0</v>
      </c>
      <c r="F226" s="430">
        <v>23307.7555</v>
      </c>
      <c r="G226" s="430">
        <v>1</v>
      </c>
      <c r="H226" s="430">
        <v>88547.8333333332</v>
      </c>
      <c r="I226" s="453">
        <f t="shared" si="13"/>
        <v>23306.7555</v>
      </c>
      <c r="J226" s="451">
        <v>0.119962687029154</v>
      </c>
      <c r="K226" s="451">
        <v>0.144133453114601</v>
      </c>
      <c r="L226" s="451">
        <v>0.154569448481054</v>
      </c>
      <c r="M226" s="451"/>
      <c r="N226" s="459"/>
      <c r="O226" s="430"/>
      <c r="P226" s="531"/>
      <c r="Q226" s="429"/>
      <c r="R226" s="421"/>
      <c r="S226" s="473">
        <v>974</v>
      </c>
      <c r="T226" s="473">
        <v>209</v>
      </c>
      <c r="U226" s="466"/>
      <c r="V226" s="466"/>
      <c r="W226" s="421"/>
      <c r="X226" s="421"/>
      <c r="Y226" s="200" t="s">
        <v>380</v>
      </c>
      <c r="Z226" s="200">
        <v>974</v>
      </c>
      <c r="AA226" s="200">
        <v>209</v>
      </c>
      <c r="AB226" s="410">
        <f t="shared" si="12"/>
        <v>1</v>
      </c>
      <c r="AC226" s="409">
        <f t="shared" si="10"/>
        <v>974</v>
      </c>
      <c r="AD226" s="409">
        <f t="shared" si="11"/>
        <v>209</v>
      </c>
    </row>
    <row r="227" s="408" customFormat="1" spans="1:30">
      <c r="A227" s="428" t="s">
        <v>325</v>
      </c>
      <c r="B227" s="421" t="s">
        <v>383</v>
      </c>
      <c r="C227" s="429" t="str">
        <f>VLOOKUP(B227,正厂竞争者数据汇总!D:H,2,FALSE)</f>
        <v>Motor目录</v>
      </c>
      <c r="D227" s="421" t="str">
        <f>VLOOKUP(B227,正厂竞争者数据汇总!D:H,3,FALSE)</f>
        <v>CA</v>
      </c>
      <c r="E227" s="430">
        <f>VLOOKUP(B228,正厂竞争者数据汇总!D:H,4,FALSE)</f>
        <v>0</v>
      </c>
      <c r="F227" s="430">
        <v>21432.2380666667</v>
      </c>
      <c r="G227" s="430">
        <v>3</v>
      </c>
      <c r="H227" s="430">
        <v>88549.8333333332</v>
      </c>
      <c r="I227" s="453">
        <f t="shared" si="13"/>
        <v>7143.07935555557</v>
      </c>
      <c r="J227" s="451">
        <v>0.11030958633172</v>
      </c>
      <c r="K227" s="451">
        <v>0.101889326434778</v>
      </c>
      <c r="L227" s="451">
        <v>0.0986162886513904</v>
      </c>
      <c r="M227" s="451"/>
      <c r="N227" s="459"/>
      <c r="O227" s="430"/>
      <c r="P227" s="531"/>
      <c r="Q227" s="429"/>
      <c r="R227" s="421"/>
      <c r="S227" s="473">
        <v>249</v>
      </c>
      <c r="T227" s="473">
        <v>36</v>
      </c>
      <c r="U227" s="466"/>
      <c r="V227" s="466"/>
      <c r="W227" s="421"/>
      <c r="X227" s="421"/>
      <c r="Y227" s="200" t="s">
        <v>383</v>
      </c>
      <c r="Z227" s="200">
        <v>249</v>
      </c>
      <c r="AA227" s="200">
        <v>36</v>
      </c>
      <c r="AB227" s="410">
        <f t="shared" si="12"/>
        <v>1</v>
      </c>
      <c r="AC227" s="409">
        <f t="shared" si="10"/>
        <v>249</v>
      </c>
      <c r="AD227" s="409">
        <f t="shared" si="11"/>
        <v>36</v>
      </c>
    </row>
    <row r="228" s="408" customFormat="1" spans="1:30">
      <c r="A228" s="428" t="s">
        <v>230</v>
      </c>
      <c r="B228" s="421" t="s">
        <v>381</v>
      </c>
      <c r="C228" s="429" t="str">
        <f>VLOOKUP(B228,正厂竞争者数据汇总!D:H,2,FALSE)</f>
        <v>Motor目录</v>
      </c>
      <c r="D228" s="421" t="str">
        <f>VLOOKUP(B228,正厂竞争者数据汇总!D:H,3,FALSE)</f>
        <v>CA</v>
      </c>
      <c r="E228" s="430">
        <f>VLOOKUP(B226,正厂竞争者数据汇总!D:H,4,FALSE)</f>
        <v>0</v>
      </c>
      <c r="F228" s="430">
        <v>13333.2366666667</v>
      </c>
      <c r="G228" s="430">
        <v>2</v>
      </c>
      <c r="H228" s="430">
        <v>88548.8333333332</v>
      </c>
      <c r="I228" s="453">
        <f t="shared" si="13"/>
        <v>6665.61833333335</v>
      </c>
      <c r="J228" s="451">
        <v>0.0686248359405083</v>
      </c>
      <c r="K228" s="451">
        <v>0.083444248703944</v>
      </c>
      <c r="L228" s="451">
        <v>0.0855119465540775</v>
      </c>
      <c r="M228" s="451"/>
      <c r="N228" s="459"/>
      <c r="O228" s="430"/>
      <c r="P228" s="531"/>
      <c r="Q228" s="429"/>
      <c r="R228" s="421"/>
      <c r="S228" s="473">
        <v>342</v>
      </c>
      <c r="T228" s="473">
        <v>78</v>
      </c>
      <c r="U228" s="466"/>
      <c r="V228" s="466"/>
      <c r="W228" s="421"/>
      <c r="X228" s="421"/>
      <c r="Y228" s="200" t="s">
        <v>381</v>
      </c>
      <c r="Z228" s="200">
        <v>342</v>
      </c>
      <c r="AA228" s="200">
        <v>78</v>
      </c>
      <c r="AB228" s="410">
        <f t="shared" si="12"/>
        <v>1</v>
      </c>
      <c r="AC228" s="409">
        <f t="shared" si="10"/>
        <v>342</v>
      </c>
      <c r="AD228" s="409">
        <f t="shared" si="11"/>
        <v>78</v>
      </c>
    </row>
    <row r="229" s="408" customFormat="1" spans="1:30">
      <c r="A229" s="428" t="s">
        <v>230</v>
      </c>
      <c r="B229" s="421" t="s">
        <v>382</v>
      </c>
      <c r="C229" s="429" t="str">
        <f>VLOOKUP(B229,正厂竞争者数据汇总!D:H,2,FALSE)</f>
        <v>Motor目录</v>
      </c>
      <c r="D229" s="421" t="str">
        <f>VLOOKUP(B229,正厂竞争者数据汇总!D:H,3,FALSE)</f>
        <v>NJ</v>
      </c>
      <c r="E229" s="430">
        <f>VLOOKUP(B225,正厂竞争者数据汇总!D:H,4,FALSE)</f>
        <v>0</v>
      </c>
      <c r="F229" s="430">
        <v>9586.322274</v>
      </c>
      <c r="G229" s="430">
        <v>5</v>
      </c>
      <c r="H229" s="430">
        <v>88551.8333333332</v>
      </c>
      <c r="I229" s="453">
        <f t="shared" si="13"/>
        <v>1916.2644548</v>
      </c>
      <c r="J229" s="451">
        <v>0.0493398422133127</v>
      </c>
      <c r="K229" s="451">
        <v>0.0562604205450165</v>
      </c>
      <c r="L229" s="451">
        <v>0.0766522111465119</v>
      </c>
      <c r="M229" s="451"/>
      <c r="N229" s="459"/>
      <c r="O229" s="430"/>
      <c r="P229" s="531" t="str">
        <f>VLOOKUP(B229,正厂竞争者数据汇总!D:M,6,FALSE)</f>
        <v>2023年9月新增</v>
      </c>
      <c r="Q229" s="429" t="s">
        <v>180</v>
      </c>
      <c r="R229" s="421" t="s">
        <v>180</v>
      </c>
      <c r="S229" s="473">
        <v>145396</v>
      </c>
      <c r="T229" s="473">
        <v>239</v>
      </c>
      <c r="U229" s="466"/>
      <c r="V229" s="466"/>
      <c r="W229" s="421"/>
      <c r="X229" s="421"/>
      <c r="Y229" s="200" t="s">
        <v>382</v>
      </c>
      <c r="Z229" s="200">
        <v>145396</v>
      </c>
      <c r="AA229" s="200">
        <v>239</v>
      </c>
      <c r="AB229" s="410">
        <f t="shared" si="12"/>
        <v>1</v>
      </c>
      <c r="AC229" s="409">
        <f t="shared" si="10"/>
        <v>145396</v>
      </c>
      <c r="AD229" s="409">
        <f t="shared" si="11"/>
        <v>239</v>
      </c>
    </row>
    <row r="230" s="408" customFormat="1" spans="1:30">
      <c r="A230" s="428" t="s">
        <v>230</v>
      </c>
      <c r="B230" s="421" t="s">
        <v>384</v>
      </c>
      <c r="C230" s="255" t="s">
        <v>351</v>
      </c>
      <c r="D230" s="270" t="s">
        <v>49</v>
      </c>
      <c r="E230" s="430"/>
      <c r="F230" s="430">
        <v>5531.16666666667</v>
      </c>
      <c r="G230" s="430"/>
      <c r="H230" s="430"/>
      <c r="I230" s="453"/>
      <c r="J230" s="451">
        <v>0.0284683617750934</v>
      </c>
      <c r="K230" s="451">
        <v>0.0354877855953662</v>
      </c>
      <c r="L230" s="451">
        <v>0.0367963752728334</v>
      </c>
      <c r="M230" s="451"/>
      <c r="N230" s="459"/>
      <c r="O230" s="430"/>
      <c r="P230" s="531"/>
      <c r="Q230" s="429"/>
      <c r="R230" s="421"/>
      <c r="S230" s="473">
        <v>150</v>
      </c>
      <c r="T230" s="473">
        <v>66</v>
      </c>
      <c r="U230" s="466"/>
      <c r="V230" s="466"/>
      <c r="W230" s="421"/>
      <c r="X230" s="421"/>
      <c r="Y230" s="200" t="s">
        <v>384</v>
      </c>
      <c r="Z230" s="200">
        <v>150</v>
      </c>
      <c r="AA230" s="200">
        <v>66</v>
      </c>
      <c r="AB230" s="410">
        <f t="shared" si="12"/>
        <v>1</v>
      </c>
      <c r="AC230" s="409">
        <f t="shared" si="10"/>
        <v>150</v>
      </c>
      <c r="AD230" s="409">
        <f t="shared" si="11"/>
        <v>66</v>
      </c>
    </row>
    <row r="231" s="408" customFormat="1" spans="1:30">
      <c r="A231" s="428"/>
      <c r="B231" s="421"/>
      <c r="C231" s="429"/>
      <c r="D231" s="421"/>
      <c r="E231" s="430"/>
      <c r="F231" s="430"/>
      <c r="G231" s="430"/>
      <c r="H231" s="430"/>
      <c r="I231" s="453"/>
      <c r="J231" s="451"/>
      <c r="K231" s="451"/>
      <c r="L231" s="451"/>
      <c r="M231" s="451"/>
      <c r="N231" s="459"/>
      <c r="O231" s="430"/>
      <c r="P231" s="531"/>
      <c r="Q231" s="429"/>
      <c r="R231" s="421"/>
      <c r="S231" s="473" t="s">
        <v>180</v>
      </c>
      <c r="T231" s="473" t="s">
        <v>180</v>
      </c>
      <c r="U231" s="466"/>
      <c r="V231" s="466"/>
      <c r="W231" s="421"/>
      <c r="X231" s="421"/>
      <c r="Y231" s="200" t="s">
        <v>240</v>
      </c>
      <c r="Z231" s="200" t="s">
        <v>180</v>
      </c>
      <c r="AA231" s="200" t="s">
        <v>180</v>
      </c>
      <c r="AB231" s="410">
        <f t="shared" si="12"/>
        <v>0</v>
      </c>
      <c r="AC231" s="409" t="str">
        <f t="shared" si="10"/>
        <v/>
      </c>
      <c r="AD231" s="409" t="str">
        <f t="shared" si="11"/>
        <v/>
      </c>
    </row>
    <row r="232" s="408" customFormat="1" spans="1:30">
      <c r="A232" s="428"/>
      <c r="B232" s="421"/>
      <c r="C232" s="439"/>
      <c r="D232" s="421"/>
      <c r="E232" s="430"/>
      <c r="F232" s="430">
        <v>194291.709174</v>
      </c>
      <c r="G232" s="430"/>
      <c r="H232" s="430">
        <v>88546.8333333332</v>
      </c>
      <c r="I232" s="453" t="e">
        <f>(F232/G232)-1</f>
        <v>#DIV/0!</v>
      </c>
      <c r="J232" s="430"/>
      <c r="K232" s="430"/>
      <c r="L232" s="430"/>
      <c r="M232" s="451"/>
      <c r="N232" s="459"/>
      <c r="O232" s="430"/>
      <c r="P232" s="531"/>
      <c r="Q232" s="429"/>
      <c r="R232" s="421"/>
      <c r="S232" s="473" t="s">
        <v>180</v>
      </c>
      <c r="T232" s="473" t="s">
        <v>180</v>
      </c>
      <c r="U232" s="466"/>
      <c r="V232" s="466"/>
      <c r="W232" s="421"/>
      <c r="X232" s="421"/>
      <c r="Y232" s="200" t="s">
        <v>240</v>
      </c>
      <c r="Z232" s="200" t="s">
        <v>180</v>
      </c>
      <c r="AA232" s="200" t="s">
        <v>180</v>
      </c>
      <c r="AB232" s="410">
        <f t="shared" si="12"/>
        <v>0</v>
      </c>
      <c r="AC232" s="409" t="str">
        <f t="shared" si="10"/>
        <v/>
      </c>
      <c r="AD232" s="409" t="str">
        <f t="shared" si="11"/>
        <v/>
      </c>
    </row>
    <row r="233" s="408" customFormat="1" spans="1:30">
      <c r="A233" s="423"/>
      <c r="B233" s="421"/>
      <c r="C233" s="425"/>
      <c r="D233" s="421"/>
      <c r="E233" s="430"/>
      <c r="F233" s="430"/>
      <c r="G233" s="430"/>
      <c r="H233" s="430"/>
      <c r="I233" s="453"/>
      <c r="J233" s="430"/>
      <c r="K233" s="430"/>
      <c r="L233" s="430"/>
      <c r="M233" s="451"/>
      <c r="N233" s="459"/>
      <c r="O233" s="430"/>
      <c r="P233" s="531"/>
      <c r="Q233" s="429"/>
      <c r="R233" s="421"/>
      <c r="S233" s="473" t="s">
        <v>180</v>
      </c>
      <c r="T233" s="473" t="s">
        <v>180</v>
      </c>
      <c r="U233" s="466"/>
      <c r="V233" s="466"/>
      <c r="W233" s="421"/>
      <c r="X233" s="421"/>
      <c r="Y233" s="200" t="s">
        <v>240</v>
      </c>
      <c r="Z233" s="200" t="s">
        <v>180</v>
      </c>
      <c r="AA233" s="200" t="s">
        <v>180</v>
      </c>
      <c r="AB233" s="410">
        <f t="shared" si="12"/>
        <v>0</v>
      </c>
      <c r="AC233" s="409" t="str">
        <f t="shared" si="10"/>
        <v/>
      </c>
      <c r="AD233" s="409" t="str">
        <f t="shared" si="11"/>
        <v/>
      </c>
    </row>
    <row r="234" s="408" customFormat="1" spans="3:27">
      <c r="C234" s="411"/>
      <c r="F234" s="502"/>
      <c r="G234" s="502"/>
      <c r="H234" s="502"/>
      <c r="I234" s="502"/>
      <c r="J234" s="412"/>
      <c r="K234" s="412"/>
      <c r="L234" s="412"/>
      <c r="M234" s="413"/>
      <c r="N234" s="414"/>
      <c r="O234" s="412"/>
      <c r="P234" s="528"/>
      <c r="U234" s="416"/>
      <c r="V234" s="416"/>
      <c r="Y234" s="200"/>
      <c r="Z234" s="200" t="s">
        <v>180</v>
      </c>
      <c r="AA234" s="200" t="s">
        <v>180</v>
      </c>
    </row>
    <row r="235" s="408" customFormat="1" spans="3:27">
      <c r="C235" s="411"/>
      <c r="E235" s="412"/>
      <c r="F235" s="412"/>
      <c r="G235" s="412"/>
      <c r="H235" s="412"/>
      <c r="I235" s="412"/>
      <c r="J235" s="412"/>
      <c r="K235" s="412"/>
      <c r="L235" s="412"/>
      <c r="M235" s="413"/>
      <c r="N235" s="414"/>
      <c r="O235" s="412"/>
      <c r="U235" s="416"/>
      <c r="V235" s="416"/>
      <c r="Y235" s="200"/>
      <c r="Z235" s="200" t="s">
        <v>180</v>
      </c>
      <c r="AA235" s="200" t="s">
        <v>180</v>
      </c>
    </row>
    <row r="236" s="408" customFormat="1" spans="3:27">
      <c r="C236" s="411"/>
      <c r="F236" s="412"/>
      <c r="G236" s="412"/>
      <c r="H236" s="412"/>
      <c r="I236" s="412"/>
      <c r="J236" s="412"/>
      <c r="K236" s="412"/>
      <c r="L236" s="412"/>
      <c r="M236" s="413"/>
      <c r="N236" s="414"/>
      <c r="O236" s="412"/>
      <c r="P236" s="528"/>
      <c r="U236" s="416"/>
      <c r="V236" s="416"/>
      <c r="Y236" s="200"/>
      <c r="Z236" s="200" t="s">
        <v>180</v>
      </c>
      <c r="AA236" s="200" t="s">
        <v>180</v>
      </c>
    </row>
    <row r="237" s="408" customFormat="1" spans="3:27">
      <c r="C237" s="411"/>
      <c r="F237" s="412"/>
      <c r="G237" s="412"/>
      <c r="H237" s="412"/>
      <c r="I237" s="412"/>
      <c r="J237" s="412"/>
      <c r="K237" s="412"/>
      <c r="L237" s="412"/>
      <c r="M237" s="413"/>
      <c r="N237" s="414"/>
      <c r="O237" s="412"/>
      <c r="P237" s="528"/>
      <c r="U237" s="416"/>
      <c r="V237" s="416"/>
      <c r="Y237" s="200"/>
      <c r="Z237" s="200" t="s">
        <v>180</v>
      </c>
      <c r="AA237" s="200" t="s">
        <v>180</v>
      </c>
    </row>
    <row r="238" s="408" customFormat="1" spans="3:27">
      <c r="C238" s="411"/>
      <c r="F238" s="412"/>
      <c r="G238" s="412"/>
      <c r="H238" s="412"/>
      <c r="I238" s="412"/>
      <c r="J238" s="412"/>
      <c r="K238" s="412"/>
      <c r="L238" s="412"/>
      <c r="M238" s="413"/>
      <c r="N238" s="414"/>
      <c r="O238" s="412"/>
      <c r="P238" s="528"/>
      <c r="U238" s="416"/>
      <c r="V238" s="416"/>
      <c r="Y238" s="200"/>
      <c r="Z238" s="200" t="s">
        <v>180</v>
      </c>
      <c r="AA238" s="200" t="s">
        <v>180</v>
      </c>
    </row>
    <row r="239" s="408" customFormat="1" spans="3:27">
      <c r="C239" s="411"/>
      <c r="F239" s="412"/>
      <c r="G239" s="412"/>
      <c r="H239" s="412"/>
      <c r="I239" s="412"/>
      <c r="J239" s="412"/>
      <c r="K239" s="412"/>
      <c r="L239" s="412"/>
      <c r="M239" s="413"/>
      <c r="N239" s="414"/>
      <c r="O239" s="412"/>
      <c r="P239" s="528"/>
      <c r="U239" s="416"/>
      <c r="V239" s="416"/>
      <c r="Y239" s="200"/>
      <c r="Z239" s="200" t="s">
        <v>180</v>
      </c>
      <c r="AA239" s="200" t="s">
        <v>180</v>
      </c>
    </row>
    <row r="240" s="408" customFormat="1" spans="3:27">
      <c r="C240" s="411"/>
      <c r="F240" s="412"/>
      <c r="G240" s="412"/>
      <c r="H240" s="412"/>
      <c r="I240" s="412"/>
      <c r="J240" s="412"/>
      <c r="K240" s="412"/>
      <c r="L240" s="412"/>
      <c r="M240" s="413"/>
      <c r="N240" s="414"/>
      <c r="O240" s="412"/>
      <c r="P240" s="528"/>
      <c r="U240" s="416"/>
      <c r="V240" s="416"/>
      <c r="Y240" s="200"/>
      <c r="Z240" s="200" t="s">
        <v>180</v>
      </c>
      <c r="AA240" s="200" t="s">
        <v>180</v>
      </c>
    </row>
    <row r="241" s="408" customFormat="1" spans="3:27">
      <c r="C241" s="411"/>
      <c r="F241" s="412"/>
      <c r="G241" s="412"/>
      <c r="H241" s="412"/>
      <c r="I241" s="412"/>
      <c r="J241" s="412"/>
      <c r="K241" s="412"/>
      <c r="L241" s="412"/>
      <c r="M241" s="413"/>
      <c r="N241" s="414"/>
      <c r="O241" s="412"/>
      <c r="P241" s="528"/>
      <c r="U241" s="416"/>
      <c r="V241" s="416"/>
      <c r="Y241" s="200"/>
      <c r="Z241" s="200" t="s">
        <v>180</v>
      </c>
      <c r="AA241" s="200" t="s">
        <v>180</v>
      </c>
    </row>
    <row r="242" s="408" customFormat="1" spans="3:27">
      <c r="C242" s="411"/>
      <c r="F242" s="412"/>
      <c r="G242" s="412"/>
      <c r="H242" s="412"/>
      <c r="I242" s="412"/>
      <c r="J242" s="412"/>
      <c r="K242" s="412"/>
      <c r="L242" s="412"/>
      <c r="M242" s="413"/>
      <c r="N242" s="414"/>
      <c r="O242" s="412"/>
      <c r="P242" s="528"/>
      <c r="U242" s="416"/>
      <c r="V242" s="416"/>
      <c r="Y242" s="200"/>
      <c r="Z242" s="200" t="s">
        <v>180</v>
      </c>
      <c r="AA242" s="200" t="s">
        <v>180</v>
      </c>
    </row>
    <row r="243" s="408" customFormat="1" spans="3:27">
      <c r="C243" s="411"/>
      <c r="F243" s="412"/>
      <c r="G243" s="412"/>
      <c r="H243" s="412"/>
      <c r="I243" s="412"/>
      <c r="J243" s="412"/>
      <c r="K243" s="412"/>
      <c r="L243" s="412"/>
      <c r="M243" s="413"/>
      <c r="N243" s="414"/>
      <c r="O243" s="412"/>
      <c r="P243" s="528"/>
      <c r="U243" s="416"/>
      <c r="V243" s="416"/>
      <c r="Y243" s="200"/>
      <c r="Z243" s="200" t="s">
        <v>180</v>
      </c>
      <c r="AA243" s="200" t="s">
        <v>180</v>
      </c>
    </row>
    <row r="244" s="408" customFormat="1" spans="3:27">
      <c r="C244" s="411"/>
      <c r="F244" s="412"/>
      <c r="G244" s="412"/>
      <c r="H244" s="412"/>
      <c r="I244" s="412"/>
      <c r="J244" s="412"/>
      <c r="K244" s="412"/>
      <c r="L244" s="412"/>
      <c r="M244" s="413"/>
      <c r="N244" s="414"/>
      <c r="O244" s="412"/>
      <c r="P244" s="528"/>
      <c r="U244" s="416"/>
      <c r="V244" s="416"/>
      <c r="Y244" s="200"/>
      <c r="Z244" s="200" t="s">
        <v>180</v>
      </c>
      <c r="AA244" s="200" t="s">
        <v>180</v>
      </c>
    </row>
    <row r="245" s="408" customFormat="1" spans="3:27">
      <c r="C245" s="411"/>
      <c r="F245" s="412"/>
      <c r="G245" s="412"/>
      <c r="H245" s="412"/>
      <c r="I245" s="412"/>
      <c r="J245" s="412"/>
      <c r="K245" s="412"/>
      <c r="L245" s="412"/>
      <c r="M245" s="413"/>
      <c r="N245" s="414"/>
      <c r="O245" s="412"/>
      <c r="P245" s="528"/>
      <c r="U245" s="416"/>
      <c r="V245" s="416"/>
      <c r="Y245" s="200"/>
      <c r="Z245" s="200" t="s">
        <v>180</v>
      </c>
      <c r="AA245" s="200" t="s">
        <v>180</v>
      </c>
    </row>
    <row r="246" s="411" customFormat="1" spans="1:27">
      <c r="A246" s="408"/>
      <c r="B246" s="503"/>
      <c r="D246" s="408"/>
      <c r="E246" s="408"/>
      <c r="F246" s="412"/>
      <c r="G246" s="412"/>
      <c r="H246" s="412"/>
      <c r="I246" s="412"/>
      <c r="J246" s="412"/>
      <c r="K246" s="412"/>
      <c r="L246" s="412"/>
      <c r="M246" s="413"/>
      <c r="N246" s="414"/>
      <c r="O246" s="412"/>
      <c r="P246" s="528"/>
      <c r="Q246" s="408"/>
      <c r="R246" s="408"/>
      <c r="S246" s="408"/>
      <c r="T246" s="408"/>
      <c r="U246" s="416"/>
      <c r="V246" s="416"/>
      <c r="W246" s="408"/>
      <c r="X246" s="408"/>
      <c r="Y246" s="200"/>
      <c r="Z246" s="200" t="s">
        <v>180</v>
      </c>
      <c r="AA246" s="200" t="s">
        <v>180</v>
      </c>
    </row>
  </sheetData>
  <autoFilter ref="C1:C246">
    <extLst/>
  </autoFilter>
  <mergeCells count="19">
    <mergeCell ref="V1:X1"/>
    <mergeCell ref="V12:X12"/>
    <mergeCell ref="V24:X24"/>
    <mergeCell ref="V36:X36"/>
    <mergeCell ref="V48:X48"/>
    <mergeCell ref="V61:X61"/>
    <mergeCell ref="V71:X71"/>
    <mergeCell ref="V81:X81"/>
    <mergeCell ref="V96:X96"/>
    <mergeCell ref="V109:X109"/>
    <mergeCell ref="V120:X120"/>
    <mergeCell ref="V134:X134"/>
    <mergeCell ref="V145:X145"/>
    <mergeCell ref="V156:X156"/>
    <mergeCell ref="V170:X170"/>
    <mergeCell ref="V180:X180"/>
    <mergeCell ref="V196:X196"/>
    <mergeCell ref="V207:X207"/>
    <mergeCell ref="V222:X222"/>
  </mergeCells>
  <conditionalFormatting sqref="M3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{eeb9e03a-4121-48ab-b7a4-6ae10ca84489}</x14:id>
        </ext>
      </extLst>
    </cfRule>
  </conditionalFormatting>
  <conditionalFormatting sqref="M1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{e34aec57-1f3c-4c9a-adf8-fcd25acc5043}</x14:id>
        </ext>
      </extLst>
    </cfRule>
  </conditionalFormatting>
  <conditionalFormatting sqref="I26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{e8a3f414-a01e-4385-a2b9-4a10b24cb197}</x14:id>
        </ext>
      </extLst>
    </cfRule>
  </conditionalFormatting>
  <conditionalFormatting sqref="M26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{a3031ae1-efd5-4cb2-8a4d-2bc04cc2ac3d}</x14:id>
        </ext>
      </extLst>
    </cfRule>
  </conditionalFormatting>
  <conditionalFormatting sqref="M33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{330ed846-bbbc-454d-8ddf-2ab4ff49cd00}</x14:id>
        </ext>
      </extLst>
    </cfRule>
  </conditionalFormatting>
  <conditionalFormatting sqref="M38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{711398ae-1a42-4287-b05f-37143cf4f8bd}</x14:id>
        </ext>
      </extLst>
    </cfRule>
  </conditionalFormatting>
  <conditionalFormatting sqref="M50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{3b8034f4-85a3-42d0-9b68-0fad895e9bd5}</x14:id>
        </ext>
      </extLst>
    </cfRule>
  </conditionalFormatting>
  <conditionalFormatting sqref="M63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{0570a86e-57cc-4076-a2a4-bff044afe5e9}</x14:id>
        </ext>
      </extLst>
    </cfRule>
  </conditionalFormatting>
  <conditionalFormatting sqref="M73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{ea1bd85f-c2ef-4c05-8f6c-cf4fb49e2daf}</x14:id>
        </ext>
      </extLst>
    </cfRule>
  </conditionalFormatting>
  <conditionalFormatting sqref="M83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{a4d11e3a-3abd-4f36-9755-9b041148d862}</x14:id>
        </ext>
      </extLst>
    </cfRule>
  </conditionalFormatting>
  <conditionalFormatting sqref="I9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{f67c4c3a-9c84-4836-8afb-246c86c146ad}</x14:id>
        </ext>
      </extLst>
    </cfRule>
  </conditionalFormatting>
  <conditionalFormatting sqref="I9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{bc63c2ad-9878-49e3-b79d-5721b0120e5f}</x14:id>
        </ext>
      </extLst>
    </cfRule>
  </conditionalFormatting>
  <conditionalFormatting sqref="M98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{05edad24-1e93-4c56-bdde-5327421163cb}</x14:id>
        </ext>
      </extLst>
    </cfRule>
  </conditionalFormatting>
  <conditionalFormatting sqref="I111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{17b541e0-89d5-4615-b817-c8753d55dbce}</x14:id>
        </ext>
      </extLst>
    </cfRule>
  </conditionalFormatting>
  <conditionalFormatting sqref="M111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{794fbcc9-4a2e-4014-a8f9-c80f3390e99e}</x14:id>
        </ext>
      </extLst>
    </cfRule>
  </conditionalFormatting>
  <conditionalFormatting sqref="M112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{050aa1dc-2e99-4eab-81da-94d54a9f3f07}</x14:id>
        </ext>
      </extLst>
    </cfRule>
  </conditionalFormatting>
  <conditionalFormatting sqref="I12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{b3f42fdb-65c0-4957-8d36-c788e5283234}</x14:id>
        </ext>
      </extLst>
    </cfRule>
  </conditionalFormatting>
  <conditionalFormatting sqref="M12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{43a42a89-8804-4b2e-8d2a-87d235a14191}</x14:id>
        </ext>
      </extLst>
    </cfRule>
  </conditionalFormatting>
  <conditionalFormatting sqref="M123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{1a362077-16b4-48bd-b0f4-e892bd5bad28}</x14:id>
        </ext>
      </extLst>
    </cfRule>
  </conditionalFormatting>
  <conditionalFormatting sqref="I12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{86af9b98-426f-4c11-95f4-b7a7df114b3c}</x14:id>
        </ext>
      </extLst>
    </cfRule>
  </conditionalFormatting>
  <conditionalFormatting sqref="M136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{62bd965c-7261-436a-949c-16795bb1fafc}</x14:id>
        </ext>
      </extLst>
    </cfRule>
  </conditionalFormatting>
  <conditionalFormatting sqref="M147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{5f814495-60dc-4c9b-bce4-d794e811b8b8}</x14:id>
        </ext>
      </extLst>
    </cfRule>
  </conditionalFormatting>
  <conditionalFormatting sqref="I4:I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{f42e37dc-ba49-43ef-a2cd-416e30abe1e5}</x14:id>
        </ext>
      </extLst>
    </cfRule>
  </conditionalFormatting>
  <conditionalFormatting sqref="I15:I20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{8d8cad25-973c-451f-b047-2c295b76bbda}</x14:id>
        </ext>
      </extLst>
    </cfRule>
  </conditionalFormatting>
  <conditionalFormatting sqref="I33:I34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{ae4f3d6d-f844-4516-a72d-45837363b1d6}</x14:id>
        </ext>
      </extLst>
    </cfRule>
  </conditionalFormatting>
  <conditionalFormatting sqref="I39:I44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{be431a28-1d5b-4cb4-a286-0dfbee0bae87}</x14:id>
        </ext>
      </extLst>
    </cfRule>
  </conditionalFormatting>
  <conditionalFormatting sqref="I51:I57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{65aa0741-f583-4185-8bb7-0fb927e8db4f}</x14:id>
        </ext>
      </extLst>
    </cfRule>
  </conditionalFormatting>
  <conditionalFormatting sqref="I64:I67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{4b5b963d-184a-43ec-836d-ac9d262a87c0}</x14:id>
        </ext>
      </extLst>
    </cfRule>
  </conditionalFormatting>
  <conditionalFormatting sqref="I74:I7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{219310b9-78a2-4fc8-96e3-fb11a3f5abb3}</x14:id>
        </ext>
      </extLst>
    </cfRule>
  </conditionalFormatting>
  <conditionalFormatting sqref="I84:I91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{46a8fb86-8d98-45e9-aef2-2f337d89bac6}</x14:id>
        </ext>
      </extLst>
    </cfRule>
  </conditionalFormatting>
  <conditionalFormatting sqref="I99:I10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{958c2738-382c-407f-b9f3-fd392730b66a}</x14:id>
        </ext>
      </extLst>
    </cfRule>
  </conditionalFormatting>
  <conditionalFormatting sqref="I113:I116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{5eac5bf3-d82b-421a-ab8f-2463b786ea1e}</x14:id>
        </ext>
      </extLst>
    </cfRule>
  </conditionalFormatting>
  <conditionalFormatting sqref="I137:I141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{db242b90-3a78-4b4f-8d65-4652f10f2c48}</x14:id>
        </ext>
      </extLst>
    </cfRule>
  </conditionalFormatting>
  <conditionalFormatting sqref="I142:I143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{04b6a227-8245-4cfe-95a1-3ff45aa66505}</x14:id>
        </ext>
      </extLst>
    </cfRule>
  </conditionalFormatting>
  <conditionalFormatting sqref="I148:I15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{217b88b3-dfd2-469f-b465-9042dbd59f94}</x14:id>
        </ext>
      </extLst>
    </cfRule>
  </conditionalFormatting>
  <conditionalFormatting sqref="M4:M8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{0b2e565b-edb4-4d91-bff8-dcf447eed837}</x14:id>
        </ext>
      </extLst>
    </cfRule>
  </conditionalFormatting>
  <conditionalFormatting sqref="M15:M20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{ab32552c-f600-4597-8872-a683e7f1cc5f}</x14:id>
        </ext>
      </extLst>
    </cfRule>
  </conditionalFormatting>
  <conditionalFormatting sqref="M39:M44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{31b9095b-8b54-4153-be2d-2f7c77f5f44c}</x14:id>
        </ext>
      </extLst>
    </cfRule>
  </conditionalFormatting>
  <conditionalFormatting sqref="M51:M57">
    <cfRule type="dataBar" priority="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{0809381e-7769-4f1a-a67b-b7ed69d0c803}</x14:id>
        </ext>
      </extLst>
    </cfRule>
  </conditionalFormatting>
  <conditionalFormatting sqref="M64:M67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{4d0efe1d-b1cd-4d6e-a9c2-6ed1389b4acb}</x14:id>
        </ext>
      </extLst>
    </cfRule>
  </conditionalFormatting>
  <conditionalFormatting sqref="M74:M7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{8793a988-f374-4273-85c1-75a39e5f1dde}</x14:id>
        </ext>
      </extLst>
    </cfRule>
  </conditionalFormatting>
  <conditionalFormatting sqref="M84:M91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{4a1b424a-c276-4195-b470-b586f6327db2}</x14:id>
        </ext>
      </extLst>
    </cfRule>
  </conditionalFormatting>
  <conditionalFormatting sqref="M99:M105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{8d47b86b-6b6d-460a-ac98-aeb6e1d95f22}</x14:id>
        </ext>
      </extLst>
    </cfRule>
  </conditionalFormatting>
  <conditionalFormatting sqref="M113:M116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{174fe262-9d4c-49e6-bf77-6d97368074d5}</x14:id>
        </ext>
      </extLst>
    </cfRule>
  </conditionalFormatting>
  <conditionalFormatting sqref="M124:M13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{3f814339-4fc3-4f4c-9ad4-c95a4d347719}</x14:id>
        </ext>
      </extLst>
    </cfRule>
  </conditionalFormatting>
  <conditionalFormatting sqref="M137:M141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{5ab6545d-3fae-49a6-8eed-a1b999952ded}</x14:id>
        </ext>
      </extLst>
    </cfRule>
  </conditionalFormatting>
  <conditionalFormatting sqref="M148:M15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{7548a36e-1246-40fd-b69c-848a1524d004}</x14:id>
        </ext>
      </extLst>
    </cfRule>
  </conditionalFormatting>
  <conditionalFormatting sqref="I9:I10 I3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{9203f19c-0d53-4680-ad52-2306e4bdc1cf}</x14:id>
        </ext>
      </extLst>
    </cfRule>
  </conditionalFormatting>
  <conditionalFormatting sqref="I21:I22 I14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{b8e8e50f-d6a8-45b1-93db-44c8f62b8b9e}</x14:id>
        </ext>
      </extLst>
    </cfRule>
  </conditionalFormatting>
  <conditionalFormatting sqref="I27 I31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{8fc6fe21-b843-4a3c-9670-969becbe6c5a}</x14:id>
        </ext>
      </extLst>
    </cfRule>
  </conditionalFormatting>
  <conditionalFormatting sqref="M27 M31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{cddaacb4-e40c-43a3-8c7b-94feca740a37}</x14:id>
        </ext>
      </extLst>
    </cfRule>
  </conditionalFormatting>
  <conditionalFormatting sqref="I28:I30 I32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{994d2c01-e843-4b13-ac4a-62fd76d59197}</x14:id>
        </ext>
      </extLst>
    </cfRule>
  </conditionalFormatting>
  <conditionalFormatting sqref="M28:M30 M32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{ab34a74c-f37d-4dd6-9125-3a32301091b4}</x14:id>
        </ext>
      </extLst>
    </cfRule>
  </conditionalFormatting>
  <conditionalFormatting sqref="I45:I46 I38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{c5259044-5502-4365-b9f5-84a8bf8b849b}</x14:id>
        </ext>
      </extLst>
    </cfRule>
  </conditionalFormatting>
  <conditionalFormatting sqref="I58:I59 I50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{40359c0d-51dd-4ea8-9127-91c867036bc1}</x14:id>
        </ext>
      </extLst>
    </cfRule>
  </conditionalFormatting>
  <conditionalFormatting sqref="I68:I69 I63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{f8228f31-b102-4b86-ad16-a7cd10a916c6}</x14:id>
        </ext>
      </extLst>
    </cfRule>
  </conditionalFormatting>
  <conditionalFormatting sqref="I78:I79 I73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{69956f96-2e7b-453d-bdfa-6bdb98a3b744}</x14:id>
        </ext>
      </extLst>
    </cfRule>
  </conditionalFormatting>
  <conditionalFormatting sqref="I92:I93 I83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{5165ae25-5015-48f4-aa3f-67c5c85c2fc0}</x14:id>
        </ext>
      </extLst>
    </cfRule>
  </conditionalFormatting>
  <conditionalFormatting sqref="I106:I107 I98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{637c0b20-3c28-46d1-a3e8-112d59127f9f}</x14:id>
        </ext>
      </extLst>
    </cfRule>
  </conditionalFormatting>
  <conditionalFormatting sqref="I117:I118 I112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{1ee74d7a-91e0-4809-91f0-3899d9d05dfc}</x14:id>
        </ext>
      </extLst>
    </cfRule>
  </conditionalFormatting>
  <conditionalFormatting sqref="I131:I132 I123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{03bc7dcf-c59d-4f19-96f8-283acb16dd1b}</x14:id>
        </ext>
      </extLst>
    </cfRule>
  </conditionalFormatting>
  <conditionalFormatting sqref="I124:I127 I129:I130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{f3842a74-e282-4205-9727-e1dd5e3f7f1c}</x14:id>
        </ext>
      </extLst>
    </cfRule>
  </conditionalFormatting>
  <conditionalFormatting sqref="I153:I154 I147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{1d7f37ea-70f3-46a6-97e5-7fa23dc89b6f}</x14:id>
        </ext>
      </extLst>
    </cfRule>
  </conditionalFormatting>
  <hyperlinks>
    <hyperlink ref="B113" r:id="rId1" display="subarupartsplus.com" tooltip="http://www.subarupartsplus.com"/>
    <hyperlink ref="B53" r:id="rId2" display="moparfactoryparts.com" tooltip="http://www.moparfactoryparts.com"/>
    <hyperlink ref="B111" r:id="rId3" display="subaruparts.com" tooltip="http://www.subaruparts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eb9e03a-4121-48ab-b7a4-6ae10ca8448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</xm:sqref>
        </x14:conditionalFormatting>
        <x14:conditionalFormatting xmlns:xm="http://schemas.microsoft.com/office/excel/2006/main">
          <x14:cfRule type="dataBar" id="{e34aec57-1f3c-4c9a-adf8-fcd25acc50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</xm:sqref>
        </x14:conditionalFormatting>
        <x14:conditionalFormatting xmlns:xm="http://schemas.microsoft.com/office/excel/2006/main">
          <x14:cfRule type="dataBar" id="{e8a3f414-a01e-4385-a2b9-4a10b24cb1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I26</xm:sqref>
        </x14:conditionalFormatting>
        <x14:conditionalFormatting xmlns:xm="http://schemas.microsoft.com/office/excel/2006/main">
          <x14:cfRule type="dataBar" id="{a3031ae1-efd5-4cb2-8a4d-2bc04cc2ac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M26</xm:sqref>
        </x14:conditionalFormatting>
        <x14:conditionalFormatting xmlns:xm="http://schemas.microsoft.com/office/excel/2006/main">
          <x14:cfRule type="dataBar" id="{330ed846-bbbc-454d-8ddf-2ab4ff49cd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M33</xm:sqref>
        </x14:conditionalFormatting>
        <x14:conditionalFormatting xmlns:xm="http://schemas.microsoft.com/office/excel/2006/main">
          <x14:cfRule type="dataBar" id="{711398ae-1a42-4287-b05f-37143cf4f8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M38</xm:sqref>
        </x14:conditionalFormatting>
        <x14:conditionalFormatting xmlns:xm="http://schemas.microsoft.com/office/excel/2006/main">
          <x14:cfRule type="dataBar" id="{3b8034f4-85a3-42d0-9b68-0fad895e9bd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M50</xm:sqref>
        </x14:conditionalFormatting>
        <x14:conditionalFormatting xmlns:xm="http://schemas.microsoft.com/office/excel/2006/main">
          <x14:cfRule type="dataBar" id="{0570a86e-57cc-4076-a2a4-bff044afe5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M63</xm:sqref>
        </x14:conditionalFormatting>
        <x14:conditionalFormatting xmlns:xm="http://schemas.microsoft.com/office/excel/2006/main">
          <x14:cfRule type="dataBar" id="{ea1bd85f-c2ef-4c05-8f6c-cf4fb49e2d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M73</xm:sqref>
        </x14:conditionalFormatting>
        <x14:conditionalFormatting xmlns:xm="http://schemas.microsoft.com/office/excel/2006/main">
          <x14:cfRule type="dataBar" id="{a4d11e3a-3abd-4f36-9755-9b041148d8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M83</xm:sqref>
        </x14:conditionalFormatting>
        <x14:conditionalFormatting xmlns:xm="http://schemas.microsoft.com/office/excel/2006/main">
          <x14:cfRule type="dataBar" id="{f67c4c3a-9c84-4836-8afb-246c86c146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I94</xm:sqref>
        </x14:conditionalFormatting>
        <x14:conditionalFormatting xmlns:xm="http://schemas.microsoft.com/office/excel/2006/main">
          <x14:cfRule type="dataBar" id="{bc63c2ad-9878-49e3-b79d-5721b0120e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I95</xm:sqref>
        </x14:conditionalFormatting>
        <x14:conditionalFormatting xmlns:xm="http://schemas.microsoft.com/office/excel/2006/main">
          <x14:cfRule type="dataBar" id="{05edad24-1e93-4c56-bdde-5327421163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M98</xm:sqref>
        </x14:conditionalFormatting>
        <x14:conditionalFormatting xmlns:xm="http://schemas.microsoft.com/office/excel/2006/main">
          <x14:cfRule type="dataBar" id="{17b541e0-89d5-4615-b817-c8753d55dbc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I111</xm:sqref>
        </x14:conditionalFormatting>
        <x14:conditionalFormatting xmlns:xm="http://schemas.microsoft.com/office/excel/2006/main">
          <x14:cfRule type="dataBar" id="{794fbcc9-4a2e-4014-a8f9-c80f3390e9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M111</xm:sqref>
        </x14:conditionalFormatting>
        <x14:conditionalFormatting xmlns:xm="http://schemas.microsoft.com/office/excel/2006/main">
          <x14:cfRule type="dataBar" id="{050aa1dc-2e99-4eab-81da-94d54a9f3f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M112</xm:sqref>
        </x14:conditionalFormatting>
        <x14:conditionalFormatting xmlns:xm="http://schemas.microsoft.com/office/excel/2006/main">
          <x14:cfRule type="dataBar" id="{b3f42fdb-65c0-4957-8d36-c788e52832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I122</xm:sqref>
        </x14:conditionalFormatting>
        <x14:conditionalFormatting xmlns:xm="http://schemas.microsoft.com/office/excel/2006/main">
          <x14:cfRule type="dataBar" id="{43a42a89-8804-4b2e-8d2a-87d235a141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M122</xm:sqref>
        </x14:conditionalFormatting>
        <x14:conditionalFormatting xmlns:xm="http://schemas.microsoft.com/office/excel/2006/main">
          <x14:cfRule type="dataBar" id="{1a362077-16b4-48bd-b0f4-e892bd5bad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M123</xm:sqref>
        </x14:conditionalFormatting>
        <x14:conditionalFormatting xmlns:xm="http://schemas.microsoft.com/office/excel/2006/main">
          <x14:cfRule type="dataBar" id="{86af9b98-426f-4c11-95f4-b7a7df114b3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I128</xm:sqref>
        </x14:conditionalFormatting>
        <x14:conditionalFormatting xmlns:xm="http://schemas.microsoft.com/office/excel/2006/main">
          <x14:cfRule type="dataBar" id="{62bd965c-7261-436a-949c-16795bb1fa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M136</xm:sqref>
        </x14:conditionalFormatting>
        <x14:conditionalFormatting xmlns:xm="http://schemas.microsoft.com/office/excel/2006/main">
          <x14:cfRule type="dataBar" id="{5f814495-60dc-4c9b-bce4-d794e811b8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M147</xm:sqref>
        </x14:conditionalFormatting>
        <x14:conditionalFormatting xmlns:xm="http://schemas.microsoft.com/office/excel/2006/main">
          <x14:cfRule type="dataBar" id="{f42e37dc-ba49-43ef-a2cd-416e30abe1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I4:I8</xm:sqref>
        </x14:conditionalFormatting>
        <x14:conditionalFormatting xmlns:xm="http://schemas.microsoft.com/office/excel/2006/main">
          <x14:cfRule type="dataBar" id="{8d8cad25-973c-451f-b047-2c295b76bbd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I15:I20</xm:sqref>
        </x14:conditionalFormatting>
        <x14:conditionalFormatting xmlns:xm="http://schemas.microsoft.com/office/excel/2006/main">
          <x14:cfRule type="dataBar" id="{ae4f3d6d-f844-4516-a72d-45837363b1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I33:I34</xm:sqref>
        </x14:conditionalFormatting>
        <x14:conditionalFormatting xmlns:xm="http://schemas.microsoft.com/office/excel/2006/main">
          <x14:cfRule type="dataBar" id="{be431a28-1d5b-4cb4-a286-0dfbee0bae8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I39:I44</xm:sqref>
        </x14:conditionalFormatting>
        <x14:conditionalFormatting xmlns:xm="http://schemas.microsoft.com/office/excel/2006/main">
          <x14:cfRule type="dataBar" id="{65aa0741-f583-4185-8bb7-0fb927e8db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I51:I57</xm:sqref>
        </x14:conditionalFormatting>
        <x14:conditionalFormatting xmlns:xm="http://schemas.microsoft.com/office/excel/2006/main">
          <x14:cfRule type="dataBar" id="{4b5b963d-184a-43ec-836d-ac9d262a87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I64:I67</xm:sqref>
        </x14:conditionalFormatting>
        <x14:conditionalFormatting xmlns:xm="http://schemas.microsoft.com/office/excel/2006/main">
          <x14:cfRule type="dataBar" id="{219310b9-78a2-4fc8-96e3-fb11a3f5ab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I74:I77</xm:sqref>
        </x14:conditionalFormatting>
        <x14:conditionalFormatting xmlns:xm="http://schemas.microsoft.com/office/excel/2006/main">
          <x14:cfRule type="dataBar" id="{46a8fb86-8d98-45e9-aef2-2f337d89ba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I84:I91</xm:sqref>
        </x14:conditionalFormatting>
        <x14:conditionalFormatting xmlns:xm="http://schemas.microsoft.com/office/excel/2006/main">
          <x14:cfRule type="dataBar" id="{958c2738-382c-407f-b9f3-fd392730b66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I99:I105</xm:sqref>
        </x14:conditionalFormatting>
        <x14:conditionalFormatting xmlns:xm="http://schemas.microsoft.com/office/excel/2006/main">
          <x14:cfRule type="dataBar" id="{5eac5bf3-d82b-421a-ab8f-2463b786ea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I113:I116</xm:sqref>
        </x14:conditionalFormatting>
        <x14:conditionalFormatting xmlns:xm="http://schemas.microsoft.com/office/excel/2006/main">
          <x14:cfRule type="dataBar" id="{db242b90-3a78-4b4f-8d65-4652f10f2c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I137:I141</xm:sqref>
        </x14:conditionalFormatting>
        <x14:conditionalFormatting xmlns:xm="http://schemas.microsoft.com/office/excel/2006/main">
          <x14:cfRule type="dataBar" id="{04b6a227-8245-4cfe-95a1-3ff45aa665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I142:I143</xm:sqref>
        </x14:conditionalFormatting>
        <x14:conditionalFormatting xmlns:xm="http://schemas.microsoft.com/office/excel/2006/main">
          <x14:cfRule type="dataBar" id="{217b88b3-dfd2-469f-b465-9042dbd59f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I148:I152</xm:sqref>
        </x14:conditionalFormatting>
        <x14:conditionalFormatting xmlns:xm="http://schemas.microsoft.com/office/excel/2006/main">
          <x14:cfRule type="dataBar" id="{0b2e565b-edb4-4d91-bff8-dcf447eed8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M4:M8</xm:sqref>
        </x14:conditionalFormatting>
        <x14:conditionalFormatting xmlns:xm="http://schemas.microsoft.com/office/excel/2006/main">
          <x14:cfRule type="dataBar" id="{ab32552c-f600-4597-8872-a683e7f1cc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M15:M20</xm:sqref>
        </x14:conditionalFormatting>
        <x14:conditionalFormatting xmlns:xm="http://schemas.microsoft.com/office/excel/2006/main">
          <x14:cfRule type="dataBar" id="{31b9095b-8b54-4153-be2d-2f7c77f5f4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M39:M44</xm:sqref>
        </x14:conditionalFormatting>
        <x14:conditionalFormatting xmlns:xm="http://schemas.microsoft.com/office/excel/2006/main">
          <x14:cfRule type="dataBar" id="{0809381e-7769-4f1a-a67b-b7ed69d0c8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M51:M57</xm:sqref>
        </x14:conditionalFormatting>
        <x14:conditionalFormatting xmlns:xm="http://schemas.microsoft.com/office/excel/2006/main">
          <x14:cfRule type="dataBar" id="{4d0efe1d-b1cd-4d6e-a9c2-6ed1389b4a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M64:M67</xm:sqref>
        </x14:conditionalFormatting>
        <x14:conditionalFormatting xmlns:xm="http://schemas.microsoft.com/office/excel/2006/main">
          <x14:cfRule type="dataBar" id="{8793a988-f374-4273-85c1-75a39e5f1d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M74:M77</xm:sqref>
        </x14:conditionalFormatting>
        <x14:conditionalFormatting xmlns:xm="http://schemas.microsoft.com/office/excel/2006/main">
          <x14:cfRule type="dataBar" id="{4a1b424a-c276-4195-b470-b586f6327d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M84:M91</xm:sqref>
        </x14:conditionalFormatting>
        <x14:conditionalFormatting xmlns:xm="http://schemas.microsoft.com/office/excel/2006/main">
          <x14:cfRule type="dataBar" id="{8d47b86b-6b6d-460a-ac98-aeb6e1d95f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M99:M105</xm:sqref>
        </x14:conditionalFormatting>
        <x14:conditionalFormatting xmlns:xm="http://schemas.microsoft.com/office/excel/2006/main">
          <x14:cfRule type="dataBar" id="{174fe262-9d4c-49e6-bf77-6d97368074d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M113:M116</xm:sqref>
        </x14:conditionalFormatting>
        <x14:conditionalFormatting xmlns:xm="http://schemas.microsoft.com/office/excel/2006/main">
          <x14:cfRule type="dataBar" id="{3f814339-4fc3-4f4c-9ad4-c95a4d3477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M124:M130</xm:sqref>
        </x14:conditionalFormatting>
        <x14:conditionalFormatting xmlns:xm="http://schemas.microsoft.com/office/excel/2006/main">
          <x14:cfRule type="dataBar" id="{5ab6545d-3fae-49a6-8eed-a1b999952de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M137:M141</xm:sqref>
        </x14:conditionalFormatting>
        <x14:conditionalFormatting xmlns:xm="http://schemas.microsoft.com/office/excel/2006/main">
          <x14:cfRule type="dataBar" id="{7548a36e-1246-40fd-b69c-848a1524d0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M148:M152</xm:sqref>
        </x14:conditionalFormatting>
        <x14:conditionalFormatting xmlns:xm="http://schemas.microsoft.com/office/excel/2006/main">
          <x14:cfRule type="dataBar" id="{9203f19c-0d53-4680-ad52-2306e4bdc1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I9:I10 I3</xm:sqref>
        </x14:conditionalFormatting>
        <x14:conditionalFormatting xmlns:xm="http://schemas.microsoft.com/office/excel/2006/main">
          <x14:cfRule type="dataBar" id="{b8e8e50f-d6a8-45b1-93db-44c8f62b8b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I21:I22 I14</xm:sqref>
        </x14:conditionalFormatting>
        <x14:conditionalFormatting xmlns:xm="http://schemas.microsoft.com/office/excel/2006/main">
          <x14:cfRule type="dataBar" id="{8fc6fe21-b843-4a3c-9670-969becbe6c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I27 I31</xm:sqref>
        </x14:conditionalFormatting>
        <x14:conditionalFormatting xmlns:xm="http://schemas.microsoft.com/office/excel/2006/main">
          <x14:cfRule type="dataBar" id="{cddaacb4-e40c-43a3-8c7b-94feca740a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M27 M31</xm:sqref>
        </x14:conditionalFormatting>
        <x14:conditionalFormatting xmlns:xm="http://schemas.microsoft.com/office/excel/2006/main">
          <x14:cfRule type="dataBar" id="{994d2c01-e843-4b13-ac4a-62fd76d591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I28:I30 I32</xm:sqref>
        </x14:conditionalFormatting>
        <x14:conditionalFormatting xmlns:xm="http://schemas.microsoft.com/office/excel/2006/main">
          <x14:cfRule type="dataBar" id="{ab34a74c-f37d-4dd6-9125-3a32301091b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M28:M30 M32</xm:sqref>
        </x14:conditionalFormatting>
        <x14:conditionalFormatting xmlns:xm="http://schemas.microsoft.com/office/excel/2006/main">
          <x14:cfRule type="dataBar" id="{c5259044-5502-4365-b9f5-84a8bf8b84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I45:I46 I38</xm:sqref>
        </x14:conditionalFormatting>
        <x14:conditionalFormatting xmlns:xm="http://schemas.microsoft.com/office/excel/2006/main">
          <x14:cfRule type="dataBar" id="{40359c0d-51dd-4ea8-9127-91c867036b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I58:I59 I50</xm:sqref>
        </x14:conditionalFormatting>
        <x14:conditionalFormatting xmlns:xm="http://schemas.microsoft.com/office/excel/2006/main">
          <x14:cfRule type="dataBar" id="{f8228f31-b102-4b86-ad16-a7cd10a916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I68:I69 I63</xm:sqref>
        </x14:conditionalFormatting>
        <x14:conditionalFormatting xmlns:xm="http://schemas.microsoft.com/office/excel/2006/main">
          <x14:cfRule type="dataBar" id="{69956f96-2e7b-453d-bdfa-6bdb98a3b7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I78:I79 I73</xm:sqref>
        </x14:conditionalFormatting>
        <x14:conditionalFormatting xmlns:xm="http://schemas.microsoft.com/office/excel/2006/main">
          <x14:cfRule type="dataBar" id="{5165ae25-5015-48f4-aa3f-67c5c85c2f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I92:I93 I83</xm:sqref>
        </x14:conditionalFormatting>
        <x14:conditionalFormatting xmlns:xm="http://schemas.microsoft.com/office/excel/2006/main">
          <x14:cfRule type="dataBar" id="{637c0b20-3c28-46d1-a3e8-112d59127f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I106:I107 I98</xm:sqref>
        </x14:conditionalFormatting>
        <x14:conditionalFormatting xmlns:xm="http://schemas.microsoft.com/office/excel/2006/main">
          <x14:cfRule type="dataBar" id="{1ee74d7a-91e0-4809-91f0-3899d9d05d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I117:I118 I112</xm:sqref>
        </x14:conditionalFormatting>
        <x14:conditionalFormatting xmlns:xm="http://schemas.microsoft.com/office/excel/2006/main">
          <x14:cfRule type="dataBar" id="{03bc7dcf-c59d-4f19-96f8-283acb16dd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I131:I132 I123</xm:sqref>
        </x14:conditionalFormatting>
        <x14:conditionalFormatting xmlns:xm="http://schemas.microsoft.com/office/excel/2006/main">
          <x14:cfRule type="dataBar" id="{f3842a74-e282-4205-9727-e1dd5e3f7f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I124:I127 I129:I130</xm:sqref>
        </x14:conditionalFormatting>
        <x14:conditionalFormatting xmlns:xm="http://schemas.microsoft.com/office/excel/2006/main">
          <x14:cfRule type="dataBar" id="{1d7f37ea-70f3-46a6-97e5-7fa23dc89b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I153:I154 I147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47"/>
  <sheetViews>
    <sheetView workbookViewId="0">
      <selection activeCell="A1" sqref="A1"/>
    </sheetView>
  </sheetViews>
  <sheetFormatPr defaultColWidth="9" defaultRowHeight="15.6"/>
  <cols>
    <col min="1" max="1" width="13.4444444444444" style="408" customWidth="1"/>
    <col min="2" max="2" width="46.4444444444444" style="408" customWidth="1"/>
    <col min="3" max="3" width="14.4444444444444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19.2222222222222" style="413" hidden="1" customWidth="1"/>
    <col min="14" max="14" width="7.33333333333333" style="414" hidden="1" customWidth="1"/>
    <col min="15" max="15" width="16.3333333333333" style="412" hidden="1" customWidth="1"/>
    <col min="16" max="16" width="96.4444444444444" style="528" customWidth="1"/>
    <col min="17" max="17" width="31.6666666666667" style="408" customWidth="1"/>
    <col min="18" max="18" width="14.8888888888889" style="408" customWidth="1"/>
    <col min="19" max="19" width="10.1111111111111" style="408" customWidth="1"/>
    <col min="20" max="20" width="17.1111111111111" style="416" customWidth="1"/>
    <col min="21" max="21" width="16.8888888888889" style="416" customWidth="1"/>
    <col min="22" max="22" width="10.8888888888889" style="408" hidden="1" customWidth="1"/>
    <col min="23" max="23" width="11.1111111111111" style="408" hidden="1" customWidth="1"/>
    <col min="24" max="16383" width="9" style="417"/>
    <col min="16384" max="16384" width="9" style="255"/>
  </cols>
  <sheetData>
    <row r="1" s="408" customFormat="1" ht="17.4" spans="1:23">
      <c r="A1" s="418" t="s">
        <v>138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43"/>
      <c r="N1" s="444"/>
      <c r="O1" s="422"/>
      <c r="P1" s="531"/>
      <c r="Q1" s="465"/>
      <c r="R1" s="424"/>
      <c r="S1" s="473"/>
      <c r="T1" s="467"/>
      <c r="U1" s="467"/>
      <c r="V1" s="467"/>
      <c r="W1" s="467"/>
    </row>
    <row r="2" s="409" customFormat="1" ht="48.6" spans="1:23">
      <c r="A2" s="423" t="s">
        <v>206</v>
      </c>
      <c r="B2" s="424" t="s">
        <v>207</v>
      </c>
      <c r="C2" s="425" t="s">
        <v>208</v>
      </c>
      <c r="D2" s="424" t="s">
        <v>209</v>
      </c>
      <c r="E2" s="426" t="s">
        <v>210</v>
      </c>
      <c r="F2" s="427" t="s">
        <v>402</v>
      </c>
      <c r="G2" s="427" t="s">
        <v>212</v>
      </c>
      <c r="H2" s="427" t="s">
        <v>397</v>
      </c>
      <c r="I2" s="427" t="s">
        <v>214</v>
      </c>
      <c r="J2" s="446" t="s">
        <v>398</v>
      </c>
      <c r="K2" s="446" t="s">
        <v>399</v>
      </c>
      <c r="L2" s="446" t="s">
        <v>403</v>
      </c>
      <c r="M2" s="447" t="s">
        <v>218</v>
      </c>
      <c r="N2" s="448" t="s">
        <v>219</v>
      </c>
      <c r="O2" s="449" t="s">
        <v>220</v>
      </c>
      <c r="P2" s="530" t="s">
        <v>221</v>
      </c>
      <c r="Q2" s="469" t="s">
        <v>222</v>
      </c>
      <c r="R2" s="426" t="s">
        <v>223</v>
      </c>
      <c r="S2" s="470" t="s">
        <v>224</v>
      </c>
      <c r="T2" s="467" t="s">
        <v>225</v>
      </c>
      <c r="U2" s="470" t="s">
        <v>226</v>
      </c>
      <c r="V2" s="467"/>
      <c r="W2" s="467"/>
    </row>
    <row r="3" s="410" customFormat="1" ht="17.4" spans="1:23">
      <c r="A3" s="432" t="s">
        <v>227</v>
      </c>
      <c r="B3" s="432" t="s">
        <v>139</v>
      </c>
      <c r="C3" s="434" t="str">
        <f>VLOOKUP(B3,正厂竞争者数据汇总!D:H,2,FALSE)</f>
        <v>原厂目录</v>
      </c>
      <c r="D3" s="435" t="str">
        <f>VLOOKUP(B3,正厂竞争者数据汇总!D:H,3,FALSE)</f>
        <v>CA</v>
      </c>
      <c r="E3" s="436">
        <f>VLOOKUP(B3,正厂竞争者数据汇总!D:H,4,FALSE)</f>
        <v>0</v>
      </c>
      <c r="F3" s="436">
        <v>1484000</v>
      </c>
      <c r="G3" s="436">
        <v>1150833.33333333</v>
      </c>
      <c r="H3" s="436">
        <v>1200750</v>
      </c>
      <c r="I3" s="454">
        <f>(F3/G3)-1</f>
        <v>0.289500362056485</v>
      </c>
      <c r="J3" s="455">
        <v>0.604224111726319</v>
      </c>
      <c r="K3" s="455">
        <v>0.571823205362833</v>
      </c>
      <c r="L3" s="455">
        <v>0.572137832187349</v>
      </c>
      <c r="M3" s="456">
        <f>J3-K3</f>
        <v>0.0324009063634858</v>
      </c>
      <c r="N3" s="455" t="str">
        <f>IFERROR(O3*0.5/$F$3,"")</f>
        <v/>
      </c>
      <c r="O3" s="436" t="s">
        <v>180</v>
      </c>
      <c r="P3" s="531">
        <f t="array" ref="P3">INDEX(正厂竞争者数据汇总!I:I,MATCH($A$1&amp;B3,正厂竞争者数据汇总!A:A&amp;正厂竞争者数据汇总!D:D,0))</f>
        <v>0</v>
      </c>
      <c r="Q3" s="434" t="s">
        <v>228</v>
      </c>
      <c r="R3" s="435" t="s">
        <v>229</v>
      </c>
      <c r="S3" s="476"/>
      <c r="T3" s="477"/>
      <c r="U3" s="477"/>
      <c r="V3" s="477"/>
      <c r="W3" s="477"/>
    </row>
    <row r="4" s="408" customFormat="1" spans="1:23">
      <c r="A4" s="428" t="s">
        <v>230</v>
      </c>
      <c r="B4" s="421" t="s">
        <v>231</v>
      </c>
      <c r="C4" s="429" t="str">
        <f>VLOOKUP(B4,正厂竞争者数据汇总!D:H,2,FALSE)</f>
        <v>原厂目录</v>
      </c>
      <c r="D4" s="421" t="str">
        <f>VLOOKUP(B4,正厂竞争者数据汇总!D:H,3,FALSE)</f>
        <v>TX</v>
      </c>
      <c r="E4" s="430"/>
      <c r="F4" s="430">
        <v>419967.583333333</v>
      </c>
      <c r="G4" s="430"/>
      <c r="H4" s="430"/>
      <c r="I4" s="450"/>
      <c r="J4" s="451">
        <v>0.170993625332501</v>
      </c>
      <c r="K4" s="451">
        <v>0.171568449216218</v>
      </c>
      <c r="L4" s="451">
        <v>0.183352789446618</v>
      </c>
      <c r="M4" s="452"/>
      <c r="N4" s="451"/>
      <c r="O4" s="430"/>
      <c r="P4" s="531">
        <f t="array" ref="P4">INDEX(正厂竞争者数据汇总!I:I,MATCH($A$1&amp;B4,正厂竞争者数据汇总!A:A&amp;正厂竞争者数据汇总!D:D,0))</f>
        <v>0</v>
      </c>
      <c r="Q4" s="429"/>
      <c r="R4" s="421"/>
      <c r="S4" s="472"/>
      <c r="T4" s="466"/>
      <c r="U4" s="466"/>
      <c r="V4" s="466"/>
      <c r="W4" s="466"/>
    </row>
    <row r="5" s="408" customFormat="1" spans="1:23">
      <c r="A5" s="428" t="s">
        <v>230</v>
      </c>
      <c r="B5" s="421" t="s">
        <v>235</v>
      </c>
      <c r="C5" s="429" t="str">
        <f>VLOOKUP(B5,正厂竞争者数据汇总!D:H,2,FALSE)</f>
        <v>原厂目录</v>
      </c>
      <c r="D5" s="421" t="str">
        <f>VLOOKUP(B5,正厂竞争者数据汇总!D:H,3,FALSE)</f>
        <v>NJ</v>
      </c>
      <c r="E5" s="430"/>
      <c r="F5" s="430">
        <v>149579.263333333</v>
      </c>
      <c r="G5" s="430"/>
      <c r="H5" s="430"/>
      <c r="I5" s="450"/>
      <c r="J5" s="451">
        <v>0.0609025589759168</v>
      </c>
      <c r="K5" s="451">
        <v>0.075858199735933</v>
      </c>
      <c r="L5" s="451">
        <v>0.0629296457508154</v>
      </c>
      <c r="M5" s="452"/>
      <c r="N5" s="451"/>
      <c r="O5" s="430"/>
      <c r="P5" s="531" t="str">
        <f t="array" ref="P5">INDEX(正厂竞争者数据汇总!I:I,MATCH($A$1&amp;B5,正厂竞争者数据汇总!A:A&amp;正厂竞争者数据汇总!D:D,0))</f>
        <v>2021年06月新加竞争者</v>
      </c>
      <c r="Q5" s="429"/>
      <c r="R5" s="421"/>
      <c r="S5" s="472"/>
      <c r="T5" s="466"/>
      <c r="U5" s="466"/>
      <c r="V5" s="466"/>
      <c r="W5" s="466"/>
    </row>
    <row r="6" s="408" customFormat="1" spans="1:23">
      <c r="A6" s="428" t="s">
        <v>238</v>
      </c>
      <c r="B6" s="421" t="s">
        <v>239</v>
      </c>
      <c r="C6" s="429" t="str">
        <f>VLOOKUP(B6,正厂竞争者数据汇总!D:H,2,FALSE)</f>
        <v>原厂目录</v>
      </c>
      <c r="D6" s="421" t="str">
        <f>VLOOKUP(B6,正厂竞争者数据汇总!D:H,3,FALSE)</f>
        <v>MA</v>
      </c>
      <c r="E6" s="430"/>
      <c r="F6" s="430">
        <v>138713.833333333</v>
      </c>
      <c r="G6" s="430"/>
      <c r="H6" s="430"/>
      <c r="I6" s="450"/>
      <c r="J6" s="451">
        <v>0.0564786002223625</v>
      </c>
      <c r="K6" s="451">
        <v>0.0590542684306213</v>
      </c>
      <c r="L6" s="451">
        <v>0.0551216017210155</v>
      </c>
      <c r="M6" s="452"/>
      <c r="N6" s="451"/>
      <c r="O6" s="430"/>
      <c r="P6" s="531" t="str">
        <f t="array" ref="P6">INDEX(正厂竞争者数据汇总!I:I,MATCH($A$1&amp;B6,正厂竞争者数据汇总!A:A&amp;正厂竞争者数据汇总!D:D,0))</f>
        <v>2023年10月，Semrush中仅能获取acura子域名流量</v>
      </c>
      <c r="Q6" s="429"/>
      <c r="R6" s="421"/>
      <c r="S6" s="472"/>
      <c r="T6" s="466"/>
      <c r="U6" s="466"/>
      <c r="V6" s="466"/>
      <c r="W6" s="466"/>
    </row>
    <row r="7" s="408" customFormat="1" spans="1:23">
      <c r="A7" s="428" t="s">
        <v>230</v>
      </c>
      <c r="B7" s="421" t="s">
        <v>236</v>
      </c>
      <c r="C7" s="429" t="str">
        <f>VLOOKUP(B7,正厂竞争者数据汇总!D:H,2,FALSE)</f>
        <v>原厂目录</v>
      </c>
      <c r="D7" s="421" t="str">
        <f>VLOOKUP(B7,正厂竞争者数据汇总!D:H,3,FALSE)</f>
        <v>AL</v>
      </c>
      <c r="E7" s="430"/>
      <c r="F7" s="430">
        <v>138302.72</v>
      </c>
      <c r="G7" s="430"/>
      <c r="H7" s="430"/>
      <c r="I7" s="450"/>
      <c r="J7" s="451">
        <v>0.0563112116855349</v>
      </c>
      <c r="K7" s="451">
        <v>0.0678714697378497</v>
      </c>
      <c r="L7" s="451">
        <v>0.0776728601990689</v>
      </c>
      <c r="M7" s="452"/>
      <c r="N7" s="451"/>
      <c r="O7" s="430"/>
      <c r="P7" s="531" t="str">
        <f t="array" ref="P7">INDEX(正厂竞争者数据汇总!I:I,MATCH($A$1&amp;B7,正厂竞争者数据汇总!A:A&amp;正厂竞争者数据汇总!D:D,0))</f>
        <v>2022年1月 新加入 CompetitorSites
2022年1月 新加入 MarketingShare</v>
      </c>
      <c r="Q7" s="429"/>
      <c r="R7" s="421"/>
      <c r="S7" s="472"/>
      <c r="T7" s="466"/>
      <c r="U7" s="466"/>
      <c r="V7" s="466"/>
      <c r="W7" s="466"/>
    </row>
    <row r="8" s="408" customFormat="1" spans="1:23">
      <c r="A8" s="428" t="s">
        <v>230</v>
      </c>
      <c r="B8" s="421" t="s">
        <v>237</v>
      </c>
      <c r="C8" s="429" t="str">
        <f>VLOOKUP(B8,正厂竞争者数据汇总!D:H,2,FALSE)</f>
        <v>原厂目录</v>
      </c>
      <c r="D8" s="421" t="str">
        <f>VLOOKUP(B8,正厂竞争者数据汇总!D:H,3,FALSE)</f>
        <v>MA</v>
      </c>
      <c r="E8" s="430"/>
      <c r="F8" s="430">
        <v>125478.937933333</v>
      </c>
      <c r="G8" s="430"/>
      <c r="H8" s="430"/>
      <c r="I8" s="450"/>
      <c r="J8" s="451">
        <v>0.0510898920573654</v>
      </c>
      <c r="K8" s="451">
        <v>0.0538244075165449</v>
      </c>
      <c r="L8" s="451">
        <v>0.048785270695133</v>
      </c>
      <c r="M8" s="452"/>
      <c r="N8" s="451"/>
      <c r="O8" s="430"/>
      <c r="P8" s="531">
        <f t="array" ref="P8">INDEX(正厂竞争者数据汇总!I:I,MATCH($A$1&amp;B8,正厂竞争者数据汇总!A:A&amp;正厂竞争者数据汇总!D:D,0))</f>
        <v>0</v>
      </c>
      <c r="Q8" s="429"/>
      <c r="R8" s="421"/>
      <c r="S8" s="472"/>
      <c r="T8" s="466"/>
      <c r="U8" s="466"/>
      <c r="V8" s="466"/>
      <c r="W8" s="466"/>
    </row>
    <row r="9" s="410" customFormat="1" spans="1:23">
      <c r="A9" s="432"/>
      <c r="B9" s="435"/>
      <c r="C9" s="434"/>
      <c r="D9" s="435"/>
      <c r="E9" s="430"/>
      <c r="F9" s="430"/>
      <c r="G9" s="430"/>
      <c r="H9" s="430"/>
      <c r="I9" s="453"/>
      <c r="J9" s="436"/>
      <c r="K9" s="436"/>
      <c r="L9" s="436"/>
      <c r="M9" s="451"/>
      <c r="N9" s="455"/>
      <c r="O9" s="436"/>
      <c r="P9" s="531"/>
      <c r="Q9" s="434"/>
      <c r="R9" s="435"/>
      <c r="S9" s="473"/>
      <c r="T9" s="477"/>
      <c r="U9" s="466"/>
      <c r="V9" s="435"/>
      <c r="W9" s="435"/>
    </row>
    <row r="10" s="408" customFormat="1" spans="1:23">
      <c r="A10" s="428"/>
      <c r="B10" s="421"/>
      <c r="C10" s="439"/>
      <c r="D10" s="421"/>
      <c r="E10" s="430"/>
      <c r="F10" s="430">
        <v>2456042.33793333</v>
      </c>
      <c r="G10" s="430">
        <v>2122774.16666666</v>
      </c>
      <c r="H10" s="430">
        <v>2262821.16666667</v>
      </c>
      <c r="I10" s="453">
        <f>(F10/G10)-1</f>
        <v>0.156996526761957</v>
      </c>
      <c r="J10" s="451"/>
      <c r="K10" s="451"/>
      <c r="L10" s="451"/>
      <c r="M10" s="451"/>
      <c r="N10" s="451">
        <f>SUM(N3:N4)</f>
        <v>0</v>
      </c>
      <c r="O10" s="451"/>
      <c r="P10" s="531"/>
      <c r="Q10" s="429"/>
      <c r="R10" s="421"/>
      <c r="S10" s="473"/>
      <c r="T10" s="466"/>
      <c r="U10" s="466"/>
      <c r="V10" s="421"/>
      <c r="W10" s="421"/>
    </row>
    <row r="11" s="408" customFormat="1" spans="1:23">
      <c r="A11" s="428"/>
      <c r="B11" s="421"/>
      <c r="C11" s="439"/>
      <c r="D11" s="421"/>
      <c r="E11" s="430"/>
      <c r="F11" s="430"/>
      <c r="G11" s="430"/>
      <c r="H11" s="430"/>
      <c r="I11" s="453"/>
      <c r="J11" s="430"/>
      <c r="K11" s="430"/>
      <c r="L11" s="430"/>
      <c r="M11" s="451"/>
      <c r="N11" s="451"/>
      <c r="O11" s="430"/>
      <c r="P11" s="531"/>
      <c r="Q11" s="429"/>
      <c r="R11" s="421"/>
      <c r="S11" s="473"/>
      <c r="T11" s="466"/>
      <c r="U11" s="466"/>
      <c r="V11" s="421"/>
      <c r="W11" s="421"/>
    </row>
    <row r="12" s="408" customFormat="1" ht="17.4" spans="1:23">
      <c r="A12" s="418" t="s">
        <v>141</v>
      </c>
      <c r="B12" s="441"/>
      <c r="C12" s="420"/>
      <c r="D12" s="421"/>
      <c r="E12" s="422" t="s">
        <v>202</v>
      </c>
      <c r="F12" s="422"/>
      <c r="G12" s="422"/>
      <c r="H12" s="422"/>
      <c r="I12" s="422"/>
      <c r="J12" s="422"/>
      <c r="K12" s="422"/>
      <c r="L12" s="422"/>
      <c r="M12" s="443"/>
      <c r="N12" s="444"/>
      <c r="O12" s="422"/>
      <c r="P12" s="531"/>
      <c r="Q12" s="465"/>
      <c r="R12" s="424"/>
      <c r="S12" s="473"/>
      <c r="T12" s="467"/>
      <c r="U12" s="467"/>
      <c r="V12" s="467"/>
      <c r="W12" s="467"/>
    </row>
    <row r="13" s="409" customFormat="1" ht="48.6" spans="1:23">
      <c r="A13" s="423" t="s">
        <v>206</v>
      </c>
      <c r="B13" s="424" t="s">
        <v>207</v>
      </c>
      <c r="C13" s="425" t="s">
        <v>208</v>
      </c>
      <c r="D13" s="424" t="s">
        <v>209</v>
      </c>
      <c r="E13" s="426" t="s">
        <v>210</v>
      </c>
      <c r="F13" s="427" t="s">
        <v>402</v>
      </c>
      <c r="G13" s="427" t="s">
        <v>212</v>
      </c>
      <c r="H13" s="427" t="s">
        <v>397</v>
      </c>
      <c r="I13" s="427" t="s">
        <v>214</v>
      </c>
      <c r="J13" s="446" t="s">
        <v>398</v>
      </c>
      <c r="K13" s="446" t="s">
        <v>399</v>
      </c>
      <c r="L13" s="446" t="s">
        <v>403</v>
      </c>
      <c r="M13" s="447" t="s">
        <v>218</v>
      </c>
      <c r="N13" s="448" t="s">
        <v>219</v>
      </c>
      <c r="O13" s="449" t="s">
        <v>220</v>
      </c>
      <c r="P13" s="530" t="s">
        <v>221</v>
      </c>
      <c r="Q13" s="469" t="s">
        <v>222</v>
      </c>
      <c r="R13" s="426" t="s">
        <v>223</v>
      </c>
      <c r="S13" s="470" t="s">
        <v>224</v>
      </c>
      <c r="T13" s="467" t="s">
        <v>225</v>
      </c>
      <c r="U13" s="470" t="s">
        <v>226</v>
      </c>
      <c r="V13" s="467"/>
      <c r="W13" s="467"/>
    </row>
    <row r="14" s="410" customFormat="1" ht="17.4" spans="1:23">
      <c r="A14" s="432" t="s">
        <v>227</v>
      </c>
      <c r="B14" s="432" t="s">
        <v>142</v>
      </c>
      <c r="C14" s="434" t="str">
        <f>VLOOKUP(B14,正厂竞争者数据汇总!D:H,2,FALSE)</f>
        <v>原厂目录</v>
      </c>
      <c r="D14" s="435" t="str">
        <f>VLOOKUP(B14,正厂竞争者数据汇总!D:H,3,FALSE)</f>
        <v>CA</v>
      </c>
      <c r="E14" s="436">
        <f>VLOOKUP(B14,正厂竞争者数据汇总!D:H,4,FALSE)</f>
        <v>0</v>
      </c>
      <c r="F14" s="436">
        <v>748152.583333333</v>
      </c>
      <c r="G14" s="436">
        <v>506654</v>
      </c>
      <c r="H14" s="436">
        <v>541471.75</v>
      </c>
      <c r="I14" s="454">
        <f>(F14/G14)-1</f>
        <v>0.476653857135902</v>
      </c>
      <c r="J14" s="455">
        <v>0.355682331079862</v>
      </c>
      <c r="K14" s="455">
        <v>0.301854310196029</v>
      </c>
      <c r="L14" s="455">
        <v>0.291077547959366</v>
      </c>
      <c r="M14" s="456">
        <f>J14-K14</f>
        <v>0.0538280208838333</v>
      </c>
      <c r="N14" s="455" t="str">
        <f>IFERROR(O14*0.5/#REF!,"")</f>
        <v/>
      </c>
      <c r="O14" s="436" t="s">
        <v>180</v>
      </c>
      <c r="P14" s="531">
        <f t="array" ref="P14">INDEX(正厂竞争者数据汇总!I:I,MATCH($A$12&amp;B14,正厂竞争者数据汇总!A:A&amp;正厂竞争者数据汇总!D:D,0))</f>
        <v>0</v>
      </c>
      <c r="Q14" s="434" t="s">
        <v>241</v>
      </c>
      <c r="R14" s="435" t="s">
        <v>229</v>
      </c>
      <c r="S14" s="476"/>
      <c r="T14" s="435" t="s">
        <v>404</v>
      </c>
      <c r="U14" s="477"/>
      <c r="V14" s="435"/>
      <c r="W14" s="435"/>
    </row>
    <row r="15" s="408" customFormat="1" spans="1:23">
      <c r="A15" s="428" t="s">
        <v>243</v>
      </c>
      <c r="B15" s="421" t="s">
        <v>244</v>
      </c>
      <c r="C15" s="429" t="str">
        <f>VLOOKUP(B15,正厂竞争者数据汇总!D:H,2,FALSE)</f>
        <v>旧年份原厂、新年份Motor</v>
      </c>
      <c r="D15" s="421" t="str">
        <f>VLOOKUP(B15,正厂竞争者数据汇总!D:H,3,FALSE)</f>
        <v>FL</v>
      </c>
      <c r="E15" s="430"/>
      <c r="F15" s="430">
        <v>392869.356666667</v>
      </c>
      <c r="G15" s="430"/>
      <c r="H15" s="430"/>
      <c r="I15" s="450"/>
      <c r="J15" s="451">
        <v>0.186775654728692</v>
      </c>
      <c r="K15" s="451">
        <v>0.18690476368229</v>
      </c>
      <c r="L15" s="451">
        <v>0.198030270295788</v>
      </c>
      <c r="M15" s="452"/>
      <c r="N15" s="451"/>
      <c r="O15" s="430"/>
      <c r="P15" s="531">
        <f t="array" ref="P15">INDEX(正厂竞争者数据汇总!I:I,MATCH($A$12&amp;B15,正厂竞争者数据汇总!A:A&amp;正厂竞争者数据汇总!D:D,0))</f>
        <v>0</v>
      </c>
      <c r="Q15" s="429"/>
      <c r="R15" s="421"/>
      <c r="S15" s="472"/>
      <c r="T15" s="466"/>
      <c r="U15" s="466"/>
      <c r="V15" s="466"/>
      <c r="W15" s="466"/>
    </row>
    <row r="16" s="408" customFormat="1" spans="1:23">
      <c r="A16" s="428" t="s">
        <v>230</v>
      </c>
      <c r="B16" s="421" t="s">
        <v>242</v>
      </c>
      <c r="C16" s="429" t="str">
        <f>VLOOKUP(B16,正厂竞争者数据汇总!D:H,2,FALSE)</f>
        <v>Motor目录</v>
      </c>
      <c r="D16" s="421" t="str">
        <f>VLOOKUP(B16,正厂竞争者数据汇总!D:H,3,FALSE)</f>
        <v>KS</v>
      </c>
      <c r="E16" s="430"/>
      <c r="F16" s="430">
        <v>347705.373333333</v>
      </c>
      <c r="G16" s="430"/>
      <c r="H16" s="430"/>
      <c r="I16" s="450"/>
      <c r="J16" s="451">
        <v>0.165304057582987</v>
      </c>
      <c r="K16" s="451">
        <v>0.15468126631836</v>
      </c>
      <c r="L16" s="451">
        <v>0.149056671773627</v>
      </c>
      <c r="M16" s="452"/>
      <c r="N16" s="451"/>
      <c r="O16" s="430"/>
      <c r="P16" s="531">
        <f t="array" ref="P16">INDEX(正厂竞争者数据汇总!I:I,MATCH($A$12&amp;B16,正厂竞争者数据汇总!A:A&amp;正厂竞争者数据汇总!D:D,0))</f>
        <v>0</v>
      </c>
      <c r="Q16" s="429"/>
      <c r="R16" s="421"/>
      <c r="S16" s="472"/>
      <c r="T16" s="466"/>
      <c r="U16" s="466"/>
      <c r="V16" s="466"/>
      <c r="W16" s="466"/>
    </row>
    <row r="17" s="408" customFormat="1" spans="1:23">
      <c r="A17" s="428" t="s">
        <v>230</v>
      </c>
      <c r="B17" s="421" t="s">
        <v>245</v>
      </c>
      <c r="C17" s="429" t="str">
        <f>VLOOKUP(B17,正厂竞争者数据汇总!D:H,2,FALSE)</f>
        <v>Motor目录</v>
      </c>
      <c r="D17" s="421" t="str">
        <f>VLOOKUP(B17,正厂竞争者数据汇总!D:H,3,FALSE)</f>
        <v>SC,NC,MS</v>
      </c>
      <c r="E17" s="430"/>
      <c r="F17" s="430">
        <v>218517.833333333</v>
      </c>
      <c r="G17" s="430"/>
      <c r="H17" s="430"/>
      <c r="I17" s="450"/>
      <c r="J17" s="451">
        <v>0.103886471922923</v>
      </c>
      <c r="K17" s="451">
        <v>0.11625456757181</v>
      </c>
      <c r="L17" s="451">
        <v>0.111352708231038</v>
      </c>
      <c r="M17" s="452"/>
      <c r="N17" s="451"/>
      <c r="O17" s="430"/>
      <c r="P17" s="531" t="str">
        <f t="array" ref="P17">INDEX(正厂竞争者数据汇总!I:I,MATCH($A$12&amp;B17,正厂竞争者数据汇总!A:A&amp;正厂竞争者数据汇总!D:D,0))</f>
        <v>2021年02新加竞争者</v>
      </c>
      <c r="Q17" s="429"/>
      <c r="R17" s="421"/>
      <c r="S17" s="472"/>
      <c r="T17" s="466"/>
      <c r="U17" s="466"/>
      <c r="V17" s="466"/>
      <c r="W17" s="466"/>
    </row>
    <row r="18" s="408" customFormat="1" ht="17.4" spans="1:23">
      <c r="A18" s="428" t="s">
        <v>230</v>
      </c>
      <c r="B18" s="421" t="s">
        <v>249</v>
      </c>
      <c r="C18" s="429" t="s">
        <v>247</v>
      </c>
      <c r="D18" s="421" t="s">
        <v>250</v>
      </c>
      <c r="E18" s="430"/>
      <c r="F18" s="430">
        <v>138722.75</v>
      </c>
      <c r="G18" s="430"/>
      <c r="H18" s="430"/>
      <c r="I18" s="450"/>
      <c r="J18" s="451">
        <v>0.065950759501455</v>
      </c>
      <c r="K18" s="451">
        <v>0.0800104864891672</v>
      </c>
      <c r="L18" s="451">
        <v>0.0840233429675161</v>
      </c>
      <c r="M18" s="452"/>
      <c r="N18" s="451"/>
      <c r="O18" s="430"/>
      <c r="P18" s="531" t="str">
        <f t="array" ref="P18">INDEX(正厂竞争者数据汇总!I:I,MATCH($A$12&amp;B18,正厂竞争者数据汇总!A:A&amp;正厂竞争者数据汇总!D:D,0))</f>
        <v>2023年2月新增正厂</v>
      </c>
      <c r="Q18" s="429"/>
      <c r="R18" s="421"/>
      <c r="S18" s="472"/>
      <c r="T18" s="466"/>
      <c r="U18" s="466"/>
      <c r="V18" s="466"/>
      <c r="W18" s="466"/>
    </row>
    <row r="19" s="408" customFormat="1" ht="17.4" spans="1:23">
      <c r="A19" s="428" t="s">
        <v>230</v>
      </c>
      <c r="B19" s="421" t="s">
        <v>246</v>
      </c>
      <c r="C19" s="429" t="s">
        <v>247</v>
      </c>
      <c r="D19" s="421" t="s">
        <v>49</v>
      </c>
      <c r="E19" s="430"/>
      <c r="F19" s="430">
        <v>136550.253333333</v>
      </c>
      <c r="G19" s="430"/>
      <c r="H19" s="430"/>
      <c r="I19" s="450"/>
      <c r="J19" s="451">
        <v>0.0649179238261167</v>
      </c>
      <c r="K19" s="451">
        <v>0.0707639032234605</v>
      </c>
      <c r="L19" s="451">
        <v>0.0805509879154027</v>
      </c>
      <c r="M19" s="452"/>
      <c r="N19" s="451"/>
      <c r="O19" s="430"/>
      <c r="P19" s="531" t="str">
        <f t="array" ref="P19">INDEX(正厂竞争者数据汇总!I:I,MATCH($A$12&amp;B19,正厂竞争者数据汇总!A:A&amp;正厂竞争者数据汇总!D:D,0))</f>
        <v>2023年2月新增正厂</v>
      </c>
      <c r="Q19" s="429"/>
      <c r="R19" s="421"/>
      <c r="S19" s="472"/>
      <c r="T19" s="466"/>
      <c r="U19" s="466"/>
      <c r="V19" s="466"/>
      <c r="W19" s="466"/>
    </row>
    <row r="20" s="408" customFormat="1" spans="1:23">
      <c r="A20" s="428" t="s">
        <v>230</v>
      </c>
      <c r="B20" s="421" t="s">
        <v>248</v>
      </c>
      <c r="C20" s="429" t="str">
        <f>VLOOKUP(B20,正厂竞争者数据汇总!D:H,2,FALSE)</f>
        <v>Motor</v>
      </c>
      <c r="D20" s="421" t="str">
        <f>VLOOKUP(B20,正厂竞争者数据汇总!D:H,3,FALSE)</f>
        <v>VA</v>
      </c>
      <c r="E20" s="430"/>
      <c r="F20" s="430">
        <v>120911</v>
      </c>
      <c r="G20" s="430"/>
      <c r="H20" s="430"/>
      <c r="I20" s="450"/>
      <c r="J20" s="451">
        <v>0.0574828013579635</v>
      </c>
      <c r="K20" s="451">
        <v>0.0895307025188819</v>
      </c>
      <c r="L20" s="451">
        <v>0.0859084708572621</v>
      </c>
      <c r="M20" s="452"/>
      <c r="N20" s="451"/>
      <c r="O20" s="430"/>
      <c r="P20" s="531" t="str">
        <f t="array" ref="P20">INDEX(正厂竞争者数据汇总!I:I,MATCH($A$12&amp;B20,正厂竞争者数据汇总!A:A&amp;正厂竞争者数据汇总!D:D,0))</f>
        <v>2023年11月新增，toyotaparts.mcgeorgetoyota.com将流量导出至此网站，10月报告中更换竞品名称为toyotaparts.mcgeorgetoyota.com</v>
      </c>
      <c r="Q20" s="429"/>
      <c r="R20" s="421"/>
      <c r="S20" s="472"/>
      <c r="T20" s="466"/>
      <c r="U20" s="466"/>
      <c r="V20" s="466"/>
      <c r="W20" s="466"/>
    </row>
    <row r="21" s="410" customFormat="1" spans="1:23">
      <c r="A21" s="428"/>
      <c r="B21" s="438"/>
      <c r="C21" s="429"/>
      <c r="D21" s="421"/>
      <c r="E21" s="430"/>
      <c r="F21" s="430"/>
      <c r="G21" s="430"/>
      <c r="H21" s="430"/>
      <c r="I21" s="453"/>
      <c r="J21" s="463"/>
      <c r="K21" s="463"/>
      <c r="L21" s="463"/>
      <c r="M21" s="451"/>
      <c r="N21" s="459"/>
      <c r="O21" s="430"/>
      <c r="P21" s="531"/>
      <c r="Q21" s="429"/>
      <c r="R21" s="435"/>
      <c r="S21" s="473"/>
      <c r="T21" s="466"/>
      <c r="U21" s="466"/>
      <c r="V21" s="421"/>
      <c r="W21" s="421"/>
    </row>
    <row r="22" s="408" customFormat="1" spans="1:23">
      <c r="A22" s="428"/>
      <c r="B22" s="421"/>
      <c r="C22" s="439"/>
      <c r="D22" s="421"/>
      <c r="E22" s="430"/>
      <c r="F22" s="430">
        <v>2103429.15</v>
      </c>
      <c r="G22" s="430">
        <v>1471722.72</v>
      </c>
      <c r="H22" s="430">
        <v>1511577.56416667</v>
      </c>
      <c r="I22" s="453">
        <f>(F22/G22)-1</f>
        <v>0.429229243671661</v>
      </c>
      <c r="J22" s="430"/>
      <c r="K22" s="513"/>
      <c r="L22" s="430"/>
      <c r="M22" s="451"/>
      <c r="N22" s="459"/>
      <c r="O22" s="430"/>
      <c r="P22" s="531"/>
      <c r="Q22" s="429" t="s">
        <v>180</v>
      </c>
      <c r="R22" s="421"/>
      <c r="S22" s="473"/>
      <c r="T22" s="466"/>
      <c r="U22" s="466"/>
      <c r="V22" s="421"/>
      <c r="W22" s="421"/>
    </row>
    <row r="23" s="408" customFormat="1" spans="1:23">
      <c r="A23" s="428"/>
      <c r="B23" s="421"/>
      <c r="C23" s="439"/>
      <c r="D23" s="421"/>
      <c r="E23" s="430"/>
      <c r="F23" s="430"/>
      <c r="G23" s="430"/>
      <c r="H23" s="430"/>
      <c r="I23" s="453"/>
      <c r="J23" s="430"/>
      <c r="K23" s="430"/>
      <c r="L23" s="430"/>
      <c r="M23" s="451"/>
      <c r="N23" s="451"/>
      <c r="O23" s="430"/>
      <c r="P23" s="531"/>
      <c r="Q23" s="429"/>
      <c r="R23" s="421"/>
      <c r="S23" s="473"/>
      <c r="T23" s="466"/>
      <c r="U23" s="466"/>
      <c r="V23" s="421"/>
      <c r="W23" s="421"/>
    </row>
    <row r="24" s="408" customFormat="1" ht="17.4" spans="1:23">
      <c r="A24" s="418" t="s">
        <v>145</v>
      </c>
      <c r="B24" s="419"/>
      <c r="C24" s="420"/>
      <c r="D24" s="421"/>
      <c r="E24" s="422" t="s">
        <v>202</v>
      </c>
      <c r="F24" s="422"/>
      <c r="G24" s="422"/>
      <c r="H24" s="422"/>
      <c r="I24" s="422"/>
      <c r="J24" s="422"/>
      <c r="K24" s="422"/>
      <c r="L24" s="422"/>
      <c r="M24" s="443"/>
      <c r="N24" s="444"/>
      <c r="O24" s="422"/>
      <c r="P24" s="529"/>
      <c r="Q24" s="465"/>
      <c r="R24" s="424"/>
      <c r="S24" s="421"/>
      <c r="T24" s="466"/>
      <c r="U24" s="467"/>
      <c r="V24" s="467"/>
      <c r="W24" s="467"/>
    </row>
    <row r="25" s="409" customFormat="1" ht="48.6" spans="1:23">
      <c r="A25" s="423" t="s">
        <v>206</v>
      </c>
      <c r="B25" s="424" t="s">
        <v>207</v>
      </c>
      <c r="C25" s="425" t="s">
        <v>208</v>
      </c>
      <c r="D25" s="424" t="s">
        <v>209</v>
      </c>
      <c r="E25" s="426" t="s">
        <v>210</v>
      </c>
      <c r="F25" s="427" t="s">
        <v>402</v>
      </c>
      <c r="G25" s="427" t="s">
        <v>212</v>
      </c>
      <c r="H25" s="427" t="s">
        <v>397</v>
      </c>
      <c r="I25" s="427" t="s">
        <v>214</v>
      </c>
      <c r="J25" s="446" t="s">
        <v>398</v>
      </c>
      <c r="K25" s="446" t="s">
        <v>399</v>
      </c>
      <c r="L25" s="446" t="s">
        <v>403</v>
      </c>
      <c r="M25" s="447" t="s">
        <v>218</v>
      </c>
      <c r="N25" s="448" t="s">
        <v>219</v>
      </c>
      <c r="O25" s="449" t="s">
        <v>220</v>
      </c>
      <c r="P25" s="530" t="s">
        <v>221</v>
      </c>
      <c r="Q25" s="469" t="s">
        <v>222</v>
      </c>
      <c r="R25" s="426" t="s">
        <v>223</v>
      </c>
      <c r="S25" s="470" t="s">
        <v>224</v>
      </c>
      <c r="T25" s="467" t="s">
        <v>225</v>
      </c>
      <c r="U25" s="470" t="s">
        <v>226</v>
      </c>
      <c r="V25" s="467"/>
      <c r="W25" s="467"/>
    </row>
    <row r="26" s="410" customFormat="1" spans="1:23">
      <c r="A26" s="432" t="s">
        <v>227</v>
      </c>
      <c r="B26" s="432" t="s">
        <v>146</v>
      </c>
      <c r="C26" s="434" t="str">
        <f>VLOOKUP(B26,正厂竞争者数据汇总!D:H,2,FALSE)</f>
        <v>原厂目录</v>
      </c>
      <c r="D26" s="435" t="str">
        <f>VLOOKUP(B26,正厂竞争者数据汇总!D:H,3,FALSE)</f>
        <v>AZ</v>
      </c>
      <c r="E26" s="436"/>
      <c r="F26" s="436">
        <v>617541.416666667</v>
      </c>
      <c r="G26" s="436"/>
      <c r="H26" s="436"/>
      <c r="I26" s="510"/>
      <c r="J26" s="457">
        <v>0.299558229274056</v>
      </c>
      <c r="K26" s="457">
        <v>0.295755001385393</v>
      </c>
      <c r="L26" s="457">
        <v>0.26435217719107</v>
      </c>
      <c r="M26" s="461"/>
      <c r="N26" s="457"/>
      <c r="O26" s="436"/>
      <c r="P26" s="531">
        <f t="array" ref="P26">INDEX(正厂竞争者数据汇总!I:I,MATCH($A$24&amp;B26,正厂竞争者数据汇总!A:A&amp;正厂竞争者数据汇总!D:D,0))</f>
        <v>0</v>
      </c>
      <c r="Q26" s="434"/>
      <c r="R26" s="435"/>
      <c r="S26" s="476"/>
      <c r="T26" s="477"/>
      <c r="U26" s="477"/>
      <c r="V26" s="477"/>
      <c r="W26" s="477"/>
    </row>
    <row r="27" s="408" customFormat="1" spans="1:23">
      <c r="A27" s="428" t="s">
        <v>230</v>
      </c>
      <c r="B27" s="421" t="s">
        <v>251</v>
      </c>
      <c r="C27" s="429" t="str">
        <f>VLOOKUP(B27,正厂竞争者数据汇总!D:H,2,FALSE)</f>
        <v>Motor目录</v>
      </c>
      <c r="D27" s="421" t="str">
        <f>VLOOKUP(B27,正厂竞争者数据汇总!D:H,3,FALSE)</f>
        <v>NC</v>
      </c>
      <c r="E27" s="430"/>
      <c r="F27" s="430">
        <v>435322.583333333</v>
      </c>
      <c r="G27" s="430"/>
      <c r="H27" s="430"/>
      <c r="I27" s="450"/>
      <c r="J27" s="451">
        <v>0.211167152043391</v>
      </c>
      <c r="K27" s="451">
        <v>0.250811952688669</v>
      </c>
      <c r="L27" s="451">
        <v>0.286482342171686</v>
      </c>
      <c r="M27" s="452"/>
      <c r="N27" s="451"/>
      <c r="O27" s="430"/>
      <c r="P27" s="531">
        <f t="array" ref="P27">INDEX(正厂竞争者数据汇总!I:I,MATCH($A$24&amp;B27,正厂竞争者数据汇总!A:A&amp;正厂竞争者数据汇总!D:D,0))</f>
        <v>0</v>
      </c>
      <c r="Q27" s="429" t="s">
        <v>180</v>
      </c>
      <c r="R27" s="421" t="s">
        <v>180</v>
      </c>
      <c r="S27" s="472"/>
      <c r="T27" s="466"/>
      <c r="U27" s="466"/>
      <c r="V27" s="466"/>
      <c r="W27" s="466"/>
    </row>
    <row r="28" s="408" customFormat="1" spans="1:23">
      <c r="A28" s="428" t="s">
        <v>230</v>
      </c>
      <c r="B28" s="421" t="s">
        <v>252</v>
      </c>
      <c r="C28" s="429" t="str">
        <f>VLOOKUP(B28,正厂竞争者数据汇总!D:H,2,FALSE)</f>
        <v>Motor目录</v>
      </c>
      <c r="D28" s="421" t="str">
        <f>VLOOKUP(B28,正厂竞争者数据汇总!D:H,3,FALSE)</f>
        <v>AZ</v>
      </c>
      <c r="E28" s="430"/>
      <c r="F28" s="430">
        <v>279595.916666667</v>
      </c>
      <c r="G28" s="430"/>
      <c r="H28" s="430"/>
      <c r="I28" s="450"/>
      <c r="J28" s="451">
        <v>0.13562694816651</v>
      </c>
      <c r="K28" s="451">
        <v>0.13075031317606</v>
      </c>
      <c r="L28" s="451">
        <v>0.116081548176477</v>
      </c>
      <c r="M28" s="452"/>
      <c r="N28" s="451"/>
      <c r="O28" s="430"/>
      <c r="P28" s="531">
        <f t="array" ref="P28">INDEX(正厂竞争者数据汇总!I:I,MATCH($A$24&amp;B28,正厂竞争者数据汇总!A:A&amp;正厂竞争者数据汇总!D:D,0))</f>
        <v>0</v>
      </c>
      <c r="Q28" s="429" t="s">
        <v>180</v>
      </c>
      <c r="R28" s="421" t="s">
        <v>180</v>
      </c>
      <c r="S28" s="472"/>
      <c r="T28" s="466" t="e">
        <f>VLOOKUP(B28,'Price &amp; Shipping'!B:DK,2,FALSE)</f>
        <v>#N/A</v>
      </c>
      <c r="U28" s="466"/>
      <c r="V28" s="466"/>
      <c r="W28" s="466"/>
    </row>
    <row r="29" s="408" customFormat="1" spans="1:23">
      <c r="A29" s="428" t="s">
        <v>230</v>
      </c>
      <c r="B29" s="421" t="s">
        <v>258</v>
      </c>
      <c r="C29" s="429" t="str">
        <f>VLOOKUP(B29,正厂竞争者数据汇总!D:H,2,FALSE)</f>
        <v>Motor目录</v>
      </c>
      <c r="D29" s="421" t="str">
        <f>VLOOKUP(B29,正厂竞争者数据汇总!D:H,3,FALSE)</f>
        <v>NM</v>
      </c>
      <c r="E29" s="430"/>
      <c r="F29" s="430">
        <v>213769.833333333</v>
      </c>
      <c r="G29" s="430"/>
      <c r="H29" s="430"/>
      <c r="I29" s="450"/>
      <c r="J29" s="451">
        <v>0.103695899606534</v>
      </c>
      <c r="K29" s="451">
        <v>0.0939242147754185</v>
      </c>
      <c r="L29" s="451">
        <v>0.0955726642612816</v>
      </c>
      <c r="M29" s="452"/>
      <c r="N29" s="451"/>
      <c r="O29" s="430"/>
      <c r="P29" s="531">
        <f t="array" ref="P29">INDEX(正厂竞争者数据汇总!I:I,MATCH($A$24&amp;B29,正厂竞争者数据汇总!A:A&amp;正厂竞争者数据汇总!D:D,0))</f>
        <v>0</v>
      </c>
      <c r="Q29" s="429" t="s">
        <v>180</v>
      </c>
      <c r="R29" s="421"/>
      <c r="S29" s="472"/>
      <c r="T29" s="466"/>
      <c r="U29" s="466"/>
      <c r="V29" s="466"/>
      <c r="W29" s="466"/>
    </row>
    <row r="30" s="408" customFormat="1" spans="1:23">
      <c r="A30" s="428" t="s">
        <v>391</v>
      </c>
      <c r="B30" s="421" t="s">
        <v>256</v>
      </c>
      <c r="C30" s="429" t="str">
        <f>VLOOKUP(B30,正厂竞争者数据汇总!D:H,2,FALSE)</f>
        <v>原厂目录</v>
      </c>
      <c r="D30" s="421" t="str">
        <f>VLOOKUP(B30,正厂竞争者数据汇总!D:H,3,FALSE)</f>
        <v>KY</v>
      </c>
      <c r="E30" s="430"/>
      <c r="F30" s="430">
        <v>205921.733333333</v>
      </c>
      <c r="G30" s="430"/>
      <c r="H30" s="430"/>
      <c r="I30" s="450"/>
      <c r="J30" s="451">
        <v>0.0998889275141105</v>
      </c>
      <c r="K30" s="451">
        <v>0.0889244574706326</v>
      </c>
      <c r="L30" s="451">
        <v>0.0763695662561963</v>
      </c>
      <c r="M30" s="452"/>
      <c r="N30" s="451"/>
      <c r="O30" s="430"/>
      <c r="P30" s="531">
        <f t="array" ref="P30">INDEX(正厂竞争者数据汇总!I:I,MATCH($A$24&amp;B30,正厂竞争者数据汇总!A:A&amp;正厂竞争者数据汇总!D:D,0))</f>
        <v>0</v>
      </c>
      <c r="Q30" s="429" t="s">
        <v>257</v>
      </c>
      <c r="R30" s="421" t="s">
        <v>229</v>
      </c>
      <c r="S30" s="472"/>
      <c r="T30" s="466"/>
      <c r="U30" s="466"/>
      <c r="V30" s="466"/>
      <c r="W30" s="466"/>
    </row>
    <row r="31" s="408" customFormat="1" spans="1:23">
      <c r="A31" s="428" t="s">
        <v>230</v>
      </c>
      <c r="B31" s="421" t="s">
        <v>255</v>
      </c>
      <c r="C31" s="429" t="str">
        <f>VLOOKUP(B31,正厂竞争者数据汇总!D:H,2,FALSE)</f>
        <v>Motor目录</v>
      </c>
      <c r="D31" s="421" t="str">
        <f>VLOOKUP(B31,正厂竞争者数据汇总!D:H,3,FALSE)</f>
        <v>RI</v>
      </c>
      <c r="E31" s="430"/>
      <c r="F31" s="430">
        <v>173723.6025</v>
      </c>
      <c r="G31" s="430"/>
      <c r="H31" s="430"/>
      <c r="I31" s="450"/>
      <c r="J31" s="451">
        <v>0.0842701936153702</v>
      </c>
      <c r="K31" s="451">
        <v>0.0826185264258369</v>
      </c>
      <c r="L31" s="451">
        <v>0.0754747144038004</v>
      </c>
      <c r="M31" s="452"/>
      <c r="N31" s="451"/>
      <c r="O31" s="430"/>
      <c r="P31" s="531" t="str">
        <f t="array" ref="P31">INDEX(正厂竞争者数据汇总!I:I,MATCH($A$24&amp;B31,正厂竞争者数据汇总!A:A&amp;正厂竞争者数据汇总!D:D,0))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31" s="429" t="s">
        <v>180</v>
      </c>
      <c r="R31" s="421" t="s">
        <v>180</v>
      </c>
      <c r="S31" s="472"/>
      <c r="T31" s="466"/>
      <c r="U31" s="466"/>
      <c r="V31" s="466"/>
      <c r="W31" s="466"/>
    </row>
    <row r="32" s="408" customFormat="1" ht="17.4" spans="1:23">
      <c r="A32" s="428" t="s">
        <v>230</v>
      </c>
      <c r="B32" s="421" t="s">
        <v>253</v>
      </c>
      <c r="C32" s="429" t="str">
        <f>VLOOKUP(B32,正厂竞争者数据汇总!D:H,2,FALSE)</f>
        <v>Motor目录</v>
      </c>
      <c r="D32" s="421" t="str">
        <f>VLOOKUP(B32,正厂竞争者数据汇总!D:H,3,FALSE)</f>
        <v>TX</v>
      </c>
      <c r="E32" s="430"/>
      <c r="F32" s="430">
        <v>135632.014683333</v>
      </c>
      <c r="G32" s="430"/>
      <c r="H32" s="430"/>
      <c r="I32" s="450"/>
      <c r="J32" s="451">
        <v>0.0657926497800276</v>
      </c>
      <c r="K32" s="451">
        <v>0.0572155340779897</v>
      </c>
      <c r="L32" s="451">
        <v>0.0505695267465793</v>
      </c>
      <c r="M32" s="452"/>
      <c r="N32" s="451"/>
      <c r="O32" s="430"/>
      <c r="P32" s="531" t="str">
        <f t="array" ref="P32">INDEX(正厂竞争者数据汇总!I:I,MATCH($A$24&amp;B32,正厂竞争者数据汇总!A:A&amp;正厂竞争者数据汇总!D:D,0))</f>
        <v>202306，原竞品gmpartsonline.net将网站导流至此，现新网站正式成为新增竞品</v>
      </c>
      <c r="Q32" s="434" t="s">
        <v>254</v>
      </c>
      <c r="R32" s="421" t="s">
        <v>229</v>
      </c>
      <c r="S32" s="472"/>
      <c r="T32" s="466"/>
      <c r="U32" s="466"/>
      <c r="V32" s="466"/>
      <c r="W32" s="466"/>
    </row>
    <row r="33" s="410" customFormat="1" spans="1:23">
      <c r="A33" s="428"/>
      <c r="B33" s="431"/>
      <c r="C33" s="429"/>
      <c r="D33" s="421"/>
      <c r="E33" s="430"/>
      <c r="F33" s="430"/>
      <c r="G33" s="430"/>
      <c r="H33" s="430"/>
      <c r="I33" s="450"/>
      <c r="J33" s="455"/>
      <c r="K33" s="455"/>
      <c r="L33" s="455"/>
      <c r="M33" s="452"/>
      <c r="N33" s="457"/>
      <c r="O33" s="436"/>
      <c r="P33" s="531"/>
      <c r="Q33" s="434"/>
      <c r="R33" s="435"/>
      <c r="S33" s="473"/>
      <c r="T33" s="477"/>
      <c r="U33" s="466"/>
      <c r="V33" s="435"/>
      <c r="W33" s="435"/>
    </row>
    <row r="34" s="408" customFormat="1" spans="1:23">
      <c r="A34" s="428"/>
      <c r="B34" s="421"/>
      <c r="C34" s="439"/>
      <c r="D34" s="421"/>
      <c r="E34" s="430"/>
      <c r="F34" s="430">
        <v>2061507.10051667</v>
      </c>
      <c r="G34" s="430"/>
      <c r="H34" s="430"/>
      <c r="I34" s="453"/>
      <c r="J34" s="430"/>
      <c r="K34" s="430"/>
      <c r="L34" s="430"/>
      <c r="M34" s="451"/>
      <c r="N34" s="451"/>
      <c r="O34" s="430"/>
      <c r="P34" s="531"/>
      <c r="Q34" s="429"/>
      <c r="R34" s="421"/>
      <c r="S34" s="473"/>
      <c r="T34" s="466"/>
      <c r="U34" s="466"/>
      <c r="V34" s="421"/>
      <c r="W34" s="421"/>
    </row>
    <row r="35" s="408" customFormat="1" spans="1:23">
      <c r="A35" s="428"/>
      <c r="B35" s="421"/>
      <c r="C35" s="439"/>
      <c r="D35" s="421"/>
      <c r="E35" s="430"/>
      <c r="F35" s="430"/>
      <c r="G35" s="430"/>
      <c r="H35" s="430"/>
      <c r="I35" s="453"/>
      <c r="J35" s="430"/>
      <c r="K35" s="430"/>
      <c r="L35" s="430"/>
      <c r="M35" s="451"/>
      <c r="N35" s="451"/>
      <c r="O35" s="430"/>
      <c r="P35" s="531"/>
      <c r="Q35" s="429"/>
      <c r="R35" s="421"/>
      <c r="S35" s="473"/>
      <c r="T35" s="466"/>
      <c r="U35" s="466"/>
      <c r="V35" s="421"/>
      <c r="W35" s="421"/>
    </row>
    <row r="36" s="408" customFormat="1" ht="17.4" spans="1:23">
      <c r="A36" s="418" t="s">
        <v>152</v>
      </c>
      <c r="B36" s="419"/>
      <c r="C36" s="420"/>
      <c r="D36" s="421"/>
      <c r="E36" s="422" t="s">
        <v>202</v>
      </c>
      <c r="F36" s="422"/>
      <c r="G36" s="422"/>
      <c r="H36" s="422"/>
      <c r="I36" s="422"/>
      <c r="J36" s="422"/>
      <c r="K36" s="422"/>
      <c r="L36" s="422"/>
      <c r="M36" s="443"/>
      <c r="N36" s="444"/>
      <c r="O36" s="422"/>
      <c r="P36" s="531"/>
      <c r="Q36" s="465"/>
      <c r="R36" s="424"/>
      <c r="S36" s="473"/>
      <c r="T36" s="467"/>
      <c r="U36" s="467"/>
      <c r="V36" s="467"/>
      <c r="W36" s="467"/>
    </row>
    <row r="37" s="409" customFormat="1" ht="48.6" spans="1:23">
      <c r="A37" s="423" t="s">
        <v>206</v>
      </c>
      <c r="B37" s="424" t="s">
        <v>207</v>
      </c>
      <c r="C37" s="425" t="s">
        <v>208</v>
      </c>
      <c r="D37" s="424" t="s">
        <v>209</v>
      </c>
      <c r="E37" s="426" t="s">
        <v>210</v>
      </c>
      <c r="F37" s="427" t="s">
        <v>402</v>
      </c>
      <c r="G37" s="427" t="s">
        <v>212</v>
      </c>
      <c r="H37" s="427" t="s">
        <v>397</v>
      </c>
      <c r="I37" s="427" t="s">
        <v>214</v>
      </c>
      <c r="J37" s="446" t="s">
        <v>398</v>
      </c>
      <c r="K37" s="446" t="s">
        <v>399</v>
      </c>
      <c r="L37" s="446" t="s">
        <v>403</v>
      </c>
      <c r="M37" s="447" t="s">
        <v>218</v>
      </c>
      <c r="N37" s="448" t="s">
        <v>219</v>
      </c>
      <c r="O37" s="449" t="s">
        <v>220</v>
      </c>
      <c r="P37" s="530" t="s">
        <v>221</v>
      </c>
      <c r="Q37" s="469" t="s">
        <v>222</v>
      </c>
      <c r="R37" s="426" t="s">
        <v>223</v>
      </c>
      <c r="S37" s="470" t="s">
        <v>224</v>
      </c>
      <c r="T37" s="467" t="s">
        <v>225</v>
      </c>
      <c r="U37" s="470" t="s">
        <v>226</v>
      </c>
      <c r="V37" s="467"/>
      <c r="W37" s="467"/>
    </row>
    <row r="38" s="410" customFormat="1" ht="17.4" spans="1:23">
      <c r="A38" s="432" t="s">
        <v>227</v>
      </c>
      <c r="B38" s="432" t="s">
        <v>153</v>
      </c>
      <c r="C38" s="434" t="str">
        <f>VLOOKUP(B38,正厂竞争者数据汇总!D:H,2,FALSE)</f>
        <v>原厂目录</v>
      </c>
      <c r="D38" s="435" t="str">
        <f>VLOOKUP(B38,正厂竞争者数据汇总!D:H,3,FALSE)</f>
        <v>CA</v>
      </c>
      <c r="E38" s="436">
        <f>VLOOKUP(B38,正厂竞争者数据汇总!D:H,4,FALSE)</f>
        <v>0</v>
      </c>
      <c r="F38" s="436">
        <v>465682.833333333</v>
      </c>
      <c r="G38" s="436">
        <v>436555.583333333</v>
      </c>
      <c r="H38" s="436">
        <v>490593.833333333</v>
      </c>
      <c r="I38" s="454">
        <f>(F38/G38)-1</f>
        <v>0.0667205989615305</v>
      </c>
      <c r="J38" s="457">
        <v>0.306125481709221</v>
      </c>
      <c r="K38" s="457">
        <v>0.29314999197907</v>
      </c>
      <c r="L38" s="457">
        <v>0.30109752738898</v>
      </c>
      <c r="M38" s="456">
        <f>J38-K38</f>
        <v>0.0129754897301506</v>
      </c>
      <c r="N38" s="457" t="str">
        <f>IFERROR(O38*0.5/#REF!,"")</f>
        <v/>
      </c>
      <c r="O38" s="436" t="s">
        <v>180</v>
      </c>
      <c r="P38" s="531">
        <f t="array" ref="P38">INDEX(正厂竞争者数据汇总!I:I,MATCH($A$36&amp;B38,正厂竞争者数据汇总!A:A&amp;正厂竞争者数据汇总!D:D,0))</f>
        <v>0</v>
      </c>
      <c r="Q38" s="434" t="s">
        <v>268</v>
      </c>
      <c r="R38" s="435" t="s">
        <v>229</v>
      </c>
      <c r="S38" s="476"/>
      <c r="T38" s="477"/>
      <c r="U38" s="477"/>
      <c r="V38" s="477"/>
      <c r="W38" s="477"/>
    </row>
    <row r="39" s="408" customFormat="1" ht="17.4" spans="1:23">
      <c r="A39" s="428" t="s">
        <v>230</v>
      </c>
      <c r="B39" s="421" t="s">
        <v>255</v>
      </c>
      <c r="C39" s="429" t="s">
        <v>247</v>
      </c>
      <c r="D39" s="421" t="str">
        <f>VLOOKUP(B39,正厂竞争者数据汇总!D:H,3,FALSE)</f>
        <v>RI</v>
      </c>
      <c r="E39" s="430"/>
      <c r="F39" s="430">
        <v>292587.12</v>
      </c>
      <c r="G39" s="430"/>
      <c r="H39" s="430"/>
      <c r="I39" s="450"/>
      <c r="J39" s="451">
        <v>0.19233771709124</v>
      </c>
      <c r="K39" s="451">
        <v>0.188630089926045</v>
      </c>
      <c r="L39" s="451">
        <v>0.18302164963638</v>
      </c>
      <c r="M39" s="452"/>
      <c r="N39" s="451"/>
      <c r="O39" s="430"/>
      <c r="P39" s="531" t="str">
        <f t="array" ref="P39">INDEX(正厂竞争者数据汇总!I:I,MATCH($A$36&amp;B39,正厂竞争者数据汇总!A:A&amp;正厂竞争者数据汇总!D:D,0))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39" s="429"/>
      <c r="R39" s="421"/>
      <c r="S39" s="472"/>
      <c r="T39" s="466"/>
      <c r="U39" s="466"/>
      <c r="V39" s="466"/>
      <c r="W39" s="466"/>
    </row>
    <row r="40" s="408" customFormat="1" ht="17.4" spans="1:23">
      <c r="A40" s="428" t="s">
        <v>243</v>
      </c>
      <c r="B40" s="421" t="s">
        <v>270</v>
      </c>
      <c r="C40" s="429" t="s">
        <v>247</v>
      </c>
      <c r="D40" s="421" t="str">
        <f>VLOOKUP(B40,正厂竞争者数据汇总!D:H,3,FALSE)</f>
        <v>FL</v>
      </c>
      <c r="E40" s="430"/>
      <c r="F40" s="430">
        <v>284346.166666667</v>
      </c>
      <c r="G40" s="430"/>
      <c r="H40" s="430"/>
      <c r="I40" s="450"/>
      <c r="J40" s="451">
        <v>0.186920369428127</v>
      </c>
      <c r="K40" s="451">
        <v>0.192821487151624</v>
      </c>
      <c r="L40" s="451">
        <v>0.182028868034956</v>
      </c>
      <c r="M40" s="452"/>
      <c r="N40" s="451"/>
      <c r="O40" s="430"/>
      <c r="P40" s="531">
        <f t="array" ref="P40">INDEX(正厂竞争者数据汇总!I:I,MATCH($A$36&amp;B40,正厂竞争者数据汇总!A:A&amp;正厂竞争者数据汇总!D:D,0))</f>
        <v>0</v>
      </c>
      <c r="Q40" s="429"/>
      <c r="R40" s="421"/>
      <c r="S40" s="472"/>
      <c r="T40" s="466"/>
      <c r="U40" s="466"/>
      <c r="V40" s="466"/>
      <c r="W40" s="466"/>
    </row>
    <row r="41" s="408" customFormat="1" spans="1:23">
      <c r="A41" s="428" t="s">
        <v>230</v>
      </c>
      <c r="B41" s="421" t="s">
        <v>269</v>
      </c>
      <c r="C41" s="429" t="str">
        <f>VLOOKUP(B41,正厂竞争者数据汇总!D:H,2,FALSE)</f>
        <v>Motor目录</v>
      </c>
      <c r="D41" s="421" t="str">
        <f>VLOOKUP(B41,正厂竞争者数据汇总!D:H,3,FALSE)</f>
        <v>-</v>
      </c>
      <c r="E41" s="430"/>
      <c r="F41" s="430">
        <v>209355</v>
      </c>
      <c r="G41" s="430"/>
      <c r="H41" s="430"/>
      <c r="I41" s="450"/>
      <c r="J41" s="451">
        <v>0.137623497444578</v>
      </c>
      <c r="K41" s="451">
        <v>0.153005808003098</v>
      </c>
      <c r="L41" s="451">
        <v>0.160095228930264</v>
      </c>
      <c r="M41" s="452"/>
      <c r="N41" s="451"/>
      <c r="O41" s="430"/>
      <c r="P41" s="531" t="str">
        <f t="array" ref="P41">INDEX(正厂竞争者数据汇总!I:I,MATCH($A$36&amp;B41,正厂竞争者数据汇总!A:A&amp;正厂竞争者数据汇总!D:D,0))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41" s="429"/>
      <c r="R41" s="421"/>
      <c r="S41" s="472"/>
      <c r="T41" s="466"/>
      <c r="U41" s="466"/>
      <c r="V41" s="466"/>
      <c r="W41" s="466"/>
    </row>
    <row r="42" s="408" customFormat="1" ht="17.4" spans="1:23">
      <c r="A42" s="428" t="s">
        <v>230</v>
      </c>
      <c r="B42" s="421" t="s">
        <v>273</v>
      </c>
      <c r="C42" s="429" t="s">
        <v>247</v>
      </c>
      <c r="D42" s="421" t="str">
        <f>VLOOKUP(B42,正厂竞争者数据汇总!D:H,3,FALSE)</f>
        <v>GA</v>
      </c>
      <c r="E42" s="430"/>
      <c r="F42" s="430">
        <v>115844.438333333</v>
      </c>
      <c r="G42" s="430"/>
      <c r="H42" s="430"/>
      <c r="I42" s="450"/>
      <c r="J42" s="451">
        <v>0.0761525483649117</v>
      </c>
      <c r="K42" s="451">
        <v>0.0808887299582843</v>
      </c>
      <c r="L42" s="451">
        <v>0.0778284746384502</v>
      </c>
      <c r="M42" s="452"/>
      <c r="N42" s="451"/>
      <c r="O42" s="430"/>
      <c r="P42" s="531">
        <f t="array" ref="P42">INDEX(正厂竞争者数据汇总!I:I,MATCH($A$36&amp;B42,正厂竞争者数据汇总!A:A&amp;正厂竞争者数据汇总!D:D,0))</f>
        <v>0</v>
      </c>
      <c r="Q42" s="429"/>
      <c r="R42" s="421"/>
      <c r="S42" s="472"/>
      <c r="T42" s="466"/>
      <c r="U42" s="466"/>
      <c r="V42" s="466"/>
      <c r="W42" s="466"/>
    </row>
    <row r="43" s="408" customFormat="1" ht="17.4" spans="1:23">
      <c r="A43" s="428" t="s">
        <v>230</v>
      </c>
      <c r="B43" s="421" t="s">
        <v>292</v>
      </c>
      <c r="C43" s="429" t="s">
        <v>247</v>
      </c>
      <c r="D43" s="421" t="str">
        <f>VLOOKUP(B43,正厂竞争者数据汇总!D:H,3,FALSE)</f>
        <v>MA</v>
      </c>
      <c r="E43" s="430"/>
      <c r="F43" s="430">
        <v>81106.96</v>
      </c>
      <c r="G43" s="430"/>
      <c r="H43" s="430"/>
      <c r="I43" s="450"/>
      <c r="J43" s="451">
        <v>0.0533172052365479</v>
      </c>
      <c r="K43" s="451">
        <v>0.0490133944472455</v>
      </c>
      <c r="L43" s="451">
        <v>0.0528509648096365</v>
      </c>
      <c r="M43" s="452"/>
      <c r="N43" s="451"/>
      <c r="O43" s="430"/>
      <c r="P43" s="531" t="str">
        <f t="array" ref="P43">INDEX(正厂竞争者数据汇总!I:I,MATCH($A$36&amp;B43,正厂竞争者数据汇总!A:A&amp;正厂竞争者数据汇总!D:D,0))</f>
        <v>同时经营多品牌，流量折算比例为Ford:23%,GM:23%,Infiniti:0%,Kia:13%,Mopar:31%,Nissan:10%</v>
      </c>
      <c r="Q43" s="429"/>
      <c r="R43" s="421"/>
      <c r="S43" s="472"/>
      <c r="T43" s="466"/>
      <c r="U43" s="466"/>
      <c r="V43" s="466"/>
      <c r="W43" s="466"/>
    </row>
    <row r="44" s="408" customFormat="1" ht="17.4" spans="1:23">
      <c r="A44" s="428" t="s">
        <v>230</v>
      </c>
      <c r="B44" s="421" t="s">
        <v>400</v>
      </c>
      <c r="C44" s="429" t="s">
        <v>247</v>
      </c>
      <c r="D44" s="421" t="str">
        <f>VLOOKUP(B44,正厂竞争者数据汇总!D:H,3,FALSE)</f>
        <v>MO</v>
      </c>
      <c r="E44" s="430"/>
      <c r="F44" s="430">
        <v>72293</v>
      </c>
      <c r="G44" s="430"/>
      <c r="H44" s="430"/>
      <c r="I44" s="450"/>
      <c r="J44" s="451">
        <v>0.047523180725375</v>
      </c>
      <c r="K44" s="451">
        <v>0.042490498534633</v>
      </c>
      <c r="L44" s="451">
        <v>0.0430772865613333</v>
      </c>
      <c r="M44" s="452"/>
      <c r="N44" s="451"/>
      <c r="O44" s="430"/>
      <c r="P44" s="531">
        <f t="array" ref="P44">INDEX(正厂竞争者数据汇总!I:I,MATCH($A$36&amp;B44,正厂竞争者数据汇总!A:A&amp;正厂竞争者数据汇总!D:D,0))</f>
        <v>0</v>
      </c>
      <c r="Q44" s="429"/>
      <c r="R44" s="421"/>
      <c r="S44" s="472"/>
      <c r="T44" s="466"/>
      <c r="U44" s="466"/>
      <c r="V44" s="466"/>
      <c r="W44" s="466"/>
    </row>
    <row r="45" s="408" customFormat="1" spans="1:23">
      <c r="A45" s="428"/>
      <c r="B45" s="421"/>
      <c r="C45" s="429"/>
      <c r="D45" s="421"/>
      <c r="E45" s="430"/>
      <c r="F45" s="430"/>
      <c r="G45" s="430"/>
      <c r="H45" s="430"/>
      <c r="I45" s="450"/>
      <c r="J45" s="451"/>
      <c r="K45" s="451"/>
      <c r="L45" s="451"/>
      <c r="M45" s="452"/>
      <c r="N45" s="451"/>
      <c r="O45" s="430"/>
      <c r="P45" s="531"/>
      <c r="Q45" s="429"/>
      <c r="R45" s="421"/>
      <c r="S45" s="472"/>
      <c r="T45" s="466"/>
      <c r="U45" s="466"/>
      <c r="V45" s="421"/>
      <c r="W45" s="421"/>
    </row>
    <row r="46" s="408" customFormat="1" spans="1:23">
      <c r="A46" s="428"/>
      <c r="B46" s="421"/>
      <c r="C46" s="439"/>
      <c r="D46" s="421"/>
      <c r="E46" s="430"/>
      <c r="F46" s="430">
        <v>1521215.51833333</v>
      </c>
      <c r="G46" s="430">
        <v>1270419.34583333</v>
      </c>
      <c r="H46" s="430">
        <v>1259631.94083333</v>
      </c>
      <c r="I46" s="453">
        <f>(F46/G46)-1</f>
        <v>0.19741211696953</v>
      </c>
      <c r="J46" s="430"/>
      <c r="K46" s="451"/>
      <c r="L46" s="430"/>
      <c r="M46" s="451"/>
      <c r="N46" s="459">
        <f>SUM(N38:N44)</f>
        <v>0</v>
      </c>
      <c r="O46" s="430" t="s">
        <v>180</v>
      </c>
      <c r="P46" s="531"/>
      <c r="Q46" s="429"/>
      <c r="R46" s="421"/>
      <c r="S46" s="473"/>
      <c r="T46" s="466"/>
      <c r="U46" s="466"/>
      <c r="V46" s="421"/>
      <c r="W46" s="421"/>
    </row>
    <row r="47" s="408" customFormat="1" spans="1:23">
      <c r="A47" s="428"/>
      <c r="B47" s="421"/>
      <c r="C47" s="439"/>
      <c r="D47" s="421"/>
      <c r="E47" s="430"/>
      <c r="F47" s="430"/>
      <c r="G47" s="430"/>
      <c r="H47" s="430"/>
      <c r="I47" s="453"/>
      <c r="J47" s="430"/>
      <c r="K47" s="430"/>
      <c r="L47" s="430"/>
      <c r="M47" s="451"/>
      <c r="N47" s="459"/>
      <c r="O47" s="430"/>
      <c r="P47" s="531"/>
      <c r="Q47" s="429"/>
      <c r="R47" s="421"/>
      <c r="S47" s="473"/>
      <c r="T47" s="466"/>
      <c r="U47" s="466"/>
      <c r="V47" s="421"/>
      <c r="W47" s="421"/>
    </row>
    <row r="48" s="408" customFormat="1" ht="17.4" spans="1:23">
      <c r="A48" s="418" t="s">
        <v>149</v>
      </c>
      <c r="B48" s="419"/>
      <c r="C48" s="420"/>
      <c r="D48" s="421"/>
      <c r="E48" s="422" t="s">
        <v>202</v>
      </c>
      <c r="F48" s="422"/>
      <c r="G48" s="422"/>
      <c r="H48" s="422"/>
      <c r="I48" s="422"/>
      <c r="J48" s="422"/>
      <c r="K48" s="422"/>
      <c r="L48" s="422"/>
      <c r="M48" s="443"/>
      <c r="N48" s="444"/>
      <c r="O48" s="422"/>
      <c r="P48" s="531"/>
      <c r="Q48" s="465"/>
      <c r="R48" s="424"/>
      <c r="S48" s="473"/>
      <c r="T48" s="467"/>
      <c r="U48" s="467"/>
      <c r="V48" s="467"/>
      <c r="W48" s="467"/>
    </row>
    <row r="49" s="409" customFormat="1" ht="48.6" spans="1:23">
      <c r="A49" s="423" t="s">
        <v>206</v>
      </c>
      <c r="B49" s="424" t="s">
        <v>207</v>
      </c>
      <c r="C49" s="425" t="s">
        <v>208</v>
      </c>
      <c r="D49" s="424" t="s">
        <v>209</v>
      </c>
      <c r="E49" s="426" t="s">
        <v>210</v>
      </c>
      <c r="F49" s="427" t="s">
        <v>402</v>
      </c>
      <c r="G49" s="427" t="s">
        <v>212</v>
      </c>
      <c r="H49" s="427" t="s">
        <v>397</v>
      </c>
      <c r="I49" s="427" t="s">
        <v>214</v>
      </c>
      <c r="J49" s="446" t="s">
        <v>398</v>
      </c>
      <c r="K49" s="446" t="s">
        <v>399</v>
      </c>
      <c r="L49" s="446" t="s">
        <v>403</v>
      </c>
      <c r="M49" s="447" t="s">
        <v>218</v>
      </c>
      <c r="N49" s="448" t="s">
        <v>219</v>
      </c>
      <c r="O49" s="449" t="s">
        <v>220</v>
      </c>
      <c r="P49" s="530" t="s">
        <v>221</v>
      </c>
      <c r="Q49" s="469" t="s">
        <v>222</v>
      </c>
      <c r="R49" s="426" t="s">
        <v>223</v>
      </c>
      <c r="S49" s="470" t="s">
        <v>224</v>
      </c>
      <c r="T49" s="467" t="s">
        <v>225</v>
      </c>
      <c r="U49" s="470" t="s">
        <v>226</v>
      </c>
      <c r="V49" s="467"/>
      <c r="W49" s="467"/>
    </row>
    <row r="50" s="410" customFormat="1" ht="34.8" spans="1:23">
      <c r="A50" s="432" t="s">
        <v>227</v>
      </c>
      <c r="B50" s="432" t="s">
        <v>150</v>
      </c>
      <c r="C50" s="434" t="str">
        <f>VLOOKUP(B50,正厂竞争者数据汇总!D:H,2,FALSE)</f>
        <v>原厂目录</v>
      </c>
      <c r="D50" s="435" t="str">
        <f>VLOOKUP(B50,正厂竞争者数据汇总!D:H,3,FALSE)</f>
        <v>AZ</v>
      </c>
      <c r="E50" s="436">
        <f>VLOOKUP(B50,正厂竞争者数据汇总!D:H,4,FALSE)</f>
        <v>0</v>
      </c>
      <c r="F50" s="436">
        <v>534481.333333333</v>
      </c>
      <c r="G50" s="436">
        <v>521458.083333333</v>
      </c>
      <c r="H50" s="436">
        <v>566477.333333333</v>
      </c>
      <c r="I50" s="454">
        <f>(F50/G50)-1</f>
        <v>0.0249746823690054</v>
      </c>
      <c r="J50" s="455">
        <v>0.366332309995353</v>
      </c>
      <c r="K50" s="455">
        <v>0.380975386744149</v>
      </c>
      <c r="L50" s="455">
        <v>0.350949944333293</v>
      </c>
      <c r="M50" s="456">
        <f>J50-K50</f>
        <v>-0.0146430767487961</v>
      </c>
      <c r="N50" s="457" t="str">
        <f>IFERROR(O50*0.5/#REF!,"")</f>
        <v/>
      </c>
      <c r="O50" s="436" t="s">
        <v>180</v>
      </c>
      <c r="P50" s="531">
        <f t="array" ref="P50">INDEX(正厂竞争者数据汇总!I:I,MATCH($A$48&amp;B50,正厂竞争者数据汇总!A:A&amp;正厂竞争者数据汇总!D:D,0))</f>
        <v>0</v>
      </c>
      <c r="Q50" s="434" t="s">
        <v>259</v>
      </c>
      <c r="R50" s="435" t="s">
        <v>229</v>
      </c>
      <c r="S50" s="476"/>
      <c r="T50" s="477" t="s">
        <v>405</v>
      </c>
      <c r="U50" s="477"/>
      <c r="V50" s="477"/>
      <c r="W50" s="477"/>
    </row>
    <row r="51" s="408" customFormat="1" spans="1:23">
      <c r="A51" s="428" t="s">
        <v>230</v>
      </c>
      <c r="B51" s="421" t="s">
        <v>255</v>
      </c>
      <c r="C51" s="429" t="str">
        <f>VLOOKUP(B51,正厂竞争者数据汇总!D:H,2,FALSE)</f>
        <v>Motor目录</v>
      </c>
      <c r="D51" s="421" t="str">
        <f>VLOOKUP(B51,正厂竞争者数据汇总!D:H,3,FALSE)</f>
        <v>RI</v>
      </c>
      <c r="E51" s="430"/>
      <c r="F51" s="430">
        <v>265157.0775</v>
      </c>
      <c r="G51" s="430"/>
      <c r="H51" s="430"/>
      <c r="I51" s="450"/>
      <c r="J51" s="451">
        <v>0.181738067644754</v>
      </c>
      <c r="K51" s="451">
        <v>0.187057558789819</v>
      </c>
      <c r="L51" s="451">
        <v>0.177675990045644</v>
      </c>
      <c r="M51" s="452"/>
      <c r="N51" s="451"/>
      <c r="O51" s="430"/>
      <c r="P51" s="531" t="str">
        <f t="array" ref="P51">INDEX(正厂竞争者数据汇总!I:I,MATCH($A$48&amp;B51,正厂竞争者数据汇总!A:A&amp;正厂竞争者数据汇总!D:D,0))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51" s="429"/>
      <c r="R51" s="421"/>
      <c r="S51" s="472"/>
      <c r="T51" s="466"/>
      <c r="U51" s="466"/>
      <c r="V51" s="466"/>
      <c r="W51" s="466"/>
    </row>
    <row r="52" s="408" customFormat="1" spans="1:23">
      <c r="A52" s="428" t="s">
        <v>230</v>
      </c>
      <c r="B52" s="421" t="s">
        <v>260</v>
      </c>
      <c r="C52" s="429" t="str">
        <f>VLOOKUP(B52,正厂竞争者数据汇总!D:H,2,FALSE)</f>
        <v>Motor目录</v>
      </c>
      <c r="D52" s="421" t="str">
        <f>VLOOKUP(B52,正厂竞争者数据汇总!D:H,3,FALSE)</f>
        <v>TX</v>
      </c>
      <c r="E52" s="430"/>
      <c r="F52" s="430">
        <v>147110.754766667</v>
      </c>
      <c r="G52" s="430"/>
      <c r="H52" s="430"/>
      <c r="I52" s="450"/>
      <c r="J52" s="451">
        <v>0.100829382165201</v>
      </c>
      <c r="K52" s="451">
        <v>0.10827358588933</v>
      </c>
      <c r="L52" s="451">
        <v>0.104805143867159</v>
      </c>
      <c r="M52" s="452"/>
      <c r="N52" s="451"/>
      <c r="O52" s="430"/>
      <c r="P52" s="531">
        <f t="array" ref="P52">INDEX(正厂竞争者数据汇总!I:I,MATCH($A$48&amp;B52,正厂竞争者数据汇总!A:A&amp;正厂竞争者数据汇总!D:D,0))</f>
        <v>0</v>
      </c>
      <c r="Q52" s="429"/>
      <c r="R52" s="421"/>
      <c r="S52" s="472"/>
      <c r="T52" s="466"/>
      <c r="U52" s="466"/>
      <c r="V52" s="466"/>
      <c r="W52" s="466"/>
    </row>
    <row r="53" s="408" customFormat="1" spans="1:23">
      <c r="A53" s="428" t="s">
        <v>230</v>
      </c>
      <c r="B53" s="421" t="s">
        <v>261</v>
      </c>
      <c r="C53" s="429" t="str">
        <f>VLOOKUP(B53,正厂竞争者数据汇总!D:H,2,FALSE)</f>
        <v>Motor目录</v>
      </c>
      <c r="D53" s="421" t="str">
        <f>VLOOKUP(B53,正厂竞争者数据汇总!D:H,3,FALSE)</f>
        <v>MO</v>
      </c>
      <c r="E53" s="430"/>
      <c r="F53" s="430">
        <v>143734.333333333</v>
      </c>
      <c r="G53" s="430"/>
      <c r="H53" s="430"/>
      <c r="I53" s="450"/>
      <c r="J53" s="451">
        <v>0.0985151904693436</v>
      </c>
      <c r="K53" s="451">
        <v>0.116017501866349</v>
      </c>
      <c r="L53" s="451">
        <v>0.109496851768032</v>
      </c>
      <c r="M53" s="452"/>
      <c r="N53" s="451"/>
      <c r="O53" s="430"/>
      <c r="P53" s="531" t="str">
        <f t="array" ref="P53">INDEX(正厂竞争者数据汇总!I:I,MATCH($A$48&amp;B53,正厂竞争者数据汇总!A:A&amp;正厂竞争者数据汇总!D:D,0))</f>
        <v>2022年1月 新加入 CompetitorSites
2022年1月 新加入 MarketingShare</v>
      </c>
      <c r="Q53" s="429"/>
      <c r="R53" s="421"/>
      <c r="S53" s="472"/>
      <c r="T53" s="466"/>
      <c r="U53" s="466"/>
      <c r="V53" s="466"/>
      <c r="W53" s="466"/>
    </row>
    <row r="54" s="408" customFormat="1" spans="1:23">
      <c r="A54" s="428" t="s">
        <v>243</v>
      </c>
      <c r="B54" s="421" t="s">
        <v>262</v>
      </c>
      <c r="C54" s="429" t="str">
        <f>VLOOKUP(B54,正厂竞争者数据汇总!D:H,2,FALSE)</f>
        <v>原厂目录</v>
      </c>
      <c r="D54" s="421" t="str">
        <f>VLOOKUP(B54,正厂竞争者数据汇总!D:H,3,FALSE)</f>
        <v>FL</v>
      </c>
      <c r="E54" s="430"/>
      <c r="F54" s="430">
        <v>132451.25</v>
      </c>
      <c r="G54" s="430"/>
      <c r="H54" s="430"/>
      <c r="I54" s="450"/>
      <c r="J54" s="451">
        <v>0.0907817903979284</v>
      </c>
      <c r="K54" s="451">
        <v>0.0959327588341184</v>
      </c>
      <c r="L54" s="451">
        <v>0.10776734930129</v>
      </c>
      <c r="M54" s="452"/>
      <c r="N54" s="451"/>
      <c r="O54" s="430"/>
      <c r="P54" s="531" t="str">
        <f t="array" ref="P54">INDEX(正厂竞争者数据汇总!I:I,MATCH($A$48&amp;B54,正厂竞争者数据汇总!A:A&amp;正厂竞争者数据汇总!D:D,0))</f>
        <v>变为精确运费</v>
      </c>
      <c r="Q54" s="429"/>
      <c r="R54" s="421"/>
      <c r="S54" s="472"/>
      <c r="T54" s="466"/>
      <c r="U54" s="466"/>
      <c r="V54" s="466"/>
      <c r="W54" s="466"/>
    </row>
    <row r="55" s="408" customFormat="1" spans="1:23">
      <c r="A55" s="428" t="s">
        <v>243</v>
      </c>
      <c r="B55" s="421" t="s">
        <v>265</v>
      </c>
      <c r="C55" s="429" t="str">
        <f>VLOOKUP(B55,正厂竞争者数据汇总!D:H,2,FALSE)</f>
        <v>原厂目录</v>
      </c>
      <c r="D55" s="421" t="s">
        <v>266</v>
      </c>
      <c r="E55" s="430"/>
      <c r="F55" s="430">
        <v>88688.2183333333</v>
      </c>
      <c r="G55" s="430"/>
      <c r="H55" s="430"/>
      <c r="I55" s="450"/>
      <c r="J55" s="451">
        <v>0.0607867064108672</v>
      </c>
      <c r="K55" s="451">
        <v>0.0641009116186033</v>
      </c>
      <c r="L55" s="451">
        <v>0.0651731652953302</v>
      </c>
      <c r="M55" s="452"/>
      <c r="N55" s="451"/>
      <c r="O55" s="430"/>
      <c r="P55" s="531" t="str">
        <f t="array" ref="P55">INDEX(正厂竞争者数据汇总!I:I,MATCH($A$48&amp;B55,正厂竞争者数据汇总!A:A&amp;正厂竞争者数据汇总!D:D,0))</f>
        <v>因MS大于5%，202305重新加入MS计算基准</v>
      </c>
      <c r="Q55" s="429"/>
      <c r="R55" s="421"/>
      <c r="S55" s="472"/>
      <c r="T55" s="466"/>
      <c r="U55" s="466"/>
      <c r="V55" s="466"/>
      <c r="W55" s="466"/>
    </row>
    <row r="56" s="408" customFormat="1" spans="1:23">
      <c r="A56" s="428" t="s">
        <v>243</v>
      </c>
      <c r="B56" s="421" t="s">
        <v>264</v>
      </c>
      <c r="C56" s="429" t="str">
        <f>VLOOKUP(B56,正厂竞争者数据汇总!D:H,2,FALSE)</f>
        <v>原厂目录</v>
      </c>
      <c r="D56" s="421" t="s">
        <v>60</v>
      </c>
      <c r="E56" s="430"/>
      <c r="F56" s="430">
        <v>84233.5048333333</v>
      </c>
      <c r="G56" s="430"/>
      <c r="H56" s="430"/>
      <c r="I56" s="450"/>
      <c r="J56" s="451">
        <v>0.0577334557451331</v>
      </c>
      <c r="K56" s="451"/>
      <c r="L56" s="451"/>
      <c r="M56" s="452"/>
      <c r="N56" s="451"/>
      <c r="O56" s="430"/>
      <c r="P56" s="531" t="str">
        <f t="array" ref="P56">INDEX(正厂竞争者数据汇总!I:I,MATCH($A$48&amp;B56,正厂竞争者数据汇总!A:A&amp;正厂竞争者数据汇总!D:D,0))</f>
        <v>2023年3月新增正厂，2023年10月因流量大于5%加入MS监控</v>
      </c>
      <c r="Q56" s="429"/>
      <c r="R56" s="421"/>
      <c r="S56" s="472"/>
      <c r="T56" s="466"/>
      <c r="U56" s="466"/>
      <c r="V56" s="466"/>
      <c r="W56" s="466"/>
    </row>
    <row r="57" s="408" customFormat="1" spans="1:23">
      <c r="A57" s="428" t="s">
        <v>230</v>
      </c>
      <c r="B57" s="421" t="s">
        <v>267</v>
      </c>
      <c r="C57" s="429" t="str">
        <f>VLOOKUP(B57,正厂竞争者数据汇总!D:H,2,FALSE)</f>
        <v>原厂目录</v>
      </c>
      <c r="D57" s="421" t="str">
        <f>VLOOKUP(B57,正厂竞争者数据汇总!D:H,3,FALSE)</f>
        <v>AZ</v>
      </c>
      <c r="E57" s="430"/>
      <c r="F57" s="430">
        <v>63150.3333333333</v>
      </c>
      <c r="G57" s="430"/>
      <c r="H57" s="430"/>
      <c r="I57" s="450"/>
      <c r="J57" s="451">
        <v>0.0432830971714195</v>
      </c>
      <c r="K57" s="451">
        <v>0.047642296257632</v>
      </c>
      <c r="L57" s="451">
        <v>0.0511062582609847</v>
      </c>
      <c r="M57" s="452"/>
      <c r="N57" s="451"/>
      <c r="O57" s="430"/>
      <c r="P57" s="531" t="str">
        <f t="array" ref="P57">INDEX(正厂竞争者数据汇总!I:I,MATCH($A$48&amp;B57,正厂竞争者数据汇总!A:A&amp;正厂竞争者数据汇总!D:D,0))</f>
        <v>2022年1月 新加入 CompetitorSites</v>
      </c>
      <c r="Q57" s="429"/>
      <c r="R57" s="421"/>
      <c r="S57" s="472"/>
      <c r="T57" s="466"/>
      <c r="U57" s="466"/>
      <c r="V57" s="466"/>
      <c r="W57" s="466"/>
    </row>
    <row r="58" s="410" customFormat="1" spans="1:23">
      <c r="A58" s="428"/>
      <c r="B58" s="431"/>
      <c r="C58" s="429"/>
      <c r="D58" s="421"/>
      <c r="E58" s="430"/>
      <c r="F58" s="430"/>
      <c r="G58" s="430"/>
      <c r="H58" s="430"/>
      <c r="I58" s="453"/>
      <c r="J58" s="451"/>
      <c r="K58" s="451"/>
      <c r="L58" s="451"/>
      <c r="M58" s="451"/>
      <c r="N58" s="455"/>
      <c r="O58" s="436"/>
      <c r="P58" s="531"/>
      <c r="Q58" s="434"/>
      <c r="R58" s="435"/>
      <c r="S58" s="473"/>
      <c r="T58" s="477"/>
      <c r="U58" s="466"/>
      <c r="V58" s="435"/>
      <c r="W58" s="435"/>
    </row>
    <row r="59" s="408" customFormat="1" spans="1:23">
      <c r="A59" s="428"/>
      <c r="B59" s="421"/>
      <c r="C59" s="439"/>
      <c r="D59" s="421"/>
      <c r="E59" s="430"/>
      <c r="F59" s="430">
        <v>1459006.80543333</v>
      </c>
      <c r="G59" s="430">
        <v>1468579.74166667</v>
      </c>
      <c r="H59" s="430">
        <v>1519526.8275</v>
      </c>
      <c r="I59" s="453">
        <f>(F59/G59)-1</f>
        <v>-0.00651849944659622</v>
      </c>
      <c r="J59" s="430"/>
      <c r="K59" s="430"/>
      <c r="L59" s="430"/>
      <c r="M59" s="451"/>
      <c r="N59" s="451"/>
      <c r="O59" s="430"/>
      <c r="P59" s="531"/>
      <c r="Q59" s="429"/>
      <c r="R59" s="421"/>
      <c r="S59" s="473"/>
      <c r="T59" s="466"/>
      <c r="U59" s="466"/>
      <c r="V59" s="421"/>
      <c r="W59" s="421"/>
    </row>
    <row r="60" s="408" customFormat="1" spans="1:23">
      <c r="A60" s="428"/>
      <c r="B60" s="421"/>
      <c r="C60" s="439"/>
      <c r="D60" s="421"/>
      <c r="E60" s="430"/>
      <c r="F60" s="430"/>
      <c r="G60" s="430"/>
      <c r="H60" s="430"/>
      <c r="I60" s="453"/>
      <c r="J60" s="430"/>
      <c r="K60" s="430"/>
      <c r="L60" s="430"/>
      <c r="M60" s="451"/>
      <c r="N60" s="451"/>
      <c r="O60" s="430"/>
      <c r="P60" s="531"/>
      <c r="Q60" s="429"/>
      <c r="R60" s="421"/>
      <c r="S60" s="473"/>
      <c r="T60" s="466"/>
      <c r="U60" s="466"/>
      <c r="V60" s="421"/>
      <c r="W60" s="421"/>
    </row>
    <row r="61" s="408" customFormat="1" ht="17.4" spans="1:23">
      <c r="A61" s="418" t="s">
        <v>274</v>
      </c>
      <c r="B61" s="419"/>
      <c r="C61" s="420"/>
      <c r="D61" s="421"/>
      <c r="E61" s="422" t="s">
        <v>202</v>
      </c>
      <c r="F61" s="422"/>
      <c r="G61" s="422"/>
      <c r="H61" s="422"/>
      <c r="I61" s="422"/>
      <c r="J61" s="422"/>
      <c r="K61" s="422"/>
      <c r="L61" s="422"/>
      <c r="M61" s="443"/>
      <c r="N61" s="444"/>
      <c r="O61" s="422"/>
      <c r="P61" s="531"/>
      <c r="Q61" s="465"/>
      <c r="R61" s="424"/>
      <c r="S61" s="473"/>
      <c r="T61" s="467"/>
      <c r="U61" s="467"/>
      <c r="V61" s="467"/>
      <c r="W61" s="467"/>
    </row>
    <row r="62" s="409" customFormat="1" ht="48.6" spans="1:23">
      <c r="A62" s="423" t="s">
        <v>206</v>
      </c>
      <c r="B62" s="424" t="s">
        <v>207</v>
      </c>
      <c r="C62" s="425" t="s">
        <v>208</v>
      </c>
      <c r="D62" s="424" t="s">
        <v>209</v>
      </c>
      <c r="E62" s="426" t="s">
        <v>210</v>
      </c>
      <c r="F62" s="427" t="s">
        <v>402</v>
      </c>
      <c r="G62" s="427" t="s">
        <v>212</v>
      </c>
      <c r="H62" s="427" t="s">
        <v>397</v>
      </c>
      <c r="I62" s="427" t="s">
        <v>214</v>
      </c>
      <c r="J62" s="446" t="s">
        <v>398</v>
      </c>
      <c r="K62" s="446" t="s">
        <v>399</v>
      </c>
      <c r="L62" s="446" t="s">
        <v>403</v>
      </c>
      <c r="M62" s="447" t="s">
        <v>218</v>
      </c>
      <c r="N62" s="448" t="s">
        <v>219</v>
      </c>
      <c r="O62" s="449" t="s">
        <v>220</v>
      </c>
      <c r="P62" s="530" t="s">
        <v>221</v>
      </c>
      <c r="Q62" s="469" t="s">
        <v>222</v>
      </c>
      <c r="R62" s="426" t="s">
        <v>223</v>
      </c>
      <c r="S62" s="470" t="s">
        <v>224</v>
      </c>
      <c r="T62" s="467" t="s">
        <v>225</v>
      </c>
      <c r="U62" s="470" t="s">
        <v>226</v>
      </c>
      <c r="V62" s="467"/>
      <c r="W62" s="467"/>
    </row>
    <row r="63" s="410" customFormat="1" ht="17.4" spans="1:23">
      <c r="A63" s="432" t="s">
        <v>227</v>
      </c>
      <c r="B63" s="432" t="s">
        <v>157</v>
      </c>
      <c r="C63" s="434" t="str">
        <f>VLOOKUP(B63,正厂竞争者数据汇总!D:H,2,FALSE)</f>
        <v>原厂目录</v>
      </c>
      <c r="D63" s="435" t="str">
        <f>VLOOKUP(B63,正厂竞争者数据汇总!D:H,3,FALSE)</f>
        <v>CA</v>
      </c>
      <c r="E63" s="436">
        <f>VLOOKUP(B63,正厂竞争者数据汇总!D:H,4,FALSE)</f>
        <v>0</v>
      </c>
      <c r="F63" s="436">
        <v>315860.25</v>
      </c>
      <c r="G63" s="436">
        <v>278909.416666667</v>
      </c>
      <c r="H63" s="436">
        <v>329867.416666667</v>
      </c>
      <c r="I63" s="454">
        <f>(F63/G63)-1</f>
        <v>0.132483276380353</v>
      </c>
      <c r="J63" s="457">
        <v>0.404547248703697</v>
      </c>
      <c r="K63" s="457">
        <v>0.441652992912969</v>
      </c>
      <c r="L63" s="457">
        <v>0.455972350540081</v>
      </c>
      <c r="M63" s="456">
        <f>J63-K63</f>
        <v>-0.0371057442092724</v>
      </c>
      <c r="N63" s="457" t="str">
        <f>IFERROR(O63*0.5/$F$63,"")</f>
        <v/>
      </c>
      <c r="O63" s="436" t="s">
        <v>180</v>
      </c>
      <c r="P63" s="531">
        <f t="array" ref="P63">INDEX(正厂竞争者数据汇总!I:I,MATCH($A$61&amp;B63,正厂竞争者数据汇总!A:A&amp;正厂竞争者数据汇总!D:D,0))</f>
        <v>0</v>
      </c>
      <c r="Q63" s="434" t="s">
        <v>275</v>
      </c>
      <c r="R63" s="435" t="s">
        <v>229</v>
      </c>
      <c r="S63" s="476"/>
      <c r="T63" s="477"/>
      <c r="U63" s="477"/>
      <c r="V63" s="435"/>
      <c r="W63" s="435"/>
    </row>
    <row r="64" s="408" customFormat="1" spans="1:23">
      <c r="A64" s="428" t="s">
        <v>230</v>
      </c>
      <c r="B64" s="421" t="s">
        <v>276</v>
      </c>
      <c r="C64" s="429" t="str">
        <f>VLOOKUP(B64,正厂竞争者数据汇总!D:H,2,FALSE)</f>
        <v>Motor目录</v>
      </c>
      <c r="D64" s="421" t="str">
        <f>VLOOKUP(B64,正厂竞争者数据汇总!D:H,3,FALSE)</f>
        <v>-</v>
      </c>
      <c r="E64" s="430"/>
      <c r="F64" s="430">
        <v>227310.965</v>
      </c>
      <c r="G64" s="430"/>
      <c r="H64" s="430"/>
      <c r="I64" s="450"/>
      <c r="J64" s="451">
        <v>0.291135163386125</v>
      </c>
      <c r="K64" s="451">
        <v>0.286964905078423</v>
      </c>
      <c r="L64" s="451">
        <v>0.287642764187628</v>
      </c>
      <c r="M64" s="452"/>
      <c r="N64" s="451"/>
      <c r="O64" s="430"/>
      <c r="P64" s="531" t="str">
        <f t="array" ref="P64">INDEX(正厂竞争者数据汇总!I:I,MATCH($A$61&amp;B64,正厂竞争者数据汇总!A:A&amp;正厂竞争者数据汇总!D:D,0))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64" s="429"/>
      <c r="R64" s="421"/>
      <c r="S64" s="472"/>
      <c r="T64" s="466"/>
      <c r="U64" s="466"/>
      <c r="V64" s="466"/>
      <c r="W64" s="466"/>
    </row>
    <row r="65" s="408" customFormat="1" spans="1:23">
      <c r="A65" s="428" t="s">
        <v>230</v>
      </c>
      <c r="B65" s="421" t="s">
        <v>278</v>
      </c>
      <c r="C65" s="429" t="str">
        <f>VLOOKUP(B65,正厂竞争者数据汇总!D:H,2,FALSE)</f>
        <v>Motor</v>
      </c>
      <c r="D65" s="421" t="str">
        <f>VLOOKUP(B65,正厂竞争者数据汇总!D:H,3,FALSE)</f>
        <v>NM</v>
      </c>
      <c r="E65" s="430"/>
      <c r="F65" s="430">
        <v>106986.976666667</v>
      </c>
      <c r="G65" s="430"/>
      <c r="H65" s="430"/>
      <c r="I65" s="450"/>
      <c r="J65" s="451">
        <v>0.137026697907149</v>
      </c>
      <c r="K65" s="451">
        <v>0.128390052299007</v>
      </c>
      <c r="L65" s="451">
        <v>0.134497246676038</v>
      </c>
      <c r="M65" s="452"/>
      <c r="N65" s="451"/>
      <c r="O65" s="430"/>
      <c r="P65" s="531" t="str">
        <f t="array" ref="P65">INDEX(正厂竞争者数据汇总!I:I,MATCH($A$61&amp;B65,正厂竞争者数据汇总!A:A&amp;正厂竞争者数据汇总!D:D,0))</f>
        <v>2020年11月新增竞争者</v>
      </c>
      <c r="Q65" s="429"/>
      <c r="R65" s="421"/>
      <c r="S65" s="472"/>
      <c r="T65" s="466"/>
      <c r="U65" s="466"/>
      <c r="V65" s="466"/>
      <c r="W65" s="466"/>
    </row>
    <row r="66" s="408" customFormat="1" spans="1:23">
      <c r="A66" s="428" t="s">
        <v>243</v>
      </c>
      <c r="B66" s="421" t="s">
        <v>277</v>
      </c>
      <c r="C66" s="429" t="str">
        <f>VLOOKUP(B66,正厂竞争者数据汇总!D:H,2,FALSE)</f>
        <v>Motor目录</v>
      </c>
      <c r="D66" s="421" t="str">
        <f>VLOOKUP(B66,正厂竞争者数据汇总!D:H,3,FALSE)</f>
        <v>FL</v>
      </c>
      <c r="E66" s="430"/>
      <c r="F66" s="430">
        <v>92734.3333333333</v>
      </c>
      <c r="G66" s="430"/>
      <c r="H66" s="430"/>
      <c r="I66" s="450"/>
      <c r="J66" s="451">
        <v>0.118772208311655</v>
      </c>
      <c r="K66" s="451">
        <v>0.101290584102824</v>
      </c>
      <c r="L66" s="451">
        <v>0.0837378541062879</v>
      </c>
      <c r="M66" s="452"/>
      <c r="N66" s="451"/>
      <c r="O66" s="430"/>
      <c r="P66" s="531">
        <f t="array" ref="P66">INDEX(正厂竞争者数据汇总!I:I,MATCH($A$61&amp;B66,正厂竞争者数据汇总!A:A&amp;正厂竞争者数据汇总!D:D,0))</f>
        <v>0</v>
      </c>
      <c r="Q66" s="429"/>
      <c r="R66" s="421"/>
      <c r="S66" s="472"/>
      <c r="T66" s="466"/>
      <c r="U66" s="466"/>
      <c r="V66" s="466"/>
      <c r="W66" s="466"/>
    </row>
    <row r="67" s="408" customFormat="1" spans="1:23">
      <c r="A67" s="428" t="s">
        <v>230</v>
      </c>
      <c r="B67" s="421" t="s">
        <v>279</v>
      </c>
      <c r="C67" s="429" t="str">
        <f>VLOOKUP(B67,正厂竞争者数据汇总!D:H,2,FALSE)</f>
        <v>Motor目录</v>
      </c>
      <c r="D67" s="421" t="str">
        <f>VLOOKUP(B67,正厂竞争者数据汇总!D:H,3,FALSE)</f>
        <v>-</v>
      </c>
      <c r="E67" s="430"/>
      <c r="F67" s="430">
        <v>37882.1583333333</v>
      </c>
      <c r="G67" s="430"/>
      <c r="H67" s="430"/>
      <c r="I67" s="450"/>
      <c r="J67" s="451">
        <v>0.048518681691374</v>
      </c>
      <c r="K67" s="451">
        <v>0.0417014656067771</v>
      </c>
      <c r="L67" s="451">
        <v>0.0381497844899645</v>
      </c>
      <c r="M67" s="452"/>
      <c r="N67" s="451"/>
      <c r="O67" s="430"/>
      <c r="P67" s="531" t="str">
        <f t="array" ref="P67">INDEX(正厂竞争者数据汇总!I:I,MATCH($A$61&amp;B67,正厂竞争者数据汇总!A:A&amp;正厂竞争者数据汇总!D:D,0))</f>
        <v>同时经营多品牌零件，semrush流量折算比例：Ford:0%, GM:36%, Honda:25%, Hyundai:0%, Infiniti:1%, Kia:1%, Lexus:4%, Mopar:0%, Nissan:25%, Subaru:5%, Toyota:2%</v>
      </c>
      <c r="Q67" s="429"/>
      <c r="R67" s="421"/>
      <c r="S67" s="472"/>
      <c r="T67" s="466"/>
      <c r="U67" s="466"/>
      <c r="V67" s="466"/>
      <c r="W67" s="466"/>
    </row>
    <row r="68" s="408" customFormat="1" spans="1:23">
      <c r="A68" s="428"/>
      <c r="B68" s="431"/>
      <c r="C68" s="429"/>
      <c r="D68" s="421"/>
      <c r="E68" s="430"/>
      <c r="F68" s="430"/>
      <c r="G68" s="430"/>
      <c r="H68" s="430"/>
      <c r="I68" s="453"/>
      <c r="J68" s="451"/>
      <c r="K68" s="451"/>
      <c r="L68" s="451"/>
      <c r="M68" s="451"/>
      <c r="N68" s="451"/>
      <c r="O68" s="430"/>
      <c r="P68" s="531"/>
      <c r="Q68" s="429"/>
      <c r="R68" s="435"/>
      <c r="S68" s="473"/>
      <c r="T68" s="466"/>
      <c r="U68" s="466"/>
      <c r="V68" s="421"/>
      <c r="W68" s="421"/>
    </row>
    <row r="69" s="408" customFormat="1" spans="1:23">
      <c r="A69" s="428"/>
      <c r="B69" s="421"/>
      <c r="C69" s="439"/>
      <c r="D69" s="421"/>
      <c r="E69" s="430"/>
      <c r="F69" s="430">
        <v>780774.683333333</v>
      </c>
      <c r="G69" s="430">
        <v>704838.916666666</v>
      </c>
      <c r="H69" s="430">
        <v>764789.250000002</v>
      </c>
      <c r="I69" s="453">
        <f>(F69/G69)-1</f>
        <v>0.107734923357785</v>
      </c>
      <c r="J69" s="490"/>
      <c r="K69" s="480"/>
      <c r="L69" s="480"/>
      <c r="M69" s="451"/>
      <c r="N69" s="451">
        <f>SUM(N63:N67)</f>
        <v>0</v>
      </c>
      <c r="O69" s="430"/>
      <c r="P69" s="531"/>
      <c r="Q69" s="429"/>
      <c r="R69" s="421"/>
      <c r="S69" s="473"/>
      <c r="T69" s="466"/>
      <c r="U69" s="466"/>
      <c r="V69" s="421"/>
      <c r="W69" s="421"/>
    </row>
    <row r="70" s="408" customFormat="1" spans="1:23">
      <c r="A70" s="428"/>
      <c r="B70" s="421"/>
      <c r="C70" s="439"/>
      <c r="D70" s="421"/>
      <c r="E70" s="430"/>
      <c r="F70" s="430"/>
      <c r="G70" s="430"/>
      <c r="H70" s="430"/>
      <c r="I70" s="453"/>
      <c r="J70" s="430"/>
      <c r="K70" s="430"/>
      <c r="L70" s="430"/>
      <c r="M70" s="451"/>
      <c r="N70" s="459"/>
      <c r="O70" s="430"/>
      <c r="P70" s="531"/>
      <c r="Q70" s="429"/>
      <c r="R70" s="421"/>
      <c r="S70" s="473"/>
      <c r="T70" s="466"/>
      <c r="U70" s="466"/>
      <c r="V70" s="421"/>
      <c r="W70" s="421"/>
    </row>
    <row r="71" s="408" customFormat="1" ht="17.4" spans="1:23">
      <c r="A71" s="418" t="s">
        <v>159</v>
      </c>
      <c r="B71" s="419"/>
      <c r="C71" s="420"/>
      <c r="D71" s="421"/>
      <c r="E71" s="422" t="s">
        <v>202</v>
      </c>
      <c r="F71" s="422"/>
      <c r="G71" s="422"/>
      <c r="H71" s="422"/>
      <c r="I71" s="422"/>
      <c r="J71" s="422"/>
      <c r="K71" s="422"/>
      <c r="L71" s="422"/>
      <c r="M71" s="443"/>
      <c r="N71" s="444"/>
      <c r="O71" s="422"/>
      <c r="P71" s="531"/>
      <c r="Q71" s="465"/>
      <c r="R71" s="424"/>
      <c r="S71" s="473"/>
      <c r="T71" s="467"/>
      <c r="U71" s="467"/>
      <c r="V71" s="467"/>
      <c r="W71" s="467"/>
    </row>
    <row r="72" s="409" customFormat="1" ht="48.6" spans="1:23">
      <c r="A72" s="423" t="s">
        <v>206</v>
      </c>
      <c r="B72" s="424" t="s">
        <v>207</v>
      </c>
      <c r="C72" s="425" t="s">
        <v>208</v>
      </c>
      <c r="D72" s="424" t="s">
        <v>209</v>
      </c>
      <c r="E72" s="426" t="s">
        <v>210</v>
      </c>
      <c r="F72" s="427" t="s">
        <v>402</v>
      </c>
      <c r="G72" s="427" t="s">
        <v>212</v>
      </c>
      <c r="H72" s="427" t="s">
        <v>397</v>
      </c>
      <c r="I72" s="427" t="s">
        <v>214</v>
      </c>
      <c r="J72" s="446" t="s">
        <v>398</v>
      </c>
      <c r="K72" s="446" t="s">
        <v>399</v>
      </c>
      <c r="L72" s="446" t="s">
        <v>403</v>
      </c>
      <c r="M72" s="447" t="s">
        <v>218</v>
      </c>
      <c r="N72" s="448" t="s">
        <v>219</v>
      </c>
      <c r="O72" s="449" t="s">
        <v>220</v>
      </c>
      <c r="P72" s="530" t="s">
        <v>221</v>
      </c>
      <c r="Q72" s="469" t="s">
        <v>222</v>
      </c>
      <c r="R72" s="426" t="s">
        <v>223</v>
      </c>
      <c r="S72" s="470" t="s">
        <v>224</v>
      </c>
      <c r="T72" s="467" t="s">
        <v>225</v>
      </c>
      <c r="U72" s="470" t="s">
        <v>226</v>
      </c>
      <c r="V72" s="467"/>
      <c r="W72" s="467"/>
    </row>
    <row r="73" s="410" customFormat="1" ht="17.4" spans="1:23">
      <c r="A73" s="432" t="s">
        <v>227</v>
      </c>
      <c r="B73" s="432" t="s">
        <v>160</v>
      </c>
      <c r="C73" s="434" t="str">
        <f>VLOOKUP(B73,正厂竞争者数据汇总!D:H,2,FALSE)</f>
        <v>原厂目录</v>
      </c>
      <c r="D73" s="435" t="str">
        <f>VLOOKUP(B73,正厂竞争者数据汇总!D:H,3,FALSE)</f>
        <v>CA</v>
      </c>
      <c r="E73" s="436">
        <f>VLOOKUP(B73,正厂竞争者数据汇总!D:H,4,FALSE)</f>
        <v>0</v>
      </c>
      <c r="F73" s="436">
        <v>353322.166666667</v>
      </c>
      <c r="G73" s="436">
        <v>369856.833333333</v>
      </c>
      <c r="H73" s="436">
        <v>370810.25</v>
      </c>
      <c r="I73" s="454">
        <f>(F73/G73)-1</f>
        <v>-0.0447055865310038</v>
      </c>
      <c r="J73" s="455">
        <v>0.543698131130185</v>
      </c>
      <c r="K73" s="455">
        <v>0.549402843724838</v>
      </c>
      <c r="L73" s="455">
        <v>0.550208078114157</v>
      </c>
      <c r="M73" s="456">
        <f>J73-K73</f>
        <v>-0.00570471259465322</v>
      </c>
      <c r="N73" s="455" t="str">
        <f>IFERROR(O73*0.5/$F$73,"")</f>
        <v/>
      </c>
      <c r="O73" s="436" t="s">
        <v>180</v>
      </c>
      <c r="P73" s="531">
        <f t="array" ref="P73">INDEX(正厂竞争者数据汇总!I:I,MATCH($A$71&amp;B73,正厂竞争者数据汇总!A:A&amp;正厂竞争者数据汇总!D:D,0))</f>
        <v>0</v>
      </c>
      <c r="Q73" s="434" t="s">
        <v>280</v>
      </c>
      <c r="R73" s="435" t="s">
        <v>229</v>
      </c>
      <c r="S73" s="476"/>
      <c r="T73" s="477"/>
      <c r="U73" s="477"/>
      <c r="V73" s="435"/>
      <c r="W73" s="435"/>
    </row>
    <row r="74" s="408" customFormat="1" spans="1:23">
      <c r="A74" s="428" t="s">
        <v>230</v>
      </c>
      <c r="B74" s="421" t="s">
        <v>255</v>
      </c>
      <c r="C74" s="429" t="str">
        <f>VLOOKUP(B74,正厂竞争者数据汇总!D:H,2,FALSE)</f>
        <v>Motor目录</v>
      </c>
      <c r="D74" s="421" t="str">
        <f>VLOOKUP(B74,正厂竞争者数据汇总!D:H,3,FALSE)</f>
        <v>RI</v>
      </c>
      <c r="E74" s="430"/>
      <c r="F74" s="430">
        <v>128006.865</v>
      </c>
      <c r="G74" s="430"/>
      <c r="H74" s="430"/>
      <c r="I74" s="450"/>
      <c r="J74" s="451">
        <v>0.196979130771587</v>
      </c>
      <c r="K74" s="451">
        <v>0.18460348814452</v>
      </c>
      <c r="L74" s="451">
        <v>0.18362825543207</v>
      </c>
      <c r="M74" s="452"/>
      <c r="N74" s="451"/>
      <c r="O74" s="430"/>
      <c r="P74" s="531" t="str">
        <f t="array" ref="P74">INDEX(正厂竞争者数据汇总!I:I,MATCH($A$71&amp;B74,正厂竞争者数据汇总!A:A&amp;正厂竞争者数据汇总!D:D,0))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74" s="429"/>
      <c r="R74" s="421"/>
      <c r="S74" s="472"/>
      <c r="T74" s="466"/>
      <c r="U74" s="466"/>
      <c r="V74" s="466"/>
      <c r="W74" s="466"/>
    </row>
    <row r="75" s="408" customFormat="1" spans="1:23">
      <c r="A75" s="428" t="s">
        <v>230</v>
      </c>
      <c r="B75" s="421" t="s">
        <v>282</v>
      </c>
      <c r="C75" s="429" t="str">
        <f>VLOOKUP(B75,正厂竞争者数据汇总!D:H,2,FALSE)</f>
        <v>原厂目录</v>
      </c>
      <c r="D75" s="421" t="str">
        <f>VLOOKUP(B75,正厂竞争者数据汇总!D:H,3,FALSE)</f>
        <v>MA</v>
      </c>
      <c r="E75" s="430"/>
      <c r="F75" s="430">
        <v>78064.9890666667</v>
      </c>
      <c r="G75" s="430"/>
      <c r="H75" s="430"/>
      <c r="I75" s="450"/>
      <c r="J75" s="451">
        <v>0.12012772666564</v>
      </c>
      <c r="K75" s="451">
        <v>0.141893579459381</v>
      </c>
      <c r="L75" s="451">
        <v>0.141335426543904</v>
      </c>
      <c r="M75" s="452"/>
      <c r="N75" s="451"/>
      <c r="O75" s="430"/>
      <c r="P75" s="531" t="str">
        <f t="array" ref="P75">INDEX(正厂竞争者数据汇总!I:I,MATCH($A$71&amp;B75,正厂竞争者数据汇总!A:A&amp;正厂竞争者数据汇总!D:D,0))</f>
        <v>2021年08月新增竞争者</v>
      </c>
      <c r="Q75" s="429"/>
      <c r="R75" s="421"/>
      <c r="S75" s="472"/>
      <c r="T75" s="466"/>
      <c r="U75" s="466"/>
      <c r="V75" s="466"/>
      <c r="W75" s="466"/>
    </row>
    <row r="76" s="408" customFormat="1" spans="1:23">
      <c r="A76" s="428" t="s">
        <v>230</v>
      </c>
      <c r="B76" s="421" t="s">
        <v>281</v>
      </c>
      <c r="C76" s="429" t="str">
        <f>VLOOKUP(B76,正厂竞争者数据汇总!D:H,2,FALSE)</f>
        <v>Motor目录</v>
      </c>
      <c r="D76" s="421" t="str">
        <f>VLOOKUP(B76,正厂竞争者数据汇总!D:H,3,FALSE)</f>
        <v>-</v>
      </c>
      <c r="E76" s="430"/>
      <c r="F76" s="430">
        <v>77409.2333333333</v>
      </c>
      <c r="G76" s="430"/>
      <c r="H76" s="430"/>
      <c r="I76" s="450"/>
      <c r="J76" s="451">
        <v>0.119118638642505</v>
      </c>
      <c r="K76" s="451">
        <v>0.100989820420752</v>
      </c>
      <c r="L76" s="451">
        <v>0.092031740331312</v>
      </c>
      <c r="M76" s="452"/>
      <c r="N76" s="451"/>
      <c r="O76" s="430"/>
      <c r="P76" s="531" t="str">
        <f t="array" ref="P76">INDEX(正厂竞争者数据汇总!I:I,MATCH($A$71&amp;B76,正厂竞争者数据汇总!A:A&amp;正厂竞争者数据汇总!D:D,0))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76" s="429"/>
      <c r="R76" s="421"/>
      <c r="S76" s="472"/>
      <c r="T76" s="466"/>
      <c r="U76" s="466"/>
      <c r="V76" s="466"/>
      <c r="W76" s="466"/>
    </row>
    <row r="77" s="408" customFormat="1" spans="1:23">
      <c r="A77" s="428" t="s">
        <v>243</v>
      </c>
      <c r="B77" s="421" t="s">
        <v>401</v>
      </c>
      <c r="C77" s="429" t="str">
        <f>VLOOKUP(B77,正厂竞争者数据汇总!D:H,2,FALSE)</f>
        <v>Motor目录</v>
      </c>
      <c r="D77" s="421" t="str">
        <f>VLOOKUP(B77,正厂竞争者数据汇总!D:H,3,FALSE)</f>
        <v>FL</v>
      </c>
      <c r="E77" s="430"/>
      <c r="F77" s="430">
        <v>13046.6285</v>
      </c>
      <c r="G77" s="430"/>
      <c r="H77" s="430"/>
      <c r="I77" s="450"/>
      <c r="J77" s="451">
        <v>0.0200763727900829</v>
      </c>
      <c r="K77" s="451">
        <v>0.0231102682505077</v>
      </c>
      <c r="L77" s="451">
        <v>0.0327964995785568</v>
      </c>
      <c r="M77" s="452"/>
      <c r="N77" s="451"/>
      <c r="O77" s="430"/>
      <c r="P77" s="531" t="str">
        <f t="array" ref="P77">INDEX(正厂竞争者数据汇总!I:I,MATCH($A$71&amp;B77,正厂竞争者数据汇总!A:A&amp;正厂竞争者数据汇总!D:D,0))</f>
        <v>2023年1月新增</v>
      </c>
      <c r="Q77" s="429"/>
      <c r="R77" s="421"/>
      <c r="S77" s="472"/>
      <c r="T77" s="466"/>
      <c r="U77" s="466"/>
      <c r="V77" s="466"/>
      <c r="W77" s="466"/>
    </row>
    <row r="78" s="408" customFormat="1" spans="1:23">
      <c r="A78" s="428"/>
      <c r="B78" s="421"/>
      <c r="C78" s="429"/>
      <c r="D78" s="421"/>
      <c r="E78" s="430"/>
      <c r="F78" s="430"/>
      <c r="G78" s="430"/>
      <c r="H78" s="430"/>
      <c r="I78" s="453"/>
      <c r="J78" s="451"/>
      <c r="K78" s="451"/>
      <c r="L78" s="451"/>
      <c r="M78" s="451"/>
      <c r="N78" s="451"/>
      <c r="O78" s="430"/>
      <c r="P78" s="531"/>
      <c r="Q78" s="429"/>
      <c r="R78" s="421"/>
      <c r="S78" s="473"/>
      <c r="T78" s="466"/>
      <c r="U78" s="466"/>
      <c r="V78" s="421"/>
      <c r="W78" s="421"/>
    </row>
    <row r="79" s="408" customFormat="1" spans="1:23">
      <c r="A79" s="428"/>
      <c r="B79" s="421"/>
      <c r="C79" s="429"/>
      <c r="D79" s="421"/>
      <c r="E79" s="430"/>
      <c r="F79" s="430">
        <v>649849.882566667</v>
      </c>
      <c r="G79" s="430">
        <v>675366.255</v>
      </c>
      <c r="H79" s="430">
        <v>656929.13</v>
      </c>
      <c r="I79" s="453">
        <f>(F79/G79)-1</f>
        <v>-0.0377815329747759</v>
      </c>
      <c r="J79" s="451"/>
      <c r="K79" s="451"/>
      <c r="L79" s="451"/>
      <c r="M79" s="451"/>
      <c r="N79" s="451">
        <f>SUM(N73:N76)</f>
        <v>0</v>
      </c>
      <c r="O79" s="430"/>
      <c r="P79" s="531"/>
      <c r="Q79" s="429"/>
      <c r="R79" s="421"/>
      <c r="S79" s="473"/>
      <c r="T79" s="466"/>
      <c r="U79" s="466"/>
      <c r="V79" s="421"/>
      <c r="W79" s="421"/>
    </row>
    <row r="80" s="408" customFormat="1" spans="1:23">
      <c r="A80" s="428"/>
      <c r="B80" s="421"/>
      <c r="C80" s="429"/>
      <c r="D80" s="421"/>
      <c r="E80" s="430"/>
      <c r="F80" s="430"/>
      <c r="G80" s="430"/>
      <c r="H80" s="430"/>
      <c r="I80" s="453"/>
      <c r="J80" s="451"/>
      <c r="K80" s="451"/>
      <c r="L80" s="451"/>
      <c r="M80" s="451"/>
      <c r="N80" s="451"/>
      <c r="O80" s="430"/>
      <c r="P80" s="531"/>
      <c r="Q80" s="429"/>
      <c r="R80" s="421"/>
      <c r="S80" s="473"/>
      <c r="T80" s="466"/>
      <c r="U80" s="466"/>
      <c r="V80" s="421"/>
      <c r="W80" s="421"/>
    </row>
    <row r="81" s="408" customFormat="1" ht="17.4" spans="1:23">
      <c r="A81" s="418" t="s">
        <v>162</v>
      </c>
      <c r="B81" s="419"/>
      <c r="C81" s="420"/>
      <c r="D81" s="421"/>
      <c r="E81" s="422" t="s">
        <v>202</v>
      </c>
      <c r="F81" s="422"/>
      <c r="G81" s="422"/>
      <c r="H81" s="422"/>
      <c r="I81" s="422"/>
      <c r="J81" s="422"/>
      <c r="K81" s="422"/>
      <c r="L81" s="422"/>
      <c r="M81" s="443"/>
      <c r="N81" s="444"/>
      <c r="O81" s="422"/>
      <c r="P81" s="531"/>
      <c r="Q81" s="465"/>
      <c r="R81" s="424"/>
      <c r="S81" s="473"/>
      <c r="T81" s="467"/>
      <c r="U81" s="467"/>
      <c r="V81" s="467"/>
      <c r="W81" s="467"/>
    </row>
    <row r="82" s="409" customFormat="1" ht="48.6" spans="1:23">
      <c r="A82" s="423" t="s">
        <v>206</v>
      </c>
      <c r="B82" s="424" t="s">
        <v>207</v>
      </c>
      <c r="C82" s="425" t="s">
        <v>208</v>
      </c>
      <c r="D82" s="424" t="s">
        <v>209</v>
      </c>
      <c r="E82" s="426" t="s">
        <v>210</v>
      </c>
      <c r="F82" s="427" t="s">
        <v>402</v>
      </c>
      <c r="G82" s="427" t="s">
        <v>212</v>
      </c>
      <c r="H82" s="427" t="s">
        <v>397</v>
      </c>
      <c r="I82" s="427" t="s">
        <v>214</v>
      </c>
      <c r="J82" s="446" t="s">
        <v>398</v>
      </c>
      <c r="K82" s="446" t="s">
        <v>399</v>
      </c>
      <c r="L82" s="446" t="s">
        <v>403</v>
      </c>
      <c r="M82" s="447" t="s">
        <v>218</v>
      </c>
      <c r="N82" s="448" t="s">
        <v>219</v>
      </c>
      <c r="O82" s="449" t="s">
        <v>220</v>
      </c>
      <c r="P82" s="530" t="s">
        <v>221</v>
      </c>
      <c r="Q82" s="469" t="s">
        <v>222</v>
      </c>
      <c r="R82" s="426" t="s">
        <v>223</v>
      </c>
      <c r="S82" s="470" t="s">
        <v>224</v>
      </c>
      <c r="T82" s="467" t="s">
        <v>225</v>
      </c>
      <c r="U82" s="470" t="s">
        <v>226</v>
      </c>
      <c r="V82" s="467"/>
      <c r="W82" s="467"/>
    </row>
    <row r="83" s="410" customFormat="1" ht="17.4" spans="1:23">
      <c r="A83" s="432" t="s">
        <v>227</v>
      </c>
      <c r="B83" s="432" t="s">
        <v>163</v>
      </c>
      <c r="C83" s="434" t="str">
        <f>VLOOKUP(B83,正厂竞争者数据汇总!D:H,2,FALSE)</f>
        <v>原厂目录</v>
      </c>
      <c r="D83" s="435" t="str">
        <f>VLOOKUP(B83,正厂竞争者数据汇总!D:H,3,FALSE)</f>
        <v>CA</v>
      </c>
      <c r="E83" s="436">
        <f>VLOOKUP(B83,正厂竞争者数据汇总!D:H,4,FALSE)</f>
        <v>0</v>
      </c>
      <c r="F83" s="436">
        <v>246453.734033333</v>
      </c>
      <c r="G83" s="436">
        <v>213503.583333333</v>
      </c>
      <c r="H83" s="436">
        <v>235149.083333333</v>
      </c>
      <c r="I83" s="454">
        <f>(F83/G83)-1</f>
        <v>0.154330668298699</v>
      </c>
      <c r="J83" s="457">
        <v>0.464874967102259</v>
      </c>
      <c r="K83" s="457">
        <v>0.42639031764785</v>
      </c>
      <c r="L83" s="457">
        <v>0.436433783334042</v>
      </c>
      <c r="M83" s="456">
        <f>J83-K83</f>
        <v>0.0384846494544094</v>
      </c>
      <c r="N83" s="457" t="str">
        <f>IFERROR(O83*0.5/$F$83,"")</f>
        <v/>
      </c>
      <c r="O83" s="436" t="s">
        <v>180</v>
      </c>
      <c r="P83" s="531">
        <f t="array" ref="P83">INDEX(正厂竞争者数据汇总!I:I,MATCH($A$81&amp;B83,正厂竞争者数据汇总!A:A&amp;正厂竞争者数据汇总!D:D,0))</f>
        <v>0</v>
      </c>
      <c r="Q83" s="434" t="s">
        <v>284</v>
      </c>
      <c r="R83" s="435" t="s">
        <v>229</v>
      </c>
      <c r="S83" s="476"/>
      <c r="T83" s="477"/>
      <c r="U83" s="477"/>
      <c r="V83" s="435"/>
      <c r="W83" s="435"/>
    </row>
    <row r="84" s="408" customFormat="1" spans="1:23">
      <c r="A84" s="428" t="s">
        <v>230</v>
      </c>
      <c r="B84" s="255" t="s">
        <v>285</v>
      </c>
      <c r="C84" s="429" t="str">
        <f>VLOOKUP(B84,正厂竞争者数据汇总!D:H,2,FALSE)</f>
        <v>Motor目录</v>
      </c>
      <c r="D84" s="421" t="str">
        <f>VLOOKUP(B84,正厂竞争者数据汇总!D:H,3,FALSE)</f>
        <v>AZ</v>
      </c>
      <c r="E84" s="430"/>
      <c r="F84" s="430">
        <v>62059.9654666667</v>
      </c>
      <c r="G84" s="430"/>
      <c r="H84" s="430"/>
      <c r="I84" s="450"/>
      <c r="J84" s="451">
        <v>0.117061015601338</v>
      </c>
      <c r="K84" s="451">
        <v>0.126482096346981</v>
      </c>
      <c r="L84" s="451">
        <v>0.132207762871105</v>
      </c>
      <c r="M84" s="452"/>
      <c r="N84" s="451"/>
      <c r="O84" s="430"/>
      <c r="P84" s="531">
        <f t="array" ref="P84">INDEX(正厂竞争者数据汇总!I:I,MATCH($A$81&amp;B84,正厂竞争者数据汇总!A:A&amp;正厂竞争者数据汇总!D:D,0))</f>
        <v>0</v>
      </c>
      <c r="Q84" s="429"/>
      <c r="R84" s="421"/>
      <c r="S84" s="472"/>
      <c r="T84" s="466"/>
      <c r="U84" s="466"/>
      <c r="V84" s="466"/>
      <c r="W84" s="466"/>
    </row>
    <row r="85" s="408" customFormat="1" spans="1:23">
      <c r="A85" s="428" t="s">
        <v>230</v>
      </c>
      <c r="B85" s="421" t="s">
        <v>255</v>
      </c>
      <c r="C85" s="429" t="str">
        <f>VLOOKUP(B85,正厂竞争者数据汇总!D:H,2,FALSE)</f>
        <v>Motor目录</v>
      </c>
      <c r="D85" s="421" t="str">
        <f>VLOOKUP(B85,正厂竞争者数据汇总!D:H,3,FALSE)</f>
        <v>RI</v>
      </c>
      <c r="E85" s="430"/>
      <c r="F85" s="430">
        <v>54860.085</v>
      </c>
      <c r="G85" s="430"/>
      <c r="H85" s="430"/>
      <c r="I85" s="450"/>
      <c r="J85" s="451">
        <v>0.103480193999223</v>
      </c>
      <c r="K85" s="451">
        <v>0.101951308866639</v>
      </c>
      <c r="L85" s="451">
        <v>0.0941188564664862</v>
      </c>
      <c r="M85" s="452"/>
      <c r="N85" s="451"/>
      <c r="O85" s="430"/>
      <c r="P85" s="531" t="str">
        <f t="array" ref="P85">INDEX(正厂竞争者数据汇总!I:I,MATCH($A$81&amp;B85,正厂竞争者数据汇总!A:A&amp;正厂竞争者数据汇总!D:D,0))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85" s="429"/>
      <c r="R85" s="421"/>
      <c r="S85" s="472"/>
      <c r="T85" s="466"/>
      <c r="U85" s="466"/>
      <c r="V85" s="466"/>
      <c r="W85" s="466"/>
    </row>
    <row r="86" s="408" customFormat="1" spans="1:23">
      <c r="A86" s="428" t="s">
        <v>230</v>
      </c>
      <c r="B86" s="421" t="s">
        <v>292</v>
      </c>
      <c r="C86" s="429" t="str">
        <f>VLOOKUP(B86,正厂竞争者数据汇总!D:H,2,FALSE)</f>
        <v>Motor目录</v>
      </c>
      <c r="D86" s="421" t="str">
        <f>VLOOKUP(B86,正厂竞争者数据汇总!D:H,3,FALSE)</f>
        <v>MA</v>
      </c>
      <c r="E86" s="430"/>
      <c r="F86" s="430">
        <v>33673.0033333333</v>
      </c>
      <c r="G86" s="430"/>
      <c r="H86" s="430"/>
      <c r="I86" s="450"/>
      <c r="J86" s="451">
        <v>0.0635159226871377</v>
      </c>
      <c r="K86" s="451">
        <v>0.060628280821327</v>
      </c>
      <c r="L86" s="451">
        <v>0.0636871839833638</v>
      </c>
      <c r="M86" s="452"/>
      <c r="N86" s="451"/>
      <c r="O86" s="430"/>
      <c r="P86" s="531" t="str">
        <f t="array" ref="P86">INDEX(正厂竞争者数据汇总!I:I,MATCH($A$81&amp;B86,正厂竞争者数据汇总!A:A&amp;正厂竞争者数据汇总!D:D,0))</f>
        <v>同时经营多品牌，流量折算比例为Ford:23%,GM:23%,Infiniti:0%,Kia:13%,Mopar:31%,Nissan:10%</v>
      </c>
      <c r="Q86" s="429"/>
      <c r="R86" s="421"/>
      <c r="S86" s="472"/>
      <c r="T86" s="466"/>
      <c r="U86" s="466"/>
      <c r="V86" s="466"/>
      <c r="W86" s="466"/>
    </row>
    <row r="87" s="408" customFormat="1" spans="1:23">
      <c r="A87" s="428" t="s">
        <v>230</v>
      </c>
      <c r="B87" s="421" t="s">
        <v>286</v>
      </c>
      <c r="C87" s="429" t="str">
        <f>VLOOKUP(B87,正厂竞争者数据汇总!D:H,2,FALSE)</f>
        <v>Motor目录</v>
      </c>
      <c r="D87" s="421" t="str">
        <f>VLOOKUP(B87,正厂竞争者数据汇总!D:H,3,FALSE)</f>
        <v>-</v>
      </c>
      <c r="E87" s="430"/>
      <c r="F87" s="430">
        <v>30375.79455</v>
      </c>
      <c r="G87" s="430"/>
      <c r="H87" s="430"/>
      <c r="I87" s="450"/>
      <c r="J87" s="451">
        <v>0.0572965410628607</v>
      </c>
      <c r="K87" s="451">
        <v>0.0505059222991268</v>
      </c>
      <c r="L87" s="451">
        <v>0.0474825781444962</v>
      </c>
      <c r="M87" s="452"/>
      <c r="N87" s="451"/>
      <c r="O87" s="430"/>
      <c r="P87" s="531" t="str">
        <f t="array" ref="P87">INDEX(正厂竞争者数据汇总!I:I,MATCH($A$81&amp;B87,正厂竞争者数据汇总!A:A&amp;正厂竞争者数据汇总!D:D,0))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87" s="429"/>
      <c r="R87" s="421"/>
      <c r="S87" s="472"/>
      <c r="T87" s="466"/>
      <c r="U87" s="466"/>
      <c r="V87" s="466"/>
      <c r="W87" s="466"/>
    </row>
    <row r="88" s="408" customFormat="1" ht="17.4" spans="1:23">
      <c r="A88" s="428" t="s">
        <v>243</v>
      </c>
      <c r="B88" s="421" t="s">
        <v>290</v>
      </c>
      <c r="C88" s="429" t="s">
        <v>247</v>
      </c>
      <c r="D88" s="421" t="s">
        <v>291</v>
      </c>
      <c r="E88" s="430"/>
      <c r="F88" s="430">
        <v>30123.75</v>
      </c>
      <c r="G88" s="430"/>
      <c r="H88" s="430"/>
      <c r="I88" s="450"/>
      <c r="J88" s="451">
        <v>0.0568211203825893</v>
      </c>
      <c r="K88" s="451">
        <v>0.0667427982943836</v>
      </c>
      <c r="L88" s="451">
        <v>0.0689583447179702</v>
      </c>
      <c r="M88" s="452"/>
      <c r="N88" s="451"/>
      <c r="O88" s="430"/>
      <c r="P88" s="531" t="str">
        <f t="array" ref="P88">INDEX(正厂竞争者数据汇总!I:I,MATCH($A$81&amp;B88,正厂竞争者数据汇总!A:A&amp;正厂竞争者数据汇总!D:D,0))</f>
        <v>2023年2月新增正厂</v>
      </c>
      <c r="Q88" s="429"/>
      <c r="R88" s="421"/>
      <c r="S88" s="472"/>
      <c r="T88" s="466"/>
      <c r="U88" s="466"/>
      <c r="V88" s="466"/>
      <c r="W88" s="466"/>
    </row>
    <row r="89" s="408" customFormat="1" spans="1:23">
      <c r="A89" s="428" t="s">
        <v>230</v>
      </c>
      <c r="B89" s="421" t="s">
        <v>287</v>
      </c>
      <c r="C89" s="429" t="str">
        <f>VLOOKUP(B89,正厂竞争者数据汇总!D:H,2,FALSE)</f>
        <v>Motor目录</v>
      </c>
      <c r="D89" s="421" t="str">
        <f>VLOOKUP(B89,正厂竞争者数据汇总!D:H,3,FALSE)</f>
        <v>CA</v>
      </c>
      <c r="E89" s="430"/>
      <c r="F89" s="430">
        <v>29986.2570666667</v>
      </c>
      <c r="G89" s="430"/>
      <c r="H89" s="430"/>
      <c r="I89" s="450"/>
      <c r="J89" s="451">
        <v>0.0565617734381787</v>
      </c>
      <c r="K89" s="451">
        <v>0.0667133593144789</v>
      </c>
      <c r="L89" s="451">
        <v>0.0642052185158447</v>
      </c>
      <c r="M89" s="452"/>
      <c r="N89" s="451"/>
      <c r="O89" s="430"/>
      <c r="P89" s="531">
        <f t="array" ref="P89">INDEX(正厂竞争者数据汇总!I:I,MATCH($A$81&amp;B89,正厂竞争者数据汇总!A:A&amp;正厂竞争者数据汇总!D:D,0))</f>
        <v>0</v>
      </c>
      <c r="Q89" s="429"/>
      <c r="R89" s="421"/>
      <c r="S89" s="472"/>
      <c r="T89" s="466"/>
      <c r="U89" s="466"/>
      <c r="V89" s="466"/>
      <c r="W89" s="466"/>
    </row>
    <row r="90" s="408" customFormat="1" spans="1:23">
      <c r="A90" s="428" t="s">
        <v>230</v>
      </c>
      <c r="B90" s="421" t="s">
        <v>289</v>
      </c>
      <c r="C90" s="429" t="str">
        <f>VLOOKUP(B90,正厂竞争者数据汇总!D:H,2,FALSE)</f>
        <v>Motor目录</v>
      </c>
      <c r="D90" s="421" t="str">
        <f>VLOOKUP(B90,正厂竞争者数据汇总!D:H,3,FALSE)</f>
        <v>WA</v>
      </c>
      <c r="E90" s="430"/>
      <c r="F90" s="430">
        <v>21733.65</v>
      </c>
      <c r="G90" s="430"/>
      <c r="H90" s="430"/>
      <c r="I90" s="450"/>
      <c r="J90" s="451">
        <v>0.0409952394042263</v>
      </c>
      <c r="K90" s="451">
        <v>0.0514482559088053</v>
      </c>
      <c r="L90" s="451">
        <v>0.0453006884809384</v>
      </c>
      <c r="M90" s="452"/>
      <c r="N90" s="451"/>
      <c r="O90" s="430"/>
      <c r="P90" s="531" t="str">
        <f t="array" ref="P90">INDEX(正厂竞争者数据汇总!I:I,MATCH($A$81&amp;B90,正厂竞争者数据汇总!A:A&amp;正厂竞争者数据汇总!D:D,0))</f>
        <v>2021年11月重开
2021年10月临时关站
2020年10月从PartSites变成Revolution，加入MarketingShare</v>
      </c>
      <c r="Q90" s="429"/>
      <c r="R90" s="421"/>
      <c r="S90" s="472"/>
      <c r="T90" s="466"/>
      <c r="U90" s="466"/>
      <c r="V90" s="466"/>
      <c r="W90" s="466"/>
    </row>
    <row r="91" s="408" customFormat="1" spans="1:23">
      <c r="A91" s="428" t="s">
        <v>230</v>
      </c>
      <c r="B91" s="421" t="s">
        <v>288</v>
      </c>
      <c r="C91" s="429" t="str">
        <f>VLOOKUP(B91,正厂竞争者数据汇总!D:H,2,FALSE)</f>
        <v>原厂目录</v>
      </c>
      <c r="D91" s="421" t="str">
        <f>VLOOKUP(B91,正厂竞争者数据汇总!D:H,3,FALSE)</f>
        <v>CT</v>
      </c>
      <c r="E91" s="430"/>
      <c r="F91" s="430">
        <v>20884.3418333333</v>
      </c>
      <c r="G91" s="430"/>
      <c r="H91" s="430"/>
      <c r="I91" s="450"/>
      <c r="J91" s="451">
        <v>0.039393226322187</v>
      </c>
      <c r="K91" s="451">
        <v>0.0491376605004087</v>
      </c>
      <c r="L91" s="451">
        <v>0.0476055834857535</v>
      </c>
      <c r="M91" s="452"/>
      <c r="N91" s="451"/>
      <c r="O91" s="430"/>
      <c r="P91" s="531" t="str">
        <f t="array" ref="P91">INDEX(正厂竞争者数据汇总!I:I,MATCH($A$81&amp;B91,正厂竞争者数据汇总!A:A&amp;正厂竞争者数据汇总!D:D,0))</f>
        <v>2022年1月 新加入 CompetitorSites
2022年1月 新加入 MarketingShare</v>
      </c>
      <c r="Q91" s="429"/>
      <c r="R91" s="421"/>
      <c r="S91" s="472"/>
      <c r="T91" s="466"/>
      <c r="U91" s="466"/>
      <c r="V91" s="466"/>
      <c r="W91" s="466"/>
    </row>
    <row r="92" s="408" customFormat="1" spans="1:23">
      <c r="A92" s="428"/>
      <c r="B92" s="421"/>
      <c r="C92" s="439"/>
      <c r="D92" s="421"/>
      <c r="E92" s="421"/>
      <c r="F92" s="430"/>
      <c r="G92" s="430"/>
      <c r="H92" s="430"/>
      <c r="I92" s="453"/>
      <c r="J92" s="430"/>
      <c r="K92" s="430"/>
      <c r="L92" s="430"/>
      <c r="M92" s="451"/>
      <c r="N92" s="451"/>
      <c r="O92" s="430"/>
      <c r="P92" s="531"/>
      <c r="Q92" s="429"/>
      <c r="R92" s="421"/>
      <c r="S92" s="473"/>
      <c r="T92" s="466"/>
      <c r="U92" s="466"/>
      <c r="V92" s="421"/>
      <c r="W92" s="421"/>
    </row>
    <row r="93" s="408" customFormat="1" spans="1:23">
      <c r="A93" s="428"/>
      <c r="B93" s="421"/>
      <c r="C93" s="439"/>
      <c r="D93" s="421"/>
      <c r="E93" s="421"/>
      <c r="F93" s="430">
        <v>530150.581283333</v>
      </c>
      <c r="G93" s="430">
        <v>445410.310833333</v>
      </c>
      <c r="H93" s="430">
        <v>428652.916666666</v>
      </c>
      <c r="I93" s="453">
        <f>(F93/G93)-1</f>
        <v>0.190252152653263</v>
      </c>
      <c r="J93" s="430"/>
      <c r="K93" s="430"/>
      <c r="L93" s="430"/>
      <c r="M93" s="451"/>
      <c r="N93" s="451">
        <f>SUM(N83:N84)</f>
        <v>0</v>
      </c>
      <c r="O93" s="430"/>
      <c r="P93" s="531"/>
      <c r="Q93" s="429"/>
      <c r="R93" s="421"/>
      <c r="S93" s="473"/>
      <c r="T93" s="466"/>
      <c r="U93" s="466"/>
      <c r="V93" s="421"/>
      <c r="W93" s="421"/>
    </row>
    <row r="94" s="408" customFormat="1" spans="1:23">
      <c r="A94" s="428"/>
      <c r="B94" s="421"/>
      <c r="C94" s="485"/>
      <c r="D94" s="421"/>
      <c r="E94" s="430"/>
      <c r="F94" s="451"/>
      <c r="G94" s="451"/>
      <c r="H94" s="451"/>
      <c r="I94" s="453"/>
      <c r="J94" s="451"/>
      <c r="K94" s="451"/>
      <c r="L94" s="451"/>
      <c r="M94" s="451"/>
      <c r="N94" s="451"/>
      <c r="O94" s="451"/>
      <c r="P94" s="531"/>
      <c r="Q94" s="429"/>
      <c r="R94" s="421"/>
      <c r="S94" s="473"/>
      <c r="T94" s="466"/>
      <c r="U94" s="466"/>
      <c r="V94" s="421"/>
      <c r="W94" s="421"/>
    </row>
    <row r="95" s="408" customFormat="1" ht="17.4" spans="1:23">
      <c r="A95" s="418" t="s">
        <v>165</v>
      </c>
      <c r="B95" s="419"/>
      <c r="C95" s="420"/>
      <c r="D95" s="421"/>
      <c r="E95" s="422" t="s">
        <v>202</v>
      </c>
      <c r="F95" s="422"/>
      <c r="G95" s="422"/>
      <c r="H95" s="422"/>
      <c r="I95" s="422"/>
      <c r="J95" s="422"/>
      <c r="K95" s="422"/>
      <c r="L95" s="422"/>
      <c r="M95" s="443"/>
      <c r="N95" s="444"/>
      <c r="O95" s="422"/>
      <c r="P95" s="531"/>
      <c r="Q95" s="465"/>
      <c r="R95" s="424"/>
      <c r="S95" s="473"/>
      <c r="T95" s="467"/>
      <c r="U95" s="467"/>
      <c r="V95" s="467"/>
      <c r="W95" s="467"/>
    </row>
    <row r="96" s="409" customFormat="1" ht="48.6" spans="1:23">
      <c r="A96" s="423" t="s">
        <v>206</v>
      </c>
      <c r="B96" s="424" t="s">
        <v>207</v>
      </c>
      <c r="C96" s="425" t="s">
        <v>208</v>
      </c>
      <c r="D96" s="424" t="s">
        <v>209</v>
      </c>
      <c r="E96" s="426" t="s">
        <v>210</v>
      </c>
      <c r="F96" s="427" t="s">
        <v>402</v>
      </c>
      <c r="G96" s="427" t="s">
        <v>212</v>
      </c>
      <c r="H96" s="427" t="s">
        <v>397</v>
      </c>
      <c r="I96" s="427" t="s">
        <v>214</v>
      </c>
      <c r="J96" s="446" t="s">
        <v>398</v>
      </c>
      <c r="K96" s="446" t="s">
        <v>399</v>
      </c>
      <c r="L96" s="446" t="s">
        <v>403</v>
      </c>
      <c r="M96" s="447" t="s">
        <v>218</v>
      </c>
      <c r="N96" s="448" t="s">
        <v>219</v>
      </c>
      <c r="O96" s="449" t="s">
        <v>220</v>
      </c>
      <c r="P96" s="530" t="s">
        <v>221</v>
      </c>
      <c r="Q96" s="469" t="s">
        <v>222</v>
      </c>
      <c r="R96" s="426" t="s">
        <v>223</v>
      </c>
      <c r="S96" s="470" t="s">
        <v>224</v>
      </c>
      <c r="T96" s="467" t="s">
        <v>225</v>
      </c>
      <c r="U96" s="470" t="s">
        <v>226</v>
      </c>
      <c r="V96" s="467"/>
      <c r="W96" s="467"/>
    </row>
    <row r="97" s="408" customFormat="1" spans="1:23">
      <c r="A97" s="428" t="s">
        <v>230</v>
      </c>
      <c r="B97" s="421" t="s">
        <v>293</v>
      </c>
      <c r="C97" s="429" t="str">
        <f>VLOOKUP(B97,正厂竞争者数据汇总!D:H,2,FALSE)</f>
        <v>Motor目录</v>
      </c>
      <c r="D97" s="421" t="str">
        <f>VLOOKUP(B97,正厂竞争者数据汇总!D:H,3,FALSE)</f>
        <v>WA</v>
      </c>
      <c r="E97" s="430"/>
      <c r="F97" s="430">
        <v>190291.166666667</v>
      </c>
      <c r="G97" s="430"/>
      <c r="H97" s="430"/>
      <c r="I97" s="450"/>
      <c r="J97" s="451">
        <v>0.383601508169092</v>
      </c>
      <c r="K97" s="451">
        <v>0.388667328274167</v>
      </c>
      <c r="L97" s="451">
        <v>0.369973108810663</v>
      </c>
      <c r="M97" s="452"/>
      <c r="N97" s="451"/>
      <c r="O97" s="430"/>
      <c r="P97" s="531">
        <f t="array" ref="P97">INDEX(正厂竞争者数据汇总!I:I,MATCH($A$95&amp;B97,正厂竞争者数据汇总!A:A&amp;正厂竞争者数据汇总!D:D,0))</f>
        <v>0</v>
      </c>
      <c r="Q97" s="429"/>
      <c r="R97" s="421"/>
      <c r="S97" s="472"/>
      <c r="T97" s="466"/>
      <c r="U97" s="466"/>
      <c r="V97" s="466"/>
      <c r="W97" s="466"/>
    </row>
    <row r="98" s="410" customFormat="1" spans="1:23">
      <c r="A98" s="432" t="s">
        <v>227</v>
      </c>
      <c r="B98" s="432" t="s">
        <v>166</v>
      </c>
      <c r="C98" s="434" t="str">
        <f>VLOOKUP(B98,正厂竞争者数据汇总!D:H,2,FALSE)</f>
        <v>原厂目录</v>
      </c>
      <c r="D98" s="435" t="str">
        <f>VLOOKUP(B98,正厂竞争者数据汇总!D:H,3,FALSE)</f>
        <v>AZ</v>
      </c>
      <c r="E98" s="462"/>
      <c r="F98" s="436">
        <v>151012</v>
      </c>
      <c r="G98" s="462"/>
      <c r="H98" s="462"/>
      <c r="I98" s="510"/>
      <c r="J98" s="461">
        <v>0.304419968442909</v>
      </c>
      <c r="K98" s="457">
        <v>0.312394554537185</v>
      </c>
      <c r="L98" s="457">
        <v>0.335992034619113</v>
      </c>
      <c r="M98" s="461"/>
      <c r="N98" s="461"/>
      <c r="O98" s="462"/>
      <c r="P98" s="531">
        <f t="array" ref="P98">INDEX(正厂竞争者数据汇总!I:I,MATCH($A$95&amp;B98,正厂竞争者数据汇总!A:A&amp;正厂竞争者数据汇总!D:D,0))</f>
        <v>0</v>
      </c>
      <c r="Q98" s="434"/>
      <c r="R98" s="435"/>
      <c r="S98" s="476"/>
      <c r="T98" s="477"/>
      <c r="U98" s="477"/>
      <c r="V98" s="435"/>
      <c r="W98" s="435"/>
    </row>
    <row r="99" s="408" customFormat="1" spans="1:23">
      <c r="A99" s="428" t="s">
        <v>243</v>
      </c>
      <c r="B99" s="421" t="s">
        <v>298</v>
      </c>
      <c r="C99" s="429" t="str">
        <f>VLOOKUP(B99,正厂竞争者数据汇总!D:H,2,FALSE)</f>
        <v>原厂目录</v>
      </c>
      <c r="D99" s="421" t="str">
        <f>VLOOKUP(B99,正厂竞争者数据汇总!D:H,3,FALSE)</f>
        <v>IL</v>
      </c>
      <c r="E99" s="430"/>
      <c r="F99" s="430">
        <v>57037.6666666667</v>
      </c>
      <c r="G99" s="430"/>
      <c r="H99" s="430"/>
      <c r="I99" s="450"/>
      <c r="J99" s="451">
        <v>0.11498029750433</v>
      </c>
      <c r="K99" s="451">
        <v>0.109713549295874</v>
      </c>
      <c r="L99" s="451">
        <v>0.0889419377942908</v>
      </c>
      <c r="M99" s="452"/>
      <c r="N99" s="451"/>
      <c r="O99" s="430"/>
      <c r="P99" s="531">
        <f t="array" ref="P99">INDEX(正厂竞争者数据汇总!I:I,MATCH($A$95&amp;B99,正厂竞争者数据汇总!A:A&amp;正厂竞争者数据汇总!D:D,0))</f>
        <v>0</v>
      </c>
      <c r="Q99" s="429"/>
      <c r="R99" s="421"/>
      <c r="S99" s="472"/>
      <c r="T99" s="466"/>
      <c r="U99" s="466"/>
      <c r="V99" s="466"/>
      <c r="W99" s="466"/>
    </row>
    <row r="100" s="408" customFormat="1" spans="1:23">
      <c r="A100" s="428" t="s">
        <v>230</v>
      </c>
      <c r="B100" s="421" t="s">
        <v>294</v>
      </c>
      <c r="C100" s="429" t="str">
        <f>VLOOKUP(B100,正厂竞争者数据汇总!D:H,2,FALSE)</f>
        <v>Motor目录</v>
      </c>
      <c r="D100" s="421" t="str">
        <f>VLOOKUP(B100,正厂竞争者数据汇总!D:H,3,FALSE)</f>
        <v>MA</v>
      </c>
      <c r="E100" s="430"/>
      <c r="F100" s="430">
        <v>31697.91285</v>
      </c>
      <c r="G100" s="430"/>
      <c r="H100" s="430"/>
      <c r="I100" s="450"/>
      <c r="J100" s="451">
        <v>0.0638987473148033</v>
      </c>
      <c r="K100" s="451">
        <v>0.0632776126500794</v>
      </c>
      <c r="L100" s="451">
        <v>0.0669217143847319</v>
      </c>
      <c r="M100" s="452"/>
      <c r="N100" s="451"/>
      <c r="O100" s="430"/>
      <c r="P100" s="531" t="str">
        <f t="array" ref="P100">INDEX(正厂竞争者数据汇总!I:I,MATCH($A$95&amp;B100,正厂竞争者数据汇总!A:A&amp;正厂竞争者数据汇总!D:D,0))</f>
        <v>2022年1月 新加入 CompetitorSites</v>
      </c>
      <c r="Q100" s="429"/>
      <c r="R100" s="421"/>
      <c r="S100" s="472"/>
      <c r="T100" s="466"/>
      <c r="U100" s="466"/>
      <c r="V100" s="466"/>
      <c r="W100" s="466"/>
    </row>
    <row r="101" s="408" customFormat="1" spans="1:23">
      <c r="A101" s="428" t="s">
        <v>230</v>
      </c>
      <c r="B101" s="421" t="s">
        <v>295</v>
      </c>
      <c r="C101" s="429" t="str">
        <f>VLOOKUP(B101,正厂竞争者数据汇总!D:H,2,FALSE)</f>
        <v>Motor目录</v>
      </c>
      <c r="D101" s="421" t="str">
        <f>VLOOKUP(B101,正厂竞争者数据汇总!D:H,3,FALSE)</f>
        <v>NY</v>
      </c>
      <c r="E101" s="430"/>
      <c r="F101" s="430">
        <v>30091.7431666667</v>
      </c>
      <c r="G101" s="430"/>
      <c r="H101" s="430"/>
      <c r="I101" s="450"/>
      <c r="J101" s="451">
        <v>0.0606609243317669</v>
      </c>
      <c r="K101" s="451">
        <v>0.0550042804552956</v>
      </c>
      <c r="L101" s="451">
        <v>0.0428780624074086</v>
      </c>
      <c r="M101" s="452"/>
      <c r="N101" s="451"/>
      <c r="O101" s="430"/>
      <c r="P101" s="531" t="str">
        <f t="array" ref="P101">INDEX(正厂竞争者数据汇总!I:I,MATCH($A$95&amp;B101,正厂竞争者数据汇总!A:A&amp;正厂竞争者数据汇总!D:D,0))</f>
        <v>2023年4月，流量更新为子站parts.subaruonlineparts.com，子站主营parts，此前监控域名为subaruonlineparts.com,该子域名的实际成单效率较高，流量不能完全反应其竞争力</v>
      </c>
      <c r="Q101" s="429"/>
      <c r="R101" s="421"/>
      <c r="S101" s="472"/>
      <c r="T101" s="466"/>
      <c r="U101" s="466"/>
      <c r="V101" s="466"/>
      <c r="W101" s="466"/>
    </row>
    <row r="102" s="408" customFormat="1" spans="1:23">
      <c r="A102" s="428" t="s">
        <v>230</v>
      </c>
      <c r="B102" s="421" t="s">
        <v>296</v>
      </c>
      <c r="C102" s="429" t="str">
        <f>VLOOKUP(B102,正厂竞争者数据汇总!D:H,2,FALSE)</f>
        <v>Motor目录</v>
      </c>
      <c r="D102" s="421" t="str">
        <f>VLOOKUP(B102,正厂竞争者数据汇总!D:H,3,FALSE)</f>
        <v>NY</v>
      </c>
      <c r="E102" s="430"/>
      <c r="F102" s="430">
        <v>19898.7121</v>
      </c>
      <c r="G102" s="430"/>
      <c r="H102" s="430"/>
      <c r="I102" s="450"/>
      <c r="J102" s="451">
        <v>0.0401131387541157</v>
      </c>
      <c r="K102" s="451">
        <v>0.0339264823951975</v>
      </c>
      <c r="L102" s="451">
        <v>0.0320920918081233</v>
      </c>
      <c r="M102" s="452"/>
      <c r="N102" s="451"/>
      <c r="O102" s="430"/>
      <c r="P102" s="531" t="str">
        <f t="array" ref="P102">INDEX(正厂竞争者数据汇总!I:I,MATCH($A$95&amp;B102,正厂竞争者数据汇总!A:A&amp;正厂竞争者数据汇总!D:D,0))</f>
        <v>2023年2月新增正厂，Semrush子域名查不到流量。202306因流量上涨加入MS计算基准</v>
      </c>
      <c r="Q102" s="429"/>
      <c r="R102" s="421"/>
      <c r="S102" s="472"/>
      <c r="T102" s="466"/>
      <c r="U102" s="466"/>
      <c r="V102" s="466"/>
      <c r="W102" s="466"/>
    </row>
    <row r="103" s="408" customFormat="1" spans="1:23">
      <c r="A103" s="428" t="s">
        <v>230</v>
      </c>
      <c r="B103" s="421" t="s">
        <v>406</v>
      </c>
      <c r="C103" s="429" t="str">
        <f>VLOOKUP(B103,正厂竞争者数据汇总!D:H,2,FALSE)</f>
        <v>Motor目录</v>
      </c>
      <c r="D103" s="421" t="s">
        <v>60</v>
      </c>
      <c r="E103" s="430"/>
      <c r="F103" s="430">
        <v>16035.4975</v>
      </c>
      <c r="G103" s="430"/>
      <c r="H103" s="430"/>
      <c r="I103" s="450"/>
      <c r="J103" s="451">
        <v>0.0323254154829837</v>
      </c>
      <c r="K103" s="451">
        <v>0.0370161923922014</v>
      </c>
      <c r="L103" s="451">
        <v>0.0359306931434548</v>
      </c>
      <c r="M103" s="452"/>
      <c r="N103" s="451"/>
      <c r="O103" s="430"/>
      <c r="P103" s="531"/>
      <c r="Q103" s="429"/>
      <c r="R103" s="421"/>
      <c r="S103" s="472"/>
      <c r="T103" s="466"/>
      <c r="U103" s="466"/>
      <c r="V103" s="466"/>
      <c r="W103" s="466"/>
    </row>
    <row r="104" s="408" customFormat="1" spans="1:23">
      <c r="A104" s="428"/>
      <c r="B104" s="421"/>
      <c r="C104" s="429"/>
      <c r="D104" s="421"/>
      <c r="E104" s="430"/>
      <c r="F104" s="481"/>
      <c r="G104" s="481"/>
      <c r="H104" s="481"/>
      <c r="I104" s="453"/>
      <c r="J104" s="451"/>
      <c r="K104" s="451"/>
      <c r="L104" s="451"/>
      <c r="M104" s="451"/>
      <c r="N104" s="451"/>
      <c r="O104" s="430"/>
      <c r="P104" s="531"/>
      <c r="Q104" s="429"/>
      <c r="R104" s="421"/>
      <c r="S104" s="473"/>
      <c r="T104" s="466"/>
      <c r="U104" s="466"/>
      <c r="V104" s="421"/>
      <c r="W104" s="421"/>
    </row>
    <row r="105" s="408" customFormat="1" spans="1:23">
      <c r="A105" s="428"/>
      <c r="B105" s="421"/>
      <c r="C105" s="439"/>
      <c r="D105" s="421"/>
      <c r="E105" s="421"/>
      <c r="F105" s="481">
        <v>496064.69895</v>
      </c>
      <c r="G105" s="481">
        <v>427571.166666666</v>
      </c>
      <c r="H105" s="481">
        <v>496054.5</v>
      </c>
      <c r="I105" s="453">
        <f>(F105/G105)-1</f>
        <v>0.16019212150648</v>
      </c>
      <c r="J105" s="430"/>
      <c r="K105" s="430"/>
      <c r="L105" s="430"/>
      <c r="M105" s="451"/>
      <c r="N105" s="451">
        <f>SUM(N97:N99)</f>
        <v>0</v>
      </c>
      <c r="O105" s="430"/>
      <c r="P105" s="531"/>
      <c r="Q105" s="429"/>
      <c r="R105" s="421"/>
      <c r="S105" s="473"/>
      <c r="T105" s="466"/>
      <c r="U105" s="466"/>
      <c r="V105" s="421"/>
      <c r="W105" s="421"/>
    </row>
    <row r="106" s="408" customFormat="1" spans="1:23">
      <c r="A106" s="428"/>
      <c r="B106" s="421"/>
      <c r="C106" s="429"/>
      <c r="D106" s="421"/>
      <c r="E106" s="430"/>
      <c r="F106" s="451"/>
      <c r="G106" s="451"/>
      <c r="H106" s="451"/>
      <c r="I106" s="453"/>
      <c r="J106" s="451"/>
      <c r="K106" s="451"/>
      <c r="L106" s="451"/>
      <c r="M106" s="451"/>
      <c r="N106" s="451"/>
      <c r="O106" s="451"/>
      <c r="P106" s="531"/>
      <c r="Q106" s="429"/>
      <c r="R106" s="421"/>
      <c r="S106" s="473"/>
      <c r="T106" s="466"/>
      <c r="U106" s="466"/>
      <c r="V106" s="421"/>
      <c r="W106" s="421"/>
    </row>
    <row r="107" s="408" customFormat="1" ht="17.4" spans="1:23">
      <c r="A107" s="418" t="s">
        <v>171</v>
      </c>
      <c r="B107" s="419"/>
      <c r="C107" s="420"/>
      <c r="D107" s="421"/>
      <c r="E107" s="422" t="s">
        <v>202</v>
      </c>
      <c r="F107" s="422"/>
      <c r="G107" s="422"/>
      <c r="H107" s="422"/>
      <c r="I107" s="422"/>
      <c r="J107" s="422"/>
      <c r="K107" s="422"/>
      <c r="L107" s="422"/>
      <c r="M107" s="443"/>
      <c r="N107" s="422"/>
      <c r="O107" s="422"/>
      <c r="P107" s="531"/>
      <c r="Q107" s="465"/>
      <c r="R107" s="424"/>
      <c r="S107" s="473"/>
      <c r="T107" s="467"/>
      <c r="U107" s="467"/>
      <c r="V107" s="467"/>
      <c r="W107" s="467"/>
    </row>
    <row r="108" s="409" customFormat="1" ht="48.6" spans="1:23">
      <c r="A108" s="423" t="s">
        <v>206</v>
      </c>
      <c r="B108" s="424" t="s">
        <v>207</v>
      </c>
      <c r="C108" s="425" t="s">
        <v>208</v>
      </c>
      <c r="D108" s="424" t="s">
        <v>209</v>
      </c>
      <c r="E108" s="426" t="s">
        <v>210</v>
      </c>
      <c r="F108" s="427" t="s">
        <v>402</v>
      </c>
      <c r="G108" s="427" t="s">
        <v>212</v>
      </c>
      <c r="H108" s="427" t="s">
        <v>397</v>
      </c>
      <c r="I108" s="427" t="s">
        <v>214</v>
      </c>
      <c r="J108" s="446" t="s">
        <v>398</v>
      </c>
      <c r="K108" s="446" t="s">
        <v>399</v>
      </c>
      <c r="L108" s="446" t="s">
        <v>403</v>
      </c>
      <c r="M108" s="447" t="s">
        <v>218</v>
      </c>
      <c r="N108" s="448" t="s">
        <v>219</v>
      </c>
      <c r="O108" s="449" t="s">
        <v>220</v>
      </c>
      <c r="P108" s="530" t="s">
        <v>221</v>
      </c>
      <c r="Q108" s="469" t="s">
        <v>222</v>
      </c>
      <c r="R108" s="426" t="s">
        <v>223</v>
      </c>
      <c r="S108" s="470" t="s">
        <v>224</v>
      </c>
      <c r="T108" s="467" t="s">
        <v>225</v>
      </c>
      <c r="U108" s="470" t="s">
        <v>226</v>
      </c>
      <c r="V108" s="467"/>
      <c r="W108" s="467"/>
    </row>
    <row r="109" s="408" customFormat="1" spans="1:23">
      <c r="A109" s="428" t="s">
        <v>230</v>
      </c>
      <c r="B109" s="421" t="s">
        <v>310</v>
      </c>
      <c r="C109" s="429" t="str">
        <f>VLOOKUP(B109,正厂竞争者数据汇总!D:H,2,FALSE)</f>
        <v>Motor目录</v>
      </c>
      <c r="D109" s="421" t="str">
        <f>VLOOKUP(B109,正厂竞争者数据汇总!D:H,3,FALSE)</f>
        <v>MD</v>
      </c>
      <c r="E109" s="430"/>
      <c r="F109" s="430">
        <v>126107.376666667</v>
      </c>
      <c r="G109" s="430"/>
      <c r="H109" s="430"/>
      <c r="I109" s="450"/>
      <c r="J109" s="451">
        <v>0.256758115575983</v>
      </c>
      <c r="K109" s="451">
        <v>0.211974527313976</v>
      </c>
      <c r="L109" s="451">
        <v>0.207387046488647</v>
      </c>
      <c r="M109" s="452"/>
      <c r="N109" s="451"/>
      <c r="O109" s="430"/>
      <c r="P109" s="531">
        <f t="array" ref="P109">INDEX(正厂竞争者数据汇总!I:I,MATCH($A$107&amp;B109,正厂竞争者数据汇总!A:A&amp;正厂竞争者数据汇总!D:D,0))</f>
        <v>0</v>
      </c>
      <c r="Q109" s="429"/>
      <c r="R109" s="421"/>
      <c r="S109" s="472"/>
      <c r="T109" s="466"/>
      <c r="U109" s="466"/>
      <c r="V109" s="466"/>
      <c r="W109" s="466"/>
    </row>
    <row r="110" s="410" customFormat="1" spans="1:23">
      <c r="A110" s="432" t="s">
        <v>227</v>
      </c>
      <c r="B110" s="432" t="s">
        <v>172</v>
      </c>
      <c r="C110" s="434" t="str">
        <f>VLOOKUP(B110,正厂竞争者数据汇总!D:H,2,FALSE)</f>
        <v>原厂目录</v>
      </c>
      <c r="D110" s="477" t="str">
        <f>VLOOKUP(B110,正厂竞争者数据汇总!D:H,3,FALSE)</f>
        <v>CA</v>
      </c>
      <c r="E110" s="436">
        <f>VLOOKUP(B110,正厂竞争者数据汇总!D:H,4,FALSE)</f>
        <v>0</v>
      </c>
      <c r="F110" s="436">
        <v>102011.583333333</v>
      </c>
      <c r="G110" s="436">
        <v>132262.583333333</v>
      </c>
      <c r="H110" s="436">
        <v>137115.416666667</v>
      </c>
      <c r="I110" s="454">
        <f>(F110/G110)-1</f>
        <v>-0.228719258596061</v>
      </c>
      <c r="J110" s="457">
        <v>0.207698412225494</v>
      </c>
      <c r="K110" s="457">
        <v>0.242745797490226</v>
      </c>
      <c r="L110" s="457">
        <v>0.200357817689383</v>
      </c>
      <c r="M110" s="456">
        <f>J110-K110</f>
        <v>-0.0350473852647319</v>
      </c>
      <c r="N110" s="455"/>
      <c r="O110" s="436"/>
      <c r="P110" s="531">
        <f t="array" ref="P110">INDEX(正厂竞争者数据汇总!I:I,MATCH($A$107&amp;B110,正厂竞争者数据汇总!A:A&amp;正厂竞争者数据汇总!D:D,0))</f>
        <v>0</v>
      </c>
      <c r="Q110" s="491" t="s">
        <v>313</v>
      </c>
      <c r="R110" s="435" t="s">
        <v>180</v>
      </c>
      <c r="S110" s="476"/>
      <c r="T110" s="477"/>
      <c r="U110" s="477"/>
      <c r="V110" s="435"/>
      <c r="W110" s="435"/>
    </row>
    <row r="111" s="408" customFormat="1" spans="1:23">
      <c r="A111" s="428" t="s">
        <v>230</v>
      </c>
      <c r="B111" s="421" t="s">
        <v>311</v>
      </c>
      <c r="C111" s="429" t="str">
        <f>VLOOKUP(B111,正厂竞争者数据汇总!D:H,2,FALSE)</f>
        <v>原厂目录</v>
      </c>
      <c r="D111" s="421" t="str">
        <f>VLOOKUP(B111,正厂竞争者数据汇总!D:H,3,FALSE)</f>
        <v>GA</v>
      </c>
      <c r="E111" s="430"/>
      <c r="F111" s="430">
        <v>75257</v>
      </c>
      <c r="G111" s="430"/>
      <c r="H111" s="430"/>
      <c r="I111" s="450"/>
      <c r="J111" s="451">
        <v>0.153225338712555</v>
      </c>
      <c r="K111" s="451">
        <v>0.150402510144657</v>
      </c>
      <c r="L111" s="451">
        <v>0.177247800639651</v>
      </c>
      <c r="M111" s="452"/>
      <c r="N111" s="451"/>
      <c r="O111" s="430"/>
      <c r="P111" s="531">
        <f t="array" ref="P111">INDEX(正厂竞争者数据汇总!I:I,MATCH($A$107&amp;B111,正厂竞争者数据汇总!A:A&amp;正厂竞争者数据汇总!D:D,0))</f>
        <v>0</v>
      </c>
      <c r="Q111" s="429"/>
      <c r="R111" s="421"/>
      <c r="S111" s="472"/>
      <c r="T111" s="466"/>
      <c r="U111" s="466"/>
      <c r="V111" s="466"/>
      <c r="W111" s="466"/>
    </row>
    <row r="112" s="408" customFormat="1" spans="1:23">
      <c r="A112" s="428" t="s">
        <v>243</v>
      </c>
      <c r="B112" s="421" t="s">
        <v>314</v>
      </c>
      <c r="C112" s="429" t="str">
        <f>VLOOKUP(B112,正厂竞争者数据汇总!D:H,2,FALSE)</f>
        <v>原厂目录</v>
      </c>
      <c r="D112" s="421" t="str">
        <f>VLOOKUP(B112,正厂竞争者数据汇总!D:H,3,FALSE)</f>
        <v>WA</v>
      </c>
      <c r="E112" s="430"/>
      <c r="F112" s="430">
        <v>59824.4166666667</v>
      </c>
      <c r="G112" s="430"/>
      <c r="H112" s="430"/>
      <c r="I112" s="450"/>
      <c r="J112" s="451">
        <v>0.121804171133994</v>
      </c>
      <c r="K112" s="451">
        <v>0.115828562159617</v>
      </c>
      <c r="L112" s="451">
        <v>0.130449278640486</v>
      </c>
      <c r="M112" s="452"/>
      <c r="N112" s="451"/>
      <c r="O112" s="430"/>
      <c r="P112" s="531">
        <f t="array" ref="P112">INDEX(正厂竞争者数据汇总!I:I,MATCH($A$107&amp;B112,正厂竞争者数据汇总!A:A&amp;正厂竞争者数据汇总!D:D,0))</f>
        <v>0</v>
      </c>
      <c r="Q112" s="429"/>
      <c r="R112" s="421"/>
      <c r="S112" s="472"/>
      <c r="T112" s="466"/>
      <c r="U112" s="466"/>
      <c r="V112" s="466"/>
      <c r="W112" s="466"/>
    </row>
    <row r="113" s="408" customFormat="1" spans="1:23">
      <c r="A113" s="428" t="s">
        <v>230</v>
      </c>
      <c r="B113" s="421" t="s">
        <v>315</v>
      </c>
      <c r="C113" s="429" t="str">
        <f>VLOOKUP(B113,正厂竞争者数据汇总!D:H,2,FALSE)</f>
        <v>Motor目录</v>
      </c>
      <c r="D113" s="421" t="str">
        <f>VLOOKUP(B113,正厂竞争者数据汇总!D:H,3,FALSE)</f>
        <v>IL</v>
      </c>
      <c r="E113" s="430"/>
      <c r="F113" s="430">
        <v>42721.1666666667</v>
      </c>
      <c r="G113" s="430"/>
      <c r="H113" s="430"/>
      <c r="I113" s="450"/>
      <c r="J113" s="451">
        <v>0.0869814798981557</v>
      </c>
      <c r="K113" s="451">
        <v>0.0897415792735195</v>
      </c>
      <c r="L113" s="451">
        <v>0.0900868418509368</v>
      </c>
      <c r="M113" s="452"/>
      <c r="N113" s="451"/>
      <c r="O113" s="430"/>
      <c r="P113" s="531">
        <f t="array" ref="P113">INDEX(正厂竞争者数据汇总!I:I,MATCH($A$107&amp;B113,正厂竞争者数据汇总!A:A&amp;正厂竞争者数据汇总!D:D,0))</f>
        <v>0</v>
      </c>
      <c r="Q113" s="429"/>
      <c r="R113" s="421"/>
      <c r="S113" s="472"/>
      <c r="T113" s="466"/>
      <c r="U113" s="466"/>
      <c r="V113" s="466"/>
      <c r="W113" s="466"/>
    </row>
    <row r="114" s="408" customFormat="1" spans="1:23">
      <c r="A114" s="428" t="s">
        <v>230</v>
      </c>
      <c r="B114" s="421" t="s">
        <v>317</v>
      </c>
      <c r="C114" s="429" t="str">
        <f>VLOOKUP(B114,正厂竞争者数据汇总!D:H,2,FALSE)</f>
        <v>Motor目录</v>
      </c>
      <c r="D114" s="421" t="str">
        <f>VLOOKUP(B114,正厂竞争者数据汇总!D:H,3,FALSE)</f>
        <v>PA</v>
      </c>
      <c r="E114" s="430"/>
      <c r="F114" s="430">
        <v>24640.0166666667</v>
      </c>
      <c r="G114" s="430"/>
      <c r="H114" s="430"/>
      <c r="I114" s="450"/>
      <c r="J114" s="451">
        <v>0.0501677571472819</v>
      </c>
      <c r="K114" s="451">
        <v>0.0561287439557787</v>
      </c>
      <c r="L114" s="451">
        <v>0.0568640056473954</v>
      </c>
      <c r="M114" s="452"/>
      <c r="N114" s="451"/>
      <c r="O114" s="430"/>
      <c r="P114" s="531">
        <f t="array" ref="P114">INDEX(正厂竞争者数据汇总!I:I,MATCH($A$107&amp;B114,正厂竞争者数据汇总!A:A&amp;正厂竞争者数据汇总!D:D,0))</f>
        <v>0</v>
      </c>
      <c r="Q114" s="429"/>
      <c r="R114" s="421"/>
      <c r="S114" s="472"/>
      <c r="T114" s="466"/>
      <c r="U114" s="466"/>
      <c r="V114" s="466"/>
      <c r="W114" s="466"/>
    </row>
    <row r="115" s="408" customFormat="1" spans="1:23">
      <c r="A115" s="428" t="s">
        <v>230</v>
      </c>
      <c r="B115" s="421" t="s">
        <v>392</v>
      </c>
      <c r="C115" s="429" t="str">
        <f>VLOOKUP(B115,正厂竞争者数据汇总!D:H,2,FALSE)</f>
        <v>Motor目录</v>
      </c>
      <c r="D115" s="421" t="str">
        <f>VLOOKUP(B115,正厂竞争者数据汇总!D:H,3,FALSE)</f>
        <v>LA</v>
      </c>
      <c r="E115" s="430"/>
      <c r="F115" s="430">
        <v>21644.22</v>
      </c>
      <c r="G115" s="430"/>
      <c r="H115" s="430"/>
      <c r="I115" s="450"/>
      <c r="J115" s="451">
        <v>0.0440682320670377</v>
      </c>
      <c r="K115" s="451">
        <v>0.0372108597983213</v>
      </c>
      <c r="L115" s="451">
        <v>0.0418854052299089</v>
      </c>
      <c r="M115" s="452"/>
      <c r="N115" s="451"/>
      <c r="O115" s="430"/>
      <c r="P115" s="531">
        <f t="array" ref="P115">INDEX(正厂竞争者数据汇总!I:I,MATCH($A$107&amp;B115,正厂竞争者数据汇总!A:A&amp;正厂竞争者数据汇总!D:D,0))</f>
        <v>0</v>
      </c>
      <c r="Q115" s="429"/>
      <c r="R115" s="421"/>
      <c r="S115" s="472"/>
      <c r="T115" s="466"/>
      <c r="U115" s="466"/>
      <c r="V115" s="466"/>
      <c r="W115" s="466"/>
    </row>
    <row r="116" s="408" customFormat="1" spans="1:23">
      <c r="A116" s="428" t="s">
        <v>243</v>
      </c>
      <c r="B116" s="421" t="s">
        <v>388</v>
      </c>
      <c r="C116" s="255" t="s">
        <v>389</v>
      </c>
      <c r="D116" s="270" t="s">
        <v>49</v>
      </c>
      <c r="E116" s="430"/>
      <c r="F116" s="430">
        <v>21397.4166666667</v>
      </c>
      <c r="G116" s="430"/>
      <c r="H116" s="430"/>
      <c r="I116" s="450"/>
      <c r="J116" s="451">
        <v>0.0435657336370526</v>
      </c>
      <c r="K116" s="451">
        <v>0.049774216005103</v>
      </c>
      <c r="L116" s="451">
        <v>0.0518301277711463</v>
      </c>
      <c r="M116" s="452"/>
      <c r="N116" s="451"/>
      <c r="O116" s="430"/>
      <c r="P116" s="531">
        <f t="array" ref="P116">INDEX(正厂竞争者数据汇总!I:I,MATCH($A$107&amp;B116,正厂竞争者数据汇总!A:A&amp;正厂竞争者数据汇总!D:D,0))</f>
        <v>0</v>
      </c>
      <c r="Q116" s="429"/>
      <c r="R116" s="421"/>
      <c r="S116" s="472"/>
      <c r="T116" s="466"/>
      <c r="U116" s="466"/>
      <c r="V116" s="466"/>
      <c r="W116" s="466"/>
    </row>
    <row r="117" s="408" customFormat="1" spans="1:23">
      <c r="A117" s="428" t="s">
        <v>230</v>
      </c>
      <c r="B117" s="421" t="s">
        <v>393</v>
      </c>
      <c r="C117" s="537" t="s">
        <v>351</v>
      </c>
      <c r="D117" s="421" t="s">
        <v>60</v>
      </c>
      <c r="E117" s="430"/>
      <c r="F117" s="430">
        <v>17549.25</v>
      </c>
      <c r="G117" s="430"/>
      <c r="H117" s="430"/>
      <c r="I117" s="450"/>
      <c r="J117" s="451">
        <v>0.0357307596024463</v>
      </c>
      <c r="K117" s="451">
        <v>0.0461932038588016</v>
      </c>
      <c r="L117" s="451">
        <v>0.0438916760424463</v>
      </c>
      <c r="M117" s="452"/>
      <c r="N117" s="451"/>
      <c r="O117" s="430"/>
      <c r="P117" s="531" t="str">
        <f t="array" ref="P117">INDEX(正厂竞争者数据汇总!I:I,MATCH($A$107&amp;B117,正厂竞争者数据汇总!A:A&amp;正厂竞争者数据汇总!D:D,0))</f>
        <v>2022年1月加入CompetitorSites，202305因流量大于MS5%，加入MS计算基准</v>
      </c>
      <c r="Q117" s="429"/>
      <c r="R117" s="421"/>
      <c r="S117" s="472"/>
      <c r="T117" s="466"/>
      <c r="U117" s="466"/>
      <c r="V117" s="466"/>
      <c r="W117" s="466"/>
    </row>
    <row r="118" s="408" customFormat="1" spans="1:23">
      <c r="A118" s="428"/>
      <c r="B118" s="438"/>
      <c r="C118" s="429"/>
      <c r="D118" s="466"/>
      <c r="E118" s="430"/>
      <c r="F118" s="430"/>
      <c r="G118" s="430"/>
      <c r="H118" s="430"/>
      <c r="I118" s="453"/>
      <c r="J118" s="451"/>
      <c r="K118" s="451"/>
      <c r="L118" s="451"/>
      <c r="M118" s="451"/>
      <c r="N118" s="459"/>
      <c r="O118" s="430"/>
      <c r="P118" s="531"/>
      <c r="Q118" s="492"/>
      <c r="R118" s="421"/>
      <c r="S118" s="473"/>
      <c r="T118" s="466"/>
      <c r="U118" s="466"/>
      <c r="V118" s="421"/>
      <c r="W118" s="421"/>
    </row>
    <row r="119" s="408" customFormat="1" spans="1:23">
      <c r="A119" s="428"/>
      <c r="B119" s="421"/>
      <c r="C119" s="439"/>
      <c r="D119" s="421"/>
      <c r="E119" s="430"/>
      <c r="F119" s="430">
        <v>491152.446666667</v>
      </c>
      <c r="G119" s="430">
        <v>451480.499999999</v>
      </c>
      <c r="H119" s="430">
        <v>457440.166666667</v>
      </c>
      <c r="I119" s="453">
        <f>(F119/G119)-1</f>
        <v>0.087870786593591</v>
      </c>
      <c r="J119" s="430"/>
      <c r="K119" s="430"/>
      <c r="L119" s="430"/>
      <c r="M119" s="451"/>
      <c r="N119" s="451"/>
      <c r="O119" s="430"/>
      <c r="P119" s="531"/>
      <c r="Q119" s="493"/>
      <c r="R119" s="421"/>
      <c r="S119" s="473"/>
      <c r="T119" s="466"/>
      <c r="U119" s="466"/>
      <c r="V119" s="421"/>
      <c r="W119" s="421"/>
    </row>
    <row r="120" s="408" customFormat="1" spans="1:23">
      <c r="A120" s="428"/>
      <c r="B120" s="421"/>
      <c r="C120" s="439"/>
      <c r="D120" s="421"/>
      <c r="E120" s="430"/>
      <c r="F120" s="430"/>
      <c r="G120" s="430"/>
      <c r="H120" s="430"/>
      <c r="I120" s="453"/>
      <c r="J120" s="430"/>
      <c r="K120" s="430"/>
      <c r="L120" s="430"/>
      <c r="M120" s="451"/>
      <c r="N120" s="451"/>
      <c r="O120" s="430"/>
      <c r="P120" s="531"/>
      <c r="Q120" s="493"/>
      <c r="R120" s="421"/>
      <c r="S120" s="473"/>
      <c r="T120" s="466"/>
      <c r="U120" s="466"/>
      <c r="V120" s="421"/>
      <c r="W120" s="421"/>
    </row>
    <row r="121" s="408" customFormat="1" ht="17.4" spans="1:23">
      <c r="A121" s="418" t="s">
        <v>174</v>
      </c>
      <c r="B121" s="419"/>
      <c r="C121" s="420"/>
      <c r="D121" s="421"/>
      <c r="E121" s="422" t="s">
        <v>202</v>
      </c>
      <c r="F121" s="422"/>
      <c r="G121" s="422"/>
      <c r="H121" s="422"/>
      <c r="I121" s="422"/>
      <c r="J121" s="422"/>
      <c r="K121" s="422"/>
      <c r="L121" s="422"/>
      <c r="M121" s="443"/>
      <c r="N121" s="444"/>
      <c r="O121" s="422"/>
      <c r="P121" s="531"/>
      <c r="Q121" s="465"/>
      <c r="R121" s="424"/>
      <c r="S121" s="473"/>
      <c r="T121" s="467"/>
      <c r="U121" s="467"/>
      <c r="V121" s="467"/>
      <c r="W121" s="467"/>
    </row>
    <row r="122" s="409" customFormat="1" ht="48.6" spans="1:23">
      <c r="A122" s="423" t="s">
        <v>206</v>
      </c>
      <c r="B122" s="424" t="s">
        <v>207</v>
      </c>
      <c r="C122" s="425" t="s">
        <v>208</v>
      </c>
      <c r="D122" s="424" t="s">
        <v>209</v>
      </c>
      <c r="E122" s="426" t="s">
        <v>210</v>
      </c>
      <c r="F122" s="427" t="s">
        <v>402</v>
      </c>
      <c r="G122" s="427" t="s">
        <v>212</v>
      </c>
      <c r="H122" s="427" t="s">
        <v>397</v>
      </c>
      <c r="I122" s="427" t="s">
        <v>214</v>
      </c>
      <c r="J122" s="446" t="s">
        <v>398</v>
      </c>
      <c r="K122" s="446" t="s">
        <v>399</v>
      </c>
      <c r="L122" s="446" t="s">
        <v>403</v>
      </c>
      <c r="M122" s="447" t="s">
        <v>218</v>
      </c>
      <c r="N122" s="448" t="s">
        <v>219</v>
      </c>
      <c r="O122" s="449" t="s">
        <v>220</v>
      </c>
      <c r="P122" s="530" t="s">
        <v>221</v>
      </c>
      <c r="Q122" s="469" t="s">
        <v>222</v>
      </c>
      <c r="R122" s="426" t="s">
        <v>223</v>
      </c>
      <c r="S122" s="470" t="s">
        <v>224</v>
      </c>
      <c r="T122" s="467" t="s">
        <v>225</v>
      </c>
      <c r="U122" s="470" t="s">
        <v>226</v>
      </c>
      <c r="V122" s="467"/>
      <c r="W122" s="467"/>
    </row>
    <row r="123" s="410" customFormat="1" ht="17.4" spans="1:23">
      <c r="A123" s="435" t="s">
        <v>227</v>
      </c>
      <c r="B123" s="435" t="s">
        <v>175</v>
      </c>
      <c r="C123" s="435" t="str">
        <f>VLOOKUP(B123,正厂竞争者数据汇总!D:H,2,FALSE)</f>
        <v>原厂目录</v>
      </c>
      <c r="D123" s="435" t="str">
        <f>VLOOKUP(B123,正厂竞争者数据汇总!D:H,3,FALSE)</f>
        <v>CA</v>
      </c>
      <c r="E123" s="436">
        <f>VLOOKUP(B123,正厂竞争者数据汇总!D:H,4,FALSE)</f>
        <v>325311</v>
      </c>
      <c r="F123" s="436">
        <v>202632.833333333</v>
      </c>
      <c r="G123" s="436">
        <f t="array" ref="G123">INDEX(正厂竞争者数据汇总!$H$2:$H$448,MATCH($A$121&amp;$B123,正厂竞争者数据汇总!$A$2:$A$448&amp;正厂竞争者数据汇总!$D$2:$D$448,0))</f>
        <v>209547.25</v>
      </c>
      <c r="H123" s="436">
        <f t="array" ref="H123">INDEX(正厂竞争者数据汇总!$H$2:$H$448,MATCH($A$121&amp;$B123,正厂竞争者数据汇总!$A$2:$A$448&amp;正厂竞争者数据汇总!$D$2:$D$448,0))</f>
        <v>209547.25</v>
      </c>
      <c r="I123" s="436">
        <f t="array" ref="I123">INDEX(正厂竞争者数据汇总!$H$2:$H$448,MATCH($A$121&amp;$B123,正厂竞争者数据汇总!$A$2:$A$448&amp;正厂竞争者数据汇总!$D$2:$D$448,0))</f>
        <v>209547.25</v>
      </c>
      <c r="J123" s="457">
        <v>0.449806076053775</v>
      </c>
      <c r="K123" s="457">
        <v>0.415524249606574</v>
      </c>
      <c r="L123" s="457">
        <v>0.428674633804099</v>
      </c>
      <c r="M123" s="456">
        <f>J123-K123</f>
        <v>0.0342818264472008</v>
      </c>
      <c r="N123" s="457" t="str">
        <f>IFERROR(O123*0.5/$F$123,"")</f>
        <v/>
      </c>
      <c r="O123" s="436" t="s">
        <v>180</v>
      </c>
      <c r="P123" s="531">
        <f t="array" ref="P123">INDEX(正厂竞争者数据汇总!I:I,MATCH($A$121&amp;B123,正厂竞争者数据汇总!A:A&amp;正厂竞争者数据汇总!D:D,0))</f>
        <v>0</v>
      </c>
      <c r="Q123" s="434" t="s">
        <v>318</v>
      </c>
      <c r="R123" s="435" t="s">
        <v>229</v>
      </c>
      <c r="S123" s="476"/>
      <c r="T123" s="477"/>
      <c r="U123" s="477"/>
      <c r="V123" s="435"/>
      <c r="W123" s="435"/>
    </row>
    <row r="124" s="408" customFormat="1" spans="1:23">
      <c r="A124" s="428" t="s">
        <v>230</v>
      </c>
      <c r="B124" s="421" t="s">
        <v>319</v>
      </c>
      <c r="C124" s="429" t="str">
        <f>VLOOKUP(B124,正厂竞争者数据汇总!D:H,2,FALSE)</f>
        <v>Motor目录</v>
      </c>
      <c r="D124" s="421" t="str">
        <f>VLOOKUP(B124,正厂竞争者数据汇总!D:H,3,FALSE)</f>
        <v>-</v>
      </c>
      <c r="E124" s="430"/>
      <c r="F124" s="430">
        <v>84663.4833333333</v>
      </c>
      <c r="G124" s="430"/>
      <c r="H124" s="430"/>
      <c r="I124" s="450"/>
      <c r="J124" s="451">
        <v>0.187936715865613</v>
      </c>
      <c r="K124" s="451">
        <v>0.173516725657426</v>
      </c>
      <c r="L124" s="451">
        <v>0.154511287239234</v>
      </c>
      <c r="M124" s="452"/>
      <c r="N124" s="451"/>
      <c r="O124" s="430"/>
      <c r="P124" s="531" t="str">
        <f t="array" ref="P124">INDEX(正厂竞争者数据汇总!I:I,MATCH($A$121&amp;B124,正厂竞争者数据汇总!A:A&amp;正厂竞争者数据汇总!D:D,0))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24" s="429"/>
      <c r="R124" s="421"/>
      <c r="S124" s="472"/>
      <c r="T124" s="466"/>
      <c r="U124" s="466"/>
      <c r="V124" s="466"/>
      <c r="W124" s="466"/>
    </row>
    <row r="125" s="408" customFormat="1" spans="1:23">
      <c r="A125" s="428" t="s">
        <v>230</v>
      </c>
      <c r="B125" s="421" t="s">
        <v>320</v>
      </c>
      <c r="C125" s="429" t="str">
        <f>VLOOKUP(B125,正厂竞争者数据汇总!D:H,2,FALSE)</f>
        <v>原厂目录</v>
      </c>
      <c r="D125" s="421" t="str">
        <f>VLOOKUP(B125,正厂竞争者数据汇总!D:H,3,FALSE)</f>
        <v>AZ</v>
      </c>
      <c r="E125" s="430"/>
      <c r="F125" s="430">
        <v>54861.9166666667</v>
      </c>
      <c r="G125" s="430"/>
      <c r="H125" s="430"/>
      <c r="I125" s="450"/>
      <c r="J125" s="451">
        <v>0.121782946300851</v>
      </c>
      <c r="K125" s="451">
        <v>0.154355427048003</v>
      </c>
      <c r="L125" s="451">
        <v>0.165403057184783</v>
      </c>
      <c r="M125" s="452"/>
      <c r="N125" s="451"/>
      <c r="O125" s="430"/>
      <c r="P125" s="531">
        <f t="array" ref="P125">INDEX(正厂竞争者数据汇总!I:I,MATCH($A$121&amp;B125,正厂竞争者数据汇总!A:A&amp;正厂竞争者数据汇总!D:D,0))</f>
        <v>0</v>
      </c>
      <c r="Q125" s="429"/>
      <c r="R125" s="421"/>
      <c r="S125" s="472"/>
      <c r="T125" s="466"/>
      <c r="U125" s="466"/>
      <c r="V125" s="466"/>
      <c r="W125" s="466"/>
    </row>
    <row r="126" s="408" customFormat="1" spans="1:23">
      <c r="A126" s="428" t="s">
        <v>230</v>
      </c>
      <c r="B126" s="421" t="s">
        <v>321</v>
      </c>
      <c r="C126" s="429" t="str">
        <f>VLOOKUP(B126,正厂竞争者数据汇总!D:H,2,FALSE)</f>
        <v>原厂目录</v>
      </c>
      <c r="D126" s="421" t="str">
        <f>VLOOKUP(B126,正厂竞争者数据汇总!D:H,3,FALSE)</f>
        <v>CO</v>
      </c>
      <c r="E126" s="430"/>
      <c r="F126" s="430">
        <v>37233.7533333333</v>
      </c>
      <c r="G126" s="430"/>
      <c r="H126" s="430"/>
      <c r="I126" s="450"/>
      <c r="J126" s="451">
        <v>0.0826518003430877</v>
      </c>
      <c r="K126" s="451">
        <v>0.0886817014745233</v>
      </c>
      <c r="L126" s="451">
        <v>0.08391187429609</v>
      </c>
      <c r="M126" s="452"/>
      <c r="N126" s="451"/>
      <c r="O126" s="430"/>
      <c r="P126" s="531" t="str">
        <f t="array" ref="P126">INDEX(正厂竞争者数据汇总!I:I,MATCH($A$121&amp;B126,正厂竞争者数据汇总!A:A&amp;正厂竞争者数据汇总!D:D,0))</f>
        <v>同时经营honda/acura，折算比例：acura75%，honda25%</v>
      </c>
      <c r="Q126" s="429"/>
      <c r="R126" s="421"/>
      <c r="S126" s="472"/>
      <c r="T126" s="466"/>
      <c r="U126" s="466"/>
      <c r="V126" s="466"/>
      <c r="W126" s="466"/>
    </row>
    <row r="127" s="408" customFormat="1" spans="1:23">
      <c r="A127" s="428" t="s">
        <v>230</v>
      </c>
      <c r="B127" s="421" t="s">
        <v>323</v>
      </c>
      <c r="C127" s="429" t="str">
        <f>VLOOKUP(B127,正厂竞争者数据汇总!D:H,2,FALSE)</f>
        <v>原厂目录</v>
      </c>
      <c r="D127" s="421" t="str">
        <f>VLOOKUP(B127,正厂竞争者数据汇总!D:H,3,FALSE)</f>
        <v>NJ</v>
      </c>
      <c r="E127" s="430"/>
      <c r="F127" s="430">
        <v>35764.3333333333</v>
      </c>
      <c r="G127" s="430"/>
      <c r="H127" s="430"/>
      <c r="I127" s="450"/>
      <c r="J127" s="451">
        <v>0.0793899694077838</v>
      </c>
      <c r="K127" s="451">
        <v>0.0871282717811527</v>
      </c>
      <c r="L127" s="451">
        <v>0.0739469981580821</v>
      </c>
      <c r="M127" s="452"/>
      <c r="N127" s="451"/>
      <c r="O127" s="430"/>
      <c r="P127" s="531" t="str">
        <f t="array" ref="P127">INDEX(正厂竞争者数据汇总!I:I,MATCH($A$121&amp;B127,正厂竞争者数据汇总!A:A&amp;正厂竞争者数据汇总!D:D,0))</f>
        <v>2022年1月 新加入 CompetitorSites
2022年1月 新加入 MarketingShare</v>
      </c>
      <c r="Q127" s="429"/>
      <c r="R127" s="421"/>
      <c r="S127" s="472"/>
      <c r="T127" s="466"/>
      <c r="U127" s="466"/>
      <c r="V127" s="466"/>
      <c r="W127" s="466"/>
    </row>
    <row r="128" s="408" customFormat="1" spans="1:23">
      <c r="A128" s="428" t="s">
        <v>238</v>
      </c>
      <c r="B128" s="421" t="s">
        <v>322</v>
      </c>
      <c r="C128" s="429" t="str">
        <f>VLOOKUP(B128,正厂竞争者数据汇总!D:H,2,FALSE)</f>
        <v>原厂目录</v>
      </c>
      <c r="D128" s="421" t="str">
        <f>VLOOKUP(B128,正厂竞争者数据汇总!D:H,3,FALSE)</f>
        <v>MA</v>
      </c>
      <c r="E128" s="430"/>
      <c r="F128" s="430">
        <v>35333</v>
      </c>
      <c r="G128" s="430"/>
      <c r="H128" s="430"/>
      <c r="I128" s="450"/>
      <c r="J128" s="451">
        <v>0.0784324920288898</v>
      </c>
      <c r="K128" s="451">
        <v>0.0807936244323219</v>
      </c>
      <c r="L128" s="451">
        <v>0.0587683305564864</v>
      </c>
      <c r="M128" s="452"/>
      <c r="N128" s="451"/>
      <c r="O128" s="430"/>
      <c r="P128" s="531">
        <f t="array" ref="P128">INDEX(正厂竞争者数据汇总!I:I,MATCH($A$121&amp;B128,正厂竞争者数据汇总!A:A&amp;正厂竞争者数据汇总!D:D,0))</f>
        <v>0</v>
      </c>
      <c r="Q128" s="429"/>
      <c r="R128" s="421"/>
      <c r="S128" s="472"/>
      <c r="T128" s="466"/>
      <c r="U128" s="466"/>
      <c r="V128" s="466"/>
      <c r="W128" s="466"/>
    </row>
    <row r="129" s="408" customFormat="1" spans="1:23">
      <c r="A129" s="428"/>
      <c r="B129" s="438"/>
      <c r="C129" s="429"/>
      <c r="D129" s="421"/>
      <c r="E129" s="430"/>
      <c r="F129" s="486"/>
      <c r="G129" s="486">
        <v>409170.916666667</v>
      </c>
      <c r="H129" s="486"/>
      <c r="I129" s="453"/>
      <c r="J129" s="451"/>
      <c r="K129" s="430"/>
      <c r="L129" s="430"/>
      <c r="M129" s="451"/>
      <c r="N129" s="451"/>
      <c r="O129" s="430"/>
      <c r="P129" s="531"/>
      <c r="Q129" s="429"/>
      <c r="R129" s="421"/>
      <c r="S129" s="473"/>
      <c r="T129" s="466"/>
      <c r="U129" s="466"/>
      <c r="V129" s="421"/>
      <c r="W129" s="421"/>
    </row>
    <row r="130" s="408" customFormat="1" spans="1:23">
      <c r="A130" s="428"/>
      <c r="B130" s="421"/>
      <c r="C130" s="439"/>
      <c r="D130" s="421"/>
      <c r="E130" s="421"/>
      <c r="F130" s="430">
        <v>450489.32</v>
      </c>
      <c r="G130" s="430"/>
      <c r="H130" s="430">
        <v>444921.666666667</v>
      </c>
      <c r="I130" s="453" t="e">
        <f>(F130/G130)-1</f>
        <v>#DIV/0!</v>
      </c>
      <c r="J130" s="430"/>
      <c r="K130" s="430"/>
      <c r="L130" s="430"/>
      <c r="M130" s="451"/>
      <c r="N130" s="451">
        <f>SUM(N123:N129)</f>
        <v>0</v>
      </c>
      <c r="O130" s="430"/>
      <c r="P130" s="531"/>
      <c r="Q130" s="429" t="s">
        <v>180</v>
      </c>
      <c r="R130" s="421" t="s">
        <v>180</v>
      </c>
      <c r="S130" s="473"/>
      <c r="T130" s="466"/>
      <c r="U130" s="466"/>
      <c r="V130" s="421"/>
      <c r="W130" s="421"/>
    </row>
    <row r="131" s="408" customFormat="1" spans="1:23">
      <c r="A131" s="428"/>
      <c r="B131" s="421"/>
      <c r="C131" s="439"/>
      <c r="D131" s="421"/>
      <c r="E131" s="430"/>
      <c r="F131" s="430"/>
      <c r="G131" s="430"/>
      <c r="H131" s="430"/>
      <c r="I131" s="453"/>
      <c r="J131" s="430"/>
      <c r="K131" s="430"/>
      <c r="L131" s="430"/>
      <c r="M131" s="451"/>
      <c r="N131" s="459"/>
      <c r="O131" s="430"/>
      <c r="P131" s="531"/>
      <c r="Q131" s="429"/>
      <c r="R131" s="421" t="s">
        <v>180</v>
      </c>
      <c r="S131" s="473"/>
      <c r="T131" s="466"/>
      <c r="U131" s="466"/>
      <c r="V131" s="421"/>
      <c r="W131" s="421"/>
    </row>
    <row r="132" s="408" customFormat="1" ht="17.4" spans="1:23">
      <c r="A132" s="418" t="s">
        <v>168</v>
      </c>
      <c r="B132" s="487"/>
      <c r="C132" s="420"/>
      <c r="D132" s="421"/>
      <c r="E132" s="422" t="s">
        <v>202</v>
      </c>
      <c r="F132" s="422"/>
      <c r="G132" s="422" t="s">
        <v>212</v>
      </c>
      <c r="H132" s="422"/>
      <c r="I132" s="422"/>
      <c r="J132" s="422"/>
      <c r="K132" s="422"/>
      <c r="L132" s="422"/>
      <c r="M132" s="443"/>
      <c r="N132" s="444"/>
      <c r="O132" s="422"/>
      <c r="P132" s="531"/>
      <c r="Q132" s="465"/>
      <c r="R132" s="424"/>
      <c r="S132" s="473"/>
      <c r="T132" s="467"/>
      <c r="U132" s="467"/>
      <c r="V132" s="467"/>
      <c r="W132" s="467"/>
    </row>
    <row r="133" s="409" customFormat="1" ht="48.6" spans="1:23">
      <c r="A133" s="423" t="s">
        <v>206</v>
      </c>
      <c r="B133" s="424" t="s">
        <v>207</v>
      </c>
      <c r="C133" s="425" t="s">
        <v>208</v>
      </c>
      <c r="D133" s="424" t="s">
        <v>209</v>
      </c>
      <c r="E133" s="426" t="s">
        <v>210</v>
      </c>
      <c r="F133" s="427" t="s">
        <v>402</v>
      </c>
      <c r="G133" s="427">
        <v>197584.75</v>
      </c>
      <c r="H133" s="427" t="s">
        <v>397</v>
      </c>
      <c r="I133" s="427" t="s">
        <v>214</v>
      </c>
      <c r="J133" s="446" t="s">
        <v>398</v>
      </c>
      <c r="K133" s="446" t="s">
        <v>399</v>
      </c>
      <c r="L133" s="446" t="s">
        <v>403</v>
      </c>
      <c r="M133" s="447" t="s">
        <v>218</v>
      </c>
      <c r="N133" s="448" t="s">
        <v>219</v>
      </c>
      <c r="O133" s="449" t="s">
        <v>220</v>
      </c>
      <c r="P133" s="530" t="s">
        <v>221</v>
      </c>
      <c r="Q133" s="469" t="s">
        <v>222</v>
      </c>
      <c r="R133" s="426" t="s">
        <v>223</v>
      </c>
      <c r="S133" s="470" t="s">
        <v>224</v>
      </c>
      <c r="T133" s="467" t="s">
        <v>225</v>
      </c>
      <c r="U133" s="470" t="s">
        <v>226</v>
      </c>
      <c r="V133" s="467"/>
      <c r="W133" s="467"/>
    </row>
    <row r="134" s="410" customFormat="1" ht="17.4" spans="1:23">
      <c r="A134" s="432" t="s">
        <v>227</v>
      </c>
      <c r="B134" s="432" t="s">
        <v>169</v>
      </c>
      <c r="C134" s="434" t="str">
        <f>VLOOKUP(B134,正厂竞争者数据汇总!D:H,2,FALSE)</f>
        <v>原厂目录</v>
      </c>
      <c r="D134" s="435" t="str">
        <f>VLOOKUP(B134,正厂竞争者数据汇总!D:H,3,FALSE)</f>
        <v>CA</v>
      </c>
      <c r="E134" s="436">
        <f>VLOOKUP(B134,正厂竞争者数据汇总!D:H,4,FALSE)</f>
        <v>0</v>
      </c>
      <c r="F134" s="436">
        <v>270754.772466667</v>
      </c>
      <c r="G134" s="436">
        <v>39089.5833333333</v>
      </c>
      <c r="H134" s="436">
        <v>201623.666666667</v>
      </c>
      <c r="I134" s="454">
        <f>(F134/G134)-1</f>
        <v>5.92651978809359</v>
      </c>
      <c r="J134" s="457">
        <v>0.633196949198088</v>
      </c>
      <c r="K134" s="457">
        <v>0.613831577040421</v>
      </c>
      <c r="L134" s="457">
        <v>0.593338473717117</v>
      </c>
      <c r="M134" s="456">
        <f>J134-K137</f>
        <v>0.588468633398883</v>
      </c>
      <c r="N134" s="457" t="str">
        <f>IFERROR(O134*0.5/$F$134,"")</f>
        <v/>
      </c>
      <c r="O134" s="436" t="s">
        <v>180</v>
      </c>
      <c r="P134" s="531">
        <f t="array" ref="P134">INDEX(正厂竞争者数据汇总!I:I,MATCH($A$132&amp;B134,正厂竞争者数据汇总!A:A&amp;正厂竞争者数据汇总!D:D,0))</f>
        <v>0</v>
      </c>
      <c r="Q134" s="434" t="s">
        <v>299</v>
      </c>
      <c r="R134" s="435" t="s">
        <v>229</v>
      </c>
      <c r="S134" s="476"/>
      <c r="T134" s="477"/>
      <c r="U134" s="477"/>
      <c r="V134" s="435"/>
      <c r="W134" s="435"/>
    </row>
    <row r="135" s="408" customFormat="1" ht="17.4" spans="1:23">
      <c r="A135" s="428" t="s">
        <v>243</v>
      </c>
      <c r="B135" s="421" t="s">
        <v>303</v>
      </c>
      <c r="C135" s="429" t="s">
        <v>247</v>
      </c>
      <c r="D135" s="421" t="s">
        <v>49</v>
      </c>
      <c r="E135" s="430"/>
      <c r="F135" s="430">
        <v>29384.97375</v>
      </c>
      <c r="G135" s="430"/>
      <c r="H135" s="430"/>
      <c r="I135" s="450"/>
      <c r="J135" s="451">
        <v>0.068720767361752</v>
      </c>
      <c r="K135" s="451">
        <v>0.055948476961076</v>
      </c>
      <c r="L135" s="451">
        <v>0.0681920807018733</v>
      </c>
      <c r="M135" s="452"/>
      <c r="N135" s="451"/>
      <c r="O135" s="430"/>
      <c r="P135" s="531" t="str">
        <f t="array" ref="P135">INDEX(正厂竞争者数据汇总!I:I,MATCH($A$132&amp;B135,正厂竞争者数据汇总!A:A&amp;正厂竞争者数据汇总!D:D,0))</f>
        <v>2023年3月新增正厂，202306因流量超过MS5%加入MS计算基准</v>
      </c>
      <c r="Q135" s="429"/>
      <c r="R135" s="421"/>
      <c r="S135" s="472"/>
      <c r="T135" s="466"/>
      <c r="U135" s="466"/>
      <c r="V135" s="466"/>
      <c r="W135" s="466"/>
    </row>
    <row r="136" s="408" customFormat="1" ht="17.4" spans="1:23">
      <c r="A136" s="428" t="s">
        <v>243</v>
      </c>
      <c r="B136" s="421" t="s">
        <v>300</v>
      </c>
      <c r="C136" s="429" t="s">
        <v>301</v>
      </c>
      <c r="D136" s="421" t="s">
        <v>302</v>
      </c>
      <c r="E136" s="430"/>
      <c r="F136" s="430">
        <v>26095.8333333333</v>
      </c>
      <c r="G136" s="430"/>
      <c r="H136" s="430"/>
      <c r="I136" s="450"/>
      <c r="J136" s="451">
        <v>0.0610286640671596</v>
      </c>
      <c r="K136" s="451">
        <v>0.0643524166959716</v>
      </c>
      <c r="L136" s="451">
        <v>0.0660121526936526</v>
      </c>
      <c r="M136" s="452"/>
      <c r="N136" s="451"/>
      <c r="O136" s="430"/>
      <c r="P136" s="531" t="str">
        <f t="array" ref="P136">INDEX(正厂竞争者数据汇总!I:I,MATCH($A$132&amp;B136,正厂竞争者数据汇总!A:A&amp;正厂竞争者数据汇总!D:D,0))</f>
        <v>2023年3月新增正厂，202305因流量超过MS5%加入MS计算基准</v>
      </c>
      <c r="Q136" s="429"/>
      <c r="R136" s="421"/>
      <c r="S136" s="472"/>
      <c r="T136" s="466"/>
      <c r="U136" s="466"/>
      <c r="V136" s="466"/>
      <c r="W136" s="466"/>
    </row>
    <row r="137" s="408" customFormat="1" spans="1:23">
      <c r="A137" s="428" t="s">
        <v>305</v>
      </c>
      <c r="B137" s="421" t="s">
        <v>306</v>
      </c>
      <c r="C137" s="429" t="str">
        <f>VLOOKUP(B137,正厂竞争者数据汇总!D:H,2,FALSE)</f>
        <v>Motor目录</v>
      </c>
      <c r="D137" s="421" t="str">
        <f>VLOOKUP(B137,正厂竞争者数据汇总!D:H,3,FALSE)</f>
        <v>CA</v>
      </c>
      <c r="E137" s="430"/>
      <c r="F137" s="430">
        <v>21312.75</v>
      </c>
      <c r="G137" s="430"/>
      <c r="H137" s="430"/>
      <c r="I137" s="450"/>
      <c r="J137" s="451">
        <v>0.0498427715828462</v>
      </c>
      <c r="K137" s="451">
        <v>0.0447283157992052</v>
      </c>
      <c r="L137" s="451">
        <v>0.0531467686591211</v>
      </c>
      <c r="M137" s="452"/>
      <c r="N137" s="451"/>
      <c r="O137" s="430"/>
      <c r="P137" s="531">
        <f t="array" ref="P137">INDEX(正厂竞争者数据汇总!I:I,MATCH($A$132&amp;B137,正厂竞争者数据汇总!A:A&amp;正厂竞争者数据汇总!D:D,0))</f>
        <v>0</v>
      </c>
      <c r="Q137" s="429"/>
      <c r="R137" s="421"/>
      <c r="S137" s="472"/>
      <c r="T137" s="466"/>
      <c r="U137" s="466"/>
      <c r="V137" s="466"/>
      <c r="W137" s="466"/>
    </row>
    <row r="138" s="408" customFormat="1" spans="1:23">
      <c r="A138" s="428" t="s">
        <v>230</v>
      </c>
      <c r="B138" s="421" t="s">
        <v>309</v>
      </c>
      <c r="C138" s="429" t="str">
        <f>VLOOKUP(B138,正厂竞争者数据汇总!D:H,2,FALSE)</f>
        <v>Motor目录</v>
      </c>
      <c r="D138" s="421" t="str">
        <f>VLOOKUP(B138,正厂竞争者数据汇总!D:H,3,FALSE)</f>
        <v>FL</v>
      </c>
      <c r="E138" s="430"/>
      <c r="F138" s="430">
        <v>21207.62</v>
      </c>
      <c r="G138" s="430"/>
      <c r="H138" s="430"/>
      <c r="I138" s="450"/>
      <c r="J138" s="451">
        <v>0.0495969107447795</v>
      </c>
      <c r="K138" s="451">
        <v>0.0557339356057916</v>
      </c>
      <c r="L138" s="451">
        <v>0.0475362565353145</v>
      </c>
      <c r="M138" s="452"/>
      <c r="N138" s="451"/>
      <c r="O138" s="430"/>
      <c r="P138" s="531" t="str">
        <f t="array" ref="P138">INDEX(正厂竞争者数据汇总!I:I,MATCH($A$132&amp;B138,正厂竞争者数据汇总!A:A&amp;正厂竞争者数据汇总!D:D,0))</f>
        <v>同时经营多品牌网站零件，折算比例为：toyota：33%，lexus：42%，subaru:25%</v>
      </c>
      <c r="Q138" s="429"/>
      <c r="R138" s="421"/>
      <c r="S138" s="472"/>
      <c r="T138" s="466"/>
      <c r="U138" s="466"/>
      <c r="V138" s="466"/>
      <c r="W138" s="466"/>
    </row>
    <row r="139" s="408" customFormat="1" ht="17.4" spans="1:23">
      <c r="A139" s="428" t="s">
        <v>230</v>
      </c>
      <c r="B139" s="421" t="s">
        <v>307</v>
      </c>
      <c r="C139" s="429" t="s">
        <v>247</v>
      </c>
      <c r="D139" s="421" t="s">
        <v>49</v>
      </c>
      <c r="E139" s="430"/>
      <c r="F139" s="430">
        <v>21056</v>
      </c>
      <c r="G139" s="430"/>
      <c r="H139" s="430"/>
      <c r="I139" s="450"/>
      <c r="J139" s="451">
        <v>0.0492423267034244</v>
      </c>
      <c r="K139" s="451">
        <v>0.0532012498565414</v>
      </c>
      <c r="L139" s="451">
        <v>0.0580668868403703</v>
      </c>
      <c r="M139" s="452"/>
      <c r="N139" s="451"/>
      <c r="O139" s="430"/>
      <c r="P139" s="531" t="str">
        <f t="array" ref="P139">INDEX(正厂竞争者数据汇总!I:I,MATCH($A$132&amp;B139,正厂竞争者数据汇总!A:A&amp;正厂竞争者数据汇总!D:D,0))</f>
        <v>2023年2月新增正厂</v>
      </c>
      <c r="Q139" s="429"/>
      <c r="R139" s="421"/>
      <c r="S139" s="472"/>
      <c r="T139" s="466"/>
      <c r="U139" s="466"/>
      <c r="V139" s="466"/>
      <c r="W139" s="466"/>
    </row>
    <row r="140" s="408" customFormat="1" spans="1:23">
      <c r="A140" s="428" t="s">
        <v>230</v>
      </c>
      <c r="B140" s="421" t="s">
        <v>308</v>
      </c>
      <c r="C140" s="429" t="str">
        <f>VLOOKUP(B140,正厂竞争者数据汇总!D:H,2,FALSE)</f>
        <v>Motor目录</v>
      </c>
      <c r="D140" s="421" t="str">
        <f>VLOOKUP(B140,正厂竞争者数据汇总!D:H,3,FALSE)</f>
        <v>OH</v>
      </c>
      <c r="E140" s="430"/>
      <c r="F140" s="430">
        <v>20013</v>
      </c>
      <c r="G140" s="430"/>
      <c r="H140" s="430"/>
      <c r="I140" s="450"/>
      <c r="J140" s="451">
        <v>0.0468031290043519</v>
      </c>
      <c r="K140" s="451">
        <v>0.0636911991155939</v>
      </c>
      <c r="L140" s="451">
        <v>0.0646469363709908</v>
      </c>
      <c r="M140" s="452"/>
      <c r="N140" s="451"/>
      <c r="O140" s="430"/>
      <c r="P140" s="531">
        <f t="array" ref="P140">INDEX(正厂竞争者数据汇总!I:I,MATCH($A$132&amp;B140,正厂竞争者数据汇总!A:A&amp;正厂竞争者数据汇总!D:D,0))</f>
        <v>0</v>
      </c>
      <c r="Q140" s="429"/>
      <c r="R140" s="421"/>
      <c r="S140" s="472"/>
      <c r="T140" s="466"/>
      <c r="U140" s="466"/>
      <c r="V140" s="466"/>
      <c r="W140" s="466"/>
    </row>
    <row r="141" s="408" customFormat="1" spans="1:23">
      <c r="A141" s="428" t="s">
        <v>230</v>
      </c>
      <c r="B141" s="421" t="s">
        <v>304</v>
      </c>
      <c r="C141" s="429" t="str">
        <f>VLOOKUP(B141,正厂竞争者数据汇总!D:H,2,FALSE)</f>
        <v>Motor目录</v>
      </c>
      <c r="D141" s="421" t="str">
        <f>VLOOKUP(B141,正厂竞争者数据汇总!D:H,3,FALSE)</f>
        <v>CA</v>
      </c>
      <c r="E141" s="430"/>
      <c r="F141" s="430">
        <v>17774.6666666667</v>
      </c>
      <c r="G141" s="430"/>
      <c r="H141" s="430"/>
      <c r="I141" s="450"/>
      <c r="J141" s="451">
        <v>0.0415684813375982</v>
      </c>
      <c r="K141" s="451">
        <v>0.0485128289253996</v>
      </c>
      <c r="L141" s="451">
        <v>0.0490604444815607</v>
      </c>
      <c r="M141" s="452"/>
      <c r="N141" s="451"/>
      <c r="O141" s="430"/>
      <c r="P141" s="531">
        <f t="array" ref="P141">INDEX(正厂竞争者数据汇总!I:I,MATCH($A$132&amp;B141,正厂竞争者数据汇总!A:A&amp;正厂竞争者数据汇总!D:D,0))</f>
        <v>0</v>
      </c>
      <c r="Q141" s="429"/>
      <c r="R141" s="421"/>
      <c r="S141" s="472"/>
      <c r="T141" s="466"/>
      <c r="U141" s="466"/>
      <c r="V141" s="466"/>
      <c r="W141" s="466"/>
    </row>
    <row r="143" s="408" customFormat="1" spans="1:23">
      <c r="A143" s="440"/>
      <c r="B143" s="431"/>
      <c r="C143" s="429"/>
      <c r="D143" s="421"/>
      <c r="E143" s="430"/>
      <c r="F143" s="430"/>
      <c r="G143" s="430">
        <v>259436.916666667</v>
      </c>
      <c r="H143" s="430"/>
      <c r="I143" s="453"/>
      <c r="J143" s="451"/>
      <c r="K143" s="451"/>
      <c r="L143" s="451"/>
      <c r="M143" s="451"/>
      <c r="N143" s="451"/>
      <c r="O143" s="430"/>
      <c r="P143" s="531"/>
      <c r="Q143" s="429"/>
      <c r="R143" s="421"/>
      <c r="S143" s="473"/>
      <c r="T143" s="466"/>
      <c r="U143" s="466"/>
      <c r="V143" s="421"/>
      <c r="W143" s="421"/>
    </row>
    <row r="144" s="408" customFormat="1" spans="1:23">
      <c r="A144" s="428"/>
      <c r="B144" s="431"/>
      <c r="C144" s="439"/>
      <c r="D144" s="421"/>
      <c r="E144" s="430"/>
      <c r="F144" s="430">
        <v>427599.616216667</v>
      </c>
      <c r="G144" s="430"/>
      <c r="H144" s="430">
        <v>254943.25</v>
      </c>
      <c r="I144" s="453" t="e">
        <f>(F144/G144)-1</f>
        <v>#DIV/0!</v>
      </c>
      <c r="J144" s="430"/>
      <c r="K144" s="430"/>
      <c r="L144" s="430"/>
      <c r="M144" s="451"/>
      <c r="N144" s="451">
        <f>SUM(N134:N140)</f>
        <v>0</v>
      </c>
      <c r="O144" s="430"/>
      <c r="P144" s="531"/>
      <c r="Q144" s="429"/>
      <c r="R144" s="421"/>
      <c r="S144" s="473"/>
      <c r="T144" s="466"/>
      <c r="U144" s="466"/>
      <c r="V144" s="421"/>
      <c r="W144" s="421"/>
    </row>
    <row r="145" s="408" customFormat="1" spans="1:23">
      <c r="A145" s="428"/>
      <c r="B145" s="421"/>
      <c r="C145" s="439"/>
      <c r="D145" s="421"/>
      <c r="E145" s="430"/>
      <c r="F145" s="451"/>
      <c r="G145" s="451"/>
      <c r="H145" s="451"/>
      <c r="I145" s="453"/>
      <c r="J145" s="451"/>
      <c r="K145" s="451"/>
      <c r="L145" s="451"/>
      <c r="M145" s="451"/>
      <c r="N145" s="451"/>
      <c r="O145" s="451"/>
      <c r="P145" s="531"/>
      <c r="Q145" s="429"/>
      <c r="R145" s="421"/>
      <c r="S145" s="473"/>
      <c r="T145" s="466"/>
      <c r="U145" s="466"/>
      <c r="V145" s="421"/>
      <c r="W145" s="421"/>
    </row>
    <row r="146" s="408" customFormat="1" ht="17.4" spans="1:23">
      <c r="A146" s="418" t="s">
        <v>177</v>
      </c>
      <c r="B146" s="419"/>
      <c r="C146" s="420"/>
      <c r="D146" s="421"/>
      <c r="E146" s="422" t="s">
        <v>202</v>
      </c>
      <c r="F146" s="422"/>
      <c r="G146" s="422" t="s">
        <v>212</v>
      </c>
      <c r="H146" s="422"/>
      <c r="I146" s="422"/>
      <c r="J146" s="422"/>
      <c r="K146" s="422"/>
      <c r="L146" s="422"/>
      <c r="M146" s="443"/>
      <c r="N146" s="444"/>
      <c r="O146" s="422"/>
      <c r="P146" s="531"/>
      <c r="Q146" s="465"/>
      <c r="R146" s="424"/>
      <c r="S146" s="473"/>
      <c r="T146" s="467"/>
      <c r="U146" s="467"/>
      <c r="V146" s="467"/>
      <c r="W146" s="467"/>
    </row>
    <row r="147" s="409" customFormat="1" ht="48.6" spans="1:23">
      <c r="A147" s="423" t="s">
        <v>206</v>
      </c>
      <c r="B147" s="424" t="s">
        <v>207</v>
      </c>
      <c r="C147" s="425" t="s">
        <v>208</v>
      </c>
      <c r="D147" s="424" t="s">
        <v>209</v>
      </c>
      <c r="E147" s="426" t="s">
        <v>210</v>
      </c>
      <c r="F147" s="427" t="s">
        <v>402</v>
      </c>
      <c r="G147" s="427">
        <v>93920.4166666667</v>
      </c>
      <c r="H147" s="427" t="s">
        <v>397</v>
      </c>
      <c r="I147" s="427" t="s">
        <v>214</v>
      </c>
      <c r="J147" s="446" t="s">
        <v>398</v>
      </c>
      <c r="K147" s="446" t="s">
        <v>399</v>
      </c>
      <c r="L147" s="446" t="s">
        <v>403</v>
      </c>
      <c r="M147" s="447" t="s">
        <v>218</v>
      </c>
      <c r="N147" s="448" t="s">
        <v>219</v>
      </c>
      <c r="O147" s="449" t="s">
        <v>220</v>
      </c>
      <c r="P147" s="530" t="s">
        <v>221</v>
      </c>
      <c r="Q147" s="469" t="s">
        <v>222</v>
      </c>
      <c r="R147" s="426" t="s">
        <v>223</v>
      </c>
      <c r="S147" s="470" t="s">
        <v>224</v>
      </c>
      <c r="T147" s="467" t="s">
        <v>225</v>
      </c>
      <c r="U147" s="470" t="s">
        <v>226</v>
      </c>
      <c r="V147" s="467"/>
      <c r="W147" s="467"/>
    </row>
    <row r="148" s="410" customFormat="1" ht="17.4" spans="1:23">
      <c r="A148" s="432" t="s">
        <v>227</v>
      </c>
      <c r="B148" s="432" t="s">
        <v>178</v>
      </c>
      <c r="C148" s="434" t="str">
        <f>VLOOKUP(B148,正厂竞争者数据汇总!D:H,2,FALSE)</f>
        <v>原厂目录</v>
      </c>
      <c r="D148" s="435" t="str">
        <f>VLOOKUP(B148,正厂竞争者数据汇总!D:H,3,FALSE)</f>
        <v>CA</v>
      </c>
      <c r="E148" s="436">
        <f>VLOOKUP(B148,正厂竞争者数据汇总!D:H,4,FALSE)</f>
        <v>0</v>
      </c>
      <c r="F148" s="436">
        <v>109478.25</v>
      </c>
      <c r="G148" s="436">
        <v>19160.4166666667</v>
      </c>
      <c r="H148" s="436">
        <v>93560.5000000002</v>
      </c>
      <c r="I148" s="454">
        <f>(F148/G148)-1</f>
        <v>4.71377188213547</v>
      </c>
      <c r="J148" s="457">
        <v>0.564777952589824</v>
      </c>
      <c r="K148" s="457">
        <v>0.558279342406974</v>
      </c>
      <c r="L148" s="457">
        <v>0.562325879496778</v>
      </c>
      <c r="M148" s="456" t="e">
        <f>J148-#REF!</f>
        <v>#REF!</v>
      </c>
      <c r="N148" s="457" t="str">
        <f>IFERROR(O148*0.5/#REF!,"")</f>
        <v/>
      </c>
      <c r="O148" s="436" t="s">
        <v>180</v>
      </c>
      <c r="P148" s="531">
        <f t="array" ref="P148">INDEX(正厂竞争者数据汇总!I:I,MATCH($A$146&amp;B148,正厂竞争者数据汇总!A:A&amp;正厂竞争者数据汇总!D:D,0))</f>
        <v>0</v>
      </c>
      <c r="Q148" s="434" t="s">
        <v>324</v>
      </c>
      <c r="R148" s="435" t="s">
        <v>229</v>
      </c>
      <c r="S148" s="476"/>
      <c r="T148" s="477"/>
      <c r="U148" s="477"/>
      <c r="V148" s="435"/>
      <c r="W148" s="435"/>
    </row>
    <row r="149" s="408" customFormat="1" spans="1:23">
      <c r="A149" s="428" t="s">
        <v>230</v>
      </c>
      <c r="B149" s="421" t="s">
        <v>327</v>
      </c>
      <c r="C149" s="429" t="str">
        <f>VLOOKUP(B149,正厂竞争者数据汇总!D:H,2,FALSE)</f>
        <v>Motor目录</v>
      </c>
      <c r="D149" s="421" t="str">
        <f>VLOOKUP(B149,正厂竞争者数据汇总!D:H,3,FALSE)</f>
        <v>-</v>
      </c>
      <c r="E149" s="430"/>
      <c r="F149" s="430">
        <v>26693.4846666667</v>
      </c>
      <c r="G149" s="430"/>
      <c r="H149" s="430"/>
      <c r="I149" s="450"/>
      <c r="J149" s="451">
        <v>0.137706728208826</v>
      </c>
      <c r="K149" s="451">
        <v>0.119922204904071</v>
      </c>
      <c r="L149" s="451">
        <v>0.0708018650140364</v>
      </c>
      <c r="M149" s="452"/>
      <c r="N149" s="451"/>
      <c r="O149" s="430"/>
      <c r="P149" s="531" t="str">
        <f t="array" ref="P149">INDEX(正厂竞争者数据汇总!I:I,MATCH($A$146&amp;B149,正厂竞争者数据汇总!A:A&amp;正厂竞争者数据汇总!D:D,0))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49" s="429"/>
      <c r="R149" s="421"/>
      <c r="S149" s="472"/>
      <c r="T149" s="466"/>
      <c r="U149" s="466"/>
      <c r="V149" s="466"/>
      <c r="W149" s="466"/>
    </row>
    <row r="150" s="408" customFormat="1" spans="1:23">
      <c r="A150" s="428" t="s">
        <v>230</v>
      </c>
      <c r="B150" s="421" t="s">
        <v>328</v>
      </c>
      <c r="C150" s="429" t="str">
        <f>VLOOKUP(B150,正厂竞争者数据汇总!D:H,2,FALSE)</f>
        <v>Motor目录</v>
      </c>
      <c r="D150" s="421" t="str">
        <f>VLOOKUP(B150,正厂竞争者数据汇总!D:H,3,FALSE)</f>
        <v>AZ</v>
      </c>
      <c r="E150" s="430"/>
      <c r="F150" s="430">
        <v>21665.7266666667</v>
      </c>
      <c r="G150" s="430"/>
      <c r="H150" s="430"/>
      <c r="I150" s="450"/>
      <c r="J150" s="451">
        <v>0.111769458757066</v>
      </c>
      <c r="K150" s="451">
        <v>0.12699483736484</v>
      </c>
      <c r="L150" s="451">
        <v>0.155047083071943</v>
      </c>
      <c r="M150" s="452"/>
      <c r="N150" s="451"/>
      <c r="O150" s="430"/>
      <c r="P150" s="531" t="str">
        <f t="array" ref="P150">INDEX(正厂竞争者数据汇总!I:I,MATCH($A$146&amp;B150,正厂竞争者数据汇总!A:A&amp;正厂竞争者数据汇总!D:D,0))</f>
        <v>2022年1月 新加入 MarketingShare</v>
      </c>
      <c r="Q150" s="429"/>
      <c r="R150" s="421"/>
      <c r="S150" s="472"/>
      <c r="T150" s="466"/>
      <c r="U150" s="466"/>
      <c r="V150" s="466"/>
      <c r="W150" s="466"/>
    </row>
    <row r="151" s="408" customFormat="1" spans="1:23">
      <c r="A151" s="428" t="s">
        <v>325</v>
      </c>
      <c r="B151" s="421" t="s">
        <v>326</v>
      </c>
      <c r="C151" s="429" t="str">
        <f>VLOOKUP(B151,正厂竞争者数据汇总!D:H,2,FALSE)</f>
        <v>原厂目录</v>
      </c>
      <c r="D151" s="421" t="str">
        <f>VLOOKUP(B151,正厂竞争者数据汇总!D:H,3,FALSE)</f>
        <v>IL</v>
      </c>
      <c r="E151" s="430"/>
      <c r="F151" s="430">
        <v>16299.8769333333</v>
      </c>
      <c r="G151" s="430"/>
      <c r="H151" s="430"/>
      <c r="I151" s="450"/>
      <c r="J151" s="451">
        <v>0.0840880368646202</v>
      </c>
      <c r="K151" s="451">
        <v>0.0705872213347891</v>
      </c>
      <c r="L151" s="451">
        <v>0.0429720999864668</v>
      </c>
      <c r="M151" s="452"/>
      <c r="N151" s="451"/>
      <c r="O151" s="430"/>
      <c r="P151" s="531">
        <f t="array" ref="P151">INDEX(正厂竞争者数据汇总!I:I,MATCH($A$146&amp;B151,正厂竞争者数据汇总!A:A&amp;正厂竞争者数据汇总!D:D,0))</f>
        <v>0</v>
      </c>
      <c r="Q151" s="429"/>
      <c r="R151" s="421"/>
      <c r="S151" s="472"/>
      <c r="T151" s="466"/>
      <c r="U151" s="466"/>
      <c r="V151" s="466"/>
      <c r="W151" s="466"/>
    </row>
    <row r="152" s="408" customFormat="1" spans="1:23">
      <c r="A152" s="428" t="s">
        <v>230</v>
      </c>
      <c r="B152" s="421" t="s">
        <v>329</v>
      </c>
      <c r="C152" s="429" t="str">
        <f>VLOOKUP(B152,正厂竞争者数据汇总!D:H,2,FALSE)</f>
        <v>Motor目录</v>
      </c>
      <c r="D152" s="421" t="str">
        <f>VLOOKUP(B152,正厂竞争者数据汇总!D:H,3,FALSE)</f>
        <v>AZ</v>
      </c>
      <c r="E152" s="430"/>
      <c r="F152" s="430">
        <v>7662.89938333333</v>
      </c>
      <c r="G152" s="430"/>
      <c r="H152" s="430"/>
      <c r="I152" s="450"/>
      <c r="J152" s="451">
        <v>0.0395314742848084</v>
      </c>
      <c r="K152" s="451">
        <v>0.0605394890083925</v>
      </c>
      <c r="L152" s="451">
        <v>0.0974316507133505</v>
      </c>
      <c r="M152" s="452"/>
      <c r="N152" s="451"/>
      <c r="O152" s="430"/>
      <c r="P152" s="531">
        <f t="array" ref="P152">INDEX(正厂竞争者数据汇总!I:I,MATCH($A$146&amp;B152,正厂竞争者数据汇总!A:A&amp;正厂竞争者数据汇总!D:D,0))</f>
        <v>0</v>
      </c>
      <c r="Q152" s="429"/>
      <c r="R152" s="421"/>
      <c r="S152" s="472"/>
      <c r="T152" s="466"/>
      <c r="U152" s="466"/>
      <c r="V152" s="466"/>
      <c r="W152" s="466"/>
    </row>
    <row r="153" s="408" customFormat="1" spans="1:23">
      <c r="A153" s="428" t="s">
        <v>230</v>
      </c>
      <c r="B153" s="421" t="s">
        <v>407</v>
      </c>
      <c r="C153" s="429" t="str">
        <f>VLOOKUP(B153,正厂竞争者数据汇总!D:H,2,FALSE)</f>
        <v>Motor目录</v>
      </c>
      <c r="D153" s="421" t="str">
        <f>VLOOKUP(B153,正厂竞争者数据汇总!D:H,3,FALSE)</f>
        <v>NC</v>
      </c>
      <c r="E153" s="430"/>
      <c r="F153" s="430">
        <v>6981.1633</v>
      </c>
      <c r="G153" s="430"/>
      <c r="H153" s="430"/>
      <c r="I153" s="450"/>
      <c r="J153" s="451">
        <v>0.0360145244856327</v>
      </c>
      <c r="K153" s="451">
        <v>0.0383459805220879</v>
      </c>
      <c r="L153" s="451">
        <v>0.0332286203827303</v>
      </c>
      <c r="M153" s="452"/>
      <c r="N153" s="451"/>
      <c r="O153" s="430"/>
      <c r="P153" s="531" t="str">
        <f t="array" ref="P153">INDEX(正厂竞争者数据汇总!I:I,MATCH($A$146&amp;B153,正厂竞争者数据汇总!A:A&amp;正厂竞争者数据汇总!D:D,0))</f>
        <v>202112新增竞争者</v>
      </c>
      <c r="Q153" s="429"/>
      <c r="R153" s="421"/>
      <c r="S153" s="472"/>
      <c r="T153" s="466"/>
      <c r="U153" s="466"/>
      <c r="V153" s="466"/>
      <c r="W153" s="466"/>
    </row>
    <row r="154" s="408" customFormat="1" spans="1:23">
      <c r="A154" s="428" t="s">
        <v>230</v>
      </c>
      <c r="B154" s="421" t="s">
        <v>394</v>
      </c>
      <c r="C154" s="429" t="str">
        <f>VLOOKUP(B154,正厂竞争者数据汇总!D:H,2,FALSE)</f>
        <v>Motor目录</v>
      </c>
      <c r="D154" s="421" t="str">
        <f>VLOOKUP(B154,正厂竞争者数据汇总!D:H,3,FALSE)</f>
        <v>GA</v>
      </c>
      <c r="E154" s="430"/>
      <c r="F154" s="430">
        <v>5061.59433333333</v>
      </c>
      <c r="G154" s="430"/>
      <c r="H154" s="430"/>
      <c r="I154" s="450"/>
      <c r="J154" s="451">
        <v>0.0261118248092224</v>
      </c>
      <c r="K154" s="451">
        <v>0.0253309244588451</v>
      </c>
      <c r="L154" s="451">
        <v>0.0367042547983886</v>
      </c>
      <c r="M154" s="452"/>
      <c r="N154" s="451"/>
      <c r="O154" s="430"/>
      <c r="P154" s="531" t="str">
        <f t="array" ref="P154">INDEX(正厂竞争者数据汇总!I:I,MATCH($A$146&amp;B154,正厂竞争者数据汇总!A:A&amp;正厂竞争者数据汇总!D:D,0))</f>
        <v>2023/6，因流量上涨加入MS计算基准</v>
      </c>
      <c r="Q154" s="429"/>
      <c r="R154" s="421"/>
      <c r="S154" s="472"/>
      <c r="T154" s="466"/>
      <c r="U154" s="466"/>
      <c r="V154" s="466"/>
      <c r="W154" s="466"/>
    </row>
    <row r="155" s="408" customFormat="1" spans="1:23">
      <c r="A155" s="428"/>
      <c r="B155" s="431"/>
      <c r="C155" s="429"/>
      <c r="D155" s="421"/>
      <c r="E155" s="430"/>
      <c r="F155" s="430"/>
      <c r="G155" s="430">
        <v>161698.333333333</v>
      </c>
      <c r="H155" s="430"/>
      <c r="I155" s="453"/>
      <c r="J155" s="451"/>
      <c r="K155" s="451"/>
      <c r="L155" s="451"/>
      <c r="M155" s="451"/>
      <c r="N155" s="451"/>
      <c r="O155" s="430"/>
      <c r="P155" s="531"/>
      <c r="Q155" s="429"/>
      <c r="R155" s="421"/>
      <c r="S155" s="473"/>
      <c r="T155" s="466"/>
      <c r="U155" s="466"/>
      <c r="V155" s="421"/>
      <c r="W155" s="421"/>
    </row>
    <row r="156" s="408" customFormat="1" spans="1:23">
      <c r="A156" s="428"/>
      <c r="B156" s="421"/>
      <c r="C156" s="439"/>
      <c r="D156" s="421"/>
      <c r="E156" s="430"/>
      <c r="F156" s="430">
        <v>193842.995283333</v>
      </c>
      <c r="G156" s="430"/>
      <c r="H156" s="430">
        <v>167907.166666667</v>
      </c>
      <c r="I156" s="453" t="e">
        <f>(F156/G156)-1</f>
        <v>#DIV/0!</v>
      </c>
      <c r="J156" s="430"/>
      <c r="K156" s="430"/>
      <c r="L156" s="430"/>
      <c r="M156" s="451"/>
      <c r="N156" s="451">
        <f>SUM(N148:N149)</f>
        <v>0</v>
      </c>
      <c r="O156" s="430"/>
      <c r="P156" s="531"/>
      <c r="Q156" s="493"/>
      <c r="R156" s="421"/>
      <c r="S156" s="473"/>
      <c r="T156" s="466"/>
      <c r="U156" s="466"/>
      <c r="V156" s="421"/>
      <c r="W156" s="421"/>
    </row>
    <row r="157" s="408" customFormat="1" spans="1:23">
      <c r="A157" s="428"/>
      <c r="B157" s="421"/>
      <c r="C157" s="439"/>
      <c r="D157" s="421"/>
      <c r="E157" s="430"/>
      <c r="F157" s="430"/>
      <c r="G157" s="430"/>
      <c r="H157" s="430"/>
      <c r="I157" s="453"/>
      <c r="J157" s="430"/>
      <c r="K157" s="430"/>
      <c r="L157" s="430"/>
      <c r="M157" s="451"/>
      <c r="N157" s="451"/>
      <c r="O157" s="430"/>
      <c r="P157" s="531"/>
      <c r="Q157" s="493"/>
      <c r="R157" s="421"/>
      <c r="S157" s="473"/>
      <c r="T157" s="466"/>
      <c r="U157" s="466"/>
      <c r="V157" s="421"/>
      <c r="W157" s="421"/>
    </row>
    <row r="158" s="408" customFormat="1" ht="17.4" spans="1:23">
      <c r="A158" s="418" t="s">
        <v>185</v>
      </c>
      <c r="B158" s="419"/>
      <c r="C158" s="420"/>
      <c r="D158" s="421"/>
      <c r="E158" s="422" t="s">
        <v>202</v>
      </c>
      <c r="F158" s="422"/>
      <c r="G158" s="422" t="s">
        <v>212</v>
      </c>
      <c r="H158" s="422"/>
      <c r="I158" s="422"/>
      <c r="J158" s="422"/>
      <c r="K158" s="422"/>
      <c r="L158" s="422"/>
      <c r="M158" s="443"/>
      <c r="N158" s="444"/>
      <c r="O158" s="422"/>
      <c r="P158" s="531"/>
      <c r="Q158" s="465"/>
      <c r="R158" s="424"/>
      <c r="S158" s="473"/>
      <c r="T158" s="467"/>
      <c r="U158" s="467"/>
      <c r="V158" s="467"/>
      <c r="W158" s="467"/>
    </row>
    <row r="159" s="409" customFormat="1" ht="48.6" spans="1:23">
      <c r="A159" s="423" t="s">
        <v>206</v>
      </c>
      <c r="B159" s="424" t="s">
        <v>207</v>
      </c>
      <c r="C159" s="425" t="s">
        <v>208</v>
      </c>
      <c r="D159" s="424" t="s">
        <v>209</v>
      </c>
      <c r="E159" s="426" t="s">
        <v>210</v>
      </c>
      <c r="F159" s="427" t="s">
        <v>402</v>
      </c>
      <c r="G159" s="427">
        <v>116448.583333333</v>
      </c>
      <c r="H159" s="427" t="s">
        <v>397</v>
      </c>
      <c r="I159" s="427" t="s">
        <v>214</v>
      </c>
      <c r="J159" s="446" t="s">
        <v>398</v>
      </c>
      <c r="K159" s="446" t="s">
        <v>399</v>
      </c>
      <c r="L159" s="446" t="s">
        <v>403</v>
      </c>
      <c r="M159" s="447" t="s">
        <v>218</v>
      </c>
      <c r="N159" s="448" t="s">
        <v>219</v>
      </c>
      <c r="O159" s="449" t="s">
        <v>220</v>
      </c>
      <c r="P159" s="530" t="s">
        <v>221</v>
      </c>
      <c r="Q159" s="469" t="s">
        <v>222</v>
      </c>
      <c r="R159" s="426" t="s">
        <v>223</v>
      </c>
      <c r="S159" s="470" t="s">
        <v>224</v>
      </c>
      <c r="T159" s="467" t="s">
        <v>225</v>
      </c>
      <c r="U159" s="470" t="s">
        <v>226</v>
      </c>
      <c r="V159" s="467"/>
      <c r="W159" s="467"/>
    </row>
    <row r="160" s="408" customFormat="1" spans="1:23">
      <c r="A160" s="428" t="s">
        <v>230</v>
      </c>
      <c r="B160" s="438" t="s">
        <v>330</v>
      </c>
      <c r="C160" s="429" t="str">
        <f>VLOOKUP(B160,正厂竞争者数据汇总!D:H,2,FALSE)</f>
        <v>Motor目录</v>
      </c>
      <c r="D160" s="421" t="str">
        <f>VLOOKUP(B160,正厂竞争者数据汇总!D:H,3,FALSE)</f>
        <v>NM</v>
      </c>
      <c r="E160" s="430"/>
      <c r="F160" s="430">
        <v>104309.416666667</v>
      </c>
      <c r="G160" s="430"/>
      <c r="H160" s="430"/>
      <c r="I160" s="453"/>
      <c r="J160" s="451">
        <v>0.21392234695695</v>
      </c>
      <c r="K160" s="451">
        <v>0.252053643451624</v>
      </c>
      <c r="L160" s="451">
        <v>0.271647046176254</v>
      </c>
      <c r="M160" s="451"/>
      <c r="N160" s="459"/>
      <c r="O160" s="430"/>
      <c r="P160" s="531">
        <f>VLOOKUP(B160,正厂竞争者数据汇总!D:M,6,FALSE)</f>
        <v>0</v>
      </c>
      <c r="Q160" s="429"/>
      <c r="R160" s="421"/>
      <c r="S160" s="473"/>
      <c r="T160" s="466"/>
      <c r="U160" s="466"/>
      <c r="V160" s="421"/>
      <c r="W160" s="421"/>
    </row>
    <row r="161" s="408" customFormat="1" spans="1:23">
      <c r="A161" s="428" t="s">
        <v>243</v>
      </c>
      <c r="B161" s="438" t="s">
        <v>331</v>
      </c>
      <c r="C161" s="429" t="str">
        <f>VLOOKUP(B161,正厂竞争者数据汇总!D:H,2,FALSE)</f>
        <v>旧年份原厂、新年份Motor</v>
      </c>
      <c r="D161" s="421" t="str">
        <f>VLOOKUP(B161,正厂竞争者数据汇总!D:H,3,FALSE)</f>
        <v>GA</v>
      </c>
      <c r="E161" s="430" t="str">
        <f>VLOOKUP(B159,正厂竞争者数据汇总!D:H,4,FALSE)</f>
        <v>Alexa Traffic Rank</v>
      </c>
      <c r="F161" s="430">
        <v>76241.8033333333</v>
      </c>
      <c r="G161" s="430">
        <v>148204.583333333</v>
      </c>
      <c r="H161" s="430">
        <v>93790.0833333333</v>
      </c>
      <c r="I161" s="453">
        <f>(F161/G161)-1</f>
        <v>-0.485563795541635</v>
      </c>
      <c r="J161" s="451">
        <v>0.156360049039646</v>
      </c>
      <c r="K161" s="451">
        <v>0.177108243016465</v>
      </c>
      <c r="L161" s="451">
        <v>0.216129084438148</v>
      </c>
      <c r="M161" s="451" t="e">
        <f>J161-#REF!</f>
        <v>#REF!</v>
      </c>
      <c r="N161" s="459"/>
      <c r="O161" s="430"/>
      <c r="P161" s="531">
        <f>VLOOKUP(B161,正厂竞争者数据汇总!D:M,6,FALSE)</f>
        <v>0</v>
      </c>
      <c r="Q161" s="429" t="s">
        <v>180</v>
      </c>
      <c r="R161" s="421" t="s">
        <v>180</v>
      </c>
      <c r="S161" s="473"/>
      <c r="T161" s="466"/>
      <c r="U161" s="466"/>
      <c r="V161" s="421"/>
      <c r="W161" s="421"/>
    </row>
    <row r="162" s="408" customFormat="1" spans="1:23">
      <c r="A162" s="428" t="s">
        <v>230</v>
      </c>
      <c r="B162" s="438" t="s">
        <v>336</v>
      </c>
      <c r="C162" s="429" t="str">
        <f>VLOOKUP(B162,正厂竞争者数据汇总!D:H,2,FALSE)</f>
        <v>Motor目录</v>
      </c>
      <c r="D162" s="421" t="str">
        <f>VLOOKUP(B162,正厂竞争者数据汇总!D:H,3,FALSE)</f>
        <v>IL</v>
      </c>
      <c r="E162" s="430"/>
      <c r="F162" s="430">
        <v>73864.25</v>
      </c>
      <c r="G162" s="430"/>
      <c r="H162" s="430"/>
      <c r="I162" s="453"/>
      <c r="J162" s="451">
        <v>0.151484057922686</v>
      </c>
      <c r="K162" s="451">
        <v>0.162412752822532</v>
      </c>
      <c r="L162" s="451">
        <v>0.159790873531664</v>
      </c>
      <c r="M162" s="451"/>
      <c r="N162" s="459"/>
      <c r="O162" s="430"/>
      <c r="P162" s="531" t="str">
        <f>VLOOKUP(B162,正厂竞争者数据汇总!D:M,6,FALSE)</f>
        <v>2023年9月新增</v>
      </c>
      <c r="Q162" s="429"/>
      <c r="R162" s="421"/>
      <c r="S162" s="473"/>
      <c r="T162" s="466"/>
      <c r="U162" s="466"/>
      <c r="V162" s="421"/>
      <c r="W162" s="421"/>
    </row>
    <row r="163" s="408" customFormat="1" spans="1:23">
      <c r="A163" s="428" t="s">
        <v>332</v>
      </c>
      <c r="B163" s="438" t="s">
        <v>333</v>
      </c>
      <c r="C163" s="429" t="str">
        <f>VLOOKUP(B163,正厂竞争者数据汇总!D:H,2,FALSE)</f>
        <v>Motor目录</v>
      </c>
      <c r="D163" s="421" t="str">
        <f>VLOOKUP(B163,正厂竞争者数据汇总!D:H,3,FALSE)</f>
        <v>TX</v>
      </c>
      <c r="E163" s="430"/>
      <c r="F163" s="430">
        <v>71524.8333333333</v>
      </c>
      <c r="G163" s="430"/>
      <c r="H163" s="430"/>
      <c r="I163" s="453"/>
      <c r="J163" s="451">
        <v>0.146686279161802</v>
      </c>
      <c r="K163" s="451">
        <v>0.144545245741146</v>
      </c>
      <c r="L163" s="451">
        <v>0.159544192187682</v>
      </c>
      <c r="M163" s="451"/>
      <c r="N163" s="459"/>
      <c r="O163" s="430"/>
      <c r="P163" s="531" t="str">
        <f>VLOOKUP(B163,正厂竞争者数据汇总!D:M,6,FALSE)</f>
        <v>2023年9月新增，用区号确定的地址</v>
      </c>
      <c r="Q163" s="429"/>
      <c r="R163" s="421"/>
      <c r="S163" s="473"/>
      <c r="T163" s="466"/>
      <c r="U163" s="466"/>
      <c r="V163" s="421"/>
      <c r="W163" s="421"/>
    </row>
    <row r="164" s="408" customFormat="1" spans="1:23">
      <c r="A164" s="428" t="s">
        <v>230</v>
      </c>
      <c r="B164" s="438" t="s">
        <v>334</v>
      </c>
      <c r="C164" s="429" t="str">
        <f>VLOOKUP(B164,正厂竞争者数据汇总!D:H,2,FALSE)</f>
        <v>Motor目录</v>
      </c>
      <c r="D164" s="421" t="str">
        <f>VLOOKUP(B164,正厂竞争者数据汇总!D:H,3,FALSE)</f>
        <v>WA</v>
      </c>
      <c r="E164" s="430"/>
      <c r="F164" s="430">
        <v>42886.0833333333</v>
      </c>
      <c r="G164" s="430"/>
      <c r="H164" s="430"/>
      <c r="I164" s="453"/>
      <c r="J164" s="451">
        <v>0.0879526690075889</v>
      </c>
      <c r="K164" s="451">
        <v>0.102883166854073</v>
      </c>
      <c r="L164" s="451">
        <v>0.107928479934056</v>
      </c>
      <c r="M164" s="451"/>
      <c r="N164" s="459"/>
      <c r="O164" s="430"/>
      <c r="P164" s="531">
        <f>VLOOKUP(B164,正厂竞争者数据汇总!D:M,6,FALSE)</f>
        <v>0</v>
      </c>
      <c r="Q164" s="429"/>
      <c r="R164" s="421"/>
      <c r="S164" s="473"/>
      <c r="T164" s="466"/>
      <c r="U164" s="466"/>
      <c r="V164" s="421"/>
      <c r="W164" s="421"/>
    </row>
    <row r="165" s="408" customFormat="1" spans="1:23">
      <c r="A165" s="428" t="s">
        <v>230</v>
      </c>
      <c r="B165" s="438" t="s">
        <v>335</v>
      </c>
      <c r="C165" s="429" t="str">
        <f>VLOOKUP(B165,正厂竞争者数据汇总!D:H,2,FALSE)</f>
        <v>Motor目录</v>
      </c>
      <c r="D165" s="421" t="str">
        <f>VLOOKUP(B165,正厂竞争者数据汇总!D:H,3,FALSE)</f>
        <v>NH</v>
      </c>
      <c r="E165" s="430"/>
      <c r="F165" s="430">
        <v>40096.2</v>
      </c>
      <c r="G165" s="430"/>
      <c r="H165" s="430"/>
      <c r="I165" s="453"/>
      <c r="J165" s="451">
        <v>0.0822310533618036</v>
      </c>
      <c r="K165" s="451">
        <v>0.0922926079840112</v>
      </c>
      <c r="L165" s="451"/>
      <c r="M165" s="451"/>
      <c r="N165" s="459"/>
      <c r="O165" s="430"/>
      <c r="P165" s="531" t="str">
        <f>VLOOKUP(B165,正厂竞争者数据汇总!D:M,6,FALSE)</f>
        <v>2023年9月新增</v>
      </c>
      <c r="Q165" s="429"/>
      <c r="R165" s="421"/>
      <c r="S165" s="473"/>
      <c r="T165" s="466"/>
      <c r="U165" s="466"/>
      <c r="V165" s="421"/>
      <c r="W165" s="421"/>
    </row>
    <row r="166" s="408" customFormat="1" spans="1:23">
      <c r="A166" s="428" t="s">
        <v>230</v>
      </c>
      <c r="B166" s="438" t="s">
        <v>337</v>
      </c>
      <c r="C166" s="429" t="str">
        <f>VLOOKUP(B166,正厂竞争者数据汇总!D:H,2,FALSE)</f>
        <v>Acc目录</v>
      </c>
      <c r="D166" s="421" t="str">
        <f>VLOOKUP(B166,正厂竞争者数据汇总!D:H,3,FALSE)</f>
        <v>AL</v>
      </c>
      <c r="E166" s="430"/>
      <c r="F166" s="430">
        <v>27437.9283333333</v>
      </c>
      <c r="G166" s="430"/>
      <c r="H166" s="430"/>
      <c r="I166" s="453"/>
      <c r="J166" s="451">
        <v>0.0562709121791011</v>
      </c>
      <c r="K166" s="451">
        <v>0.0687043401301493</v>
      </c>
      <c r="L166" s="451">
        <v>0.0849603237321943</v>
      </c>
      <c r="M166" s="451"/>
      <c r="N166" s="459"/>
      <c r="O166" s="430"/>
      <c r="P166" s="531" t="str">
        <f>VLOOKUP(B166,正厂竞争者数据汇总!D:M,6,FALSE)</f>
        <v>主营Acc</v>
      </c>
      <c r="Q166" s="429"/>
      <c r="R166" s="421"/>
      <c r="S166" s="473"/>
      <c r="T166" s="466"/>
      <c r="U166" s="466"/>
      <c r="V166" s="421"/>
      <c r="W166" s="421"/>
    </row>
    <row r="167" s="408" customFormat="1" spans="1:23">
      <c r="A167" s="428" t="s">
        <v>243</v>
      </c>
      <c r="B167" s="438" t="s">
        <v>339</v>
      </c>
      <c r="C167" s="429" t="str">
        <f>VLOOKUP(B167,正厂竞争者数据汇总!D:H,2,FALSE)</f>
        <v>Motor目录</v>
      </c>
      <c r="D167" s="421" t="str">
        <f>VLOOKUP(B167,正厂竞争者数据汇总!D:H,3,FALSE)</f>
        <v>TX</v>
      </c>
      <c r="E167" s="430"/>
      <c r="F167" s="430">
        <v>26106.1</v>
      </c>
      <c r="G167" s="430"/>
      <c r="H167" s="430"/>
      <c r="I167" s="453"/>
      <c r="J167" s="451">
        <v>0.0535395399606092</v>
      </c>
      <c r="K167" s="451"/>
      <c r="L167" s="451"/>
      <c r="M167" s="451"/>
      <c r="N167" s="459"/>
      <c r="O167" s="430"/>
      <c r="P167" s="531"/>
      <c r="Q167" s="429"/>
      <c r="R167" s="421"/>
      <c r="S167" s="473"/>
      <c r="T167" s="466"/>
      <c r="U167" s="466"/>
      <c r="V167" s="421"/>
      <c r="W167" s="421"/>
    </row>
    <row r="168" s="408" customFormat="1" spans="1:23">
      <c r="A168" s="428" t="s">
        <v>243</v>
      </c>
      <c r="B168" s="438" t="s">
        <v>340</v>
      </c>
      <c r="C168" s="429" t="str">
        <f>VLOOKUP(B168,正厂竞争者数据汇总!D:H,2,FALSE)</f>
        <v>Motor目录</v>
      </c>
      <c r="D168" s="421" t="str">
        <f>VLOOKUP(B168,正厂竞争者数据汇总!D:H,3,FALSE)</f>
        <v>NC</v>
      </c>
      <c r="E168" s="430"/>
      <c r="F168" s="430">
        <v>25137.5</v>
      </c>
      <c r="G168" s="430"/>
      <c r="H168" s="430"/>
      <c r="I168" s="453"/>
      <c r="J168" s="451">
        <v>0.0515530924098128</v>
      </c>
      <c r="K168" s="451"/>
      <c r="L168" s="451"/>
      <c r="M168" s="451"/>
      <c r="N168" s="459"/>
      <c r="O168" s="430"/>
      <c r="P168" s="531"/>
      <c r="Q168" s="429"/>
      <c r="R168" s="421"/>
      <c r="S168" s="473"/>
      <c r="T168" s="466"/>
      <c r="U168" s="466"/>
      <c r="V168" s="421"/>
      <c r="W168" s="421"/>
    </row>
    <row r="169" s="410" customFormat="1" spans="1:23">
      <c r="A169" s="428"/>
      <c r="B169" s="255"/>
      <c r="C169" s="429"/>
      <c r="D169" s="421"/>
      <c r="E169" s="436"/>
      <c r="F169" s="436"/>
      <c r="G169" s="436"/>
      <c r="H169" s="436"/>
      <c r="I169" s="453"/>
      <c r="J169" s="457"/>
      <c r="K169" s="457"/>
      <c r="L169" s="457"/>
      <c r="M169" s="451"/>
      <c r="N169" s="455"/>
      <c r="O169" s="436"/>
      <c r="P169" s="531"/>
      <c r="Q169" s="500"/>
      <c r="R169" s="501"/>
      <c r="S169" s="473"/>
      <c r="T169" s="466"/>
      <c r="U169" s="466"/>
      <c r="V169" s="435"/>
      <c r="W169" s="435"/>
    </row>
    <row r="170" s="408" customFormat="1" spans="1:23">
      <c r="A170" s="428"/>
      <c r="B170" s="421"/>
      <c r="C170" s="439"/>
      <c r="D170" s="421"/>
      <c r="E170" s="430"/>
      <c r="F170" s="430">
        <v>487604.115</v>
      </c>
      <c r="G170" s="430"/>
      <c r="H170" s="430">
        <v>484652.583333333</v>
      </c>
      <c r="I170" s="453" t="e">
        <f>(F170/G170)-1</f>
        <v>#DIV/0!</v>
      </c>
      <c r="J170" s="430"/>
      <c r="K170" s="430"/>
      <c r="L170" s="430"/>
      <c r="M170" s="451"/>
      <c r="N170" s="459"/>
      <c r="O170" s="430"/>
      <c r="P170" s="531"/>
      <c r="Q170" s="429"/>
      <c r="R170" s="421"/>
      <c r="S170" s="473"/>
      <c r="T170" s="466"/>
      <c r="U170" s="466"/>
      <c r="V170" s="421"/>
      <c r="W170" s="421"/>
    </row>
    <row r="171" s="408" customFormat="1" spans="1:23">
      <c r="A171" s="423"/>
      <c r="B171" s="421"/>
      <c r="C171" s="425"/>
      <c r="D171" s="421"/>
      <c r="E171" s="430"/>
      <c r="F171" s="430"/>
      <c r="G171" s="430"/>
      <c r="H171" s="430"/>
      <c r="I171" s="453"/>
      <c r="J171" s="430"/>
      <c r="K171" s="430"/>
      <c r="L171" s="430"/>
      <c r="M171" s="451"/>
      <c r="N171" s="459"/>
      <c r="O171" s="430"/>
      <c r="P171" s="531"/>
      <c r="Q171" s="429"/>
      <c r="R171" s="421"/>
      <c r="S171" s="473"/>
      <c r="T171" s="466"/>
      <c r="U171" s="466"/>
      <c r="V171" s="421"/>
      <c r="W171" s="421"/>
    </row>
    <row r="172" s="408" customFormat="1" ht="17.4" spans="1:23">
      <c r="A172" s="418" t="s">
        <v>189</v>
      </c>
      <c r="B172" s="419"/>
      <c r="C172" s="420"/>
      <c r="D172" s="421"/>
      <c r="E172" s="422" t="s">
        <v>202</v>
      </c>
      <c r="F172" s="422"/>
      <c r="G172" s="422" t="s">
        <v>212</v>
      </c>
      <c r="H172" s="422"/>
      <c r="I172" s="422"/>
      <c r="J172" s="422"/>
      <c r="K172" s="422"/>
      <c r="L172" s="422"/>
      <c r="M172" s="443"/>
      <c r="N172" s="422"/>
      <c r="O172" s="422"/>
      <c r="P172" s="531"/>
      <c r="Q172" s="465"/>
      <c r="R172" s="424"/>
      <c r="S172" s="473"/>
      <c r="T172" s="467"/>
      <c r="U172" s="467"/>
      <c r="V172" s="467"/>
      <c r="W172" s="467"/>
    </row>
    <row r="173" s="409" customFormat="1" ht="48.6" spans="1:23">
      <c r="A173" s="423" t="s">
        <v>206</v>
      </c>
      <c r="B173" s="424" t="s">
        <v>207</v>
      </c>
      <c r="C173" s="425" t="s">
        <v>208</v>
      </c>
      <c r="D173" s="424" t="s">
        <v>209</v>
      </c>
      <c r="E173" s="426" t="s">
        <v>210</v>
      </c>
      <c r="F173" s="427" t="s">
        <v>402</v>
      </c>
      <c r="G173" s="427">
        <v>116448.583333333</v>
      </c>
      <c r="H173" s="427" t="s">
        <v>397</v>
      </c>
      <c r="I173" s="427" t="s">
        <v>214</v>
      </c>
      <c r="J173" s="446" t="s">
        <v>398</v>
      </c>
      <c r="K173" s="446" t="s">
        <v>399</v>
      </c>
      <c r="L173" s="446" t="s">
        <v>403</v>
      </c>
      <c r="M173" s="447" t="s">
        <v>218</v>
      </c>
      <c r="N173" s="448" t="s">
        <v>219</v>
      </c>
      <c r="O173" s="449" t="s">
        <v>220</v>
      </c>
      <c r="P173" s="530" t="s">
        <v>221</v>
      </c>
      <c r="Q173" s="469" t="s">
        <v>222</v>
      </c>
      <c r="R173" s="426" t="s">
        <v>223</v>
      </c>
      <c r="S173" s="470" t="s">
        <v>224</v>
      </c>
      <c r="T173" s="467" t="s">
        <v>225</v>
      </c>
      <c r="U173" s="470" t="s">
        <v>226</v>
      </c>
      <c r="V173" s="467"/>
      <c r="W173" s="467"/>
    </row>
    <row r="174" s="408" customFormat="1" spans="1:23">
      <c r="A174" s="428" t="s">
        <v>230</v>
      </c>
      <c r="B174" s="421" t="s">
        <v>354</v>
      </c>
      <c r="C174" s="429" t="str">
        <f>VLOOKUP(B174,正厂竞争者数据汇总!D:H,2,FALSE)</f>
        <v>Motor目录</v>
      </c>
      <c r="D174" s="421" t="str">
        <f>VLOOKUP(B174,正厂竞争者数据汇总!D:H,3,FALSE)</f>
        <v>NJ</v>
      </c>
      <c r="E174" s="430"/>
      <c r="F174" s="430">
        <v>126780.083333333</v>
      </c>
      <c r="G174" s="430"/>
      <c r="H174" s="430"/>
      <c r="I174" s="453"/>
      <c r="J174" s="451">
        <v>0.469937560712213</v>
      </c>
      <c r="K174" s="451">
        <v>0.469682974706976</v>
      </c>
      <c r="L174" s="451">
        <v>0.446506805834718</v>
      </c>
      <c r="M174" s="451"/>
      <c r="N174" s="459"/>
      <c r="O174" s="430"/>
      <c r="P174" s="531">
        <f>VLOOKUP(B174,正厂竞争者数据汇总!D:M,6,FALSE)</f>
        <v>0</v>
      </c>
      <c r="Q174" s="429"/>
      <c r="R174" s="421"/>
      <c r="S174" s="473"/>
      <c r="T174" s="466"/>
      <c r="U174" s="466"/>
      <c r="V174" s="421"/>
      <c r="W174" s="421"/>
    </row>
    <row r="175" s="408" customFormat="1" spans="1:23">
      <c r="A175" s="428" t="s">
        <v>230</v>
      </c>
      <c r="B175" s="421" t="s">
        <v>352</v>
      </c>
      <c r="C175" s="429" t="str">
        <f>VLOOKUP(B175,正厂竞争者数据汇总!D:H,2,FALSE)</f>
        <v>Motor目录</v>
      </c>
      <c r="D175" s="421" t="str">
        <f>VLOOKUP(B175,正厂竞争者数据汇总!D:H,3,FALSE)</f>
        <v>-</v>
      </c>
      <c r="E175" s="430" t="e">
        <f>VLOOKUP(B180,正厂竞争者数据汇总!D:H,4,FALSE)</f>
        <v>#N/A</v>
      </c>
      <c r="F175" s="430">
        <v>42761.1150666667</v>
      </c>
      <c r="G175" s="430">
        <v>129</v>
      </c>
      <c r="H175" s="430">
        <v>27912.6666666667</v>
      </c>
      <c r="I175" s="453">
        <f t="shared" ref="I175:I178" si="0">(F175/G175)-1</f>
        <v>330.481512144703</v>
      </c>
      <c r="J175" s="451">
        <v>0.15850324104086</v>
      </c>
      <c r="K175" s="451">
        <v>0.138725707596715</v>
      </c>
      <c r="L175" s="451">
        <v>0.123264335985182</v>
      </c>
      <c r="M175" s="451"/>
      <c r="N175" s="459"/>
      <c r="O175" s="430"/>
      <c r="P175" s="531" t="str">
        <f>VLOOKUP(B175,正厂竞争者数据汇总!D:M,6,FALSE)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75" s="429"/>
      <c r="R175" s="421"/>
      <c r="S175" s="473"/>
      <c r="T175" s="466"/>
      <c r="U175" s="466"/>
      <c r="V175" s="421"/>
      <c r="W175" s="421"/>
    </row>
    <row r="176" s="408" customFormat="1" spans="1:23">
      <c r="A176" s="428" t="s">
        <v>243</v>
      </c>
      <c r="B176" s="421" t="s">
        <v>355</v>
      </c>
      <c r="C176" s="429" t="str">
        <f>VLOOKUP(B176,正厂竞争者数据汇总!D:H,2,FALSE)</f>
        <v>旧年份原厂、新年份Motor</v>
      </c>
      <c r="D176" s="421" t="str">
        <f>VLOOKUP(B176,正厂竞争者数据汇总!D:H,3,FALSE)</f>
        <v>GA</v>
      </c>
      <c r="E176" s="430" t="e">
        <f>VLOOKUP(B179,正厂竞争者数据汇总!D:H,4,FALSE)</f>
        <v>#N/A</v>
      </c>
      <c r="F176" s="430">
        <v>41906.1666666667</v>
      </c>
      <c r="G176" s="430">
        <v>128</v>
      </c>
      <c r="H176" s="430">
        <v>27911.6666666667</v>
      </c>
      <c r="I176" s="453">
        <f t="shared" si="0"/>
        <v>326.391927083333</v>
      </c>
      <c r="J176" s="451">
        <v>0.155334191494059</v>
      </c>
      <c r="K176" s="451">
        <v>0.183323142079202</v>
      </c>
      <c r="L176" s="451">
        <v>0.185707952479706</v>
      </c>
      <c r="M176" s="451"/>
      <c r="N176" s="459"/>
      <c r="O176" s="430"/>
      <c r="P176" s="531">
        <f>VLOOKUP(B176,正厂竞争者数据汇总!D:M,6,FALSE)</f>
        <v>0</v>
      </c>
      <c r="Q176" s="429" t="s">
        <v>180</v>
      </c>
      <c r="R176" s="421" t="s">
        <v>180</v>
      </c>
      <c r="S176" s="473"/>
      <c r="T176" s="466"/>
      <c r="U176" s="466"/>
      <c r="V176" s="421"/>
      <c r="W176" s="421"/>
    </row>
    <row r="177" s="408" customFormat="1" spans="1:23">
      <c r="A177" s="428" t="s">
        <v>243</v>
      </c>
      <c r="B177" s="421" t="s">
        <v>353</v>
      </c>
      <c r="C177" s="429" t="str">
        <f>VLOOKUP(B177,正厂竞争者数据汇总!D:H,2,FALSE)</f>
        <v>Motor目录</v>
      </c>
      <c r="D177" s="421" t="str">
        <f>VLOOKUP(B177,正厂竞争者数据汇总!D:H,3,FALSE)</f>
        <v>WI</v>
      </c>
      <c r="E177" s="430">
        <f>VLOOKUP(B178,正厂竞争者数据汇总!D:H,4,FALSE)</f>
        <v>0</v>
      </c>
      <c r="F177" s="430">
        <v>40677.8333333333</v>
      </c>
      <c r="G177" s="430">
        <v>127</v>
      </c>
      <c r="H177" s="430">
        <v>27910.6666666667</v>
      </c>
      <c r="I177" s="453">
        <f t="shared" si="0"/>
        <v>319.297900262467</v>
      </c>
      <c r="J177" s="451">
        <v>0.150781110637578</v>
      </c>
      <c r="K177" s="451">
        <v>0.145523357496629</v>
      </c>
      <c r="L177" s="451">
        <v>0.164547726474867</v>
      </c>
      <c r="M177" s="451" t="e">
        <f>J177-#REF!</f>
        <v>#REF!</v>
      </c>
      <c r="N177" s="459"/>
      <c r="O177" s="430"/>
      <c r="P177" s="531" t="str">
        <f>VLOOKUP(B177,正厂竞争者数据汇总!D:M,6,FALSE)</f>
        <v>2023年9月新增</v>
      </c>
      <c r="Q177" s="429" t="s">
        <v>180</v>
      </c>
      <c r="R177" s="421" t="s">
        <v>180</v>
      </c>
      <c r="S177" s="473"/>
      <c r="T177" s="466"/>
      <c r="U177" s="466"/>
      <c r="V177" s="421"/>
      <c r="W177" s="421"/>
    </row>
    <row r="178" s="408" customFormat="1" spans="1:23">
      <c r="A178" s="428" t="s">
        <v>230</v>
      </c>
      <c r="B178" s="431" t="s">
        <v>356</v>
      </c>
      <c r="C178" s="429" t="str">
        <f>VLOOKUP(B178,正厂竞争者数据汇总!D:H,2,FALSE)</f>
        <v>Motor目录</v>
      </c>
      <c r="D178" s="421" t="str">
        <f>VLOOKUP(B178,正厂竞争者数据汇总!D:H,3,FALSE)</f>
        <v>KS</v>
      </c>
      <c r="E178" s="430">
        <f>VLOOKUP(B178,正厂竞争者数据汇总!D:H,4,FALSE)</f>
        <v>0</v>
      </c>
      <c r="F178" s="430">
        <v>17655.5</v>
      </c>
      <c r="G178" s="430">
        <v>23846.5</v>
      </c>
      <c r="H178" s="430">
        <v>201650.166666667</v>
      </c>
      <c r="I178" s="453">
        <f t="shared" si="0"/>
        <v>-0.259618811984987</v>
      </c>
      <c r="J178" s="451">
        <v>0.0654438961152901</v>
      </c>
      <c r="K178" s="451">
        <v>0.0627448181204782</v>
      </c>
      <c r="L178" s="451">
        <v>0.0799731792255282</v>
      </c>
      <c r="M178" s="451" t="e">
        <f>J178-#REF!</f>
        <v>#REF!</v>
      </c>
      <c r="N178" s="459"/>
      <c r="O178" s="430"/>
      <c r="P178" s="531">
        <f>VLOOKUP(B178,正厂竞争者数据汇总!D:M,6,FALSE)</f>
        <v>0</v>
      </c>
      <c r="Q178" s="429" t="s">
        <v>180</v>
      </c>
      <c r="R178" s="421" t="s">
        <v>180</v>
      </c>
      <c r="S178" s="473"/>
      <c r="T178" s="466"/>
      <c r="U178" s="466"/>
      <c r="V178" s="421"/>
      <c r="W178" s="421"/>
    </row>
    <row r="179" s="410" customFormat="1" spans="1:23">
      <c r="A179" s="432"/>
      <c r="B179" s="433"/>
      <c r="C179" s="434"/>
      <c r="D179" s="421"/>
      <c r="E179" s="436"/>
      <c r="F179" s="436"/>
      <c r="G179" s="436">
        <v>749876.416666666</v>
      </c>
      <c r="H179" s="436"/>
      <c r="I179" s="453"/>
      <c r="J179" s="457"/>
      <c r="K179" s="457"/>
      <c r="L179" s="457"/>
      <c r="M179" s="451"/>
      <c r="N179" s="455"/>
      <c r="O179" s="436"/>
      <c r="P179" s="531"/>
      <c r="Q179" s="434"/>
      <c r="R179" s="435"/>
      <c r="S179" s="473"/>
      <c r="T179" s="466"/>
      <c r="U179" s="466"/>
      <c r="V179" s="435"/>
      <c r="W179" s="435"/>
    </row>
    <row r="180" s="408" customFormat="1" spans="1:23">
      <c r="A180" s="428"/>
      <c r="B180" s="421"/>
      <c r="C180" s="439"/>
      <c r="D180" s="421"/>
      <c r="E180" s="430"/>
      <c r="F180" s="430">
        <v>269780.6984</v>
      </c>
      <c r="G180" s="430"/>
      <c r="H180" s="430">
        <v>829193.583333334</v>
      </c>
      <c r="I180" s="453" t="e">
        <f t="shared" ref="I180:I194" si="1">(F180/G180)-1</f>
        <v>#DIV/0!</v>
      </c>
      <c r="J180" s="430"/>
      <c r="K180" s="430"/>
      <c r="L180" s="430"/>
      <c r="M180" s="451"/>
      <c r="N180" s="459"/>
      <c r="O180" s="430"/>
      <c r="P180" s="531"/>
      <c r="Q180" s="429"/>
      <c r="R180" s="421"/>
      <c r="S180" s="473"/>
      <c r="T180" s="466"/>
      <c r="U180" s="466"/>
      <c r="V180" s="421"/>
      <c r="W180" s="421"/>
    </row>
    <row r="181" s="408" customFormat="1" spans="1:23">
      <c r="A181" s="428"/>
      <c r="B181" s="421"/>
      <c r="C181" s="439"/>
      <c r="D181" s="421"/>
      <c r="E181" s="430"/>
      <c r="F181" s="430"/>
      <c r="G181" s="430"/>
      <c r="H181" s="430"/>
      <c r="I181" s="453"/>
      <c r="J181" s="430"/>
      <c r="K181" s="430"/>
      <c r="L181" s="430"/>
      <c r="M181" s="451"/>
      <c r="N181" s="459"/>
      <c r="O181" s="430"/>
      <c r="P181" s="531"/>
      <c r="Q181" s="429"/>
      <c r="R181" s="421"/>
      <c r="S181" s="473"/>
      <c r="T181" s="466"/>
      <c r="U181" s="466"/>
      <c r="V181" s="421"/>
      <c r="W181" s="421"/>
    </row>
    <row r="182" s="408" customFormat="1" ht="17.4" spans="1:23">
      <c r="A182" s="418" t="s">
        <v>187</v>
      </c>
      <c r="B182" s="419"/>
      <c r="C182" s="420"/>
      <c r="D182" s="421"/>
      <c r="E182" s="422" t="s">
        <v>202</v>
      </c>
      <c r="F182" s="422"/>
      <c r="G182" s="422" t="s">
        <v>212</v>
      </c>
      <c r="H182" s="422"/>
      <c r="I182" s="422"/>
      <c r="J182" s="422"/>
      <c r="K182" s="422"/>
      <c r="L182" s="422"/>
      <c r="M182" s="443"/>
      <c r="N182" s="422"/>
      <c r="O182" s="422"/>
      <c r="P182" s="531"/>
      <c r="Q182" s="465"/>
      <c r="R182" s="424"/>
      <c r="S182" s="473"/>
      <c r="T182" s="467"/>
      <c r="U182" s="467"/>
      <c r="V182" s="467"/>
      <c r="W182" s="467"/>
    </row>
    <row r="183" s="409" customFormat="1" ht="48.6" spans="1:23">
      <c r="A183" s="423" t="s">
        <v>206</v>
      </c>
      <c r="B183" s="424" t="s">
        <v>207</v>
      </c>
      <c r="C183" s="425" t="s">
        <v>208</v>
      </c>
      <c r="D183" s="424" t="s">
        <v>209</v>
      </c>
      <c r="E183" s="426" t="s">
        <v>210</v>
      </c>
      <c r="F183" s="427" t="s">
        <v>402</v>
      </c>
      <c r="G183" s="427">
        <v>116448.583333333</v>
      </c>
      <c r="H183" s="427" t="s">
        <v>397</v>
      </c>
      <c r="I183" s="427" t="s">
        <v>214</v>
      </c>
      <c r="J183" s="446" t="s">
        <v>398</v>
      </c>
      <c r="K183" s="446" t="s">
        <v>399</v>
      </c>
      <c r="L183" s="446" t="s">
        <v>403</v>
      </c>
      <c r="M183" s="447" t="s">
        <v>218</v>
      </c>
      <c r="N183" s="448" t="s">
        <v>219</v>
      </c>
      <c r="O183" s="449" t="s">
        <v>220</v>
      </c>
      <c r="P183" s="530" t="s">
        <v>221</v>
      </c>
      <c r="Q183" s="469" t="s">
        <v>222</v>
      </c>
      <c r="R183" s="426" t="s">
        <v>223</v>
      </c>
      <c r="S183" s="470" t="s">
        <v>224</v>
      </c>
      <c r="T183" s="467" t="s">
        <v>225</v>
      </c>
      <c r="U183" s="470" t="s">
        <v>226</v>
      </c>
      <c r="V183" s="467"/>
      <c r="W183" s="467"/>
    </row>
    <row r="184" s="408" customFormat="1" spans="1:23">
      <c r="A184" s="428" t="s">
        <v>230</v>
      </c>
      <c r="B184" s="438" t="s">
        <v>341</v>
      </c>
      <c r="C184" s="429" t="str">
        <f>VLOOKUP(B184,正厂竞争者数据汇总!D:H,2,FALSE)</f>
        <v>Motor目录</v>
      </c>
      <c r="D184" s="421" t="str">
        <f>VLOOKUP(B184,正厂竞争者数据汇总!D:H,3,FALSE)</f>
        <v>IL</v>
      </c>
      <c r="E184" s="430">
        <f>VLOOKUP(B184,正厂竞争者数据汇总!D:H,4,FALSE)</f>
        <v>0</v>
      </c>
      <c r="F184" s="430">
        <v>89086.9166666667</v>
      </c>
      <c r="G184" s="430">
        <v>1355.75</v>
      </c>
      <c r="H184" s="430">
        <v>65360.75</v>
      </c>
      <c r="I184" s="453">
        <f t="shared" si="1"/>
        <v>64.7104308808163</v>
      </c>
      <c r="J184" s="451">
        <v>0.320918438394759</v>
      </c>
      <c r="K184" s="451">
        <v>0.295078981221414</v>
      </c>
      <c r="L184" s="451">
        <v>0.264848737997803</v>
      </c>
      <c r="M184" s="451" t="e">
        <f>J184-#REF!</f>
        <v>#REF!</v>
      </c>
      <c r="N184" s="459"/>
      <c r="O184" s="430"/>
      <c r="P184" s="531">
        <f>VLOOKUP(B184,正厂竞争者数据汇总!D:M,6,FALSE)</f>
        <v>0</v>
      </c>
      <c r="Q184" s="429" t="s">
        <v>180</v>
      </c>
      <c r="R184" s="421" t="s">
        <v>180</v>
      </c>
      <c r="S184" s="473"/>
      <c r="T184" s="466"/>
      <c r="U184" s="466"/>
      <c r="V184" s="421"/>
      <c r="W184" s="421"/>
    </row>
    <row r="185" s="408" customFormat="1" spans="1:23">
      <c r="A185" s="428" t="s">
        <v>230</v>
      </c>
      <c r="B185" s="438" t="s">
        <v>346</v>
      </c>
      <c r="C185" s="429" t="str">
        <f>VLOOKUP(B185,正厂竞争者数据汇总!D:H,2,FALSE)</f>
        <v>Motor目录</v>
      </c>
      <c r="D185" s="421" t="str">
        <f>VLOOKUP(B185,正厂竞争者数据汇总!D:H,3,FALSE)</f>
        <v>AZ</v>
      </c>
      <c r="E185" s="430">
        <f>VLOOKUP(B185,正厂竞争者数据汇总!D:H,4,FALSE)</f>
        <v>0</v>
      </c>
      <c r="F185" s="430">
        <v>34388.6666666667</v>
      </c>
      <c r="G185" s="430">
        <v>1364.75</v>
      </c>
      <c r="H185" s="430">
        <v>65369.75</v>
      </c>
      <c r="I185" s="453">
        <f t="shared" si="1"/>
        <v>24.1977773707028</v>
      </c>
      <c r="J185" s="451">
        <v>0.123878540397098</v>
      </c>
      <c r="K185" s="451">
        <v>0.123245276669298</v>
      </c>
      <c r="L185" s="451">
        <v>0.138073929862325</v>
      </c>
      <c r="M185" s="451"/>
      <c r="N185" s="459"/>
      <c r="O185" s="430"/>
      <c r="P185" s="531" t="str">
        <f>VLOOKUP(B185,正厂竞争者数据汇总!D:M,6,FALSE)</f>
        <v>2023年9月新增</v>
      </c>
      <c r="Q185" s="429"/>
      <c r="R185" s="421"/>
      <c r="S185" s="473"/>
      <c r="T185" s="466"/>
      <c r="U185" s="466"/>
      <c r="V185" s="421"/>
      <c r="W185" s="421"/>
    </row>
    <row r="186" s="408" customFormat="1" spans="1:23">
      <c r="A186" s="428" t="s">
        <v>230</v>
      </c>
      <c r="B186" s="438" t="s">
        <v>348</v>
      </c>
      <c r="C186" s="429" t="str">
        <f>VLOOKUP(B186,正厂竞争者数据汇总!D:H,2,FALSE)</f>
        <v>Motor目录</v>
      </c>
      <c r="D186" s="421" t="str">
        <f>VLOOKUP(B186,正厂竞争者数据汇总!D:H,3,FALSE)</f>
        <v>-</v>
      </c>
      <c r="E186" s="430">
        <f>VLOOKUP(B186,正厂竞争者数据汇总!D:H,4,FALSE)</f>
        <v>0</v>
      </c>
      <c r="F186" s="430">
        <v>24515.5833333333</v>
      </c>
      <c r="G186" s="430">
        <v>1362.75</v>
      </c>
      <c r="H186" s="430">
        <v>65367.75</v>
      </c>
      <c r="I186" s="453">
        <f t="shared" si="1"/>
        <v>16.9897878065187</v>
      </c>
      <c r="J186" s="451">
        <v>0.0883126615449884</v>
      </c>
      <c r="K186" s="451">
        <v>0.0720094875554566</v>
      </c>
      <c r="L186" s="451">
        <v>0.0724764695167118</v>
      </c>
      <c r="M186" s="451"/>
      <c r="N186" s="459"/>
      <c r="O186" s="430"/>
      <c r="P186" s="531" t="str">
        <f>VLOOKUP(B186,正厂竞争者数据汇总!D:M,6,FALSE)</f>
        <v>2023年9月新增</v>
      </c>
      <c r="Q186" s="429"/>
      <c r="R186" s="421"/>
      <c r="S186" s="473"/>
      <c r="T186" s="466"/>
      <c r="U186" s="466"/>
      <c r="V186" s="421"/>
      <c r="W186" s="421"/>
    </row>
    <row r="187" s="408" customFormat="1" spans="1:23">
      <c r="A187" s="428" t="s">
        <v>230</v>
      </c>
      <c r="B187" s="438" t="s">
        <v>342</v>
      </c>
      <c r="C187" s="429" t="str">
        <f>VLOOKUP(B187,正厂竞争者数据汇总!D:H,2,FALSE)</f>
        <v>Motor目录</v>
      </c>
      <c r="D187" s="421" t="str">
        <f>VLOOKUP(B187,正厂竞争者数据汇总!D:H,3,FALSE)</f>
        <v>NE</v>
      </c>
      <c r="E187" s="430">
        <f>VLOOKUP(B187,正厂竞争者数据汇总!D:H,4,FALSE)</f>
        <v>0</v>
      </c>
      <c r="F187" s="430">
        <v>23645.4273166667</v>
      </c>
      <c r="G187" s="430">
        <v>1360.75</v>
      </c>
      <c r="H187" s="430">
        <v>65365.75</v>
      </c>
      <c r="I187" s="453">
        <f t="shared" si="1"/>
        <v>16.3767608426725</v>
      </c>
      <c r="J187" s="451">
        <v>0.085178092289737</v>
      </c>
      <c r="K187" s="451">
        <v>0.0826494153433246</v>
      </c>
      <c r="L187" s="451">
        <v>0.101365554071115</v>
      </c>
      <c r="M187" s="451"/>
      <c r="N187" s="459"/>
      <c r="O187" s="430"/>
      <c r="P187" s="531" t="str">
        <f>VLOOKUP(B187,正厂竞争者数据汇总!D:M,6,FALSE)</f>
        <v>2023年9月新增</v>
      </c>
      <c r="Q187" s="429"/>
      <c r="R187" s="421"/>
      <c r="S187" s="473"/>
      <c r="T187" s="466"/>
      <c r="U187" s="466"/>
      <c r="V187" s="421"/>
      <c r="W187" s="421"/>
    </row>
    <row r="188" s="408" customFormat="1" spans="1:23">
      <c r="A188" s="428" t="s">
        <v>230</v>
      </c>
      <c r="B188" s="438" t="s">
        <v>347</v>
      </c>
      <c r="C188" s="429" t="str">
        <f>VLOOKUP(B188,正厂竞争者数据汇总!D:H,2,FALSE)</f>
        <v>Motor目录</v>
      </c>
      <c r="D188" s="421" t="str">
        <f>VLOOKUP(B188,正厂竞争者数据汇总!D:H,3,FALSE)</f>
        <v>-</v>
      </c>
      <c r="E188" s="430">
        <f>VLOOKUP(B188,正厂竞争者数据汇总!D:H,4,FALSE)</f>
        <v>0</v>
      </c>
      <c r="F188" s="430">
        <v>20717.1666666667</v>
      </c>
      <c r="G188" s="430">
        <v>1361.75</v>
      </c>
      <c r="H188" s="430">
        <v>65366.75</v>
      </c>
      <c r="I188" s="453">
        <f t="shared" si="1"/>
        <v>14.2136344164984</v>
      </c>
      <c r="J188" s="451">
        <v>0.0746295979633817</v>
      </c>
      <c r="K188" s="451">
        <v>0.0640162567504054</v>
      </c>
      <c r="L188" s="451">
        <v>0.0797252967387583</v>
      </c>
      <c r="M188" s="451"/>
      <c r="N188" s="459"/>
      <c r="O188" s="430"/>
      <c r="P188" s="531" t="str">
        <f>VLOOKUP(B188,正厂竞争者数据汇总!D:M,6,FALSE)</f>
        <v>2023年9月新增</v>
      </c>
      <c r="Q188" s="429"/>
      <c r="R188" s="421"/>
      <c r="S188" s="473"/>
      <c r="T188" s="466"/>
      <c r="U188" s="466"/>
      <c r="V188" s="421"/>
      <c r="W188" s="421"/>
    </row>
    <row r="189" s="408" customFormat="1" spans="1:23">
      <c r="A189" s="428" t="s">
        <v>230</v>
      </c>
      <c r="B189" s="438" t="s">
        <v>344</v>
      </c>
      <c r="C189" s="429" t="str">
        <f>VLOOKUP(B189,正厂竞争者数据汇总!D:H,2,FALSE)</f>
        <v>Motor目录</v>
      </c>
      <c r="D189" s="421" t="str">
        <f>VLOOKUP(B189,正厂竞争者数据汇总!D:H,3,FALSE)</f>
        <v>-</v>
      </c>
      <c r="E189" s="430">
        <f>VLOOKUP(B189,正厂竞争者数据汇总!D:H,4,FALSE)</f>
        <v>0</v>
      </c>
      <c r="F189" s="430">
        <v>20591.4166666667</v>
      </c>
      <c r="G189" s="430">
        <v>1363.75</v>
      </c>
      <c r="H189" s="430">
        <v>65368.75</v>
      </c>
      <c r="I189" s="453">
        <f t="shared" si="1"/>
        <v>14.0991139627253</v>
      </c>
      <c r="J189" s="451">
        <v>0.0741766078371308</v>
      </c>
      <c r="K189" s="451">
        <v>0.0960829496759033</v>
      </c>
      <c r="L189" s="451">
        <v>0.0851532290539191</v>
      </c>
      <c r="M189" s="451"/>
      <c r="N189" s="459"/>
      <c r="O189" s="430"/>
      <c r="P189" s="531">
        <f>VLOOKUP(B189,正厂竞争者数据汇总!D:M,6,FALSE)</f>
        <v>0</v>
      </c>
      <c r="Q189" s="429"/>
      <c r="R189" s="421"/>
      <c r="S189" s="473"/>
      <c r="T189" s="466"/>
      <c r="U189" s="466"/>
      <c r="V189" s="421"/>
      <c r="W189" s="421"/>
    </row>
    <row r="190" s="408" customFormat="1" spans="1:23">
      <c r="A190" s="428" t="s">
        <v>230</v>
      </c>
      <c r="B190" s="438" t="s">
        <v>345</v>
      </c>
      <c r="C190" s="429" t="str">
        <f>VLOOKUP(B190,正厂竞争者数据汇总!D:H,2,FALSE)</f>
        <v>Motor目录</v>
      </c>
      <c r="D190" s="421" t="str">
        <f>VLOOKUP(B190,正厂竞争者数据汇总!D:H,3,FALSE)</f>
        <v>CA</v>
      </c>
      <c r="E190" s="430">
        <f>VLOOKUP(B190,正厂竞争者数据汇总!D:H,4,FALSE)</f>
        <v>0</v>
      </c>
      <c r="F190" s="430">
        <v>18963.9166666667</v>
      </c>
      <c r="G190" s="430">
        <v>1363.75</v>
      </c>
      <c r="H190" s="430">
        <v>65368.75</v>
      </c>
      <c r="I190" s="453">
        <f t="shared" si="1"/>
        <v>12.9057134127712</v>
      </c>
      <c r="J190" s="451">
        <v>0.0683138529228292</v>
      </c>
      <c r="K190" s="451">
        <v>0.0638877247222525</v>
      </c>
      <c r="L190" s="451"/>
      <c r="M190" s="451"/>
      <c r="N190" s="459"/>
      <c r="O190" s="430"/>
      <c r="P190" s="531"/>
      <c r="Q190" s="429"/>
      <c r="R190" s="421"/>
      <c r="S190" s="473"/>
      <c r="T190" s="466"/>
      <c r="U190" s="466"/>
      <c r="V190" s="421"/>
      <c r="W190" s="421"/>
    </row>
    <row r="191" s="408" customFormat="1" spans="1:23">
      <c r="A191" s="428" t="s">
        <v>230</v>
      </c>
      <c r="B191" s="438" t="s">
        <v>343</v>
      </c>
      <c r="C191" s="429" t="str">
        <f>VLOOKUP(B191,正厂竞争者数据汇总!D:H,2,FALSE)</f>
        <v>Motor目录</v>
      </c>
      <c r="D191" s="421" t="str">
        <f>VLOOKUP(B191,正厂竞争者数据汇总!D:H,3,FALSE)</f>
        <v>-</v>
      </c>
      <c r="E191" s="430">
        <f>VLOOKUP(B191,正厂竞争者数据汇总!D:H,4,FALSE)</f>
        <v>0</v>
      </c>
      <c r="F191" s="430">
        <v>14964.6666666667</v>
      </c>
      <c r="G191" s="430">
        <v>1368.75</v>
      </c>
      <c r="H191" s="430">
        <v>65373.75</v>
      </c>
      <c r="I191" s="453">
        <f t="shared" si="1"/>
        <v>9.9330898021309</v>
      </c>
      <c r="J191" s="451">
        <v>0.0539073259851823</v>
      </c>
      <c r="K191" s="451">
        <v>0.0648784509237512</v>
      </c>
      <c r="L191" s="451">
        <v>0.0931430037893905</v>
      </c>
      <c r="M191" s="451"/>
      <c r="N191" s="459"/>
      <c r="O191" s="430"/>
      <c r="P191" s="531" t="str">
        <f>VLOOKUP(B191,正厂竞争者数据汇总!D:M,6,FALSE)</f>
        <v>2023年9月新增</v>
      </c>
      <c r="Q191" s="429"/>
      <c r="R191" s="421"/>
      <c r="S191" s="473"/>
      <c r="T191" s="466"/>
      <c r="U191" s="466"/>
      <c r="V191" s="421"/>
      <c r="W191" s="421"/>
    </row>
    <row r="192" s="408" customFormat="1" spans="1:23">
      <c r="A192" s="428" t="s">
        <v>230</v>
      </c>
      <c r="B192" s="438" t="s">
        <v>349</v>
      </c>
      <c r="C192" s="429" t="str">
        <f>VLOOKUP(B192,正厂竞争者数据汇总!D:H,2,FALSE)</f>
        <v>Motor目录</v>
      </c>
      <c r="D192" s="421" t="str">
        <f>VLOOKUP(B192,正厂竞争者数据汇总!D:H,3,FALSE)</f>
        <v>-</v>
      </c>
      <c r="E192" s="430">
        <f>VLOOKUP(B192,正厂竞争者数据汇总!D:H,4,FALSE)</f>
        <v>0</v>
      </c>
      <c r="F192" s="430">
        <v>14304.5</v>
      </c>
      <c r="G192" s="430">
        <v>1374.75</v>
      </c>
      <c r="H192" s="430">
        <v>65379.75</v>
      </c>
      <c r="I192" s="453">
        <f t="shared" si="1"/>
        <v>9.40516457537734</v>
      </c>
      <c r="J192" s="451">
        <v>0.0515292028704308</v>
      </c>
      <c r="K192" s="451">
        <v>0.0562731153954811</v>
      </c>
      <c r="L192" s="451">
        <v>0.0661954640024663</v>
      </c>
      <c r="M192" s="451"/>
      <c r="N192" s="459"/>
      <c r="O192" s="430"/>
      <c r="P192" s="531" t="str">
        <f>VLOOKUP(B192,正厂竞争者数据汇总!D:M,6,FALSE)</f>
        <v>2023年9月新增</v>
      </c>
      <c r="Q192" s="429"/>
      <c r="R192" s="421"/>
      <c r="S192" s="473"/>
      <c r="T192" s="466"/>
      <c r="U192" s="466"/>
      <c r="V192" s="421"/>
      <c r="W192" s="421"/>
    </row>
    <row r="193" s="408" customFormat="1" spans="1:23">
      <c r="A193" s="428" t="s">
        <v>230</v>
      </c>
      <c r="B193" s="438" t="s">
        <v>350</v>
      </c>
      <c r="C193" s="255" t="s">
        <v>351</v>
      </c>
      <c r="D193" s="421" t="str">
        <f>VLOOKUP(B193,正厂竞争者数据汇总!D:H,3,FALSE)</f>
        <v>UT</v>
      </c>
      <c r="E193" s="430">
        <f>VLOOKUP(B193,正厂竞争者数据汇总!D:H,4,FALSE)</f>
        <v>0</v>
      </c>
      <c r="F193" s="430">
        <v>9496.14</v>
      </c>
      <c r="G193" s="430">
        <v>1374.75</v>
      </c>
      <c r="H193" s="430">
        <v>65379.75</v>
      </c>
      <c r="I193" s="453">
        <f t="shared" si="1"/>
        <v>5.90753955264594</v>
      </c>
      <c r="J193" s="451">
        <v>0.034208013180888</v>
      </c>
      <c r="K193" s="451">
        <v>0.0436497491024753</v>
      </c>
      <c r="L193" s="451">
        <v>0.0538065592956958</v>
      </c>
      <c r="M193" s="451"/>
      <c r="N193" s="459"/>
      <c r="O193" s="430"/>
      <c r="P193" s="531"/>
      <c r="Q193" s="429"/>
      <c r="R193" s="421"/>
      <c r="S193" s="473"/>
      <c r="T193" s="466"/>
      <c r="U193" s="466"/>
      <c r="V193" s="421"/>
      <c r="W193" s="421"/>
    </row>
    <row r="194" s="408" customFormat="1" spans="1:23">
      <c r="A194" s="428" t="s">
        <v>375</v>
      </c>
      <c r="B194" s="438" t="s">
        <v>376</v>
      </c>
      <c r="C194" s="429" t="str">
        <f>VLOOKUP(B194,正厂竞争者数据汇总!D:H,2,FALSE)</f>
        <v>无完整目录，category下放的PD</v>
      </c>
      <c r="D194" s="421" t="str">
        <f>VLOOKUP(B194,正厂竞争者数据汇总!D:H,3,FALSE)</f>
        <v>NY</v>
      </c>
      <c r="E194" s="430">
        <f>VLOOKUP(B194,正厂竞争者数据汇总!D:H,4,FALSE)</f>
        <v>0</v>
      </c>
      <c r="F194" s="430">
        <v>6925.469</v>
      </c>
      <c r="G194" s="430">
        <v>1366.75</v>
      </c>
      <c r="H194" s="430">
        <v>65371.75</v>
      </c>
      <c r="I194" s="453">
        <f t="shared" si="1"/>
        <v>4.06710737150174</v>
      </c>
      <c r="J194" s="451">
        <v>0.0249476666135747</v>
      </c>
      <c r="K194" s="451">
        <v>0.0382285926402372</v>
      </c>
      <c r="L194" s="451">
        <v>0.0452117556718152</v>
      </c>
      <c r="M194" s="451"/>
      <c r="N194" s="459"/>
      <c r="O194" s="430"/>
      <c r="P194" s="531" t="str">
        <f>VLOOKUP(B194,正厂竞争者数据汇总!D:M,6,FALSE)</f>
        <v>同时经营Audi，BMW、Dodge、Jaguar、Land Rover、Mercedes-Benz、Mini、Porsche、Saab、Volkswagen、Volvo。折算比例：Audi：30.3%，MB：69.7%</v>
      </c>
      <c r="Q194" s="429"/>
      <c r="R194" s="421"/>
      <c r="S194" s="473"/>
      <c r="T194" s="466"/>
      <c r="U194" s="466"/>
      <c r="V194" s="421"/>
      <c r="W194" s="421"/>
    </row>
    <row r="195" s="408" customFormat="1" spans="1:23">
      <c r="A195" s="428"/>
      <c r="B195" s="421"/>
      <c r="C195" s="429"/>
      <c r="D195" s="421"/>
      <c r="E195" s="430"/>
      <c r="F195" s="430"/>
      <c r="G195" s="430">
        <v>100126.666666667</v>
      </c>
      <c r="H195" s="430"/>
      <c r="I195" s="453"/>
      <c r="J195" s="451"/>
      <c r="K195" s="451"/>
      <c r="L195" s="451"/>
      <c r="M195" s="451"/>
      <c r="N195" s="459"/>
      <c r="O195" s="430"/>
      <c r="P195" s="531"/>
      <c r="Q195" s="429"/>
      <c r="R195" s="421"/>
      <c r="S195" s="473"/>
      <c r="T195" s="466"/>
      <c r="U195" s="466"/>
      <c r="V195" s="421"/>
      <c r="W195" s="421"/>
    </row>
    <row r="196" s="408" customFormat="1" spans="1:23">
      <c r="A196" s="428"/>
      <c r="B196" s="421"/>
      <c r="C196" s="439"/>
      <c r="D196" s="421"/>
      <c r="E196" s="430"/>
      <c r="F196" s="430">
        <v>277599.86965</v>
      </c>
      <c r="G196" s="430"/>
      <c r="H196" s="430">
        <v>96860.5</v>
      </c>
      <c r="I196" s="453" t="e">
        <f t="shared" ref="I196:I205" si="2">(F196/G196)-1</f>
        <v>#DIV/0!</v>
      </c>
      <c r="J196" s="430"/>
      <c r="K196" s="430"/>
      <c r="L196" s="430"/>
      <c r="M196" s="451"/>
      <c r="N196" s="459"/>
      <c r="O196" s="430"/>
      <c r="P196" s="531"/>
      <c r="Q196" s="429"/>
      <c r="R196" s="421"/>
      <c r="S196" s="473"/>
      <c r="T196" s="466"/>
      <c r="U196" s="466"/>
      <c r="V196" s="421"/>
      <c r="W196" s="421"/>
    </row>
    <row r="197" s="408" customFormat="1" spans="1:23">
      <c r="A197" s="428"/>
      <c r="B197" s="421"/>
      <c r="C197" s="439"/>
      <c r="D197" s="421"/>
      <c r="E197" s="421"/>
      <c r="F197" s="430"/>
      <c r="G197" s="430"/>
      <c r="H197" s="430"/>
      <c r="I197" s="453"/>
      <c r="J197" s="430"/>
      <c r="K197" s="430"/>
      <c r="L197" s="430"/>
      <c r="M197" s="451"/>
      <c r="N197" s="459"/>
      <c r="O197" s="430"/>
      <c r="P197" s="531"/>
      <c r="Q197" s="429"/>
      <c r="R197" s="421"/>
      <c r="S197" s="473"/>
      <c r="T197" s="466"/>
      <c r="U197" s="466"/>
      <c r="V197" s="421"/>
      <c r="W197" s="421"/>
    </row>
    <row r="198" s="408" customFormat="1" ht="17.4" spans="1:23">
      <c r="A198" s="418" t="s">
        <v>195</v>
      </c>
      <c r="B198" s="419"/>
      <c r="C198" s="420"/>
      <c r="D198" s="421"/>
      <c r="E198" s="422" t="s">
        <v>202</v>
      </c>
      <c r="F198" s="422"/>
      <c r="G198" s="422" t="s">
        <v>212</v>
      </c>
      <c r="H198" s="422"/>
      <c r="I198" s="422"/>
      <c r="J198" s="422"/>
      <c r="K198" s="422"/>
      <c r="L198" s="422"/>
      <c r="M198" s="443"/>
      <c r="N198" s="444"/>
      <c r="O198" s="422"/>
      <c r="P198" s="531"/>
      <c r="Q198" s="465"/>
      <c r="R198" s="424"/>
      <c r="S198" s="473"/>
      <c r="T198" s="467"/>
      <c r="U198" s="467"/>
      <c r="V198" s="467"/>
      <c r="W198" s="467"/>
    </row>
    <row r="199" s="409" customFormat="1" ht="48.6" spans="1:23">
      <c r="A199" s="423" t="s">
        <v>206</v>
      </c>
      <c r="B199" s="424" t="s">
        <v>207</v>
      </c>
      <c r="C199" s="425" t="s">
        <v>208</v>
      </c>
      <c r="D199" s="424" t="s">
        <v>209</v>
      </c>
      <c r="E199" s="426" t="s">
        <v>210</v>
      </c>
      <c r="F199" s="427" t="s">
        <v>402</v>
      </c>
      <c r="G199" s="427">
        <v>116448.583333333</v>
      </c>
      <c r="H199" s="427" t="s">
        <v>397</v>
      </c>
      <c r="I199" s="427" t="s">
        <v>214</v>
      </c>
      <c r="J199" s="446" t="s">
        <v>398</v>
      </c>
      <c r="K199" s="446" t="s">
        <v>399</v>
      </c>
      <c r="L199" s="446" t="s">
        <v>403</v>
      </c>
      <c r="M199" s="447" t="s">
        <v>218</v>
      </c>
      <c r="N199" s="448" t="s">
        <v>219</v>
      </c>
      <c r="O199" s="449" t="s">
        <v>220</v>
      </c>
      <c r="P199" s="530" t="s">
        <v>221</v>
      </c>
      <c r="Q199" s="469" t="s">
        <v>222</v>
      </c>
      <c r="R199" s="426" t="s">
        <v>223</v>
      </c>
      <c r="S199" s="470" t="s">
        <v>224</v>
      </c>
      <c r="T199" s="467" t="s">
        <v>225</v>
      </c>
      <c r="U199" s="470" t="s">
        <v>226</v>
      </c>
      <c r="V199" s="467"/>
      <c r="W199" s="467"/>
    </row>
    <row r="200" s="408" customFormat="1" spans="1:23">
      <c r="A200" s="428" t="s">
        <v>230</v>
      </c>
      <c r="B200" s="421" t="s">
        <v>378</v>
      </c>
      <c r="C200" s="429" t="str">
        <f>VLOOKUP(B200,正厂竞争者数据汇总!D:H,2,FALSE)</f>
        <v>Motor目录</v>
      </c>
      <c r="D200" s="421" t="str">
        <f>VLOOKUP(B200,正厂竞争者数据汇总!D:H,3,FALSE)</f>
        <v>FL</v>
      </c>
      <c r="E200" s="430" t="str">
        <f>VLOOKUP(B199,正厂竞争者数据汇总!D:H,4,FALSE)</f>
        <v>Alexa Traffic Rank</v>
      </c>
      <c r="F200" s="430">
        <v>94811.895</v>
      </c>
      <c r="G200" s="430">
        <v>0</v>
      </c>
      <c r="H200" s="430">
        <v>88546.8333333332</v>
      </c>
      <c r="I200" s="453" t="e">
        <f t="shared" si="2"/>
        <v>#DIV/0!</v>
      </c>
      <c r="J200" s="451">
        <v>0.433392946945439</v>
      </c>
      <c r="K200" s="451">
        <v>0.416294065344422</v>
      </c>
      <c r="L200" s="451">
        <v>0.356285474801824</v>
      </c>
      <c r="M200" s="451">
        <f>J200-K202</f>
        <v>0.301833282395728</v>
      </c>
      <c r="N200" s="459"/>
      <c r="O200" s="430"/>
      <c r="P200" s="531">
        <f>VLOOKUP(B200,正厂竞争者数据汇总!D:M,6,FALSE)</f>
        <v>0</v>
      </c>
      <c r="Q200" s="429" t="s">
        <v>180</v>
      </c>
      <c r="R200" s="421" t="s">
        <v>180</v>
      </c>
      <c r="S200" s="473"/>
      <c r="T200" s="466"/>
      <c r="U200" s="466"/>
      <c r="V200" s="421"/>
      <c r="W200" s="421"/>
    </row>
    <row r="201" s="408" customFormat="1" spans="1:23">
      <c r="A201" s="428" t="s">
        <v>230</v>
      </c>
      <c r="B201" s="421" t="s">
        <v>380</v>
      </c>
      <c r="C201" s="429" t="str">
        <f>VLOOKUP(B201,正厂竞争者数据汇总!D:H,2,FALSE)</f>
        <v>Motor目录</v>
      </c>
      <c r="D201" s="421" t="str">
        <f>VLOOKUP(B201,正厂竞争者数据汇总!D:H,3,FALSE)</f>
        <v>FL</v>
      </c>
      <c r="E201" s="430">
        <f>VLOOKUP(B200,正厂竞争者数据汇总!D:H,4,FALSE)</f>
        <v>0</v>
      </c>
      <c r="F201" s="430">
        <v>31531.5833333333</v>
      </c>
      <c r="G201" s="430">
        <v>1</v>
      </c>
      <c r="H201" s="430">
        <v>88547.8333333332</v>
      </c>
      <c r="I201" s="453">
        <f t="shared" si="2"/>
        <v>31530.5833333333</v>
      </c>
      <c r="J201" s="451">
        <v>0.144133453114601</v>
      </c>
      <c r="K201" s="451">
        <v>0.154569448481054</v>
      </c>
      <c r="L201" s="451">
        <v>0.200526442856723</v>
      </c>
      <c r="M201" s="451"/>
      <c r="N201" s="459"/>
      <c r="O201" s="430"/>
      <c r="P201" s="531"/>
      <c r="Q201" s="429"/>
      <c r="R201" s="421"/>
      <c r="S201" s="473"/>
      <c r="T201" s="466"/>
      <c r="U201" s="466"/>
      <c r="V201" s="421"/>
      <c r="W201" s="421"/>
    </row>
    <row r="202" s="408" customFormat="1" spans="1:23">
      <c r="A202" s="428" t="s">
        <v>230</v>
      </c>
      <c r="B202" s="421" t="s">
        <v>379</v>
      </c>
      <c r="C202" s="429" t="str">
        <f>VLOOKUP(B202,正厂竞争者数据汇总!D:H,2,FALSE)</f>
        <v>Motor目录</v>
      </c>
      <c r="D202" s="421" t="str">
        <f>VLOOKUP(B202,正厂竞争者数据汇总!D:H,3,FALSE)</f>
        <v>FL</v>
      </c>
      <c r="E202" s="430">
        <f>VLOOKUP(B203,正厂竞争者数据汇总!D:H,4,FALSE)</f>
        <v>0</v>
      </c>
      <c r="F202" s="430">
        <v>31806.8716666667</v>
      </c>
      <c r="G202" s="430">
        <v>4</v>
      </c>
      <c r="H202" s="430">
        <v>88550.8333333332</v>
      </c>
      <c r="I202" s="453">
        <f t="shared" si="2"/>
        <v>7950.71791666667</v>
      </c>
      <c r="J202" s="451">
        <v>0.145391818660855</v>
      </c>
      <c r="K202" s="451">
        <v>0.131559664549711</v>
      </c>
      <c r="L202" s="451">
        <v>0.102375215814579</v>
      </c>
      <c r="M202" s="451"/>
      <c r="N202" s="459"/>
      <c r="O202" s="430"/>
      <c r="P202" s="531" t="str">
        <f>VLOOKUP(B202,正厂竞争者数据汇总!D:M,6,FALSE)</f>
        <v>2023年9月新增</v>
      </c>
      <c r="Q202" s="429" t="s">
        <v>180</v>
      </c>
      <c r="R202" s="421" t="s">
        <v>180</v>
      </c>
      <c r="S202" s="473"/>
      <c r="T202" s="466"/>
      <c r="U202" s="466"/>
      <c r="V202" s="421"/>
      <c r="W202" s="421"/>
    </row>
    <row r="203" s="408" customFormat="1" spans="1:23">
      <c r="A203" s="428" t="s">
        <v>325</v>
      </c>
      <c r="B203" s="421" t="s">
        <v>383</v>
      </c>
      <c r="C203" s="429" t="str">
        <f>VLOOKUP(B203,正厂竞争者数据汇总!D:H,2,FALSE)</f>
        <v>Motor目录</v>
      </c>
      <c r="D203" s="421" t="str">
        <f>VLOOKUP(B203,正厂竞争者数据汇总!D:H,3,FALSE)</f>
        <v>CA</v>
      </c>
      <c r="E203" s="430">
        <f>VLOOKUP(B204,正厂竞争者数据汇总!D:H,4,FALSE)</f>
        <v>0</v>
      </c>
      <c r="F203" s="430">
        <v>22289.98</v>
      </c>
      <c r="G203" s="430">
        <v>3</v>
      </c>
      <c r="H203" s="430">
        <v>88549.8333333332</v>
      </c>
      <c r="I203" s="453">
        <f t="shared" si="2"/>
        <v>7428.99333333333</v>
      </c>
      <c r="J203" s="451">
        <v>0.101889326434778</v>
      </c>
      <c r="K203" s="451">
        <v>0.0986162886513904</v>
      </c>
      <c r="L203" s="451">
        <v>0.107070713428158</v>
      </c>
      <c r="M203" s="451"/>
      <c r="N203" s="459"/>
      <c r="O203" s="430"/>
      <c r="P203" s="531"/>
      <c r="Q203" s="429"/>
      <c r="R203" s="421"/>
      <c r="S203" s="473"/>
      <c r="T203" s="466"/>
      <c r="U203" s="466"/>
      <c r="V203" s="421"/>
      <c r="W203" s="421"/>
    </row>
    <row r="204" s="408" customFormat="1" spans="1:23">
      <c r="A204" s="428" t="s">
        <v>230</v>
      </c>
      <c r="B204" s="421" t="s">
        <v>381</v>
      </c>
      <c r="C204" s="429" t="str">
        <f>VLOOKUP(B204,正厂竞争者数据汇总!D:H,2,FALSE)</f>
        <v>Motor目录</v>
      </c>
      <c r="D204" s="421" t="str">
        <f>VLOOKUP(B204,正厂竞争者数据汇总!D:H,3,FALSE)</f>
        <v>CA</v>
      </c>
      <c r="E204" s="430">
        <f>VLOOKUP(B201,正厂竞争者数据汇总!D:H,4,FALSE)</f>
        <v>0</v>
      </c>
      <c r="F204" s="430">
        <v>18254.8133333333</v>
      </c>
      <c r="G204" s="430">
        <v>2</v>
      </c>
      <c r="H204" s="430">
        <v>88548.8333333332</v>
      </c>
      <c r="I204" s="453">
        <f t="shared" si="2"/>
        <v>9126.40666666667</v>
      </c>
      <c r="J204" s="451">
        <v>0.083444248703944</v>
      </c>
      <c r="K204" s="451">
        <v>0.0855119465540775</v>
      </c>
      <c r="L204" s="451">
        <v>0.120481190773018</v>
      </c>
      <c r="M204" s="451"/>
      <c r="N204" s="459"/>
      <c r="O204" s="430"/>
      <c r="P204" s="531"/>
      <c r="Q204" s="429"/>
      <c r="R204" s="421"/>
      <c r="S204" s="473"/>
      <c r="T204" s="466"/>
      <c r="U204" s="466"/>
      <c r="V204" s="421"/>
      <c r="W204" s="421"/>
    </row>
    <row r="205" s="408" customFormat="1" spans="1:23">
      <c r="A205" s="428" t="s">
        <v>230</v>
      </c>
      <c r="B205" s="421" t="s">
        <v>382</v>
      </c>
      <c r="C205" s="429" t="str">
        <f>VLOOKUP(B205,正厂竞争者数据汇总!D:H,2,FALSE)</f>
        <v>Motor目录</v>
      </c>
      <c r="D205" s="421" t="str">
        <f>VLOOKUP(B205,正厂竞争者数据汇总!D:H,3,FALSE)</f>
        <v>NJ</v>
      </c>
      <c r="E205" s="430">
        <f>VLOOKUP(B202,正厂竞争者数据汇总!D:H,4,FALSE)</f>
        <v>0</v>
      </c>
      <c r="F205" s="430">
        <v>12307.9000776667</v>
      </c>
      <c r="G205" s="430">
        <v>5</v>
      </c>
      <c r="H205" s="430">
        <v>88551.8333333332</v>
      </c>
      <c r="I205" s="453">
        <f t="shared" si="2"/>
        <v>2460.58001553333</v>
      </c>
      <c r="J205" s="451">
        <v>0.0562604205450165</v>
      </c>
      <c r="K205" s="451">
        <v>0.0766522111465119</v>
      </c>
      <c r="L205" s="451">
        <v>0.0631891877588717</v>
      </c>
      <c r="M205" s="451"/>
      <c r="N205" s="459"/>
      <c r="O205" s="430"/>
      <c r="P205" s="531" t="str">
        <f>VLOOKUP(B205,正厂竞争者数据汇总!D:M,6,FALSE)</f>
        <v>2023年9月新增</v>
      </c>
      <c r="Q205" s="429" t="s">
        <v>180</v>
      </c>
      <c r="R205" s="421" t="s">
        <v>180</v>
      </c>
      <c r="S205" s="473"/>
      <c r="T205" s="466"/>
      <c r="U205" s="466"/>
      <c r="V205" s="421"/>
      <c r="W205" s="421"/>
    </row>
    <row r="206" s="408" customFormat="1" spans="1:23">
      <c r="A206" s="428" t="s">
        <v>230</v>
      </c>
      <c r="B206" s="421" t="s">
        <v>384</v>
      </c>
      <c r="C206" s="255" t="s">
        <v>351</v>
      </c>
      <c r="D206" s="270" t="s">
        <v>49</v>
      </c>
      <c r="E206" s="430"/>
      <c r="F206" s="430">
        <v>7763.54166666667</v>
      </c>
      <c r="G206" s="430"/>
      <c r="H206" s="430"/>
      <c r="I206" s="453"/>
      <c r="J206" s="451">
        <v>0.0354877855953662</v>
      </c>
      <c r="K206" s="451">
        <v>0.0367963752728334</v>
      </c>
      <c r="L206" s="451">
        <v>0.0500717745668273</v>
      </c>
      <c r="M206" s="451"/>
      <c r="N206" s="459"/>
      <c r="O206" s="430"/>
      <c r="P206" s="531"/>
      <c r="Q206" s="429"/>
      <c r="R206" s="421"/>
      <c r="S206" s="473"/>
      <c r="T206" s="466"/>
      <c r="U206" s="466"/>
      <c r="V206" s="421"/>
      <c r="W206" s="421"/>
    </row>
    <row r="207" s="408" customFormat="1" spans="1:23">
      <c r="A207" s="428"/>
      <c r="B207" s="421"/>
      <c r="C207" s="429"/>
      <c r="D207" s="421"/>
      <c r="E207" s="430"/>
      <c r="F207" s="430"/>
      <c r="G207" s="430"/>
      <c r="H207" s="430"/>
      <c r="I207" s="453"/>
      <c r="J207" s="451"/>
      <c r="K207" s="451"/>
      <c r="L207" s="451"/>
      <c r="M207" s="451"/>
      <c r="N207" s="459"/>
      <c r="O207" s="430"/>
      <c r="P207" s="531"/>
      <c r="Q207" s="429"/>
      <c r="R207" s="421"/>
      <c r="S207" s="473"/>
      <c r="T207" s="466"/>
      <c r="U207" s="466"/>
      <c r="V207" s="421"/>
      <c r="W207" s="421"/>
    </row>
    <row r="208" s="408" customFormat="1" spans="1:23">
      <c r="A208" s="428"/>
      <c r="B208" s="421"/>
      <c r="C208" s="439"/>
      <c r="D208" s="421"/>
      <c r="E208" s="430"/>
      <c r="F208" s="430">
        <v>218766.585077667</v>
      </c>
      <c r="G208" s="430"/>
      <c r="H208" s="430">
        <v>88546.8333333332</v>
      </c>
      <c r="I208" s="453" t="e">
        <f>(F208/G208)-1</f>
        <v>#DIV/0!</v>
      </c>
      <c r="J208" s="430"/>
      <c r="K208" s="430"/>
      <c r="L208" s="430"/>
      <c r="M208" s="451"/>
      <c r="N208" s="459"/>
      <c r="O208" s="430"/>
      <c r="P208" s="531"/>
      <c r="Q208" s="429"/>
      <c r="R208" s="421"/>
      <c r="S208" s="473"/>
      <c r="T208" s="466"/>
      <c r="U208" s="466"/>
      <c r="V208" s="421"/>
      <c r="W208" s="421"/>
    </row>
    <row r="209" s="408" customFormat="1" spans="1:23">
      <c r="A209" s="423"/>
      <c r="B209" s="421"/>
      <c r="C209" s="425"/>
      <c r="D209" s="421"/>
      <c r="E209" s="430"/>
      <c r="F209" s="430"/>
      <c r="G209" s="430"/>
      <c r="H209" s="430"/>
      <c r="I209" s="453"/>
      <c r="J209" s="430"/>
      <c r="K209" s="430"/>
      <c r="L209" s="430"/>
      <c r="M209" s="451"/>
      <c r="N209" s="459"/>
      <c r="O209" s="430"/>
      <c r="P209" s="531"/>
      <c r="Q209" s="429"/>
      <c r="R209" s="421"/>
      <c r="S209" s="473"/>
      <c r="T209" s="466"/>
      <c r="U209" s="466"/>
      <c r="V209" s="421"/>
      <c r="W209" s="421"/>
    </row>
    <row r="210" s="408" customFormat="1" ht="17.4" spans="1:23">
      <c r="A210" s="418" t="s">
        <v>193</v>
      </c>
      <c r="B210" s="419"/>
      <c r="C210" s="420"/>
      <c r="D210" s="421"/>
      <c r="E210" s="422" t="s">
        <v>202</v>
      </c>
      <c r="F210" s="422"/>
      <c r="G210" s="422" t="s">
        <v>212</v>
      </c>
      <c r="H210" s="422"/>
      <c r="I210" s="422"/>
      <c r="J210" s="422"/>
      <c r="K210" s="422"/>
      <c r="L210" s="422"/>
      <c r="M210" s="443"/>
      <c r="N210" s="422"/>
      <c r="O210" s="422"/>
      <c r="P210" s="531"/>
      <c r="Q210" s="465"/>
      <c r="R210" s="424"/>
      <c r="S210" s="473"/>
      <c r="T210" s="467"/>
      <c r="U210" s="467"/>
      <c r="V210" s="467"/>
      <c r="W210" s="467"/>
    </row>
    <row r="211" s="409" customFormat="1" ht="48.6" spans="1:23">
      <c r="A211" s="423" t="s">
        <v>206</v>
      </c>
      <c r="B211" s="424" t="s">
        <v>207</v>
      </c>
      <c r="C211" s="425" t="s">
        <v>208</v>
      </c>
      <c r="D211" s="424" t="s">
        <v>209</v>
      </c>
      <c r="E211" s="426" t="s">
        <v>210</v>
      </c>
      <c r="F211" s="427" t="s">
        <v>402</v>
      </c>
      <c r="G211" s="427">
        <v>116448.583333333</v>
      </c>
      <c r="H211" s="427" t="s">
        <v>397</v>
      </c>
      <c r="I211" s="427" t="s">
        <v>214</v>
      </c>
      <c r="J211" s="446" t="s">
        <v>398</v>
      </c>
      <c r="K211" s="446" t="s">
        <v>399</v>
      </c>
      <c r="L211" s="446" t="s">
        <v>403</v>
      </c>
      <c r="M211" s="447" t="s">
        <v>218</v>
      </c>
      <c r="N211" s="448" t="s">
        <v>219</v>
      </c>
      <c r="O211" s="449" t="s">
        <v>220</v>
      </c>
      <c r="P211" s="530" t="s">
        <v>221</v>
      </c>
      <c r="Q211" s="469" t="s">
        <v>222</v>
      </c>
      <c r="R211" s="426" t="s">
        <v>223</v>
      </c>
      <c r="S211" s="470" t="s">
        <v>224</v>
      </c>
      <c r="T211" s="467" t="s">
        <v>225</v>
      </c>
      <c r="U211" s="470" t="s">
        <v>226</v>
      </c>
      <c r="V211" s="467"/>
      <c r="W211" s="467"/>
    </row>
    <row r="212" s="408" customFormat="1" spans="1:23">
      <c r="A212" s="428" t="s">
        <v>230</v>
      </c>
      <c r="B212" s="438" t="s">
        <v>365</v>
      </c>
      <c r="C212" s="429" t="str">
        <f>VLOOKUP(B212,正厂竞争者数据汇总!D:H,2,FALSE)</f>
        <v>Motor目录</v>
      </c>
      <c r="D212" s="421" t="str">
        <f>VLOOKUP(B212,正厂竞争者数据汇总!D:H,3,FALSE)</f>
        <v>OR</v>
      </c>
      <c r="E212" s="430">
        <f>VLOOKUP(B212,正厂竞争者数据汇总!D:H,4,FALSE)</f>
        <v>0</v>
      </c>
      <c r="F212" s="430">
        <v>55604.75</v>
      </c>
      <c r="G212" s="430">
        <v>38319.6666666667</v>
      </c>
      <c r="H212" s="430">
        <v>273188.083333333</v>
      </c>
      <c r="I212" s="453"/>
      <c r="J212" s="451">
        <v>0.274097233511992</v>
      </c>
      <c r="K212" s="451">
        <v>0.26929171707616</v>
      </c>
      <c r="L212" s="451">
        <v>0.256416983265263</v>
      </c>
      <c r="M212" s="451"/>
      <c r="N212" s="459"/>
      <c r="O212" s="430"/>
      <c r="P212" s="531">
        <f>VLOOKUP(B212,正厂竞争者数据汇总!D:M,6,FALSE)</f>
        <v>0</v>
      </c>
      <c r="Q212" s="429" t="s">
        <v>180</v>
      </c>
      <c r="R212" s="421" t="s">
        <v>180</v>
      </c>
      <c r="S212" s="473"/>
      <c r="T212" s="466"/>
      <c r="U212" s="466"/>
      <c r="V212" s="421"/>
      <c r="W212" s="421"/>
    </row>
    <row r="213" s="408" customFormat="1" spans="1:23">
      <c r="A213" s="428" t="s">
        <v>230</v>
      </c>
      <c r="B213" s="438" t="s">
        <v>366</v>
      </c>
      <c r="C213" s="429" t="s">
        <v>65</v>
      </c>
      <c r="D213" s="421" t="s">
        <v>49</v>
      </c>
      <c r="E213" s="430"/>
      <c r="F213" s="430">
        <v>48694.0257333333</v>
      </c>
      <c r="G213" s="430">
        <v>38321.6666666667</v>
      </c>
      <c r="H213" s="430">
        <v>273190.083333333</v>
      </c>
      <c r="I213" s="453"/>
      <c r="J213" s="451">
        <v>0.240031611365367</v>
      </c>
      <c r="K213" s="451">
        <v>0.21854590575464</v>
      </c>
      <c r="L213" s="451">
        <v>0.134093543882681</v>
      </c>
      <c r="M213" s="451"/>
      <c r="N213" s="459"/>
      <c r="O213" s="430"/>
      <c r="P213" s="531"/>
      <c r="Q213" s="429"/>
      <c r="R213" s="421"/>
      <c r="S213" s="473"/>
      <c r="T213" s="466"/>
      <c r="U213" s="466"/>
      <c r="V213" s="421"/>
      <c r="W213" s="421"/>
    </row>
    <row r="214" s="408" customFormat="1" spans="1:23">
      <c r="A214" s="428" t="s">
        <v>243</v>
      </c>
      <c r="B214" s="438" t="s">
        <v>369</v>
      </c>
      <c r="C214" s="429" t="str">
        <f>VLOOKUP(B214,正厂竞争者数据汇总!D:H,2,FALSE)</f>
        <v>旧年份原厂、新年份Motor</v>
      </c>
      <c r="D214" s="421" t="str">
        <f>VLOOKUP(B214,正厂竞争者数据汇总!D:H,3,FALSE)</f>
        <v>GA</v>
      </c>
      <c r="E214" s="430">
        <f>VLOOKUP(B214,正厂竞争者数据汇总!D:H,4,FALSE)</f>
        <v>0</v>
      </c>
      <c r="F214" s="430">
        <v>23786.3764</v>
      </c>
      <c r="G214" s="430">
        <v>38322.6666666667</v>
      </c>
      <c r="H214" s="430">
        <v>273191.083333333</v>
      </c>
      <c r="I214" s="453"/>
      <c r="J214" s="451">
        <v>0.117252212563044</v>
      </c>
      <c r="K214" s="451">
        <v>0.128482887442892</v>
      </c>
      <c r="L214" s="451">
        <v>0.143449802600584</v>
      </c>
      <c r="M214" s="451"/>
      <c r="N214" s="459"/>
      <c r="O214" s="430"/>
      <c r="P214" s="531">
        <f>VLOOKUP(B214,正厂竞争者数据汇总!D:M,6,FALSE)</f>
        <v>0</v>
      </c>
      <c r="Q214" s="429"/>
      <c r="R214" s="421"/>
      <c r="S214" s="473"/>
      <c r="T214" s="466"/>
      <c r="U214" s="466"/>
      <c r="V214" s="421"/>
      <c r="W214" s="421"/>
    </row>
    <row r="215" s="408" customFormat="1" spans="1:23">
      <c r="A215" s="428" t="s">
        <v>367</v>
      </c>
      <c r="B215" s="438" t="s">
        <v>368</v>
      </c>
      <c r="C215" s="429" t="str">
        <f>VLOOKUP(B215,正厂竞争者数据汇总!D:H,2,FALSE)</f>
        <v>Motor目录</v>
      </c>
      <c r="D215" s="421" t="str">
        <f>VLOOKUP(B215,正厂竞争者数据汇总!D:H,3,FALSE)</f>
        <v>-</v>
      </c>
      <c r="E215" s="430">
        <f>VLOOKUP(B215,正厂竞争者数据汇总!D:H,4,FALSE)</f>
        <v>0</v>
      </c>
      <c r="F215" s="430">
        <v>23617.6666666667</v>
      </c>
      <c r="G215" s="430">
        <v>38320.6666666667</v>
      </c>
      <c r="H215" s="430">
        <v>273189.083333333</v>
      </c>
      <c r="I215" s="453"/>
      <c r="J215" s="451">
        <v>0.116420577294956</v>
      </c>
      <c r="K215" s="451">
        <v>0.117096450808569</v>
      </c>
      <c r="L215" s="451">
        <v>0.130194902264691</v>
      </c>
      <c r="M215" s="451"/>
      <c r="N215" s="459"/>
      <c r="O215" s="430"/>
      <c r="P215" s="531">
        <f>VLOOKUP(B215,正厂竞争者数据汇总!D:M,6,FALSE)</f>
        <v>0</v>
      </c>
      <c r="Q215" s="429"/>
      <c r="R215" s="421"/>
      <c r="S215" s="473"/>
      <c r="T215" s="466"/>
      <c r="U215" s="466"/>
      <c r="V215" s="421"/>
      <c r="W215" s="421"/>
    </row>
    <row r="216" s="408" customFormat="1" spans="1:23">
      <c r="A216" s="428" t="s">
        <v>230</v>
      </c>
      <c r="B216" s="438" t="s">
        <v>373</v>
      </c>
      <c r="C216" s="429" t="str">
        <f>VLOOKUP(B216,正厂竞争者数据汇总!D:H,2,FALSE)</f>
        <v>Motor目录</v>
      </c>
      <c r="D216" s="421" t="str">
        <f>VLOOKUP(B216,正厂竞争者数据汇总!D:H,3,FALSE)</f>
        <v>MA</v>
      </c>
      <c r="E216" s="430">
        <f>VLOOKUP(B216,正厂竞争者数据汇总!D:H,4,FALSE)</f>
        <v>3939</v>
      </c>
      <c r="F216" s="430">
        <v>12007.88</v>
      </c>
      <c r="G216" s="430">
        <v>38321.6666666667</v>
      </c>
      <c r="H216" s="430">
        <v>273190.083333333</v>
      </c>
      <c r="I216" s="453"/>
      <c r="J216" s="451">
        <v>0.0591914663467416</v>
      </c>
      <c r="K216" s="451">
        <v>0.048561138467554</v>
      </c>
      <c r="L216" s="451">
        <v>0.017969919032379</v>
      </c>
      <c r="M216" s="451"/>
      <c r="N216" s="459"/>
      <c r="O216" s="430"/>
      <c r="P216" s="531">
        <f>VLOOKUP(B216,正厂竞争者数据汇总!D:M,6,FALSE)</f>
        <v>0</v>
      </c>
      <c r="Q216" s="429"/>
      <c r="R216" s="421"/>
      <c r="S216" s="473"/>
      <c r="T216" s="466"/>
      <c r="U216" s="466"/>
      <c r="V216" s="421"/>
      <c r="W216" s="421"/>
    </row>
    <row r="217" s="408" customFormat="1" spans="1:23">
      <c r="A217" s="428" t="s">
        <v>230</v>
      </c>
      <c r="B217" s="438" t="s">
        <v>372</v>
      </c>
      <c r="C217" s="429" t="str">
        <f>VLOOKUP(B217,正厂竞争者数据汇总!D:H,2,FALSE)</f>
        <v>Motor目录</v>
      </c>
      <c r="D217" s="421" t="str">
        <f>VLOOKUP(B217,正厂竞争者数据汇总!D:H,3,FALSE)</f>
        <v>NV</v>
      </c>
      <c r="E217" s="430">
        <f>VLOOKUP(B217,正厂竞争者数据汇总!D:H,4,FALSE)</f>
        <v>0</v>
      </c>
      <c r="F217" s="430">
        <v>11438.5525833333</v>
      </c>
      <c r="G217" s="430">
        <v>38326.6666666667</v>
      </c>
      <c r="H217" s="430">
        <v>273195.083333333</v>
      </c>
      <c r="I217" s="453"/>
      <c r="J217" s="451">
        <v>0.0563850321865149</v>
      </c>
      <c r="K217" s="451">
        <v>0.0419003259654262</v>
      </c>
      <c r="L217" s="451">
        <v>0.0666173319359032</v>
      </c>
      <c r="M217" s="451"/>
      <c r="N217" s="459"/>
      <c r="O217" s="430"/>
      <c r="P217" s="531" t="str">
        <f>VLOOKUP(B217,正厂竞争者数据汇总!D:M,6,FALSE)</f>
        <v>2023年9月新增</v>
      </c>
      <c r="Q217" s="429"/>
      <c r="R217" s="421"/>
      <c r="S217" s="473"/>
      <c r="T217" s="466"/>
      <c r="U217" s="466"/>
      <c r="V217" s="421"/>
      <c r="W217" s="421"/>
    </row>
    <row r="218" s="408" customFormat="1" ht="17.4" spans="1:23">
      <c r="A218" s="428" t="s">
        <v>230</v>
      </c>
      <c r="B218" s="438" t="s">
        <v>370</v>
      </c>
      <c r="C218" s="429" t="s">
        <v>247</v>
      </c>
      <c r="D218" s="421" t="s">
        <v>371</v>
      </c>
      <c r="E218" s="430"/>
      <c r="F218" s="430">
        <v>10979.25</v>
      </c>
      <c r="G218" s="430">
        <v>38321.6666666667</v>
      </c>
      <c r="H218" s="430">
        <v>273190.083333333</v>
      </c>
      <c r="I218" s="453"/>
      <c r="J218" s="451">
        <v>0.0541209528149401</v>
      </c>
      <c r="K218" s="451">
        <v>0.0660345362202244</v>
      </c>
      <c r="L218" s="451">
        <v>0.0939964378661269</v>
      </c>
      <c r="M218" s="451"/>
      <c r="N218" s="459"/>
      <c r="O218" s="430"/>
      <c r="P218" s="531"/>
      <c r="Q218" s="429"/>
      <c r="R218" s="421"/>
      <c r="S218" s="473"/>
      <c r="T218" s="466"/>
      <c r="U218" s="466"/>
      <c r="V218" s="421"/>
      <c r="W218" s="421"/>
    </row>
    <row r="219" s="408" customFormat="1" spans="1:23">
      <c r="A219" s="428" t="s">
        <v>230</v>
      </c>
      <c r="B219" s="438" t="s">
        <v>377</v>
      </c>
      <c r="C219" s="429" t="str">
        <f>VLOOKUP(B219,正厂竞争者数据汇总!D:H,2,FALSE)</f>
        <v>Motor目录</v>
      </c>
      <c r="D219" s="421" t="str">
        <f>VLOOKUP(B219,正厂竞争者数据汇总!D:H,3,FALSE)</f>
        <v>CA</v>
      </c>
      <c r="E219" s="430">
        <f>VLOOKUP(B219,正厂竞争者数据汇总!D:H,4,FALSE)</f>
        <v>0</v>
      </c>
      <c r="F219" s="430">
        <v>9811.08333333333</v>
      </c>
      <c r="G219" s="430">
        <v>38327.6666666667</v>
      </c>
      <c r="H219" s="430">
        <v>273196.083333333</v>
      </c>
      <c r="I219" s="453"/>
      <c r="J219" s="451">
        <v>0.0483626092990667</v>
      </c>
      <c r="K219" s="451">
        <v>0.0567503060171167</v>
      </c>
      <c r="L219" s="451">
        <v>0.101966138657977</v>
      </c>
      <c r="M219" s="451"/>
      <c r="N219" s="459"/>
      <c r="O219" s="430"/>
      <c r="P219" s="531" t="str">
        <f>VLOOKUP(B219,正厂竞争者数据汇总!D:M,6,FALSE)</f>
        <v>2023年9月新增</v>
      </c>
      <c r="Q219" s="429"/>
      <c r="R219" s="421"/>
      <c r="S219" s="473"/>
      <c r="T219" s="466"/>
      <c r="U219" s="466"/>
      <c r="V219" s="421"/>
      <c r="W219" s="421"/>
    </row>
    <row r="220" s="408" customFormat="1" spans="1:23">
      <c r="A220" s="428" t="s">
        <v>375</v>
      </c>
      <c r="B220" s="438" t="s">
        <v>376</v>
      </c>
      <c r="C220" s="429" t="str">
        <f>VLOOKUP(B220,正厂竞争者数据汇总!D:H,2,FALSE)</f>
        <v>无完整目录，category下放的PD</v>
      </c>
      <c r="D220" s="421" t="str">
        <f>VLOOKUP(B220,正厂竞争者数据汇总!D:H,3,FALSE)</f>
        <v>NY</v>
      </c>
      <c r="E220" s="430">
        <f>VLOOKUP(B220,正厂竞争者数据汇总!D:H,4,FALSE)</f>
        <v>0</v>
      </c>
      <c r="F220" s="430">
        <v>6925.469</v>
      </c>
      <c r="G220" s="430">
        <v>38329.6666666667</v>
      </c>
      <c r="H220" s="430">
        <v>273198.083333333</v>
      </c>
      <c r="I220" s="453"/>
      <c r="J220" s="451">
        <v>0.0341383046173764</v>
      </c>
      <c r="K220" s="451">
        <v>0.0533367322474182</v>
      </c>
      <c r="L220" s="451">
        <v>0.055294940494395</v>
      </c>
      <c r="M220" s="451" t="e">
        <f>J220-#REF!</f>
        <v>#REF!</v>
      </c>
      <c r="N220" s="459"/>
      <c r="O220" s="430"/>
      <c r="P220" s="531" t="str">
        <f>VLOOKUP(B220,正厂竞争者数据汇总!D:M,6,FALSE)</f>
        <v>同时经营Audi，BMW、Dodge、Jaguar、Land Rover、Mercedes-Benz、Mini、Porsche、Saab、Volkswagen、Volvo。折算比例：Audi：30.3%，MB：69.7%</v>
      </c>
      <c r="Q220" s="429" t="s">
        <v>180</v>
      </c>
      <c r="R220" s="421" t="s">
        <v>180</v>
      </c>
      <c r="S220" s="473"/>
      <c r="T220" s="466"/>
      <c r="U220" s="466"/>
      <c r="V220" s="421"/>
      <c r="W220" s="421"/>
    </row>
    <row r="221" s="410" customFormat="1" spans="1:23">
      <c r="A221" s="432"/>
      <c r="B221" s="435"/>
      <c r="C221" s="429"/>
      <c r="D221" s="421"/>
      <c r="E221" s="430"/>
      <c r="F221" s="436"/>
      <c r="G221" s="436">
        <v>335229.333333333</v>
      </c>
      <c r="H221" s="436"/>
      <c r="I221" s="453"/>
      <c r="J221" s="457"/>
      <c r="K221" s="457"/>
      <c r="L221" s="457"/>
      <c r="M221" s="451"/>
      <c r="N221" s="455"/>
      <c r="O221" s="436"/>
      <c r="P221" s="531"/>
      <c r="Q221" s="434"/>
      <c r="R221" s="435"/>
      <c r="S221" s="473"/>
      <c r="T221" s="466"/>
      <c r="U221" s="466"/>
      <c r="V221" s="435"/>
      <c r="W221" s="435"/>
    </row>
    <row r="222" s="408" customFormat="1" spans="1:23">
      <c r="A222" s="428"/>
      <c r="B222" s="421"/>
      <c r="C222" s="439"/>
      <c r="D222" s="421"/>
      <c r="E222" s="421"/>
      <c r="F222" s="496">
        <v>202865.053716667</v>
      </c>
      <c r="G222" s="496"/>
      <c r="H222" s="496">
        <v>377262.166666666</v>
      </c>
      <c r="I222" s="453" t="e">
        <f>(F222/G222)-1</f>
        <v>#DIV/0!</v>
      </c>
      <c r="J222" s="430"/>
      <c r="K222" s="430"/>
      <c r="L222" s="430"/>
      <c r="M222" s="451"/>
      <c r="N222" s="459"/>
      <c r="O222" s="430"/>
      <c r="P222" s="531"/>
      <c r="Q222" s="429"/>
      <c r="R222" s="421"/>
      <c r="S222" s="473"/>
      <c r="T222" s="466"/>
      <c r="U222" s="466"/>
      <c r="V222" s="421"/>
      <c r="W222" s="421"/>
    </row>
    <row r="223" s="408" customFormat="1" spans="1:23">
      <c r="A223" s="428"/>
      <c r="B223" s="421"/>
      <c r="C223" s="439"/>
      <c r="D223" s="421"/>
      <c r="E223" s="421"/>
      <c r="F223" s="496"/>
      <c r="G223" s="496"/>
      <c r="H223" s="496"/>
      <c r="I223" s="453"/>
      <c r="J223" s="430"/>
      <c r="K223" s="430"/>
      <c r="L223" s="430"/>
      <c r="M223" s="451"/>
      <c r="N223" s="459"/>
      <c r="O223" s="430"/>
      <c r="P223" s="531"/>
      <c r="Q223" s="429"/>
      <c r="R223" s="421"/>
      <c r="S223" s="473"/>
      <c r="T223" s="466"/>
      <c r="U223" s="466"/>
      <c r="V223" s="421"/>
      <c r="W223" s="421"/>
    </row>
    <row r="224" s="408" customFormat="1" ht="17.4" spans="1:23">
      <c r="A224" s="418" t="s">
        <v>191</v>
      </c>
      <c r="B224" s="419"/>
      <c r="C224" s="420"/>
      <c r="D224" s="421"/>
      <c r="E224" s="422" t="s">
        <v>202</v>
      </c>
      <c r="F224" s="422"/>
      <c r="G224" s="422" t="s">
        <v>212</v>
      </c>
      <c r="H224" s="422"/>
      <c r="I224" s="422"/>
      <c r="J224" s="422"/>
      <c r="K224" s="422"/>
      <c r="L224" s="422"/>
      <c r="M224" s="443"/>
      <c r="N224" s="422"/>
      <c r="O224" s="422"/>
      <c r="P224" s="531"/>
      <c r="Q224" s="465"/>
      <c r="R224" s="424"/>
      <c r="S224" s="473"/>
      <c r="T224" s="467"/>
      <c r="U224" s="467"/>
      <c r="V224" s="467"/>
      <c r="W224" s="467"/>
    </row>
    <row r="225" s="409" customFormat="1" ht="48.6" spans="1:23">
      <c r="A225" s="423" t="s">
        <v>206</v>
      </c>
      <c r="B225" s="424" t="s">
        <v>207</v>
      </c>
      <c r="C225" s="425" t="s">
        <v>208</v>
      </c>
      <c r="D225" s="424" t="s">
        <v>209</v>
      </c>
      <c r="E225" s="426" t="s">
        <v>210</v>
      </c>
      <c r="F225" s="427" t="s">
        <v>402</v>
      </c>
      <c r="G225" s="427">
        <v>116448.583333333</v>
      </c>
      <c r="H225" s="427" t="s">
        <v>397</v>
      </c>
      <c r="I225" s="427" t="s">
        <v>214</v>
      </c>
      <c r="J225" s="446" t="s">
        <v>398</v>
      </c>
      <c r="K225" s="446" t="s">
        <v>399</v>
      </c>
      <c r="L225" s="446" t="s">
        <v>403</v>
      </c>
      <c r="M225" s="447" t="s">
        <v>218</v>
      </c>
      <c r="N225" s="448" t="s">
        <v>219</v>
      </c>
      <c r="O225" s="449" t="s">
        <v>220</v>
      </c>
      <c r="P225" s="530" t="s">
        <v>221</v>
      </c>
      <c r="Q225" s="469" t="s">
        <v>222</v>
      </c>
      <c r="R225" s="426" t="s">
        <v>223</v>
      </c>
      <c r="S225" s="470" t="s">
        <v>224</v>
      </c>
      <c r="T225" s="467" t="s">
        <v>225</v>
      </c>
      <c r="U225" s="470" t="s">
        <v>226</v>
      </c>
      <c r="V225" s="467"/>
      <c r="W225" s="467"/>
    </row>
    <row r="226" s="408" customFormat="1" spans="1:23">
      <c r="A226" s="428" t="s">
        <v>325</v>
      </c>
      <c r="B226" s="421" t="s">
        <v>357</v>
      </c>
      <c r="C226" s="429" t="str">
        <f>VLOOKUP(B226,正厂竞争者数据汇总!D:H,2,FALSE)</f>
        <v>原厂目录</v>
      </c>
      <c r="D226" s="421" t="str">
        <f>VLOOKUP(B226,正厂竞争者数据汇总!D:H,3,FALSE)</f>
        <v>IL</v>
      </c>
      <c r="E226" s="430">
        <f>VLOOKUP(B226,正厂竞争者数据汇总!D:H,4,FALSE)</f>
        <v>0</v>
      </c>
      <c r="F226" s="430">
        <v>91763.2533333333</v>
      </c>
      <c r="G226" s="430">
        <v>0</v>
      </c>
      <c r="H226" s="430">
        <v>99768.6666666667</v>
      </c>
      <c r="I226" s="453" t="e">
        <f>(F226/G226)-1</f>
        <v>#DIV/0!</v>
      </c>
      <c r="J226" s="451">
        <v>0.487665740398558</v>
      </c>
      <c r="K226" s="451">
        <v>0.502313661817666</v>
      </c>
      <c r="L226" s="451">
        <v>0.556358263381553</v>
      </c>
      <c r="M226" s="451" t="e">
        <f>J226-#REF!</f>
        <v>#REF!</v>
      </c>
      <c r="N226" s="459"/>
      <c r="O226" s="430"/>
      <c r="P226" s="531">
        <f>VLOOKUP(B226,正厂竞争者数据汇总!D:M,6,FALSE)</f>
        <v>0</v>
      </c>
      <c r="Q226" s="429" t="s">
        <v>180</v>
      </c>
      <c r="R226" s="421" t="s">
        <v>180</v>
      </c>
      <c r="S226" s="473"/>
      <c r="T226" s="466"/>
      <c r="U226" s="466"/>
      <c r="V226" s="421"/>
      <c r="W226" s="421"/>
    </row>
    <row r="227" s="408" customFormat="1" spans="1:23">
      <c r="A227" s="428" t="s">
        <v>230</v>
      </c>
      <c r="B227" s="421" t="s">
        <v>364</v>
      </c>
      <c r="C227" s="429" t="str">
        <f>VLOOKUP(B227,正厂竞争者数据汇总!D:H,2,FALSE)</f>
        <v>Motor目录</v>
      </c>
      <c r="D227" s="421" t="str">
        <f>VLOOKUP(B227,正厂竞争者数据汇总!D:H,3,FALSE)</f>
        <v>TX</v>
      </c>
      <c r="E227" s="430"/>
      <c r="F227" s="430">
        <v>35026.1833333333</v>
      </c>
      <c r="G227" s="430"/>
      <c r="H227" s="430"/>
      <c r="I227" s="453"/>
      <c r="J227" s="451">
        <v>0.186142807802793</v>
      </c>
      <c r="K227" s="451">
        <v>0.174975928001679</v>
      </c>
      <c r="L227" s="451">
        <v>0.207170422057097</v>
      </c>
      <c r="M227" s="451"/>
      <c r="N227" s="459"/>
      <c r="O227" s="430"/>
      <c r="P227" s="531" t="str">
        <f>VLOOKUP(B227,正厂竞争者数据汇总!D:M,6,FALSE)</f>
        <v>2023年9月新增，202402导流到myswedishparts.com</v>
      </c>
      <c r="Q227" s="429"/>
      <c r="R227" s="421"/>
      <c r="S227" s="473"/>
      <c r="T227" s="466"/>
      <c r="U227" s="466"/>
      <c r="V227" s="421"/>
      <c r="W227" s="421"/>
    </row>
    <row r="228" s="408" customFormat="1" spans="1:23">
      <c r="A228" s="428" t="s">
        <v>325</v>
      </c>
      <c r="B228" s="421" t="s">
        <v>362</v>
      </c>
      <c r="C228" s="429" t="str">
        <f>VLOOKUP(B228,正厂竞争者数据汇总!D:H,2,FALSE)</f>
        <v>原厂目录</v>
      </c>
      <c r="D228" s="421" t="str">
        <f>VLOOKUP(B228,正厂竞争者数据汇总!D:H,3,FALSE)</f>
        <v>CA</v>
      </c>
      <c r="E228" s="430"/>
      <c r="F228" s="430">
        <v>17894.3666666667</v>
      </c>
      <c r="G228" s="430"/>
      <c r="H228" s="430"/>
      <c r="I228" s="453"/>
      <c r="J228" s="451">
        <v>0.0950976480505117</v>
      </c>
      <c r="K228" s="451">
        <v>0.106754374209381</v>
      </c>
      <c r="L228" s="451">
        <v>0.0696813968494533</v>
      </c>
      <c r="M228" s="451"/>
      <c r="N228" s="459"/>
      <c r="O228" s="430"/>
      <c r="P228" s="531">
        <f>VLOOKUP(B228,正厂竞争者数据汇总!D:M,6,FALSE)</f>
        <v>0</v>
      </c>
      <c r="Q228" s="429"/>
      <c r="R228" s="421"/>
      <c r="S228" s="473"/>
      <c r="T228" s="466"/>
      <c r="U228" s="466"/>
      <c r="V228" s="421"/>
      <c r="W228" s="421"/>
    </row>
    <row r="229" s="408" customFormat="1" spans="1:23">
      <c r="A229" s="428" t="s">
        <v>230</v>
      </c>
      <c r="B229" s="421" t="s">
        <v>358</v>
      </c>
      <c r="C229" s="429" t="str">
        <f>VLOOKUP(B229,正厂竞争者数据汇总!D:H,2,FALSE)</f>
        <v>Motor目录</v>
      </c>
      <c r="D229" s="421" t="str">
        <f>VLOOKUP(B229,正厂竞争者数据汇总!D:H,3,FALSE)</f>
        <v>CT</v>
      </c>
      <c r="E229" s="430"/>
      <c r="F229" s="430">
        <v>15457.1566666667</v>
      </c>
      <c r="G229" s="430"/>
      <c r="H229" s="430"/>
      <c r="I229" s="453"/>
      <c r="J229" s="451">
        <v>0.0821453629474613</v>
      </c>
      <c r="K229" s="451">
        <v>0.102454336794175</v>
      </c>
      <c r="L229" s="451">
        <v>0.105066627687923</v>
      </c>
      <c r="M229" s="451"/>
      <c r="N229" s="459"/>
      <c r="O229" s="430"/>
      <c r="P229" s="531" t="str">
        <f>VLOOKUP(B229,正厂竞争者数据汇总!D:M,6,FALSE)</f>
        <v>2023年9月新增</v>
      </c>
      <c r="Q229" s="429"/>
      <c r="R229" s="421"/>
      <c r="S229" s="473"/>
      <c r="T229" s="466"/>
      <c r="U229" s="466"/>
      <c r="V229" s="421"/>
      <c r="W229" s="421"/>
    </row>
    <row r="230" s="408" customFormat="1" spans="1:23">
      <c r="A230" s="428" t="s">
        <v>325</v>
      </c>
      <c r="B230" s="421" t="s">
        <v>363</v>
      </c>
      <c r="C230" s="429" t="str">
        <f>VLOOKUP(B230,正厂竞争者数据汇总!D:H,2,FALSE)</f>
        <v>原厂目录</v>
      </c>
      <c r="D230" s="421" t="str">
        <f>VLOOKUP(B230,正厂竞争者数据汇总!D:H,3,FALSE)</f>
        <v>MD</v>
      </c>
      <c r="E230" s="430"/>
      <c r="F230" s="430">
        <v>15207.25</v>
      </c>
      <c r="G230" s="430"/>
      <c r="H230" s="430"/>
      <c r="I230" s="453"/>
      <c r="J230" s="451">
        <v>0.080817261390427</v>
      </c>
      <c r="K230" s="451">
        <v>0.0578558763175691</v>
      </c>
      <c r="L230" s="451"/>
      <c r="M230" s="451"/>
      <c r="N230" s="459"/>
      <c r="O230" s="430"/>
      <c r="P230" s="531"/>
      <c r="Q230" s="429"/>
      <c r="R230" s="421"/>
      <c r="S230" s="473"/>
      <c r="T230" s="466"/>
      <c r="U230" s="466"/>
      <c r="V230" s="421"/>
      <c r="W230" s="421"/>
    </row>
    <row r="231" s="408" customFormat="1" spans="1:23">
      <c r="A231" s="428" t="s">
        <v>230</v>
      </c>
      <c r="B231" s="421" t="s">
        <v>359</v>
      </c>
      <c r="C231" s="429" t="str">
        <f>VLOOKUP(B231,正厂竞争者数据汇总!D:H,2,FALSE)</f>
        <v>Motor目录</v>
      </c>
      <c r="D231" s="421" t="str">
        <f>VLOOKUP(B231,正厂竞争者数据汇总!D:H,3,FALSE)</f>
        <v>NY</v>
      </c>
      <c r="E231" s="430"/>
      <c r="F231" s="430">
        <v>12820.131</v>
      </c>
      <c r="G231" s="430"/>
      <c r="H231" s="430"/>
      <c r="I231" s="453"/>
      <c r="J231" s="451">
        <v>0.0681311794102495</v>
      </c>
      <c r="K231" s="451">
        <v>0.0556458228595288</v>
      </c>
      <c r="L231" s="451">
        <v>0.0617232900239739</v>
      </c>
      <c r="M231" s="451"/>
      <c r="N231" s="459"/>
      <c r="O231" s="430"/>
      <c r="P231" s="531" t="str">
        <f>VLOOKUP(B231,正厂竞争者数据汇总!D:M,6,FALSE)</f>
        <v>2023年9月新增</v>
      </c>
      <c r="Q231" s="429"/>
      <c r="R231" s="421"/>
      <c r="S231" s="473"/>
      <c r="T231" s="466"/>
      <c r="U231" s="466"/>
      <c r="V231" s="421"/>
      <c r="W231" s="421"/>
    </row>
    <row r="232" s="408" customFormat="1" spans="1:23">
      <c r="A232" s="428"/>
      <c r="B232" s="438"/>
      <c r="C232" s="429"/>
      <c r="D232" s="421"/>
      <c r="E232" s="430"/>
      <c r="F232" s="430"/>
      <c r="G232" s="430">
        <v>131075.583333333</v>
      </c>
      <c r="H232" s="430"/>
      <c r="I232" s="453"/>
      <c r="J232" s="451"/>
      <c r="K232" s="451"/>
      <c r="L232" s="451"/>
      <c r="M232" s="451"/>
      <c r="N232" s="459"/>
      <c r="O232" s="430"/>
      <c r="P232" s="531"/>
      <c r="Q232" s="429"/>
      <c r="R232" s="421"/>
      <c r="S232" s="473"/>
      <c r="T232" s="466"/>
      <c r="U232" s="466"/>
      <c r="V232" s="421"/>
      <c r="W232" s="421"/>
    </row>
    <row r="233" s="408" customFormat="1" spans="1:23">
      <c r="A233" s="428"/>
      <c r="B233" s="421"/>
      <c r="C233" s="439"/>
      <c r="D233" s="421"/>
      <c r="E233" s="421"/>
      <c r="F233" s="496">
        <v>188168.341</v>
      </c>
      <c r="G233" s="496"/>
      <c r="H233" s="496">
        <v>117816.916666667</v>
      </c>
      <c r="I233" s="453" t="e">
        <f>(F233/G233)-1</f>
        <v>#DIV/0!</v>
      </c>
      <c r="J233" s="430"/>
      <c r="K233" s="430"/>
      <c r="L233" s="430"/>
      <c r="M233" s="451"/>
      <c r="N233" s="459"/>
      <c r="O233" s="430"/>
      <c r="P233" s="531"/>
      <c r="Q233" s="429"/>
      <c r="R233" s="421"/>
      <c r="S233" s="473"/>
      <c r="T233" s="466"/>
      <c r="U233" s="466"/>
      <c r="V233" s="421"/>
      <c r="W233" s="421"/>
    </row>
    <row r="234" s="408" customFormat="1" spans="1:23">
      <c r="A234" s="428"/>
      <c r="B234" s="438"/>
      <c r="C234" s="439"/>
      <c r="D234" s="421"/>
      <c r="E234" s="430"/>
      <c r="F234" s="430"/>
      <c r="G234" s="430"/>
      <c r="H234" s="430"/>
      <c r="I234" s="453"/>
      <c r="J234" s="430"/>
      <c r="K234" s="430"/>
      <c r="L234" s="430"/>
      <c r="M234" s="451"/>
      <c r="N234" s="459"/>
      <c r="O234" s="430"/>
      <c r="P234" s="531"/>
      <c r="Q234" s="429"/>
      <c r="R234" s="421"/>
      <c r="S234" s="473"/>
      <c r="T234" s="466"/>
      <c r="U234" s="466"/>
      <c r="V234" s="421"/>
      <c r="W234" s="421"/>
    </row>
    <row r="235" s="408" customFormat="1" spans="3:21">
      <c r="C235" s="411"/>
      <c r="F235" s="502"/>
      <c r="G235" s="502"/>
      <c r="H235" s="502"/>
      <c r="I235" s="502"/>
      <c r="J235" s="412"/>
      <c r="K235" s="412"/>
      <c r="L235" s="412"/>
      <c r="M235" s="413"/>
      <c r="N235" s="414"/>
      <c r="O235" s="412"/>
      <c r="P235" s="528"/>
      <c r="T235" s="416"/>
      <c r="U235" s="416"/>
    </row>
    <row r="236" s="408" customFormat="1" spans="3:21">
      <c r="C236" s="411"/>
      <c r="E236" s="412"/>
      <c r="F236" s="412"/>
      <c r="G236" s="412"/>
      <c r="H236" s="412"/>
      <c r="I236" s="412"/>
      <c r="J236" s="412"/>
      <c r="K236" s="412"/>
      <c r="L236" s="412"/>
      <c r="M236" s="413"/>
      <c r="N236" s="414"/>
      <c r="O236" s="412"/>
      <c r="T236" s="416"/>
      <c r="U236" s="416"/>
    </row>
    <row r="237" s="408" customFormat="1" spans="3:21">
      <c r="C237" s="411"/>
      <c r="F237" s="412"/>
      <c r="G237" s="412"/>
      <c r="H237" s="412"/>
      <c r="I237" s="412"/>
      <c r="J237" s="412"/>
      <c r="K237" s="412"/>
      <c r="L237" s="412"/>
      <c r="M237" s="413"/>
      <c r="N237" s="414"/>
      <c r="O237" s="412"/>
      <c r="P237" s="528"/>
      <c r="T237" s="416"/>
      <c r="U237" s="416"/>
    </row>
    <row r="238" s="408" customFormat="1" spans="3:21">
      <c r="C238" s="411"/>
      <c r="F238" s="412"/>
      <c r="G238" s="412"/>
      <c r="H238" s="412"/>
      <c r="I238" s="412"/>
      <c r="J238" s="412"/>
      <c r="K238" s="412"/>
      <c r="L238" s="412"/>
      <c r="M238" s="413"/>
      <c r="N238" s="414"/>
      <c r="O238" s="412"/>
      <c r="P238" s="528"/>
      <c r="T238" s="416"/>
      <c r="U238" s="416"/>
    </row>
    <row r="239" s="408" customFormat="1" spans="3:21">
      <c r="C239" s="411"/>
      <c r="F239" s="412"/>
      <c r="G239" s="412"/>
      <c r="H239" s="412"/>
      <c r="I239" s="412"/>
      <c r="J239" s="412"/>
      <c r="K239" s="412"/>
      <c r="L239" s="412"/>
      <c r="M239" s="413"/>
      <c r="N239" s="414"/>
      <c r="O239" s="412"/>
      <c r="P239" s="528"/>
      <c r="T239" s="416"/>
      <c r="U239" s="416"/>
    </row>
    <row r="240" s="408" customFormat="1" spans="3:21">
      <c r="C240" s="411"/>
      <c r="F240" s="412"/>
      <c r="G240" s="412"/>
      <c r="H240" s="412"/>
      <c r="I240" s="412"/>
      <c r="J240" s="412"/>
      <c r="K240" s="412"/>
      <c r="L240" s="412"/>
      <c r="M240" s="413"/>
      <c r="N240" s="414"/>
      <c r="O240" s="412"/>
      <c r="P240" s="528"/>
      <c r="T240" s="416"/>
      <c r="U240" s="416"/>
    </row>
    <row r="241" s="408" customFormat="1" spans="3:21">
      <c r="C241" s="411"/>
      <c r="F241" s="412"/>
      <c r="G241" s="412"/>
      <c r="H241" s="412"/>
      <c r="I241" s="412"/>
      <c r="J241" s="412"/>
      <c r="K241" s="412"/>
      <c r="L241" s="412"/>
      <c r="M241" s="413"/>
      <c r="N241" s="414"/>
      <c r="O241" s="412"/>
      <c r="P241" s="528"/>
      <c r="T241" s="416"/>
      <c r="U241" s="416"/>
    </row>
    <row r="242" s="408" customFormat="1" spans="3:21">
      <c r="C242" s="411"/>
      <c r="F242" s="412"/>
      <c r="G242" s="412"/>
      <c r="H242" s="412"/>
      <c r="I242" s="412"/>
      <c r="J242" s="412"/>
      <c r="K242" s="412"/>
      <c r="L242" s="412"/>
      <c r="M242" s="413"/>
      <c r="N242" s="414"/>
      <c r="O242" s="412"/>
      <c r="P242" s="528"/>
      <c r="T242" s="416"/>
      <c r="U242" s="416"/>
    </row>
    <row r="243" s="408" customFormat="1" spans="3:21">
      <c r="C243" s="411"/>
      <c r="F243" s="412"/>
      <c r="G243" s="412"/>
      <c r="H243" s="412"/>
      <c r="I243" s="412"/>
      <c r="J243" s="412"/>
      <c r="K243" s="412"/>
      <c r="L243" s="412"/>
      <c r="M243" s="413"/>
      <c r="N243" s="414"/>
      <c r="O243" s="412"/>
      <c r="P243" s="528"/>
      <c r="T243" s="416"/>
      <c r="U243" s="416"/>
    </row>
    <row r="244" s="408" customFormat="1" spans="3:21">
      <c r="C244" s="411"/>
      <c r="F244" s="412"/>
      <c r="G244" s="412"/>
      <c r="H244" s="412"/>
      <c r="I244" s="412"/>
      <c r="J244" s="412"/>
      <c r="K244" s="412"/>
      <c r="L244" s="412"/>
      <c r="M244" s="413"/>
      <c r="N244" s="414"/>
      <c r="O244" s="412"/>
      <c r="P244" s="528"/>
      <c r="T244" s="416"/>
      <c r="U244" s="416"/>
    </row>
    <row r="245" s="408" customFormat="1" spans="3:21">
      <c r="C245" s="411"/>
      <c r="F245" s="412"/>
      <c r="G245" s="412"/>
      <c r="H245" s="412"/>
      <c r="I245" s="412"/>
      <c r="J245" s="412"/>
      <c r="K245" s="412"/>
      <c r="L245" s="412"/>
      <c r="M245" s="413"/>
      <c r="N245" s="414"/>
      <c r="O245" s="412"/>
      <c r="P245" s="528"/>
      <c r="T245" s="416"/>
      <c r="U245" s="416"/>
    </row>
    <row r="246" s="408" customFormat="1" spans="3:21">
      <c r="C246" s="411"/>
      <c r="F246" s="412"/>
      <c r="G246" s="412"/>
      <c r="H246" s="412"/>
      <c r="I246" s="412"/>
      <c r="J246" s="412"/>
      <c r="K246" s="412"/>
      <c r="L246" s="412"/>
      <c r="M246" s="413"/>
      <c r="N246" s="414"/>
      <c r="O246" s="412"/>
      <c r="P246" s="528"/>
      <c r="T246" s="416"/>
      <c r="U246" s="416"/>
    </row>
    <row r="247" s="411" customFormat="1" spans="1:23">
      <c r="A247" s="408"/>
      <c r="B247" s="503"/>
      <c r="D247" s="408"/>
      <c r="E247" s="408"/>
      <c r="F247" s="412"/>
      <c r="G247" s="412"/>
      <c r="H247" s="412"/>
      <c r="I247" s="412"/>
      <c r="J247" s="412"/>
      <c r="K247" s="412"/>
      <c r="L247" s="412"/>
      <c r="M247" s="413"/>
      <c r="N247" s="414"/>
      <c r="O247" s="412"/>
      <c r="P247" s="528"/>
      <c r="Q247" s="408"/>
      <c r="R247" s="408"/>
      <c r="S247" s="408"/>
      <c r="T247" s="416"/>
      <c r="U247" s="416"/>
      <c r="V247" s="408"/>
      <c r="W247" s="408"/>
    </row>
  </sheetData>
  <autoFilter ref="C1:C247">
    <extLst/>
  </autoFilter>
  <mergeCells count="19">
    <mergeCell ref="U1:W1"/>
    <mergeCell ref="U12:W12"/>
    <mergeCell ref="U24:W24"/>
    <mergeCell ref="U36:W36"/>
    <mergeCell ref="U48:W48"/>
    <mergeCell ref="U61:W61"/>
    <mergeCell ref="U71:W71"/>
    <mergeCell ref="U81:W81"/>
    <mergeCell ref="U95:W95"/>
    <mergeCell ref="U107:W107"/>
    <mergeCell ref="U121:W121"/>
    <mergeCell ref="U132:W132"/>
    <mergeCell ref="U146:W146"/>
    <mergeCell ref="U158:W158"/>
    <mergeCell ref="U172:W172"/>
    <mergeCell ref="U182:W182"/>
    <mergeCell ref="U198:W198"/>
    <mergeCell ref="U210:W210"/>
    <mergeCell ref="U224:W224"/>
  </mergeCells>
  <conditionalFormatting sqref="M3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{e97a4820-6918-4ffb-bec1-ed575333eecb}</x14:id>
        </ext>
      </extLst>
    </cfRule>
  </conditionalFormatting>
  <conditionalFormatting sqref="M14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{5ada6c7a-da9e-44fe-84f4-fb1e9368abd2}</x14:id>
        </ext>
      </extLst>
    </cfRule>
  </conditionalFormatting>
  <conditionalFormatting sqref="I26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{625f3702-8ae7-4e00-9df5-abf519e3c1a7}</x14:id>
        </ext>
      </extLst>
    </cfRule>
  </conditionalFormatting>
  <conditionalFormatting sqref="M2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{06300ca7-6af5-49c7-9c32-44f8e5c9bae8}</x14:id>
        </ext>
      </extLst>
    </cfRule>
  </conditionalFormatting>
  <conditionalFormatting sqref="M33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{fb348819-4245-4493-8ede-dfc384310292}</x14:id>
        </ext>
      </extLst>
    </cfRule>
  </conditionalFormatting>
  <conditionalFormatting sqref="M38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{2f6f2eee-fa69-4ebd-95cd-b76630d932d6}</x14:id>
        </ext>
      </extLst>
    </cfRule>
  </conditionalFormatting>
  <conditionalFormatting sqref="M50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{22ca1e30-8518-481b-bc9c-9c2a824a16c9}</x14:id>
        </ext>
      </extLst>
    </cfRule>
  </conditionalFormatting>
  <conditionalFormatting sqref="M63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{833249bb-6113-4ffe-b401-a3a7823bc1ff}</x14:id>
        </ext>
      </extLst>
    </cfRule>
  </conditionalFormatting>
  <conditionalFormatting sqref="M73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{79f742b9-b294-4c0e-838e-5d9f39318c75}</x14:id>
        </ext>
      </extLst>
    </cfRule>
  </conditionalFormatting>
  <conditionalFormatting sqref="M83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{b5e17549-0b17-4560-8ce5-ab51c41cfc73}</x14:id>
        </ext>
      </extLst>
    </cfRule>
  </conditionalFormatting>
  <conditionalFormatting sqref="I97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{0086b8ec-0748-469f-9586-efc7533cc179}</x14:id>
        </ext>
      </extLst>
    </cfRule>
  </conditionalFormatting>
  <conditionalFormatting sqref="M97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{b54c01ac-30f0-412d-a063-9e702edd7fe5}</x14:id>
        </ext>
      </extLst>
    </cfRule>
  </conditionalFormatting>
  <conditionalFormatting sqref="M98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{5e3ed865-e8d4-4bd1-8256-f97af6328028}</x14:id>
        </ext>
      </extLst>
    </cfRule>
  </conditionalFormatting>
  <conditionalFormatting sqref="I109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{099bf335-dab2-43e7-94d7-c2450f6c5f2a}</x14:id>
        </ext>
      </extLst>
    </cfRule>
  </conditionalFormatting>
  <conditionalFormatting sqref="M10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{0f9a2c0e-e748-4e9a-adf9-bd8019aedeb3}</x14:id>
        </ext>
      </extLst>
    </cfRule>
  </conditionalFormatting>
  <conditionalFormatting sqref="M110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{b87a7d1a-e9bc-4f56-8642-8bb528a5d8fa}</x14:id>
        </ext>
      </extLst>
    </cfRule>
  </conditionalFormatting>
  <conditionalFormatting sqref="I11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{917d649b-f645-4818-80a4-feafca136cc9}</x14:id>
        </ext>
      </extLst>
    </cfRule>
  </conditionalFormatting>
  <conditionalFormatting sqref="M123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{835f7aee-505a-4e21-abc5-7fba4e07a78a}</x14:id>
        </ext>
      </extLst>
    </cfRule>
  </conditionalFormatting>
  <conditionalFormatting sqref="M134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{7a32e329-7abe-486e-96b6-cd6ea9e90211}</x14:id>
        </ext>
      </extLst>
    </cfRule>
  </conditionalFormatting>
  <conditionalFormatting sqref="M14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{9a62b6d0-74bf-4d12-8e67-67caac184c88}</x14:id>
        </ext>
      </extLst>
    </cfRule>
  </conditionalFormatting>
  <conditionalFormatting sqref="I4:I8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{118358d8-5cca-4954-873b-9f8a22a04204}</x14:id>
        </ext>
      </extLst>
    </cfRule>
  </conditionalFormatting>
  <conditionalFormatting sqref="I15:I20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{358eab48-9594-4844-bdd3-eb487c420eaa}</x14:id>
        </ext>
      </extLst>
    </cfRule>
  </conditionalFormatting>
  <conditionalFormatting sqref="I28:I31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{86f7d48a-90cb-4309-aee6-d77ec6017322}</x14:id>
        </ext>
      </extLst>
    </cfRule>
  </conditionalFormatting>
  <conditionalFormatting sqref="I33:I34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{913e93a3-352e-43af-a408-8928f6474e34}</x14:id>
        </ext>
      </extLst>
    </cfRule>
  </conditionalFormatting>
  <conditionalFormatting sqref="I39:I44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{caad6c48-58ba-4015-8355-027b01e24c16}</x14:id>
        </ext>
      </extLst>
    </cfRule>
  </conditionalFormatting>
  <conditionalFormatting sqref="I51:I57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{4c9b94a7-fb09-4196-a299-17e46fa4582d}</x14:id>
        </ext>
      </extLst>
    </cfRule>
  </conditionalFormatting>
  <conditionalFormatting sqref="I64:I67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{8b5a66a7-f1b4-46fa-afd6-767931d994e7}</x14:id>
        </ext>
      </extLst>
    </cfRule>
  </conditionalFormatting>
  <conditionalFormatting sqref="I74:I77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{e5475b82-fe0c-4a9a-b91f-7958bca13aa2}</x14:id>
        </ext>
      </extLst>
    </cfRule>
  </conditionalFormatting>
  <conditionalFormatting sqref="I84:I91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{592ae1e4-f3cc-41c6-bb85-c78f32c279a8}</x14:id>
        </ext>
      </extLst>
    </cfRule>
  </conditionalFormatting>
  <conditionalFormatting sqref="I99:I103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{ae569e0b-365d-4a47-86d2-3cb80b1b3c63}</x14:id>
        </ext>
      </extLst>
    </cfRule>
  </conditionalFormatting>
  <conditionalFormatting sqref="I124:I12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{088911dd-9fab-4964-82c2-773f3a8f10fd}</x14:id>
        </ext>
      </extLst>
    </cfRule>
  </conditionalFormatting>
  <conditionalFormatting sqref="I129:I130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{7f4c2a18-559f-40cb-8259-99987ac1381c}</x14:id>
        </ext>
      </extLst>
    </cfRule>
  </conditionalFormatting>
  <conditionalFormatting sqref="I135:I141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{bb42e835-c56f-4c51-b9f1-239833f64732}</x14:id>
        </ext>
      </extLst>
    </cfRule>
  </conditionalFormatting>
  <conditionalFormatting sqref="I149:I15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{e3963a6e-6d6a-430f-bf04-9fa575c70fa8}</x14:id>
        </ext>
      </extLst>
    </cfRule>
  </conditionalFormatting>
  <conditionalFormatting sqref="M4:M8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{28d89226-43d5-4176-a0ea-4664ed8ff583}</x14:id>
        </ext>
      </extLst>
    </cfRule>
  </conditionalFormatting>
  <conditionalFormatting sqref="M15:M20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{f82e9f3f-5690-478b-a3a1-ab08d6624a29}</x14:id>
        </ext>
      </extLst>
    </cfRule>
  </conditionalFormatting>
  <conditionalFormatting sqref="M28:M3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{e9e26beb-2628-475e-91a8-53cec7267ac4}</x14:id>
        </ext>
      </extLst>
    </cfRule>
  </conditionalFormatting>
  <conditionalFormatting sqref="M39:M44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{b8834a6b-b778-462c-87d1-1e1821eee9dc}</x14:id>
        </ext>
      </extLst>
    </cfRule>
  </conditionalFormatting>
  <conditionalFormatting sqref="M51:M57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{ade9404b-a9db-4173-b459-229680b6979c}</x14:id>
        </ext>
      </extLst>
    </cfRule>
  </conditionalFormatting>
  <conditionalFormatting sqref="M64:M67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{f7fcb7ea-211a-4569-9bde-d20022d3d113}</x14:id>
        </ext>
      </extLst>
    </cfRule>
  </conditionalFormatting>
  <conditionalFormatting sqref="M74:M77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{3b7510f3-5143-470c-beaf-fde08553a557}</x14:id>
        </ext>
      </extLst>
    </cfRule>
  </conditionalFormatting>
  <conditionalFormatting sqref="M84:M91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{ed6c04f7-ef35-424c-aeb7-a523c07bfa12}</x14:id>
        </ext>
      </extLst>
    </cfRule>
  </conditionalFormatting>
  <conditionalFormatting sqref="M99:M103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{b863fd73-ef51-45d6-bba0-74fc22eba8f0}</x14:id>
        </ext>
      </extLst>
    </cfRule>
  </conditionalFormatting>
  <conditionalFormatting sqref="M111:M117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{a8810b01-fd9d-4054-be0e-b679368f25e4}</x14:id>
        </ext>
      </extLst>
    </cfRule>
  </conditionalFormatting>
  <conditionalFormatting sqref="M124:M128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{8cec9ec3-744c-4a92-80aa-630a653ffc4f}</x14:id>
        </ext>
      </extLst>
    </cfRule>
  </conditionalFormatting>
  <conditionalFormatting sqref="M135:M14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{0b5a5f93-33d0-475a-901b-dae4b3b3adef}</x14:id>
        </ext>
      </extLst>
    </cfRule>
  </conditionalFormatting>
  <conditionalFormatting sqref="M149:M15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{12359ff8-957d-4fbe-8019-62c8e4387452}</x14:id>
        </ext>
      </extLst>
    </cfRule>
  </conditionalFormatting>
  <conditionalFormatting sqref="I9:I10 I3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{9c7be204-a985-442b-a450-ebeaf2d6eab7}</x14:id>
        </ext>
      </extLst>
    </cfRule>
  </conditionalFormatting>
  <conditionalFormatting sqref="I21:I22 I1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{540710e3-5da7-4fb3-933c-2cb660e9c98f}</x14:id>
        </ext>
      </extLst>
    </cfRule>
  </conditionalFormatting>
  <conditionalFormatting sqref="I27 I3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{726c9c52-e5e0-4e68-ad31-2061731881a6}</x14:id>
        </ext>
      </extLst>
    </cfRule>
  </conditionalFormatting>
  <conditionalFormatting sqref="M27 M32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{29b6799c-c01f-4927-86dd-2029fc2bdb12}</x14:id>
        </ext>
      </extLst>
    </cfRule>
  </conditionalFormatting>
  <conditionalFormatting sqref="I45:I46 I38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{ec3045d7-1932-4f3b-8dc3-9a718c1ab06c}</x14:id>
        </ext>
      </extLst>
    </cfRule>
  </conditionalFormatting>
  <conditionalFormatting sqref="I58:I59 I50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{7098cd83-a2de-4012-ba38-c75f5a7857e2}</x14:id>
        </ext>
      </extLst>
    </cfRule>
  </conditionalFormatting>
  <conditionalFormatting sqref="I68:I69 I63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{bfd70e9d-7d4d-4595-afd5-6110e50a3e1f}</x14:id>
        </ext>
      </extLst>
    </cfRule>
  </conditionalFormatting>
  <conditionalFormatting sqref="I78:I79 I73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{9861ad3b-d325-42da-bf3b-772972d47157}</x14:id>
        </ext>
      </extLst>
    </cfRule>
  </conditionalFormatting>
  <conditionalFormatting sqref="I92:I93 I83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{1ff9306e-32ab-427f-b13d-3054df01e2c2}</x14:id>
        </ext>
      </extLst>
    </cfRule>
  </conditionalFormatting>
  <conditionalFormatting sqref="I104:I105 I98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{664720aa-9023-4058-a0e5-16663782878e}</x14:id>
        </ext>
      </extLst>
    </cfRule>
  </conditionalFormatting>
  <conditionalFormatting sqref="I118:I119 I110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{4261a124-cd83-4d04-a7cf-2cc927f0a38f}</x14:id>
        </ext>
      </extLst>
    </cfRule>
  </conditionalFormatting>
  <conditionalFormatting sqref="I111:I115 I11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{9d75dc9f-c932-43aa-bdef-605b2241c810}</x14:id>
        </ext>
      </extLst>
    </cfRule>
  </conditionalFormatting>
  <conditionalFormatting sqref="I143:I144 I134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{e3744972-a13e-418b-a902-fff0eaf52836}</x14:id>
        </ext>
      </extLst>
    </cfRule>
  </conditionalFormatting>
  <conditionalFormatting sqref="I155:I156 I148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{ecf4c11c-bfd5-419d-b87f-74f86380997b}</x14:id>
        </ext>
      </extLst>
    </cfRule>
  </conditionalFormatting>
  <hyperlinks>
    <hyperlink ref="B100" r:id="rId1" display="subarupartsplus.com" tooltip="http://www.subarupartsplus.com"/>
    <hyperlink ref="B53" r:id="rId2" display="moparfactoryparts.com" tooltip="http://www.moparfactoryparts.com"/>
    <hyperlink ref="B97" r:id="rId3" display="subaruparts.com" tooltip="http://www.subaruparts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97a4820-6918-4ffb-bec1-ed575333ee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</xm:sqref>
        </x14:conditionalFormatting>
        <x14:conditionalFormatting xmlns:xm="http://schemas.microsoft.com/office/excel/2006/main">
          <x14:cfRule type="dataBar" id="{5ada6c7a-da9e-44fe-84f4-fb1e9368ab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</xm:sqref>
        </x14:conditionalFormatting>
        <x14:conditionalFormatting xmlns:xm="http://schemas.microsoft.com/office/excel/2006/main">
          <x14:cfRule type="dataBar" id="{625f3702-8ae7-4e00-9df5-abf519e3c1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I26</xm:sqref>
        </x14:conditionalFormatting>
        <x14:conditionalFormatting xmlns:xm="http://schemas.microsoft.com/office/excel/2006/main">
          <x14:cfRule type="dataBar" id="{06300ca7-6af5-49c7-9c32-44f8e5c9ba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M26</xm:sqref>
        </x14:conditionalFormatting>
        <x14:conditionalFormatting xmlns:xm="http://schemas.microsoft.com/office/excel/2006/main">
          <x14:cfRule type="dataBar" id="{fb348819-4245-4493-8ede-dfc3843102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M33</xm:sqref>
        </x14:conditionalFormatting>
        <x14:conditionalFormatting xmlns:xm="http://schemas.microsoft.com/office/excel/2006/main">
          <x14:cfRule type="dataBar" id="{2f6f2eee-fa69-4ebd-95cd-b76630d932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M38</xm:sqref>
        </x14:conditionalFormatting>
        <x14:conditionalFormatting xmlns:xm="http://schemas.microsoft.com/office/excel/2006/main">
          <x14:cfRule type="dataBar" id="{22ca1e30-8518-481b-bc9c-9c2a824a16c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M50</xm:sqref>
        </x14:conditionalFormatting>
        <x14:conditionalFormatting xmlns:xm="http://schemas.microsoft.com/office/excel/2006/main">
          <x14:cfRule type="dataBar" id="{833249bb-6113-4ffe-b401-a3a7823bc1f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M63</xm:sqref>
        </x14:conditionalFormatting>
        <x14:conditionalFormatting xmlns:xm="http://schemas.microsoft.com/office/excel/2006/main">
          <x14:cfRule type="dataBar" id="{79f742b9-b294-4c0e-838e-5d9f39318c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M73</xm:sqref>
        </x14:conditionalFormatting>
        <x14:conditionalFormatting xmlns:xm="http://schemas.microsoft.com/office/excel/2006/main">
          <x14:cfRule type="dataBar" id="{b5e17549-0b17-4560-8ce5-ab51c41cfc7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M83</xm:sqref>
        </x14:conditionalFormatting>
        <x14:conditionalFormatting xmlns:xm="http://schemas.microsoft.com/office/excel/2006/main">
          <x14:cfRule type="dataBar" id="{0086b8ec-0748-469f-9586-efc7533cc1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I97</xm:sqref>
        </x14:conditionalFormatting>
        <x14:conditionalFormatting xmlns:xm="http://schemas.microsoft.com/office/excel/2006/main">
          <x14:cfRule type="dataBar" id="{b54c01ac-30f0-412d-a063-9e702edd7f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M97</xm:sqref>
        </x14:conditionalFormatting>
        <x14:conditionalFormatting xmlns:xm="http://schemas.microsoft.com/office/excel/2006/main">
          <x14:cfRule type="dataBar" id="{5e3ed865-e8d4-4bd1-8256-f97af63280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M98</xm:sqref>
        </x14:conditionalFormatting>
        <x14:conditionalFormatting xmlns:xm="http://schemas.microsoft.com/office/excel/2006/main">
          <x14:cfRule type="dataBar" id="{099bf335-dab2-43e7-94d7-c2450f6c5f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I109</xm:sqref>
        </x14:conditionalFormatting>
        <x14:conditionalFormatting xmlns:xm="http://schemas.microsoft.com/office/excel/2006/main">
          <x14:cfRule type="dataBar" id="{0f9a2c0e-e748-4e9a-adf9-bd8019aede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M109</xm:sqref>
        </x14:conditionalFormatting>
        <x14:conditionalFormatting xmlns:xm="http://schemas.microsoft.com/office/excel/2006/main">
          <x14:cfRule type="dataBar" id="{b87a7d1a-e9bc-4f56-8642-8bb528a5d8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M110</xm:sqref>
        </x14:conditionalFormatting>
        <x14:conditionalFormatting xmlns:xm="http://schemas.microsoft.com/office/excel/2006/main">
          <x14:cfRule type="dataBar" id="{917d649b-f645-4818-80a4-feafca136cc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I116</xm:sqref>
        </x14:conditionalFormatting>
        <x14:conditionalFormatting xmlns:xm="http://schemas.microsoft.com/office/excel/2006/main">
          <x14:cfRule type="dataBar" id="{835f7aee-505a-4e21-abc5-7fba4e07a78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M123</xm:sqref>
        </x14:conditionalFormatting>
        <x14:conditionalFormatting xmlns:xm="http://schemas.microsoft.com/office/excel/2006/main">
          <x14:cfRule type="dataBar" id="{7a32e329-7abe-486e-96b6-cd6ea9e9021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M134</xm:sqref>
        </x14:conditionalFormatting>
        <x14:conditionalFormatting xmlns:xm="http://schemas.microsoft.com/office/excel/2006/main">
          <x14:cfRule type="dataBar" id="{9a62b6d0-74bf-4d12-8e67-67caac184c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M148</xm:sqref>
        </x14:conditionalFormatting>
        <x14:conditionalFormatting xmlns:xm="http://schemas.microsoft.com/office/excel/2006/main">
          <x14:cfRule type="dataBar" id="{118358d8-5cca-4954-873b-9f8a22a042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I4:I8</xm:sqref>
        </x14:conditionalFormatting>
        <x14:conditionalFormatting xmlns:xm="http://schemas.microsoft.com/office/excel/2006/main">
          <x14:cfRule type="dataBar" id="{358eab48-9594-4844-bdd3-eb487c420e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I15:I20</xm:sqref>
        </x14:conditionalFormatting>
        <x14:conditionalFormatting xmlns:xm="http://schemas.microsoft.com/office/excel/2006/main">
          <x14:cfRule type="dataBar" id="{86f7d48a-90cb-4309-aee6-d77ec60173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I28:I31</xm:sqref>
        </x14:conditionalFormatting>
        <x14:conditionalFormatting xmlns:xm="http://schemas.microsoft.com/office/excel/2006/main">
          <x14:cfRule type="dataBar" id="{913e93a3-352e-43af-a408-8928f6474e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I33:I34</xm:sqref>
        </x14:conditionalFormatting>
        <x14:conditionalFormatting xmlns:xm="http://schemas.microsoft.com/office/excel/2006/main">
          <x14:cfRule type="dataBar" id="{caad6c48-58ba-4015-8355-027b01e24c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I39:I44</xm:sqref>
        </x14:conditionalFormatting>
        <x14:conditionalFormatting xmlns:xm="http://schemas.microsoft.com/office/excel/2006/main">
          <x14:cfRule type="dataBar" id="{4c9b94a7-fb09-4196-a299-17e46fa4582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I51:I57</xm:sqref>
        </x14:conditionalFormatting>
        <x14:conditionalFormatting xmlns:xm="http://schemas.microsoft.com/office/excel/2006/main">
          <x14:cfRule type="dataBar" id="{8b5a66a7-f1b4-46fa-afd6-767931d994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I64:I67</xm:sqref>
        </x14:conditionalFormatting>
        <x14:conditionalFormatting xmlns:xm="http://schemas.microsoft.com/office/excel/2006/main">
          <x14:cfRule type="dataBar" id="{e5475b82-fe0c-4a9a-b91f-7958bca13a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I74:I77</xm:sqref>
        </x14:conditionalFormatting>
        <x14:conditionalFormatting xmlns:xm="http://schemas.microsoft.com/office/excel/2006/main">
          <x14:cfRule type="dataBar" id="{592ae1e4-f3cc-41c6-bb85-c78f32c279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I84:I91</xm:sqref>
        </x14:conditionalFormatting>
        <x14:conditionalFormatting xmlns:xm="http://schemas.microsoft.com/office/excel/2006/main">
          <x14:cfRule type="dataBar" id="{ae569e0b-365d-4a47-86d2-3cb80b1b3c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I99:I103</xm:sqref>
        </x14:conditionalFormatting>
        <x14:conditionalFormatting xmlns:xm="http://schemas.microsoft.com/office/excel/2006/main">
          <x14:cfRule type="dataBar" id="{088911dd-9fab-4964-82c2-773f3a8f10f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I124:I128</xm:sqref>
        </x14:conditionalFormatting>
        <x14:conditionalFormatting xmlns:xm="http://schemas.microsoft.com/office/excel/2006/main">
          <x14:cfRule type="dataBar" id="{7f4c2a18-559f-40cb-8259-99987ac138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I129:I130</xm:sqref>
        </x14:conditionalFormatting>
        <x14:conditionalFormatting xmlns:xm="http://schemas.microsoft.com/office/excel/2006/main">
          <x14:cfRule type="dataBar" id="{bb42e835-c56f-4c51-b9f1-239833f6473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I135:I141</xm:sqref>
        </x14:conditionalFormatting>
        <x14:conditionalFormatting xmlns:xm="http://schemas.microsoft.com/office/excel/2006/main">
          <x14:cfRule type="dataBar" id="{e3963a6e-6d6a-430f-bf04-9fa575c70f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I149:I154</xm:sqref>
        </x14:conditionalFormatting>
        <x14:conditionalFormatting xmlns:xm="http://schemas.microsoft.com/office/excel/2006/main">
          <x14:cfRule type="dataBar" id="{28d89226-43d5-4176-a0ea-4664ed8ff5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M4:M8</xm:sqref>
        </x14:conditionalFormatting>
        <x14:conditionalFormatting xmlns:xm="http://schemas.microsoft.com/office/excel/2006/main">
          <x14:cfRule type="dataBar" id="{f82e9f3f-5690-478b-a3a1-ab08d6624a2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M15:M20</xm:sqref>
        </x14:conditionalFormatting>
        <x14:conditionalFormatting xmlns:xm="http://schemas.microsoft.com/office/excel/2006/main">
          <x14:cfRule type="dataBar" id="{e9e26beb-2628-475e-91a8-53cec7267ac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M28:M31</xm:sqref>
        </x14:conditionalFormatting>
        <x14:conditionalFormatting xmlns:xm="http://schemas.microsoft.com/office/excel/2006/main">
          <x14:cfRule type="dataBar" id="{b8834a6b-b778-462c-87d1-1e1821eee9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M39:M44</xm:sqref>
        </x14:conditionalFormatting>
        <x14:conditionalFormatting xmlns:xm="http://schemas.microsoft.com/office/excel/2006/main">
          <x14:cfRule type="dataBar" id="{ade9404b-a9db-4173-b459-229680b6979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M51:M57</xm:sqref>
        </x14:conditionalFormatting>
        <x14:conditionalFormatting xmlns:xm="http://schemas.microsoft.com/office/excel/2006/main">
          <x14:cfRule type="dataBar" id="{f7fcb7ea-211a-4569-9bde-d20022d3d1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M64:M67</xm:sqref>
        </x14:conditionalFormatting>
        <x14:conditionalFormatting xmlns:xm="http://schemas.microsoft.com/office/excel/2006/main">
          <x14:cfRule type="dataBar" id="{3b7510f3-5143-470c-beaf-fde08553a5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M74:M77</xm:sqref>
        </x14:conditionalFormatting>
        <x14:conditionalFormatting xmlns:xm="http://schemas.microsoft.com/office/excel/2006/main">
          <x14:cfRule type="dataBar" id="{ed6c04f7-ef35-424c-aeb7-a523c07bfa1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M84:M91</xm:sqref>
        </x14:conditionalFormatting>
        <x14:conditionalFormatting xmlns:xm="http://schemas.microsoft.com/office/excel/2006/main">
          <x14:cfRule type="dataBar" id="{b863fd73-ef51-45d6-bba0-74fc22eba8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M99:M103</xm:sqref>
        </x14:conditionalFormatting>
        <x14:conditionalFormatting xmlns:xm="http://schemas.microsoft.com/office/excel/2006/main">
          <x14:cfRule type="dataBar" id="{a8810b01-fd9d-4054-be0e-b679368f25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M111:M117</xm:sqref>
        </x14:conditionalFormatting>
        <x14:conditionalFormatting xmlns:xm="http://schemas.microsoft.com/office/excel/2006/main">
          <x14:cfRule type="dataBar" id="{8cec9ec3-744c-4a92-80aa-630a653ffc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M124:M128</xm:sqref>
        </x14:conditionalFormatting>
        <x14:conditionalFormatting xmlns:xm="http://schemas.microsoft.com/office/excel/2006/main">
          <x14:cfRule type="dataBar" id="{0b5a5f93-33d0-475a-901b-dae4b3b3ade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M135:M141</xm:sqref>
        </x14:conditionalFormatting>
        <x14:conditionalFormatting xmlns:xm="http://schemas.microsoft.com/office/excel/2006/main">
          <x14:cfRule type="dataBar" id="{12359ff8-957d-4fbe-8019-62c8e438745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M149:M154</xm:sqref>
        </x14:conditionalFormatting>
        <x14:conditionalFormatting xmlns:xm="http://schemas.microsoft.com/office/excel/2006/main">
          <x14:cfRule type="dataBar" id="{9c7be204-a985-442b-a450-ebeaf2d6ea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I9:I10 I3</xm:sqref>
        </x14:conditionalFormatting>
        <x14:conditionalFormatting xmlns:xm="http://schemas.microsoft.com/office/excel/2006/main">
          <x14:cfRule type="dataBar" id="{540710e3-5da7-4fb3-933c-2cb660e9c9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I21:I22 I14</xm:sqref>
        </x14:conditionalFormatting>
        <x14:conditionalFormatting xmlns:xm="http://schemas.microsoft.com/office/excel/2006/main">
          <x14:cfRule type="dataBar" id="{726c9c52-e5e0-4e68-ad31-2061731881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I27 I32</xm:sqref>
        </x14:conditionalFormatting>
        <x14:conditionalFormatting xmlns:xm="http://schemas.microsoft.com/office/excel/2006/main">
          <x14:cfRule type="dataBar" id="{29b6799c-c01f-4927-86dd-2029fc2bdb1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M27 M32</xm:sqref>
        </x14:conditionalFormatting>
        <x14:conditionalFormatting xmlns:xm="http://schemas.microsoft.com/office/excel/2006/main">
          <x14:cfRule type="dataBar" id="{ec3045d7-1932-4f3b-8dc3-9a718c1ab06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I45:I46 I38</xm:sqref>
        </x14:conditionalFormatting>
        <x14:conditionalFormatting xmlns:xm="http://schemas.microsoft.com/office/excel/2006/main">
          <x14:cfRule type="dataBar" id="{7098cd83-a2de-4012-ba38-c75f5a7857e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I58:I59 I50</xm:sqref>
        </x14:conditionalFormatting>
        <x14:conditionalFormatting xmlns:xm="http://schemas.microsoft.com/office/excel/2006/main">
          <x14:cfRule type="dataBar" id="{bfd70e9d-7d4d-4595-afd5-6110e50a3e1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I68:I69 I63</xm:sqref>
        </x14:conditionalFormatting>
        <x14:conditionalFormatting xmlns:xm="http://schemas.microsoft.com/office/excel/2006/main">
          <x14:cfRule type="dataBar" id="{9861ad3b-d325-42da-bf3b-772972d471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I78:I79 I73</xm:sqref>
        </x14:conditionalFormatting>
        <x14:conditionalFormatting xmlns:xm="http://schemas.microsoft.com/office/excel/2006/main">
          <x14:cfRule type="dataBar" id="{1ff9306e-32ab-427f-b13d-3054df01e2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I92:I93 I83</xm:sqref>
        </x14:conditionalFormatting>
        <x14:conditionalFormatting xmlns:xm="http://schemas.microsoft.com/office/excel/2006/main">
          <x14:cfRule type="dataBar" id="{664720aa-9023-4058-a0e5-16663782878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I104:I105 I98</xm:sqref>
        </x14:conditionalFormatting>
        <x14:conditionalFormatting xmlns:xm="http://schemas.microsoft.com/office/excel/2006/main">
          <x14:cfRule type="dataBar" id="{4261a124-cd83-4d04-a7cf-2cc927f0a3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I118:I119 I110</xm:sqref>
        </x14:conditionalFormatting>
        <x14:conditionalFormatting xmlns:xm="http://schemas.microsoft.com/office/excel/2006/main">
          <x14:cfRule type="dataBar" id="{9d75dc9f-c932-43aa-bdef-605b2241c8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I111:I115 I117</xm:sqref>
        </x14:conditionalFormatting>
        <x14:conditionalFormatting xmlns:xm="http://schemas.microsoft.com/office/excel/2006/main">
          <x14:cfRule type="dataBar" id="{e3744972-a13e-418b-a902-fff0eaf5283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I143:I144 I134</xm:sqref>
        </x14:conditionalFormatting>
        <x14:conditionalFormatting xmlns:xm="http://schemas.microsoft.com/office/excel/2006/main">
          <x14:cfRule type="dataBar" id="{ecf4c11c-bfd5-419d-b87f-74f8638099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I155:I156 I148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43"/>
  <sheetViews>
    <sheetView workbookViewId="0">
      <selection activeCell="A1" sqref="A1"/>
    </sheetView>
  </sheetViews>
  <sheetFormatPr defaultColWidth="9" defaultRowHeight="15.6"/>
  <cols>
    <col min="1" max="1" width="13.4444444444444" style="408" customWidth="1"/>
    <col min="2" max="2" width="46.4444444444444" style="408" customWidth="1"/>
    <col min="3" max="3" width="14.4444444444444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19.2222222222222" style="413" hidden="1" customWidth="1"/>
    <col min="14" max="14" width="7.33333333333333" style="414" hidden="1" customWidth="1"/>
    <col min="15" max="15" width="16.3333333333333" style="412" hidden="1" customWidth="1"/>
    <col min="16" max="16" width="96.4444444444444" style="528" customWidth="1"/>
    <col min="17" max="17" width="31.6666666666667" style="408" customWidth="1"/>
    <col min="18" max="18" width="14.8888888888889" style="408" customWidth="1"/>
    <col min="19" max="19" width="10.1111111111111" style="408" customWidth="1"/>
    <col min="20" max="20" width="17.1111111111111" style="416" customWidth="1"/>
    <col min="21" max="21" width="16.8888888888889" style="416" customWidth="1"/>
    <col min="22" max="22" width="10.8888888888889" style="408" hidden="1" customWidth="1"/>
    <col min="23" max="23" width="11.1111111111111" style="408" hidden="1" customWidth="1"/>
    <col min="24" max="16383" width="9" style="417"/>
    <col min="16384" max="16384" width="9" style="255"/>
  </cols>
  <sheetData>
    <row r="1" s="408" customFormat="1" ht="17.4" spans="1:23">
      <c r="A1" s="418" t="s">
        <v>138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43"/>
      <c r="N1" s="444"/>
      <c r="O1" s="422"/>
      <c r="P1" s="531"/>
      <c r="Q1" s="465"/>
      <c r="R1" s="424"/>
      <c r="S1" s="473"/>
      <c r="T1" s="467"/>
      <c r="U1" s="467"/>
      <c r="V1" s="467"/>
      <c r="W1" s="467"/>
    </row>
    <row r="2" s="409" customFormat="1" ht="48.6" spans="1:23">
      <c r="A2" s="423" t="s">
        <v>206</v>
      </c>
      <c r="B2" s="424" t="s">
        <v>207</v>
      </c>
      <c r="C2" s="425" t="s">
        <v>208</v>
      </c>
      <c r="D2" s="424" t="s">
        <v>209</v>
      </c>
      <c r="E2" s="426" t="s">
        <v>210</v>
      </c>
      <c r="F2" s="427" t="s">
        <v>408</v>
      </c>
      <c r="G2" s="427" t="s">
        <v>212</v>
      </c>
      <c r="H2" s="427" t="s">
        <v>397</v>
      </c>
      <c r="I2" s="427" t="s">
        <v>214</v>
      </c>
      <c r="J2" s="446" t="s">
        <v>399</v>
      </c>
      <c r="K2" s="446" t="s">
        <v>403</v>
      </c>
      <c r="L2" s="446" t="s">
        <v>409</v>
      </c>
      <c r="M2" s="447" t="s">
        <v>218</v>
      </c>
      <c r="N2" s="448" t="s">
        <v>219</v>
      </c>
      <c r="O2" s="449" t="s">
        <v>220</v>
      </c>
      <c r="P2" s="530" t="s">
        <v>221</v>
      </c>
      <c r="Q2" s="469" t="s">
        <v>222</v>
      </c>
      <c r="R2" s="426" t="s">
        <v>223</v>
      </c>
      <c r="S2" s="470" t="s">
        <v>224</v>
      </c>
      <c r="T2" s="467" t="s">
        <v>225</v>
      </c>
      <c r="U2" s="470" t="s">
        <v>226</v>
      </c>
      <c r="V2" s="467"/>
      <c r="W2" s="467"/>
    </row>
    <row r="3" s="410" customFormat="1" ht="17.4" spans="1:23">
      <c r="A3" s="432" t="s">
        <v>227</v>
      </c>
      <c r="B3" s="432" t="s">
        <v>139</v>
      </c>
      <c r="C3" s="434" t="s">
        <v>410</v>
      </c>
      <c r="D3" s="435" t="s">
        <v>49</v>
      </c>
      <c r="E3" s="436">
        <f>VLOOKUP(B3,正厂竞争者数据汇总!D:H,4,FALSE)</f>
        <v>0</v>
      </c>
      <c r="F3" s="436">
        <v>1308250</v>
      </c>
      <c r="G3" s="436">
        <v>1150833.33333333</v>
      </c>
      <c r="H3" s="436">
        <v>1200750</v>
      </c>
      <c r="I3" s="454">
        <v>0.136784938450402</v>
      </c>
      <c r="J3" s="455">
        <v>0.571823205362833</v>
      </c>
      <c r="K3" s="455">
        <v>0.572137832187349</v>
      </c>
      <c r="L3" s="455">
        <v>0.544282853146901</v>
      </c>
      <c r="M3" s="456">
        <f>J3-K3</f>
        <v>-0.000314626824515996</v>
      </c>
      <c r="N3" s="455" t="str">
        <f>IFERROR(O3*0.5/$F$3,"")</f>
        <v/>
      </c>
      <c r="O3" s="436" t="s">
        <v>180</v>
      </c>
      <c r="P3" s="531">
        <f t="array" ref="P3">INDEX(正厂竞争者数据汇总!I:I,MATCH($A$1&amp;B3,正厂竞争者数据汇总!A:A&amp;正厂竞争者数据汇总!D:D,0))</f>
        <v>0</v>
      </c>
      <c r="Q3" s="434" t="s">
        <v>228</v>
      </c>
      <c r="R3" s="435" t="s">
        <v>229</v>
      </c>
      <c r="S3" s="476"/>
      <c r="T3" s="477"/>
      <c r="U3" s="477"/>
      <c r="V3" s="477"/>
      <c r="W3" s="477"/>
    </row>
    <row r="4" s="408" customFormat="1" ht="17.4" spans="1:23">
      <c r="A4" s="428" t="s">
        <v>230</v>
      </c>
      <c r="B4" s="421" t="s">
        <v>231</v>
      </c>
      <c r="C4" s="429" t="s">
        <v>301</v>
      </c>
      <c r="D4" s="421" t="s">
        <v>60</v>
      </c>
      <c r="E4" s="430"/>
      <c r="F4" s="430">
        <v>392524.160583333</v>
      </c>
      <c r="G4" s="430"/>
      <c r="H4" s="430"/>
      <c r="I4" s="450"/>
      <c r="J4" s="451">
        <v>0.171568449216218</v>
      </c>
      <c r="K4" s="451">
        <v>0.183352789446618</v>
      </c>
      <c r="L4" s="451">
        <v>0.182362744733432</v>
      </c>
      <c r="M4" s="452"/>
      <c r="N4" s="451"/>
      <c r="O4" s="430"/>
      <c r="P4" s="531">
        <f t="array" ref="P4">INDEX(正厂竞争者数据汇总!I:I,MATCH($A$1&amp;B4,正厂竞争者数据汇总!A:A&amp;正厂竞争者数据汇总!D:D,0))</f>
        <v>0</v>
      </c>
      <c r="Q4" s="429"/>
      <c r="R4" s="421"/>
      <c r="S4" s="472"/>
      <c r="T4" s="466"/>
      <c r="U4" s="466"/>
      <c r="V4" s="466"/>
      <c r="W4" s="466"/>
    </row>
    <row r="5" s="408" customFormat="1" ht="17.4" spans="1:23">
      <c r="A5" s="428" t="s">
        <v>230</v>
      </c>
      <c r="B5" s="421" t="s">
        <v>235</v>
      </c>
      <c r="C5" s="429" t="s">
        <v>301</v>
      </c>
      <c r="D5" s="421" t="s">
        <v>411</v>
      </c>
      <c r="E5" s="430"/>
      <c r="F5" s="430">
        <v>173552.75</v>
      </c>
      <c r="G5" s="430"/>
      <c r="H5" s="430"/>
      <c r="I5" s="450"/>
      <c r="J5" s="451">
        <v>0.0758581997359331</v>
      </c>
      <c r="K5" s="451">
        <v>0.0629296457508154</v>
      </c>
      <c r="L5" s="451">
        <v>0.0769109722853087</v>
      </c>
      <c r="M5" s="452"/>
      <c r="N5" s="451"/>
      <c r="O5" s="430"/>
      <c r="P5" s="531" t="str">
        <f t="array" ref="P5">INDEX(正厂竞争者数据汇总!I:I,MATCH($A$1&amp;B5,正厂竞争者数据汇总!A:A&amp;正厂竞争者数据汇总!D:D,0))</f>
        <v>2021年06月新加竞争者</v>
      </c>
      <c r="Q5" s="429"/>
      <c r="R5" s="421"/>
      <c r="S5" s="472"/>
      <c r="T5" s="466"/>
      <c r="U5" s="466"/>
      <c r="V5" s="466"/>
      <c r="W5" s="466"/>
    </row>
    <row r="6" s="408" customFormat="1" ht="17.4" spans="1:23">
      <c r="A6" s="428" t="s">
        <v>230</v>
      </c>
      <c r="B6" s="421" t="s">
        <v>236</v>
      </c>
      <c r="C6" s="429" t="s">
        <v>301</v>
      </c>
      <c r="D6" s="421" t="s">
        <v>412</v>
      </c>
      <c r="E6" s="430"/>
      <c r="F6" s="430">
        <v>155280.25</v>
      </c>
      <c r="G6" s="430"/>
      <c r="H6" s="430"/>
      <c r="I6" s="450"/>
      <c r="J6" s="451">
        <v>0.0678714697378498</v>
      </c>
      <c r="K6" s="451">
        <v>0.0776728601990689</v>
      </c>
      <c r="L6" s="451">
        <v>0.0824565284155648</v>
      </c>
      <c r="M6" s="452"/>
      <c r="N6" s="451"/>
      <c r="O6" s="430"/>
      <c r="P6" s="531" t="str">
        <f t="array" ref="P6">INDEX(正厂竞争者数据汇总!I:I,MATCH($A$1&amp;B6,正厂竞争者数据汇总!A:A&amp;正厂竞争者数据汇总!D:D,0))</f>
        <v>2022年1月 新加入 CompetitorSites
2022年1月 新加入 MarketingShare</v>
      </c>
      <c r="Q6" s="429"/>
      <c r="R6" s="421"/>
      <c r="S6" s="472"/>
      <c r="T6" s="466"/>
      <c r="U6" s="466"/>
      <c r="V6" s="466"/>
      <c r="W6" s="466"/>
    </row>
    <row r="7" s="408" customFormat="1" ht="17.4" spans="1:23">
      <c r="A7" s="428" t="s">
        <v>238</v>
      </c>
      <c r="B7" s="421" t="s">
        <v>239</v>
      </c>
      <c r="C7" s="429" t="s">
        <v>301</v>
      </c>
      <c r="D7" s="421" t="s">
        <v>250</v>
      </c>
      <c r="E7" s="430"/>
      <c r="F7" s="430">
        <v>135107.75</v>
      </c>
      <c r="G7" s="430"/>
      <c r="H7" s="430"/>
      <c r="I7" s="450"/>
      <c r="J7" s="451">
        <v>0.0590542684306213</v>
      </c>
      <c r="K7" s="451">
        <v>0.0551216017210155</v>
      </c>
      <c r="L7" s="451">
        <v>0.0562802612444511</v>
      </c>
      <c r="M7" s="452"/>
      <c r="N7" s="451"/>
      <c r="O7" s="430"/>
      <c r="P7" s="531" t="str">
        <f t="array" ref="P7">INDEX(正厂竞争者数据汇总!I:I,MATCH($A$1&amp;B7,正厂竞争者数据汇总!A:A&amp;正厂竞争者数据汇总!D:D,0))</f>
        <v>2023年10月，Semrush中仅能获取acura子域名流量</v>
      </c>
      <c r="Q7" s="429"/>
      <c r="R7" s="421"/>
      <c r="S7" s="472"/>
      <c r="T7" s="466"/>
      <c r="U7" s="466"/>
      <c r="V7" s="466"/>
      <c r="W7" s="466"/>
    </row>
    <row r="8" s="408" customFormat="1" ht="17.4" spans="1:23">
      <c r="A8" s="428" t="s">
        <v>230</v>
      </c>
      <c r="B8" s="421" t="s">
        <v>237</v>
      </c>
      <c r="C8" s="429" t="s">
        <v>301</v>
      </c>
      <c r="D8" s="421" t="s">
        <v>250</v>
      </c>
      <c r="E8" s="430"/>
      <c r="F8" s="430">
        <v>123142.573566667</v>
      </c>
      <c r="G8" s="430"/>
      <c r="H8" s="430"/>
      <c r="I8" s="450"/>
      <c r="J8" s="451">
        <v>0.053824407516545</v>
      </c>
      <c r="K8" s="451">
        <v>0.048785270695133</v>
      </c>
      <c r="L8" s="451">
        <v>0.0577066401743423</v>
      </c>
      <c r="M8" s="452"/>
      <c r="N8" s="451"/>
      <c r="O8" s="430"/>
      <c r="P8" s="531">
        <f t="array" ref="P8">INDEX(正厂竞争者数据汇总!I:I,MATCH($A$1&amp;B8,正厂竞争者数据汇总!A:A&amp;正厂竞争者数据汇总!D:D,0))</f>
        <v>0</v>
      </c>
      <c r="Q8" s="429"/>
      <c r="R8" s="421"/>
      <c r="S8" s="472"/>
      <c r="T8" s="466"/>
      <c r="U8" s="466"/>
      <c r="V8" s="466"/>
      <c r="W8" s="466"/>
    </row>
    <row r="9" s="410" customFormat="1" spans="1:23">
      <c r="A9" s="432"/>
      <c r="B9" s="435"/>
      <c r="C9" s="434"/>
      <c r="D9" s="435"/>
      <c r="E9" s="430"/>
      <c r="F9" s="430"/>
      <c r="G9" s="430"/>
      <c r="H9" s="430"/>
      <c r="I9" s="453"/>
      <c r="J9" s="436"/>
      <c r="K9" s="436"/>
      <c r="L9" s="436"/>
      <c r="M9" s="451"/>
      <c r="N9" s="455"/>
      <c r="O9" s="436"/>
      <c r="P9" s="531"/>
      <c r="Q9" s="434"/>
      <c r="R9" s="435"/>
      <c r="S9" s="473"/>
      <c r="T9" s="477"/>
      <c r="U9" s="466"/>
      <c r="V9" s="435"/>
      <c r="W9" s="435"/>
    </row>
    <row r="10" s="408" customFormat="1" spans="1:23">
      <c r="A10" s="428"/>
      <c r="B10" s="421"/>
      <c r="C10" s="439"/>
      <c r="D10" s="421"/>
      <c r="E10" s="430"/>
      <c r="F10" s="430">
        <v>2287857.48415</v>
      </c>
      <c r="G10" s="430">
        <v>2122774.16666666</v>
      </c>
      <c r="H10" s="430">
        <v>2262821.16666667</v>
      </c>
      <c r="I10" s="453">
        <v>0.0777677249307052</v>
      </c>
      <c r="J10" s="451"/>
      <c r="K10" s="451"/>
      <c r="L10" s="451"/>
      <c r="M10" s="451"/>
      <c r="N10" s="451">
        <f>SUM(N3:N4)</f>
        <v>0</v>
      </c>
      <c r="O10" s="451"/>
      <c r="P10" s="531"/>
      <c r="Q10" s="429"/>
      <c r="R10" s="421"/>
      <c r="S10" s="473"/>
      <c r="T10" s="466"/>
      <c r="U10" s="466"/>
      <c r="V10" s="421"/>
      <c r="W10" s="421"/>
    </row>
    <row r="11" s="408" customFormat="1" spans="1:23">
      <c r="A11" s="428"/>
      <c r="B11" s="421"/>
      <c r="C11" s="439"/>
      <c r="D11" s="421"/>
      <c r="E11" s="430"/>
      <c r="F11" s="430"/>
      <c r="G11" s="430"/>
      <c r="H11" s="430"/>
      <c r="I11" s="453"/>
      <c r="J11" s="430"/>
      <c r="K11" s="430"/>
      <c r="L11" s="430"/>
      <c r="M11" s="451"/>
      <c r="N11" s="451"/>
      <c r="O11" s="430"/>
      <c r="P11" s="531"/>
      <c r="Q11" s="429"/>
      <c r="R11" s="421"/>
      <c r="S11" s="473"/>
      <c r="T11" s="466"/>
      <c r="U11" s="466"/>
      <c r="V11" s="421"/>
      <c r="W11" s="421"/>
    </row>
    <row r="12" s="408" customFormat="1" ht="17.4" spans="1:23">
      <c r="A12" s="418" t="s">
        <v>141</v>
      </c>
      <c r="B12" s="441"/>
      <c r="C12" s="420"/>
      <c r="D12" s="421"/>
      <c r="E12" s="422" t="s">
        <v>202</v>
      </c>
      <c r="F12" s="422"/>
      <c r="G12" s="422"/>
      <c r="H12" s="422"/>
      <c r="I12" s="422"/>
      <c r="J12" s="422"/>
      <c r="K12" s="422"/>
      <c r="L12" s="422"/>
      <c r="M12" s="443"/>
      <c r="N12" s="444"/>
      <c r="O12" s="422"/>
      <c r="P12" s="531"/>
      <c r="Q12" s="465"/>
      <c r="R12" s="424"/>
      <c r="S12" s="473"/>
      <c r="T12" s="467"/>
      <c r="U12" s="467"/>
      <c r="V12" s="467"/>
      <c r="W12" s="467"/>
    </row>
    <row r="13" s="409" customFormat="1" ht="48.6" spans="1:23">
      <c r="A13" s="423" t="s">
        <v>206</v>
      </c>
      <c r="B13" s="424" t="s">
        <v>207</v>
      </c>
      <c r="C13" s="425" t="s">
        <v>208</v>
      </c>
      <c r="D13" s="424" t="s">
        <v>209</v>
      </c>
      <c r="E13" s="426" t="s">
        <v>210</v>
      </c>
      <c r="F13" s="427" t="s">
        <v>408</v>
      </c>
      <c r="G13" s="427" t="s">
        <v>212</v>
      </c>
      <c r="H13" s="427" t="s">
        <v>397</v>
      </c>
      <c r="I13" s="427" t="s">
        <v>214</v>
      </c>
      <c r="J13" s="446" t="s">
        <v>399</v>
      </c>
      <c r="K13" s="446" t="s">
        <v>403</v>
      </c>
      <c r="L13" s="446" t="s">
        <v>409</v>
      </c>
      <c r="M13" s="447" t="s">
        <v>218</v>
      </c>
      <c r="N13" s="448" t="s">
        <v>219</v>
      </c>
      <c r="O13" s="449" t="s">
        <v>220</v>
      </c>
      <c r="P13" s="530" t="s">
        <v>221</v>
      </c>
      <c r="Q13" s="469" t="s">
        <v>222</v>
      </c>
      <c r="R13" s="426" t="s">
        <v>223</v>
      </c>
      <c r="S13" s="470" t="s">
        <v>224</v>
      </c>
      <c r="T13" s="467" t="s">
        <v>225</v>
      </c>
      <c r="U13" s="470" t="s">
        <v>226</v>
      </c>
      <c r="V13" s="467"/>
      <c r="W13" s="467"/>
    </row>
    <row r="14" s="410" customFormat="1" ht="17.4" spans="1:23">
      <c r="A14" s="432" t="s">
        <v>227</v>
      </c>
      <c r="B14" s="432" t="s">
        <v>142</v>
      </c>
      <c r="C14" s="434" t="s">
        <v>410</v>
      </c>
      <c r="D14" s="435" t="s">
        <v>49</v>
      </c>
      <c r="E14" s="436">
        <f>VLOOKUP(B14,正厂竞争者数据汇总!D:H,4,FALSE)</f>
        <v>0</v>
      </c>
      <c r="F14" s="436">
        <v>635236.416666667</v>
      </c>
      <c r="G14" s="436">
        <v>506654</v>
      </c>
      <c r="H14" s="436">
        <v>541471.75</v>
      </c>
      <c r="I14" s="454">
        <v>0.253787430212072</v>
      </c>
      <c r="J14" s="455">
        <v>0.30185431019603</v>
      </c>
      <c r="K14" s="455">
        <v>0.291077547959366</v>
      </c>
      <c r="L14" s="455">
        <v>0.292096383717471</v>
      </c>
      <c r="M14" s="456">
        <f>J14-K14</f>
        <v>0.010776762236664</v>
      </c>
      <c r="N14" s="455" t="str">
        <f>IFERROR(O14*0.5/#REF!,"")</f>
        <v/>
      </c>
      <c r="O14" s="436" t="s">
        <v>180</v>
      </c>
      <c r="P14" s="531">
        <f t="array" ref="P14">INDEX(正厂竞争者数据汇总!I:I,MATCH($A$12&amp;B14,正厂竞争者数据汇总!A:A&amp;正厂竞争者数据汇总!D:D,0))</f>
        <v>0</v>
      </c>
      <c r="Q14" s="434" t="s">
        <v>241</v>
      </c>
      <c r="R14" s="435" t="s">
        <v>229</v>
      </c>
      <c r="S14" s="476"/>
      <c r="T14" s="477"/>
      <c r="U14" s="477"/>
      <c r="V14" s="435"/>
      <c r="W14" s="435"/>
    </row>
    <row r="15" s="408" customFormat="1" ht="17.4" spans="1:23">
      <c r="A15" s="428" t="s">
        <v>243</v>
      </c>
      <c r="B15" s="421" t="s">
        <v>244</v>
      </c>
      <c r="C15" s="429" t="s">
        <v>413</v>
      </c>
      <c r="D15" s="421" t="s">
        <v>266</v>
      </c>
      <c r="E15" s="430"/>
      <c r="F15" s="430">
        <v>393331.181066667</v>
      </c>
      <c r="G15" s="430"/>
      <c r="H15" s="430"/>
      <c r="I15" s="450"/>
      <c r="J15" s="451">
        <v>0.18690476368229</v>
      </c>
      <c r="K15" s="451">
        <v>0.198030270295788</v>
      </c>
      <c r="L15" s="451">
        <v>0.201296806686688</v>
      </c>
      <c r="M15" s="452"/>
      <c r="N15" s="451"/>
      <c r="O15" s="430"/>
      <c r="P15" s="531">
        <f t="array" ref="P15">INDEX(正厂竞争者数据汇总!I:I,MATCH($A$12&amp;B15,正厂竞争者数据汇总!A:A&amp;正厂竞争者数据汇总!D:D,0))</f>
        <v>0</v>
      </c>
      <c r="Q15" s="429"/>
      <c r="R15" s="421"/>
      <c r="S15" s="472"/>
      <c r="T15" s="466"/>
      <c r="U15" s="466"/>
      <c r="V15" s="466"/>
      <c r="W15" s="466"/>
    </row>
    <row r="16" s="408" customFormat="1" ht="17.4" spans="1:23">
      <c r="A16" s="428" t="s">
        <v>230</v>
      </c>
      <c r="B16" s="421" t="s">
        <v>242</v>
      </c>
      <c r="C16" s="429" t="s">
        <v>247</v>
      </c>
      <c r="D16" s="421" t="s">
        <v>414</v>
      </c>
      <c r="E16" s="430"/>
      <c r="F16" s="430">
        <v>325518.536666667</v>
      </c>
      <c r="G16" s="430"/>
      <c r="H16" s="430"/>
      <c r="I16" s="450"/>
      <c r="J16" s="451">
        <v>0.15468126631836</v>
      </c>
      <c r="K16" s="451">
        <v>0.149056671773627</v>
      </c>
      <c r="L16" s="451">
        <v>0.160676620761959</v>
      </c>
      <c r="M16" s="452"/>
      <c r="N16" s="451"/>
      <c r="O16" s="430"/>
      <c r="P16" s="531">
        <f t="array" ref="P16">INDEX(正厂竞争者数据汇总!I:I,MATCH($A$12&amp;B16,正厂竞争者数据汇总!A:A&amp;正厂竞争者数据汇总!D:D,0))</f>
        <v>0</v>
      </c>
      <c r="Q16" s="429"/>
      <c r="R16" s="421"/>
      <c r="S16" s="472"/>
      <c r="T16" s="466"/>
      <c r="U16" s="466"/>
      <c r="V16" s="466"/>
      <c r="W16" s="466"/>
    </row>
    <row r="17" s="408" customFormat="1" ht="17.4" spans="1:23">
      <c r="A17" s="428" t="s">
        <v>230</v>
      </c>
      <c r="B17" s="421" t="s">
        <v>245</v>
      </c>
      <c r="C17" s="429" t="s">
        <v>247</v>
      </c>
      <c r="D17" s="421" t="s">
        <v>415</v>
      </c>
      <c r="E17" s="430"/>
      <c r="F17" s="430">
        <v>244651.583333333</v>
      </c>
      <c r="G17" s="430"/>
      <c r="H17" s="430"/>
      <c r="I17" s="450"/>
      <c r="J17" s="451">
        <v>0.11625456757181</v>
      </c>
      <c r="K17" s="451">
        <v>0.111352708231038</v>
      </c>
      <c r="L17" s="451">
        <v>0.099779871566678</v>
      </c>
      <c r="M17" s="452"/>
      <c r="N17" s="451"/>
      <c r="O17" s="430"/>
      <c r="P17" s="531" t="str">
        <f t="array" ref="P17">INDEX(正厂竞争者数据汇总!I:I,MATCH($A$12&amp;B17,正厂竞争者数据汇总!A:A&amp;正厂竞争者数据汇总!D:D,0))</f>
        <v>2021年02新加竞争者</v>
      </c>
      <c r="Q17" s="429"/>
      <c r="R17" s="421"/>
      <c r="S17" s="472"/>
      <c r="T17" s="466"/>
      <c r="U17" s="466"/>
      <c r="V17" s="466"/>
      <c r="W17" s="466"/>
    </row>
    <row r="18" s="408" customFormat="1" ht="17.4" spans="1:23">
      <c r="A18" s="428" t="s">
        <v>230</v>
      </c>
      <c r="B18" s="421" t="s">
        <v>416</v>
      </c>
      <c r="C18" s="429" t="s">
        <v>247</v>
      </c>
      <c r="D18" s="421" t="s">
        <v>291</v>
      </c>
      <c r="E18" s="430"/>
      <c r="F18" s="430">
        <v>188412.624</v>
      </c>
      <c r="G18" s="430"/>
      <c r="H18" s="430"/>
      <c r="I18" s="450"/>
      <c r="J18" s="451">
        <v>0.0895307025188819</v>
      </c>
      <c r="K18" s="451">
        <v>0.0859084708572621</v>
      </c>
      <c r="L18" s="451">
        <v>0.0987561028355941</v>
      </c>
      <c r="M18" s="452"/>
      <c r="N18" s="451"/>
      <c r="O18" s="430"/>
      <c r="P18" s="531" t="str">
        <f t="array" ref="P18">INDEX(正厂竞争者数据汇总!I:I,MATCH($A$12&amp;B18,正厂竞争者数据汇总!A:A&amp;正厂竞争者数据汇总!D:D,0))</f>
        <v>2023年11月导流至toyotaparts.ourismantoyotaofrichmond.com，原网站流量大幅下跌</v>
      </c>
      <c r="Q18" s="429"/>
      <c r="R18" s="421"/>
      <c r="S18" s="472"/>
      <c r="T18" s="466"/>
      <c r="U18" s="466"/>
      <c r="V18" s="466"/>
      <c r="W18" s="466"/>
    </row>
    <row r="19" s="408" customFormat="1" ht="17.4" spans="1:23">
      <c r="A19" s="428" t="s">
        <v>230</v>
      </c>
      <c r="B19" s="421" t="s">
        <v>249</v>
      </c>
      <c r="C19" s="429" t="s">
        <v>247</v>
      </c>
      <c r="D19" s="421" t="s">
        <v>250</v>
      </c>
      <c r="E19" s="430"/>
      <c r="F19" s="430">
        <v>168377.833333333</v>
      </c>
      <c r="G19" s="430"/>
      <c r="H19" s="430"/>
      <c r="I19" s="450"/>
      <c r="J19" s="451">
        <v>0.0800104864891671</v>
      </c>
      <c r="K19" s="451">
        <v>0.0840233429675161</v>
      </c>
      <c r="L19" s="451">
        <v>0.0812498734211887</v>
      </c>
      <c r="M19" s="452"/>
      <c r="N19" s="451"/>
      <c r="O19" s="430"/>
      <c r="P19" s="531" t="str">
        <f t="array" ref="P19">INDEX(正厂竞争者数据汇总!I:I,MATCH($A$12&amp;B19,正厂竞争者数据汇总!A:A&amp;正厂竞争者数据汇总!D:D,0))</f>
        <v>2023年2月新增正厂</v>
      </c>
      <c r="Q19" s="429"/>
      <c r="R19" s="421"/>
      <c r="S19" s="472"/>
      <c r="T19" s="466"/>
      <c r="U19" s="466"/>
      <c r="V19" s="466"/>
      <c r="W19" s="466"/>
    </row>
    <row r="20" s="408" customFormat="1" ht="17.4" spans="1:23">
      <c r="A20" s="428" t="s">
        <v>230</v>
      </c>
      <c r="B20" s="421" t="s">
        <v>246</v>
      </c>
      <c r="C20" s="429" t="s">
        <v>247</v>
      </c>
      <c r="D20" s="421" t="s">
        <v>49</v>
      </c>
      <c r="E20" s="430"/>
      <c r="F20" s="430">
        <v>148918.888333333</v>
      </c>
      <c r="G20" s="430"/>
      <c r="H20" s="430"/>
      <c r="I20" s="450"/>
      <c r="J20" s="451">
        <v>0.0707639032234604</v>
      </c>
      <c r="K20" s="451">
        <v>0.0805509879154027</v>
      </c>
      <c r="L20" s="451">
        <v>0.0661443410104211</v>
      </c>
      <c r="M20" s="452"/>
      <c r="N20" s="451"/>
      <c r="O20" s="430"/>
      <c r="P20" s="531" t="str">
        <f t="array" ref="P20">INDEX(正厂竞争者数据汇总!I:I,MATCH($A$12&amp;B20,正厂竞争者数据汇总!A:A&amp;正厂竞争者数据汇总!D:D,0))</f>
        <v>2023年2月新增正厂</v>
      </c>
      <c r="Q20" s="429"/>
      <c r="R20" s="421"/>
      <c r="S20" s="472"/>
      <c r="T20" s="466"/>
      <c r="U20" s="466"/>
      <c r="V20" s="466"/>
      <c r="W20" s="466"/>
    </row>
    <row r="21" s="410" customFormat="1" spans="1:23">
      <c r="A21" s="428"/>
      <c r="B21" s="438"/>
      <c r="C21" s="429"/>
      <c r="D21" s="421"/>
      <c r="E21" s="430"/>
      <c r="F21" s="430"/>
      <c r="G21" s="430"/>
      <c r="H21" s="430"/>
      <c r="I21" s="453"/>
      <c r="J21" s="463"/>
      <c r="K21" s="463"/>
      <c r="L21" s="463"/>
      <c r="M21" s="451"/>
      <c r="N21" s="459"/>
      <c r="O21" s="430"/>
      <c r="P21" s="531"/>
      <c r="Q21" s="429"/>
      <c r="R21" s="435"/>
      <c r="S21" s="473"/>
      <c r="T21" s="466"/>
      <c r="U21" s="466"/>
      <c r="V21" s="421"/>
      <c r="W21" s="421"/>
    </row>
    <row r="22" s="408" customFormat="1" spans="1:23">
      <c r="A22" s="428"/>
      <c r="B22" s="421"/>
      <c r="C22" s="439"/>
      <c r="D22" s="421"/>
      <c r="E22" s="430"/>
      <c r="F22" s="430">
        <v>2104447.0634</v>
      </c>
      <c r="G22" s="430">
        <v>1471722.72</v>
      </c>
      <c r="H22" s="430">
        <v>1511577.56416667</v>
      </c>
      <c r="I22" s="453">
        <v>0.429920891212442</v>
      </c>
      <c r="J22" s="430"/>
      <c r="K22" s="513"/>
      <c r="L22" s="430"/>
      <c r="M22" s="451"/>
      <c r="N22" s="459"/>
      <c r="O22" s="430"/>
      <c r="P22" s="531"/>
      <c r="Q22" s="429" t="s">
        <v>180</v>
      </c>
      <c r="R22" s="421"/>
      <c r="S22" s="473"/>
      <c r="T22" s="466"/>
      <c r="U22" s="466"/>
      <c r="V22" s="421"/>
      <c r="W22" s="421"/>
    </row>
    <row r="23" s="408" customFormat="1" spans="1:23">
      <c r="A23" s="428"/>
      <c r="B23" s="421"/>
      <c r="C23" s="439"/>
      <c r="D23" s="421"/>
      <c r="E23" s="430"/>
      <c r="F23" s="430"/>
      <c r="G23" s="430"/>
      <c r="H23" s="430"/>
      <c r="I23" s="453"/>
      <c r="J23" s="430"/>
      <c r="K23" s="430"/>
      <c r="L23" s="430"/>
      <c r="M23" s="451"/>
      <c r="N23" s="451"/>
      <c r="O23" s="430"/>
      <c r="P23" s="531"/>
      <c r="Q23" s="429"/>
      <c r="R23" s="421"/>
      <c r="S23" s="473"/>
      <c r="T23" s="466"/>
      <c r="U23" s="466"/>
      <c r="V23" s="421"/>
      <c r="W23" s="421"/>
    </row>
    <row r="24" s="408" customFormat="1" ht="17.4" spans="1:23">
      <c r="A24" s="418" t="s">
        <v>145</v>
      </c>
      <c r="B24" s="419"/>
      <c r="C24" s="420"/>
      <c r="D24" s="421"/>
      <c r="E24" s="422" t="s">
        <v>202</v>
      </c>
      <c r="F24" s="422"/>
      <c r="G24" s="422"/>
      <c r="H24" s="422"/>
      <c r="I24" s="422"/>
      <c r="J24" s="422"/>
      <c r="K24" s="422"/>
      <c r="L24" s="422"/>
      <c r="M24" s="443"/>
      <c r="N24" s="444"/>
      <c r="O24" s="422"/>
      <c r="P24" s="529"/>
      <c r="Q24" s="465"/>
      <c r="R24" s="424"/>
      <c r="S24" s="421"/>
      <c r="T24" s="466"/>
      <c r="U24" s="467"/>
      <c r="V24" s="467"/>
      <c r="W24" s="467"/>
    </row>
    <row r="25" s="409" customFormat="1" ht="48.6" spans="1:23">
      <c r="A25" s="423" t="s">
        <v>206</v>
      </c>
      <c r="B25" s="424" t="s">
        <v>207</v>
      </c>
      <c r="C25" s="425" t="s">
        <v>208</v>
      </c>
      <c r="D25" s="424" t="s">
        <v>209</v>
      </c>
      <c r="E25" s="426" t="s">
        <v>210</v>
      </c>
      <c r="F25" s="427" t="s">
        <v>408</v>
      </c>
      <c r="G25" s="427" t="s">
        <v>212</v>
      </c>
      <c r="H25" s="427" t="s">
        <v>397</v>
      </c>
      <c r="I25" s="427" t="s">
        <v>214</v>
      </c>
      <c r="J25" s="446" t="s">
        <v>399</v>
      </c>
      <c r="K25" s="446" t="s">
        <v>403</v>
      </c>
      <c r="L25" s="446" t="s">
        <v>409</v>
      </c>
      <c r="M25" s="447" t="s">
        <v>218</v>
      </c>
      <c r="N25" s="448" t="s">
        <v>219</v>
      </c>
      <c r="O25" s="449" t="s">
        <v>220</v>
      </c>
      <c r="P25" s="530" t="s">
        <v>221</v>
      </c>
      <c r="Q25" s="469" t="s">
        <v>222</v>
      </c>
      <c r="R25" s="426" t="s">
        <v>223</v>
      </c>
      <c r="S25" s="470" t="s">
        <v>224</v>
      </c>
      <c r="T25" s="467" t="s">
        <v>225</v>
      </c>
      <c r="U25" s="470" t="s">
        <v>226</v>
      </c>
      <c r="V25" s="467"/>
      <c r="W25" s="467"/>
    </row>
    <row r="26" s="410" customFormat="1" ht="17.4" spans="1:23">
      <c r="A26" s="432" t="s">
        <v>227</v>
      </c>
      <c r="B26" s="432" t="s">
        <v>146</v>
      </c>
      <c r="C26" s="434" t="s">
        <v>410</v>
      </c>
      <c r="D26" s="435" t="s">
        <v>58</v>
      </c>
      <c r="E26" s="436"/>
      <c r="F26" s="436">
        <v>582325.5</v>
      </c>
      <c r="G26" s="436"/>
      <c r="H26" s="436"/>
      <c r="I26" s="510"/>
      <c r="J26" s="457">
        <v>0.295755001385393</v>
      </c>
      <c r="K26" s="457">
        <v>0.26435217719107</v>
      </c>
      <c r="L26" s="457">
        <v>0.265086266963751</v>
      </c>
      <c r="M26" s="461"/>
      <c r="N26" s="457"/>
      <c r="O26" s="436"/>
      <c r="P26" s="531">
        <f t="array" ref="P26">INDEX(正厂竞争者数据汇总!I:I,MATCH($A$24&amp;B26,正厂竞争者数据汇总!A:A&amp;正厂竞争者数据汇总!D:D,0))</f>
        <v>0</v>
      </c>
      <c r="Q26" s="434"/>
      <c r="R26" s="435"/>
      <c r="S26" s="476"/>
      <c r="T26" s="477"/>
      <c r="U26" s="477"/>
      <c r="V26" s="477"/>
      <c r="W26" s="477"/>
    </row>
    <row r="27" s="408" customFormat="1" ht="17.4" spans="1:23">
      <c r="A27" s="428" t="s">
        <v>230</v>
      </c>
      <c r="B27" s="421" t="s">
        <v>251</v>
      </c>
      <c r="C27" s="429" t="s">
        <v>247</v>
      </c>
      <c r="D27" s="421" t="s">
        <v>417</v>
      </c>
      <c r="E27" s="430"/>
      <c r="F27" s="430">
        <v>493835.083333333</v>
      </c>
      <c r="G27" s="430"/>
      <c r="H27" s="430"/>
      <c r="I27" s="450"/>
      <c r="J27" s="451">
        <v>0.250811952688669</v>
      </c>
      <c r="K27" s="451">
        <v>0.286482342171686</v>
      </c>
      <c r="L27" s="451">
        <v>0.295984504953936</v>
      </c>
      <c r="M27" s="452"/>
      <c r="N27" s="451"/>
      <c r="O27" s="430"/>
      <c r="P27" s="531">
        <f t="array" ref="P27">INDEX(正厂竞争者数据汇总!I:I,MATCH($A$24&amp;B27,正厂竞争者数据汇总!A:A&amp;正厂竞争者数据汇总!D:D,0))</f>
        <v>0</v>
      </c>
      <c r="Q27" s="429" t="s">
        <v>180</v>
      </c>
      <c r="R27" s="421" t="s">
        <v>180</v>
      </c>
      <c r="S27" s="472"/>
      <c r="T27" s="466"/>
      <c r="U27" s="466"/>
      <c r="V27" s="466"/>
      <c r="W27" s="466"/>
    </row>
    <row r="28" s="408" customFormat="1" ht="17.4" spans="1:23">
      <c r="A28" s="428" t="s">
        <v>230</v>
      </c>
      <c r="B28" s="421" t="s">
        <v>252</v>
      </c>
      <c r="C28" s="429" t="s">
        <v>247</v>
      </c>
      <c r="D28" s="421" t="s">
        <v>58</v>
      </c>
      <c r="E28" s="430"/>
      <c r="F28" s="430">
        <v>257440.25</v>
      </c>
      <c r="G28" s="430"/>
      <c r="H28" s="430"/>
      <c r="I28" s="450"/>
      <c r="J28" s="451">
        <v>0.13075031317606</v>
      </c>
      <c r="K28" s="451">
        <v>0.116081548176477</v>
      </c>
      <c r="L28" s="451">
        <v>0.104775222583748</v>
      </c>
      <c r="M28" s="452"/>
      <c r="N28" s="451"/>
      <c r="O28" s="430"/>
      <c r="P28" s="531">
        <f t="array" ref="P28">INDEX(正厂竞争者数据汇总!I:I,MATCH($A$24&amp;B28,正厂竞争者数据汇总!A:A&amp;正厂竞争者数据汇总!D:D,0))</f>
        <v>0</v>
      </c>
      <c r="Q28" s="429" t="s">
        <v>180</v>
      </c>
      <c r="R28" s="421" t="s">
        <v>180</v>
      </c>
      <c r="S28" s="472"/>
      <c r="T28" s="466"/>
      <c r="U28" s="466"/>
      <c r="V28" s="466"/>
      <c r="W28" s="466"/>
    </row>
    <row r="29" s="408" customFormat="1" ht="17.4" spans="1:23">
      <c r="A29" s="428" t="s">
        <v>230</v>
      </c>
      <c r="B29" s="421" t="s">
        <v>258</v>
      </c>
      <c r="C29" s="429" t="s">
        <v>247</v>
      </c>
      <c r="D29" s="421" t="s">
        <v>59</v>
      </c>
      <c r="E29" s="430"/>
      <c r="F29" s="430">
        <v>184931.666666667</v>
      </c>
      <c r="G29" s="430"/>
      <c r="H29" s="430"/>
      <c r="I29" s="450"/>
      <c r="J29" s="451">
        <v>0.0939242147754187</v>
      </c>
      <c r="K29" s="451">
        <v>0.0955726642612816</v>
      </c>
      <c r="L29" s="451">
        <v>0.108875146929068</v>
      </c>
      <c r="M29" s="452"/>
      <c r="N29" s="451"/>
      <c r="O29" s="430"/>
      <c r="P29" s="531">
        <f t="array" ref="P29">INDEX(正厂竞争者数据汇总!I:I,MATCH($A$24&amp;B29,正厂竞争者数据汇总!A:A&amp;正厂竞争者数据汇总!D:D,0))</f>
        <v>0</v>
      </c>
      <c r="Q29" s="429" t="s">
        <v>180</v>
      </c>
      <c r="R29" s="421"/>
      <c r="S29" s="472"/>
      <c r="T29" s="466"/>
      <c r="U29" s="466"/>
      <c r="V29" s="466"/>
      <c r="W29" s="466"/>
    </row>
    <row r="30" s="408" customFormat="1" ht="17.4" spans="1:23">
      <c r="A30" s="428" t="s">
        <v>391</v>
      </c>
      <c r="B30" s="421" t="s">
        <v>256</v>
      </c>
      <c r="C30" s="429" t="s">
        <v>301</v>
      </c>
      <c r="D30" s="421" t="s">
        <v>418</v>
      </c>
      <c r="E30" s="430"/>
      <c r="F30" s="430">
        <v>175087.416666667</v>
      </c>
      <c r="G30" s="430"/>
      <c r="H30" s="430"/>
      <c r="I30" s="450"/>
      <c r="J30" s="451">
        <v>0.0889244574706328</v>
      </c>
      <c r="K30" s="451">
        <v>0.0763695662561963</v>
      </c>
      <c r="L30" s="451">
        <v>0.0739043571634472</v>
      </c>
      <c r="M30" s="452"/>
      <c r="N30" s="451"/>
      <c r="O30" s="430"/>
      <c r="P30" s="531">
        <f t="array" ref="P30">INDEX(正厂竞争者数据汇总!I:I,MATCH($A$24&amp;B30,正厂竞争者数据汇总!A:A&amp;正厂竞争者数据汇总!D:D,0))</f>
        <v>0</v>
      </c>
      <c r="Q30" s="429" t="s">
        <v>257</v>
      </c>
      <c r="R30" s="421" t="s">
        <v>229</v>
      </c>
      <c r="S30" s="472"/>
      <c r="T30" s="466"/>
      <c r="U30" s="466"/>
      <c r="V30" s="466"/>
      <c r="W30" s="466"/>
    </row>
    <row r="31" s="408" customFormat="1" ht="17.4" spans="1:23">
      <c r="A31" s="428" t="s">
        <v>230</v>
      </c>
      <c r="B31" s="421" t="s">
        <v>255</v>
      </c>
      <c r="C31" s="429" t="s">
        <v>247</v>
      </c>
      <c r="D31" s="421" t="s">
        <v>419</v>
      </c>
      <c r="E31" s="430"/>
      <c r="F31" s="430">
        <v>162671.381666666</v>
      </c>
      <c r="G31" s="430"/>
      <c r="H31" s="430"/>
      <c r="I31" s="450"/>
      <c r="J31" s="451">
        <v>0.0826185264258367</v>
      </c>
      <c r="K31" s="451">
        <v>0.0754747144038004</v>
      </c>
      <c r="L31" s="451">
        <v>0.0720560278288734</v>
      </c>
      <c r="M31" s="452"/>
      <c r="N31" s="451"/>
      <c r="O31" s="430"/>
      <c r="P31" s="531" t="str">
        <f t="array" ref="P31">INDEX(正厂竞争者数据汇总!I:I,MATCH($A$24&amp;B31,正厂竞争者数据汇总!A:A&amp;正厂竞争者数据汇总!D:D,0))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31" s="429" t="s">
        <v>180</v>
      </c>
      <c r="R31" s="421" t="s">
        <v>180</v>
      </c>
      <c r="S31" s="472"/>
      <c r="T31" s="466"/>
      <c r="U31" s="466"/>
      <c r="V31" s="466"/>
      <c r="W31" s="466"/>
    </row>
    <row r="32" s="408" customFormat="1" ht="17.4" spans="1:23">
      <c r="A32" s="428" t="s">
        <v>230</v>
      </c>
      <c r="B32" s="421" t="s">
        <v>253</v>
      </c>
      <c r="C32" s="429" t="s">
        <v>247</v>
      </c>
      <c r="D32" s="421" t="s">
        <v>60</v>
      </c>
      <c r="E32" s="430"/>
      <c r="F32" s="430">
        <v>112654.2724</v>
      </c>
      <c r="G32" s="430"/>
      <c r="H32" s="430"/>
      <c r="I32" s="450"/>
      <c r="J32" s="451">
        <v>0.0572155340779898</v>
      </c>
      <c r="K32" s="451">
        <v>0.0505695267465793</v>
      </c>
      <c r="L32" s="451">
        <v>0.0411263175796591</v>
      </c>
      <c r="M32" s="452"/>
      <c r="N32" s="451"/>
      <c r="O32" s="430"/>
      <c r="P32" s="531" t="str">
        <f t="array" ref="P32">INDEX(正厂竞争者数据汇总!I:I,MATCH($A$24&amp;B32,正厂竞争者数据汇总!A:A&amp;正厂竞争者数据汇总!D:D,0))</f>
        <v>202306，原竞品gmpartsonline.net将网站导流至此，现新网站正式成为新增竞品</v>
      </c>
      <c r="Q32" s="434" t="s">
        <v>254</v>
      </c>
      <c r="R32" s="421" t="s">
        <v>229</v>
      </c>
      <c r="S32" s="472"/>
      <c r="T32" s="466"/>
      <c r="U32" s="466"/>
      <c r="V32" s="466"/>
      <c r="W32" s="466"/>
    </row>
    <row r="33" s="410" customFormat="1" spans="1:23">
      <c r="A33" s="428"/>
      <c r="B33" s="431"/>
      <c r="C33" s="429"/>
      <c r="D33" s="421"/>
      <c r="E33" s="430"/>
      <c r="F33" s="430"/>
      <c r="G33" s="430"/>
      <c r="H33" s="430"/>
      <c r="I33" s="450"/>
      <c r="J33" s="455"/>
      <c r="K33" s="455"/>
      <c r="L33" s="455"/>
      <c r="M33" s="452"/>
      <c r="N33" s="457"/>
      <c r="O33" s="436"/>
      <c r="P33" s="531"/>
      <c r="Q33" s="434"/>
      <c r="R33" s="435"/>
      <c r="S33" s="473"/>
      <c r="T33" s="477"/>
      <c r="U33" s="466"/>
      <c r="V33" s="435"/>
      <c r="W33" s="435"/>
    </row>
    <row r="34" s="408" customFormat="1" spans="1:23">
      <c r="A34" s="428"/>
      <c r="B34" s="421"/>
      <c r="C34" s="439"/>
      <c r="D34" s="421"/>
      <c r="E34" s="430"/>
      <c r="F34" s="430">
        <v>1968945.57073333</v>
      </c>
      <c r="G34" s="430"/>
      <c r="H34" s="430"/>
      <c r="I34" s="453"/>
      <c r="J34" s="430"/>
      <c r="K34" s="430"/>
      <c r="L34" s="430"/>
      <c r="M34" s="451"/>
      <c r="N34" s="451"/>
      <c r="O34" s="430"/>
      <c r="P34" s="531"/>
      <c r="Q34" s="429"/>
      <c r="R34" s="421"/>
      <c r="S34" s="473"/>
      <c r="T34" s="466"/>
      <c r="U34" s="466"/>
      <c r="V34" s="421"/>
      <c r="W34" s="421"/>
    </row>
    <row r="35" s="408" customFormat="1" spans="1:23">
      <c r="A35" s="428"/>
      <c r="B35" s="421"/>
      <c r="C35" s="439"/>
      <c r="D35" s="421"/>
      <c r="E35" s="430"/>
      <c r="F35" s="430"/>
      <c r="G35" s="430"/>
      <c r="H35" s="430"/>
      <c r="I35" s="453"/>
      <c r="J35" s="430"/>
      <c r="K35" s="430"/>
      <c r="L35" s="430"/>
      <c r="M35" s="451"/>
      <c r="N35" s="451"/>
      <c r="O35" s="430"/>
      <c r="P35" s="531"/>
      <c r="Q35" s="429"/>
      <c r="R35" s="421"/>
      <c r="S35" s="473"/>
      <c r="T35" s="466"/>
      <c r="U35" s="466"/>
      <c r="V35" s="421"/>
      <c r="W35" s="421"/>
    </row>
    <row r="36" s="408" customFormat="1" ht="17.4" spans="1:23">
      <c r="A36" s="418" t="s">
        <v>152</v>
      </c>
      <c r="B36" s="419"/>
      <c r="C36" s="420"/>
      <c r="D36" s="421"/>
      <c r="E36" s="422" t="s">
        <v>202</v>
      </c>
      <c r="F36" s="422"/>
      <c r="G36" s="422"/>
      <c r="H36" s="422"/>
      <c r="I36" s="422"/>
      <c r="J36" s="422"/>
      <c r="K36" s="422"/>
      <c r="L36" s="422"/>
      <c r="M36" s="443"/>
      <c r="N36" s="444"/>
      <c r="O36" s="422"/>
      <c r="P36" s="531"/>
      <c r="Q36" s="465"/>
      <c r="R36" s="424"/>
      <c r="S36" s="473"/>
      <c r="T36" s="467"/>
      <c r="U36" s="467"/>
      <c r="V36" s="467"/>
      <c r="W36" s="467"/>
    </row>
    <row r="37" s="409" customFormat="1" ht="48.6" spans="1:23">
      <c r="A37" s="423" t="s">
        <v>206</v>
      </c>
      <c r="B37" s="424" t="s">
        <v>207</v>
      </c>
      <c r="C37" s="425" t="s">
        <v>208</v>
      </c>
      <c r="D37" s="424" t="s">
        <v>209</v>
      </c>
      <c r="E37" s="426" t="s">
        <v>210</v>
      </c>
      <c r="F37" s="427" t="s">
        <v>408</v>
      </c>
      <c r="G37" s="427" t="s">
        <v>212</v>
      </c>
      <c r="H37" s="427" t="s">
        <v>397</v>
      </c>
      <c r="I37" s="427" t="s">
        <v>214</v>
      </c>
      <c r="J37" s="446" t="s">
        <v>399</v>
      </c>
      <c r="K37" s="446" t="s">
        <v>403</v>
      </c>
      <c r="L37" s="446" t="s">
        <v>409</v>
      </c>
      <c r="M37" s="447" t="s">
        <v>218</v>
      </c>
      <c r="N37" s="448" t="s">
        <v>219</v>
      </c>
      <c r="O37" s="449" t="s">
        <v>220</v>
      </c>
      <c r="P37" s="530" t="s">
        <v>221</v>
      </c>
      <c r="Q37" s="469" t="s">
        <v>222</v>
      </c>
      <c r="R37" s="426" t="s">
        <v>223</v>
      </c>
      <c r="S37" s="470" t="s">
        <v>224</v>
      </c>
      <c r="T37" s="467" t="s">
        <v>225</v>
      </c>
      <c r="U37" s="470" t="s">
        <v>226</v>
      </c>
      <c r="V37" s="467"/>
      <c r="W37" s="467"/>
    </row>
    <row r="38" s="410" customFormat="1" ht="17.4" spans="1:23">
      <c r="A38" s="432" t="s">
        <v>227</v>
      </c>
      <c r="B38" s="432" t="s">
        <v>153</v>
      </c>
      <c r="C38" s="434" t="s">
        <v>410</v>
      </c>
      <c r="D38" s="435" t="s">
        <v>49</v>
      </c>
      <c r="E38" s="436">
        <f>VLOOKUP(B38,正厂竞争者数据汇总!D:H,4,FALSE)</f>
        <v>0</v>
      </c>
      <c r="F38" s="436">
        <v>425781.166666667</v>
      </c>
      <c r="G38" s="436">
        <v>436555.583333333</v>
      </c>
      <c r="H38" s="436">
        <v>490593.833333333</v>
      </c>
      <c r="I38" s="454">
        <v>-0.0246805151005003</v>
      </c>
      <c r="J38" s="457">
        <v>0.29314999197907</v>
      </c>
      <c r="K38" s="457">
        <v>0.30109752738898</v>
      </c>
      <c r="L38" s="457">
        <v>0.31266890565816</v>
      </c>
      <c r="M38" s="456">
        <f>J38-K38</f>
        <v>-0.00794753540991</v>
      </c>
      <c r="N38" s="457" t="str">
        <f>IFERROR(O38*0.5/#REF!,"")</f>
        <v/>
      </c>
      <c r="O38" s="436" t="s">
        <v>180</v>
      </c>
      <c r="P38" s="531">
        <f t="array" ref="P38">INDEX(正厂竞争者数据汇总!I:I,MATCH($A$36&amp;B38,正厂竞争者数据汇总!A:A&amp;正厂竞争者数据汇总!D:D,0))</f>
        <v>0</v>
      </c>
      <c r="Q38" s="434" t="s">
        <v>268</v>
      </c>
      <c r="R38" s="435" t="s">
        <v>229</v>
      </c>
      <c r="S38" s="476"/>
      <c r="T38" s="477"/>
      <c r="U38" s="477"/>
      <c r="V38" s="477"/>
      <c r="W38" s="477"/>
    </row>
    <row r="39" s="408" customFormat="1" ht="17.4" spans="1:23">
      <c r="A39" s="428" t="s">
        <v>243</v>
      </c>
      <c r="B39" s="421" t="s">
        <v>270</v>
      </c>
      <c r="C39" s="429" t="s">
        <v>247</v>
      </c>
      <c r="D39" s="421" t="s">
        <v>266</v>
      </c>
      <c r="E39" s="430"/>
      <c r="F39" s="430">
        <v>280060.583333333</v>
      </c>
      <c r="G39" s="430"/>
      <c r="H39" s="430"/>
      <c r="I39" s="450"/>
      <c r="J39" s="451">
        <v>0.192821487151624</v>
      </c>
      <c r="K39" s="451">
        <v>0.182028868034956</v>
      </c>
      <c r="L39" s="451">
        <v>0.163658548556016</v>
      </c>
      <c r="M39" s="452"/>
      <c r="N39" s="451"/>
      <c r="O39" s="430"/>
      <c r="P39" s="531">
        <f t="array" ref="P39">INDEX(正厂竞争者数据汇总!I:I,MATCH($A$36&amp;B39,正厂竞争者数据汇总!A:A&amp;正厂竞争者数据汇总!D:D,0))</f>
        <v>0</v>
      </c>
      <c r="Q39" s="429"/>
      <c r="R39" s="421"/>
      <c r="S39" s="472"/>
      <c r="T39" s="466"/>
      <c r="U39" s="466"/>
      <c r="V39" s="466"/>
      <c r="W39" s="466"/>
    </row>
    <row r="40" s="408" customFormat="1" ht="17.4" spans="1:23">
      <c r="A40" s="428" t="s">
        <v>230</v>
      </c>
      <c r="B40" s="421" t="s">
        <v>255</v>
      </c>
      <c r="C40" s="429" t="s">
        <v>247</v>
      </c>
      <c r="D40" s="421" t="s">
        <v>419</v>
      </c>
      <c r="E40" s="430"/>
      <c r="F40" s="430">
        <v>273972.853333333</v>
      </c>
      <c r="G40" s="430"/>
      <c r="H40" s="430"/>
      <c r="I40" s="450"/>
      <c r="J40" s="451">
        <v>0.188630089926045</v>
      </c>
      <c r="K40" s="451">
        <v>0.18302164963638</v>
      </c>
      <c r="L40" s="451">
        <v>0.18242304864821</v>
      </c>
      <c r="M40" s="452"/>
      <c r="N40" s="451"/>
      <c r="O40" s="430"/>
      <c r="P40" s="531" t="str">
        <f t="array" ref="P40">INDEX(正厂竞争者数据汇总!I:I,MATCH($A$36&amp;B40,正厂竞争者数据汇总!A:A&amp;正厂竞争者数据汇总!D:D,0))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40" s="429"/>
      <c r="R40" s="421"/>
      <c r="S40" s="472"/>
      <c r="T40" s="466"/>
      <c r="U40" s="466"/>
      <c r="V40" s="466"/>
      <c r="W40" s="466"/>
    </row>
    <row r="41" s="408" customFormat="1" ht="17.4" spans="1:23">
      <c r="A41" s="428" t="s">
        <v>230</v>
      </c>
      <c r="B41" s="421" t="s">
        <v>269</v>
      </c>
      <c r="C41" s="429" t="s">
        <v>247</v>
      </c>
      <c r="D41" s="421" t="s">
        <v>234</v>
      </c>
      <c r="E41" s="430"/>
      <c r="F41" s="430">
        <v>222230.916666667</v>
      </c>
      <c r="G41" s="430"/>
      <c r="H41" s="430"/>
      <c r="I41" s="450"/>
      <c r="J41" s="451">
        <v>0.153005808003098</v>
      </c>
      <c r="K41" s="451">
        <v>0.160095228930264</v>
      </c>
      <c r="L41" s="451">
        <v>0.150568849134707</v>
      </c>
      <c r="M41" s="452"/>
      <c r="N41" s="451"/>
      <c r="O41" s="430"/>
      <c r="P41" s="531" t="str">
        <f t="array" ref="P41">INDEX(正厂竞争者数据汇总!I:I,MATCH($A$36&amp;B41,正厂竞争者数据汇总!A:A&amp;正厂竞争者数据汇总!D:D,0))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41" s="429"/>
      <c r="R41" s="421"/>
      <c r="S41" s="472"/>
      <c r="T41" s="466"/>
      <c r="U41" s="466"/>
      <c r="V41" s="466"/>
      <c r="W41" s="466"/>
    </row>
    <row r="42" s="408" customFormat="1" ht="17.4" spans="1:23">
      <c r="A42" s="428" t="s">
        <v>230</v>
      </c>
      <c r="B42" s="421" t="s">
        <v>273</v>
      </c>
      <c r="C42" s="429" t="s">
        <v>247</v>
      </c>
      <c r="D42" s="421" t="s">
        <v>420</v>
      </c>
      <c r="E42" s="430"/>
      <c r="F42" s="430">
        <v>117485.583333334</v>
      </c>
      <c r="G42" s="430"/>
      <c r="H42" s="430"/>
      <c r="I42" s="450"/>
      <c r="J42" s="451">
        <v>0.0808887299582843</v>
      </c>
      <c r="K42" s="451">
        <v>0.0778284746384502</v>
      </c>
      <c r="L42" s="451">
        <v>0.0811887972652123</v>
      </c>
      <c r="M42" s="452"/>
      <c r="N42" s="451"/>
      <c r="O42" s="430"/>
      <c r="P42" s="531">
        <f t="array" ref="P42">INDEX(正厂竞争者数据汇总!I:I,MATCH($A$36&amp;B42,正厂竞争者数据汇总!A:A&amp;正厂竞争者数据汇总!D:D,0))</f>
        <v>0</v>
      </c>
      <c r="Q42" s="429"/>
      <c r="R42" s="421"/>
      <c r="S42" s="472"/>
      <c r="T42" s="466"/>
      <c r="U42" s="466"/>
      <c r="V42" s="466"/>
      <c r="W42" s="466"/>
    </row>
    <row r="43" s="408" customFormat="1" ht="17.4" spans="1:23">
      <c r="A43" s="428" t="s">
        <v>230</v>
      </c>
      <c r="B43" s="421" t="s">
        <v>292</v>
      </c>
      <c r="C43" s="429" t="s">
        <v>247</v>
      </c>
      <c r="D43" s="421" t="s">
        <v>250</v>
      </c>
      <c r="E43" s="430"/>
      <c r="F43" s="430">
        <v>71188.7458333333</v>
      </c>
      <c r="G43" s="430"/>
      <c r="H43" s="430"/>
      <c r="I43" s="450"/>
      <c r="J43" s="451">
        <v>0.0490133944472455</v>
      </c>
      <c r="K43" s="451">
        <v>0.0528509648096365</v>
      </c>
      <c r="L43" s="451">
        <v>0.0613021579171326</v>
      </c>
      <c r="M43" s="452"/>
      <c r="N43" s="451"/>
      <c r="O43" s="430"/>
      <c r="P43" s="531" t="str">
        <f t="array" ref="P43">INDEX(正厂竞争者数据汇总!I:I,MATCH($A$36&amp;B43,正厂竞争者数据汇总!A:A&amp;正厂竞争者数据汇总!D:D,0))</f>
        <v>同时经营多品牌，流量折算比例为Ford:23%,GM:23%,Infiniti:0%,Kia:13%,Mopar:31%,Nissan:10%</v>
      </c>
      <c r="Q43" s="429"/>
      <c r="R43" s="421"/>
      <c r="S43" s="472"/>
      <c r="T43" s="466"/>
      <c r="U43" s="466"/>
      <c r="V43" s="466"/>
      <c r="W43" s="466"/>
    </row>
    <row r="44" s="408" customFormat="1" ht="17.4" spans="1:23">
      <c r="A44" s="428" t="s">
        <v>230</v>
      </c>
      <c r="B44" s="421" t="s">
        <v>400</v>
      </c>
      <c r="C44" s="429" t="s">
        <v>247</v>
      </c>
      <c r="D44" s="421" t="s">
        <v>272</v>
      </c>
      <c r="E44" s="430"/>
      <c r="F44" s="430">
        <v>61714.6666666666</v>
      </c>
      <c r="G44" s="430"/>
      <c r="H44" s="430"/>
      <c r="I44" s="450"/>
      <c r="J44" s="451">
        <v>0.042490498534633</v>
      </c>
      <c r="K44" s="451">
        <v>0.0430772865613333</v>
      </c>
      <c r="L44" s="451">
        <v>0.0481896928205621</v>
      </c>
      <c r="M44" s="452"/>
      <c r="N44" s="451"/>
      <c r="O44" s="430"/>
      <c r="P44" s="531">
        <f t="array" ref="P44">INDEX(正厂竞争者数据汇总!I:I,MATCH($A$36&amp;B44,正厂竞争者数据汇总!A:A&amp;正厂竞争者数据汇总!D:D,0))</f>
        <v>0</v>
      </c>
      <c r="Q44" s="429"/>
      <c r="R44" s="421"/>
      <c r="S44" s="472"/>
      <c r="T44" s="466"/>
      <c r="U44" s="466"/>
      <c r="V44" s="466"/>
      <c r="W44" s="466"/>
    </row>
    <row r="45" s="408" customFormat="1" spans="1:23">
      <c r="A45" s="428"/>
      <c r="B45" s="421"/>
      <c r="C45" s="429"/>
      <c r="D45" s="421"/>
      <c r="E45" s="430"/>
      <c r="F45" s="430"/>
      <c r="G45" s="430"/>
      <c r="H45" s="430"/>
      <c r="I45" s="450"/>
      <c r="J45" s="451"/>
      <c r="K45" s="451"/>
      <c r="L45" s="451"/>
      <c r="M45" s="452"/>
      <c r="N45" s="451"/>
      <c r="O45" s="430"/>
      <c r="P45" s="531"/>
      <c r="Q45" s="429"/>
      <c r="R45" s="421"/>
      <c r="S45" s="472"/>
      <c r="T45" s="466"/>
      <c r="U45" s="466"/>
      <c r="V45" s="421"/>
      <c r="W45" s="421"/>
    </row>
    <row r="46" s="408" customFormat="1" spans="1:23">
      <c r="A46" s="428"/>
      <c r="B46" s="421"/>
      <c r="C46" s="439"/>
      <c r="D46" s="421"/>
      <c r="E46" s="430"/>
      <c r="F46" s="430">
        <v>1452434.51583333</v>
      </c>
      <c r="G46" s="430">
        <v>1270419.34583333</v>
      </c>
      <c r="H46" s="430">
        <v>1259631.94083333</v>
      </c>
      <c r="I46" s="453">
        <v>0.143271724094072</v>
      </c>
      <c r="J46" s="430"/>
      <c r="K46" s="451"/>
      <c r="L46" s="430"/>
      <c r="M46" s="451"/>
      <c r="N46" s="459">
        <f>SUM(N38:N44)</f>
        <v>0</v>
      </c>
      <c r="O46" s="430" t="s">
        <v>180</v>
      </c>
      <c r="P46" s="531"/>
      <c r="Q46" s="429"/>
      <c r="R46" s="421"/>
      <c r="S46" s="473"/>
      <c r="T46" s="466"/>
      <c r="U46" s="466"/>
      <c r="V46" s="421"/>
      <c r="W46" s="421"/>
    </row>
    <row r="47" s="408" customFormat="1" spans="1:23">
      <c r="A47" s="428"/>
      <c r="B47" s="421"/>
      <c r="C47" s="439"/>
      <c r="D47" s="421"/>
      <c r="E47" s="430"/>
      <c r="F47" s="430"/>
      <c r="G47" s="430"/>
      <c r="H47" s="430"/>
      <c r="I47" s="453"/>
      <c r="J47" s="430"/>
      <c r="K47" s="430"/>
      <c r="L47" s="430"/>
      <c r="M47" s="451"/>
      <c r="N47" s="459"/>
      <c r="O47" s="430"/>
      <c r="P47" s="531"/>
      <c r="Q47" s="429"/>
      <c r="R47" s="421"/>
      <c r="S47" s="473"/>
      <c r="T47" s="466"/>
      <c r="U47" s="466"/>
      <c r="V47" s="421"/>
      <c r="W47" s="421"/>
    </row>
    <row r="48" s="408" customFormat="1" ht="17.4" spans="1:23">
      <c r="A48" s="418" t="s">
        <v>149</v>
      </c>
      <c r="B48" s="419"/>
      <c r="C48" s="420"/>
      <c r="D48" s="421"/>
      <c r="E48" s="422" t="s">
        <v>202</v>
      </c>
      <c r="F48" s="422"/>
      <c r="G48" s="422"/>
      <c r="H48" s="422"/>
      <c r="I48" s="422"/>
      <c r="J48" s="422"/>
      <c r="K48" s="422"/>
      <c r="L48" s="422"/>
      <c r="M48" s="443"/>
      <c r="N48" s="444"/>
      <c r="O48" s="422"/>
      <c r="P48" s="531"/>
      <c r="Q48" s="465"/>
      <c r="R48" s="424"/>
      <c r="S48" s="473"/>
      <c r="T48" s="467"/>
      <c r="U48" s="467"/>
      <c r="V48" s="467"/>
      <c r="W48" s="467"/>
    </row>
    <row r="49" s="409" customFormat="1" ht="48.6" spans="1:23">
      <c r="A49" s="423" t="s">
        <v>206</v>
      </c>
      <c r="B49" s="424" t="s">
        <v>207</v>
      </c>
      <c r="C49" s="425" t="s">
        <v>208</v>
      </c>
      <c r="D49" s="424" t="s">
        <v>209</v>
      </c>
      <c r="E49" s="426" t="s">
        <v>210</v>
      </c>
      <c r="F49" s="427" t="s">
        <v>408</v>
      </c>
      <c r="G49" s="427" t="s">
        <v>212</v>
      </c>
      <c r="H49" s="427" t="s">
        <v>397</v>
      </c>
      <c r="I49" s="427" t="s">
        <v>214</v>
      </c>
      <c r="J49" s="446" t="s">
        <v>399</v>
      </c>
      <c r="K49" s="446" t="s">
        <v>403</v>
      </c>
      <c r="L49" s="446" t="s">
        <v>409</v>
      </c>
      <c r="M49" s="447" t="s">
        <v>218</v>
      </c>
      <c r="N49" s="448" t="s">
        <v>219</v>
      </c>
      <c r="O49" s="449" t="s">
        <v>220</v>
      </c>
      <c r="P49" s="530" t="s">
        <v>221</v>
      </c>
      <c r="Q49" s="469" t="s">
        <v>222</v>
      </c>
      <c r="R49" s="426" t="s">
        <v>223</v>
      </c>
      <c r="S49" s="470" t="s">
        <v>224</v>
      </c>
      <c r="T49" s="467" t="s">
        <v>225</v>
      </c>
      <c r="U49" s="470" t="s">
        <v>226</v>
      </c>
      <c r="V49" s="467"/>
      <c r="W49" s="467"/>
    </row>
    <row r="50" s="410" customFormat="1" ht="17.4" spans="1:23">
      <c r="A50" s="432" t="s">
        <v>227</v>
      </c>
      <c r="B50" s="432" t="s">
        <v>150</v>
      </c>
      <c r="C50" s="434" t="s">
        <v>410</v>
      </c>
      <c r="D50" s="435" t="s">
        <v>58</v>
      </c>
      <c r="E50" s="436">
        <f>VLOOKUP(B50,正厂竞争者数据汇总!D:H,4,FALSE)</f>
        <v>0</v>
      </c>
      <c r="F50" s="436">
        <v>505681.666666667</v>
      </c>
      <c r="G50" s="436">
        <v>521458.083333333</v>
      </c>
      <c r="H50" s="436">
        <v>566477.333333333</v>
      </c>
      <c r="I50" s="454">
        <v>-0.0302544292070763</v>
      </c>
      <c r="J50" s="455">
        <v>0.380975386744149</v>
      </c>
      <c r="K50" s="455">
        <v>0.350949944333293</v>
      </c>
      <c r="L50" s="455">
        <v>0.350487029270765</v>
      </c>
      <c r="M50" s="456">
        <f>J50-K50</f>
        <v>0.030025442410856</v>
      </c>
      <c r="N50" s="457" t="str">
        <f>IFERROR(O50*0.5/#REF!,"")</f>
        <v/>
      </c>
      <c r="O50" s="436" t="s">
        <v>180</v>
      </c>
      <c r="P50" s="531">
        <f t="array" ref="P50">INDEX(正厂竞争者数据汇总!I:I,MATCH($A$48&amp;B50,正厂竞争者数据汇总!A:A&amp;正厂竞争者数据汇总!D:D,0))</f>
        <v>0</v>
      </c>
      <c r="Q50" s="434" t="s">
        <v>259</v>
      </c>
      <c r="R50" s="435" t="s">
        <v>229</v>
      </c>
      <c r="S50" s="476"/>
      <c r="T50" s="477"/>
      <c r="U50" s="477"/>
      <c r="V50" s="477"/>
      <c r="W50" s="477"/>
    </row>
    <row r="51" s="408" customFormat="1" ht="17.4" spans="1:23">
      <c r="A51" s="428" t="s">
        <v>230</v>
      </c>
      <c r="B51" s="421" t="s">
        <v>255</v>
      </c>
      <c r="C51" s="429" t="s">
        <v>247</v>
      </c>
      <c r="D51" s="421" t="s">
        <v>419</v>
      </c>
      <c r="E51" s="430"/>
      <c r="F51" s="430">
        <v>248287.898333333</v>
      </c>
      <c r="G51" s="430"/>
      <c r="H51" s="430"/>
      <c r="I51" s="450"/>
      <c r="J51" s="451">
        <v>0.187057558789819</v>
      </c>
      <c r="K51" s="451">
        <v>0.177675990045644</v>
      </c>
      <c r="L51" s="451">
        <v>0.162716056454774</v>
      </c>
      <c r="M51" s="452"/>
      <c r="N51" s="451"/>
      <c r="O51" s="430"/>
      <c r="P51" s="531" t="str">
        <f t="array" ref="P51">INDEX(正厂竞争者数据汇总!I:I,MATCH($A$48&amp;B51,正厂竞争者数据汇总!A:A&amp;正厂竞争者数据汇总!D:D,0))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51" s="429"/>
      <c r="R51" s="421"/>
      <c r="S51" s="472"/>
      <c r="T51" s="466"/>
      <c r="U51" s="466"/>
      <c r="V51" s="466"/>
      <c r="W51" s="466"/>
    </row>
    <row r="52" s="408" customFormat="1" ht="17.4" spans="1:23">
      <c r="A52" s="428" t="s">
        <v>230</v>
      </c>
      <c r="B52" s="421" t="s">
        <v>261</v>
      </c>
      <c r="C52" s="429" t="s">
        <v>247</v>
      </c>
      <c r="D52" s="421" t="s">
        <v>272</v>
      </c>
      <c r="E52" s="430"/>
      <c r="F52" s="430">
        <v>153994</v>
      </c>
      <c r="G52" s="430"/>
      <c r="H52" s="430"/>
      <c r="I52" s="450"/>
      <c r="J52" s="451">
        <v>0.116017501866349</v>
      </c>
      <c r="K52" s="451">
        <v>0.109496851768032</v>
      </c>
      <c r="L52" s="451">
        <v>0.113019298138242</v>
      </c>
      <c r="M52" s="452"/>
      <c r="N52" s="451"/>
      <c r="O52" s="430"/>
      <c r="P52" s="531" t="str">
        <f t="array" ref="P52">INDEX(正厂竞争者数据汇总!I:I,MATCH($A$48&amp;B52,正厂竞争者数据汇总!A:A&amp;正厂竞争者数据汇总!D:D,0))</f>
        <v>2022年1月 新加入 CompetitorSites
2022年1月 新加入 MarketingShare</v>
      </c>
      <c r="Q52" s="429"/>
      <c r="R52" s="421"/>
      <c r="S52" s="472"/>
      <c r="T52" s="466"/>
      <c r="U52" s="466"/>
      <c r="V52" s="466"/>
      <c r="W52" s="466"/>
    </row>
    <row r="53" s="408" customFormat="1" ht="17.4" spans="1:23">
      <c r="A53" s="428" t="s">
        <v>230</v>
      </c>
      <c r="B53" s="421" t="s">
        <v>260</v>
      </c>
      <c r="C53" s="429" t="s">
        <v>247</v>
      </c>
      <c r="D53" s="421" t="s">
        <v>60</v>
      </c>
      <c r="E53" s="430"/>
      <c r="F53" s="430">
        <v>143715.23535</v>
      </c>
      <c r="G53" s="430"/>
      <c r="H53" s="430"/>
      <c r="I53" s="450"/>
      <c r="J53" s="451">
        <v>0.10827358588933</v>
      </c>
      <c r="K53" s="451">
        <v>0.104805143867159</v>
      </c>
      <c r="L53" s="451">
        <v>0.103101420620356</v>
      </c>
      <c r="M53" s="452"/>
      <c r="N53" s="451"/>
      <c r="O53" s="430"/>
      <c r="P53" s="531">
        <f t="array" ref="P53">INDEX(正厂竞争者数据汇总!I:I,MATCH($A$48&amp;B53,正厂竞争者数据汇总!A:A&amp;正厂竞争者数据汇总!D:D,0))</f>
        <v>0</v>
      </c>
      <c r="Q53" s="429"/>
      <c r="R53" s="421"/>
      <c r="S53" s="472"/>
      <c r="T53" s="466"/>
      <c r="U53" s="466"/>
      <c r="V53" s="466"/>
      <c r="W53" s="466"/>
    </row>
    <row r="54" s="408" customFormat="1" ht="17.4" spans="1:23">
      <c r="A54" s="428" t="s">
        <v>243</v>
      </c>
      <c r="B54" s="421" t="s">
        <v>262</v>
      </c>
      <c r="C54" s="429" t="s">
        <v>301</v>
      </c>
      <c r="D54" s="421" t="s">
        <v>266</v>
      </c>
      <c r="E54" s="430"/>
      <c r="F54" s="430">
        <v>127334.833333333</v>
      </c>
      <c r="G54" s="430"/>
      <c r="H54" s="430"/>
      <c r="I54" s="450"/>
      <c r="J54" s="451">
        <v>0.0959327588341182</v>
      </c>
      <c r="K54" s="451">
        <v>0.10776734930129</v>
      </c>
      <c r="L54" s="451">
        <v>0.0960963237809398</v>
      </c>
      <c r="M54" s="452"/>
      <c r="N54" s="451"/>
      <c r="O54" s="430"/>
      <c r="P54" s="531" t="str">
        <f t="array" ref="P54">INDEX(正厂竞争者数据汇总!I:I,MATCH($A$48&amp;B54,正厂竞争者数据汇总!A:A&amp;正厂竞争者数据汇总!D:D,0))</f>
        <v>变为精确运费</v>
      </c>
      <c r="Q54" s="429"/>
      <c r="R54" s="421"/>
      <c r="S54" s="472"/>
      <c r="T54" s="466"/>
      <c r="U54" s="466"/>
      <c r="V54" s="466"/>
      <c r="W54" s="466"/>
    </row>
    <row r="55" s="408" customFormat="1" ht="17.4" spans="1:23">
      <c r="A55" s="428" t="s">
        <v>243</v>
      </c>
      <c r="B55" s="421" t="s">
        <v>265</v>
      </c>
      <c r="C55" s="429" t="s">
        <v>301</v>
      </c>
      <c r="D55" s="421" t="s">
        <v>266</v>
      </c>
      <c r="E55" s="430"/>
      <c r="F55" s="430">
        <v>85083.3333333333</v>
      </c>
      <c r="G55" s="430"/>
      <c r="H55" s="430"/>
      <c r="I55" s="450"/>
      <c r="J55" s="451">
        <v>0.0641009116186033</v>
      </c>
      <c r="K55" s="451">
        <v>0.0651731652953302</v>
      </c>
      <c r="L55" s="451">
        <v>0.0750862337782365</v>
      </c>
      <c r="M55" s="452"/>
      <c r="N55" s="451"/>
      <c r="O55" s="430"/>
      <c r="P55" s="531" t="str">
        <f t="array" ref="P55">INDEX(正厂竞争者数据汇总!I:I,MATCH($A$48&amp;B55,正厂竞争者数据汇总!A:A&amp;正厂竞争者数据汇总!D:D,0))</f>
        <v>因MS大于5%，202305重新加入MS计算基准</v>
      </c>
      <c r="Q55" s="429"/>
      <c r="R55" s="421"/>
      <c r="S55" s="472"/>
      <c r="T55" s="466"/>
      <c r="U55" s="466"/>
      <c r="V55" s="466"/>
      <c r="W55" s="466"/>
    </row>
    <row r="56" s="408" customFormat="1" ht="17.4" spans="1:23">
      <c r="A56" s="428" t="s">
        <v>230</v>
      </c>
      <c r="B56" s="421" t="s">
        <v>267</v>
      </c>
      <c r="C56" s="429" t="s">
        <v>301</v>
      </c>
      <c r="D56" s="421" t="s">
        <v>58</v>
      </c>
      <c r="E56" s="430"/>
      <c r="F56" s="430">
        <v>63237.25</v>
      </c>
      <c r="G56" s="430"/>
      <c r="H56" s="430"/>
      <c r="I56" s="450"/>
      <c r="J56" s="451">
        <v>0.047642296257632</v>
      </c>
      <c r="K56" s="451">
        <v>0.0511062582609847</v>
      </c>
      <c r="L56" s="451">
        <v>0.0612153716783291</v>
      </c>
      <c r="M56" s="452"/>
      <c r="N56" s="451"/>
      <c r="O56" s="430"/>
      <c r="P56" s="531" t="str">
        <f t="array" ref="P56">INDEX(正厂竞争者数据汇总!I:I,MATCH($A$48&amp;B56,正厂竞争者数据汇总!A:A&amp;正厂竞争者数据汇总!D:D,0))</f>
        <v>2022年1月 新加入 CompetitorSites</v>
      </c>
      <c r="Q56" s="429"/>
      <c r="R56" s="421"/>
      <c r="S56" s="472"/>
      <c r="T56" s="466"/>
      <c r="U56" s="466"/>
      <c r="V56" s="466"/>
      <c r="W56" s="466"/>
    </row>
    <row r="57" s="410" customFormat="1" spans="1:23">
      <c r="A57" s="428"/>
      <c r="B57" s="431"/>
      <c r="C57" s="429"/>
      <c r="D57" s="421"/>
      <c r="E57" s="430"/>
      <c r="F57" s="430"/>
      <c r="G57" s="430"/>
      <c r="H57" s="430"/>
      <c r="I57" s="453"/>
      <c r="J57" s="451"/>
      <c r="K57" s="451"/>
      <c r="L57" s="451"/>
      <c r="M57" s="451"/>
      <c r="N57" s="455"/>
      <c r="O57" s="436"/>
      <c r="P57" s="531"/>
      <c r="Q57" s="434"/>
      <c r="R57" s="435"/>
      <c r="S57" s="473"/>
      <c r="T57" s="477"/>
      <c r="U57" s="466"/>
      <c r="V57" s="435"/>
      <c r="W57" s="435"/>
    </row>
    <row r="58" s="408" customFormat="1" spans="1:23">
      <c r="A58" s="428"/>
      <c r="B58" s="421"/>
      <c r="C58" s="439"/>
      <c r="D58" s="421"/>
      <c r="E58" s="430"/>
      <c r="F58" s="430">
        <v>1327334.21701667</v>
      </c>
      <c r="G58" s="430">
        <v>1468579.74166667</v>
      </c>
      <c r="H58" s="430">
        <v>1519526.8275</v>
      </c>
      <c r="I58" s="453">
        <v>-0.096178314763968</v>
      </c>
      <c r="J58" s="430"/>
      <c r="K58" s="430"/>
      <c r="L58" s="430"/>
      <c r="M58" s="451"/>
      <c r="N58" s="451"/>
      <c r="O58" s="430"/>
      <c r="P58" s="531"/>
      <c r="Q58" s="429"/>
      <c r="R58" s="421"/>
      <c r="S58" s="473"/>
      <c r="T58" s="466"/>
      <c r="U58" s="466"/>
      <c r="V58" s="421"/>
      <c r="W58" s="421"/>
    </row>
    <row r="59" s="408" customFormat="1" spans="1:23">
      <c r="A59" s="428"/>
      <c r="B59" s="421"/>
      <c r="C59" s="439"/>
      <c r="D59" s="421"/>
      <c r="E59" s="430"/>
      <c r="F59" s="430"/>
      <c r="G59" s="430"/>
      <c r="H59" s="430"/>
      <c r="I59" s="453"/>
      <c r="J59" s="430"/>
      <c r="K59" s="430"/>
      <c r="L59" s="430"/>
      <c r="M59" s="451"/>
      <c r="N59" s="451"/>
      <c r="O59" s="430"/>
      <c r="P59" s="531"/>
      <c r="Q59" s="429"/>
      <c r="R59" s="421"/>
      <c r="S59" s="473"/>
      <c r="T59" s="466"/>
      <c r="U59" s="466"/>
      <c r="V59" s="421"/>
      <c r="W59" s="421"/>
    </row>
    <row r="60" s="408" customFormat="1" ht="17.4" spans="1:23">
      <c r="A60" s="418" t="s">
        <v>274</v>
      </c>
      <c r="B60" s="419"/>
      <c r="C60" s="420"/>
      <c r="D60" s="421"/>
      <c r="E60" s="422" t="s">
        <v>202</v>
      </c>
      <c r="F60" s="422"/>
      <c r="G60" s="422"/>
      <c r="H60" s="422"/>
      <c r="I60" s="422"/>
      <c r="J60" s="422"/>
      <c r="K60" s="422"/>
      <c r="L60" s="422"/>
      <c r="M60" s="443"/>
      <c r="N60" s="444"/>
      <c r="O60" s="422"/>
      <c r="P60" s="531"/>
      <c r="Q60" s="465"/>
      <c r="R60" s="424"/>
      <c r="S60" s="473"/>
      <c r="T60" s="467"/>
      <c r="U60" s="467"/>
      <c r="V60" s="467"/>
      <c r="W60" s="467"/>
    </row>
    <row r="61" s="409" customFormat="1" ht="48.6" spans="1:23">
      <c r="A61" s="423" t="s">
        <v>206</v>
      </c>
      <c r="B61" s="424" t="s">
        <v>207</v>
      </c>
      <c r="C61" s="425" t="s">
        <v>208</v>
      </c>
      <c r="D61" s="424" t="s">
        <v>209</v>
      </c>
      <c r="E61" s="426" t="s">
        <v>210</v>
      </c>
      <c r="F61" s="427" t="s">
        <v>408</v>
      </c>
      <c r="G61" s="427" t="s">
        <v>212</v>
      </c>
      <c r="H61" s="427" t="s">
        <v>397</v>
      </c>
      <c r="I61" s="427" t="s">
        <v>214</v>
      </c>
      <c r="J61" s="446" t="s">
        <v>399</v>
      </c>
      <c r="K61" s="446" t="s">
        <v>403</v>
      </c>
      <c r="L61" s="446" t="s">
        <v>409</v>
      </c>
      <c r="M61" s="447" t="s">
        <v>218</v>
      </c>
      <c r="N61" s="448" t="s">
        <v>219</v>
      </c>
      <c r="O61" s="449" t="s">
        <v>220</v>
      </c>
      <c r="P61" s="530" t="s">
        <v>221</v>
      </c>
      <c r="Q61" s="469" t="s">
        <v>222</v>
      </c>
      <c r="R61" s="426" t="s">
        <v>223</v>
      </c>
      <c r="S61" s="470" t="s">
        <v>224</v>
      </c>
      <c r="T61" s="467" t="s">
        <v>225</v>
      </c>
      <c r="U61" s="470" t="s">
        <v>226</v>
      </c>
      <c r="V61" s="467"/>
      <c r="W61" s="467"/>
    </row>
    <row r="62" s="410" customFormat="1" ht="17.4" spans="1:23">
      <c r="A62" s="432" t="s">
        <v>227</v>
      </c>
      <c r="B62" s="432" t="s">
        <v>157</v>
      </c>
      <c r="C62" s="434" t="s">
        <v>410</v>
      </c>
      <c r="D62" s="435" t="s">
        <v>49</v>
      </c>
      <c r="E62" s="436">
        <f>VLOOKUP(B62,正厂竞争者数据汇总!D:H,4,FALSE)</f>
        <v>0</v>
      </c>
      <c r="F62" s="436">
        <v>365405.583333333</v>
      </c>
      <c r="G62" s="436">
        <v>278909.416666667</v>
      </c>
      <c r="H62" s="436">
        <v>329867.416666667</v>
      </c>
      <c r="I62" s="454">
        <v>0.310122790762709</v>
      </c>
      <c r="J62" s="457">
        <v>0.441652992912969</v>
      </c>
      <c r="K62" s="457">
        <v>0.455972350540081</v>
      </c>
      <c r="L62" s="457">
        <v>0.46351068070417</v>
      </c>
      <c r="M62" s="456">
        <f>J62-K62</f>
        <v>-0.014319357627112</v>
      </c>
      <c r="N62" s="457" t="str">
        <f>IFERROR(O62*0.5/$F$62,"")</f>
        <v/>
      </c>
      <c r="O62" s="436" t="s">
        <v>180</v>
      </c>
      <c r="P62" s="531">
        <f t="array" ref="P62">INDEX(正厂竞争者数据汇总!I:I,MATCH($A$60&amp;B62,正厂竞争者数据汇总!A:A&amp;正厂竞争者数据汇总!D:D,0))</f>
        <v>0</v>
      </c>
      <c r="Q62" s="434" t="s">
        <v>275</v>
      </c>
      <c r="R62" s="435" t="s">
        <v>229</v>
      </c>
      <c r="S62" s="476"/>
      <c r="T62" s="477"/>
      <c r="U62" s="477"/>
      <c r="V62" s="435"/>
      <c r="W62" s="435"/>
    </row>
    <row r="63" s="408" customFormat="1" ht="17.4" spans="1:23">
      <c r="A63" s="428" t="s">
        <v>230</v>
      </c>
      <c r="B63" s="421" t="s">
        <v>276</v>
      </c>
      <c r="C63" s="429" t="s">
        <v>247</v>
      </c>
      <c r="D63" s="421" t="s">
        <v>234</v>
      </c>
      <c r="E63" s="430"/>
      <c r="F63" s="430">
        <v>237423</v>
      </c>
      <c r="G63" s="430"/>
      <c r="H63" s="430"/>
      <c r="I63" s="450"/>
      <c r="J63" s="451">
        <v>0.286964905078423</v>
      </c>
      <c r="K63" s="451">
        <v>0.287642764187628</v>
      </c>
      <c r="L63" s="451">
        <v>0.262153114750469</v>
      </c>
      <c r="M63" s="452"/>
      <c r="N63" s="451"/>
      <c r="O63" s="430"/>
      <c r="P63" s="531" t="str">
        <f t="array" ref="P63">INDEX(正厂竞争者数据汇总!I:I,MATCH($A$60&amp;B63,正厂竞争者数据汇总!A:A&amp;正厂竞争者数据汇总!D:D,0))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63" s="429"/>
      <c r="R63" s="421"/>
      <c r="S63" s="472"/>
      <c r="T63" s="466"/>
      <c r="U63" s="466"/>
      <c r="V63" s="466"/>
      <c r="W63" s="466"/>
    </row>
    <row r="64" s="408" customFormat="1" spans="1:23">
      <c r="A64" s="428" t="s">
        <v>230</v>
      </c>
      <c r="B64" s="421" t="s">
        <v>278</v>
      </c>
      <c r="C64" s="429" t="s">
        <v>65</v>
      </c>
      <c r="D64" s="421" t="s">
        <v>59</v>
      </c>
      <c r="E64" s="430"/>
      <c r="F64" s="430">
        <v>106224.666666667</v>
      </c>
      <c r="G64" s="430"/>
      <c r="H64" s="430"/>
      <c r="I64" s="450"/>
      <c r="J64" s="451">
        <v>0.128390052299007</v>
      </c>
      <c r="K64" s="451">
        <v>0.134497246676038</v>
      </c>
      <c r="L64" s="451">
        <v>0.133077331188923</v>
      </c>
      <c r="M64" s="452"/>
      <c r="N64" s="451"/>
      <c r="O64" s="430"/>
      <c r="P64" s="531" t="str">
        <f t="array" ref="P64">INDEX(正厂竞争者数据汇总!I:I,MATCH($A$60&amp;B64,正厂竞争者数据汇总!A:A&amp;正厂竞争者数据汇总!D:D,0))</f>
        <v>2020年11月新增竞争者</v>
      </c>
      <c r="Q64" s="429"/>
      <c r="R64" s="421"/>
      <c r="S64" s="472"/>
      <c r="T64" s="466"/>
      <c r="U64" s="466"/>
      <c r="V64" s="466"/>
      <c r="W64" s="466"/>
    </row>
    <row r="65" s="408" customFormat="1" ht="17.4" spans="1:23">
      <c r="A65" s="428" t="s">
        <v>243</v>
      </c>
      <c r="B65" s="421" t="s">
        <v>277</v>
      </c>
      <c r="C65" s="429" t="s">
        <v>247</v>
      </c>
      <c r="D65" s="421" t="s">
        <v>266</v>
      </c>
      <c r="E65" s="430"/>
      <c r="F65" s="430">
        <v>83803.6774666666</v>
      </c>
      <c r="G65" s="430"/>
      <c r="H65" s="430"/>
      <c r="I65" s="450"/>
      <c r="J65" s="451">
        <v>0.101290584102824</v>
      </c>
      <c r="K65" s="451">
        <v>0.0837378541062879</v>
      </c>
      <c r="L65" s="451">
        <v>0.101766445620623</v>
      </c>
      <c r="M65" s="452"/>
      <c r="N65" s="451"/>
      <c r="O65" s="430"/>
      <c r="P65" s="531">
        <f t="array" ref="P65">INDEX(正厂竞争者数据汇总!I:I,MATCH($A$60&amp;B65,正厂竞争者数据汇总!A:A&amp;正厂竞争者数据汇总!D:D,0))</f>
        <v>0</v>
      </c>
      <c r="Q65" s="429"/>
      <c r="R65" s="421"/>
      <c r="S65" s="472"/>
      <c r="T65" s="466"/>
      <c r="U65" s="466"/>
      <c r="V65" s="466"/>
      <c r="W65" s="466"/>
    </row>
    <row r="66" s="408" customFormat="1" ht="17.4" spans="1:23">
      <c r="A66" s="428" t="s">
        <v>230</v>
      </c>
      <c r="B66" s="421" t="s">
        <v>279</v>
      </c>
      <c r="C66" s="429" t="s">
        <v>247</v>
      </c>
      <c r="D66" s="421" t="s">
        <v>234</v>
      </c>
      <c r="E66" s="430"/>
      <c r="F66" s="430">
        <v>34502.0833333334</v>
      </c>
      <c r="G66" s="430"/>
      <c r="H66" s="430"/>
      <c r="I66" s="450"/>
      <c r="J66" s="451">
        <v>0.0417014656067772</v>
      </c>
      <c r="K66" s="451">
        <v>0.0381497844899645</v>
      </c>
      <c r="L66" s="451">
        <v>0.0394924277358157</v>
      </c>
      <c r="M66" s="452"/>
      <c r="N66" s="451"/>
      <c r="O66" s="430"/>
      <c r="P66" s="531" t="str">
        <f t="array" ref="P66">INDEX(正厂竞争者数据汇总!I:I,MATCH($A$60&amp;B66,正厂竞争者数据汇总!A:A&amp;正厂竞争者数据汇总!D:D,0))</f>
        <v>同时经营多品牌零件，semrush流量折算比例：Ford:0%, GM:36%, Honda:25%, Hyundai:0%, Infiniti:1%, Kia:1%, Lexus:4%, Mopar:0%, Nissan:25%, Subaru:5%, Toyota:2%</v>
      </c>
      <c r="Q66" s="429"/>
      <c r="R66" s="421"/>
      <c r="S66" s="472"/>
      <c r="T66" s="466"/>
      <c r="U66" s="466"/>
      <c r="V66" s="466"/>
      <c r="W66" s="466"/>
    </row>
    <row r="67" s="408" customFormat="1" spans="1:23">
      <c r="A67" s="428"/>
      <c r="B67" s="431"/>
      <c r="C67" s="429"/>
      <c r="D67" s="421"/>
      <c r="E67" s="430"/>
      <c r="F67" s="430"/>
      <c r="G67" s="430"/>
      <c r="H67" s="430"/>
      <c r="I67" s="453"/>
      <c r="J67" s="451"/>
      <c r="K67" s="451"/>
      <c r="L67" s="451"/>
      <c r="M67" s="451"/>
      <c r="N67" s="451"/>
      <c r="O67" s="430"/>
      <c r="P67" s="531"/>
      <c r="Q67" s="429"/>
      <c r="R67" s="435"/>
      <c r="S67" s="473"/>
      <c r="T67" s="466"/>
      <c r="U67" s="466"/>
      <c r="V67" s="421"/>
      <c r="W67" s="421"/>
    </row>
    <row r="68" s="408" customFormat="1" spans="1:23">
      <c r="A68" s="428"/>
      <c r="B68" s="421"/>
      <c r="C68" s="439"/>
      <c r="D68" s="421"/>
      <c r="E68" s="430"/>
      <c r="F68" s="430">
        <v>827359.0108</v>
      </c>
      <c r="G68" s="430">
        <v>704838.916666666</v>
      </c>
      <c r="H68" s="430">
        <v>764789.250000002</v>
      </c>
      <c r="I68" s="453">
        <v>0.173827084793725</v>
      </c>
      <c r="J68" s="490"/>
      <c r="K68" s="480"/>
      <c r="L68" s="480"/>
      <c r="M68" s="451"/>
      <c r="N68" s="451">
        <f>SUM(N62:N66)</f>
        <v>0</v>
      </c>
      <c r="O68" s="430"/>
      <c r="P68" s="531"/>
      <c r="Q68" s="429"/>
      <c r="R68" s="421"/>
      <c r="S68" s="473"/>
      <c r="T68" s="466"/>
      <c r="U68" s="466"/>
      <c r="V68" s="421"/>
      <c r="W68" s="421"/>
    </row>
    <row r="69" s="408" customFormat="1" spans="1:23">
      <c r="A69" s="428"/>
      <c r="B69" s="421"/>
      <c r="C69" s="439"/>
      <c r="D69" s="421"/>
      <c r="E69" s="430"/>
      <c r="F69" s="430"/>
      <c r="G69" s="430"/>
      <c r="H69" s="430"/>
      <c r="I69" s="453"/>
      <c r="J69" s="430"/>
      <c r="K69" s="430"/>
      <c r="L69" s="430"/>
      <c r="M69" s="451"/>
      <c r="N69" s="459"/>
      <c r="O69" s="430"/>
      <c r="P69" s="531"/>
      <c r="Q69" s="429"/>
      <c r="R69" s="421"/>
      <c r="S69" s="473"/>
      <c r="T69" s="466"/>
      <c r="U69" s="466"/>
      <c r="V69" s="421"/>
      <c r="W69" s="421"/>
    </row>
    <row r="70" s="408" customFormat="1" ht="17.4" spans="1:23">
      <c r="A70" s="418" t="s">
        <v>159</v>
      </c>
      <c r="B70" s="419"/>
      <c r="C70" s="420"/>
      <c r="D70" s="421"/>
      <c r="E70" s="422" t="s">
        <v>202</v>
      </c>
      <c r="F70" s="422"/>
      <c r="G70" s="422"/>
      <c r="H70" s="422"/>
      <c r="I70" s="422"/>
      <c r="J70" s="422"/>
      <c r="K70" s="422"/>
      <c r="L70" s="422"/>
      <c r="M70" s="443"/>
      <c r="N70" s="444"/>
      <c r="O70" s="422"/>
      <c r="P70" s="531"/>
      <c r="Q70" s="465"/>
      <c r="R70" s="424"/>
      <c r="S70" s="473"/>
      <c r="T70" s="467"/>
      <c r="U70" s="467"/>
      <c r="V70" s="467"/>
      <c r="W70" s="467"/>
    </row>
    <row r="71" s="409" customFormat="1" ht="48.6" spans="1:23">
      <c r="A71" s="423" t="s">
        <v>206</v>
      </c>
      <c r="B71" s="424" t="s">
        <v>207</v>
      </c>
      <c r="C71" s="425" t="s">
        <v>208</v>
      </c>
      <c r="D71" s="424" t="s">
        <v>209</v>
      </c>
      <c r="E71" s="426" t="s">
        <v>210</v>
      </c>
      <c r="F71" s="427" t="s">
        <v>408</v>
      </c>
      <c r="G71" s="427" t="s">
        <v>212</v>
      </c>
      <c r="H71" s="427" t="s">
        <v>397</v>
      </c>
      <c r="I71" s="427" t="s">
        <v>214</v>
      </c>
      <c r="J71" s="446" t="s">
        <v>399</v>
      </c>
      <c r="K71" s="446" t="s">
        <v>403</v>
      </c>
      <c r="L71" s="446" t="s">
        <v>409</v>
      </c>
      <c r="M71" s="447" t="s">
        <v>218</v>
      </c>
      <c r="N71" s="448" t="s">
        <v>219</v>
      </c>
      <c r="O71" s="449" t="s">
        <v>220</v>
      </c>
      <c r="P71" s="530" t="s">
        <v>221</v>
      </c>
      <c r="Q71" s="469" t="s">
        <v>222</v>
      </c>
      <c r="R71" s="426" t="s">
        <v>223</v>
      </c>
      <c r="S71" s="470" t="s">
        <v>224</v>
      </c>
      <c r="T71" s="467" t="s">
        <v>225</v>
      </c>
      <c r="U71" s="470" t="s">
        <v>226</v>
      </c>
      <c r="V71" s="467"/>
      <c r="W71" s="467"/>
    </row>
    <row r="72" s="410" customFormat="1" ht="17.4" spans="1:23">
      <c r="A72" s="432" t="s">
        <v>227</v>
      </c>
      <c r="B72" s="432" t="s">
        <v>160</v>
      </c>
      <c r="C72" s="434" t="s">
        <v>410</v>
      </c>
      <c r="D72" s="435" t="s">
        <v>49</v>
      </c>
      <c r="E72" s="436">
        <f>VLOOKUP(B72,正厂竞争者数据汇总!D:H,4,FALSE)</f>
        <v>0</v>
      </c>
      <c r="F72" s="436">
        <v>356727.5</v>
      </c>
      <c r="G72" s="436">
        <v>369856.833333333</v>
      </c>
      <c r="H72" s="436">
        <v>370810.25</v>
      </c>
      <c r="I72" s="454">
        <v>-0.0354984203347143</v>
      </c>
      <c r="J72" s="455">
        <v>0.549402843724839</v>
      </c>
      <c r="K72" s="455">
        <v>0.550208078114157</v>
      </c>
      <c r="L72" s="455">
        <v>0.551053400370037</v>
      </c>
      <c r="M72" s="456">
        <f>J72-K72</f>
        <v>-0.000805234389317899</v>
      </c>
      <c r="N72" s="455" t="str">
        <f>IFERROR(O72*0.5/$F$72,"")</f>
        <v/>
      </c>
      <c r="O72" s="436" t="s">
        <v>180</v>
      </c>
      <c r="P72" s="531">
        <f t="array" ref="P72">INDEX(正厂竞争者数据汇总!I:I,MATCH($A$70&amp;B72,正厂竞争者数据汇总!A:A&amp;正厂竞争者数据汇总!D:D,0))</f>
        <v>0</v>
      </c>
      <c r="Q72" s="434" t="s">
        <v>280</v>
      </c>
      <c r="R72" s="435" t="s">
        <v>229</v>
      </c>
      <c r="S72" s="476"/>
      <c r="T72" s="477"/>
      <c r="U72" s="477"/>
      <c r="V72" s="435"/>
      <c r="W72" s="435"/>
    </row>
    <row r="73" s="408" customFormat="1" ht="17.4" spans="1:23">
      <c r="A73" s="428" t="s">
        <v>230</v>
      </c>
      <c r="B73" s="421" t="s">
        <v>255</v>
      </c>
      <c r="C73" s="429" t="s">
        <v>247</v>
      </c>
      <c r="D73" s="421" t="s">
        <v>419</v>
      </c>
      <c r="E73" s="430"/>
      <c r="F73" s="430">
        <v>119863.123333333</v>
      </c>
      <c r="G73" s="430"/>
      <c r="H73" s="430"/>
      <c r="I73" s="450"/>
      <c r="J73" s="451">
        <v>0.18460348814452</v>
      </c>
      <c r="K73" s="451">
        <v>0.18362825543207</v>
      </c>
      <c r="L73" s="451">
        <v>0.148118319589145</v>
      </c>
      <c r="M73" s="452"/>
      <c r="N73" s="451"/>
      <c r="O73" s="430"/>
      <c r="P73" s="531" t="str">
        <f t="array" ref="P73">INDEX(正厂竞争者数据汇总!I:I,MATCH($A$70&amp;B73,正厂竞争者数据汇总!A:A&amp;正厂竞争者数据汇总!D:D,0))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73" s="429"/>
      <c r="R73" s="421"/>
      <c r="S73" s="472"/>
      <c r="T73" s="466"/>
      <c r="U73" s="466"/>
      <c r="V73" s="466"/>
      <c r="W73" s="466"/>
    </row>
    <row r="74" s="408" customFormat="1" ht="17.4" spans="1:23">
      <c r="A74" s="428" t="s">
        <v>230</v>
      </c>
      <c r="B74" s="421" t="s">
        <v>282</v>
      </c>
      <c r="C74" s="429" t="s">
        <v>301</v>
      </c>
      <c r="D74" s="421" t="s">
        <v>250</v>
      </c>
      <c r="E74" s="430"/>
      <c r="F74" s="430">
        <v>92131.5614666667</v>
      </c>
      <c r="G74" s="430"/>
      <c r="H74" s="430"/>
      <c r="I74" s="450"/>
      <c r="J74" s="451">
        <v>0.141893579459381</v>
      </c>
      <c r="K74" s="451">
        <v>0.141335426543904</v>
      </c>
      <c r="L74" s="451">
        <v>0.124936813503818</v>
      </c>
      <c r="M74" s="452"/>
      <c r="N74" s="451"/>
      <c r="O74" s="430"/>
      <c r="P74" s="531" t="str">
        <f t="array" ref="P74">INDEX(正厂竞争者数据汇总!I:I,MATCH($A$70&amp;B74,正厂竞争者数据汇总!A:A&amp;正厂竞争者数据汇总!D:D,0))</f>
        <v>2021年08月新增竞争者</v>
      </c>
      <c r="Q74" s="429"/>
      <c r="R74" s="421"/>
      <c r="S74" s="472"/>
      <c r="T74" s="466"/>
      <c r="U74" s="466"/>
      <c r="V74" s="466"/>
      <c r="W74" s="466"/>
    </row>
    <row r="75" s="408" customFormat="1" ht="17.4" spans="1:23">
      <c r="A75" s="428" t="s">
        <v>230</v>
      </c>
      <c r="B75" s="421" t="s">
        <v>281</v>
      </c>
      <c r="C75" s="429" t="s">
        <v>247</v>
      </c>
      <c r="D75" s="421" t="s">
        <v>234</v>
      </c>
      <c r="E75" s="430"/>
      <c r="F75" s="430">
        <v>65572.7333333333</v>
      </c>
      <c r="G75" s="430"/>
      <c r="H75" s="430"/>
      <c r="I75" s="450"/>
      <c r="J75" s="451">
        <v>0.100989820420752</v>
      </c>
      <c r="K75" s="451">
        <v>0.092031740331312</v>
      </c>
      <c r="L75" s="451">
        <v>0.0858132424053407</v>
      </c>
      <c r="M75" s="452"/>
      <c r="N75" s="451"/>
      <c r="O75" s="430"/>
      <c r="P75" s="531" t="str">
        <f t="array" ref="P75">INDEX(正厂竞争者数据汇总!I:I,MATCH($A$70&amp;B75,正厂竞争者数据汇总!A:A&amp;正厂竞争者数据汇总!D:D,0))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75" s="429"/>
      <c r="R75" s="421"/>
      <c r="S75" s="472"/>
      <c r="T75" s="466"/>
      <c r="U75" s="466"/>
      <c r="V75" s="466"/>
      <c r="W75" s="466"/>
    </row>
    <row r="76" s="408" customFormat="1" spans="1:23">
      <c r="A76" s="428"/>
      <c r="B76" s="421"/>
      <c r="C76" s="429"/>
      <c r="D76" s="421"/>
      <c r="E76" s="430"/>
      <c r="F76" s="430"/>
      <c r="G76" s="430"/>
      <c r="H76" s="430"/>
      <c r="I76" s="453"/>
      <c r="J76" s="451"/>
      <c r="K76" s="451"/>
      <c r="L76" s="451"/>
      <c r="M76" s="451"/>
      <c r="N76" s="451"/>
      <c r="O76" s="430"/>
      <c r="P76" s="531"/>
      <c r="Q76" s="429"/>
      <c r="R76" s="421"/>
      <c r="S76" s="473"/>
      <c r="T76" s="466"/>
      <c r="U76" s="466"/>
      <c r="V76" s="421"/>
      <c r="W76" s="421"/>
    </row>
    <row r="77" s="408" customFormat="1" spans="1:23">
      <c r="A77" s="428"/>
      <c r="B77" s="421"/>
      <c r="C77" s="429"/>
      <c r="D77" s="421"/>
      <c r="E77" s="430"/>
      <c r="F77" s="430">
        <v>649300.425133333</v>
      </c>
      <c r="G77" s="430">
        <v>675366.255</v>
      </c>
      <c r="H77" s="430">
        <v>656929.13</v>
      </c>
      <c r="I77" s="453">
        <v>-0.0385951025442736</v>
      </c>
      <c r="J77" s="451"/>
      <c r="K77" s="451"/>
      <c r="L77" s="451"/>
      <c r="M77" s="451"/>
      <c r="N77" s="451">
        <f>SUM(N72:N75)</f>
        <v>0</v>
      </c>
      <c r="O77" s="430"/>
      <c r="P77" s="531"/>
      <c r="Q77" s="429"/>
      <c r="R77" s="421"/>
      <c r="S77" s="473"/>
      <c r="T77" s="466"/>
      <c r="U77" s="466"/>
      <c r="V77" s="421"/>
      <c r="W77" s="421"/>
    </row>
    <row r="78" s="408" customFormat="1" spans="1:23">
      <c r="A78" s="428"/>
      <c r="B78" s="421"/>
      <c r="C78" s="429"/>
      <c r="D78" s="421"/>
      <c r="E78" s="430"/>
      <c r="F78" s="430"/>
      <c r="G78" s="430"/>
      <c r="H78" s="430"/>
      <c r="I78" s="453"/>
      <c r="J78" s="451"/>
      <c r="K78" s="451"/>
      <c r="L78" s="451"/>
      <c r="M78" s="451"/>
      <c r="N78" s="451"/>
      <c r="O78" s="430"/>
      <c r="P78" s="531"/>
      <c r="Q78" s="429"/>
      <c r="R78" s="421"/>
      <c r="S78" s="473"/>
      <c r="T78" s="466"/>
      <c r="U78" s="466"/>
      <c r="V78" s="421"/>
      <c r="W78" s="421"/>
    </row>
    <row r="79" s="408" customFormat="1" ht="17.4" spans="1:23">
      <c r="A79" s="418" t="s">
        <v>162</v>
      </c>
      <c r="B79" s="419"/>
      <c r="C79" s="420"/>
      <c r="D79" s="421"/>
      <c r="E79" s="422" t="s">
        <v>202</v>
      </c>
      <c r="F79" s="422"/>
      <c r="G79" s="422"/>
      <c r="H79" s="422"/>
      <c r="I79" s="422"/>
      <c r="J79" s="422"/>
      <c r="K79" s="422"/>
      <c r="L79" s="422"/>
      <c r="M79" s="443"/>
      <c r="N79" s="444"/>
      <c r="O79" s="422"/>
      <c r="P79" s="531"/>
      <c r="Q79" s="465"/>
      <c r="R79" s="424"/>
      <c r="S79" s="473"/>
      <c r="T79" s="467"/>
      <c r="U79" s="467"/>
      <c r="V79" s="467"/>
      <c r="W79" s="467"/>
    </row>
    <row r="80" s="409" customFormat="1" ht="48.6" spans="1:23">
      <c r="A80" s="423" t="s">
        <v>206</v>
      </c>
      <c r="B80" s="424" t="s">
        <v>207</v>
      </c>
      <c r="C80" s="425" t="s">
        <v>208</v>
      </c>
      <c r="D80" s="424" t="s">
        <v>209</v>
      </c>
      <c r="E80" s="426" t="s">
        <v>210</v>
      </c>
      <c r="F80" s="427" t="s">
        <v>408</v>
      </c>
      <c r="G80" s="427" t="s">
        <v>212</v>
      </c>
      <c r="H80" s="427" t="s">
        <v>397</v>
      </c>
      <c r="I80" s="427" t="s">
        <v>214</v>
      </c>
      <c r="J80" s="446" t="s">
        <v>399</v>
      </c>
      <c r="K80" s="446" t="s">
        <v>403</v>
      </c>
      <c r="L80" s="446" t="s">
        <v>409</v>
      </c>
      <c r="M80" s="447" t="s">
        <v>218</v>
      </c>
      <c r="N80" s="448" t="s">
        <v>219</v>
      </c>
      <c r="O80" s="449" t="s">
        <v>220</v>
      </c>
      <c r="P80" s="530" t="s">
        <v>221</v>
      </c>
      <c r="Q80" s="469" t="s">
        <v>222</v>
      </c>
      <c r="R80" s="426" t="s">
        <v>223</v>
      </c>
      <c r="S80" s="470" t="s">
        <v>224</v>
      </c>
      <c r="T80" s="467" t="s">
        <v>225</v>
      </c>
      <c r="U80" s="470" t="s">
        <v>226</v>
      </c>
      <c r="V80" s="467"/>
      <c r="W80" s="467"/>
    </row>
    <row r="81" s="410" customFormat="1" ht="17.4" spans="1:23">
      <c r="A81" s="432" t="s">
        <v>227</v>
      </c>
      <c r="B81" s="432" t="s">
        <v>163</v>
      </c>
      <c r="C81" s="434" t="s">
        <v>410</v>
      </c>
      <c r="D81" s="435" t="s">
        <v>49</v>
      </c>
      <c r="E81" s="436">
        <f>VLOOKUP(B81,正厂竞争者数据汇总!D:H,4,FALSE)</f>
        <v>0</v>
      </c>
      <c r="F81" s="436">
        <v>214844.0514</v>
      </c>
      <c r="G81" s="436">
        <v>213503.583333333</v>
      </c>
      <c r="H81" s="436">
        <v>235149.083333333</v>
      </c>
      <c r="I81" s="454">
        <v>0.00627843357820468</v>
      </c>
      <c r="J81" s="457">
        <v>0.42639031764785</v>
      </c>
      <c r="K81" s="457">
        <v>0.436433783334042</v>
      </c>
      <c r="L81" s="457">
        <v>0.413692227726469</v>
      </c>
      <c r="M81" s="456">
        <f>J81-K81</f>
        <v>-0.010043465686192</v>
      </c>
      <c r="N81" s="457" t="str">
        <f>IFERROR(O81*0.5/$F$81,"")</f>
        <v/>
      </c>
      <c r="O81" s="436" t="s">
        <v>180</v>
      </c>
      <c r="P81" s="531">
        <f t="array" ref="P81">INDEX(正厂竞争者数据汇总!I:I,MATCH($A$79&amp;B81,正厂竞争者数据汇总!A:A&amp;正厂竞争者数据汇总!D:D,0))</f>
        <v>0</v>
      </c>
      <c r="Q81" s="434" t="s">
        <v>284</v>
      </c>
      <c r="R81" s="435" t="s">
        <v>229</v>
      </c>
      <c r="S81" s="476"/>
      <c r="T81" s="477"/>
      <c r="U81" s="477"/>
      <c r="V81" s="435"/>
      <c r="W81" s="435"/>
    </row>
    <row r="82" s="408" customFormat="1" ht="17.4" spans="1:23">
      <c r="A82" s="428" t="s">
        <v>230</v>
      </c>
      <c r="B82" s="255" t="s">
        <v>285</v>
      </c>
      <c r="C82" s="429" t="s">
        <v>247</v>
      </c>
      <c r="D82" s="421" t="s">
        <v>58</v>
      </c>
      <c r="E82" s="430"/>
      <c r="F82" s="430">
        <v>63730.1666666667</v>
      </c>
      <c r="G82" s="430"/>
      <c r="H82" s="430"/>
      <c r="I82" s="450"/>
      <c r="J82" s="451">
        <v>0.126482096346981</v>
      </c>
      <c r="K82" s="451">
        <v>0.132207762871105</v>
      </c>
      <c r="L82" s="451">
        <v>0.154535015787596</v>
      </c>
      <c r="M82" s="452"/>
      <c r="N82" s="451"/>
      <c r="O82" s="430"/>
      <c r="P82" s="531">
        <f t="array" ref="P82">INDEX(正厂竞争者数据汇总!I:I,MATCH($A$79&amp;B82,正厂竞争者数据汇总!A:A&amp;正厂竞争者数据汇总!D:D,0))</f>
        <v>0</v>
      </c>
      <c r="Q82" s="429"/>
      <c r="R82" s="421"/>
      <c r="S82" s="472"/>
      <c r="T82" s="466"/>
      <c r="U82" s="466"/>
      <c r="V82" s="466"/>
      <c r="W82" s="466"/>
    </row>
    <row r="83" s="408" customFormat="1" ht="17.4" spans="1:23">
      <c r="A83" s="428" t="s">
        <v>230</v>
      </c>
      <c r="B83" s="421" t="s">
        <v>255</v>
      </c>
      <c r="C83" s="429" t="s">
        <v>247</v>
      </c>
      <c r="D83" s="421" t="s">
        <v>419</v>
      </c>
      <c r="E83" s="430"/>
      <c r="F83" s="430">
        <v>51369.91</v>
      </c>
      <c r="G83" s="430"/>
      <c r="H83" s="430"/>
      <c r="I83" s="450"/>
      <c r="J83" s="451">
        <v>0.101951308866639</v>
      </c>
      <c r="K83" s="451">
        <v>0.0941188564664862</v>
      </c>
      <c r="L83" s="451">
        <v>0.0797607451956466</v>
      </c>
      <c r="M83" s="452"/>
      <c r="N83" s="451"/>
      <c r="O83" s="430"/>
      <c r="P83" s="531" t="str">
        <f t="array" ref="P83">INDEX(正厂竞争者数据汇总!I:I,MATCH($A$79&amp;B83,正厂竞争者数据汇总!A:A&amp;正厂竞争者数据汇总!D:D,0))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83" s="429"/>
      <c r="R83" s="421"/>
      <c r="S83" s="472"/>
      <c r="T83" s="466"/>
      <c r="U83" s="466"/>
      <c r="V83" s="466"/>
      <c r="W83" s="466"/>
    </row>
    <row r="84" s="408" customFormat="1" ht="17.4" spans="1:23">
      <c r="A84" s="428" t="s">
        <v>243</v>
      </c>
      <c r="B84" s="421" t="s">
        <v>290</v>
      </c>
      <c r="C84" s="429" t="s">
        <v>247</v>
      </c>
      <c r="D84" s="421" t="s">
        <v>291</v>
      </c>
      <c r="E84" s="430"/>
      <c r="F84" s="430">
        <v>33629.5</v>
      </c>
      <c r="G84" s="430"/>
      <c r="H84" s="430"/>
      <c r="I84" s="450"/>
      <c r="J84" s="451">
        <v>0.0667427982943836</v>
      </c>
      <c r="K84" s="451">
        <v>0.0689583447179702</v>
      </c>
      <c r="L84" s="451">
        <v>0.0702895154966084</v>
      </c>
      <c r="M84" s="452"/>
      <c r="N84" s="451"/>
      <c r="O84" s="430"/>
      <c r="P84" s="531" t="str">
        <f t="array" ref="P84">INDEX(正厂竞争者数据汇总!I:I,MATCH($A$79&amp;B84,正厂竞争者数据汇总!A:A&amp;正厂竞争者数据汇总!D:D,0))</f>
        <v>2023年2月新增正厂</v>
      </c>
      <c r="Q84" s="429"/>
      <c r="R84" s="421"/>
      <c r="S84" s="472"/>
      <c r="T84" s="466"/>
      <c r="U84" s="466"/>
      <c r="V84" s="466"/>
      <c r="W84" s="466"/>
    </row>
    <row r="85" s="408" customFormat="1" ht="17.4" spans="1:23">
      <c r="A85" s="428" t="s">
        <v>230</v>
      </c>
      <c r="B85" s="421" t="s">
        <v>287</v>
      </c>
      <c r="C85" s="429" t="s">
        <v>247</v>
      </c>
      <c r="D85" s="421" t="s">
        <v>49</v>
      </c>
      <c r="E85" s="430"/>
      <c r="F85" s="430">
        <v>33614.6666666666</v>
      </c>
      <c r="G85" s="430"/>
      <c r="H85" s="430"/>
      <c r="I85" s="450"/>
      <c r="J85" s="451">
        <v>0.0667133593144789</v>
      </c>
      <c r="K85" s="451">
        <v>0.0642052185158447</v>
      </c>
      <c r="L85" s="451">
        <v>0.0580139744972524</v>
      </c>
      <c r="M85" s="452"/>
      <c r="N85" s="451"/>
      <c r="O85" s="430"/>
      <c r="P85" s="531">
        <f t="array" ref="P85">INDEX(正厂竞争者数据汇总!I:I,MATCH($A$79&amp;B85,正厂竞争者数据汇总!A:A&amp;正厂竞争者数据汇总!D:D,0))</f>
        <v>0</v>
      </c>
      <c r="Q85" s="429"/>
      <c r="R85" s="421"/>
      <c r="S85" s="472"/>
      <c r="T85" s="466"/>
      <c r="U85" s="466"/>
      <c r="V85" s="466"/>
      <c r="W85" s="466"/>
    </row>
    <row r="86" s="408" customFormat="1" ht="17.4" spans="1:23">
      <c r="A86" s="428" t="s">
        <v>230</v>
      </c>
      <c r="B86" s="421" t="s">
        <v>292</v>
      </c>
      <c r="C86" s="429" t="s">
        <v>247</v>
      </c>
      <c r="D86" s="421" t="s">
        <v>250</v>
      </c>
      <c r="E86" s="430"/>
      <c r="F86" s="430">
        <v>30548.5958333334</v>
      </c>
      <c r="G86" s="430"/>
      <c r="H86" s="430"/>
      <c r="I86" s="450"/>
      <c r="J86" s="451">
        <v>0.060628280821327</v>
      </c>
      <c r="K86" s="451">
        <v>0.0636871839833638</v>
      </c>
      <c r="L86" s="451">
        <v>0.0577882744919931</v>
      </c>
      <c r="M86" s="452"/>
      <c r="N86" s="451"/>
      <c r="O86" s="430"/>
      <c r="P86" s="531" t="str">
        <f t="array" ref="P86">INDEX(正厂竞争者数据汇总!I:I,MATCH($A$79&amp;B86,正厂竞争者数据汇总!A:A&amp;正厂竞争者数据汇总!D:D,0))</f>
        <v>同时经营多品牌，流量折算比例为Ford:23%,GM:23%,Infiniti:0%,Kia:13%,Mopar:31%,Nissan:10%</v>
      </c>
      <c r="Q86" s="429"/>
      <c r="R86" s="421"/>
      <c r="S86" s="472"/>
      <c r="T86" s="466"/>
      <c r="U86" s="466"/>
      <c r="V86" s="466"/>
      <c r="W86" s="466"/>
    </row>
    <row r="87" s="408" customFormat="1" ht="17.4" spans="1:23">
      <c r="A87" s="428" t="s">
        <v>230</v>
      </c>
      <c r="B87" s="421" t="s">
        <v>289</v>
      </c>
      <c r="C87" s="429" t="s">
        <v>247</v>
      </c>
      <c r="D87" s="421" t="s">
        <v>50</v>
      </c>
      <c r="E87" s="430"/>
      <c r="F87" s="430">
        <v>25923.0833333334</v>
      </c>
      <c r="G87" s="430"/>
      <c r="H87" s="430"/>
      <c r="I87" s="450"/>
      <c r="J87" s="451">
        <v>0.0514482559088053</v>
      </c>
      <c r="K87" s="451">
        <v>0.0453006884809384</v>
      </c>
      <c r="L87" s="451">
        <v>0.0459135567220096</v>
      </c>
      <c r="M87" s="452"/>
      <c r="N87" s="451"/>
      <c r="O87" s="430"/>
      <c r="P87" s="531" t="str">
        <f t="array" ref="P87">INDEX(正厂竞争者数据汇总!I:I,MATCH($A$79&amp;B87,正厂竞争者数据汇总!A:A&amp;正厂竞争者数据汇总!D:D,0))</f>
        <v>2021年11月重开
2021年10月临时关站
2020年10月从PartSites变成Revolution，加入MarketingShare</v>
      </c>
      <c r="Q87" s="429"/>
      <c r="R87" s="421"/>
      <c r="S87" s="472"/>
      <c r="T87" s="466"/>
      <c r="U87" s="466"/>
      <c r="V87" s="466"/>
      <c r="W87" s="466"/>
    </row>
    <row r="88" s="408" customFormat="1" ht="17.4" spans="1:23">
      <c r="A88" s="428" t="s">
        <v>230</v>
      </c>
      <c r="B88" s="421" t="s">
        <v>286</v>
      </c>
      <c r="C88" s="429" t="s">
        <v>247</v>
      </c>
      <c r="D88" s="421" t="s">
        <v>234</v>
      </c>
      <c r="E88" s="430"/>
      <c r="F88" s="430">
        <v>25448.2724333333</v>
      </c>
      <c r="G88" s="430"/>
      <c r="H88" s="430"/>
      <c r="I88" s="450"/>
      <c r="J88" s="451">
        <v>0.0505059222991268</v>
      </c>
      <c r="K88" s="451">
        <v>0.0474825781444962</v>
      </c>
      <c r="L88" s="451">
        <v>0.063338548934122</v>
      </c>
      <c r="M88" s="452"/>
      <c r="N88" s="451"/>
      <c r="O88" s="430"/>
      <c r="P88" s="531" t="str">
        <f t="array" ref="P88">INDEX(正厂竞争者数据汇总!I:I,MATCH($A$79&amp;B88,正厂竞争者数据汇总!A:A&amp;正厂竞争者数据汇总!D:D,0))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88" s="429"/>
      <c r="R88" s="421"/>
      <c r="S88" s="472"/>
      <c r="T88" s="466"/>
      <c r="U88" s="466"/>
      <c r="V88" s="466"/>
      <c r="W88" s="466"/>
    </row>
    <row r="89" s="408" customFormat="1" ht="17.4" spans="1:23">
      <c r="A89" s="428" t="s">
        <v>230</v>
      </c>
      <c r="B89" s="421" t="s">
        <v>288</v>
      </c>
      <c r="C89" s="429" t="s">
        <v>301</v>
      </c>
      <c r="D89" s="421" t="s">
        <v>421</v>
      </c>
      <c r="E89" s="430"/>
      <c r="F89" s="430">
        <v>24758.8503333333</v>
      </c>
      <c r="G89" s="430"/>
      <c r="H89" s="430"/>
      <c r="I89" s="450"/>
      <c r="J89" s="451">
        <v>0.0491376605004087</v>
      </c>
      <c r="K89" s="451">
        <v>0.0476055834857535</v>
      </c>
      <c r="L89" s="451">
        <v>0.0566681411483032</v>
      </c>
      <c r="M89" s="452"/>
      <c r="N89" s="451"/>
      <c r="O89" s="430"/>
      <c r="P89" s="531" t="str">
        <f t="array" ref="P89">INDEX(正厂竞争者数据汇总!I:I,MATCH($A$79&amp;B89,正厂竞争者数据汇总!A:A&amp;正厂竞争者数据汇总!D:D,0))</f>
        <v>2022年1月 新加入 CompetitorSites
2022年1月 新加入 MarketingShare</v>
      </c>
      <c r="Q89" s="429"/>
      <c r="R89" s="421"/>
      <c r="S89" s="472"/>
      <c r="T89" s="466"/>
      <c r="U89" s="466"/>
      <c r="V89" s="466"/>
      <c r="W89" s="466"/>
    </row>
    <row r="90" s="408" customFormat="1" spans="1:23">
      <c r="A90" s="428"/>
      <c r="B90" s="421"/>
      <c r="C90" s="439"/>
      <c r="D90" s="421"/>
      <c r="E90" s="421"/>
      <c r="F90" s="430"/>
      <c r="G90" s="430"/>
      <c r="H90" s="430"/>
      <c r="I90" s="453"/>
      <c r="J90" s="430"/>
      <c r="K90" s="430"/>
      <c r="L90" s="430"/>
      <c r="M90" s="451"/>
      <c r="N90" s="451"/>
      <c r="O90" s="430"/>
      <c r="P90" s="531"/>
      <c r="Q90" s="429"/>
      <c r="R90" s="421"/>
      <c r="S90" s="473"/>
      <c r="T90" s="466"/>
      <c r="U90" s="466"/>
      <c r="V90" s="421"/>
      <c r="W90" s="421"/>
    </row>
    <row r="91" s="408" customFormat="1" spans="1:23">
      <c r="A91" s="428"/>
      <c r="B91" s="421"/>
      <c r="C91" s="439"/>
      <c r="D91" s="421"/>
      <c r="E91" s="421"/>
      <c r="F91" s="430">
        <v>503867.096666667</v>
      </c>
      <c r="G91" s="430">
        <v>445410.310833333</v>
      </c>
      <c r="H91" s="430">
        <v>428652.916666666</v>
      </c>
      <c r="I91" s="453">
        <v>0.131242551893253</v>
      </c>
      <c r="J91" s="430"/>
      <c r="K91" s="430"/>
      <c r="L91" s="430"/>
      <c r="M91" s="451"/>
      <c r="N91" s="451">
        <f>SUM(N81:N82)</f>
        <v>0</v>
      </c>
      <c r="O91" s="430"/>
      <c r="P91" s="531"/>
      <c r="Q91" s="429"/>
      <c r="R91" s="421"/>
      <c r="S91" s="473"/>
      <c r="T91" s="466"/>
      <c r="U91" s="466"/>
      <c r="V91" s="421"/>
      <c r="W91" s="421"/>
    </row>
    <row r="92" s="408" customFormat="1" spans="1:23">
      <c r="A92" s="428"/>
      <c r="B92" s="421"/>
      <c r="C92" s="485"/>
      <c r="D92" s="421"/>
      <c r="E92" s="430"/>
      <c r="F92" s="451"/>
      <c r="G92" s="451"/>
      <c r="H92" s="451"/>
      <c r="I92" s="453"/>
      <c r="J92" s="451"/>
      <c r="K92" s="451"/>
      <c r="L92" s="451"/>
      <c r="M92" s="451"/>
      <c r="N92" s="451"/>
      <c r="O92" s="451"/>
      <c r="P92" s="531"/>
      <c r="Q92" s="429"/>
      <c r="R92" s="421"/>
      <c r="S92" s="473"/>
      <c r="T92" s="466"/>
      <c r="U92" s="466"/>
      <c r="V92" s="421"/>
      <c r="W92" s="421"/>
    </row>
    <row r="93" s="408" customFormat="1" ht="17.4" spans="1:23">
      <c r="A93" s="418" t="s">
        <v>174</v>
      </c>
      <c r="B93" s="419"/>
      <c r="C93" s="420"/>
      <c r="D93" s="421"/>
      <c r="E93" s="422" t="s">
        <v>202</v>
      </c>
      <c r="F93" s="422"/>
      <c r="G93" s="422"/>
      <c r="H93" s="422"/>
      <c r="I93" s="422"/>
      <c r="J93" s="422"/>
      <c r="K93" s="422"/>
      <c r="L93" s="422"/>
      <c r="M93" s="443"/>
      <c r="N93" s="444"/>
      <c r="O93" s="422"/>
      <c r="P93" s="531"/>
      <c r="Q93" s="465"/>
      <c r="R93" s="424"/>
      <c r="S93" s="473"/>
      <c r="T93" s="467"/>
      <c r="U93" s="467"/>
      <c r="V93" s="467"/>
      <c r="W93" s="467"/>
    </row>
    <row r="94" s="409" customFormat="1" ht="48.6" spans="1:23">
      <c r="A94" s="423" t="s">
        <v>206</v>
      </c>
      <c r="B94" s="424" t="s">
        <v>207</v>
      </c>
      <c r="C94" s="425" t="s">
        <v>208</v>
      </c>
      <c r="D94" s="424" t="s">
        <v>209</v>
      </c>
      <c r="E94" s="426" t="s">
        <v>210</v>
      </c>
      <c r="F94" s="427" t="s">
        <v>408</v>
      </c>
      <c r="G94" s="427" t="s">
        <v>212</v>
      </c>
      <c r="H94" s="427" t="s">
        <v>397</v>
      </c>
      <c r="I94" s="427" t="s">
        <v>214</v>
      </c>
      <c r="J94" s="446" t="s">
        <v>399</v>
      </c>
      <c r="K94" s="446" t="s">
        <v>403</v>
      </c>
      <c r="L94" s="446" t="s">
        <v>409</v>
      </c>
      <c r="M94" s="447" t="s">
        <v>218</v>
      </c>
      <c r="N94" s="448" t="s">
        <v>219</v>
      </c>
      <c r="O94" s="449" t="s">
        <v>220</v>
      </c>
      <c r="P94" s="530" t="s">
        <v>221</v>
      </c>
      <c r="Q94" s="469" t="s">
        <v>222</v>
      </c>
      <c r="R94" s="426" t="s">
        <v>223</v>
      </c>
      <c r="S94" s="470" t="s">
        <v>224</v>
      </c>
      <c r="T94" s="467" t="s">
        <v>225</v>
      </c>
      <c r="U94" s="470" t="s">
        <v>226</v>
      </c>
      <c r="V94" s="467"/>
      <c r="W94" s="467"/>
    </row>
    <row r="95" s="410" customFormat="1" ht="17.4" spans="1:23">
      <c r="A95" s="435" t="s">
        <v>227</v>
      </c>
      <c r="B95" s="435" t="s">
        <v>175</v>
      </c>
      <c r="C95" s="435" t="s">
        <v>410</v>
      </c>
      <c r="D95" s="435" t="s">
        <v>49</v>
      </c>
      <c r="E95" s="436">
        <f>VLOOKUP(B95,正厂竞争者数据汇总!D:H,4,FALSE)</f>
        <v>325311</v>
      </c>
      <c r="F95" s="436">
        <v>202318.333333333</v>
      </c>
      <c r="G95" s="436">
        <v>202318.333333333</v>
      </c>
      <c r="H95" s="436">
        <v>202318.333333333</v>
      </c>
      <c r="I95" s="436">
        <v>202318.333333333</v>
      </c>
      <c r="J95" s="457">
        <v>0.415524249606574</v>
      </c>
      <c r="K95" s="457">
        <v>0.428674633804099</v>
      </c>
      <c r="L95" s="457">
        <v>0.427185743931387</v>
      </c>
      <c r="M95" s="456">
        <f>J95-K95</f>
        <v>-0.013150384197525</v>
      </c>
      <c r="N95" s="457" t="str">
        <f>IFERROR(O95*0.5/$F$95,"")</f>
        <v/>
      </c>
      <c r="O95" s="436" t="s">
        <v>180</v>
      </c>
      <c r="P95" s="531">
        <f t="array" ref="P95">INDEX(正厂竞争者数据汇总!I:I,MATCH($A$93&amp;B95,正厂竞争者数据汇总!A:A&amp;正厂竞争者数据汇总!D:D,0))</f>
        <v>0</v>
      </c>
      <c r="Q95" s="434" t="s">
        <v>318</v>
      </c>
      <c r="R95" s="435" t="s">
        <v>229</v>
      </c>
      <c r="S95" s="476"/>
      <c r="T95" s="477"/>
      <c r="U95" s="477"/>
      <c r="V95" s="435"/>
      <c r="W95" s="435"/>
    </row>
    <row r="96" s="408" customFormat="1" ht="17.4" spans="1:23">
      <c r="A96" s="428" t="s">
        <v>230</v>
      </c>
      <c r="B96" s="421" t="s">
        <v>319</v>
      </c>
      <c r="C96" s="429" t="s">
        <v>247</v>
      </c>
      <c r="D96" s="421" t="s">
        <v>234</v>
      </c>
      <c r="E96" s="430"/>
      <c r="F96" s="430">
        <v>84485.11675</v>
      </c>
      <c r="G96" s="430"/>
      <c r="H96" s="430"/>
      <c r="I96" s="450"/>
      <c r="J96" s="451">
        <v>0.173516725657426</v>
      </c>
      <c r="K96" s="451">
        <v>0.154511287239234</v>
      </c>
      <c r="L96" s="451">
        <v>0.134497905835578</v>
      </c>
      <c r="M96" s="452"/>
      <c r="N96" s="451"/>
      <c r="O96" s="430"/>
      <c r="P96" s="531" t="str">
        <f t="array" ref="P96">INDEX(正厂竞争者数据汇总!I:I,MATCH($A$93&amp;B96,正厂竞争者数据汇总!A:A&amp;正厂竞争者数据汇总!D:D,0))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96" s="429"/>
      <c r="R96" s="421"/>
      <c r="S96" s="472"/>
      <c r="T96" s="466"/>
      <c r="U96" s="466"/>
      <c r="V96" s="466"/>
      <c r="W96" s="466"/>
    </row>
    <row r="97" s="408" customFormat="1" ht="17.4" spans="1:23">
      <c r="A97" s="428" t="s">
        <v>230</v>
      </c>
      <c r="B97" s="421" t="s">
        <v>320</v>
      </c>
      <c r="C97" s="429" t="s">
        <v>301</v>
      </c>
      <c r="D97" s="421" t="s">
        <v>58</v>
      </c>
      <c r="E97" s="430"/>
      <c r="F97" s="430">
        <v>75155.5</v>
      </c>
      <c r="G97" s="430"/>
      <c r="H97" s="430"/>
      <c r="I97" s="450"/>
      <c r="J97" s="451">
        <v>0.154355427048003</v>
      </c>
      <c r="K97" s="451">
        <v>0.165403057184783</v>
      </c>
      <c r="L97" s="451">
        <v>0.187556447176356</v>
      </c>
      <c r="M97" s="452"/>
      <c r="N97" s="451"/>
      <c r="O97" s="430"/>
      <c r="P97" s="531">
        <f t="array" ref="P97">INDEX(正厂竞争者数据汇总!I:I,MATCH($A$93&amp;B97,正厂竞争者数据汇总!A:A&amp;正厂竞争者数据汇总!D:D,0))</f>
        <v>0</v>
      </c>
      <c r="Q97" s="429"/>
      <c r="R97" s="421"/>
      <c r="S97" s="472"/>
      <c r="T97" s="466"/>
      <c r="U97" s="466"/>
      <c r="V97" s="466"/>
      <c r="W97" s="466"/>
    </row>
    <row r="98" s="408" customFormat="1" ht="17.4" spans="1:23">
      <c r="A98" s="428" t="s">
        <v>230</v>
      </c>
      <c r="B98" s="421" t="s">
        <v>321</v>
      </c>
      <c r="C98" s="429" t="s">
        <v>301</v>
      </c>
      <c r="D98" s="421" t="s">
        <v>57</v>
      </c>
      <c r="E98" s="430"/>
      <c r="F98" s="430">
        <v>43179.03</v>
      </c>
      <c r="G98" s="430"/>
      <c r="H98" s="430"/>
      <c r="I98" s="450"/>
      <c r="J98" s="451">
        <v>0.0886817014745233</v>
      </c>
      <c r="K98" s="451">
        <v>0.08391187429609</v>
      </c>
      <c r="L98" s="451">
        <v>0.082234386177858</v>
      </c>
      <c r="M98" s="452"/>
      <c r="N98" s="451"/>
      <c r="O98" s="430"/>
      <c r="P98" s="531" t="str">
        <f t="array" ref="P98">INDEX(正厂竞争者数据汇总!I:I,MATCH($A$93&amp;B98,正厂竞争者数据汇总!A:A&amp;正厂竞争者数据汇总!D:D,0))</f>
        <v>同时经营honda/acura，折算比例：acura75%，honda25%</v>
      </c>
      <c r="Q98" s="429"/>
      <c r="R98" s="421"/>
      <c r="S98" s="472"/>
      <c r="T98" s="466"/>
      <c r="U98" s="466"/>
      <c r="V98" s="466"/>
      <c r="W98" s="466"/>
    </row>
    <row r="99" s="408" customFormat="1" ht="17.4" spans="1:23">
      <c r="A99" s="428" t="s">
        <v>230</v>
      </c>
      <c r="B99" s="421" t="s">
        <v>323</v>
      </c>
      <c r="C99" s="429" t="s">
        <v>301</v>
      </c>
      <c r="D99" s="421" t="s">
        <v>411</v>
      </c>
      <c r="E99" s="430"/>
      <c r="F99" s="430">
        <v>42422.6666666667</v>
      </c>
      <c r="G99" s="430"/>
      <c r="H99" s="430"/>
      <c r="I99" s="450"/>
      <c r="J99" s="451">
        <v>0.0871282717811527</v>
      </c>
      <c r="K99" s="451">
        <v>0.0739469981580821</v>
      </c>
      <c r="L99" s="451">
        <v>0.087699301873569</v>
      </c>
      <c r="M99" s="452"/>
      <c r="N99" s="451"/>
      <c r="O99" s="430"/>
      <c r="P99" s="531" t="str">
        <f t="array" ref="P99">INDEX(正厂竞争者数据汇总!I:I,MATCH($A$93&amp;B99,正厂竞争者数据汇总!A:A&amp;正厂竞争者数据汇总!D:D,0))</f>
        <v>2022年1月 新加入 CompetitorSites
2022年1月 新加入 MarketingShare</v>
      </c>
      <c r="Q99" s="429"/>
      <c r="R99" s="421"/>
      <c r="S99" s="472"/>
      <c r="T99" s="466"/>
      <c r="U99" s="466"/>
      <c r="V99" s="466"/>
      <c r="W99" s="466"/>
    </row>
    <row r="100" s="408" customFormat="1" ht="17.4" spans="1:23">
      <c r="A100" s="428" t="s">
        <v>238</v>
      </c>
      <c r="B100" s="421" t="s">
        <v>322</v>
      </c>
      <c r="C100" s="429" t="s">
        <v>301</v>
      </c>
      <c r="D100" s="421" t="s">
        <v>250</v>
      </c>
      <c r="E100" s="430"/>
      <c r="F100" s="430">
        <v>39338.3333333334</v>
      </c>
      <c r="G100" s="430"/>
      <c r="H100" s="430"/>
      <c r="I100" s="450"/>
      <c r="J100" s="451">
        <v>0.0807936244323219</v>
      </c>
      <c r="K100" s="451">
        <v>0.0587683305564864</v>
      </c>
      <c r="L100" s="451">
        <v>0.0494794854519541</v>
      </c>
      <c r="M100" s="452"/>
      <c r="N100" s="451"/>
      <c r="O100" s="430"/>
      <c r="P100" s="531">
        <f t="array" ref="P100">INDEX(正厂竞争者数据汇总!I:I,MATCH($A$93&amp;B100,正厂竞争者数据汇总!A:A&amp;正厂竞争者数据汇总!D:D,0))</f>
        <v>0</v>
      </c>
      <c r="Q100" s="429"/>
      <c r="R100" s="421"/>
      <c r="S100" s="472"/>
      <c r="T100" s="466"/>
      <c r="U100" s="466"/>
      <c r="V100" s="466"/>
      <c r="W100" s="466"/>
    </row>
    <row r="101" s="408" customFormat="1" spans="1:23">
      <c r="A101" s="428"/>
      <c r="B101" s="438"/>
      <c r="C101" s="429"/>
      <c r="D101" s="421"/>
      <c r="E101" s="430"/>
      <c r="F101" s="486"/>
      <c r="G101" s="486">
        <v>409170.916666667</v>
      </c>
      <c r="H101" s="486"/>
      <c r="I101" s="453"/>
      <c r="J101" s="451"/>
      <c r="K101" s="430"/>
      <c r="L101" s="430"/>
      <c r="M101" s="451"/>
      <c r="N101" s="451"/>
      <c r="O101" s="430"/>
      <c r="P101" s="531"/>
      <c r="Q101" s="429"/>
      <c r="R101" s="421"/>
      <c r="S101" s="473"/>
      <c r="T101" s="466"/>
      <c r="U101" s="466"/>
      <c r="V101" s="421"/>
      <c r="W101" s="421"/>
    </row>
    <row r="102" s="408" customFormat="1" spans="1:23">
      <c r="A102" s="428"/>
      <c r="B102" s="421"/>
      <c r="C102" s="439"/>
      <c r="D102" s="421"/>
      <c r="E102" s="421"/>
      <c r="F102" s="430">
        <v>486898.980083333</v>
      </c>
      <c r="G102" s="430"/>
      <c r="H102" s="430">
        <v>444921.666666667</v>
      </c>
      <c r="I102" s="453" t="e">
        <v>#DIV/0!</v>
      </c>
      <c r="J102" s="430"/>
      <c r="K102" s="430"/>
      <c r="L102" s="430"/>
      <c r="M102" s="451"/>
      <c r="N102" s="451">
        <f>SUM(N95:N101)</f>
        <v>0</v>
      </c>
      <c r="O102" s="430"/>
      <c r="P102" s="531"/>
      <c r="Q102" s="429" t="s">
        <v>180</v>
      </c>
      <c r="R102" s="421" t="s">
        <v>180</v>
      </c>
      <c r="S102" s="473"/>
      <c r="T102" s="466"/>
      <c r="U102" s="466"/>
      <c r="V102" s="421"/>
      <c r="W102" s="421"/>
    </row>
    <row r="103" s="408" customFormat="1" spans="1:23">
      <c r="A103" s="428"/>
      <c r="B103" s="421"/>
      <c r="C103" s="439"/>
      <c r="D103" s="421"/>
      <c r="E103" s="430"/>
      <c r="F103" s="430"/>
      <c r="G103" s="430"/>
      <c r="H103" s="430"/>
      <c r="I103" s="453"/>
      <c r="J103" s="430"/>
      <c r="K103" s="430"/>
      <c r="L103" s="430"/>
      <c r="M103" s="451"/>
      <c r="N103" s="459"/>
      <c r="O103" s="430"/>
      <c r="P103" s="531"/>
      <c r="Q103" s="429"/>
      <c r="R103" s="421" t="s">
        <v>180</v>
      </c>
      <c r="S103" s="473"/>
      <c r="T103" s="466"/>
      <c r="U103" s="466"/>
      <c r="V103" s="421"/>
      <c r="W103" s="421"/>
    </row>
    <row r="104" s="408" customFormat="1" ht="17.4" spans="1:23">
      <c r="A104" s="418" t="s">
        <v>165</v>
      </c>
      <c r="B104" s="419"/>
      <c r="C104" s="420"/>
      <c r="D104" s="421"/>
      <c r="E104" s="422" t="s">
        <v>202</v>
      </c>
      <c r="F104" s="422"/>
      <c r="G104" s="422"/>
      <c r="H104" s="422"/>
      <c r="I104" s="422"/>
      <c r="J104" s="422"/>
      <c r="K104" s="422"/>
      <c r="L104" s="422"/>
      <c r="M104" s="443"/>
      <c r="N104" s="444"/>
      <c r="O104" s="422"/>
      <c r="P104" s="531"/>
      <c r="Q104" s="465"/>
      <c r="R104" s="424"/>
      <c r="S104" s="473"/>
      <c r="T104" s="467"/>
      <c r="U104" s="467"/>
      <c r="V104" s="467"/>
      <c r="W104" s="467"/>
    </row>
    <row r="105" s="409" customFormat="1" ht="48.6" spans="1:23">
      <c r="A105" s="423" t="s">
        <v>206</v>
      </c>
      <c r="B105" s="424" t="s">
        <v>207</v>
      </c>
      <c r="C105" s="425" t="s">
        <v>208</v>
      </c>
      <c r="D105" s="424" t="s">
        <v>209</v>
      </c>
      <c r="E105" s="426" t="s">
        <v>210</v>
      </c>
      <c r="F105" s="427" t="s">
        <v>408</v>
      </c>
      <c r="G105" s="427" t="s">
        <v>212</v>
      </c>
      <c r="H105" s="427" t="s">
        <v>397</v>
      </c>
      <c r="I105" s="427" t="s">
        <v>214</v>
      </c>
      <c r="J105" s="446" t="s">
        <v>399</v>
      </c>
      <c r="K105" s="446" t="s">
        <v>403</v>
      </c>
      <c r="L105" s="446" t="s">
        <v>409</v>
      </c>
      <c r="M105" s="447" t="s">
        <v>218</v>
      </c>
      <c r="N105" s="448" t="s">
        <v>219</v>
      </c>
      <c r="O105" s="449" t="s">
        <v>220</v>
      </c>
      <c r="P105" s="530" t="s">
        <v>221</v>
      </c>
      <c r="Q105" s="469" t="s">
        <v>222</v>
      </c>
      <c r="R105" s="426" t="s">
        <v>223</v>
      </c>
      <c r="S105" s="470" t="s">
        <v>224</v>
      </c>
      <c r="T105" s="467" t="s">
        <v>225</v>
      </c>
      <c r="U105" s="470" t="s">
        <v>226</v>
      </c>
      <c r="V105" s="467"/>
      <c r="W105" s="467"/>
    </row>
    <row r="106" s="408" customFormat="1" ht="17.4" spans="1:23">
      <c r="A106" s="428" t="s">
        <v>230</v>
      </c>
      <c r="B106" s="421" t="s">
        <v>293</v>
      </c>
      <c r="C106" s="429" t="s">
        <v>247</v>
      </c>
      <c r="D106" s="421" t="s">
        <v>50</v>
      </c>
      <c r="E106" s="430"/>
      <c r="F106" s="430">
        <v>178919.583333333</v>
      </c>
      <c r="G106" s="430"/>
      <c r="H106" s="430"/>
      <c r="I106" s="450"/>
      <c r="J106" s="451">
        <v>0.388667328274167</v>
      </c>
      <c r="K106" s="451">
        <v>0.369973108810663</v>
      </c>
      <c r="L106" s="451">
        <v>0.331737367816057</v>
      </c>
      <c r="M106" s="452"/>
      <c r="N106" s="451"/>
      <c r="O106" s="430"/>
      <c r="P106" s="531">
        <f t="array" ref="P106">INDEX(正厂竞争者数据汇总!I:I,MATCH($A$104&amp;B106,正厂竞争者数据汇总!A:A&amp;正厂竞争者数据汇总!D:D,0))</f>
        <v>0</v>
      </c>
      <c r="Q106" s="429"/>
      <c r="R106" s="421"/>
      <c r="S106" s="472"/>
      <c r="T106" s="466"/>
      <c r="U106" s="466"/>
      <c r="V106" s="466"/>
      <c r="W106" s="466"/>
    </row>
    <row r="107" s="410" customFormat="1" ht="17.4" spans="1:23">
      <c r="A107" s="432" t="s">
        <v>227</v>
      </c>
      <c r="B107" s="432" t="s">
        <v>166</v>
      </c>
      <c r="C107" s="434" t="s">
        <v>410</v>
      </c>
      <c r="D107" s="435" t="s">
        <v>58</v>
      </c>
      <c r="E107" s="462"/>
      <c r="F107" s="436">
        <v>143808.083333333</v>
      </c>
      <c r="G107" s="462"/>
      <c r="H107" s="462"/>
      <c r="I107" s="510"/>
      <c r="J107" s="461">
        <v>0.312394554537185</v>
      </c>
      <c r="K107" s="457">
        <v>0.335992034619113</v>
      </c>
      <c r="L107" s="457">
        <v>0.311430142358195</v>
      </c>
      <c r="M107" s="461"/>
      <c r="N107" s="461"/>
      <c r="O107" s="462"/>
      <c r="P107" s="531">
        <f t="array" ref="P107">INDEX(正厂竞争者数据汇总!I:I,MATCH($A$104&amp;B107,正厂竞争者数据汇总!A:A&amp;正厂竞争者数据汇总!D:D,0))</f>
        <v>0</v>
      </c>
      <c r="Q107" s="434"/>
      <c r="R107" s="435"/>
      <c r="S107" s="476"/>
      <c r="T107" s="477"/>
      <c r="U107" s="477"/>
      <c r="V107" s="435"/>
      <c r="W107" s="435"/>
    </row>
    <row r="108" s="408" customFormat="1" ht="17.4" spans="1:23">
      <c r="A108" s="428" t="s">
        <v>243</v>
      </c>
      <c r="B108" s="421" t="s">
        <v>298</v>
      </c>
      <c r="C108" s="429" t="s">
        <v>301</v>
      </c>
      <c r="D108" s="421" t="s">
        <v>422</v>
      </c>
      <c r="E108" s="430"/>
      <c r="F108" s="430">
        <v>50505.6666666667</v>
      </c>
      <c r="G108" s="430"/>
      <c r="H108" s="430"/>
      <c r="I108" s="450"/>
      <c r="J108" s="451">
        <v>0.109713549295875</v>
      </c>
      <c r="K108" s="451">
        <v>0.0889419377942908</v>
      </c>
      <c r="L108" s="451">
        <v>0.0955436546122065</v>
      </c>
      <c r="M108" s="452"/>
      <c r="N108" s="451"/>
      <c r="O108" s="430"/>
      <c r="P108" s="531">
        <f t="array" ref="P108">INDEX(正厂竞争者数据汇总!I:I,MATCH($A$104&amp;B108,正厂竞争者数据汇总!A:A&amp;正厂竞争者数据汇总!D:D,0))</f>
        <v>0</v>
      </c>
      <c r="Q108" s="429"/>
      <c r="R108" s="421"/>
      <c r="S108" s="472"/>
      <c r="T108" s="466"/>
      <c r="U108" s="466"/>
      <c r="V108" s="466"/>
      <c r="W108" s="466"/>
    </row>
    <row r="109" s="408" customFormat="1" ht="17.4" spans="1:23">
      <c r="A109" s="428" t="s">
        <v>230</v>
      </c>
      <c r="B109" s="421" t="s">
        <v>294</v>
      </c>
      <c r="C109" s="429" t="s">
        <v>247</v>
      </c>
      <c r="D109" s="421" t="s">
        <v>250</v>
      </c>
      <c r="E109" s="430"/>
      <c r="F109" s="430">
        <v>29129.2919833333</v>
      </c>
      <c r="G109" s="430"/>
      <c r="H109" s="430"/>
      <c r="I109" s="450"/>
      <c r="J109" s="451">
        <v>0.0632776126500794</v>
      </c>
      <c r="K109" s="451">
        <v>0.0669217143847319</v>
      </c>
      <c r="L109" s="451">
        <v>0.0673658491751346</v>
      </c>
      <c r="M109" s="452"/>
      <c r="N109" s="451"/>
      <c r="O109" s="430"/>
      <c r="P109" s="531" t="str">
        <f t="array" ref="P109">INDEX(正厂竞争者数据汇总!I:I,MATCH($A$104&amp;B109,正厂竞争者数据汇总!A:A&amp;正厂竞争者数据汇总!D:D,0))</f>
        <v>2022年1月 新加入 CompetitorSites</v>
      </c>
      <c r="Q109" s="429"/>
      <c r="R109" s="421"/>
      <c r="S109" s="472"/>
      <c r="T109" s="466"/>
      <c r="U109" s="466"/>
      <c r="V109" s="466"/>
      <c r="W109" s="466"/>
    </row>
    <row r="110" s="408" customFormat="1" ht="17.4" spans="1:23">
      <c r="A110" s="428" t="s">
        <v>230</v>
      </c>
      <c r="B110" s="421" t="s">
        <v>295</v>
      </c>
      <c r="C110" s="429" t="s">
        <v>247</v>
      </c>
      <c r="D110" s="421" t="s">
        <v>423</v>
      </c>
      <c r="E110" s="430"/>
      <c r="F110" s="430">
        <v>25320.7363333333</v>
      </c>
      <c r="G110" s="430"/>
      <c r="H110" s="430"/>
      <c r="I110" s="450"/>
      <c r="J110" s="451">
        <v>0.0550042804552956</v>
      </c>
      <c r="K110" s="451">
        <v>0.0428780624074086</v>
      </c>
      <c r="L110" s="451">
        <v>0.0669836790639864</v>
      </c>
      <c r="M110" s="452"/>
      <c r="N110" s="451"/>
      <c r="O110" s="430"/>
      <c r="P110" s="531" t="str">
        <f t="array" ref="P110">INDEX(正厂竞争者数据汇总!I:I,MATCH($A$104&amp;B110,正厂竞争者数据汇总!A:A&amp;正厂竞争者数据汇总!D:D,0))</f>
        <v>2023年4月，流量更新为子站parts.subaruonlineparts.com，子站主营parts，此前监控域名为subaruonlineparts.com,该子域名的实际成单效率较高，流量不能完全反应其竞争力</v>
      </c>
      <c r="Q110" s="429"/>
      <c r="R110" s="421"/>
      <c r="S110" s="472"/>
      <c r="T110" s="466"/>
      <c r="U110" s="466"/>
      <c r="V110" s="466"/>
      <c r="W110" s="466"/>
    </row>
    <row r="111" s="408" customFormat="1" ht="17.4" spans="1:23">
      <c r="A111" s="428" t="s">
        <v>230</v>
      </c>
      <c r="B111" s="421" t="s">
        <v>406</v>
      </c>
      <c r="C111" s="429" t="s">
        <v>247</v>
      </c>
      <c r="D111" s="421" t="s">
        <v>60</v>
      </c>
      <c r="E111" s="430"/>
      <c r="F111" s="430">
        <v>17040.0783333333</v>
      </c>
      <c r="G111" s="430"/>
      <c r="H111" s="430"/>
      <c r="I111" s="450"/>
      <c r="J111" s="451">
        <v>0.0370161923922014</v>
      </c>
      <c r="K111" s="451">
        <v>0.0359306931434548</v>
      </c>
      <c r="L111" s="451">
        <v>0.0474099449475673</v>
      </c>
      <c r="M111" s="452"/>
      <c r="N111" s="451"/>
      <c r="O111" s="430"/>
      <c r="P111" s="531"/>
      <c r="Q111" s="429"/>
      <c r="R111" s="421"/>
      <c r="S111" s="472"/>
      <c r="T111" s="466"/>
      <c r="U111" s="466"/>
      <c r="V111" s="466"/>
      <c r="W111" s="466"/>
    </row>
    <row r="112" s="408" customFormat="1" ht="17.4" spans="1:23">
      <c r="A112" s="428" t="s">
        <v>230</v>
      </c>
      <c r="B112" s="421" t="s">
        <v>296</v>
      </c>
      <c r="C112" s="429" t="s">
        <v>247</v>
      </c>
      <c r="D112" s="421" t="s">
        <v>423</v>
      </c>
      <c r="E112" s="430"/>
      <c r="F112" s="430">
        <v>15617.7575333333</v>
      </c>
      <c r="G112" s="430"/>
      <c r="H112" s="430"/>
      <c r="I112" s="450"/>
      <c r="J112" s="451">
        <v>0.0339264823951975</v>
      </c>
      <c r="K112" s="451">
        <v>0.0320920918081233</v>
      </c>
      <c r="L112" s="451">
        <v>0.0478044970711363</v>
      </c>
      <c r="M112" s="452"/>
      <c r="N112" s="451"/>
      <c r="O112" s="430"/>
      <c r="P112" s="531" t="str">
        <f t="array" ref="P112">INDEX(正厂竞争者数据汇总!I:I,MATCH($A$104&amp;B112,正厂竞争者数据汇总!A:A&amp;正厂竞争者数据汇总!D:D,0))</f>
        <v>2023年2月新增正厂，Semrush子域名查不到流量。202306因流量上涨加入MS计算基准</v>
      </c>
      <c r="Q112" s="429"/>
      <c r="R112" s="421"/>
      <c r="S112" s="472"/>
      <c r="T112" s="466"/>
      <c r="U112" s="466"/>
      <c r="V112" s="466"/>
      <c r="W112" s="466"/>
    </row>
    <row r="113" s="408" customFormat="1" spans="1:23">
      <c r="A113" s="428"/>
      <c r="B113" s="421"/>
      <c r="C113" s="429"/>
      <c r="D113" s="421"/>
      <c r="E113" s="430"/>
      <c r="F113" s="481"/>
      <c r="G113" s="481"/>
      <c r="H113" s="481"/>
      <c r="I113" s="453"/>
      <c r="J113" s="451"/>
      <c r="K113" s="451"/>
      <c r="L113" s="451"/>
      <c r="M113" s="451"/>
      <c r="N113" s="451"/>
      <c r="O113" s="430"/>
      <c r="P113" s="531"/>
      <c r="Q113" s="429"/>
      <c r="R113" s="421"/>
      <c r="S113" s="473"/>
      <c r="T113" s="466"/>
      <c r="U113" s="466"/>
      <c r="V113" s="421"/>
      <c r="W113" s="421"/>
    </row>
    <row r="114" s="408" customFormat="1" spans="1:23">
      <c r="A114" s="428"/>
      <c r="B114" s="421"/>
      <c r="C114" s="439"/>
      <c r="D114" s="421"/>
      <c r="E114" s="421"/>
      <c r="F114" s="481">
        <v>460341.197516666</v>
      </c>
      <c r="G114" s="481">
        <v>427571.166666666</v>
      </c>
      <c r="H114" s="481">
        <v>496054.5</v>
      </c>
      <c r="I114" s="453">
        <v>0.0766422841499679</v>
      </c>
      <c r="J114" s="430"/>
      <c r="K114" s="430"/>
      <c r="L114" s="430"/>
      <c r="M114" s="451"/>
      <c r="N114" s="451">
        <f>SUM(N106:N108)</f>
        <v>0</v>
      </c>
      <c r="O114" s="430"/>
      <c r="P114" s="531"/>
      <c r="Q114" s="429"/>
      <c r="R114" s="421"/>
      <c r="S114" s="473"/>
      <c r="T114" s="466"/>
      <c r="U114" s="466"/>
      <c r="V114" s="421"/>
      <c r="W114" s="421"/>
    </row>
    <row r="115" s="408" customFormat="1" spans="1:23">
      <c r="A115" s="428"/>
      <c r="B115" s="421"/>
      <c r="C115" s="429"/>
      <c r="D115" s="421"/>
      <c r="E115" s="430"/>
      <c r="F115" s="451"/>
      <c r="G115" s="451"/>
      <c r="H115" s="451"/>
      <c r="I115" s="453"/>
      <c r="J115" s="451"/>
      <c r="K115" s="451"/>
      <c r="L115" s="451"/>
      <c r="M115" s="451"/>
      <c r="N115" s="451"/>
      <c r="O115" s="451"/>
      <c r="P115" s="531"/>
      <c r="Q115" s="429"/>
      <c r="R115" s="421"/>
      <c r="S115" s="473"/>
      <c r="T115" s="466"/>
      <c r="U115" s="466"/>
      <c r="V115" s="421"/>
      <c r="W115" s="421"/>
    </row>
    <row r="116" s="408" customFormat="1" ht="17.4" spans="1:23">
      <c r="A116" s="418" t="s">
        <v>171</v>
      </c>
      <c r="B116" s="419"/>
      <c r="C116" s="420"/>
      <c r="D116" s="421"/>
      <c r="E116" s="422" t="s">
        <v>202</v>
      </c>
      <c r="F116" s="422"/>
      <c r="G116" s="422"/>
      <c r="H116" s="422"/>
      <c r="I116" s="422"/>
      <c r="J116" s="422"/>
      <c r="K116" s="422"/>
      <c r="L116" s="422"/>
      <c r="M116" s="443"/>
      <c r="N116" s="422"/>
      <c r="O116" s="422"/>
      <c r="P116" s="531"/>
      <c r="Q116" s="465"/>
      <c r="R116" s="424"/>
      <c r="S116" s="473"/>
      <c r="T116" s="467"/>
      <c r="U116" s="467"/>
      <c r="V116" s="467"/>
      <c r="W116" s="467"/>
    </row>
    <row r="117" s="409" customFormat="1" ht="48.6" spans="1:23">
      <c r="A117" s="423" t="s">
        <v>206</v>
      </c>
      <c r="B117" s="424" t="s">
        <v>207</v>
      </c>
      <c r="C117" s="425" t="s">
        <v>208</v>
      </c>
      <c r="D117" s="424" t="s">
        <v>209</v>
      </c>
      <c r="E117" s="426" t="s">
        <v>210</v>
      </c>
      <c r="F117" s="427" t="s">
        <v>408</v>
      </c>
      <c r="G117" s="427" t="s">
        <v>212</v>
      </c>
      <c r="H117" s="427" t="s">
        <v>397</v>
      </c>
      <c r="I117" s="427" t="s">
        <v>214</v>
      </c>
      <c r="J117" s="446" t="s">
        <v>399</v>
      </c>
      <c r="K117" s="446" t="s">
        <v>403</v>
      </c>
      <c r="L117" s="446" t="s">
        <v>409</v>
      </c>
      <c r="M117" s="447" t="s">
        <v>218</v>
      </c>
      <c r="N117" s="448" t="s">
        <v>219</v>
      </c>
      <c r="O117" s="449" t="s">
        <v>220</v>
      </c>
      <c r="P117" s="530" t="s">
        <v>221</v>
      </c>
      <c r="Q117" s="469" t="s">
        <v>222</v>
      </c>
      <c r="R117" s="426" t="s">
        <v>223</v>
      </c>
      <c r="S117" s="470" t="s">
        <v>224</v>
      </c>
      <c r="T117" s="467" t="s">
        <v>225</v>
      </c>
      <c r="U117" s="470" t="s">
        <v>226</v>
      </c>
      <c r="V117" s="467"/>
      <c r="W117" s="467"/>
    </row>
    <row r="118" s="410" customFormat="1" ht="17.4" spans="1:23">
      <c r="A118" s="432" t="s">
        <v>227</v>
      </c>
      <c r="B118" s="432" t="s">
        <v>172</v>
      </c>
      <c r="C118" s="434" t="s">
        <v>410</v>
      </c>
      <c r="D118" s="477" t="s">
        <v>49</v>
      </c>
      <c r="E118" s="436">
        <f>VLOOKUP(B118,正厂竞争者数据汇总!D:H,4,FALSE)</f>
        <v>0</v>
      </c>
      <c r="F118" s="436">
        <v>120095.833333333</v>
      </c>
      <c r="G118" s="436">
        <v>132262.583333333</v>
      </c>
      <c r="H118" s="436">
        <v>137115.416666667</v>
      </c>
      <c r="I118" s="454">
        <v>-0.0919893570303018</v>
      </c>
      <c r="J118" s="457">
        <v>0.242745797490226</v>
      </c>
      <c r="K118" s="457">
        <v>0.200357817689383</v>
      </c>
      <c r="L118" s="457">
        <v>0.216669953973049</v>
      </c>
      <c r="M118" s="456">
        <f>J118-K118</f>
        <v>0.042387979800843</v>
      </c>
      <c r="N118" s="455"/>
      <c r="O118" s="436"/>
      <c r="P118" s="531">
        <f t="array" ref="P118">INDEX(正厂竞争者数据汇总!I:I,MATCH($A$116&amp;B118,正厂竞争者数据汇总!A:A&amp;正厂竞争者数据汇总!D:D,0))</f>
        <v>0</v>
      </c>
      <c r="Q118" s="491" t="s">
        <v>313</v>
      </c>
      <c r="R118" s="435" t="s">
        <v>180</v>
      </c>
      <c r="S118" s="476"/>
      <c r="T118" s="477"/>
      <c r="U118" s="477"/>
      <c r="V118" s="435"/>
      <c r="W118" s="435"/>
    </row>
    <row r="119" s="408" customFormat="1" ht="17.4" spans="1:23">
      <c r="A119" s="428" t="s">
        <v>230</v>
      </c>
      <c r="B119" s="421" t="s">
        <v>310</v>
      </c>
      <c r="C119" s="429" t="s">
        <v>247</v>
      </c>
      <c r="D119" s="421" t="s">
        <v>371</v>
      </c>
      <c r="E119" s="430"/>
      <c r="F119" s="430">
        <v>104872.083333333</v>
      </c>
      <c r="G119" s="430"/>
      <c r="H119" s="430"/>
      <c r="I119" s="450"/>
      <c r="J119" s="451">
        <v>0.211974527313976</v>
      </c>
      <c r="K119" s="451">
        <v>0.207387046488647</v>
      </c>
      <c r="L119" s="451">
        <v>0.234656128699011</v>
      </c>
      <c r="M119" s="452"/>
      <c r="N119" s="451"/>
      <c r="O119" s="430"/>
      <c r="P119" s="531">
        <f t="array" ref="P119">INDEX(正厂竞争者数据汇总!I:I,MATCH($A$116&amp;B119,正厂竞争者数据汇总!A:A&amp;正厂竞争者数据汇总!D:D,0))</f>
        <v>0</v>
      </c>
      <c r="Q119" s="429"/>
      <c r="R119" s="421"/>
      <c r="S119" s="472"/>
      <c r="T119" s="466"/>
      <c r="U119" s="466"/>
      <c r="V119" s="466"/>
      <c r="W119" s="466"/>
    </row>
    <row r="120" s="408" customFormat="1" ht="17.4" spans="1:23">
      <c r="A120" s="428" t="s">
        <v>230</v>
      </c>
      <c r="B120" s="421" t="s">
        <v>311</v>
      </c>
      <c r="C120" s="429" t="s">
        <v>301</v>
      </c>
      <c r="D120" s="421" t="s">
        <v>420</v>
      </c>
      <c r="E120" s="430"/>
      <c r="F120" s="430">
        <v>74410</v>
      </c>
      <c r="G120" s="430"/>
      <c r="H120" s="430"/>
      <c r="I120" s="450"/>
      <c r="J120" s="451">
        <v>0.150402510144657</v>
      </c>
      <c r="K120" s="451">
        <v>0.177247800639651</v>
      </c>
      <c r="L120" s="451">
        <v>0.202142346116456</v>
      </c>
      <c r="M120" s="452"/>
      <c r="N120" s="451"/>
      <c r="O120" s="430"/>
      <c r="P120" s="531">
        <f t="array" ref="P120">INDEX(正厂竞争者数据汇总!I:I,MATCH($A$116&amp;B120,正厂竞争者数据汇总!A:A&amp;正厂竞争者数据汇总!D:D,0))</f>
        <v>0</v>
      </c>
      <c r="Q120" s="429"/>
      <c r="R120" s="421"/>
      <c r="S120" s="472"/>
      <c r="T120" s="466"/>
      <c r="U120" s="466"/>
      <c r="V120" s="466"/>
      <c r="W120" s="466"/>
    </row>
    <row r="121" s="408" customFormat="1" ht="17.4" spans="1:23">
      <c r="A121" s="428" t="s">
        <v>243</v>
      </c>
      <c r="B121" s="421" t="s">
        <v>314</v>
      </c>
      <c r="C121" s="429" t="s">
        <v>301</v>
      </c>
      <c r="D121" s="421" t="s">
        <v>50</v>
      </c>
      <c r="E121" s="430"/>
      <c r="F121" s="430">
        <v>57304.9166666667</v>
      </c>
      <c r="G121" s="430"/>
      <c r="H121" s="430"/>
      <c r="I121" s="450"/>
      <c r="J121" s="451">
        <v>0.115828562159617</v>
      </c>
      <c r="K121" s="451">
        <v>0.130449278640486</v>
      </c>
      <c r="L121" s="451">
        <v>0.129720502243066</v>
      </c>
      <c r="M121" s="452"/>
      <c r="N121" s="451"/>
      <c r="O121" s="430"/>
      <c r="P121" s="531">
        <f t="array" ref="P121">INDEX(正厂竞争者数据汇总!I:I,MATCH($A$116&amp;B121,正厂竞争者数据汇总!A:A&amp;正厂竞争者数据汇总!D:D,0))</f>
        <v>0</v>
      </c>
      <c r="Q121" s="429"/>
      <c r="R121" s="421"/>
      <c r="S121" s="472"/>
      <c r="T121" s="466"/>
      <c r="U121" s="466"/>
      <c r="V121" s="466"/>
      <c r="W121" s="466"/>
    </row>
    <row r="122" s="408" customFormat="1" ht="17.4" spans="1:23">
      <c r="A122" s="428" t="s">
        <v>230</v>
      </c>
      <c r="B122" s="421" t="s">
        <v>315</v>
      </c>
      <c r="C122" s="429" t="s">
        <v>247</v>
      </c>
      <c r="D122" s="421" t="s">
        <v>422</v>
      </c>
      <c r="E122" s="430"/>
      <c r="F122" s="430">
        <v>44398.6666666667</v>
      </c>
      <c r="G122" s="430"/>
      <c r="H122" s="430"/>
      <c r="I122" s="450"/>
      <c r="J122" s="451">
        <v>0.0897415792735196</v>
      </c>
      <c r="K122" s="451">
        <v>0.0900868418509368</v>
      </c>
      <c r="L122" s="451">
        <v>0.0918718322351155</v>
      </c>
      <c r="M122" s="452"/>
      <c r="N122" s="451"/>
      <c r="O122" s="430"/>
      <c r="P122" s="531">
        <f t="array" ref="P122">INDEX(正厂竞争者数据汇总!I:I,MATCH($A$116&amp;B122,正厂竞争者数据汇总!A:A&amp;正厂竞争者数据汇总!D:D,0))</f>
        <v>0</v>
      </c>
      <c r="Q122" s="429"/>
      <c r="R122" s="421"/>
      <c r="S122" s="472"/>
      <c r="T122" s="466"/>
      <c r="U122" s="466"/>
      <c r="V122" s="466"/>
      <c r="W122" s="466"/>
    </row>
    <row r="123" s="408" customFormat="1" ht="17.4" spans="1:23">
      <c r="A123" s="428" t="s">
        <v>230</v>
      </c>
      <c r="B123" s="421" t="s">
        <v>317</v>
      </c>
      <c r="C123" s="429" t="s">
        <v>247</v>
      </c>
      <c r="D123" s="421" t="s">
        <v>424</v>
      </c>
      <c r="E123" s="430"/>
      <c r="F123" s="430">
        <v>27769.0833333333</v>
      </c>
      <c r="G123" s="430"/>
      <c r="H123" s="430"/>
      <c r="I123" s="450"/>
      <c r="J123" s="451">
        <v>0.0561287439557787</v>
      </c>
      <c r="K123" s="451">
        <v>0.0568640056473954</v>
      </c>
      <c r="L123" s="451">
        <v>0.0708326719255408</v>
      </c>
      <c r="M123" s="452"/>
      <c r="N123" s="451"/>
      <c r="O123" s="430"/>
      <c r="P123" s="531">
        <f t="array" ref="P123">INDEX(正厂竞争者数据汇总!I:I,MATCH($A$116&amp;B123,正厂竞争者数据汇总!A:A&amp;正厂竞争者数据汇总!D:D,0))</f>
        <v>0</v>
      </c>
      <c r="Q123" s="429"/>
      <c r="R123" s="421"/>
      <c r="S123" s="472"/>
      <c r="T123" s="466"/>
      <c r="U123" s="466"/>
      <c r="V123" s="466"/>
      <c r="W123" s="466"/>
    </row>
    <row r="124" s="408" customFormat="1" spans="1:23">
      <c r="A124" s="428" t="s">
        <v>243</v>
      </c>
      <c r="B124" s="421" t="s">
        <v>388</v>
      </c>
      <c r="C124" s="255" t="s">
        <v>389</v>
      </c>
      <c r="D124" s="270" t="s">
        <v>49</v>
      </c>
      <c r="E124" s="430"/>
      <c r="F124" s="430">
        <v>24625.25</v>
      </c>
      <c r="G124" s="430"/>
      <c r="H124" s="430"/>
      <c r="I124" s="450"/>
      <c r="J124" s="451">
        <v>0.0497742160051031</v>
      </c>
      <c r="K124" s="451">
        <v>0.0518301277711463</v>
      </c>
      <c r="L124" s="451"/>
      <c r="M124" s="452"/>
      <c r="N124" s="451"/>
      <c r="O124" s="430"/>
      <c r="P124" s="531">
        <f t="array" ref="P124">INDEX(正厂竞争者数据汇总!I:I,MATCH($A$116&amp;B124,正厂竞争者数据汇总!A:A&amp;正厂竞争者数据汇总!D:D,0))</f>
        <v>0</v>
      </c>
      <c r="Q124" s="429"/>
      <c r="R124" s="421"/>
      <c r="S124" s="472"/>
      <c r="T124" s="466"/>
      <c r="U124" s="466"/>
      <c r="V124" s="466"/>
      <c r="W124" s="466"/>
    </row>
    <row r="125" s="408" customFormat="1" spans="1:23">
      <c r="A125" s="428" t="s">
        <v>230</v>
      </c>
      <c r="B125" s="421" t="s">
        <v>393</v>
      </c>
      <c r="C125" s="537" t="s">
        <v>351</v>
      </c>
      <c r="D125" s="421" t="s">
        <v>60</v>
      </c>
      <c r="E125" s="430"/>
      <c r="F125" s="430">
        <v>22853.5833333333</v>
      </c>
      <c r="G125" s="430"/>
      <c r="H125" s="430"/>
      <c r="I125" s="450"/>
      <c r="J125" s="451">
        <v>0.0461932038588017</v>
      </c>
      <c r="K125" s="451">
        <v>0.0438916760424463</v>
      </c>
      <c r="L125" s="451">
        <v>0.0541065648077615</v>
      </c>
      <c r="M125" s="452"/>
      <c r="N125" s="451"/>
      <c r="O125" s="430"/>
      <c r="P125" s="531" t="str">
        <f t="array" ref="P125">INDEX(正厂竞争者数据汇总!I:I,MATCH($A$116&amp;B125,正厂竞争者数据汇总!A:A&amp;正厂竞争者数据汇总!D:D,0))</f>
        <v>2022年1月加入CompetitorSites，202305因流量大于MS5%，加入MS计算基准</v>
      </c>
      <c r="Q125" s="429"/>
      <c r="R125" s="421"/>
      <c r="S125" s="472"/>
      <c r="T125" s="466"/>
      <c r="U125" s="466"/>
      <c r="V125" s="466"/>
      <c r="W125" s="466"/>
    </row>
    <row r="126" s="408" customFormat="1" ht="17.4" spans="1:23">
      <c r="A126" s="428" t="s">
        <v>230</v>
      </c>
      <c r="B126" s="421" t="s">
        <v>392</v>
      </c>
      <c r="C126" s="429" t="s">
        <v>247</v>
      </c>
      <c r="D126" s="421" t="s">
        <v>425</v>
      </c>
      <c r="E126" s="430"/>
      <c r="F126" s="430">
        <v>18409.6666666667</v>
      </c>
      <c r="G126" s="430"/>
      <c r="H126" s="430"/>
      <c r="I126" s="450"/>
      <c r="J126" s="451">
        <v>0.0372108597983214</v>
      </c>
      <c r="K126" s="451">
        <v>0.0418854052299089</v>
      </c>
      <c r="L126" s="451">
        <v>0.0517586283848119</v>
      </c>
      <c r="M126" s="452"/>
      <c r="N126" s="451"/>
      <c r="O126" s="430"/>
      <c r="P126" s="531">
        <f t="array" ref="P126">INDEX(正厂竞争者数据汇总!I:I,MATCH($A$116&amp;B126,正厂竞争者数据汇总!A:A&amp;正厂竞争者数据汇总!D:D,0))</f>
        <v>0</v>
      </c>
      <c r="Q126" s="429"/>
      <c r="R126" s="421"/>
      <c r="S126" s="472"/>
      <c r="T126" s="466"/>
      <c r="U126" s="466"/>
      <c r="V126" s="466"/>
      <c r="W126" s="466"/>
    </row>
    <row r="127" s="408" customFormat="1" spans="1:23">
      <c r="A127" s="428"/>
      <c r="B127" s="438"/>
      <c r="C127" s="429"/>
      <c r="D127" s="466"/>
      <c r="E127" s="430"/>
      <c r="F127" s="430"/>
      <c r="G127" s="430"/>
      <c r="H127" s="430"/>
      <c r="I127" s="453"/>
      <c r="J127" s="451"/>
      <c r="K127" s="451"/>
      <c r="L127" s="451"/>
      <c r="M127" s="451"/>
      <c r="N127" s="459"/>
      <c r="O127" s="430"/>
      <c r="P127" s="531"/>
      <c r="Q127" s="492"/>
      <c r="R127" s="421"/>
      <c r="S127" s="473"/>
      <c r="T127" s="466"/>
      <c r="U127" s="466"/>
      <c r="V127" s="421"/>
      <c r="W127" s="421"/>
    </row>
    <row r="128" s="408" customFormat="1" spans="1:23">
      <c r="A128" s="428"/>
      <c r="B128" s="421"/>
      <c r="C128" s="439"/>
      <c r="D128" s="421"/>
      <c r="E128" s="430"/>
      <c r="F128" s="430">
        <v>494739.083333333</v>
      </c>
      <c r="G128" s="430">
        <v>451480.499999999</v>
      </c>
      <c r="H128" s="430">
        <v>457440.166666667</v>
      </c>
      <c r="I128" s="453">
        <v>0.0958149539865703</v>
      </c>
      <c r="J128" s="430"/>
      <c r="K128" s="430"/>
      <c r="L128" s="430"/>
      <c r="M128" s="451"/>
      <c r="N128" s="451"/>
      <c r="O128" s="430"/>
      <c r="P128" s="531"/>
      <c r="Q128" s="493"/>
      <c r="R128" s="421"/>
      <c r="S128" s="473"/>
      <c r="T128" s="466"/>
      <c r="U128" s="466"/>
      <c r="V128" s="421"/>
      <c r="W128" s="421"/>
    </row>
    <row r="129" s="408" customFormat="1" spans="1:23">
      <c r="A129" s="428"/>
      <c r="B129" s="421"/>
      <c r="C129" s="439"/>
      <c r="D129" s="421"/>
      <c r="E129" s="430"/>
      <c r="F129" s="430"/>
      <c r="G129" s="430"/>
      <c r="H129" s="430"/>
      <c r="I129" s="453"/>
      <c r="J129" s="430"/>
      <c r="K129" s="430"/>
      <c r="L129" s="430"/>
      <c r="M129" s="451"/>
      <c r="N129" s="451"/>
      <c r="O129" s="430"/>
      <c r="P129" s="531"/>
      <c r="Q129" s="493"/>
      <c r="R129" s="421"/>
      <c r="S129" s="473"/>
      <c r="T129" s="466"/>
      <c r="U129" s="466"/>
      <c r="V129" s="421"/>
      <c r="W129" s="421"/>
    </row>
    <row r="130" s="408" customFormat="1" ht="17.4" spans="1:23">
      <c r="A130" s="418" t="s">
        <v>168</v>
      </c>
      <c r="B130" s="487"/>
      <c r="C130" s="420"/>
      <c r="D130" s="421"/>
      <c r="E130" s="422" t="s">
        <v>202</v>
      </c>
      <c r="F130" s="422"/>
      <c r="G130" s="422" t="s">
        <v>212</v>
      </c>
      <c r="H130" s="422"/>
      <c r="I130" s="422"/>
      <c r="J130" s="422"/>
      <c r="K130" s="422"/>
      <c r="L130" s="422"/>
      <c r="M130" s="443"/>
      <c r="N130" s="444"/>
      <c r="O130" s="422"/>
      <c r="P130" s="531"/>
      <c r="Q130" s="465"/>
      <c r="R130" s="424"/>
      <c r="S130" s="473"/>
      <c r="T130" s="467"/>
      <c r="U130" s="467"/>
      <c r="V130" s="467"/>
      <c r="W130" s="467"/>
    </row>
    <row r="131" s="409" customFormat="1" ht="48.6" spans="1:23">
      <c r="A131" s="423" t="s">
        <v>206</v>
      </c>
      <c r="B131" s="424" t="s">
        <v>207</v>
      </c>
      <c r="C131" s="425" t="s">
        <v>208</v>
      </c>
      <c r="D131" s="424" t="s">
        <v>209</v>
      </c>
      <c r="E131" s="426" t="s">
        <v>210</v>
      </c>
      <c r="F131" s="427" t="s">
        <v>408</v>
      </c>
      <c r="G131" s="427">
        <v>197584.75</v>
      </c>
      <c r="H131" s="427" t="s">
        <v>397</v>
      </c>
      <c r="I131" s="427" t="s">
        <v>214</v>
      </c>
      <c r="J131" s="446" t="s">
        <v>399</v>
      </c>
      <c r="K131" s="446" t="s">
        <v>403</v>
      </c>
      <c r="L131" s="446" t="s">
        <v>409</v>
      </c>
      <c r="M131" s="447" t="s">
        <v>218</v>
      </c>
      <c r="N131" s="448" t="s">
        <v>219</v>
      </c>
      <c r="O131" s="449" t="s">
        <v>220</v>
      </c>
      <c r="P131" s="530" t="s">
        <v>221</v>
      </c>
      <c r="Q131" s="469" t="s">
        <v>222</v>
      </c>
      <c r="R131" s="426" t="s">
        <v>223</v>
      </c>
      <c r="S131" s="470" t="s">
        <v>224</v>
      </c>
      <c r="T131" s="467" t="s">
        <v>225</v>
      </c>
      <c r="U131" s="470" t="s">
        <v>226</v>
      </c>
      <c r="V131" s="467"/>
      <c r="W131" s="467"/>
    </row>
    <row r="132" s="410" customFormat="1" ht="17.4" spans="1:23">
      <c r="A132" s="432" t="s">
        <v>227</v>
      </c>
      <c r="B132" s="432" t="s">
        <v>169</v>
      </c>
      <c r="C132" s="434" t="s">
        <v>410</v>
      </c>
      <c r="D132" s="435" t="s">
        <v>49</v>
      </c>
      <c r="E132" s="436">
        <f>VLOOKUP(B132,正厂竞争者数据汇总!D:H,4,FALSE)</f>
        <v>0</v>
      </c>
      <c r="F132" s="436">
        <v>271383.333333333</v>
      </c>
      <c r="G132" s="436">
        <v>39089.5833333333</v>
      </c>
      <c r="H132" s="436">
        <v>201623.666666667</v>
      </c>
      <c r="I132" s="454">
        <v>5.94259979747375</v>
      </c>
      <c r="J132" s="457">
        <v>0.61383157704042</v>
      </c>
      <c r="K132" s="457">
        <v>0.593338473717117</v>
      </c>
      <c r="L132" s="457">
        <v>0.525588721383758</v>
      </c>
      <c r="M132" s="456">
        <f>J132-K139</f>
        <v>0.560684808381299</v>
      </c>
      <c r="N132" s="457" t="str">
        <f>IFERROR(O132*0.5/$F$132,"")</f>
        <v/>
      </c>
      <c r="O132" s="436" t="s">
        <v>180</v>
      </c>
      <c r="P132" s="531">
        <f t="array" ref="P132">INDEX(正厂竞争者数据汇总!I:I,MATCH($A$130&amp;B132,正厂竞争者数据汇总!A:A&amp;正厂竞争者数据汇总!D:D,0))</f>
        <v>0</v>
      </c>
      <c r="Q132" s="434" t="s">
        <v>299</v>
      </c>
      <c r="R132" s="435" t="s">
        <v>229</v>
      </c>
      <c r="S132" s="476"/>
      <c r="T132" s="477"/>
      <c r="U132" s="477"/>
      <c r="V132" s="435"/>
      <c r="W132" s="435"/>
    </row>
    <row r="133" s="408" customFormat="1" ht="17.4" spans="1:23">
      <c r="A133" s="428" t="s">
        <v>243</v>
      </c>
      <c r="B133" s="421" t="s">
        <v>300</v>
      </c>
      <c r="C133" s="429" t="s">
        <v>301</v>
      </c>
      <c r="D133" s="421" t="s">
        <v>302</v>
      </c>
      <c r="E133" s="430"/>
      <c r="F133" s="430">
        <v>28451.0833333333</v>
      </c>
      <c r="G133" s="430"/>
      <c r="H133" s="430"/>
      <c r="I133" s="450"/>
      <c r="J133" s="451">
        <v>0.0643524166959716</v>
      </c>
      <c r="K133" s="451">
        <v>0.0660121526936526</v>
      </c>
      <c r="L133" s="451">
        <v>0.0731416830519512</v>
      </c>
      <c r="M133" s="452"/>
      <c r="N133" s="451"/>
      <c r="O133" s="430"/>
      <c r="P133" s="531" t="str">
        <f t="array" ref="P133">INDEX(正厂竞争者数据汇总!I:I,MATCH($A$130&amp;B133,正厂竞争者数据汇总!A:A&amp;正厂竞争者数据汇总!D:D,0))</f>
        <v>2023年3月新增正厂，202305因流量超过MS5%加入MS计算基准</v>
      </c>
      <c r="Q133" s="429"/>
      <c r="R133" s="421"/>
      <c r="S133" s="472"/>
      <c r="T133" s="466"/>
      <c r="U133" s="466"/>
      <c r="V133" s="466"/>
      <c r="W133" s="466"/>
    </row>
    <row r="134" s="408" customFormat="1" ht="17.4" spans="1:23">
      <c r="A134" s="428" t="s">
        <v>230</v>
      </c>
      <c r="B134" s="421" t="s">
        <v>308</v>
      </c>
      <c r="C134" s="429" t="s">
        <v>247</v>
      </c>
      <c r="D134" s="421" t="s">
        <v>426</v>
      </c>
      <c r="E134" s="430"/>
      <c r="F134" s="430">
        <v>28158.75</v>
      </c>
      <c r="G134" s="430"/>
      <c r="H134" s="430"/>
      <c r="I134" s="450"/>
      <c r="J134" s="451">
        <v>0.063691199115594</v>
      </c>
      <c r="K134" s="451">
        <v>0.0646469363709908</v>
      </c>
      <c r="L134" s="451">
        <v>0.0651472677082875</v>
      </c>
      <c r="M134" s="452"/>
      <c r="N134" s="451"/>
      <c r="O134" s="430"/>
      <c r="P134" s="531">
        <f t="array" ref="P134">INDEX(正厂竞争者数据汇总!I:I,MATCH($A$130&amp;B134,正厂竞争者数据汇总!A:A&amp;正厂竞争者数据汇总!D:D,0))</f>
        <v>0</v>
      </c>
      <c r="Q134" s="429"/>
      <c r="R134" s="421"/>
      <c r="S134" s="472"/>
      <c r="T134" s="466"/>
      <c r="U134" s="466"/>
      <c r="V134" s="466"/>
      <c r="W134" s="466"/>
    </row>
    <row r="135" s="408" customFormat="1" ht="17.4" spans="1:23">
      <c r="A135" s="428" t="s">
        <v>243</v>
      </c>
      <c r="B135" s="421" t="s">
        <v>303</v>
      </c>
      <c r="C135" s="429" t="s">
        <v>247</v>
      </c>
      <c r="D135" s="421" t="s">
        <v>49</v>
      </c>
      <c r="E135" s="430"/>
      <c r="F135" s="430">
        <v>24735.5866666667</v>
      </c>
      <c r="G135" s="430"/>
      <c r="H135" s="430"/>
      <c r="I135" s="450"/>
      <c r="J135" s="451">
        <v>0.0559484769610761</v>
      </c>
      <c r="K135" s="451">
        <v>0.0681920807018733</v>
      </c>
      <c r="L135" s="451">
        <v>0.0796256436081907</v>
      </c>
      <c r="M135" s="452"/>
      <c r="N135" s="451"/>
      <c r="O135" s="430"/>
      <c r="P135" s="531" t="str">
        <f t="array" ref="P135">INDEX(正厂竞争者数据汇总!I:I,MATCH($A$130&amp;B135,正厂竞争者数据汇总!A:A&amp;正厂竞争者数据汇总!D:D,0))</f>
        <v>2023年3月新增正厂，202306因流量超过MS5%加入MS计算基准</v>
      </c>
      <c r="Q135" s="429"/>
      <c r="R135" s="421"/>
      <c r="S135" s="472"/>
      <c r="T135" s="466"/>
      <c r="U135" s="466"/>
      <c r="V135" s="466"/>
      <c r="W135" s="466"/>
    </row>
    <row r="136" s="408" customFormat="1" ht="17.4" spans="1:23">
      <c r="A136" s="428" t="s">
        <v>230</v>
      </c>
      <c r="B136" s="421" t="s">
        <v>309</v>
      </c>
      <c r="C136" s="429" t="s">
        <v>247</v>
      </c>
      <c r="D136" s="421" t="s">
        <v>266</v>
      </c>
      <c r="E136" s="430"/>
      <c r="F136" s="430">
        <v>24640.735</v>
      </c>
      <c r="G136" s="430"/>
      <c r="H136" s="430"/>
      <c r="I136" s="450"/>
      <c r="J136" s="451">
        <v>0.0557339356057917</v>
      </c>
      <c r="K136" s="451">
        <v>0.0475362565353145</v>
      </c>
      <c r="L136" s="451">
        <v>0.048690679882171</v>
      </c>
      <c r="M136" s="452"/>
      <c r="N136" s="451"/>
      <c r="O136" s="430"/>
      <c r="P136" s="531" t="str">
        <f t="array" ref="P136">INDEX(正厂竞争者数据汇总!I:I,MATCH($A$130&amp;B136,正厂竞争者数据汇总!A:A&amp;正厂竞争者数据汇总!D:D,0))</f>
        <v>同时经营多品牌网站零件，折算比例为：toyota：33%，lexus：42%，subaru:25%</v>
      </c>
      <c r="Q136" s="429"/>
      <c r="R136" s="421"/>
      <c r="S136" s="472"/>
      <c r="T136" s="466"/>
      <c r="U136" s="466"/>
      <c r="V136" s="466"/>
      <c r="W136" s="466"/>
    </row>
    <row r="137" s="408" customFormat="1" ht="17.4" spans="1:23">
      <c r="A137" s="428" t="s">
        <v>230</v>
      </c>
      <c r="B137" s="421" t="s">
        <v>307</v>
      </c>
      <c r="C137" s="429" t="s">
        <v>247</v>
      </c>
      <c r="D137" s="421" t="s">
        <v>49</v>
      </c>
      <c r="E137" s="430"/>
      <c r="F137" s="430">
        <v>23521</v>
      </c>
      <c r="G137" s="430"/>
      <c r="H137" s="430"/>
      <c r="I137" s="450"/>
      <c r="J137" s="451">
        <v>0.0532012498565415</v>
      </c>
      <c r="K137" s="451">
        <v>0.0580668868403703</v>
      </c>
      <c r="L137" s="451">
        <v>0.0811917036030424</v>
      </c>
      <c r="M137" s="452"/>
      <c r="N137" s="451"/>
      <c r="O137" s="430"/>
      <c r="P137" s="531" t="str">
        <f t="array" ref="P137">INDEX(正厂竞争者数据汇总!I:I,MATCH($A$130&amp;B137,正厂竞争者数据汇总!A:A&amp;正厂竞争者数据汇总!D:D,0))</f>
        <v>2023年2月新增正厂</v>
      </c>
      <c r="Q137" s="429"/>
      <c r="R137" s="421"/>
      <c r="S137" s="472"/>
      <c r="T137" s="466"/>
      <c r="U137" s="466"/>
      <c r="V137" s="466"/>
      <c r="W137" s="466"/>
    </row>
    <row r="138" s="408" customFormat="1" ht="17.4" spans="1:23">
      <c r="A138" s="428" t="s">
        <v>230</v>
      </c>
      <c r="B138" s="421" t="s">
        <v>304</v>
      </c>
      <c r="C138" s="429" t="s">
        <v>247</v>
      </c>
      <c r="D138" s="421" t="s">
        <v>49</v>
      </c>
      <c r="E138" s="430"/>
      <c r="F138" s="430">
        <v>21448.185</v>
      </c>
      <c r="G138" s="430"/>
      <c r="H138" s="430"/>
      <c r="I138" s="450"/>
      <c r="J138" s="451">
        <v>0.0485128289253996</v>
      </c>
      <c r="K138" s="451">
        <v>0.0490604444815607</v>
      </c>
      <c r="L138" s="451">
        <v>0.0557506643830529</v>
      </c>
      <c r="M138" s="452"/>
      <c r="N138" s="451"/>
      <c r="O138" s="430"/>
      <c r="P138" s="531">
        <f t="array" ref="P138">INDEX(正厂竞争者数据汇总!I:I,MATCH($A$130&amp;B138,正厂竞争者数据汇总!A:A&amp;正厂竞争者数据汇总!D:D,0))</f>
        <v>0</v>
      </c>
      <c r="Q138" s="429"/>
      <c r="R138" s="421"/>
      <c r="S138" s="472"/>
      <c r="T138" s="466"/>
      <c r="U138" s="466"/>
      <c r="V138" s="466"/>
      <c r="W138" s="466"/>
    </row>
    <row r="139" s="408" customFormat="1" ht="17.4" spans="1:23">
      <c r="A139" s="428" t="s">
        <v>305</v>
      </c>
      <c r="B139" s="421" t="s">
        <v>306</v>
      </c>
      <c r="C139" s="429" t="s">
        <v>247</v>
      </c>
      <c r="D139" s="421" t="s">
        <v>49</v>
      </c>
      <c r="E139" s="430"/>
      <c r="F139" s="430">
        <v>19775</v>
      </c>
      <c r="G139" s="430"/>
      <c r="H139" s="430"/>
      <c r="I139" s="450"/>
      <c r="J139" s="451">
        <v>0.0447283157992053</v>
      </c>
      <c r="K139" s="451">
        <v>0.0531467686591211</v>
      </c>
      <c r="L139" s="451">
        <v>0.0708636363795469</v>
      </c>
      <c r="M139" s="452"/>
      <c r="N139" s="451"/>
      <c r="O139" s="430"/>
      <c r="P139" s="531">
        <f t="array" ref="P139">INDEX(正厂竞争者数据汇总!I:I,MATCH($A$130&amp;B139,正厂竞争者数据汇总!A:A&amp;正厂竞争者数据汇总!D:D,0))</f>
        <v>0</v>
      </c>
      <c r="Q139" s="429"/>
      <c r="R139" s="421"/>
      <c r="S139" s="472"/>
      <c r="T139" s="466"/>
      <c r="U139" s="466"/>
      <c r="V139" s="466"/>
      <c r="W139" s="466"/>
    </row>
    <row r="141" s="408" customFormat="1" spans="1:23">
      <c r="A141" s="440"/>
      <c r="B141" s="431"/>
      <c r="C141" s="429"/>
      <c r="D141" s="421"/>
      <c r="E141" s="430"/>
      <c r="F141" s="430"/>
      <c r="G141" s="430">
        <v>259436.916666667</v>
      </c>
      <c r="H141" s="430"/>
      <c r="I141" s="453"/>
      <c r="J141" s="451"/>
      <c r="K141" s="451"/>
      <c r="L141" s="451"/>
      <c r="M141" s="451"/>
      <c r="N141" s="451"/>
      <c r="O141" s="430"/>
      <c r="P141" s="531"/>
      <c r="Q141" s="429"/>
      <c r="R141" s="421"/>
      <c r="S141" s="473"/>
      <c r="T141" s="466"/>
      <c r="U141" s="466"/>
      <c r="V141" s="421"/>
      <c r="W141" s="421"/>
    </row>
    <row r="142" s="408" customFormat="1" spans="1:23">
      <c r="A142" s="428"/>
      <c r="B142" s="431"/>
      <c r="C142" s="439"/>
      <c r="D142" s="421"/>
      <c r="E142" s="430"/>
      <c r="F142" s="430">
        <v>442113.673333333</v>
      </c>
      <c r="G142" s="430"/>
      <c r="H142" s="430">
        <v>254943.25</v>
      </c>
      <c r="I142" s="453" t="e">
        <v>#DIV/0!</v>
      </c>
      <c r="J142" s="430"/>
      <c r="K142" s="430"/>
      <c r="L142" s="430"/>
      <c r="M142" s="451"/>
      <c r="N142" s="451">
        <f>SUM(N132:N134)</f>
        <v>0</v>
      </c>
      <c r="O142" s="430"/>
      <c r="P142" s="531"/>
      <c r="Q142" s="429"/>
      <c r="R142" s="421"/>
      <c r="S142" s="473"/>
      <c r="T142" s="466"/>
      <c r="U142" s="466"/>
      <c r="V142" s="421"/>
      <c r="W142" s="421"/>
    </row>
    <row r="143" s="408" customFormat="1" spans="1:23">
      <c r="A143" s="428"/>
      <c r="B143" s="421"/>
      <c r="C143" s="439"/>
      <c r="D143" s="421"/>
      <c r="E143" s="430"/>
      <c r="F143" s="451"/>
      <c r="G143" s="451"/>
      <c r="H143" s="451"/>
      <c r="I143" s="453"/>
      <c r="J143" s="451"/>
      <c r="K143" s="451"/>
      <c r="L143" s="451"/>
      <c r="M143" s="451"/>
      <c r="N143" s="451"/>
      <c r="O143" s="451"/>
      <c r="P143" s="531"/>
      <c r="Q143" s="429"/>
      <c r="R143" s="421"/>
      <c r="S143" s="473"/>
      <c r="T143" s="466"/>
      <c r="U143" s="466"/>
      <c r="V143" s="421"/>
      <c r="W143" s="421"/>
    </row>
    <row r="144" s="408" customFormat="1" ht="17.4" spans="1:23">
      <c r="A144" s="418" t="s">
        <v>177</v>
      </c>
      <c r="B144" s="419"/>
      <c r="C144" s="420"/>
      <c r="D144" s="421"/>
      <c r="E144" s="422" t="s">
        <v>202</v>
      </c>
      <c r="F144" s="422"/>
      <c r="G144" s="422" t="s">
        <v>212</v>
      </c>
      <c r="H144" s="422"/>
      <c r="I144" s="422"/>
      <c r="J144" s="422"/>
      <c r="K144" s="422"/>
      <c r="L144" s="422"/>
      <c r="M144" s="443"/>
      <c r="N144" s="444"/>
      <c r="O144" s="422"/>
      <c r="P144" s="531"/>
      <c r="Q144" s="465"/>
      <c r="R144" s="424"/>
      <c r="S144" s="473"/>
      <c r="T144" s="467"/>
      <c r="U144" s="467"/>
      <c r="V144" s="467"/>
      <c r="W144" s="467"/>
    </row>
    <row r="145" s="409" customFormat="1" ht="48.6" spans="1:23">
      <c r="A145" s="423" t="s">
        <v>206</v>
      </c>
      <c r="B145" s="424" t="s">
        <v>207</v>
      </c>
      <c r="C145" s="425" t="s">
        <v>208</v>
      </c>
      <c r="D145" s="424" t="s">
        <v>209</v>
      </c>
      <c r="E145" s="426" t="s">
        <v>210</v>
      </c>
      <c r="F145" s="427" t="s">
        <v>408</v>
      </c>
      <c r="G145" s="427">
        <v>93920.4166666667</v>
      </c>
      <c r="H145" s="427" t="s">
        <v>397</v>
      </c>
      <c r="I145" s="427" t="s">
        <v>214</v>
      </c>
      <c r="J145" s="446" t="s">
        <v>399</v>
      </c>
      <c r="K145" s="446" t="s">
        <v>403</v>
      </c>
      <c r="L145" s="446" t="s">
        <v>409</v>
      </c>
      <c r="M145" s="447" t="s">
        <v>218</v>
      </c>
      <c r="N145" s="448" t="s">
        <v>219</v>
      </c>
      <c r="O145" s="449" t="s">
        <v>220</v>
      </c>
      <c r="P145" s="530" t="s">
        <v>221</v>
      </c>
      <c r="Q145" s="469" t="s">
        <v>222</v>
      </c>
      <c r="R145" s="426" t="s">
        <v>223</v>
      </c>
      <c r="S145" s="470" t="s">
        <v>224</v>
      </c>
      <c r="T145" s="467" t="s">
        <v>225</v>
      </c>
      <c r="U145" s="470" t="s">
        <v>226</v>
      </c>
      <c r="V145" s="467"/>
      <c r="W145" s="467"/>
    </row>
    <row r="146" s="410" customFormat="1" ht="17.4" spans="1:23">
      <c r="A146" s="432" t="s">
        <v>227</v>
      </c>
      <c r="B146" s="432" t="s">
        <v>178</v>
      </c>
      <c r="C146" s="434" t="s">
        <v>410</v>
      </c>
      <c r="D146" s="435" t="s">
        <v>49</v>
      </c>
      <c r="E146" s="436">
        <f>VLOOKUP(B146,正厂竞争者数据汇总!D:H,4,FALSE)</f>
        <v>0</v>
      </c>
      <c r="F146" s="436">
        <v>92440.75</v>
      </c>
      <c r="G146" s="436">
        <v>19160.4166666667</v>
      </c>
      <c r="H146" s="436">
        <v>93560.5000000002</v>
      </c>
      <c r="I146" s="454">
        <v>3.82456888115689</v>
      </c>
      <c r="J146" s="457">
        <v>0.558279342406974</v>
      </c>
      <c r="K146" s="457">
        <v>0.562325879496778</v>
      </c>
      <c r="L146" s="457">
        <v>0.488490224047266</v>
      </c>
      <c r="M146" s="456" t="e">
        <f>J146-#REF!</f>
        <v>#REF!</v>
      </c>
      <c r="N146" s="457" t="str">
        <f>IFERROR(O146*0.5/#REF!,"")</f>
        <v/>
      </c>
      <c r="O146" s="436" t="s">
        <v>180</v>
      </c>
      <c r="P146" s="531">
        <f t="array" ref="P146">INDEX(正厂竞争者数据汇总!I:I,MATCH($A$144&amp;B146,正厂竞争者数据汇总!A:A&amp;正厂竞争者数据汇总!D:D,0))</f>
        <v>0</v>
      </c>
      <c r="Q146" s="434" t="s">
        <v>324</v>
      </c>
      <c r="R146" s="435" t="s">
        <v>229</v>
      </c>
      <c r="S146" s="476"/>
      <c r="T146" s="477"/>
      <c r="U146" s="477"/>
      <c r="V146" s="435"/>
      <c r="W146" s="435"/>
    </row>
    <row r="147" s="408" customFormat="1" ht="17.4" spans="1:23">
      <c r="A147" s="428" t="s">
        <v>230</v>
      </c>
      <c r="B147" s="421" t="s">
        <v>328</v>
      </c>
      <c r="C147" s="429" t="s">
        <v>247</v>
      </c>
      <c r="D147" s="421" t="s">
        <v>58</v>
      </c>
      <c r="E147" s="430"/>
      <c r="F147" s="430">
        <v>21028</v>
      </c>
      <c r="G147" s="430"/>
      <c r="H147" s="430"/>
      <c r="I147" s="450"/>
      <c r="J147" s="451">
        <v>0.12699483736484</v>
      </c>
      <c r="K147" s="451">
        <v>0.155047083071943</v>
      </c>
      <c r="L147" s="451">
        <v>0.131811742408903</v>
      </c>
      <c r="M147" s="452"/>
      <c r="N147" s="451"/>
      <c r="O147" s="430"/>
      <c r="P147" s="531" t="str">
        <f t="array" ref="P147">INDEX(正厂竞争者数据汇总!I:I,MATCH($A$144&amp;B147,正厂竞争者数据汇总!A:A&amp;正厂竞争者数据汇总!D:D,0))</f>
        <v>2022年1月 新加入 MarketingShare</v>
      </c>
      <c r="Q147" s="429"/>
      <c r="R147" s="421"/>
      <c r="S147" s="472"/>
      <c r="T147" s="466"/>
      <c r="U147" s="466"/>
      <c r="V147" s="466"/>
      <c r="W147" s="466"/>
    </row>
    <row r="148" s="408" customFormat="1" ht="17.4" spans="1:23">
      <c r="A148" s="428" t="s">
        <v>230</v>
      </c>
      <c r="B148" s="421" t="s">
        <v>327</v>
      </c>
      <c r="C148" s="429" t="s">
        <v>247</v>
      </c>
      <c r="D148" s="421" t="s">
        <v>234</v>
      </c>
      <c r="E148" s="430"/>
      <c r="F148" s="430">
        <v>19856.9026666667</v>
      </c>
      <c r="G148" s="430"/>
      <c r="H148" s="430"/>
      <c r="I148" s="450"/>
      <c r="J148" s="451">
        <v>0.119922204904071</v>
      </c>
      <c r="K148" s="451">
        <v>0.0708018650140364</v>
      </c>
      <c r="L148" s="451">
        <v>0.102836407914329</v>
      </c>
      <c r="M148" s="452"/>
      <c r="N148" s="451"/>
      <c r="O148" s="430"/>
      <c r="P148" s="531" t="str">
        <f t="array" ref="P148">INDEX(正厂竞争者数据汇总!I:I,MATCH($A$144&amp;B148,正厂竞争者数据汇总!A:A&amp;正厂竞争者数据汇总!D:D,0))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48" s="429"/>
      <c r="R148" s="421"/>
      <c r="S148" s="472"/>
      <c r="T148" s="466"/>
      <c r="U148" s="466"/>
      <c r="V148" s="466"/>
      <c r="W148" s="466"/>
    </row>
    <row r="149" s="408" customFormat="1" ht="17.4" spans="1:23">
      <c r="A149" s="428" t="s">
        <v>325</v>
      </c>
      <c r="B149" s="421" t="s">
        <v>326</v>
      </c>
      <c r="C149" s="429" t="s">
        <v>301</v>
      </c>
      <c r="D149" s="421" t="s">
        <v>422</v>
      </c>
      <c r="E149" s="430"/>
      <c r="F149" s="430">
        <v>11687.9404</v>
      </c>
      <c r="G149" s="430"/>
      <c r="H149" s="430"/>
      <c r="I149" s="450"/>
      <c r="J149" s="451">
        <v>0.0705872213347891</v>
      </c>
      <c r="K149" s="451">
        <v>0.0429720999864668</v>
      </c>
      <c r="L149" s="451">
        <v>0.0500406587546266</v>
      </c>
      <c r="M149" s="452"/>
      <c r="N149" s="451"/>
      <c r="O149" s="430"/>
      <c r="P149" s="531">
        <f t="array" ref="P149">INDEX(正厂竞争者数据汇总!I:I,MATCH($A$144&amp;B149,正厂竞争者数据汇总!A:A&amp;正厂竞争者数据汇总!D:D,0))</f>
        <v>0</v>
      </c>
      <c r="Q149" s="429"/>
      <c r="R149" s="421"/>
      <c r="S149" s="472"/>
      <c r="T149" s="466"/>
      <c r="U149" s="466"/>
      <c r="V149" s="466"/>
      <c r="W149" s="466"/>
    </row>
    <row r="150" s="408" customFormat="1" ht="17.4" spans="1:23">
      <c r="A150" s="428" t="s">
        <v>230</v>
      </c>
      <c r="B150" s="421" t="s">
        <v>329</v>
      </c>
      <c r="C150" s="429" t="s">
        <v>247</v>
      </c>
      <c r="D150" s="421" t="s">
        <v>58</v>
      </c>
      <c r="E150" s="430"/>
      <c r="F150" s="430">
        <v>10024.2214666667</v>
      </c>
      <c r="G150" s="430"/>
      <c r="H150" s="430"/>
      <c r="I150" s="450"/>
      <c r="J150" s="451">
        <v>0.0605394890083925</v>
      </c>
      <c r="K150" s="451">
        <v>0.0974316507133505</v>
      </c>
      <c r="L150" s="451">
        <v>0.135928892281461</v>
      </c>
      <c r="M150" s="452"/>
      <c r="N150" s="451"/>
      <c r="O150" s="430"/>
      <c r="P150" s="531">
        <f t="array" ref="P150">INDEX(正厂竞争者数据汇总!I:I,MATCH($A$144&amp;B150,正厂竞争者数据汇总!A:A&amp;正厂竞争者数据汇总!D:D,0))</f>
        <v>0</v>
      </c>
      <c r="Q150" s="429"/>
      <c r="R150" s="421"/>
      <c r="S150" s="472"/>
      <c r="T150" s="466"/>
      <c r="U150" s="466"/>
      <c r="V150" s="466"/>
      <c r="W150" s="466"/>
    </row>
    <row r="151" s="408" customFormat="1" ht="17.4" spans="1:23">
      <c r="A151" s="428" t="s">
        <v>230</v>
      </c>
      <c r="B151" s="421" t="s">
        <v>407</v>
      </c>
      <c r="C151" s="429" t="s">
        <v>247</v>
      </c>
      <c r="D151" s="421" t="s">
        <v>417</v>
      </c>
      <c r="E151" s="430"/>
      <c r="F151" s="430">
        <v>6349.38628333333</v>
      </c>
      <c r="G151" s="430"/>
      <c r="H151" s="430"/>
      <c r="I151" s="450"/>
      <c r="J151" s="451">
        <v>0.0383459805220879</v>
      </c>
      <c r="K151" s="451">
        <v>0.0332286203827303</v>
      </c>
      <c r="L151" s="451">
        <v>0.0385769074747716</v>
      </c>
      <c r="M151" s="452"/>
      <c r="N151" s="451"/>
      <c r="O151" s="430"/>
      <c r="P151" s="531" t="str">
        <f t="array" ref="P151">INDEX(正厂竞争者数据汇总!I:I,MATCH($A$144&amp;B151,正厂竞争者数据汇总!A:A&amp;正厂竞争者数据汇总!D:D,0))</f>
        <v>202112新增竞争者</v>
      </c>
      <c r="Q151" s="429"/>
      <c r="R151" s="421"/>
      <c r="S151" s="472"/>
      <c r="T151" s="466"/>
      <c r="U151" s="466"/>
      <c r="V151" s="466"/>
      <c r="W151" s="466"/>
    </row>
    <row r="152" s="408" customFormat="1" ht="17.4" spans="1:23">
      <c r="A152" s="428" t="s">
        <v>230</v>
      </c>
      <c r="B152" s="421" t="s">
        <v>394</v>
      </c>
      <c r="C152" s="429" t="s">
        <v>247</v>
      </c>
      <c r="D152" s="421" t="s">
        <v>420</v>
      </c>
      <c r="E152" s="430"/>
      <c r="F152" s="430">
        <v>4194.33333333333</v>
      </c>
      <c r="G152" s="430"/>
      <c r="H152" s="430"/>
      <c r="I152" s="450"/>
      <c r="J152" s="451">
        <v>0.0253309244588451</v>
      </c>
      <c r="K152" s="451">
        <v>0.0367042547983886</v>
      </c>
      <c r="L152" s="451">
        <v>0.0523151671186428</v>
      </c>
      <c r="M152" s="452"/>
      <c r="N152" s="451"/>
      <c r="O152" s="430"/>
      <c r="P152" s="531" t="str">
        <f t="array" ref="P152">INDEX(正厂竞争者数据汇总!I:I,MATCH($A$144&amp;B152,正厂竞争者数据汇总!A:A&amp;正厂竞争者数据汇总!D:D,0))</f>
        <v>2023/6，因流量上涨加入MS计算基准</v>
      </c>
      <c r="Q152" s="429"/>
      <c r="R152" s="421"/>
      <c r="S152" s="472"/>
      <c r="T152" s="466"/>
      <c r="U152" s="466"/>
      <c r="V152" s="466"/>
      <c r="W152" s="466"/>
    </row>
    <row r="153" s="408" customFormat="1" spans="1:23">
      <c r="A153" s="428"/>
      <c r="B153" s="431"/>
      <c r="C153" s="429"/>
      <c r="D153" s="421"/>
      <c r="E153" s="430"/>
      <c r="F153" s="430"/>
      <c r="G153" s="430">
        <v>161698.333333333</v>
      </c>
      <c r="H153" s="430"/>
      <c r="I153" s="453"/>
      <c r="J153" s="451"/>
      <c r="K153" s="451"/>
      <c r="L153" s="451"/>
      <c r="M153" s="451"/>
      <c r="N153" s="451"/>
      <c r="O153" s="430"/>
      <c r="P153" s="531"/>
      <c r="Q153" s="429"/>
      <c r="R153" s="421"/>
      <c r="S153" s="473"/>
      <c r="T153" s="466"/>
      <c r="U153" s="466"/>
      <c r="V153" s="421"/>
      <c r="W153" s="421"/>
    </row>
    <row r="154" s="408" customFormat="1" spans="1:23">
      <c r="A154" s="428"/>
      <c r="B154" s="421"/>
      <c r="C154" s="439"/>
      <c r="D154" s="421"/>
      <c r="E154" s="430"/>
      <c r="F154" s="430">
        <v>165581.53415</v>
      </c>
      <c r="G154" s="430"/>
      <c r="H154" s="430">
        <v>167907.166666667</v>
      </c>
      <c r="I154" s="453" t="e">
        <v>#DIV/0!</v>
      </c>
      <c r="J154" s="430"/>
      <c r="K154" s="430"/>
      <c r="L154" s="430"/>
      <c r="M154" s="451"/>
      <c r="N154" s="451">
        <f>SUM(N146:N148)</f>
        <v>0</v>
      </c>
      <c r="O154" s="430"/>
      <c r="P154" s="531"/>
      <c r="Q154" s="493"/>
      <c r="R154" s="421"/>
      <c r="S154" s="473"/>
      <c r="T154" s="466"/>
      <c r="U154" s="466"/>
      <c r="V154" s="421"/>
      <c r="W154" s="421"/>
    </row>
    <row r="155" s="408" customFormat="1" spans="1:23">
      <c r="A155" s="428"/>
      <c r="B155" s="421"/>
      <c r="C155" s="439"/>
      <c r="D155" s="421"/>
      <c r="E155" s="430"/>
      <c r="F155" s="430"/>
      <c r="G155" s="430"/>
      <c r="H155" s="430"/>
      <c r="I155" s="453"/>
      <c r="J155" s="430"/>
      <c r="K155" s="430"/>
      <c r="L155" s="430"/>
      <c r="M155" s="451"/>
      <c r="N155" s="451"/>
      <c r="O155" s="430"/>
      <c r="P155" s="531"/>
      <c r="Q155" s="493"/>
      <c r="R155" s="421"/>
      <c r="S155" s="473"/>
      <c r="T155" s="466"/>
      <c r="U155" s="466"/>
      <c r="V155" s="421"/>
      <c r="W155" s="421"/>
    </row>
    <row r="156" s="408" customFormat="1" ht="17.4" spans="1:23">
      <c r="A156" s="418" t="s">
        <v>185</v>
      </c>
      <c r="B156" s="419"/>
      <c r="C156" s="420"/>
      <c r="D156" s="421"/>
      <c r="E156" s="422" t="s">
        <v>202</v>
      </c>
      <c r="F156" s="422"/>
      <c r="G156" s="422" t="s">
        <v>212</v>
      </c>
      <c r="H156" s="422"/>
      <c r="I156" s="422"/>
      <c r="J156" s="422"/>
      <c r="K156" s="422"/>
      <c r="L156" s="422"/>
      <c r="M156" s="443"/>
      <c r="N156" s="444"/>
      <c r="O156" s="422"/>
      <c r="P156" s="531"/>
      <c r="Q156" s="465"/>
      <c r="R156" s="424"/>
      <c r="S156" s="473"/>
      <c r="T156" s="467"/>
      <c r="U156" s="467"/>
      <c r="V156" s="467"/>
      <c r="W156" s="467"/>
    </row>
    <row r="157" s="409" customFormat="1" ht="48.6" spans="1:23">
      <c r="A157" s="423" t="s">
        <v>206</v>
      </c>
      <c r="B157" s="424" t="s">
        <v>207</v>
      </c>
      <c r="C157" s="425" t="s">
        <v>208</v>
      </c>
      <c r="D157" s="424" t="s">
        <v>209</v>
      </c>
      <c r="E157" s="426" t="s">
        <v>210</v>
      </c>
      <c r="F157" s="427" t="s">
        <v>408</v>
      </c>
      <c r="G157" s="427">
        <v>116448.583333333</v>
      </c>
      <c r="H157" s="427" t="s">
        <v>397</v>
      </c>
      <c r="I157" s="427" t="s">
        <v>214</v>
      </c>
      <c r="J157" s="446" t="s">
        <v>399</v>
      </c>
      <c r="K157" s="446" t="s">
        <v>403</v>
      </c>
      <c r="L157" s="446"/>
      <c r="M157" s="447" t="s">
        <v>218</v>
      </c>
      <c r="N157" s="448" t="s">
        <v>219</v>
      </c>
      <c r="O157" s="449" t="s">
        <v>220</v>
      </c>
      <c r="P157" s="530" t="s">
        <v>221</v>
      </c>
      <c r="Q157" s="469" t="s">
        <v>222</v>
      </c>
      <c r="R157" s="426" t="s">
        <v>223</v>
      </c>
      <c r="S157" s="470" t="s">
        <v>224</v>
      </c>
      <c r="T157" s="467" t="s">
        <v>225</v>
      </c>
      <c r="U157" s="470" t="s">
        <v>226</v>
      </c>
      <c r="V157" s="467"/>
      <c r="W157" s="467"/>
    </row>
    <row r="158" s="408" customFormat="1" ht="17.4" spans="1:23">
      <c r="A158" s="428" t="s">
        <v>230</v>
      </c>
      <c r="B158" s="438" t="s">
        <v>330</v>
      </c>
      <c r="C158" s="429" t="s">
        <v>247</v>
      </c>
      <c r="D158" s="421" t="s">
        <v>59</v>
      </c>
      <c r="E158" s="430"/>
      <c r="F158" s="430">
        <v>120021.5</v>
      </c>
      <c r="G158" s="430"/>
      <c r="H158" s="430"/>
      <c r="I158" s="453"/>
      <c r="J158" s="451">
        <v>0.252053643451623</v>
      </c>
      <c r="K158" s="451">
        <v>0.271647046176254</v>
      </c>
      <c r="L158" s="451"/>
      <c r="M158" s="451"/>
      <c r="N158" s="459"/>
      <c r="O158" s="430"/>
      <c r="P158" s="531">
        <f>VLOOKUP(B158,正厂竞争者数据汇总!D:M,6,FALSE)</f>
        <v>0</v>
      </c>
      <c r="Q158" s="429"/>
      <c r="R158" s="421"/>
      <c r="S158" s="473"/>
      <c r="T158" s="466"/>
      <c r="U158" s="466"/>
      <c r="V158" s="421"/>
      <c r="W158" s="421"/>
    </row>
    <row r="159" s="408" customFormat="1" ht="17.4" spans="1:23">
      <c r="A159" s="428" t="s">
        <v>243</v>
      </c>
      <c r="B159" s="438" t="s">
        <v>331</v>
      </c>
      <c r="C159" s="429" t="s">
        <v>413</v>
      </c>
      <c r="D159" s="421" t="s">
        <v>420</v>
      </c>
      <c r="E159" s="430" t="str">
        <f>VLOOKUP(B157,正厂竞争者数据汇总!D:H,4,FALSE)</f>
        <v>Alexa Traffic Rank</v>
      </c>
      <c r="F159" s="430">
        <v>84334.4166666667</v>
      </c>
      <c r="G159" s="430">
        <v>148204.583333333</v>
      </c>
      <c r="H159" s="430">
        <v>93790.0833333333</v>
      </c>
      <c r="I159" s="453">
        <v>-0.430959456382083</v>
      </c>
      <c r="J159" s="451">
        <v>0.177108243016465</v>
      </c>
      <c r="K159" s="451">
        <v>0.216129084438148</v>
      </c>
      <c r="L159" s="451"/>
      <c r="M159" s="451" t="e">
        <f>J159-#REF!</f>
        <v>#REF!</v>
      </c>
      <c r="N159" s="459"/>
      <c r="O159" s="430"/>
      <c r="P159" s="531">
        <f>VLOOKUP(B159,正厂竞争者数据汇总!D:M,6,FALSE)</f>
        <v>0</v>
      </c>
      <c r="Q159" s="429" t="s">
        <v>180</v>
      </c>
      <c r="R159" s="421" t="s">
        <v>180</v>
      </c>
      <c r="S159" s="473"/>
      <c r="T159" s="466"/>
      <c r="U159" s="466"/>
      <c r="V159" s="421"/>
      <c r="W159" s="421"/>
    </row>
    <row r="160" s="408" customFormat="1" ht="17.4" spans="1:23">
      <c r="A160" s="428" t="s">
        <v>230</v>
      </c>
      <c r="B160" s="438" t="s">
        <v>336</v>
      </c>
      <c r="C160" s="429" t="s">
        <v>247</v>
      </c>
      <c r="D160" s="421" t="s">
        <v>422</v>
      </c>
      <c r="E160" s="430"/>
      <c r="F160" s="430">
        <v>77336.8</v>
      </c>
      <c r="G160" s="430"/>
      <c r="H160" s="430"/>
      <c r="I160" s="453"/>
      <c r="J160" s="451">
        <v>0.162412752822532</v>
      </c>
      <c r="K160" s="451">
        <v>0.159790873531664</v>
      </c>
      <c r="L160" s="451"/>
      <c r="M160" s="451"/>
      <c r="N160" s="459"/>
      <c r="O160" s="430"/>
      <c r="P160" s="531" t="str">
        <f>VLOOKUP(B160,正厂竞争者数据汇总!D:M,6,FALSE)</f>
        <v>2023年9月新增</v>
      </c>
      <c r="Q160" s="429"/>
      <c r="R160" s="421"/>
      <c r="S160" s="473"/>
      <c r="T160" s="466"/>
      <c r="U160" s="466"/>
      <c r="V160" s="421"/>
      <c r="W160" s="421"/>
    </row>
    <row r="161" s="408" customFormat="1" ht="17.4" spans="1:23">
      <c r="A161" s="428" t="s">
        <v>332</v>
      </c>
      <c r="B161" s="438" t="s">
        <v>333</v>
      </c>
      <c r="C161" s="429" t="s">
        <v>247</v>
      </c>
      <c r="D161" s="421" t="s">
        <v>60</v>
      </c>
      <c r="E161" s="430"/>
      <c r="F161" s="430">
        <v>68828.75</v>
      </c>
      <c r="G161" s="430"/>
      <c r="H161" s="430"/>
      <c r="I161" s="453"/>
      <c r="J161" s="451">
        <v>0.144545245741146</v>
      </c>
      <c r="K161" s="451">
        <v>0.159544192187682</v>
      </c>
      <c r="L161" s="451"/>
      <c r="M161" s="451"/>
      <c r="N161" s="459"/>
      <c r="O161" s="430"/>
      <c r="P161" s="531" t="str">
        <f>VLOOKUP(B161,正厂竞争者数据汇总!D:M,6,FALSE)</f>
        <v>2023年9月新增，用区号确定的地址</v>
      </c>
      <c r="Q161" s="429"/>
      <c r="R161" s="421"/>
      <c r="S161" s="473"/>
      <c r="T161" s="466"/>
      <c r="U161" s="466"/>
      <c r="V161" s="421"/>
      <c r="W161" s="421"/>
    </row>
    <row r="162" s="408" customFormat="1" ht="17.4" spans="1:23">
      <c r="A162" s="428" t="s">
        <v>230</v>
      </c>
      <c r="B162" s="438" t="s">
        <v>334</v>
      </c>
      <c r="C162" s="429" t="s">
        <v>247</v>
      </c>
      <c r="D162" s="421" t="s">
        <v>50</v>
      </c>
      <c r="E162" s="430"/>
      <c r="F162" s="430">
        <v>48990.3333333334</v>
      </c>
      <c r="G162" s="430"/>
      <c r="H162" s="430"/>
      <c r="I162" s="453"/>
      <c r="J162" s="451">
        <v>0.102883166854074</v>
      </c>
      <c r="K162" s="451">
        <v>0.107928479934056</v>
      </c>
      <c r="L162" s="451"/>
      <c r="M162" s="451"/>
      <c r="N162" s="459"/>
      <c r="O162" s="430"/>
      <c r="P162" s="531">
        <f>VLOOKUP(B162,正厂竞争者数据汇总!D:M,6,FALSE)</f>
        <v>0</v>
      </c>
      <c r="Q162" s="429"/>
      <c r="R162" s="421"/>
      <c r="S162" s="473"/>
      <c r="T162" s="466"/>
      <c r="U162" s="466"/>
      <c r="V162" s="421"/>
      <c r="W162" s="421"/>
    </row>
    <row r="163" s="408" customFormat="1" ht="17.4" spans="1:23">
      <c r="A163" s="428" t="s">
        <v>230</v>
      </c>
      <c r="B163" s="438" t="s">
        <v>335</v>
      </c>
      <c r="C163" s="429" t="s">
        <v>247</v>
      </c>
      <c r="D163" s="421" t="s">
        <v>427</v>
      </c>
      <c r="E163" s="430"/>
      <c r="F163" s="430">
        <v>43947.38</v>
      </c>
      <c r="G163" s="430"/>
      <c r="H163" s="430"/>
      <c r="I163" s="453"/>
      <c r="J163" s="451">
        <v>0.0922926079840112</v>
      </c>
      <c r="K163" s="451"/>
      <c r="L163" s="451"/>
      <c r="M163" s="451"/>
      <c r="N163" s="459"/>
      <c r="O163" s="430"/>
      <c r="P163" s="531" t="str">
        <f>VLOOKUP(B163,正厂竞争者数据汇总!D:M,6,FALSE)</f>
        <v>2023年9月新增</v>
      </c>
      <c r="Q163" s="429"/>
      <c r="R163" s="421"/>
      <c r="S163" s="473"/>
      <c r="T163" s="466"/>
      <c r="U163" s="466"/>
      <c r="V163" s="421"/>
      <c r="W163" s="421"/>
    </row>
    <row r="164" s="408" customFormat="1" ht="17.4" spans="1:23">
      <c r="A164" s="428" t="s">
        <v>230</v>
      </c>
      <c r="B164" s="438" t="s">
        <v>337</v>
      </c>
      <c r="C164" s="429" t="s">
        <v>428</v>
      </c>
      <c r="D164" s="421" t="s">
        <v>412</v>
      </c>
      <c r="E164" s="430"/>
      <c r="F164" s="430">
        <v>32715.25</v>
      </c>
      <c r="G164" s="430"/>
      <c r="H164" s="430"/>
      <c r="I164" s="453"/>
      <c r="J164" s="451">
        <v>0.0687043401301494</v>
      </c>
      <c r="K164" s="451">
        <v>0.0849603237321943</v>
      </c>
      <c r="L164" s="451"/>
      <c r="M164" s="451"/>
      <c r="N164" s="459"/>
      <c r="O164" s="430"/>
      <c r="P164" s="531" t="str">
        <f>VLOOKUP(B164,正厂竞争者数据汇总!D:M,6,FALSE)</f>
        <v>主营Acc</v>
      </c>
      <c r="Q164" s="429"/>
      <c r="R164" s="421"/>
      <c r="S164" s="473"/>
      <c r="T164" s="466"/>
      <c r="U164" s="466"/>
      <c r="V164" s="421"/>
      <c r="W164" s="421"/>
    </row>
    <row r="165" s="410" customFormat="1" spans="1:23">
      <c r="A165" s="432"/>
      <c r="B165" s="433"/>
      <c r="C165" s="434"/>
      <c r="D165" s="421"/>
      <c r="E165" s="436"/>
      <c r="F165" s="436"/>
      <c r="G165" s="436">
        <v>417528.5</v>
      </c>
      <c r="H165" s="436"/>
      <c r="I165" s="453"/>
      <c r="J165" s="457"/>
      <c r="K165" s="457"/>
      <c r="L165" s="457"/>
      <c r="M165" s="451"/>
      <c r="N165" s="455"/>
      <c r="O165" s="436"/>
      <c r="P165" s="531"/>
      <c r="Q165" s="500"/>
      <c r="R165" s="501"/>
      <c r="S165" s="473"/>
      <c r="T165" s="466"/>
      <c r="U165" s="466"/>
      <c r="V165" s="435"/>
      <c r="W165" s="435"/>
    </row>
    <row r="166" s="408" customFormat="1" spans="1:23">
      <c r="A166" s="428"/>
      <c r="B166" s="421"/>
      <c r="C166" s="439"/>
      <c r="D166" s="421"/>
      <c r="E166" s="430"/>
      <c r="F166" s="430">
        <v>476174.43</v>
      </c>
      <c r="G166" s="430"/>
      <c r="H166" s="430">
        <v>484652.583333333</v>
      </c>
      <c r="I166" s="453" t="e">
        <v>#DIV/0!</v>
      </c>
      <c r="J166" s="430"/>
      <c r="K166" s="430"/>
      <c r="L166" s="430"/>
      <c r="M166" s="451"/>
      <c r="N166" s="459"/>
      <c r="O166" s="430"/>
      <c r="P166" s="531"/>
      <c r="Q166" s="429"/>
      <c r="R166" s="421"/>
      <c r="S166" s="473"/>
      <c r="T166" s="466"/>
      <c r="U166" s="466"/>
      <c r="V166" s="421"/>
      <c r="W166" s="421"/>
    </row>
    <row r="167" s="408" customFormat="1" spans="1:23">
      <c r="A167" s="423"/>
      <c r="B167" s="421"/>
      <c r="C167" s="425"/>
      <c r="D167" s="421"/>
      <c r="E167" s="430"/>
      <c r="F167" s="430"/>
      <c r="G167" s="430"/>
      <c r="H167" s="430"/>
      <c r="I167" s="453"/>
      <c r="J167" s="430"/>
      <c r="K167" s="430"/>
      <c r="L167" s="430"/>
      <c r="M167" s="451"/>
      <c r="N167" s="459"/>
      <c r="O167" s="430"/>
      <c r="P167" s="531"/>
      <c r="Q167" s="429"/>
      <c r="R167" s="421"/>
      <c r="S167" s="473"/>
      <c r="T167" s="466"/>
      <c r="U167" s="466"/>
      <c r="V167" s="421"/>
      <c r="W167" s="421"/>
    </row>
    <row r="168" s="408" customFormat="1" ht="17.4" spans="1:23">
      <c r="A168" s="418" t="s">
        <v>189</v>
      </c>
      <c r="B168" s="419"/>
      <c r="C168" s="420"/>
      <c r="D168" s="421"/>
      <c r="E168" s="422" t="s">
        <v>202</v>
      </c>
      <c r="F168" s="422"/>
      <c r="G168" s="422" t="s">
        <v>212</v>
      </c>
      <c r="H168" s="422"/>
      <c r="I168" s="422"/>
      <c r="J168" s="422"/>
      <c r="K168" s="422"/>
      <c r="L168" s="422"/>
      <c r="M168" s="443"/>
      <c r="N168" s="422"/>
      <c r="O168" s="422"/>
      <c r="P168" s="531"/>
      <c r="Q168" s="465"/>
      <c r="R168" s="424"/>
      <c r="S168" s="473"/>
      <c r="T168" s="467"/>
      <c r="U168" s="467"/>
      <c r="V168" s="467"/>
      <c r="W168" s="467"/>
    </row>
    <row r="169" s="409" customFormat="1" ht="48.6" spans="1:23">
      <c r="A169" s="423" t="s">
        <v>206</v>
      </c>
      <c r="B169" s="424" t="s">
        <v>207</v>
      </c>
      <c r="C169" s="425" t="s">
        <v>208</v>
      </c>
      <c r="D169" s="424" t="s">
        <v>209</v>
      </c>
      <c r="E169" s="426" t="s">
        <v>210</v>
      </c>
      <c r="F169" s="427" t="s">
        <v>408</v>
      </c>
      <c r="G169" s="427">
        <v>116448.583333333</v>
      </c>
      <c r="H169" s="427" t="s">
        <v>397</v>
      </c>
      <c r="I169" s="427" t="s">
        <v>214</v>
      </c>
      <c r="J169" s="446" t="s">
        <v>399</v>
      </c>
      <c r="K169" s="446" t="s">
        <v>403</v>
      </c>
      <c r="L169" s="446"/>
      <c r="M169" s="447" t="s">
        <v>218</v>
      </c>
      <c r="N169" s="448" t="s">
        <v>219</v>
      </c>
      <c r="O169" s="449" t="s">
        <v>220</v>
      </c>
      <c r="P169" s="530" t="s">
        <v>221</v>
      </c>
      <c r="Q169" s="469" t="s">
        <v>222</v>
      </c>
      <c r="R169" s="426" t="s">
        <v>223</v>
      </c>
      <c r="S169" s="470" t="s">
        <v>224</v>
      </c>
      <c r="T169" s="467" t="s">
        <v>225</v>
      </c>
      <c r="U169" s="470" t="s">
        <v>226</v>
      </c>
      <c r="V169" s="467"/>
      <c r="W169" s="467"/>
    </row>
    <row r="170" s="408" customFormat="1" ht="17.4" spans="1:23">
      <c r="A170" s="428" t="s">
        <v>230</v>
      </c>
      <c r="B170" s="421" t="s">
        <v>354</v>
      </c>
      <c r="C170" s="429" t="s">
        <v>247</v>
      </c>
      <c r="D170" s="421" t="s">
        <v>411</v>
      </c>
      <c r="E170" s="430"/>
      <c r="F170" s="430">
        <v>117963.166666667</v>
      </c>
      <c r="G170" s="430"/>
      <c r="H170" s="430"/>
      <c r="I170" s="453"/>
      <c r="J170" s="451">
        <v>0.469682974706976</v>
      </c>
      <c r="K170" s="451">
        <v>0.446506805834718</v>
      </c>
      <c r="L170" s="451"/>
      <c r="M170" s="451"/>
      <c r="N170" s="459"/>
      <c r="O170" s="430"/>
      <c r="P170" s="531">
        <f>VLOOKUP(B170,正厂竞争者数据汇总!D:M,6,FALSE)</f>
        <v>0</v>
      </c>
      <c r="Q170" s="429"/>
      <c r="R170" s="421"/>
      <c r="S170" s="473"/>
      <c r="T170" s="466"/>
      <c r="U170" s="466"/>
      <c r="V170" s="421"/>
      <c r="W170" s="421"/>
    </row>
    <row r="171" s="408" customFormat="1" ht="17.4" spans="1:23">
      <c r="A171" s="428" t="s">
        <v>243</v>
      </c>
      <c r="B171" s="421" t="s">
        <v>355</v>
      </c>
      <c r="C171" s="429" t="s">
        <v>413</v>
      </c>
      <c r="D171" s="421" t="s">
        <v>420</v>
      </c>
      <c r="E171" s="430" t="e">
        <f>VLOOKUP(B175,正厂竞争者数据汇总!D:H,4,FALSE)</f>
        <v>#N/A</v>
      </c>
      <c r="F171" s="430">
        <v>46042.5</v>
      </c>
      <c r="G171" s="430">
        <v>128</v>
      </c>
      <c r="H171" s="430">
        <v>27911.6666666667</v>
      </c>
      <c r="I171" s="453">
        <v>358.70703125</v>
      </c>
      <c r="J171" s="451">
        <v>0.183323142079202</v>
      </c>
      <c r="K171" s="451">
        <v>0.185707952479706</v>
      </c>
      <c r="L171" s="451"/>
      <c r="M171" s="451"/>
      <c r="N171" s="459"/>
      <c r="O171" s="430"/>
      <c r="P171" s="531">
        <f>VLOOKUP(B171,正厂竞争者数据汇总!D:M,6,FALSE)</f>
        <v>0</v>
      </c>
      <c r="Q171" s="429" t="s">
        <v>180</v>
      </c>
      <c r="R171" s="421" t="s">
        <v>180</v>
      </c>
      <c r="S171" s="473"/>
      <c r="T171" s="466"/>
      <c r="U171" s="466"/>
      <c r="V171" s="421"/>
      <c r="W171" s="421"/>
    </row>
    <row r="172" s="408" customFormat="1" ht="17.4" spans="1:23">
      <c r="A172" s="428" t="s">
        <v>243</v>
      </c>
      <c r="B172" s="421" t="s">
        <v>353</v>
      </c>
      <c r="C172" s="429" t="s">
        <v>247</v>
      </c>
      <c r="D172" s="421" t="s">
        <v>429</v>
      </c>
      <c r="E172" s="430">
        <f>VLOOKUP(B174,正厂竞争者数据汇总!D:H,4,FALSE)</f>
        <v>0</v>
      </c>
      <c r="F172" s="430">
        <v>36548.9</v>
      </c>
      <c r="G172" s="430">
        <v>127</v>
      </c>
      <c r="H172" s="430">
        <v>27910.6666666667</v>
      </c>
      <c r="I172" s="453">
        <v>286.786614173228</v>
      </c>
      <c r="J172" s="451">
        <v>0.145523357496629</v>
      </c>
      <c r="K172" s="451">
        <v>0.164547726474867</v>
      </c>
      <c r="L172" s="451"/>
      <c r="M172" s="451" t="e">
        <f>J172-#REF!</f>
        <v>#REF!</v>
      </c>
      <c r="N172" s="459"/>
      <c r="O172" s="430"/>
      <c r="P172" s="531" t="str">
        <f>VLOOKUP(B172,正厂竞争者数据汇总!D:M,6,FALSE)</f>
        <v>2023年9月新增</v>
      </c>
      <c r="Q172" s="429" t="s">
        <v>180</v>
      </c>
      <c r="R172" s="421" t="s">
        <v>180</v>
      </c>
      <c r="S172" s="473"/>
      <c r="T172" s="466"/>
      <c r="U172" s="466"/>
      <c r="V172" s="421"/>
      <c r="W172" s="421"/>
    </row>
    <row r="173" s="408" customFormat="1" ht="17.4" spans="1:23">
      <c r="A173" s="428" t="s">
        <v>230</v>
      </c>
      <c r="B173" s="421" t="s">
        <v>352</v>
      </c>
      <c r="C173" s="429" t="s">
        <v>247</v>
      </c>
      <c r="D173" s="421" t="s">
        <v>234</v>
      </c>
      <c r="E173" s="430" t="e">
        <f>VLOOKUP(B176,正厂竞争者数据汇总!D:H,4,FALSE)</f>
        <v>#N/A</v>
      </c>
      <c r="F173" s="430">
        <v>34841.63712</v>
      </c>
      <c r="G173" s="430">
        <v>129</v>
      </c>
      <c r="H173" s="430">
        <v>27912.6666666667</v>
      </c>
      <c r="I173" s="453">
        <v>269.090210232558</v>
      </c>
      <c r="J173" s="451">
        <v>0.138725707596715</v>
      </c>
      <c r="K173" s="451">
        <v>0.123264335985182</v>
      </c>
      <c r="L173" s="451"/>
      <c r="M173" s="451"/>
      <c r="N173" s="459"/>
      <c r="O173" s="430"/>
      <c r="P173" s="531" t="str">
        <f>VLOOKUP(B173,正厂竞争者数据汇总!D:M,6,FALSE)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73" s="429"/>
      <c r="R173" s="421"/>
      <c r="S173" s="473"/>
      <c r="T173" s="466"/>
      <c r="U173" s="466"/>
      <c r="V173" s="421"/>
      <c r="W173" s="421"/>
    </row>
    <row r="174" s="408" customFormat="1" ht="17.4" spans="1:23">
      <c r="A174" s="428" t="s">
        <v>230</v>
      </c>
      <c r="B174" s="431" t="s">
        <v>356</v>
      </c>
      <c r="C174" s="429" t="s">
        <v>247</v>
      </c>
      <c r="D174" s="421" t="s">
        <v>414</v>
      </c>
      <c r="E174" s="430">
        <f>VLOOKUP(B174,正厂竞争者数据汇总!D:H,4,FALSE)</f>
        <v>0</v>
      </c>
      <c r="F174" s="430">
        <v>15758.6666666667</v>
      </c>
      <c r="G174" s="430">
        <v>23846.5</v>
      </c>
      <c r="H174" s="430">
        <v>201650.166666667</v>
      </c>
      <c r="I174" s="453">
        <v>-0.33916228097764</v>
      </c>
      <c r="J174" s="451">
        <v>0.0627448181204782</v>
      </c>
      <c r="K174" s="451">
        <v>0.0799731792255282</v>
      </c>
      <c r="L174" s="451"/>
      <c r="M174" s="451" t="e">
        <f>J174-#REF!</f>
        <v>#REF!</v>
      </c>
      <c r="N174" s="459"/>
      <c r="O174" s="430"/>
      <c r="P174" s="531">
        <f>VLOOKUP(B174,正厂竞争者数据汇总!D:M,6,FALSE)</f>
        <v>0</v>
      </c>
      <c r="Q174" s="429" t="s">
        <v>180</v>
      </c>
      <c r="R174" s="421" t="s">
        <v>180</v>
      </c>
      <c r="S174" s="473"/>
      <c r="T174" s="466"/>
      <c r="U174" s="466"/>
      <c r="V174" s="421"/>
      <c r="W174" s="421"/>
    </row>
    <row r="175" s="410" customFormat="1" spans="1:23">
      <c r="A175" s="432"/>
      <c r="B175" s="433"/>
      <c r="C175" s="434"/>
      <c r="D175" s="421"/>
      <c r="E175" s="436"/>
      <c r="F175" s="436"/>
      <c r="G175" s="436">
        <v>749876.416666666</v>
      </c>
      <c r="H175" s="436"/>
      <c r="I175" s="453"/>
      <c r="J175" s="457"/>
      <c r="K175" s="457"/>
      <c r="L175" s="457"/>
      <c r="M175" s="451"/>
      <c r="N175" s="455"/>
      <c r="O175" s="436"/>
      <c r="P175" s="531"/>
      <c r="Q175" s="434"/>
      <c r="R175" s="435"/>
      <c r="S175" s="473"/>
      <c r="T175" s="466"/>
      <c r="U175" s="466"/>
      <c r="V175" s="435"/>
      <c r="W175" s="435"/>
    </row>
    <row r="176" s="408" customFormat="1" spans="1:23">
      <c r="A176" s="428"/>
      <c r="B176" s="421"/>
      <c r="C176" s="439"/>
      <c r="D176" s="421"/>
      <c r="E176" s="430"/>
      <c r="F176" s="430">
        <v>251154.870453334</v>
      </c>
      <c r="G176" s="430"/>
      <c r="H176" s="430">
        <v>829193.583333334</v>
      </c>
      <c r="I176" s="453" t="e">
        <v>#DIV/0!</v>
      </c>
      <c r="J176" s="430"/>
      <c r="K176" s="430"/>
      <c r="L176" s="430"/>
      <c r="M176" s="451"/>
      <c r="N176" s="459"/>
      <c r="O176" s="430"/>
      <c r="P176" s="531"/>
      <c r="Q176" s="429"/>
      <c r="R176" s="421"/>
      <c r="S176" s="473"/>
      <c r="T176" s="466"/>
      <c r="U176" s="466"/>
      <c r="V176" s="421"/>
      <c r="W176" s="421"/>
    </row>
    <row r="177" s="408" customFormat="1" spans="1:23">
      <c r="A177" s="428"/>
      <c r="B177" s="421"/>
      <c r="C177" s="439"/>
      <c r="D177" s="421"/>
      <c r="E177" s="430"/>
      <c r="F177" s="430"/>
      <c r="G177" s="430"/>
      <c r="H177" s="430"/>
      <c r="I177" s="453"/>
      <c r="J177" s="430"/>
      <c r="K177" s="430"/>
      <c r="L177" s="430"/>
      <c r="M177" s="451"/>
      <c r="N177" s="459"/>
      <c r="O177" s="430"/>
      <c r="P177" s="531"/>
      <c r="Q177" s="429"/>
      <c r="R177" s="421"/>
      <c r="S177" s="473"/>
      <c r="T177" s="466"/>
      <c r="U177" s="466"/>
      <c r="V177" s="421"/>
      <c r="W177" s="421"/>
    </row>
    <row r="178" s="408" customFormat="1" ht="17.4" spans="1:23">
      <c r="A178" s="418" t="s">
        <v>187</v>
      </c>
      <c r="B178" s="419"/>
      <c r="C178" s="420"/>
      <c r="D178" s="421"/>
      <c r="E178" s="422" t="s">
        <v>202</v>
      </c>
      <c r="F178" s="422"/>
      <c r="G178" s="422" t="s">
        <v>212</v>
      </c>
      <c r="H178" s="422"/>
      <c r="I178" s="422"/>
      <c r="J178" s="422"/>
      <c r="K178" s="422"/>
      <c r="L178" s="422"/>
      <c r="M178" s="443"/>
      <c r="N178" s="422"/>
      <c r="O178" s="422"/>
      <c r="P178" s="531"/>
      <c r="Q178" s="465"/>
      <c r="R178" s="424"/>
      <c r="S178" s="473"/>
      <c r="T178" s="467"/>
      <c r="U178" s="467"/>
      <c r="V178" s="467"/>
      <c r="W178" s="467"/>
    </row>
    <row r="179" s="409" customFormat="1" ht="48.6" spans="1:23">
      <c r="A179" s="423" t="s">
        <v>206</v>
      </c>
      <c r="B179" s="424" t="s">
        <v>207</v>
      </c>
      <c r="C179" s="425" t="s">
        <v>208</v>
      </c>
      <c r="D179" s="424" t="s">
        <v>209</v>
      </c>
      <c r="E179" s="426" t="s">
        <v>210</v>
      </c>
      <c r="F179" s="427" t="s">
        <v>408</v>
      </c>
      <c r="G179" s="427">
        <v>116448.583333333</v>
      </c>
      <c r="H179" s="427" t="s">
        <v>397</v>
      </c>
      <c r="I179" s="427" t="s">
        <v>214</v>
      </c>
      <c r="J179" s="446" t="s">
        <v>399</v>
      </c>
      <c r="K179" s="446" t="s">
        <v>403</v>
      </c>
      <c r="L179" s="446"/>
      <c r="M179" s="447" t="s">
        <v>218</v>
      </c>
      <c r="N179" s="448" t="s">
        <v>219</v>
      </c>
      <c r="O179" s="449" t="s">
        <v>220</v>
      </c>
      <c r="P179" s="530" t="s">
        <v>221</v>
      </c>
      <c r="Q179" s="469" t="s">
        <v>222</v>
      </c>
      <c r="R179" s="426" t="s">
        <v>223</v>
      </c>
      <c r="S179" s="470" t="s">
        <v>224</v>
      </c>
      <c r="T179" s="467" t="s">
        <v>225</v>
      </c>
      <c r="U179" s="470" t="s">
        <v>226</v>
      </c>
      <c r="V179" s="467"/>
      <c r="W179" s="467"/>
    </row>
    <row r="180" s="408" customFormat="1" ht="17.4" spans="1:23">
      <c r="A180" s="428" t="s">
        <v>230</v>
      </c>
      <c r="B180" s="438" t="s">
        <v>341</v>
      </c>
      <c r="C180" s="429" t="s">
        <v>247</v>
      </c>
      <c r="D180" s="421" t="s">
        <v>422</v>
      </c>
      <c r="E180" s="430">
        <f>VLOOKUP(B180,正厂竞争者数据汇总!D:H,4,FALSE)</f>
        <v>0</v>
      </c>
      <c r="F180" s="430">
        <v>88846</v>
      </c>
      <c r="G180" s="430">
        <v>1355.75</v>
      </c>
      <c r="H180" s="430">
        <v>65360.75</v>
      </c>
      <c r="I180" s="453">
        <v>64.5327309607228</v>
      </c>
      <c r="J180" s="451">
        <v>0.295078981221414</v>
      </c>
      <c r="K180" s="451">
        <v>0.264848737997803</v>
      </c>
      <c r="L180" s="451"/>
      <c r="M180" s="451" t="e">
        <f>J180-#REF!</f>
        <v>#REF!</v>
      </c>
      <c r="N180" s="459"/>
      <c r="O180" s="430"/>
      <c r="P180" s="531">
        <f>VLOOKUP(B180,正厂竞争者数据汇总!D:M,6,FALSE)</f>
        <v>0</v>
      </c>
      <c r="Q180" s="429" t="s">
        <v>180</v>
      </c>
      <c r="R180" s="421" t="s">
        <v>180</v>
      </c>
      <c r="S180" s="473"/>
      <c r="T180" s="466"/>
      <c r="U180" s="466"/>
      <c r="V180" s="421"/>
      <c r="W180" s="421"/>
    </row>
    <row r="181" s="408" customFormat="1" ht="17.4" spans="1:23">
      <c r="A181" s="428" t="s">
        <v>230</v>
      </c>
      <c r="B181" s="438" t="s">
        <v>346</v>
      </c>
      <c r="C181" s="429" t="s">
        <v>247</v>
      </c>
      <c r="D181" s="421" t="s">
        <v>58</v>
      </c>
      <c r="E181" s="430">
        <f>VLOOKUP(B181,正厂竞争者数据汇总!D:H,4,FALSE)</f>
        <v>0</v>
      </c>
      <c r="F181" s="430">
        <v>37108.2</v>
      </c>
      <c r="G181" s="430">
        <v>1364.75</v>
      </c>
      <c r="H181" s="430">
        <v>65369.75</v>
      </c>
      <c r="I181" s="453">
        <v>26.1904744458692</v>
      </c>
      <c r="J181" s="451">
        <v>0.123245276669298</v>
      </c>
      <c r="K181" s="451">
        <v>0.138073929862325</v>
      </c>
      <c r="L181" s="451"/>
      <c r="M181" s="451"/>
      <c r="N181" s="459"/>
      <c r="O181" s="430"/>
      <c r="P181" s="531" t="str">
        <f>VLOOKUP(B181,正厂竞争者数据汇总!D:M,6,FALSE)</f>
        <v>2023年9月新增</v>
      </c>
      <c r="Q181" s="429"/>
      <c r="R181" s="421"/>
      <c r="S181" s="473"/>
      <c r="T181" s="466"/>
      <c r="U181" s="466"/>
      <c r="V181" s="421"/>
      <c r="W181" s="421"/>
    </row>
    <row r="182" s="408" customFormat="1" ht="17.4" spans="1:23">
      <c r="A182" s="428" t="s">
        <v>230</v>
      </c>
      <c r="B182" s="438" t="s">
        <v>344</v>
      </c>
      <c r="C182" s="429" t="s">
        <v>247</v>
      </c>
      <c r="D182" s="421" t="s">
        <v>234</v>
      </c>
      <c r="E182" s="430">
        <f>VLOOKUP(B182,正厂竞争者数据汇总!D:H,4,FALSE)</f>
        <v>0</v>
      </c>
      <c r="F182" s="430">
        <v>28929.8333333333</v>
      </c>
      <c r="G182" s="430">
        <v>1363.75</v>
      </c>
      <c r="H182" s="430">
        <v>65368.75</v>
      </c>
      <c r="I182" s="453">
        <v>20.2134433241674</v>
      </c>
      <c r="J182" s="451">
        <v>0.0960829496759033</v>
      </c>
      <c r="K182" s="451">
        <v>0.0851532290539191</v>
      </c>
      <c r="L182" s="451"/>
      <c r="M182" s="451"/>
      <c r="N182" s="459"/>
      <c r="O182" s="430"/>
      <c r="P182" s="531">
        <f>VLOOKUP(B182,正厂竞争者数据汇总!D:M,6,FALSE)</f>
        <v>0</v>
      </c>
      <c r="Q182" s="429"/>
      <c r="R182" s="421"/>
      <c r="S182" s="473"/>
      <c r="T182" s="466"/>
      <c r="U182" s="466"/>
      <c r="V182" s="421"/>
      <c r="W182" s="421"/>
    </row>
    <row r="183" s="408" customFormat="1" ht="17.4" spans="1:23">
      <c r="A183" s="428" t="s">
        <v>230</v>
      </c>
      <c r="B183" s="438" t="s">
        <v>342</v>
      </c>
      <c r="C183" s="429" t="s">
        <v>247</v>
      </c>
      <c r="D183" s="421" t="s">
        <v>430</v>
      </c>
      <c r="E183" s="430">
        <f>VLOOKUP(B183,正厂竞争者数据汇总!D:H,4,FALSE)</f>
        <v>0</v>
      </c>
      <c r="F183" s="430">
        <v>24885.1</v>
      </c>
      <c r="G183" s="430">
        <v>1360.75</v>
      </c>
      <c r="H183" s="430">
        <v>65365.75</v>
      </c>
      <c r="I183" s="453">
        <v>17.287782472901</v>
      </c>
      <c r="J183" s="451">
        <v>0.0826494153433246</v>
      </c>
      <c r="K183" s="451">
        <v>0.101365554071115</v>
      </c>
      <c r="L183" s="451"/>
      <c r="M183" s="451"/>
      <c r="N183" s="459"/>
      <c r="O183" s="430"/>
      <c r="P183" s="531" t="str">
        <f>VLOOKUP(B183,正厂竞争者数据汇总!D:M,6,FALSE)</f>
        <v>2023年9月新增</v>
      </c>
      <c r="Q183" s="429"/>
      <c r="R183" s="421"/>
      <c r="S183" s="473"/>
      <c r="T183" s="466"/>
      <c r="U183" s="466"/>
      <c r="V183" s="421"/>
      <c r="W183" s="421"/>
    </row>
    <row r="184" s="408" customFormat="1" ht="17.4" spans="1:23">
      <c r="A184" s="428" t="s">
        <v>230</v>
      </c>
      <c r="B184" s="438" t="s">
        <v>348</v>
      </c>
      <c r="C184" s="429" t="s">
        <v>247</v>
      </c>
      <c r="D184" s="421" t="s">
        <v>234</v>
      </c>
      <c r="E184" s="430">
        <f>VLOOKUP(B184,正厂竞争者数据汇总!D:H,4,FALSE)</f>
        <v>0</v>
      </c>
      <c r="F184" s="430">
        <v>21681.5</v>
      </c>
      <c r="G184" s="430">
        <v>1362.75</v>
      </c>
      <c r="H184" s="430">
        <v>65367.75</v>
      </c>
      <c r="I184" s="453">
        <v>14.9101082370207</v>
      </c>
      <c r="J184" s="451">
        <v>0.0720094875554566</v>
      </c>
      <c r="K184" s="451">
        <v>0.0724764695167118</v>
      </c>
      <c r="L184" s="451"/>
      <c r="M184" s="451"/>
      <c r="N184" s="459"/>
      <c r="O184" s="430"/>
      <c r="P184" s="531" t="str">
        <f>VLOOKUP(B184,正厂竞争者数据汇总!D:M,6,FALSE)</f>
        <v>2023年9月新增</v>
      </c>
      <c r="Q184" s="429"/>
      <c r="R184" s="421"/>
      <c r="S184" s="473"/>
      <c r="T184" s="466"/>
      <c r="U184" s="466"/>
      <c r="V184" s="421"/>
      <c r="W184" s="421"/>
    </row>
    <row r="185" s="408" customFormat="1" ht="17.4" spans="1:23">
      <c r="A185" s="428" t="s">
        <v>230</v>
      </c>
      <c r="B185" s="438" t="s">
        <v>343</v>
      </c>
      <c r="C185" s="429" t="s">
        <v>247</v>
      </c>
      <c r="D185" s="421" t="s">
        <v>234</v>
      </c>
      <c r="E185" s="430">
        <f>VLOOKUP(B185,正厂竞争者数据汇总!D:H,4,FALSE)</f>
        <v>0</v>
      </c>
      <c r="F185" s="430">
        <v>19534.4</v>
      </c>
      <c r="G185" s="430">
        <v>1368.75</v>
      </c>
      <c r="H185" s="430">
        <v>65373.75</v>
      </c>
      <c r="I185" s="453">
        <v>13.2717077625571</v>
      </c>
      <c r="J185" s="451">
        <v>0.0648784509237512</v>
      </c>
      <c r="K185" s="451">
        <v>0.0931430037893905</v>
      </c>
      <c r="L185" s="451"/>
      <c r="M185" s="451"/>
      <c r="N185" s="459"/>
      <c r="O185" s="430"/>
      <c r="P185" s="531" t="str">
        <f>VLOOKUP(B185,正厂竞争者数据汇总!D:M,6,FALSE)</f>
        <v>2023年9月新增</v>
      </c>
      <c r="Q185" s="429"/>
      <c r="R185" s="421"/>
      <c r="S185" s="473"/>
      <c r="T185" s="466"/>
      <c r="U185" s="466"/>
      <c r="V185" s="421"/>
      <c r="W185" s="421"/>
    </row>
    <row r="186" s="408" customFormat="1" ht="17.4" spans="1:23">
      <c r="A186" s="428" t="s">
        <v>230</v>
      </c>
      <c r="B186" s="438" t="s">
        <v>347</v>
      </c>
      <c r="C186" s="429" t="s">
        <v>247</v>
      </c>
      <c r="D186" s="421" t="s">
        <v>234</v>
      </c>
      <c r="E186" s="430">
        <f>VLOOKUP(B186,正厂竞争者数据汇总!D:H,4,FALSE)</f>
        <v>0</v>
      </c>
      <c r="F186" s="430">
        <v>19274.8</v>
      </c>
      <c r="G186" s="430">
        <v>1361.75</v>
      </c>
      <c r="H186" s="430">
        <v>65366.75</v>
      </c>
      <c r="I186" s="453">
        <v>13.1544336331926</v>
      </c>
      <c r="J186" s="451">
        <v>0.0640162567504054</v>
      </c>
      <c r="K186" s="451">
        <v>0.0797252967387583</v>
      </c>
      <c r="L186" s="451"/>
      <c r="M186" s="451"/>
      <c r="N186" s="459"/>
      <c r="O186" s="430"/>
      <c r="P186" s="531" t="str">
        <f>VLOOKUP(B186,正厂竞争者数据汇总!D:M,6,FALSE)</f>
        <v>2023年9月新增</v>
      </c>
      <c r="Q186" s="429"/>
      <c r="R186" s="421"/>
      <c r="S186" s="473"/>
      <c r="T186" s="466"/>
      <c r="U186" s="466"/>
      <c r="V186" s="421"/>
      <c r="W186" s="421"/>
    </row>
    <row r="187" s="408" customFormat="1" ht="17.4" spans="1:23">
      <c r="A187" s="428" t="s">
        <v>230</v>
      </c>
      <c r="B187" s="438" t="s">
        <v>345</v>
      </c>
      <c r="C187" s="429" t="s">
        <v>247</v>
      </c>
      <c r="D187" s="421" t="s">
        <v>49</v>
      </c>
      <c r="E187" s="430">
        <f>VLOOKUP(B187,正厂竞争者数据汇总!D:H,4,FALSE)</f>
        <v>0</v>
      </c>
      <c r="F187" s="430">
        <v>19236.1</v>
      </c>
      <c r="G187" s="430">
        <v>1363.75</v>
      </c>
      <c r="H187" s="430">
        <v>65368.75</v>
      </c>
      <c r="I187" s="453">
        <v>13.1052978918423</v>
      </c>
      <c r="J187" s="451">
        <v>0.0638877247222525</v>
      </c>
      <c r="K187" s="451"/>
      <c r="L187" s="451"/>
      <c r="M187" s="451"/>
      <c r="N187" s="459"/>
      <c r="O187" s="430"/>
      <c r="P187" s="531"/>
      <c r="Q187" s="429"/>
      <c r="R187" s="421"/>
      <c r="S187" s="473"/>
      <c r="T187" s="466"/>
      <c r="U187" s="466"/>
      <c r="V187" s="421"/>
      <c r="W187" s="421"/>
    </row>
    <row r="188" s="408" customFormat="1" ht="17.4" spans="1:23">
      <c r="A188" s="428" t="s">
        <v>230</v>
      </c>
      <c r="B188" s="438" t="s">
        <v>349</v>
      </c>
      <c r="C188" s="429" t="s">
        <v>247</v>
      </c>
      <c r="D188" s="421" t="s">
        <v>234</v>
      </c>
      <c r="E188" s="430">
        <f>VLOOKUP(B188,正厂竞争者数据汇总!D:H,4,FALSE)</f>
        <v>0</v>
      </c>
      <c r="F188" s="430">
        <v>16943.4</v>
      </c>
      <c r="G188" s="430">
        <v>1374.75</v>
      </c>
      <c r="H188" s="430">
        <v>65379.75</v>
      </c>
      <c r="I188" s="453">
        <v>11.3247135842881</v>
      </c>
      <c r="J188" s="451">
        <v>0.0562731153954811</v>
      </c>
      <c r="K188" s="451">
        <v>0.0661954640024663</v>
      </c>
      <c r="L188" s="451"/>
      <c r="M188" s="451"/>
      <c r="N188" s="459"/>
      <c r="O188" s="430"/>
      <c r="P188" s="531" t="str">
        <f>VLOOKUP(B188,正厂竞争者数据汇总!D:M,6,FALSE)</f>
        <v>2023年9月新增</v>
      </c>
      <c r="Q188" s="429"/>
      <c r="R188" s="421"/>
      <c r="S188" s="473"/>
      <c r="T188" s="466"/>
      <c r="U188" s="466"/>
      <c r="V188" s="421"/>
      <c r="W188" s="421"/>
    </row>
    <row r="189" s="408" customFormat="1" spans="1:23">
      <c r="A189" s="428" t="s">
        <v>230</v>
      </c>
      <c r="B189" s="438" t="s">
        <v>350</v>
      </c>
      <c r="C189" s="255" t="s">
        <v>351</v>
      </c>
      <c r="D189" s="421" t="s">
        <v>56</v>
      </c>
      <c r="E189" s="430">
        <f>VLOOKUP(B189,正厂竞争者数据汇总!D:H,4,FALSE)</f>
        <v>0</v>
      </c>
      <c r="F189" s="430">
        <v>13142.602</v>
      </c>
      <c r="G189" s="430">
        <v>1374.75</v>
      </c>
      <c r="H189" s="430">
        <v>65379.75</v>
      </c>
      <c r="I189" s="453">
        <v>8.55999418076014</v>
      </c>
      <c r="J189" s="451">
        <v>0.0436497491024753</v>
      </c>
      <c r="K189" s="451">
        <v>0.0538065592956958</v>
      </c>
      <c r="L189" s="451"/>
      <c r="M189" s="451"/>
      <c r="N189" s="459"/>
      <c r="O189" s="430"/>
      <c r="P189" s="531"/>
      <c r="Q189" s="429"/>
      <c r="R189" s="421"/>
      <c r="S189" s="473"/>
      <c r="T189" s="466"/>
      <c r="U189" s="466"/>
      <c r="V189" s="421"/>
      <c r="W189" s="421"/>
    </row>
    <row r="190" s="408" customFormat="1" ht="17.4" spans="1:23">
      <c r="A190" s="428" t="s">
        <v>375</v>
      </c>
      <c r="B190" s="438" t="s">
        <v>376</v>
      </c>
      <c r="C190" s="429" t="s">
        <v>431</v>
      </c>
      <c r="D190" s="421" t="s">
        <v>423</v>
      </c>
      <c r="E190" s="430">
        <f>VLOOKUP(B190,正厂竞争者数据汇总!D:H,4,FALSE)</f>
        <v>0</v>
      </c>
      <c r="F190" s="430">
        <v>11510.3337</v>
      </c>
      <c r="G190" s="430">
        <v>1366.75</v>
      </c>
      <c r="H190" s="430">
        <v>65371.75</v>
      </c>
      <c r="I190" s="453">
        <v>7.42168187305652</v>
      </c>
      <c r="J190" s="451">
        <v>0.0382285926402372</v>
      </c>
      <c r="K190" s="451">
        <v>0.0452117556718152</v>
      </c>
      <c r="L190" s="451"/>
      <c r="M190" s="451"/>
      <c r="N190" s="459"/>
      <c r="O190" s="430"/>
      <c r="P190" s="531" t="str">
        <f>VLOOKUP(B190,正厂竞争者数据汇总!D:M,6,FALSE)</f>
        <v>同时经营Audi，BMW、Dodge、Jaguar、Land Rover、Mercedes-Benz、Mini、Porsche、Saab、Volkswagen、Volvo。折算比例：Audi：30.3%，MB：69.7%</v>
      </c>
      <c r="Q190" s="429"/>
      <c r="R190" s="421"/>
      <c r="S190" s="473"/>
      <c r="T190" s="466"/>
      <c r="U190" s="466"/>
      <c r="V190" s="421"/>
      <c r="W190" s="421"/>
    </row>
    <row r="191" s="408" customFormat="1" spans="1:23">
      <c r="A191" s="428"/>
      <c r="B191" s="421"/>
      <c r="C191" s="429"/>
      <c r="D191" s="421"/>
      <c r="E191" s="430"/>
      <c r="F191" s="430"/>
      <c r="G191" s="430">
        <v>100126.666666667</v>
      </c>
      <c r="H191" s="430"/>
      <c r="I191" s="453"/>
      <c r="J191" s="451"/>
      <c r="K191" s="451"/>
      <c r="L191" s="451"/>
      <c r="M191" s="451"/>
      <c r="N191" s="459"/>
      <c r="O191" s="430"/>
      <c r="P191" s="531"/>
      <c r="Q191" s="429"/>
      <c r="R191" s="421"/>
      <c r="S191" s="473"/>
      <c r="T191" s="466"/>
      <c r="U191" s="466"/>
      <c r="V191" s="421"/>
      <c r="W191" s="421"/>
    </row>
    <row r="192" s="408" customFormat="1" spans="1:23">
      <c r="A192" s="428"/>
      <c r="B192" s="421"/>
      <c r="C192" s="439"/>
      <c r="D192" s="421"/>
      <c r="E192" s="430"/>
      <c r="F192" s="430">
        <v>301092.269033333</v>
      </c>
      <c r="G192" s="430"/>
      <c r="H192" s="430">
        <v>96860.5</v>
      </c>
      <c r="I192" s="453" t="e">
        <v>#DIV/0!</v>
      </c>
      <c r="J192" s="430"/>
      <c r="K192" s="430"/>
      <c r="L192" s="430"/>
      <c r="M192" s="451"/>
      <c r="N192" s="459"/>
      <c r="O192" s="430"/>
      <c r="P192" s="531"/>
      <c r="Q192" s="429"/>
      <c r="R192" s="421"/>
      <c r="S192" s="473"/>
      <c r="T192" s="466"/>
      <c r="U192" s="466"/>
      <c r="V192" s="421"/>
      <c r="W192" s="421"/>
    </row>
    <row r="193" s="408" customFormat="1" spans="1:23">
      <c r="A193" s="428"/>
      <c r="B193" s="421"/>
      <c r="C193" s="439"/>
      <c r="D193" s="421"/>
      <c r="E193" s="421"/>
      <c r="F193" s="430"/>
      <c r="G193" s="430"/>
      <c r="H193" s="430"/>
      <c r="I193" s="453"/>
      <c r="J193" s="430"/>
      <c r="K193" s="430"/>
      <c r="L193" s="430"/>
      <c r="M193" s="451"/>
      <c r="N193" s="459"/>
      <c r="O193" s="430"/>
      <c r="P193" s="531"/>
      <c r="Q193" s="429"/>
      <c r="R193" s="421"/>
      <c r="S193" s="473"/>
      <c r="T193" s="466"/>
      <c r="U193" s="466"/>
      <c r="V193" s="421"/>
      <c r="W193" s="421"/>
    </row>
    <row r="194" s="408" customFormat="1" ht="17.4" spans="1:23">
      <c r="A194" s="418" t="s">
        <v>195</v>
      </c>
      <c r="B194" s="419"/>
      <c r="C194" s="420"/>
      <c r="D194" s="421"/>
      <c r="E194" s="422" t="s">
        <v>202</v>
      </c>
      <c r="F194" s="422"/>
      <c r="G194" s="422" t="s">
        <v>212</v>
      </c>
      <c r="H194" s="422"/>
      <c r="I194" s="422"/>
      <c r="J194" s="422"/>
      <c r="K194" s="422"/>
      <c r="L194" s="422"/>
      <c r="M194" s="443"/>
      <c r="N194" s="444"/>
      <c r="O194" s="422"/>
      <c r="P194" s="531"/>
      <c r="Q194" s="465"/>
      <c r="R194" s="424"/>
      <c r="S194" s="473"/>
      <c r="T194" s="467"/>
      <c r="U194" s="467"/>
      <c r="V194" s="467"/>
      <c r="W194" s="467"/>
    </row>
    <row r="195" s="409" customFormat="1" ht="48.6" spans="1:23">
      <c r="A195" s="423" t="s">
        <v>206</v>
      </c>
      <c r="B195" s="424" t="s">
        <v>207</v>
      </c>
      <c r="C195" s="425" t="s">
        <v>208</v>
      </c>
      <c r="D195" s="424" t="s">
        <v>209</v>
      </c>
      <c r="E195" s="426" t="s">
        <v>210</v>
      </c>
      <c r="F195" s="427" t="s">
        <v>408</v>
      </c>
      <c r="G195" s="427">
        <v>116448.583333333</v>
      </c>
      <c r="H195" s="427" t="s">
        <v>397</v>
      </c>
      <c r="I195" s="427" t="s">
        <v>214</v>
      </c>
      <c r="J195" s="446" t="s">
        <v>399</v>
      </c>
      <c r="K195" s="446" t="s">
        <v>403</v>
      </c>
      <c r="L195" s="446"/>
      <c r="M195" s="447" t="s">
        <v>218</v>
      </c>
      <c r="N195" s="448" t="s">
        <v>219</v>
      </c>
      <c r="O195" s="449" t="s">
        <v>220</v>
      </c>
      <c r="P195" s="530" t="s">
        <v>221</v>
      </c>
      <c r="Q195" s="469" t="s">
        <v>222</v>
      </c>
      <c r="R195" s="426" t="s">
        <v>223</v>
      </c>
      <c r="S195" s="470" t="s">
        <v>224</v>
      </c>
      <c r="T195" s="467" t="s">
        <v>225</v>
      </c>
      <c r="U195" s="470" t="s">
        <v>226</v>
      </c>
      <c r="V195" s="467"/>
      <c r="W195" s="467"/>
    </row>
    <row r="196" s="408" customFormat="1" ht="17.4" spans="1:23">
      <c r="A196" s="428" t="s">
        <v>230</v>
      </c>
      <c r="B196" s="421" t="s">
        <v>378</v>
      </c>
      <c r="C196" s="429" t="s">
        <v>247</v>
      </c>
      <c r="D196" s="421" t="s">
        <v>266</v>
      </c>
      <c r="E196" s="430" t="str">
        <f>VLOOKUP(B195,正厂竞争者数据汇总!D:H,4,FALSE)</f>
        <v>Alexa Traffic Rank</v>
      </c>
      <c r="F196" s="430">
        <v>91451.1666666667</v>
      </c>
      <c r="G196" s="430">
        <v>0</v>
      </c>
      <c r="H196" s="430">
        <v>88546.8333333332</v>
      </c>
      <c r="I196" s="453" t="e">
        <v>#DIV/0!</v>
      </c>
      <c r="J196" s="451">
        <v>0.416294065344422</v>
      </c>
      <c r="K196" s="451">
        <v>0.356285474801824</v>
      </c>
      <c r="L196" s="451"/>
      <c r="M196" s="451">
        <f>J196-K198</f>
        <v>0.313918849529843</v>
      </c>
      <c r="N196" s="459"/>
      <c r="O196" s="430"/>
      <c r="P196" s="531">
        <f>VLOOKUP(B196,正厂竞争者数据汇总!D:M,6,FALSE)</f>
        <v>0</v>
      </c>
      <c r="Q196" s="429" t="s">
        <v>180</v>
      </c>
      <c r="R196" s="421" t="s">
        <v>180</v>
      </c>
      <c r="S196" s="473"/>
      <c r="T196" s="466"/>
      <c r="U196" s="466"/>
      <c r="V196" s="421"/>
      <c r="W196" s="421"/>
    </row>
    <row r="197" s="408" customFormat="1" ht="17.4" spans="1:23">
      <c r="A197" s="428" t="s">
        <v>230</v>
      </c>
      <c r="B197" s="421" t="s">
        <v>380</v>
      </c>
      <c r="C197" s="429" t="s">
        <v>247</v>
      </c>
      <c r="D197" s="421" t="s">
        <v>266</v>
      </c>
      <c r="E197" s="430">
        <f>VLOOKUP(B196,正厂竞争者数据汇总!D:H,4,FALSE)</f>
        <v>0</v>
      </c>
      <c r="F197" s="430">
        <v>33955.7</v>
      </c>
      <c r="G197" s="430">
        <v>1</v>
      </c>
      <c r="H197" s="430">
        <v>88547.8333333332</v>
      </c>
      <c r="I197" s="453">
        <v>33954.7</v>
      </c>
      <c r="J197" s="451">
        <v>0.154569448481054</v>
      </c>
      <c r="K197" s="451">
        <v>0.200526442856723</v>
      </c>
      <c r="L197" s="451"/>
      <c r="M197" s="451"/>
      <c r="N197" s="459"/>
      <c r="O197" s="430"/>
      <c r="P197" s="531"/>
      <c r="Q197" s="429"/>
      <c r="R197" s="421"/>
      <c r="S197" s="473"/>
      <c r="T197" s="466"/>
      <c r="U197" s="466"/>
      <c r="V197" s="421"/>
      <c r="W197" s="421"/>
    </row>
    <row r="198" s="408" customFormat="1" ht="17.4" spans="1:23">
      <c r="A198" s="428" t="s">
        <v>230</v>
      </c>
      <c r="B198" s="421" t="s">
        <v>379</v>
      </c>
      <c r="C198" s="429" t="s">
        <v>247</v>
      </c>
      <c r="D198" s="421" t="s">
        <v>266</v>
      </c>
      <c r="E198" s="430">
        <f>VLOOKUP(B199,正厂竞争者数据汇总!D:H,4,FALSE)</f>
        <v>0</v>
      </c>
      <c r="F198" s="430">
        <v>28900.928</v>
      </c>
      <c r="G198" s="430">
        <v>4</v>
      </c>
      <c r="H198" s="430">
        <v>88550.8333333332</v>
      </c>
      <c r="I198" s="453">
        <v>7224.232</v>
      </c>
      <c r="J198" s="451">
        <v>0.131559664549711</v>
      </c>
      <c r="K198" s="451">
        <v>0.102375215814579</v>
      </c>
      <c r="L198" s="451"/>
      <c r="M198" s="451"/>
      <c r="N198" s="459"/>
      <c r="O198" s="430"/>
      <c r="P198" s="531" t="str">
        <f>VLOOKUP(B198,正厂竞争者数据汇总!D:M,6,FALSE)</f>
        <v>2023年9月新增</v>
      </c>
      <c r="Q198" s="429" t="s">
        <v>180</v>
      </c>
      <c r="R198" s="421" t="s">
        <v>180</v>
      </c>
      <c r="S198" s="473"/>
      <c r="T198" s="466"/>
      <c r="U198" s="466"/>
      <c r="V198" s="421"/>
      <c r="W198" s="421"/>
    </row>
    <row r="199" s="408" customFormat="1" ht="17.4" spans="1:23">
      <c r="A199" s="428" t="s">
        <v>325</v>
      </c>
      <c r="B199" s="421" t="s">
        <v>383</v>
      </c>
      <c r="C199" s="429" t="s">
        <v>247</v>
      </c>
      <c r="D199" s="421" t="s">
        <v>49</v>
      </c>
      <c r="E199" s="430">
        <f>VLOOKUP(B200,正厂竞争者数据汇总!D:H,4,FALSE)</f>
        <v>0</v>
      </c>
      <c r="F199" s="430">
        <v>21663.952</v>
      </c>
      <c r="G199" s="430">
        <v>3</v>
      </c>
      <c r="H199" s="430">
        <v>88549.8333333332</v>
      </c>
      <c r="I199" s="453">
        <v>7220.31733333333</v>
      </c>
      <c r="J199" s="451">
        <v>0.0986162886513904</v>
      </c>
      <c r="K199" s="451">
        <v>0.107070713428158</v>
      </c>
      <c r="L199" s="451"/>
      <c r="M199" s="451"/>
      <c r="N199" s="459"/>
      <c r="O199" s="430"/>
      <c r="P199" s="531"/>
      <c r="Q199" s="429"/>
      <c r="R199" s="421"/>
      <c r="S199" s="473"/>
      <c r="T199" s="466"/>
      <c r="U199" s="466"/>
      <c r="V199" s="421"/>
      <c r="W199" s="421"/>
    </row>
    <row r="200" s="408" customFormat="1" ht="17.4" spans="1:23">
      <c r="A200" s="428" t="s">
        <v>230</v>
      </c>
      <c r="B200" s="421" t="s">
        <v>381</v>
      </c>
      <c r="C200" s="429" t="s">
        <v>247</v>
      </c>
      <c r="D200" s="421" t="s">
        <v>49</v>
      </c>
      <c r="E200" s="430">
        <f>VLOOKUP(B197,正厂竞争者数据汇总!D:H,4,FALSE)</f>
        <v>0</v>
      </c>
      <c r="F200" s="430">
        <v>18785.2</v>
      </c>
      <c r="G200" s="430">
        <v>2</v>
      </c>
      <c r="H200" s="430">
        <v>88548.8333333332</v>
      </c>
      <c r="I200" s="453">
        <v>9391.6</v>
      </c>
      <c r="J200" s="451">
        <v>0.0855119465540775</v>
      </c>
      <c r="K200" s="451">
        <v>0.120481190773018</v>
      </c>
      <c r="L200" s="451"/>
      <c r="M200" s="451"/>
      <c r="N200" s="459"/>
      <c r="O200" s="430"/>
      <c r="P200" s="531"/>
      <c r="Q200" s="429"/>
      <c r="R200" s="421"/>
      <c r="S200" s="473"/>
      <c r="T200" s="466"/>
      <c r="U200" s="466"/>
      <c r="V200" s="421"/>
      <c r="W200" s="421"/>
    </row>
    <row r="201" s="408" customFormat="1" ht="17.4" spans="1:23">
      <c r="A201" s="428" t="s">
        <v>230</v>
      </c>
      <c r="B201" s="421" t="s">
        <v>382</v>
      </c>
      <c r="C201" s="429" t="s">
        <v>247</v>
      </c>
      <c r="D201" s="421" t="s">
        <v>411</v>
      </c>
      <c r="E201" s="430">
        <f>VLOOKUP(B198,正厂竞争者数据汇总!D:H,4,FALSE)</f>
        <v>0</v>
      </c>
      <c r="F201" s="430">
        <v>16838.9</v>
      </c>
      <c r="G201" s="430">
        <v>5</v>
      </c>
      <c r="H201" s="430">
        <v>88551.8333333332</v>
      </c>
      <c r="I201" s="453">
        <v>3366.78</v>
      </c>
      <c r="J201" s="451">
        <v>0.0766522111465119</v>
      </c>
      <c r="K201" s="451">
        <v>0.0631891877588717</v>
      </c>
      <c r="L201" s="451"/>
      <c r="M201" s="451"/>
      <c r="N201" s="459"/>
      <c r="O201" s="430"/>
      <c r="P201" s="531" t="str">
        <f>VLOOKUP(B201,正厂竞争者数据汇总!D:M,6,FALSE)</f>
        <v>2023年9月新增</v>
      </c>
      <c r="Q201" s="429" t="s">
        <v>180</v>
      </c>
      <c r="R201" s="421" t="s">
        <v>180</v>
      </c>
      <c r="S201" s="473"/>
      <c r="T201" s="466"/>
      <c r="U201" s="466"/>
      <c r="V201" s="421"/>
      <c r="W201" s="421"/>
    </row>
    <row r="202" s="408" customFormat="1" spans="1:23">
      <c r="A202" s="428" t="s">
        <v>230</v>
      </c>
      <c r="B202" s="421" t="s">
        <v>384</v>
      </c>
      <c r="C202" s="255" t="s">
        <v>351</v>
      </c>
      <c r="D202" s="270" t="s">
        <v>49</v>
      </c>
      <c r="E202" s="430"/>
      <c r="F202" s="430">
        <v>8083.4</v>
      </c>
      <c r="G202" s="430"/>
      <c r="H202" s="430"/>
      <c r="I202" s="453"/>
      <c r="J202" s="451">
        <v>0.0367963752728334</v>
      </c>
      <c r="K202" s="451">
        <v>0.0500717745668273</v>
      </c>
      <c r="L202" s="451"/>
      <c r="M202" s="451"/>
      <c r="N202" s="459"/>
      <c r="O202" s="430"/>
      <c r="P202" s="531"/>
      <c r="Q202" s="429"/>
      <c r="R202" s="421"/>
      <c r="S202" s="473"/>
      <c r="T202" s="466"/>
      <c r="U202" s="466"/>
      <c r="V202" s="421"/>
      <c r="W202" s="421"/>
    </row>
    <row r="203" s="408" customFormat="1" spans="1:23">
      <c r="A203" s="428"/>
      <c r="B203" s="421"/>
      <c r="C203" s="429"/>
      <c r="D203" s="421"/>
      <c r="E203" s="430"/>
      <c r="F203" s="430"/>
      <c r="G203" s="430"/>
      <c r="H203" s="430"/>
      <c r="I203" s="453"/>
      <c r="J203" s="451"/>
      <c r="K203" s="451"/>
      <c r="L203" s="451"/>
      <c r="M203" s="451"/>
      <c r="N203" s="459"/>
      <c r="O203" s="430"/>
      <c r="P203" s="531"/>
      <c r="Q203" s="429"/>
      <c r="R203" s="421"/>
      <c r="S203" s="473"/>
      <c r="T203" s="466"/>
      <c r="U203" s="466"/>
      <c r="V203" s="421"/>
      <c r="W203" s="421"/>
    </row>
    <row r="204" s="408" customFormat="1" spans="1:23">
      <c r="A204" s="428"/>
      <c r="B204" s="421"/>
      <c r="C204" s="439"/>
      <c r="D204" s="421"/>
      <c r="E204" s="430"/>
      <c r="F204" s="430">
        <v>219679.246666667</v>
      </c>
      <c r="G204" s="430"/>
      <c r="H204" s="430">
        <v>88546.8333333332</v>
      </c>
      <c r="I204" s="453" t="e">
        <v>#DIV/0!</v>
      </c>
      <c r="J204" s="430"/>
      <c r="K204" s="430"/>
      <c r="L204" s="430"/>
      <c r="M204" s="451"/>
      <c r="N204" s="459"/>
      <c r="O204" s="430"/>
      <c r="P204" s="531"/>
      <c r="Q204" s="429"/>
      <c r="R204" s="421"/>
      <c r="S204" s="473"/>
      <c r="T204" s="466"/>
      <c r="U204" s="466"/>
      <c r="V204" s="421"/>
      <c r="W204" s="421"/>
    </row>
    <row r="205" s="408" customFormat="1" spans="1:23">
      <c r="A205" s="423"/>
      <c r="B205" s="421"/>
      <c r="C205" s="425"/>
      <c r="D205" s="421"/>
      <c r="E205" s="430"/>
      <c r="F205" s="430"/>
      <c r="G205" s="430"/>
      <c r="H205" s="430"/>
      <c r="I205" s="453"/>
      <c r="J205" s="430"/>
      <c r="K205" s="430"/>
      <c r="L205" s="430"/>
      <c r="M205" s="451"/>
      <c r="N205" s="459"/>
      <c r="O205" s="430"/>
      <c r="P205" s="531"/>
      <c r="Q205" s="429"/>
      <c r="R205" s="421"/>
      <c r="S205" s="473"/>
      <c r="T205" s="466"/>
      <c r="U205" s="466"/>
      <c r="V205" s="421"/>
      <c r="W205" s="421"/>
    </row>
    <row r="206" s="408" customFormat="1" ht="17.4" spans="1:23">
      <c r="A206" s="418" t="s">
        <v>193</v>
      </c>
      <c r="B206" s="419"/>
      <c r="C206" s="420"/>
      <c r="D206" s="421"/>
      <c r="E206" s="422" t="s">
        <v>202</v>
      </c>
      <c r="F206" s="422"/>
      <c r="G206" s="422" t="s">
        <v>212</v>
      </c>
      <c r="H206" s="422"/>
      <c r="I206" s="422"/>
      <c r="J206" s="422"/>
      <c r="K206" s="422"/>
      <c r="L206" s="422"/>
      <c r="M206" s="443"/>
      <c r="N206" s="422"/>
      <c r="O206" s="422"/>
      <c r="P206" s="531"/>
      <c r="Q206" s="465"/>
      <c r="R206" s="424"/>
      <c r="S206" s="473"/>
      <c r="T206" s="467"/>
      <c r="U206" s="467"/>
      <c r="V206" s="467"/>
      <c r="W206" s="467"/>
    </row>
    <row r="207" s="409" customFormat="1" ht="48.6" spans="1:23">
      <c r="A207" s="423" t="s">
        <v>206</v>
      </c>
      <c r="B207" s="424" t="s">
        <v>207</v>
      </c>
      <c r="C207" s="425" t="s">
        <v>208</v>
      </c>
      <c r="D207" s="424" t="s">
        <v>209</v>
      </c>
      <c r="E207" s="426" t="s">
        <v>210</v>
      </c>
      <c r="F207" s="427" t="s">
        <v>408</v>
      </c>
      <c r="G207" s="427">
        <v>116448.583333333</v>
      </c>
      <c r="H207" s="427" t="s">
        <v>397</v>
      </c>
      <c r="I207" s="427" t="s">
        <v>214</v>
      </c>
      <c r="J207" s="446" t="s">
        <v>399</v>
      </c>
      <c r="K207" s="446" t="s">
        <v>403</v>
      </c>
      <c r="L207" s="446"/>
      <c r="M207" s="447" t="s">
        <v>218</v>
      </c>
      <c r="N207" s="448" t="s">
        <v>219</v>
      </c>
      <c r="O207" s="449" t="s">
        <v>220</v>
      </c>
      <c r="P207" s="530" t="s">
        <v>221</v>
      </c>
      <c r="Q207" s="469" t="s">
        <v>222</v>
      </c>
      <c r="R207" s="426" t="s">
        <v>223</v>
      </c>
      <c r="S207" s="470" t="s">
        <v>224</v>
      </c>
      <c r="T207" s="467" t="s">
        <v>225</v>
      </c>
      <c r="U207" s="470" t="s">
        <v>226</v>
      </c>
      <c r="V207" s="467"/>
      <c r="W207" s="467"/>
    </row>
    <row r="208" s="408" customFormat="1" ht="17.4" spans="1:23">
      <c r="A208" s="428" t="s">
        <v>230</v>
      </c>
      <c r="B208" s="438" t="s">
        <v>365</v>
      </c>
      <c r="C208" s="429" t="s">
        <v>247</v>
      </c>
      <c r="D208" s="421" t="s">
        <v>52</v>
      </c>
      <c r="E208" s="430">
        <f>VLOOKUP(B208,正厂竞争者数据汇总!D:H,4,FALSE)</f>
        <v>0</v>
      </c>
      <c r="F208" s="430">
        <v>58114.5</v>
      </c>
      <c r="G208" s="430">
        <v>38319.6666666667</v>
      </c>
      <c r="H208" s="430">
        <v>273188.083333333</v>
      </c>
      <c r="I208" s="453"/>
      <c r="J208" s="451">
        <v>0.26929171707616</v>
      </c>
      <c r="K208" s="451">
        <v>0.256416983265263</v>
      </c>
      <c r="L208" s="430"/>
      <c r="M208" s="451"/>
      <c r="N208" s="459"/>
      <c r="O208" s="430"/>
      <c r="P208" s="531">
        <f>VLOOKUP(B208,正厂竞争者数据汇总!D:M,6,FALSE)</f>
        <v>0</v>
      </c>
      <c r="Q208" s="429" t="s">
        <v>180</v>
      </c>
      <c r="R208" s="421" t="s">
        <v>180</v>
      </c>
      <c r="S208" s="473"/>
      <c r="T208" s="466"/>
      <c r="U208" s="466"/>
      <c r="V208" s="421"/>
      <c r="W208" s="421"/>
    </row>
    <row r="209" s="408" customFormat="1" spans="1:23">
      <c r="A209" s="428" t="s">
        <v>230</v>
      </c>
      <c r="B209" s="438" t="s">
        <v>366</v>
      </c>
      <c r="C209" s="429" t="s">
        <v>65</v>
      </c>
      <c r="D209" s="421" t="s">
        <v>49</v>
      </c>
      <c r="E209" s="430"/>
      <c r="F209" s="430">
        <v>47163.3</v>
      </c>
      <c r="G209" s="430">
        <v>38321.6666666667</v>
      </c>
      <c r="H209" s="430">
        <v>273190.083333333</v>
      </c>
      <c r="I209" s="453"/>
      <c r="J209" s="451">
        <v>0.21854590575464</v>
      </c>
      <c r="K209" s="451">
        <v>0.134093543882681</v>
      </c>
      <c r="L209" s="430"/>
      <c r="M209" s="451"/>
      <c r="N209" s="459"/>
      <c r="O209" s="430"/>
      <c r="P209" s="531"/>
      <c r="Q209" s="429"/>
      <c r="R209" s="421"/>
      <c r="S209" s="473"/>
      <c r="T209" s="466"/>
      <c r="U209" s="466"/>
      <c r="V209" s="421"/>
      <c r="W209" s="421"/>
    </row>
    <row r="210" s="408" customFormat="1" ht="17.4" spans="1:23">
      <c r="A210" s="428" t="s">
        <v>243</v>
      </c>
      <c r="B210" s="438" t="s">
        <v>369</v>
      </c>
      <c r="C210" s="429" t="s">
        <v>413</v>
      </c>
      <c r="D210" s="421" t="s">
        <v>420</v>
      </c>
      <c r="E210" s="430">
        <f>VLOOKUP(B210,正厂竞争者数据汇总!D:H,4,FALSE)</f>
        <v>0</v>
      </c>
      <c r="F210" s="430">
        <v>27727.25</v>
      </c>
      <c r="G210" s="430">
        <v>38322.6666666667</v>
      </c>
      <c r="H210" s="430">
        <v>273191.083333333</v>
      </c>
      <c r="I210" s="453"/>
      <c r="J210" s="451">
        <v>0.128482887442892</v>
      </c>
      <c r="K210" s="451">
        <v>0.143449802600584</v>
      </c>
      <c r="L210" s="430"/>
      <c r="M210" s="451"/>
      <c r="N210" s="459"/>
      <c r="O210" s="430"/>
      <c r="P210" s="531">
        <f>VLOOKUP(B210,正厂竞争者数据汇总!D:M,6,FALSE)</f>
        <v>0</v>
      </c>
      <c r="Q210" s="429"/>
      <c r="R210" s="421"/>
      <c r="S210" s="473"/>
      <c r="T210" s="466"/>
      <c r="U210" s="466"/>
      <c r="V210" s="421"/>
      <c r="W210" s="421"/>
    </row>
    <row r="211" s="408" customFormat="1" ht="17.4" spans="1:23">
      <c r="A211" s="428" t="s">
        <v>367</v>
      </c>
      <c r="B211" s="438" t="s">
        <v>368</v>
      </c>
      <c r="C211" s="429" t="s">
        <v>247</v>
      </c>
      <c r="D211" s="421" t="s">
        <v>234</v>
      </c>
      <c r="E211" s="430">
        <f>VLOOKUP(B211,正厂竞争者数据汇总!D:H,4,FALSE)</f>
        <v>0</v>
      </c>
      <c r="F211" s="430">
        <v>25270</v>
      </c>
      <c r="G211" s="430">
        <v>38320.6666666667</v>
      </c>
      <c r="H211" s="430">
        <v>273189.083333333</v>
      </c>
      <c r="I211" s="453"/>
      <c r="J211" s="451">
        <v>0.117096450808569</v>
      </c>
      <c r="K211" s="451">
        <v>0.130194902264691</v>
      </c>
      <c r="L211" s="430"/>
      <c r="M211" s="451"/>
      <c r="N211" s="459"/>
      <c r="O211" s="430"/>
      <c r="P211" s="531">
        <f>VLOOKUP(B211,正厂竞争者数据汇总!D:M,6,FALSE)</f>
        <v>0</v>
      </c>
      <c r="Q211" s="429"/>
      <c r="R211" s="421"/>
      <c r="S211" s="473"/>
      <c r="T211" s="466"/>
      <c r="U211" s="466"/>
      <c r="V211" s="421"/>
      <c r="W211" s="421"/>
    </row>
    <row r="212" s="408" customFormat="1" ht="17.4" spans="1:23">
      <c r="A212" s="428" t="s">
        <v>230</v>
      </c>
      <c r="B212" s="438" t="s">
        <v>370</v>
      </c>
      <c r="C212" s="429" t="s">
        <v>247</v>
      </c>
      <c r="D212" s="421" t="s">
        <v>371</v>
      </c>
      <c r="E212" s="430"/>
      <c r="F212" s="430">
        <v>14250.5833333333</v>
      </c>
      <c r="G212" s="430">
        <v>38321.6666666667</v>
      </c>
      <c r="H212" s="430">
        <v>273190.083333333</v>
      </c>
      <c r="I212" s="453"/>
      <c r="J212" s="451">
        <v>0.0660345362202244</v>
      </c>
      <c r="K212" s="451">
        <v>0.0939964378661269</v>
      </c>
      <c r="L212" s="430"/>
      <c r="M212" s="451"/>
      <c r="N212" s="459"/>
      <c r="O212" s="430"/>
      <c r="P212" s="531"/>
      <c r="Q212" s="429"/>
      <c r="R212" s="421"/>
      <c r="S212" s="473"/>
      <c r="T212" s="466"/>
      <c r="U212" s="466"/>
      <c r="V212" s="421"/>
      <c r="W212" s="421"/>
    </row>
    <row r="213" s="408" customFormat="1" ht="17.4" spans="1:23">
      <c r="A213" s="428" t="s">
        <v>230</v>
      </c>
      <c r="B213" s="438" t="s">
        <v>377</v>
      </c>
      <c r="C213" s="429" t="s">
        <v>247</v>
      </c>
      <c r="D213" s="421" t="s">
        <v>49</v>
      </c>
      <c r="E213" s="430">
        <f>VLOOKUP(B213,正厂竞争者数据汇总!D:H,4,FALSE)</f>
        <v>0</v>
      </c>
      <c r="F213" s="430">
        <v>12247</v>
      </c>
      <c r="G213" s="430">
        <v>38327.6666666667</v>
      </c>
      <c r="H213" s="430">
        <v>273196.083333333</v>
      </c>
      <c r="I213" s="453"/>
      <c r="J213" s="451">
        <v>0.0567503060171167</v>
      </c>
      <c r="K213" s="451">
        <v>0.101966138657977</v>
      </c>
      <c r="L213" s="430"/>
      <c r="M213" s="451"/>
      <c r="N213" s="459"/>
      <c r="O213" s="430"/>
      <c r="P213" s="531" t="str">
        <f>VLOOKUP(B213,正厂竞争者数据汇总!D:M,6,FALSE)</f>
        <v>2023年9月新增</v>
      </c>
      <c r="Q213" s="429"/>
      <c r="R213" s="421"/>
      <c r="S213" s="473"/>
      <c r="T213" s="466"/>
      <c r="U213" s="466"/>
      <c r="V213" s="421"/>
      <c r="W213" s="421"/>
    </row>
    <row r="214" s="408" customFormat="1" ht="17.4" spans="1:23">
      <c r="A214" s="428" t="s">
        <v>375</v>
      </c>
      <c r="B214" s="438" t="s">
        <v>376</v>
      </c>
      <c r="C214" s="429" t="s">
        <v>431</v>
      </c>
      <c r="D214" s="421" t="s">
        <v>423</v>
      </c>
      <c r="E214" s="430">
        <f>VLOOKUP(B214,正厂竞争者数据汇总!D:H,4,FALSE)</f>
        <v>0</v>
      </c>
      <c r="F214" s="430">
        <v>11510.3337</v>
      </c>
      <c r="G214" s="430">
        <v>38329.6666666667</v>
      </c>
      <c r="H214" s="430">
        <v>273198.083333333</v>
      </c>
      <c r="I214" s="453"/>
      <c r="J214" s="451">
        <v>0.0533367322474182</v>
      </c>
      <c r="K214" s="451">
        <v>0.055294940494395</v>
      </c>
      <c r="L214" s="430"/>
      <c r="M214" s="451" t="e">
        <f>J214-#REF!</f>
        <v>#REF!</v>
      </c>
      <c r="N214" s="459"/>
      <c r="O214" s="430"/>
      <c r="P214" s="531" t="str">
        <f>VLOOKUP(B214,正厂竞争者数据汇总!D:M,6,FALSE)</f>
        <v>同时经营Audi，BMW、Dodge、Jaguar、Land Rover、Mercedes-Benz、Mini、Porsche、Saab、Volkswagen、Volvo。折算比例：Audi：30.3%，MB：69.7%</v>
      </c>
      <c r="Q214" s="429" t="s">
        <v>180</v>
      </c>
      <c r="R214" s="421" t="s">
        <v>180</v>
      </c>
      <c r="S214" s="473"/>
      <c r="T214" s="466"/>
      <c r="U214" s="466"/>
      <c r="V214" s="421"/>
      <c r="W214" s="421"/>
    </row>
    <row r="215" s="408" customFormat="1" ht="17.4" spans="1:23">
      <c r="A215" s="428" t="s">
        <v>230</v>
      </c>
      <c r="B215" s="438" t="s">
        <v>373</v>
      </c>
      <c r="C215" s="429" t="s">
        <v>247</v>
      </c>
      <c r="D215" s="421" t="s">
        <v>250</v>
      </c>
      <c r="E215" s="430">
        <f>VLOOKUP(B215,正厂竞争者数据汇总!D:H,4,FALSE)</f>
        <v>3939</v>
      </c>
      <c r="F215" s="430">
        <v>10479.7366666667</v>
      </c>
      <c r="G215" s="430">
        <v>38321.6666666667</v>
      </c>
      <c r="H215" s="430">
        <v>273190.083333333</v>
      </c>
      <c r="I215" s="453"/>
      <c r="J215" s="451">
        <v>0.048561138467554</v>
      </c>
      <c r="K215" s="451">
        <v>0.017969919032379</v>
      </c>
      <c r="L215" s="430"/>
      <c r="M215" s="451"/>
      <c r="N215" s="459"/>
      <c r="O215" s="430"/>
      <c r="P215" s="531">
        <f>VLOOKUP(B215,正厂竞争者数据汇总!D:M,6,FALSE)</f>
        <v>0</v>
      </c>
      <c r="Q215" s="429"/>
      <c r="R215" s="421"/>
      <c r="S215" s="473"/>
      <c r="T215" s="466"/>
      <c r="U215" s="466"/>
      <c r="V215" s="421"/>
      <c r="W215" s="421"/>
    </row>
    <row r="216" s="408" customFormat="1" ht="17.4" spans="1:23">
      <c r="A216" s="428" t="s">
        <v>230</v>
      </c>
      <c r="B216" s="438" t="s">
        <v>372</v>
      </c>
      <c r="C216" s="429" t="s">
        <v>247</v>
      </c>
      <c r="D216" s="421" t="s">
        <v>55</v>
      </c>
      <c r="E216" s="430">
        <f>VLOOKUP(B216,正厂竞争者数据汇总!D:H,4,FALSE)</f>
        <v>0</v>
      </c>
      <c r="F216" s="430">
        <v>9042.3</v>
      </c>
      <c r="G216" s="430">
        <v>38326.6666666667</v>
      </c>
      <c r="H216" s="430">
        <v>273195.083333333</v>
      </c>
      <c r="I216" s="453"/>
      <c r="J216" s="451">
        <v>0.0419003259654262</v>
      </c>
      <c r="K216" s="451">
        <v>0.0666173319359032</v>
      </c>
      <c r="L216" s="430"/>
      <c r="M216" s="451"/>
      <c r="N216" s="459"/>
      <c r="O216" s="430"/>
      <c r="P216" s="531" t="str">
        <f>VLOOKUP(B216,正厂竞争者数据汇总!D:M,6,FALSE)</f>
        <v>2023年9月新增</v>
      </c>
      <c r="Q216" s="429"/>
      <c r="R216" s="421"/>
      <c r="S216" s="473"/>
      <c r="T216" s="466"/>
      <c r="U216" s="466"/>
      <c r="V216" s="421"/>
      <c r="W216" s="421"/>
    </row>
    <row r="217" s="410" customFormat="1" spans="1:23">
      <c r="A217" s="432"/>
      <c r="B217" s="435"/>
      <c r="C217" s="429"/>
      <c r="D217" s="421"/>
      <c r="E217" s="430"/>
      <c r="F217" s="436"/>
      <c r="G217" s="436">
        <v>335229.333333333</v>
      </c>
      <c r="H217" s="436"/>
      <c r="I217" s="453"/>
      <c r="J217" s="457"/>
      <c r="K217" s="457"/>
      <c r="L217" s="457"/>
      <c r="M217" s="451"/>
      <c r="N217" s="455"/>
      <c r="O217" s="436"/>
      <c r="P217" s="531"/>
      <c r="Q217" s="434"/>
      <c r="R217" s="435"/>
      <c r="S217" s="473"/>
      <c r="T217" s="466"/>
      <c r="U217" s="466"/>
      <c r="V217" s="435"/>
      <c r="W217" s="435"/>
    </row>
    <row r="218" s="408" customFormat="1" spans="1:23">
      <c r="A218" s="428"/>
      <c r="B218" s="421"/>
      <c r="C218" s="439"/>
      <c r="D218" s="421"/>
      <c r="E218" s="421"/>
      <c r="F218" s="496">
        <v>215805.0037</v>
      </c>
      <c r="G218" s="496"/>
      <c r="H218" s="496">
        <v>377262.166666666</v>
      </c>
      <c r="I218" s="453" t="e">
        <v>#DIV/0!</v>
      </c>
      <c r="J218" s="430"/>
      <c r="K218" s="430"/>
      <c r="L218" s="430"/>
      <c r="M218" s="451"/>
      <c r="N218" s="459"/>
      <c r="O218" s="430"/>
      <c r="P218" s="531"/>
      <c r="Q218" s="429"/>
      <c r="R218" s="421"/>
      <c r="S218" s="473"/>
      <c r="T218" s="466"/>
      <c r="U218" s="466"/>
      <c r="V218" s="421"/>
      <c r="W218" s="421"/>
    </row>
    <row r="219" s="408" customFormat="1" spans="1:23">
      <c r="A219" s="428"/>
      <c r="B219" s="421"/>
      <c r="C219" s="439"/>
      <c r="D219" s="421"/>
      <c r="E219" s="421"/>
      <c r="F219" s="496"/>
      <c r="G219" s="496"/>
      <c r="H219" s="496"/>
      <c r="I219" s="453"/>
      <c r="J219" s="430"/>
      <c r="K219" s="430"/>
      <c r="L219" s="430"/>
      <c r="M219" s="451"/>
      <c r="N219" s="459"/>
      <c r="O219" s="430"/>
      <c r="P219" s="531"/>
      <c r="Q219" s="429"/>
      <c r="R219" s="421"/>
      <c r="S219" s="473"/>
      <c r="T219" s="466"/>
      <c r="U219" s="466"/>
      <c r="V219" s="421"/>
      <c r="W219" s="421"/>
    </row>
    <row r="220" s="408" customFormat="1" ht="17.4" spans="1:23">
      <c r="A220" s="418" t="s">
        <v>191</v>
      </c>
      <c r="B220" s="419"/>
      <c r="C220" s="420"/>
      <c r="D220" s="421"/>
      <c r="E220" s="422" t="s">
        <v>202</v>
      </c>
      <c r="F220" s="422"/>
      <c r="G220" s="422" t="s">
        <v>212</v>
      </c>
      <c r="H220" s="422"/>
      <c r="I220" s="422"/>
      <c r="J220" s="422"/>
      <c r="K220" s="422"/>
      <c r="L220" s="422"/>
      <c r="M220" s="443"/>
      <c r="N220" s="422"/>
      <c r="O220" s="422"/>
      <c r="P220" s="531"/>
      <c r="Q220" s="465"/>
      <c r="R220" s="424"/>
      <c r="S220" s="473"/>
      <c r="T220" s="467"/>
      <c r="U220" s="467"/>
      <c r="V220" s="467"/>
      <c r="W220" s="467"/>
    </row>
    <row r="221" s="409" customFormat="1" ht="48.6" spans="1:23">
      <c r="A221" s="423" t="s">
        <v>206</v>
      </c>
      <c r="B221" s="424" t="s">
        <v>207</v>
      </c>
      <c r="C221" s="425" t="s">
        <v>208</v>
      </c>
      <c r="D221" s="424" t="s">
        <v>209</v>
      </c>
      <c r="E221" s="426" t="s">
        <v>210</v>
      </c>
      <c r="F221" s="427" t="s">
        <v>408</v>
      </c>
      <c r="G221" s="427">
        <v>116448.583333333</v>
      </c>
      <c r="H221" s="427" t="s">
        <v>397</v>
      </c>
      <c r="I221" s="427" t="s">
        <v>214</v>
      </c>
      <c r="J221" s="446" t="s">
        <v>399</v>
      </c>
      <c r="K221" s="446" t="s">
        <v>403</v>
      </c>
      <c r="L221" s="446"/>
      <c r="M221" s="447" t="s">
        <v>218</v>
      </c>
      <c r="N221" s="448" t="s">
        <v>219</v>
      </c>
      <c r="O221" s="449" t="s">
        <v>220</v>
      </c>
      <c r="P221" s="530" t="s">
        <v>221</v>
      </c>
      <c r="Q221" s="469" t="s">
        <v>222</v>
      </c>
      <c r="R221" s="426" t="s">
        <v>223</v>
      </c>
      <c r="S221" s="470" t="s">
        <v>224</v>
      </c>
      <c r="T221" s="467" t="s">
        <v>225</v>
      </c>
      <c r="U221" s="470" t="s">
        <v>226</v>
      </c>
      <c r="V221" s="467"/>
      <c r="W221" s="467"/>
    </row>
    <row r="222" s="408" customFormat="1" ht="17.4" spans="1:23">
      <c r="A222" s="428" t="s">
        <v>325</v>
      </c>
      <c r="B222" s="421" t="s">
        <v>357</v>
      </c>
      <c r="C222" s="429" t="s">
        <v>301</v>
      </c>
      <c r="D222" s="421" t="s">
        <v>422</v>
      </c>
      <c r="E222" s="430">
        <f>VLOOKUP(B222,正厂竞争者数据汇总!D:H,4,FALSE)</f>
        <v>0</v>
      </c>
      <c r="F222" s="430">
        <v>86459.5</v>
      </c>
      <c r="G222" s="430">
        <v>0</v>
      </c>
      <c r="H222" s="430">
        <v>99768.6666666667</v>
      </c>
      <c r="I222" s="453" t="e">
        <v>#DIV/0!</v>
      </c>
      <c r="J222" s="451">
        <v>0.502313661817666</v>
      </c>
      <c r="K222" s="451">
        <v>0.556358263381553</v>
      </c>
      <c r="L222" s="451"/>
      <c r="M222" s="451" t="e">
        <f>J222-#REF!</f>
        <v>#REF!</v>
      </c>
      <c r="N222" s="459"/>
      <c r="O222" s="430"/>
      <c r="P222" s="531">
        <f>VLOOKUP(B222,正厂竞争者数据汇总!D:M,6,FALSE)</f>
        <v>0</v>
      </c>
      <c r="Q222" s="429" t="s">
        <v>180</v>
      </c>
      <c r="R222" s="421" t="s">
        <v>180</v>
      </c>
      <c r="S222" s="473"/>
      <c r="T222" s="466"/>
      <c r="U222" s="466"/>
      <c r="V222" s="421"/>
      <c r="W222" s="421"/>
    </row>
    <row r="223" s="408" customFormat="1" ht="17.4" spans="1:23">
      <c r="A223" s="428" t="s">
        <v>230</v>
      </c>
      <c r="B223" s="421" t="s">
        <v>364</v>
      </c>
      <c r="C223" s="429" t="s">
        <v>247</v>
      </c>
      <c r="D223" s="421" t="s">
        <v>60</v>
      </c>
      <c r="E223" s="430"/>
      <c r="F223" s="430">
        <v>30117.3</v>
      </c>
      <c r="G223" s="430"/>
      <c r="H223" s="430"/>
      <c r="I223" s="453"/>
      <c r="J223" s="451">
        <v>0.174975928001679</v>
      </c>
      <c r="K223" s="451">
        <v>0.207170422057097</v>
      </c>
      <c r="L223" s="451"/>
      <c r="M223" s="451"/>
      <c r="N223" s="459"/>
      <c r="O223" s="430"/>
      <c r="P223" s="531" t="str">
        <f>VLOOKUP(B223,正厂竞争者数据汇总!D:M,6,FALSE)</f>
        <v>2023年9月新增，202402导流到myswedishparts.com</v>
      </c>
      <c r="Q223" s="429"/>
      <c r="R223" s="421"/>
      <c r="S223" s="473"/>
      <c r="T223" s="466"/>
      <c r="U223" s="466"/>
      <c r="V223" s="421"/>
      <c r="W223" s="421"/>
    </row>
    <row r="224" s="408" customFormat="1" ht="17.4" spans="1:23">
      <c r="A224" s="428" t="s">
        <v>325</v>
      </c>
      <c r="B224" s="421" t="s">
        <v>362</v>
      </c>
      <c r="C224" s="429" t="s">
        <v>301</v>
      </c>
      <c r="D224" s="421" t="s">
        <v>49</v>
      </c>
      <c r="E224" s="430"/>
      <c r="F224" s="430">
        <v>18374.8333333333</v>
      </c>
      <c r="G224" s="430"/>
      <c r="H224" s="430"/>
      <c r="I224" s="453"/>
      <c r="J224" s="451">
        <v>0.106754374209381</v>
      </c>
      <c r="K224" s="451">
        <v>0.0696813968494533</v>
      </c>
      <c r="L224" s="451"/>
      <c r="M224" s="451"/>
      <c r="N224" s="459"/>
      <c r="O224" s="430"/>
      <c r="P224" s="531">
        <f>VLOOKUP(B224,正厂竞争者数据汇总!D:M,6,FALSE)</f>
        <v>0</v>
      </c>
      <c r="Q224" s="429"/>
      <c r="R224" s="421"/>
      <c r="S224" s="473"/>
      <c r="T224" s="466"/>
      <c r="U224" s="466"/>
      <c r="V224" s="421"/>
      <c r="W224" s="421"/>
    </row>
    <row r="225" s="408" customFormat="1" ht="17.4" spans="1:23">
      <c r="A225" s="428" t="s">
        <v>230</v>
      </c>
      <c r="B225" s="421" t="s">
        <v>358</v>
      </c>
      <c r="C225" s="429" t="s">
        <v>247</v>
      </c>
      <c r="D225" s="421" t="s">
        <v>421</v>
      </c>
      <c r="E225" s="430"/>
      <c r="F225" s="430">
        <v>17634.7</v>
      </c>
      <c r="G225" s="430"/>
      <c r="H225" s="430"/>
      <c r="I225" s="453"/>
      <c r="J225" s="451">
        <v>0.102454336794175</v>
      </c>
      <c r="K225" s="451">
        <v>0.105066627687923</v>
      </c>
      <c r="L225" s="451"/>
      <c r="M225" s="451"/>
      <c r="N225" s="459"/>
      <c r="O225" s="430"/>
      <c r="P225" s="531" t="str">
        <f>VLOOKUP(B225,正厂竞争者数据汇总!D:M,6,FALSE)</f>
        <v>2023年9月新增</v>
      </c>
      <c r="Q225" s="429"/>
      <c r="R225" s="421"/>
      <c r="S225" s="473"/>
      <c r="T225" s="466"/>
      <c r="U225" s="466"/>
      <c r="V225" s="421"/>
      <c r="W225" s="421"/>
    </row>
    <row r="226" s="408" customFormat="1" ht="17.4" spans="1:23">
      <c r="A226" s="428" t="s">
        <v>325</v>
      </c>
      <c r="B226" s="421" t="s">
        <v>363</v>
      </c>
      <c r="C226" s="429" t="s">
        <v>301</v>
      </c>
      <c r="D226" s="421" t="s">
        <v>371</v>
      </c>
      <c r="E226" s="430"/>
      <c r="F226" s="430">
        <v>9958.3</v>
      </c>
      <c r="G226" s="430"/>
      <c r="H226" s="430"/>
      <c r="I226" s="453"/>
      <c r="J226" s="451">
        <v>0.0578558763175691</v>
      </c>
      <c r="K226" s="451"/>
      <c r="L226" s="451"/>
      <c r="M226" s="451"/>
      <c r="N226" s="459"/>
      <c r="O226" s="430"/>
      <c r="P226" s="531"/>
      <c r="Q226" s="429"/>
      <c r="R226" s="421"/>
      <c r="S226" s="473"/>
      <c r="T226" s="466"/>
      <c r="U226" s="466"/>
      <c r="V226" s="421"/>
      <c r="W226" s="421"/>
    </row>
    <row r="227" s="408" customFormat="1" ht="17.4" spans="1:23">
      <c r="A227" s="428" t="s">
        <v>230</v>
      </c>
      <c r="B227" s="421" t="s">
        <v>359</v>
      </c>
      <c r="C227" s="429" t="s">
        <v>247</v>
      </c>
      <c r="D227" s="421" t="s">
        <v>423</v>
      </c>
      <c r="E227" s="430"/>
      <c r="F227" s="430">
        <v>9577.9</v>
      </c>
      <c r="G227" s="430"/>
      <c r="H227" s="430"/>
      <c r="I227" s="453"/>
      <c r="J227" s="451">
        <v>0.0556458228595288</v>
      </c>
      <c r="K227" s="451">
        <v>0.0617232900239739</v>
      </c>
      <c r="L227" s="451"/>
      <c r="M227" s="451"/>
      <c r="N227" s="459"/>
      <c r="O227" s="430"/>
      <c r="P227" s="531" t="str">
        <f>VLOOKUP(B227,正厂竞争者数据汇总!D:M,6,FALSE)</f>
        <v>2023年9月新增</v>
      </c>
      <c r="Q227" s="429"/>
      <c r="R227" s="421"/>
      <c r="S227" s="473"/>
      <c r="T227" s="466"/>
      <c r="U227" s="466"/>
      <c r="V227" s="421"/>
      <c r="W227" s="421"/>
    </row>
    <row r="228" s="408" customFormat="1" spans="1:23">
      <c r="A228" s="428"/>
      <c r="B228" s="438"/>
      <c r="C228" s="429"/>
      <c r="D228" s="421"/>
      <c r="E228" s="430"/>
      <c r="F228" s="430"/>
      <c r="G228" s="430">
        <v>131075.583333333</v>
      </c>
      <c r="H228" s="430"/>
      <c r="I228" s="453"/>
      <c r="J228" s="451"/>
      <c r="K228" s="451"/>
      <c r="L228" s="451"/>
      <c r="M228" s="451"/>
      <c r="N228" s="459"/>
      <c r="O228" s="430"/>
      <c r="P228" s="531"/>
      <c r="Q228" s="429"/>
      <c r="R228" s="421"/>
      <c r="S228" s="473"/>
      <c r="T228" s="466"/>
      <c r="U228" s="466"/>
      <c r="V228" s="421"/>
      <c r="W228" s="421"/>
    </row>
    <row r="229" s="408" customFormat="1" spans="1:23">
      <c r="A229" s="428"/>
      <c r="B229" s="421"/>
      <c r="C229" s="439"/>
      <c r="D229" s="421"/>
      <c r="E229" s="421"/>
      <c r="F229" s="496">
        <v>172122.533333333</v>
      </c>
      <c r="G229" s="496"/>
      <c r="H229" s="496">
        <v>117816.916666667</v>
      </c>
      <c r="I229" s="453" t="e">
        <v>#DIV/0!</v>
      </c>
      <c r="J229" s="430"/>
      <c r="K229" s="430"/>
      <c r="L229" s="430"/>
      <c r="M229" s="451"/>
      <c r="N229" s="459"/>
      <c r="O229" s="430"/>
      <c r="P229" s="531"/>
      <c r="Q229" s="429"/>
      <c r="R229" s="421"/>
      <c r="S229" s="473"/>
      <c r="T229" s="466"/>
      <c r="U229" s="466"/>
      <c r="V229" s="421"/>
      <c r="W229" s="421"/>
    </row>
    <row r="230" s="408" customFormat="1" spans="1:23">
      <c r="A230" s="428"/>
      <c r="B230" s="438"/>
      <c r="C230" s="439"/>
      <c r="D230" s="421"/>
      <c r="E230" s="430"/>
      <c r="F230" s="430"/>
      <c r="G230" s="430"/>
      <c r="H230" s="430"/>
      <c r="I230" s="453"/>
      <c r="J230" s="430"/>
      <c r="K230" s="430"/>
      <c r="L230" s="430"/>
      <c r="M230" s="451"/>
      <c r="N230" s="459"/>
      <c r="O230" s="430"/>
      <c r="P230" s="531"/>
      <c r="Q230" s="429"/>
      <c r="R230" s="421"/>
      <c r="S230" s="473"/>
      <c r="T230" s="466"/>
      <c r="U230" s="466"/>
      <c r="V230" s="421"/>
      <c r="W230" s="421"/>
    </row>
    <row r="231" s="408" customFormat="1" spans="3:21">
      <c r="C231" s="411"/>
      <c r="F231" s="502"/>
      <c r="G231" s="502"/>
      <c r="H231" s="502"/>
      <c r="I231" s="502"/>
      <c r="J231" s="412"/>
      <c r="K231" s="412"/>
      <c r="L231" s="412"/>
      <c r="M231" s="413"/>
      <c r="N231" s="414"/>
      <c r="O231" s="412"/>
      <c r="P231" s="528"/>
      <c r="T231" s="416"/>
      <c r="U231" s="416"/>
    </row>
    <row r="232" s="408" customFormat="1" spans="3:21">
      <c r="C232" s="411"/>
      <c r="E232" s="412"/>
      <c r="F232" s="412"/>
      <c r="G232" s="412"/>
      <c r="H232" s="412"/>
      <c r="I232" s="412"/>
      <c r="J232" s="412"/>
      <c r="K232" s="412"/>
      <c r="L232" s="412"/>
      <c r="M232" s="413"/>
      <c r="N232" s="414"/>
      <c r="O232" s="412"/>
      <c r="T232" s="416"/>
      <c r="U232" s="416"/>
    </row>
    <row r="233" s="408" customFormat="1" spans="3:21">
      <c r="C233" s="411"/>
      <c r="F233" s="412"/>
      <c r="G233" s="412"/>
      <c r="H233" s="412"/>
      <c r="I233" s="412"/>
      <c r="J233" s="412"/>
      <c r="K233" s="412"/>
      <c r="L233" s="412"/>
      <c r="M233" s="413"/>
      <c r="N233" s="414"/>
      <c r="O233" s="412"/>
      <c r="P233" s="528"/>
      <c r="T233" s="416"/>
      <c r="U233" s="416"/>
    </row>
    <row r="234" s="408" customFormat="1" spans="3:21">
      <c r="C234" s="411"/>
      <c r="F234" s="412"/>
      <c r="G234" s="412"/>
      <c r="H234" s="412"/>
      <c r="I234" s="412"/>
      <c r="J234" s="412"/>
      <c r="K234" s="412"/>
      <c r="L234" s="412"/>
      <c r="M234" s="413"/>
      <c r="N234" s="414"/>
      <c r="O234" s="412"/>
      <c r="P234" s="528"/>
      <c r="T234" s="416"/>
      <c r="U234" s="416"/>
    </row>
    <row r="235" s="408" customFormat="1" spans="3:21">
      <c r="C235" s="411"/>
      <c r="F235" s="412"/>
      <c r="G235" s="412"/>
      <c r="H235" s="412"/>
      <c r="I235" s="412"/>
      <c r="J235" s="412"/>
      <c r="K235" s="412"/>
      <c r="L235" s="412"/>
      <c r="M235" s="413"/>
      <c r="N235" s="414"/>
      <c r="O235" s="412"/>
      <c r="P235" s="528"/>
      <c r="T235" s="416"/>
      <c r="U235" s="416"/>
    </row>
    <row r="236" s="408" customFormat="1" spans="3:21">
      <c r="C236" s="411"/>
      <c r="F236" s="412"/>
      <c r="G236" s="412"/>
      <c r="H236" s="412"/>
      <c r="I236" s="412"/>
      <c r="J236" s="412"/>
      <c r="K236" s="412"/>
      <c r="L236" s="412"/>
      <c r="M236" s="413"/>
      <c r="N236" s="414"/>
      <c r="O236" s="412"/>
      <c r="P236" s="528"/>
      <c r="T236" s="416"/>
      <c r="U236" s="416"/>
    </row>
    <row r="237" s="408" customFormat="1" spans="3:21">
      <c r="C237" s="411"/>
      <c r="F237" s="412"/>
      <c r="G237" s="412"/>
      <c r="H237" s="412"/>
      <c r="I237" s="412"/>
      <c r="J237" s="412"/>
      <c r="K237" s="412"/>
      <c r="L237" s="412"/>
      <c r="M237" s="413"/>
      <c r="N237" s="414"/>
      <c r="O237" s="412"/>
      <c r="P237" s="528"/>
      <c r="T237" s="416"/>
      <c r="U237" s="416"/>
    </row>
    <row r="238" s="408" customFormat="1" spans="3:21">
      <c r="C238" s="411"/>
      <c r="F238" s="412"/>
      <c r="G238" s="412"/>
      <c r="H238" s="412"/>
      <c r="I238" s="412"/>
      <c r="J238" s="412"/>
      <c r="K238" s="412"/>
      <c r="L238" s="412"/>
      <c r="M238" s="413"/>
      <c r="N238" s="414"/>
      <c r="O238" s="412"/>
      <c r="P238" s="528"/>
      <c r="T238" s="416"/>
      <c r="U238" s="416"/>
    </row>
    <row r="239" s="408" customFormat="1" spans="3:21">
      <c r="C239" s="411"/>
      <c r="F239" s="412"/>
      <c r="G239" s="412"/>
      <c r="H239" s="412"/>
      <c r="I239" s="412"/>
      <c r="J239" s="412"/>
      <c r="K239" s="412"/>
      <c r="L239" s="412"/>
      <c r="M239" s="413"/>
      <c r="N239" s="414"/>
      <c r="O239" s="412"/>
      <c r="P239" s="528"/>
      <c r="T239" s="416"/>
      <c r="U239" s="416"/>
    </row>
    <row r="240" s="408" customFormat="1" spans="3:21">
      <c r="C240" s="411"/>
      <c r="F240" s="412"/>
      <c r="G240" s="412"/>
      <c r="H240" s="412"/>
      <c r="I240" s="412"/>
      <c r="J240" s="412"/>
      <c r="K240" s="412"/>
      <c r="L240" s="412"/>
      <c r="M240" s="413"/>
      <c r="N240" s="414"/>
      <c r="O240" s="412"/>
      <c r="P240" s="528"/>
      <c r="T240" s="416"/>
      <c r="U240" s="416"/>
    </row>
    <row r="241" s="408" customFormat="1" spans="3:21">
      <c r="C241" s="411"/>
      <c r="F241" s="412"/>
      <c r="G241" s="412"/>
      <c r="H241" s="412"/>
      <c r="I241" s="412"/>
      <c r="J241" s="412"/>
      <c r="K241" s="412"/>
      <c r="L241" s="412"/>
      <c r="M241" s="413"/>
      <c r="N241" s="414"/>
      <c r="O241" s="412"/>
      <c r="P241" s="528"/>
      <c r="T241" s="416"/>
      <c r="U241" s="416"/>
    </row>
    <row r="242" s="408" customFormat="1" spans="3:21">
      <c r="C242" s="411"/>
      <c r="F242" s="412"/>
      <c r="G242" s="412"/>
      <c r="H242" s="412"/>
      <c r="I242" s="412"/>
      <c r="J242" s="412"/>
      <c r="K242" s="412"/>
      <c r="L242" s="412"/>
      <c r="M242" s="413"/>
      <c r="N242" s="414"/>
      <c r="O242" s="412"/>
      <c r="P242" s="528"/>
      <c r="T242" s="416"/>
      <c r="U242" s="416"/>
    </row>
    <row r="243" s="411" customFormat="1" spans="1:23">
      <c r="A243" s="408"/>
      <c r="B243" s="503"/>
      <c r="D243" s="408"/>
      <c r="E243" s="408"/>
      <c r="F243" s="412"/>
      <c r="G243" s="412"/>
      <c r="H243" s="412"/>
      <c r="I243" s="412"/>
      <c r="J243" s="412"/>
      <c r="K243" s="412"/>
      <c r="L243" s="412"/>
      <c r="M243" s="413"/>
      <c r="N243" s="414"/>
      <c r="O243" s="412"/>
      <c r="P243" s="528"/>
      <c r="Q243" s="408"/>
      <c r="R243" s="408"/>
      <c r="S243" s="408"/>
      <c r="T243" s="416"/>
      <c r="U243" s="416"/>
      <c r="V243" s="408"/>
      <c r="W243" s="408"/>
    </row>
  </sheetData>
  <autoFilter ref="C1:C243">
    <extLst/>
  </autoFilter>
  <mergeCells count="19">
    <mergeCell ref="U1:W1"/>
    <mergeCell ref="U12:W12"/>
    <mergeCell ref="U24:W24"/>
    <mergeCell ref="U36:W36"/>
    <mergeCell ref="U48:W48"/>
    <mergeCell ref="U60:W60"/>
    <mergeCell ref="U70:W70"/>
    <mergeCell ref="U79:W79"/>
    <mergeCell ref="U93:W93"/>
    <mergeCell ref="U104:W104"/>
    <mergeCell ref="U116:W116"/>
    <mergeCell ref="U130:W130"/>
    <mergeCell ref="U144:W144"/>
    <mergeCell ref="U156:W156"/>
    <mergeCell ref="U168:W168"/>
    <mergeCell ref="U178:W178"/>
    <mergeCell ref="U194:W194"/>
    <mergeCell ref="U206:W206"/>
    <mergeCell ref="U220:W220"/>
  </mergeCells>
  <conditionalFormatting sqref="M3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{2dcee3b6-199c-40c2-bdaf-a773fa06eb02}</x14:id>
        </ext>
      </extLst>
    </cfRule>
  </conditionalFormatting>
  <conditionalFormatting sqref="M14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{b8c7a5f7-645b-4bb2-86de-c03b10b52117}</x14:id>
        </ext>
      </extLst>
    </cfRule>
  </conditionalFormatting>
  <conditionalFormatting sqref="I26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{88302873-5789-498e-ac63-c6f5ec9219ab}</x14:id>
        </ext>
      </extLst>
    </cfRule>
  </conditionalFormatting>
  <conditionalFormatting sqref="M2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{870a639e-393d-4e71-b47c-91679142df6e}</x14:id>
        </ext>
      </extLst>
    </cfRule>
  </conditionalFormatting>
  <conditionalFormatting sqref="M33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{1acc2488-b53d-4c69-bfa5-038959da8368}</x14:id>
        </ext>
      </extLst>
    </cfRule>
  </conditionalFormatting>
  <conditionalFormatting sqref="M38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{0a4aa00f-a0d8-4bd9-8710-7ceebe22f69a}</x14:id>
        </ext>
      </extLst>
    </cfRule>
  </conditionalFormatting>
  <conditionalFormatting sqref="M50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{6f5ac1be-8046-4271-89f3-3e5a618b51f0}</x14:id>
        </ext>
      </extLst>
    </cfRule>
  </conditionalFormatting>
  <conditionalFormatting sqref="M62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{b8729112-a713-4d6a-ad64-f3118425b712}</x14:id>
        </ext>
      </extLst>
    </cfRule>
  </conditionalFormatting>
  <conditionalFormatting sqref="M7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{0ea04d9f-a805-465d-951b-3c6086826557}</x14:id>
        </ext>
      </extLst>
    </cfRule>
  </conditionalFormatting>
  <conditionalFormatting sqref="M81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{f03cb066-113e-4176-84d5-2f9891f6f272}</x14:id>
        </ext>
      </extLst>
    </cfRule>
  </conditionalFormatting>
  <conditionalFormatting sqref="M95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{476a4172-24d6-4487-b201-8d54fc8bcba2}</x14:id>
        </ext>
      </extLst>
    </cfRule>
  </conditionalFormatting>
  <conditionalFormatting sqref="I106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{1f614780-19ee-4057-bc03-6f3f7d86b65b}</x14:id>
        </ext>
      </extLst>
    </cfRule>
  </conditionalFormatting>
  <conditionalFormatting sqref="M106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{4338cb13-0445-4a7b-be7d-6146d69b8fdb}</x14:id>
        </ext>
      </extLst>
    </cfRule>
  </conditionalFormatting>
  <conditionalFormatting sqref="M107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{7286b265-ddb8-4d70-a10d-2f9eb0f11a7f}</x14:id>
        </ext>
      </extLst>
    </cfRule>
  </conditionalFormatting>
  <conditionalFormatting sqref="M118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{11974cc0-811b-4200-adfe-fb1f31eab8ad}</x14:id>
        </ext>
      </extLst>
    </cfRule>
  </conditionalFormatting>
  <conditionalFormatting sqref="I119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{aaec3c43-d6fd-4571-ac83-fdf20b92a490}</x14:id>
        </ext>
      </extLst>
    </cfRule>
  </conditionalFormatting>
  <conditionalFormatting sqref="M11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{32d483e3-d70e-4361-a53b-99afaf3e8929}</x14:id>
        </ext>
      </extLst>
    </cfRule>
  </conditionalFormatting>
  <conditionalFormatting sqref="I12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{e7766e7f-69c1-46e7-8702-578bd770bad9}</x14:id>
        </ext>
      </extLst>
    </cfRule>
  </conditionalFormatting>
  <conditionalFormatting sqref="M132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{880fffa7-d617-4a91-afce-73d449b535c6}</x14:id>
        </ext>
      </extLst>
    </cfRule>
  </conditionalFormatting>
  <conditionalFormatting sqref="M146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{37f95c59-5b38-453c-b69b-ede00d2e98d6}</x14:id>
        </ext>
      </extLst>
    </cfRule>
  </conditionalFormatting>
  <conditionalFormatting sqref="I4:I8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{54ad3539-5c63-4b8b-865d-af39615e9dbe}</x14:id>
        </ext>
      </extLst>
    </cfRule>
  </conditionalFormatting>
  <conditionalFormatting sqref="I15:I20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{51a580ff-445f-4213-9e33-f6a5b7c4fd3a}</x14:id>
        </ext>
      </extLst>
    </cfRule>
  </conditionalFormatting>
  <conditionalFormatting sqref="I28:I31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{d25022c0-b6ff-43fd-9190-131f3c627f00}</x14:id>
        </ext>
      </extLst>
    </cfRule>
  </conditionalFormatting>
  <conditionalFormatting sqref="I33:I34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{e23fd2d9-600f-478e-bcbb-0e1c4eac07ac}</x14:id>
        </ext>
      </extLst>
    </cfRule>
  </conditionalFormatting>
  <conditionalFormatting sqref="I39:I44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{65982055-abc1-4d33-be71-43e28903ca3f}</x14:id>
        </ext>
      </extLst>
    </cfRule>
  </conditionalFormatting>
  <conditionalFormatting sqref="I51:I56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{e125b014-33db-4935-9061-7b75b16f201a}</x14:id>
        </ext>
      </extLst>
    </cfRule>
  </conditionalFormatting>
  <conditionalFormatting sqref="I63:I66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{0a5fd943-6cad-4ad0-948c-716453707a1b}</x14:id>
        </ext>
      </extLst>
    </cfRule>
  </conditionalFormatting>
  <conditionalFormatting sqref="I73:I75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{dae70bb5-b217-49f5-8750-f91d58eca875}</x14:id>
        </ext>
      </extLst>
    </cfRule>
  </conditionalFormatting>
  <conditionalFormatting sqref="I82:I89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{3efffcbe-fc1c-482b-bf32-ab95931a3a5f}</x14:id>
        </ext>
      </extLst>
    </cfRule>
  </conditionalFormatting>
  <conditionalFormatting sqref="I96:I10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{7b68de6d-5b65-4758-9aa5-aeccab274221}</x14:id>
        </ext>
      </extLst>
    </cfRule>
  </conditionalFormatting>
  <conditionalFormatting sqref="I101:I102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{d9248001-16b8-4bfa-a966-782b26b3c4d6}</x14:id>
        </ext>
      </extLst>
    </cfRule>
  </conditionalFormatting>
  <conditionalFormatting sqref="I108:I1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{68528917-9d39-4f6c-9333-90a11dd91221}</x14:id>
        </ext>
      </extLst>
    </cfRule>
  </conditionalFormatting>
  <conditionalFormatting sqref="I133:I139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{74037a5e-f3ad-4237-809e-595ae2815d44}</x14:id>
        </ext>
      </extLst>
    </cfRule>
  </conditionalFormatting>
  <conditionalFormatting sqref="I147:I15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{fbe3d468-346a-4e6d-aec6-c1a446a3120c}</x14:id>
        </ext>
      </extLst>
    </cfRule>
  </conditionalFormatting>
  <conditionalFormatting sqref="M4:M8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{d16cb12c-c0e7-4222-9460-76e2014ac9b6}</x14:id>
        </ext>
      </extLst>
    </cfRule>
  </conditionalFormatting>
  <conditionalFormatting sqref="M15:M20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{21313a36-8a07-4bda-a877-ff32e7f9573f}</x14:id>
        </ext>
      </extLst>
    </cfRule>
  </conditionalFormatting>
  <conditionalFormatting sqref="M28:M3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{b143277d-5536-468e-b7d8-0e2b6e5f7d58}</x14:id>
        </ext>
      </extLst>
    </cfRule>
  </conditionalFormatting>
  <conditionalFormatting sqref="M39:M44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{a41fb551-2783-42e4-b01b-aaf7f5d4af16}</x14:id>
        </ext>
      </extLst>
    </cfRule>
  </conditionalFormatting>
  <conditionalFormatting sqref="M51:M56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{99d309a9-761b-41b5-910e-1dd4ab866afe}</x14:id>
        </ext>
      </extLst>
    </cfRule>
  </conditionalFormatting>
  <conditionalFormatting sqref="M63:M66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{3eb158d7-a599-4e18-8d16-1bb7abc21822}</x14:id>
        </ext>
      </extLst>
    </cfRule>
  </conditionalFormatting>
  <conditionalFormatting sqref="M73:M75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{41c7aad1-b941-4b14-b06e-b3fc8aa7bff2}</x14:id>
        </ext>
      </extLst>
    </cfRule>
  </conditionalFormatting>
  <conditionalFormatting sqref="M82:M89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{2f89a22e-ba5c-4fd6-a286-625dd1a28a99}</x14:id>
        </ext>
      </extLst>
    </cfRule>
  </conditionalFormatting>
  <conditionalFormatting sqref="M96:M100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{27e2f1aa-dda4-484e-ba48-280f30e454a1}</x14:id>
        </ext>
      </extLst>
    </cfRule>
  </conditionalFormatting>
  <conditionalFormatting sqref="M108:M1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{87e96425-8933-4f3c-8eed-ce5a57950d5b}</x14:id>
        </ext>
      </extLst>
    </cfRule>
  </conditionalFormatting>
  <conditionalFormatting sqref="M120:M12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{acaaf804-b0e4-4c08-98f9-91cbc3bc7168}</x14:id>
        </ext>
      </extLst>
    </cfRule>
  </conditionalFormatting>
  <conditionalFormatting sqref="M133:M13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{af4fd042-9120-4ff8-8372-475cba7fd789}</x14:id>
        </ext>
      </extLst>
    </cfRule>
  </conditionalFormatting>
  <conditionalFormatting sqref="M147:M15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{12b5b69c-75c8-4ea4-ac43-1b362a55b577}</x14:id>
        </ext>
      </extLst>
    </cfRule>
  </conditionalFormatting>
  <conditionalFormatting sqref="I9:I10 I3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{d2e830e1-e9e8-427a-ad87-ab6a5565cb20}</x14:id>
        </ext>
      </extLst>
    </cfRule>
  </conditionalFormatting>
  <conditionalFormatting sqref="I21:I22 I1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{556f6666-6602-4560-9858-5879612a6084}</x14:id>
        </ext>
      </extLst>
    </cfRule>
  </conditionalFormatting>
  <conditionalFormatting sqref="I27 I3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{b382e5ca-9f41-49c2-bd57-e4ec3d97fac1}</x14:id>
        </ext>
      </extLst>
    </cfRule>
  </conditionalFormatting>
  <conditionalFormatting sqref="M27 M32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{4080cebf-60b0-4034-810b-f81b0c055873}</x14:id>
        </ext>
      </extLst>
    </cfRule>
  </conditionalFormatting>
  <conditionalFormatting sqref="I45:I46 I38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{310c0fb0-1f7e-47a8-ba60-59855e7af87a}</x14:id>
        </ext>
      </extLst>
    </cfRule>
  </conditionalFormatting>
  <conditionalFormatting sqref="I57:I58 I50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{d1f85733-4bc7-492a-95a0-faf5fdd2724a}</x14:id>
        </ext>
      </extLst>
    </cfRule>
  </conditionalFormatting>
  <conditionalFormatting sqref="I67:I68 I62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{51a2bac6-cd80-4723-b2a9-4a7f93198a47}</x14:id>
        </ext>
      </extLst>
    </cfRule>
  </conditionalFormatting>
  <conditionalFormatting sqref="I72 I76:I77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{63af0e06-34df-4caa-965e-adaa5a5c5f77}</x14:id>
        </ext>
      </extLst>
    </cfRule>
  </conditionalFormatting>
  <conditionalFormatting sqref="I90:I91 I81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{9e22491e-185d-4045-ac76-8b4d34d0b6dc}</x14:id>
        </ext>
      </extLst>
    </cfRule>
  </conditionalFormatting>
  <conditionalFormatting sqref="I113:I114 I107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{f3205403-6351-4064-9c0d-13d07c133e94}</x14:id>
        </ext>
      </extLst>
    </cfRule>
  </conditionalFormatting>
  <conditionalFormatting sqref="I127:I128 I118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{24046ede-1c02-47d4-85e1-df3c587ac3c7}</x14:id>
        </ext>
      </extLst>
    </cfRule>
  </conditionalFormatting>
  <conditionalFormatting sqref="I120:I123 I125:I126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{649b9832-7db5-4f6b-aadc-2931a891fb60}</x14:id>
        </ext>
      </extLst>
    </cfRule>
  </conditionalFormatting>
  <conditionalFormatting sqref="I141:I142 I132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{2600c4ba-1af6-48d2-ac07-b92e5d0f9ee8}</x14:id>
        </ext>
      </extLst>
    </cfRule>
  </conditionalFormatting>
  <conditionalFormatting sqref="I153:I154 I146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{a16b66a6-1591-4a1a-8281-38e7b0328c9a}</x14:id>
        </ext>
      </extLst>
    </cfRule>
  </conditionalFormatting>
  <hyperlinks>
    <hyperlink ref="B109" r:id="rId1" display="subarupartsplus.com" tooltip="http://www.subarupartsplus.com"/>
    <hyperlink ref="B52" r:id="rId2" display="moparfactoryparts.com" tooltip="http://www.moparfactoryparts.com"/>
    <hyperlink ref="B106" r:id="rId3" display="subaruparts.com" tooltip="http://www.subaruparts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dcee3b6-199c-40c2-bdaf-a773fa06eb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</xm:sqref>
        </x14:conditionalFormatting>
        <x14:conditionalFormatting xmlns:xm="http://schemas.microsoft.com/office/excel/2006/main">
          <x14:cfRule type="dataBar" id="{b8c7a5f7-645b-4bb2-86de-c03b10b521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</xm:sqref>
        </x14:conditionalFormatting>
        <x14:conditionalFormatting xmlns:xm="http://schemas.microsoft.com/office/excel/2006/main">
          <x14:cfRule type="dataBar" id="{88302873-5789-498e-ac63-c6f5ec9219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I26</xm:sqref>
        </x14:conditionalFormatting>
        <x14:conditionalFormatting xmlns:xm="http://schemas.microsoft.com/office/excel/2006/main">
          <x14:cfRule type="dataBar" id="{870a639e-393d-4e71-b47c-91679142df6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M26</xm:sqref>
        </x14:conditionalFormatting>
        <x14:conditionalFormatting xmlns:xm="http://schemas.microsoft.com/office/excel/2006/main">
          <x14:cfRule type="dataBar" id="{1acc2488-b53d-4c69-bfa5-038959da836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M33</xm:sqref>
        </x14:conditionalFormatting>
        <x14:conditionalFormatting xmlns:xm="http://schemas.microsoft.com/office/excel/2006/main">
          <x14:cfRule type="dataBar" id="{0a4aa00f-a0d8-4bd9-8710-7ceebe22f6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M38</xm:sqref>
        </x14:conditionalFormatting>
        <x14:conditionalFormatting xmlns:xm="http://schemas.microsoft.com/office/excel/2006/main">
          <x14:cfRule type="dataBar" id="{6f5ac1be-8046-4271-89f3-3e5a618b51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M50</xm:sqref>
        </x14:conditionalFormatting>
        <x14:conditionalFormatting xmlns:xm="http://schemas.microsoft.com/office/excel/2006/main">
          <x14:cfRule type="dataBar" id="{b8729112-a713-4d6a-ad64-f3118425b71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M62</xm:sqref>
        </x14:conditionalFormatting>
        <x14:conditionalFormatting xmlns:xm="http://schemas.microsoft.com/office/excel/2006/main">
          <x14:cfRule type="dataBar" id="{0ea04d9f-a805-465d-951b-3c60868265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M72</xm:sqref>
        </x14:conditionalFormatting>
        <x14:conditionalFormatting xmlns:xm="http://schemas.microsoft.com/office/excel/2006/main">
          <x14:cfRule type="dataBar" id="{f03cb066-113e-4176-84d5-2f9891f6f2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M81</xm:sqref>
        </x14:conditionalFormatting>
        <x14:conditionalFormatting xmlns:xm="http://schemas.microsoft.com/office/excel/2006/main">
          <x14:cfRule type="dataBar" id="{476a4172-24d6-4487-b201-8d54fc8bcb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M95</xm:sqref>
        </x14:conditionalFormatting>
        <x14:conditionalFormatting xmlns:xm="http://schemas.microsoft.com/office/excel/2006/main">
          <x14:cfRule type="dataBar" id="{1f614780-19ee-4057-bc03-6f3f7d86b6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I106</xm:sqref>
        </x14:conditionalFormatting>
        <x14:conditionalFormatting xmlns:xm="http://schemas.microsoft.com/office/excel/2006/main">
          <x14:cfRule type="dataBar" id="{4338cb13-0445-4a7b-be7d-6146d69b8fd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M106</xm:sqref>
        </x14:conditionalFormatting>
        <x14:conditionalFormatting xmlns:xm="http://schemas.microsoft.com/office/excel/2006/main">
          <x14:cfRule type="dataBar" id="{7286b265-ddb8-4d70-a10d-2f9eb0f11a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M107</xm:sqref>
        </x14:conditionalFormatting>
        <x14:conditionalFormatting xmlns:xm="http://schemas.microsoft.com/office/excel/2006/main">
          <x14:cfRule type="dataBar" id="{11974cc0-811b-4200-adfe-fb1f31eab8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M118</xm:sqref>
        </x14:conditionalFormatting>
        <x14:conditionalFormatting xmlns:xm="http://schemas.microsoft.com/office/excel/2006/main">
          <x14:cfRule type="dataBar" id="{aaec3c43-d6fd-4571-ac83-fdf20b92a4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I119</xm:sqref>
        </x14:conditionalFormatting>
        <x14:conditionalFormatting xmlns:xm="http://schemas.microsoft.com/office/excel/2006/main">
          <x14:cfRule type="dataBar" id="{32d483e3-d70e-4361-a53b-99afaf3e892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M119</xm:sqref>
        </x14:conditionalFormatting>
        <x14:conditionalFormatting xmlns:xm="http://schemas.microsoft.com/office/excel/2006/main">
          <x14:cfRule type="dataBar" id="{e7766e7f-69c1-46e7-8702-578bd770bad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I124</xm:sqref>
        </x14:conditionalFormatting>
        <x14:conditionalFormatting xmlns:xm="http://schemas.microsoft.com/office/excel/2006/main">
          <x14:cfRule type="dataBar" id="{880fffa7-d617-4a91-afce-73d449b535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M132</xm:sqref>
        </x14:conditionalFormatting>
        <x14:conditionalFormatting xmlns:xm="http://schemas.microsoft.com/office/excel/2006/main">
          <x14:cfRule type="dataBar" id="{37f95c59-5b38-453c-b69b-ede00d2e98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M146</xm:sqref>
        </x14:conditionalFormatting>
        <x14:conditionalFormatting xmlns:xm="http://schemas.microsoft.com/office/excel/2006/main">
          <x14:cfRule type="dataBar" id="{54ad3539-5c63-4b8b-865d-af39615e9d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I4:I8</xm:sqref>
        </x14:conditionalFormatting>
        <x14:conditionalFormatting xmlns:xm="http://schemas.microsoft.com/office/excel/2006/main">
          <x14:cfRule type="dataBar" id="{51a580ff-445f-4213-9e33-f6a5b7c4fd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I15:I20</xm:sqref>
        </x14:conditionalFormatting>
        <x14:conditionalFormatting xmlns:xm="http://schemas.microsoft.com/office/excel/2006/main">
          <x14:cfRule type="dataBar" id="{d25022c0-b6ff-43fd-9190-131f3c627f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I28:I31</xm:sqref>
        </x14:conditionalFormatting>
        <x14:conditionalFormatting xmlns:xm="http://schemas.microsoft.com/office/excel/2006/main">
          <x14:cfRule type="dataBar" id="{e23fd2d9-600f-478e-bcbb-0e1c4eac07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I33:I34</xm:sqref>
        </x14:conditionalFormatting>
        <x14:conditionalFormatting xmlns:xm="http://schemas.microsoft.com/office/excel/2006/main">
          <x14:cfRule type="dataBar" id="{65982055-abc1-4d33-be71-43e28903ca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I39:I44</xm:sqref>
        </x14:conditionalFormatting>
        <x14:conditionalFormatting xmlns:xm="http://schemas.microsoft.com/office/excel/2006/main">
          <x14:cfRule type="dataBar" id="{e125b014-33db-4935-9061-7b75b16f20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I51:I56</xm:sqref>
        </x14:conditionalFormatting>
        <x14:conditionalFormatting xmlns:xm="http://schemas.microsoft.com/office/excel/2006/main">
          <x14:cfRule type="dataBar" id="{0a5fd943-6cad-4ad0-948c-716453707a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I63:I66</xm:sqref>
        </x14:conditionalFormatting>
        <x14:conditionalFormatting xmlns:xm="http://schemas.microsoft.com/office/excel/2006/main">
          <x14:cfRule type="dataBar" id="{dae70bb5-b217-49f5-8750-f91d58eca8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I73:I75</xm:sqref>
        </x14:conditionalFormatting>
        <x14:conditionalFormatting xmlns:xm="http://schemas.microsoft.com/office/excel/2006/main">
          <x14:cfRule type="dataBar" id="{3efffcbe-fc1c-482b-bf32-ab95931a3a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I82:I89</xm:sqref>
        </x14:conditionalFormatting>
        <x14:conditionalFormatting xmlns:xm="http://schemas.microsoft.com/office/excel/2006/main">
          <x14:cfRule type="dataBar" id="{7b68de6d-5b65-4758-9aa5-aeccab2742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I96:I100</xm:sqref>
        </x14:conditionalFormatting>
        <x14:conditionalFormatting xmlns:xm="http://schemas.microsoft.com/office/excel/2006/main">
          <x14:cfRule type="dataBar" id="{d9248001-16b8-4bfa-a966-782b26b3c4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I101:I102</xm:sqref>
        </x14:conditionalFormatting>
        <x14:conditionalFormatting xmlns:xm="http://schemas.microsoft.com/office/excel/2006/main">
          <x14:cfRule type="dataBar" id="{68528917-9d39-4f6c-9333-90a11dd912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I108:I112</xm:sqref>
        </x14:conditionalFormatting>
        <x14:conditionalFormatting xmlns:xm="http://schemas.microsoft.com/office/excel/2006/main">
          <x14:cfRule type="dataBar" id="{74037a5e-f3ad-4237-809e-595ae2815d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I133:I139</xm:sqref>
        </x14:conditionalFormatting>
        <x14:conditionalFormatting xmlns:xm="http://schemas.microsoft.com/office/excel/2006/main">
          <x14:cfRule type="dataBar" id="{fbe3d468-346a-4e6d-aec6-c1a446a312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I147:I152</xm:sqref>
        </x14:conditionalFormatting>
        <x14:conditionalFormatting xmlns:xm="http://schemas.microsoft.com/office/excel/2006/main">
          <x14:cfRule type="dataBar" id="{d16cb12c-c0e7-4222-9460-76e2014ac9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M4:M8</xm:sqref>
        </x14:conditionalFormatting>
        <x14:conditionalFormatting xmlns:xm="http://schemas.microsoft.com/office/excel/2006/main">
          <x14:cfRule type="dataBar" id="{21313a36-8a07-4bda-a877-ff32e7f957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M15:M20</xm:sqref>
        </x14:conditionalFormatting>
        <x14:conditionalFormatting xmlns:xm="http://schemas.microsoft.com/office/excel/2006/main">
          <x14:cfRule type="dataBar" id="{b143277d-5536-468e-b7d8-0e2b6e5f7d5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M28:M31</xm:sqref>
        </x14:conditionalFormatting>
        <x14:conditionalFormatting xmlns:xm="http://schemas.microsoft.com/office/excel/2006/main">
          <x14:cfRule type="dataBar" id="{a41fb551-2783-42e4-b01b-aaf7f5d4af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M39:M44</xm:sqref>
        </x14:conditionalFormatting>
        <x14:conditionalFormatting xmlns:xm="http://schemas.microsoft.com/office/excel/2006/main">
          <x14:cfRule type="dataBar" id="{99d309a9-761b-41b5-910e-1dd4ab866a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M51:M56</xm:sqref>
        </x14:conditionalFormatting>
        <x14:conditionalFormatting xmlns:xm="http://schemas.microsoft.com/office/excel/2006/main">
          <x14:cfRule type="dataBar" id="{3eb158d7-a599-4e18-8d16-1bb7abc218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M63:M66</xm:sqref>
        </x14:conditionalFormatting>
        <x14:conditionalFormatting xmlns:xm="http://schemas.microsoft.com/office/excel/2006/main">
          <x14:cfRule type="dataBar" id="{41c7aad1-b941-4b14-b06e-b3fc8aa7bf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M73:M75</xm:sqref>
        </x14:conditionalFormatting>
        <x14:conditionalFormatting xmlns:xm="http://schemas.microsoft.com/office/excel/2006/main">
          <x14:cfRule type="dataBar" id="{2f89a22e-ba5c-4fd6-a286-625dd1a28a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M82:M89</xm:sqref>
        </x14:conditionalFormatting>
        <x14:conditionalFormatting xmlns:xm="http://schemas.microsoft.com/office/excel/2006/main">
          <x14:cfRule type="dataBar" id="{27e2f1aa-dda4-484e-ba48-280f30e454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M96:M100</xm:sqref>
        </x14:conditionalFormatting>
        <x14:conditionalFormatting xmlns:xm="http://schemas.microsoft.com/office/excel/2006/main">
          <x14:cfRule type="dataBar" id="{87e96425-8933-4f3c-8eed-ce5a57950d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M108:M112</xm:sqref>
        </x14:conditionalFormatting>
        <x14:conditionalFormatting xmlns:xm="http://schemas.microsoft.com/office/excel/2006/main">
          <x14:cfRule type="dataBar" id="{acaaf804-b0e4-4c08-98f9-91cbc3bc716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M120:M126</xm:sqref>
        </x14:conditionalFormatting>
        <x14:conditionalFormatting xmlns:xm="http://schemas.microsoft.com/office/excel/2006/main">
          <x14:cfRule type="dataBar" id="{af4fd042-9120-4ff8-8372-475cba7fd78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M133:M139</xm:sqref>
        </x14:conditionalFormatting>
        <x14:conditionalFormatting xmlns:xm="http://schemas.microsoft.com/office/excel/2006/main">
          <x14:cfRule type="dataBar" id="{12b5b69c-75c8-4ea4-ac43-1b362a55b57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M147:M152</xm:sqref>
        </x14:conditionalFormatting>
        <x14:conditionalFormatting xmlns:xm="http://schemas.microsoft.com/office/excel/2006/main">
          <x14:cfRule type="dataBar" id="{d2e830e1-e9e8-427a-ad87-ab6a5565cb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I9:I10 I3</xm:sqref>
        </x14:conditionalFormatting>
        <x14:conditionalFormatting xmlns:xm="http://schemas.microsoft.com/office/excel/2006/main">
          <x14:cfRule type="dataBar" id="{556f6666-6602-4560-9858-5879612a608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I21:I22 I14</xm:sqref>
        </x14:conditionalFormatting>
        <x14:conditionalFormatting xmlns:xm="http://schemas.microsoft.com/office/excel/2006/main">
          <x14:cfRule type="dataBar" id="{b382e5ca-9f41-49c2-bd57-e4ec3d97fa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I27 I32</xm:sqref>
        </x14:conditionalFormatting>
        <x14:conditionalFormatting xmlns:xm="http://schemas.microsoft.com/office/excel/2006/main">
          <x14:cfRule type="dataBar" id="{4080cebf-60b0-4034-810b-f81b0c05587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M27 M32</xm:sqref>
        </x14:conditionalFormatting>
        <x14:conditionalFormatting xmlns:xm="http://schemas.microsoft.com/office/excel/2006/main">
          <x14:cfRule type="dataBar" id="{310c0fb0-1f7e-47a8-ba60-59855e7af8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I45:I46 I38</xm:sqref>
        </x14:conditionalFormatting>
        <x14:conditionalFormatting xmlns:xm="http://schemas.microsoft.com/office/excel/2006/main">
          <x14:cfRule type="dataBar" id="{d1f85733-4bc7-492a-95a0-faf5fdd272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I57:I58 I50</xm:sqref>
        </x14:conditionalFormatting>
        <x14:conditionalFormatting xmlns:xm="http://schemas.microsoft.com/office/excel/2006/main">
          <x14:cfRule type="dataBar" id="{51a2bac6-cd80-4723-b2a9-4a7f93198a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I67:I68 I62</xm:sqref>
        </x14:conditionalFormatting>
        <x14:conditionalFormatting xmlns:xm="http://schemas.microsoft.com/office/excel/2006/main">
          <x14:cfRule type="dataBar" id="{63af0e06-34df-4caa-965e-adaa5a5c5f7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I72 I76:I77</xm:sqref>
        </x14:conditionalFormatting>
        <x14:conditionalFormatting xmlns:xm="http://schemas.microsoft.com/office/excel/2006/main">
          <x14:cfRule type="dataBar" id="{9e22491e-185d-4045-ac76-8b4d34d0b6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I90:I91 I81</xm:sqref>
        </x14:conditionalFormatting>
        <x14:conditionalFormatting xmlns:xm="http://schemas.microsoft.com/office/excel/2006/main">
          <x14:cfRule type="dataBar" id="{f3205403-6351-4064-9c0d-13d07c133e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I113:I114 I107</xm:sqref>
        </x14:conditionalFormatting>
        <x14:conditionalFormatting xmlns:xm="http://schemas.microsoft.com/office/excel/2006/main">
          <x14:cfRule type="dataBar" id="{24046ede-1c02-47d4-85e1-df3c587ac3c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I127:I128 I118</xm:sqref>
        </x14:conditionalFormatting>
        <x14:conditionalFormatting xmlns:xm="http://schemas.microsoft.com/office/excel/2006/main">
          <x14:cfRule type="dataBar" id="{649b9832-7db5-4f6b-aadc-2931a891fb6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I120:I123 I125:I126</xm:sqref>
        </x14:conditionalFormatting>
        <x14:conditionalFormatting xmlns:xm="http://schemas.microsoft.com/office/excel/2006/main">
          <x14:cfRule type="dataBar" id="{2600c4ba-1af6-48d2-ac07-b92e5d0f9e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I141:I142 I132</xm:sqref>
        </x14:conditionalFormatting>
        <x14:conditionalFormatting xmlns:xm="http://schemas.microsoft.com/office/excel/2006/main">
          <x14:cfRule type="dataBar" id="{a16b66a6-1591-4a1a-8281-38e7b0328c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I153:I154 I146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46"/>
  <sheetViews>
    <sheetView workbookViewId="0">
      <selection activeCell="A1" sqref="A1"/>
    </sheetView>
  </sheetViews>
  <sheetFormatPr defaultColWidth="9" defaultRowHeight="15.6"/>
  <cols>
    <col min="1" max="1" width="13.4444444444444" style="408" customWidth="1"/>
    <col min="2" max="2" width="46.4444444444444" style="408" customWidth="1"/>
    <col min="3" max="3" width="11.3333333333333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19.2222222222222" style="413" hidden="1" customWidth="1"/>
    <col min="14" max="14" width="7.33333333333333" style="414" hidden="1" customWidth="1"/>
    <col min="15" max="15" width="16.3333333333333" style="412" hidden="1" customWidth="1"/>
    <col min="16" max="16" width="96.4444444444444" style="528" customWidth="1"/>
    <col min="17" max="17" width="31.6666666666667" style="408" customWidth="1"/>
    <col min="18" max="18" width="14.8888888888889" style="408" customWidth="1"/>
    <col min="19" max="19" width="10.1111111111111" style="408" customWidth="1"/>
    <col min="20" max="20" width="17.1111111111111" style="416" customWidth="1"/>
    <col min="21" max="21" width="16.8888888888889" style="416" customWidth="1"/>
    <col min="22" max="22" width="10.8888888888889" style="408" hidden="1" customWidth="1"/>
    <col min="23" max="23" width="11.1111111111111" style="408" hidden="1" customWidth="1"/>
    <col min="24" max="16383" width="9" style="417"/>
  </cols>
  <sheetData>
    <row r="1" s="408" customFormat="1" ht="17.4" spans="1:23">
      <c r="A1" s="418" t="s">
        <v>138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43"/>
      <c r="N1" s="444"/>
      <c r="O1" s="422"/>
      <c r="P1" s="531"/>
      <c r="Q1" s="465"/>
      <c r="R1" s="424"/>
      <c r="S1" s="473"/>
      <c r="T1" s="467"/>
      <c r="U1" s="467"/>
      <c r="V1" s="467"/>
      <c r="W1" s="467"/>
    </row>
    <row r="2" s="409" customFormat="1" ht="46.8" spans="1:23">
      <c r="A2" s="423" t="s">
        <v>206</v>
      </c>
      <c r="B2" s="424" t="s">
        <v>207</v>
      </c>
      <c r="C2" s="425" t="s">
        <v>208</v>
      </c>
      <c r="D2" s="424" t="s">
        <v>209</v>
      </c>
      <c r="E2" s="426" t="s">
        <v>210</v>
      </c>
      <c r="F2" s="427" t="s">
        <v>432</v>
      </c>
      <c r="G2" s="427" t="s">
        <v>213</v>
      </c>
      <c r="H2" s="427" t="s">
        <v>396</v>
      </c>
      <c r="I2" s="427" t="s">
        <v>386</v>
      </c>
      <c r="J2" s="446" t="s">
        <v>433</v>
      </c>
      <c r="K2" s="446" t="s">
        <v>434</v>
      </c>
      <c r="L2" s="446" t="s">
        <v>435</v>
      </c>
      <c r="M2" s="447" t="s">
        <v>436</v>
      </c>
      <c r="N2" s="448" t="s">
        <v>219</v>
      </c>
      <c r="O2" s="449" t="s">
        <v>220</v>
      </c>
      <c r="P2" s="535" t="s">
        <v>0</v>
      </c>
      <c r="Q2" s="469" t="s">
        <v>222</v>
      </c>
      <c r="R2" s="426" t="s">
        <v>223</v>
      </c>
      <c r="S2" s="470" t="s">
        <v>224</v>
      </c>
      <c r="T2" s="467" t="s">
        <v>225</v>
      </c>
      <c r="U2" s="470" t="s">
        <v>226</v>
      </c>
      <c r="V2" s="467"/>
      <c r="W2" s="467"/>
    </row>
    <row r="3" s="410" customFormat="1" ht="17.4" spans="1:23">
      <c r="A3" s="432" t="s">
        <v>227</v>
      </c>
      <c r="B3" s="432" t="s">
        <v>139</v>
      </c>
      <c r="C3" s="434" t="str">
        <f>VLOOKUP(B3,正厂竞争者数据汇总!D:H,2,FALSE)</f>
        <v>原厂目录</v>
      </c>
      <c r="D3" s="435" t="str">
        <f>VLOOKUP(B3,正厂竞争者数据汇总!D:H,3,FALSE)</f>
        <v>CA</v>
      </c>
      <c r="E3" s="436">
        <f>VLOOKUP(B3,正厂竞争者数据汇总!D:H,4,FALSE)</f>
        <v>0</v>
      </c>
      <c r="F3" s="436">
        <v>1236083.33333333</v>
      </c>
      <c r="G3" s="436">
        <v>1150833.33333333</v>
      </c>
      <c r="H3" s="436">
        <v>1200750</v>
      </c>
      <c r="I3" s="454">
        <v>0.0740767559739322</v>
      </c>
      <c r="J3" s="455">
        <v>0.572137832187349</v>
      </c>
      <c r="K3" s="455">
        <v>0.544282853146901</v>
      </c>
      <c r="L3" s="455">
        <v>0.513309550773037</v>
      </c>
      <c r="M3" s="456">
        <f>J3-K3</f>
        <v>0.0278549790404481</v>
      </c>
      <c r="N3" s="455" t="str">
        <f>IFERROR(O3*0.5/$F$3,"")</f>
        <v/>
      </c>
      <c r="O3" s="436" t="s">
        <v>180</v>
      </c>
      <c r="P3" s="531">
        <f t="array" ref="P3">INDEX(正厂竞争者数据汇总!I:I,MATCH($A$1&amp;B3,正厂竞争者数据汇总!A:A&amp;正厂竞争者数据汇总!D:D,0))</f>
        <v>0</v>
      </c>
      <c r="Q3" s="434" t="s">
        <v>228</v>
      </c>
      <c r="R3" s="435" t="s">
        <v>229</v>
      </c>
      <c r="S3" s="476"/>
      <c r="T3" s="477"/>
      <c r="U3" s="477"/>
      <c r="V3" s="477"/>
      <c r="W3" s="477"/>
    </row>
    <row r="4" s="408" customFormat="1" spans="1:23">
      <c r="A4" s="428" t="s">
        <v>230</v>
      </c>
      <c r="B4" s="421" t="s">
        <v>231</v>
      </c>
      <c r="C4" s="429" t="str">
        <f>VLOOKUP(B4,正厂竞争者数据汇总!D:H,2,FALSE)</f>
        <v>原厂目录</v>
      </c>
      <c r="D4" s="421" t="str">
        <f>VLOOKUP(B4,正厂竞争者数据汇总!D:H,3,FALSE)</f>
        <v>TX</v>
      </c>
      <c r="E4" s="430"/>
      <c r="F4" s="430">
        <v>396127.147</v>
      </c>
      <c r="G4" s="430"/>
      <c r="H4" s="430"/>
      <c r="I4" s="450"/>
      <c r="J4" s="451">
        <v>0.183352789446618</v>
      </c>
      <c r="K4" s="451">
        <v>0.182362744733432</v>
      </c>
      <c r="L4" s="451">
        <v>0.165902629061415</v>
      </c>
      <c r="M4" s="452"/>
      <c r="N4" s="451"/>
      <c r="O4" s="430"/>
      <c r="P4" s="531">
        <f t="array" ref="P4">INDEX(正厂竞争者数据汇总!I:I,MATCH($A$1&amp;B4,正厂竞争者数据汇总!A:A&amp;正厂竞争者数据汇总!D:D,0))</f>
        <v>0</v>
      </c>
      <c r="Q4" s="429"/>
      <c r="R4" s="421"/>
      <c r="S4" s="472"/>
      <c r="T4" s="466"/>
      <c r="U4" s="466"/>
      <c r="V4" s="466"/>
      <c r="W4" s="466"/>
    </row>
    <row r="5" s="408" customFormat="1" spans="1:23">
      <c r="A5" s="428" t="s">
        <v>230</v>
      </c>
      <c r="B5" s="421" t="s">
        <v>236</v>
      </c>
      <c r="C5" s="429" t="str">
        <f>VLOOKUP(B5,正厂竞争者数据汇总!D:H,2,FALSE)</f>
        <v>原厂目录</v>
      </c>
      <c r="D5" s="421" t="str">
        <f>VLOOKUP(B5,正厂竞争者数据汇总!D:H,3,FALSE)</f>
        <v>AL</v>
      </c>
      <c r="E5" s="430"/>
      <c r="F5" s="430">
        <v>167809.437766667</v>
      </c>
      <c r="G5" s="430"/>
      <c r="H5" s="430"/>
      <c r="I5" s="450"/>
      <c r="J5" s="451">
        <v>0.0776728601990689</v>
      </c>
      <c r="K5" s="451">
        <v>0.0824565284155648</v>
      </c>
      <c r="L5" s="451">
        <v>0.0725999713732813</v>
      </c>
      <c r="M5" s="452"/>
      <c r="N5" s="451"/>
      <c r="O5" s="430"/>
      <c r="P5" s="531" t="str">
        <f t="array" ref="P5">INDEX(正厂竞争者数据汇总!I:I,MATCH($A$1&amp;B5,正厂竞争者数据汇总!A:A&amp;正厂竞争者数据汇总!D:D,0))</f>
        <v>2022年1月 新加入 CompetitorSites
2022年1月 新加入 MarketingShare</v>
      </c>
      <c r="Q5" s="429"/>
      <c r="R5" s="421"/>
      <c r="S5" s="472"/>
      <c r="T5" s="466"/>
      <c r="U5" s="466"/>
      <c r="V5" s="466"/>
      <c r="W5" s="466"/>
    </row>
    <row r="6" s="408" customFormat="1" spans="1:23">
      <c r="A6" s="428" t="s">
        <v>230</v>
      </c>
      <c r="B6" s="421" t="s">
        <v>235</v>
      </c>
      <c r="C6" s="429" t="str">
        <f>VLOOKUP(B6,正厂竞争者数据汇总!D:H,2,FALSE)</f>
        <v>原厂目录</v>
      </c>
      <c r="D6" s="421" t="str">
        <f>VLOOKUP(B6,正厂竞争者数据汇总!D:H,3,FALSE)</f>
        <v>NJ</v>
      </c>
      <c r="E6" s="430"/>
      <c r="F6" s="430">
        <v>135957.25</v>
      </c>
      <c r="G6" s="430"/>
      <c r="H6" s="430"/>
      <c r="I6" s="450"/>
      <c r="J6" s="451">
        <v>0.0629296457508154</v>
      </c>
      <c r="K6" s="451">
        <v>0.0769109722853087</v>
      </c>
      <c r="L6" s="451">
        <v>0.0682850388010909</v>
      </c>
      <c r="M6" s="452"/>
      <c r="N6" s="451"/>
      <c r="O6" s="430"/>
      <c r="P6" s="531" t="str">
        <f t="array" ref="P6">INDEX(正厂竞争者数据汇总!I:I,MATCH($A$1&amp;B6,正厂竞争者数据汇总!A:A&amp;正厂竞争者数据汇总!D:D,0))</f>
        <v>2021年06月新加竞争者</v>
      </c>
      <c r="Q6" s="429"/>
      <c r="R6" s="421"/>
      <c r="S6" s="472"/>
      <c r="T6" s="466"/>
      <c r="U6" s="466"/>
      <c r="V6" s="466"/>
      <c r="W6" s="466"/>
    </row>
    <row r="7" s="408" customFormat="1" spans="1:23">
      <c r="A7" s="428" t="s">
        <v>238</v>
      </c>
      <c r="B7" s="421" t="s">
        <v>239</v>
      </c>
      <c r="C7" s="429" t="str">
        <f>VLOOKUP(B7,正厂竞争者数据汇总!D:H,2,FALSE)</f>
        <v>原厂目录</v>
      </c>
      <c r="D7" s="421" t="str">
        <f>VLOOKUP(B7,正厂竞争者数据汇总!D:H,3,FALSE)</f>
        <v>MA</v>
      </c>
      <c r="E7" s="430"/>
      <c r="F7" s="430">
        <v>119088.25</v>
      </c>
      <c r="G7" s="430"/>
      <c r="H7" s="430"/>
      <c r="I7" s="450"/>
      <c r="J7" s="451">
        <v>0.0551216017210155</v>
      </c>
      <c r="K7" s="451">
        <v>0.0562802612444511</v>
      </c>
      <c r="L7" s="451">
        <v>0.0521930265241697</v>
      </c>
      <c r="M7" s="452"/>
      <c r="N7" s="451"/>
      <c r="O7" s="430"/>
      <c r="P7" s="531" t="str">
        <f t="array" ref="P7">INDEX(正厂竞争者数据汇总!I:I,MATCH($A$1&amp;B7,正厂竞争者数据汇总!A:A&amp;正厂竞争者数据汇总!D:D,0))</f>
        <v>2023年10月，Semrush中仅能获取acura子域名流量</v>
      </c>
      <c r="Q7" s="429"/>
      <c r="R7" s="421"/>
      <c r="S7" s="472"/>
      <c r="T7" s="466"/>
      <c r="U7" s="466"/>
      <c r="V7" s="466"/>
      <c r="W7" s="466"/>
    </row>
    <row r="8" s="408" customFormat="1" spans="1:23">
      <c r="A8" s="428" t="s">
        <v>230</v>
      </c>
      <c r="B8" s="421" t="s">
        <v>237</v>
      </c>
      <c r="C8" s="429" t="str">
        <f>VLOOKUP(B8,正厂竞争者数据汇总!D:H,2,FALSE)</f>
        <v>原厂目录</v>
      </c>
      <c r="D8" s="421" t="str">
        <f>VLOOKUP(B8,正厂竞争者数据汇总!D:H,3,FALSE)</f>
        <v>MA</v>
      </c>
      <c r="E8" s="430"/>
      <c r="F8" s="430">
        <v>105398.833333333</v>
      </c>
      <c r="G8" s="430"/>
      <c r="H8" s="430"/>
      <c r="I8" s="450"/>
      <c r="J8" s="451">
        <v>0.048785270695133</v>
      </c>
      <c r="K8" s="451">
        <v>0.0577066401743423</v>
      </c>
      <c r="L8" s="451">
        <v>0.0615074514186327</v>
      </c>
      <c r="M8" s="452"/>
      <c r="N8" s="451"/>
      <c r="O8" s="430"/>
      <c r="P8" s="531">
        <f t="array" ref="P8">INDEX(正厂竞争者数据汇总!I:I,MATCH($A$1&amp;B8,正厂竞争者数据汇总!A:A&amp;正厂竞争者数据汇总!D:D,0))</f>
        <v>0</v>
      </c>
      <c r="Q8" s="429"/>
      <c r="R8" s="421"/>
      <c r="S8" s="472"/>
      <c r="T8" s="466"/>
      <c r="U8" s="466"/>
      <c r="V8" s="466"/>
      <c r="W8" s="466"/>
    </row>
    <row r="9" s="410" customFormat="1" spans="1:23">
      <c r="A9" s="432"/>
      <c r="B9" s="435"/>
      <c r="C9" s="434"/>
      <c r="D9" s="435"/>
      <c r="E9" s="430"/>
      <c r="F9" s="430"/>
      <c r="G9" s="430"/>
      <c r="H9" s="430"/>
      <c r="I9" s="453"/>
      <c r="J9" s="436"/>
      <c r="K9" s="436"/>
      <c r="L9" s="436"/>
      <c r="M9" s="451"/>
      <c r="N9" s="455"/>
      <c r="O9" s="436"/>
      <c r="P9" s="531"/>
      <c r="Q9" s="434"/>
      <c r="R9" s="435"/>
      <c r="S9" s="473"/>
      <c r="T9" s="477"/>
      <c r="U9" s="466"/>
      <c r="V9" s="435"/>
      <c r="W9" s="435"/>
    </row>
    <row r="10" s="408" customFormat="1" spans="1:23">
      <c r="A10" s="428"/>
      <c r="B10" s="421"/>
      <c r="C10" s="439"/>
      <c r="D10" s="421"/>
      <c r="E10" s="430"/>
      <c r="F10" s="430">
        <v>2160464.25143333</v>
      </c>
      <c r="G10" s="430">
        <v>2122774.16666666</v>
      </c>
      <c r="H10" s="430">
        <v>2262821.16666667</v>
      </c>
      <c r="I10" s="453">
        <v>0.0177551080838023</v>
      </c>
      <c r="J10" s="451"/>
      <c r="K10" s="451"/>
      <c r="L10" s="451"/>
      <c r="M10" s="451"/>
      <c r="N10" s="451">
        <f>SUM(N3:N4)</f>
        <v>0</v>
      </c>
      <c r="O10" s="451"/>
      <c r="P10" s="531"/>
      <c r="Q10" s="429"/>
      <c r="R10" s="421"/>
      <c r="S10" s="473"/>
      <c r="T10" s="466"/>
      <c r="U10" s="466"/>
      <c r="V10" s="421"/>
      <c r="W10" s="421"/>
    </row>
    <row r="11" s="408" customFormat="1" spans="1:23">
      <c r="A11" s="428"/>
      <c r="B11" s="421"/>
      <c r="C11" s="439"/>
      <c r="D11" s="421"/>
      <c r="E11" s="430"/>
      <c r="F11" s="430"/>
      <c r="G11" s="430"/>
      <c r="H11" s="430"/>
      <c r="I11" s="453"/>
      <c r="J11" s="430"/>
      <c r="K11" s="430"/>
      <c r="L11" s="430"/>
      <c r="M11" s="451"/>
      <c r="N11" s="451"/>
      <c r="O11" s="430"/>
      <c r="P11" s="531"/>
      <c r="Q11" s="429"/>
      <c r="R11" s="421"/>
      <c r="S11" s="473"/>
      <c r="T11" s="466"/>
      <c r="U11" s="466"/>
      <c r="V11" s="421"/>
      <c r="W11" s="421"/>
    </row>
    <row r="12" s="408" customFormat="1" ht="17.4" spans="1:23">
      <c r="A12" s="418" t="s">
        <v>141</v>
      </c>
      <c r="B12" s="441"/>
      <c r="C12" s="420"/>
      <c r="D12" s="421"/>
      <c r="E12" s="422" t="s">
        <v>202</v>
      </c>
      <c r="F12" s="422"/>
      <c r="G12" s="422"/>
      <c r="H12" s="422"/>
      <c r="I12" s="422"/>
      <c r="J12" s="422"/>
      <c r="K12" s="422"/>
      <c r="L12" s="422"/>
      <c r="M12" s="443"/>
      <c r="N12" s="444"/>
      <c r="O12" s="422"/>
      <c r="P12" s="531"/>
      <c r="Q12" s="465"/>
      <c r="R12" s="424"/>
      <c r="S12" s="473"/>
      <c r="T12" s="467"/>
      <c r="U12" s="467"/>
      <c r="V12" s="467"/>
      <c r="W12" s="467"/>
    </row>
    <row r="13" s="409" customFormat="1" ht="46.8" spans="1:23">
      <c r="A13" s="423" t="s">
        <v>206</v>
      </c>
      <c r="B13" s="424" t="s">
        <v>207</v>
      </c>
      <c r="C13" s="425" t="s">
        <v>208</v>
      </c>
      <c r="D13" s="424" t="s">
        <v>209</v>
      </c>
      <c r="E13" s="426" t="s">
        <v>210</v>
      </c>
      <c r="F13" s="427" t="s">
        <v>432</v>
      </c>
      <c r="G13" s="427" t="s">
        <v>213</v>
      </c>
      <c r="H13" s="427" t="s">
        <v>396</v>
      </c>
      <c r="I13" s="427" t="s">
        <v>386</v>
      </c>
      <c r="J13" s="446" t="s">
        <v>433</v>
      </c>
      <c r="K13" s="446" t="s">
        <v>434</v>
      </c>
      <c r="L13" s="446" t="s">
        <v>435</v>
      </c>
      <c r="M13" s="447" t="s">
        <v>436</v>
      </c>
      <c r="N13" s="448" t="s">
        <v>219</v>
      </c>
      <c r="O13" s="449" t="s">
        <v>220</v>
      </c>
      <c r="P13" s="535" t="s">
        <v>0</v>
      </c>
      <c r="Q13" s="469" t="s">
        <v>222</v>
      </c>
      <c r="R13" s="426" t="s">
        <v>223</v>
      </c>
      <c r="S13" s="470" t="s">
        <v>224</v>
      </c>
      <c r="T13" s="467" t="s">
        <v>225</v>
      </c>
      <c r="U13" s="470" t="s">
        <v>226</v>
      </c>
      <c r="V13" s="467"/>
      <c r="W13" s="467"/>
    </row>
    <row r="14" s="410" customFormat="1" ht="17.4" spans="1:23">
      <c r="A14" s="432" t="s">
        <v>227</v>
      </c>
      <c r="B14" s="432" t="s">
        <v>142</v>
      </c>
      <c r="C14" s="434" t="str">
        <f>VLOOKUP(B14,正厂竞争者数据汇总!D:H,2,FALSE)</f>
        <v>原厂目录</v>
      </c>
      <c r="D14" s="435" t="str">
        <f>VLOOKUP(B14,正厂竞争者数据汇总!D:H,3,FALSE)</f>
        <v>CA</v>
      </c>
      <c r="E14" s="436">
        <f>VLOOKUP(B14,正厂竞争者数据汇总!D:H,4,FALSE)</f>
        <v>0</v>
      </c>
      <c r="F14" s="436">
        <v>612904.833333333</v>
      </c>
      <c r="G14" s="436">
        <v>506654</v>
      </c>
      <c r="H14" s="436">
        <v>541471.75</v>
      </c>
      <c r="I14" s="454">
        <v>0.209710834876135</v>
      </c>
      <c r="J14" s="455">
        <v>0.291077547959366</v>
      </c>
      <c r="K14" s="455">
        <v>0.292096383717471</v>
      </c>
      <c r="L14" s="455">
        <v>0.289311855879896</v>
      </c>
      <c r="M14" s="456">
        <f>J14-K14</f>
        <v>-0.00101883575810496</v>
      </c>
      <c r="N14" s="455" t="str">
        <f>IFERROR(O14*0.5/#REF!,"")</f>
        <v/>
      </c>
      <c r="O14" s="436" t="s">
        <v>180</v>
      </c>
      <c r="P14" s="531">
        <f t="array" ref="P14">INDEX(正厂竞争者数据汇总!I:I,MATCH($A$12&amp;B14,正厂竞争者数据汇总!A:A&amp;正厂竞争者数据汇总!D:D,0))</f>
        <v>0</v>
      </c>
      <c r="Q14" s="434" t="s">
        <v>241</v>
      </c>
      <c r="R14" s="435" t="s">
        <v>229</v>
      </c>
      <c r="S14" s="476"/>
      <c r="T14" s="477"/>
      <c r="U14" s="477"/>
      <c r="V14" s="435"/>
      <c r="W14" s="435"/>
    </row>
    <row r="15" s="408" customFormat="1" spans="1:23">
      <c r="A15" s="428" t="s">
        <v>243</v>
      </c>
      <c r="B15" s="421" t="s">
        <v>244</v>
      </c>
      <c r="C15" s="429" t="str">
        <f>VLOOKUP(B15,正厂竞争者数据汇总!D:H,2,FALSE)</f>
        <v>旧年份原厂、新年份Motor</v>
      </c>
      <c r="D15" s="421" t="str">
        <f>VLOOKUP(B15,正厂竞争者数据汇总!D:H,3,FALSE)</f>
        <v>FL</v>
      </c>
      <c r="E15" s="430"/>
      <c r="F15" s="430">
        <v>416980.666016667</v>
      </c>
      <c r="G15" s="430"/>
      <c r="H15" s="430"/>
      <c r="I15" s="450"/>
      <c r="J15" s="451">
        <v>0.198030270295788</v>
      </c>
      <c r="K15" s="451">
        <v>0.201296806686688</v>
      </c>
      <c r="L15" s="451">
        <v>0.202609080199013</v>
      </c>
      <c r="M15" s="452"/>
      <c r="N15" s="451"/>
      <c r="O15" s="430"/>
      <c r="P15" s="531">
        <f t="array" ref="P15">INDEX(正厂竞争者数据汇总!I:I,MATCH($A$12&amp;B15,正厂竞争者数据汇总!A:A&amp;正厂竞争者数据汇总!D:D,0))</f>
        <v>0</v>
      </c>
      <c r="Q15" s="429"/>
      <c r="R15" s="421"/>
      <c r="S15" s="472"/>
      <c r="T15" s="466"/>
      <c r="U15" s="466"/>
      <c r="V15" s="466"/>
      <c r="W15" s="466"/>
    </row>
    <row r="16" s="408" customFormat="1" spans="1:23">
      <c r="A16" s="428" t="s">
        <v>230</v>
      </c>
      <c r="B16" s="421" t="s">
        <v>242</v>
      </c>
      <c r="C16" s="429" t="str">
        <f>VLOOKUP(B16,正厂竞争者数据汇总!D:H,2,FALSE)</f>
        <v>Motor目录</v>
      </c>
      <c r="D16" s="421" t="str">
        <f>VLOOKUP(B16,正厂竞争者数据汇总!D:H,3,FALSE)</f>
        <v>KS</v>
      </c>
      <c r="E16" s="430"/>
      <c r="F16" s="430">
        <v>313859.846666667</v>
      </c>
      <c r="G16" s="430"/>
      <c r="H16" s="430"/>
      <c r="I16" s="450"/>
      <c r="J16" s="451">
        <v>0.149056671773627</v>
      </c>
      <c r="K16" s="451">
        <v>0.160676620761959</v>
      </c>
      <c r="L16" s="451">
        <v>0.170309325441213</v>
      </c>
      <c r="M16" s="452"/>
      <c r="N16" s="451"/>
      <c r="O16" s="430"/>
      <c r="P16" s="531">
        <f t="array" ref="P16">INDEX(正厂竞争者数据汇总!I:I,MATCH($A$12&amp;B16,正厂竞争者数据汇总!A:A&amp;正厂竞争者数据汇总!D:D,0))</f>
        <v>0</v>
      </c>
      <c r="Q16" s="429"/>
      <c r="R16" s="421"/>
      <c r="S16" s="472"/>
      <c r="T16" s="466"/>
      <c r="U16" s="466"/>
      <c r="V16" s="466"/>
      <c r="W16" s="466"/>
    </row>
    <row r="17" s="408" customFormat="1" spans="1:23">
      <c r="A17" s="428" t="s">
        <v>230</v>
      </c>
      <c r="B17" s="421" t="s">
        <v>245</v>
      </c>
      <c r="C17" s="429" t="str">
        <f>VLOOKUP(B17,正厂竞争者数据汇总!D:H,2,FALSE)</f>
        <v>Motor目录</v>
      </c>
      <c r="D17" s="421" t="str">
        <f>VLOOKUP(B17,正厂竞争者数据汇总!D:H,3,FALSE)</f>
        <v>SC,NC,MS</v>
      </c>
      <c r="E17" s="430"/>
      <c r="F17" s="430">
        <v>234468.833333333</v>
      </c>
      <c r="G17" s="430"/>
      <c r="H17" s="430"/>
      <c r="I17" s="450"/>
      <c r="J17" s="451">
        <v>0.111352708231038</v>
      </c>
      <c r="K17" s="451">
        <v>0.099779871566678</v>
      </c>
      <c r="L17" s="451">
        <v>0.0970842294279433</v>
      </c>
      <c r="M17" s="452"/>
      <c r="N17" s="451"/>
      <c r="O17" s="430"/>
      <c r="P17" s="531" t="str">
        <f t="array" ref="P17">INDEX(正厂竞争者数据汇总!I:I,MATCH($A$12&amp;B17,正厂竞争者数据汇总!A:A&amp;正厂竞争者数据汇总!D:D,0))</f>
        <v>2021年02新加竞争者</v>
      </c>
      <c r="Q17" s="429"/>
      <c r="R17" s="421"/>
      <c r="S17" s="472"/>
      <c r="T17" s="466"/>
      <c r="U17" s="466"/>
      <c r="V17" s="466"/>
      <c r="W17" s="466"/>
    </row>
    <row r="18" s="408" customFormat="1" spans="1:23">
      <c r="A18" s="428" t="s">
        <v>230</v>
      </c>
      <c r="B18" s="421" t="s">
        <v>416</v>
      </c>
      <c r="C18" s="429" t="str">
        <f>VLOOKUP(B18,正厂竞争者数据汇总!D:H,2,FALSE)</f>
        <v>Motor目录</v>
      </c>
      <c r="D18" s="421" t="str">
        <f>VLOOKUP(B18,正厂竞争者数据汇总!D:H,3,FALSE)</f>
        <v>VA</v>
      </c>
      <c r="E18" s="430"/>
      <c r="F18" s="430">
        <v>180892.402666667</v>
      </c>
      <c r="G18" s="430"/>
      <c r="H18" s="430"/>
      <c r="I18" s="450"/>
      <c r="J18" s="451">
        <v>0.0859084708572621</v>
      </c>
      <c r="K18" s="451">
        <v>0.0987561028355941</v>
      </c>
      <c r="L18" s="451">
        <v>0.0948719532029934</v>
      </c>
      <c r="M18" s="452"/>
      <c r="N18" s="451"/>
      <c r="O18" s="430"/>
      <c r="P18" s="531" t="str">
        <f t="array" ref="P18">INDEX(正厂竞争者数据汇总!I:I,MATCH($A$12&amp;B18,正厂竞争者数据汇总!A:A&amp;正厂竞争者数据汇总!D:D,0))</f>
        <v>2023年11月导流至toyotaparts.ourismantoyotaofrichmond.com，原网站流量大幅下跌</v>
      </c>
      <c r="Q18" s="429"/>
      <c r="R18" s="421"/>
      <c r="S18" s="472"/>
      <c r="T18" s="466"/>
      <c r="U18" s="466"/>
      <c r="V18" s="466"/>
      <c r="W18" s="466"/>
    </row>
    <row r="19" s="408" customFormat="1" spans="1:23">
      <c r="A19" s="428" t="s">
        <v>230</v>
      </c>
      <c r="B19" s="421" t="s">
        <v>249</v>
      </c>
      <c r="C19" s="429" t="s">
        <v>233</v>
      </c>
      <c r="D19" s="421" t="s">
        <v>250</v>
      </c>
      <c r="E19" s="430"/>
      <c r="F19" s="430">
        <v>176923</v>
      </c>
      <c r="G19" s="430"/>
      <c r="H19" s="430"/>
      <c r="I19" s="450"/>
      <c r="J19" s="451">
        <v>0.0840233429675161</v>
      </c>
      <c r="K19" s="451">
        <v>0.0812498734211887</v>
      </c>
      <c r="L19" s="451">
        <v>0.0757249986891353</v>
      </c>
      <c r="M19" s="452"/>
      <c r="N19" s="451"/>
      <c r="O19" s="430"/>
      <c r="P19" s="531" t="str">
        <f t="array" ref="P19">INDEX(正厂竞争者数据汇总!I:I,MATCH($A$12&amp;B19,正厂竞争者数据汇总!A:A&amp;正厂竞争者数据汇总!D:D,0))</f>
        <v>2023年2月新增正厂</v>
      </c>
      <c r="Q19" s="429"/>
      <c r="R19" s="421"/>
      <c r="S19" s="472"/>
      <c r="T19" s="466"/>
      <c r="U19" s="466"/>
      <c r="V19" s="466"/>
      <c r="W19" s="466"/>
    </row>
    <row r="20" s="408" customFormat="1" spans="1:23">
      <c r="A20" s="428" t="s">
        <v>230</v>
      </c>
      <c r="B20" s="421" t="s">
        <v>246</v>
      </c>
      <c r="C20" s="429" t="s">
        <v>233</v>
      </c>
      <c r="D20" s="421" t="s">
        <v>49</v>
      </c>
      <c r="E20" s="430"/>
      <c r="F20" s="430">
        <v>169611.466666667</v>
      </c>
      <c r="G20" s="430"/>
      <c r="H20" s="430"/>
      <c r="I20" s="450"/>
      <c r="J20" s="451">
        <v>0.0805509879154027</v>
      </c>
      <c r="K20" s="451">
        <v>0.0661443410104211</v>
      </c>
      <c r="L20" s="451">
        <v>0.0700885571598056</v>
      </c>
      <c r="M20" s="452"/>
      <c r="N20" s="451"/>
      <c r="O20" s="430"/>
      <c r="P20" s="531" t="str">
        <f t="array" ref="P20">INDEX(正厂竞争者数据汇总!I:I,MATCH($A$12&amp;B20,正厂竞争者数据汇总!A:A&amp;正厂竞争者数据汇总!D:D,0))</f>
        <v>2023年2月新增正厂</v>
      </c>
      <c r="Q20" s="429"/>
      <c r="R20" s="421"/>
      <c r="S20" s="472"/>
      <c r="T20" s="466"/>
      <c r="U20" s="466"/>
      <c r="V20" s="466"/>
      <c r="W20" s="466"/>
    </row>
    <row r="21" s="410" customFormat="1" spans="1:23">
      <c r="A21" s="428"/>
      <c r="B21" s="438"/>
      <c r="C21" s="429"/>
      <c r="D21" s="421"/>
      <c r="E21" s="430"/>
      <c r="F21" s="430"/>
      <c r="G21" s="430"/>
      <c r="H21" s="430"/>
      <c r="I21" s="453"/>
      <c r="J21" s="463"/>
      <c r="K21" s="463"/>
      <c r="L21" s="463"/>
      <c r="M21" s="451"/>
      <c r="N21" s="459"/>
      <c r="O21" s="430"/>
      <c r="P21" s="531"/>
      <c r="Q21" s="429"/>
      <c r="R21" s="435"/>
      <c r="S21" s="473"/>
      <c r="T21" s="466"/>
      <c r="U21" s="466"/>
      <c r="V21" s="421"/>
      <c r="W21" s="421"/>
    </row>
    <row r="22" s="408" customFormat="1" spans="1:23">
      <c r="A22" s="428"/>
      <c r="B22" s="421"/>
      <c r="C22" s="439"/>
      <c r="D22" s="421"/>
      <c r="E22" s="430"/>
      <c r="F22" s="430">
        <v>2105641.04868333</v>
      </c>
      <c r="G22" s="430">
        <v>1471722.72</v>
      </c>
      <c r="H22" s="430">
        <v>1511577.56416667</v>
      </c>
      <c r="I22" s="453">
        <v>0.430732175340294</v>
      </c>
      <c r="J22" s="430"/>
      <c r="K22" s="513"/>
      <c r="L22" s="430"/>
      <c r="M22" s="451"/>
      <c r="N22" s="459"/>
      <c r="O22" s="430"/>
      <c r="P22" s="531"/>
      <c r="Q22" s="429" t="s">
        <v>180</v>
      </c>
      <c r="R22" s="421"/>
      <c r="S22" s="473"/>
      <c r="T22" s="466"/>
      <c r="U22" s="466"/>
      <c r="V22" s="421"/>
      <c r="W22" s="421"/>
    </row>
    <row r="23" s="408" customFormat="1" spans="1:23">
      <c r="A23" s="428"/>
      <c r="B23" s="421"/>
      <c r="C23" s="439"/>
      <c r="D23" s="421"/>
      <c r="E23" s="430"/>
      <c r="F23" s="430"/>
      <c r="G23" s="430"/>
      <c r="H23" s="430"/>
      <c r="I23" s="453"/>
      <c r="J23" s="430"/>
      <c r="K23" s="430"/>
      <c r="L23" s="430"/>
      <c r="M23" s="451"/>
      <c r="N23" s="451"/>
      <c r="O23" s="430"/>
      <c r="P23" s="531"/>
      <c r="Q23" s="429"/>
      <c r="R23" s="421"/>
      <c r="S23" s="473"/>
      <c r="T23" s="466"/>
      <c r="U23" s="466"/>
      <c r="V23" s="421"/>
      <c r="W23" s="421"/>
    </row>
    <row r="24" s="408" customFormat="1" ht="17.4" spans="1:23">
      <c r="A24" s="418" t="s">
        <v>145</v>
      </c>
      <c r="B24" s="419"/>
      <c r="C24" s="420"/>
      <c r="D24" s="421"/>
      <c r="E24" s="422" t="s">
        <v>202</v>
      </c>
      <c r="F24" s="422"/>
      <c r="G24" s="422"/>
      <c r="H24" s="422"/>
      <c r="I24" s="422"/>
      <c r="J24" s="422"/>
      <c r="K24" s="422"/>
      <c r="L24" s="422"/>
      <c r="M24" s="443"/>
      <c r="N24" s="444"/>
      <c r="O24" s="422"/>
      <c r="P24" s="529"/>
      <c r="Q24" s="465"/>
      <c r="R24" s="424"/>
      <c r="S24" s="421"/>
      <c r="T24" s="466"/>
      <c r="U24" s="467"/>
      <c r="V24" s="467"/>
      <c r="W24" s="467"/>
    </row>
    <row r="25" s="409" customFormat="1" ht="46.8" spans="1:23">
      <c r="A25" s="423" t="s">
        <v>206</v>
      </c>
      <c r="B25" s="424" t="s">
        <v>207</v>
      </c>
      <c r="C25" s="425" t="s">
        <v>208</v>
      </c>
      <c r="D25" s="424" t="s">
        <v>209</v>
      </c>
      <c r="E25" s="426" t="s">
        <v>210</v>
      </c>
      <c r="F25" s="427" t="s">
        <v>432</v>
      </c>
      <c r="G25" s="427" t="s">
        <v>213</v>
      </c>
      <c r="H25" s="427" t="s">
        <v>396</v>
      </c>
      <c r="I25" s="445" t="s">
        <v>386</v>
      </c>
      <c r="J25" s="446" t="s">
        <v>433</v>
      </c>
      <c r="K25" s="446" t="s">
        <v>434</v>
      </c>
      <c r="L25" s="446" t="s">
        <v>435</v>
      </c>
      <c r="M25" s="447" t="s">
        <v>436</v>
      </c>
      <c r="N25" s="448" t="s">
        <v>219</v>
      </c>
      <c r="O25" s="449" t="s">
        <v>220</v>
      </c>
      <c r="P25" s="535" t="s">
        <v>0</v>
      </c>
      <c r="Q25" s="469" t="s">
        <v>222</v>
      </c>
      <c r="R25" s="426" t="s">
        <v>223</v>
      </c>
      <c r="S25" s="470" t="s">
        <v>224</v>
      </c>
      <c r="T25" s="467" t="s">
        <v>225</v>
      </c>
      <c r="U25" s="470" t="s">
        <v>226</v>
      </c>
      <c r="V25" s="467"/>
      <c r="W25" s="467"/>
    </row>
    <row r="26" s="408" customFormat="1" spans="1:23">
      <c r="A26" s="428" t="s">
        <v>230</v>
      </c>
      <c r="B26" s="421" t="s">
        <v>251</v>
      </c>
      <c r="C26" s="429" t="str">
        <f>VLOOKUP(B26,正厂竞争者数据汇总!D:H,2,FALSE)</f>
        <v>Motor目录</v>
      </c>
      <c r="D26" s="421" t="str">
        <f>VLOOKUP(B26,正厂竞争者数据汇总!D:H,3,FALSE)</f>
        <v>NC</v>
      </c>
      <c r="E26" s="430"/>
      <c r="F26" s="430">
        <v>590226.25</v>
      </c>
      <c r="G26" s="430"/>
      <c r="H26" s="430"/>
      <c r="I26" s="450"/>
      <c r="J26" s="451">
        <v>0.286482342171686</v>
      </c>
      <c r="K26" s="451">
        <v>0.295984504953936</v>
      </c>
      <c r="L26" s="451">
        <v>0.251421568272547</v>
      </c>
      <c r="M26" s="452"/>
      <c r="N26" s="451"/>
      <c r="O26" s="430"/>
      <c r="P26" s="531">
        <f t="array" ref="P26">INDEX(正厂竞争者数据汇总!I:I,MATCH($A$24&amp;B26,正厂竞争者数据汇总!A:A&amp;正厂竞争者数据汇总!D:D,0))</f>
        <v>0</v>
      </c>
      <c r="Q26" s="429" t="s">
        <v>180</v>
      </c>
      <c r="R26" s="421" t="s">
        <v>180</v>
      </c>
      <c r="S26" s="472"/>
      <c r="T26" s="466"/>
      <c r="U26" s="466"/>
      <c r="V26" s="466"/>
      <c r="W26" s="466"/>
    </row>
    <row r="27" s="410" customFormat="1" spans="1:23">
      <c r="A27" s="432" t="s">
        <v>227</v>
      </c>
      <c r="B27" s="432" t="s">
        <v>146</v>
      </c>
      <c r="C27" s="505" t="str">
        <f>VLOOKUP(B27,正厂竞争者数据汇总!D:H,2,FALSE)</f>
        <v>原厂目录</v>
      </c>
      <c r="D27" s="435" t="str">
        <f>VLOOKUP(B27,正厂竞争者数据汇总!D:H,3,FALSE)</f>
        <v>AZ</v>
      </c>
      <c r="E27" s="436"/>
      <c r="F27" s="436">
        <v>544632.5</v>
      </c>
      <c r="G27" s="436"/>
      <c r="H27" s="436"/>
      <c r="I27" s="510"/>
      <c r="J27" s="457">
        <v>0.26435217719107</v>
      </c>
      <c r="K27" s="457">
        <v>0.265086266963751</v>
      </c>
      <c r="L27" s="457">
        <v>0.222145681881585</v>
      </c>
      <c r="M27" s="461"/>
      <c r="N27" s="457"/>
      <c r="O27" s="436"/>
      <c r="P27" s="531">
        <f t="array" ref="P27">INDEX(正厂竞争者数据汇总!I:I,MATCH($A$24&amp;B27,正厂竞争者数据汇总!A:A&amp;正厂竞争者数据汇总!D:D,0))</f>
        <v>0</v>
      </c>
      <c r="Q27" s="434"/>
      <c r="R27" s="435"/>
      <c r="S27" s="476"/>
      <c r="T27" s="477"/>
      <c r="U27" s="477"/>
      <c r="V27" s="477"/>
      <c r="W27" s="477"/>
    </row>
    <row r="28" s="408" customFormat="1" spans="1:23">
      <c r="A28" s="428" t="s">
        <v>230</v>
      </c>
      <c r="B28" s="421" t="s">
        <v>252</v>
      </c>
      <c r="C28" s="429" t="str">
        <f>VLOOKUP(B28,正厂竞争者数据汇总!D:H,2,FALSE)</f>
        <v>Motor目录</v>
      </c>
      <c r="D28" s="421" t="str">
        <f>VLOOKUP(B28,正厂竞争者数据汇总!D:H,3,FALSE)</f>
        <v>AZ</v>
      </c>
      <c r="E28" s="430"/>
      <c r="F28" s="430">
        <v>239157.416666667</v>
      </c>
      <c r="G28" s="430"/>
      <c r="H28" s="430"/>
      <c r="I28" s="450"/>
      <c r="J28" s="451">
        <v>0.116081548176477</v>
      </c>
      <c r="K28" s="451">
        <v>0.104775222583748</v>
      </c>
      <c r="L28" s="451">
        <v>0.0952818771303367</v>
      </c>
      <c r="M28" s="452"/>
      <c r="N28" s="451"/>
      <c r="O28" s="430"/>
      <c r="P28" s="531">
        <f t="array" ref="P28">INDEX(正厂竞争者数据汇总!I:I,MATCH($A$24&amp;B28,正厂竞争者数据汇总!A:A&amp;正厂竞争者数据汇总!D:D,0))</f>
        <v>0</v>
      </c>
      <c r="Q28" s="429" t="s">
        <v>180</v>
      </c>
      <c r="R28" s="421" t="s">
        <v>180</v>
      </c>
      <c r="S28" s="472"/>
      <c r="T28" s="466"/>
      <c r="U28" s="466"/>
      <c r="V28" s="466"/>
      <c r="W28" s="466"/>
    </row>
    <row r="29" s="408" customFormat="1" spans="1:23">
      <c r="A29" s="428" t="s">
        <v>230</v>
      </c>
      <c r="B29" s="421" t="s">
        <v>258</v>
      </c>
      <c r="C29" s="429" t="str">
        <f>VLOOKUP(B29,正厂竞争者数据汇总!D:H,2,FALSE)</f>
        <v>Motor目录</v>
      </c>
      <c r="D29" s="421" t="str">
        <f>VLOOKUP(B29,正厂竞争者数据汇总!D:H,3,FALSE)</f>
        <v>NM</v>
      </c>
      <c r="E29" s="430"/>
      <c r="F29" s="430">
        <v>196903.916666667</v>
      </c>
      <c r="G29" s="430"/>
      <c r="H29" s="430"/>
      <c r="I29" s="450"/>
      <c r="J29" s="451">
        <v>0.0955726642612816</v>
      </c>
      <c r="K29" s="451">
        <v>0.108875146929068</v>
      </c>
      <c r="L29" s="451">
        <v>0.106770179813124</v>
      </c>
      <c r="M29" s="452"/>
      <c r="N29" s="451"/>
      <c r="O29" s="430"/>
      <c r="P29" s="531">
        <f t="array" ref="P29">INDEX(正厂竞争者数据汇总!I:I,MATCH($A$24&amp;B29,正厂竞争者数据汇总!A:A&amp;正厂竞争者数据汇总!D:D,0))</f>
        <v>0</v>
      </c>
      <c r="Q29" s="429" t="s">
        <v>180</v>
      </c>
      <c r="R29" s="421"/>
      <c r="S29" s="472"/>
      <c r="T29" s="466"/>
      <c r="U29" s="466"/>
      <c r="V29" s="466"/>
      <c r="W29" s="466"/>
    </row>
    <row r="30" s="408" customFormat="1" spans="1:23">
      <c r="A30" s="428" t="s">
        <v>391</v>
      </c>
      <c r="B30" s="421" t="s">
        <v>256</v>
      </c>
      <c r="C30" s="429" t="str">
        <f>VLOOKUP(B30,正厂竞争者数据汇总!D:H,2,FALSE)</f>
        <v>原厂目录</v>
      </c>
      <c r="D30" s="421" t="str">
        <f>VLOOKUP(B30,正厂竞争者数据汇总!D:H,3,FALSE)</f>
        <v>KY</v>
      </c>
      <c r="E30" s="430"/>
      <c r="F30" s="430">
        <v>157340.666666667</v>
      </c>
      <c r="G30" s="430"/>
      <c r="H30" s="430"/>
      <c r="I30" s="450"/>
      <c r="J30" s="451">
        <v>0.0763695662561963</v>
      </c>
      <c r="K30" s="451">
        <v>0.0739043571634472</v>
      </c>
      <c r="L30" s="451">
        <v>0.0669783847809687</v>
      </c>
      <c r="M30" s="452"/>
      <c r="N30" s="451"/>
      <c r="O30" s="430"/>
      <c r="P30" s="531">
        <f t="array" ref="P30">INDEX(正厂竞争者数据汇总!I:I,MATCH($A$24&amp;B30,正厂竞争者数据汇总!A:A&amp;正厂竞争者数据汇总!D:D,0))</f>
        <v>0</v>
      </c>
      <c r="Q30" s="429" t="s">
        <v>257</v>
      </c>
      <c r="R30" s="421" t="s">
        <v>229</v>
      </c>
      <c r="S30" s="472"/>
      <c r="T30" s="466"/>
      <c r="U30" s="466"/>
      <c r="V30" s="466"/>
      <c r="W30" s="466"/>
    </row>
    <row r="31" s="408" customFormat="1" spans="1:23">
      <c r="A31" s="428" t="s">
        <v>230</v>
      </c>
      <c r="B31" s="421" t="s">
        <v>255</v>
      </c>
      <c r="C31" s="429" t="str">
        <f>VLOOKUP(B31,正厂竞争者数据汇总!D:H,2,FALSE)</f>
        <v>Motor目录</v>
      </c>
      <c r="D31" s="421" t="str">
        <f>VLOOKUP(B31,正厂竞争者数据汇总!D:H,3,FALSE)</f>
        <v>RI</v>
      </c>
      <c r="E31" s="430"/>
      <c r="F31" s="430">
        <v>155497.045</v>
      </c>
      <c r="G31" s="430"/>
      <c r="H31" s="430"/>
      <c r="I31" s="450"/>
      <c r="J31" s="451">
        <v>0.0754747144038004</v>
      </c>
      <c r="K31" s="451">
        <v>0.0720560278288734</v>
      </c>
      <c r="L31" s="451">
        <v>0.0601901746141378</v>
      </c>
      <c r="M31" s="452"/>
      <c r="N31" s="451"/>
      <c r="O31" s="430"/>
      <c r="P31" s="531" t="str">
        <f t="array" ref="P31">INDEX(正厂竞争者数据汇总!I:I,MATCH($A$24&amp;B31,正厂竞争者数据汇总!A:A&amp;正厂竞争者数据汇总!D:D,0))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31" s="429" t="s">
        <v>180</v>
      </c>
      <c r="R31" s="421" t="s">
        <v>180</v>
      </c>
      <c r="S31" s="472"/>
      <c r="T31" s="466"/>
      <c r="U31" s="466"/>
      <c r="V31" s="466"/>
      <c r="W31" s="466"/>
    </row>
    <row r="32" s="408" customFormat="1" ht="17.4" spans="1:23">
      <c r="A32" s="428" t="s">
        <v>230</v>
      </c>
      <c r="B32" s="421" t="s">
        <v>253</v>
      </c>
      <c r="C32" s="429" t="str">
        <f>VLOOKUP(B32,正厂竞争者数据汇总!D:H,2,FALSE)</f>
        <v>Motor目录</v>
      </c>
      <c r="D32" s="421" t="str">
        <f>VLOOKUP(B32,正厂竞争者数据汇总!D:H,3,FALSE)</f>
        <v>TX</v>
      </c>
      <c r="E32" s="430"/>
      <c r="F32" s="430">
        <v>104186.0448</v>
      </c>
      <c r="G32" s="430"/>
      <c r="H32" s="430"/>
      <c r="I32" s="450"/>
      <c r="J32" s="451">
        <v>0.0505695267465793</v>
      </c>
      <c r="K32" s="451">
        <v>0.0411263175796591</v>
      </c>
      <c r="L32" s="451">
        <v>0.15671955044194</v>
      </c>
      <c r="M32" s="452"/>
      <c r="N32" s="451"/>
      <c r="O32" s="430"/>
      <c r="P32" s="531" t="str">
        <f t="array" ref="P32">INDEX(正厂竞争者数据汇总!I:I,MATCH($A$24&amp;B32,正厂竞争者数据汇总!A:A&amp;正厂竞争者数据汇总!D:D,0))</f>
        <v>202306，原竞品gmpartsonline.net将网站导流至此，现新网站正式成为新增竞品</v>
      </c>
      <c r="Q32" s="429" t="s">
        <v>254</v>
      </c>
      <c r="R32" s="421" t="s">
        <v>229</v>
      </c>
      <c r="S32" s="472"/>
      <c r="T32" s="466"/>
      <c r="U32" s="466"/>
      <c r="V32" s="466"/>
      <c r="W32" s="466"/>
    </row>
    <row r="33" s="408" customFormat="1" spans="1:23">
      <c r="A33" s="428" t="s">
        <v>230</v>
      </c>
      <c r="B33" s="421" t="s">
        <v>437</v>
      </c>
      <c r="C33" s="429" t="str">
        <f>VLOOKUP(B33,正厂竞争者数据汇总!D:H,2,FALSE)</f>
        <v>Motor目录</v>
      </c>
      <c r="D33" s="421" t="str">
        <f>VLOOKUP(B33,正厂竞争者数据汇总!D:H,3,FALSE)</f>
        <v>MI</v>
      </c>
      <c r="E33" s="430"/>
      <c r="F33" s="430">
        <v>72309.6666666667</v>
      </c>
      <c r="G33" s="430"/>
      <c r="H33" s="430"/>
      <c r="I33" s="450"/>
      <c r="J33" s="451">
        <v>0.0350974607929088</v>
      </c>
      <c r="K33" s="451">
        <v>0.0381921559975176</v>
      </c>
      <c r="L33" s="451">
        <v>0.0404925830653602</v>
      </c>
      <c r="M33" s="452"/>
      <c r="N33" s="451"/>
      <c r="O33" s="430"/>
      <c r="P33" s="531">
        <f t="array" ref="P33">INDEX(正厂竞争者数据汇总!I:I,MATCH($A$24&amp;B33,正厂竞争者数据汇总!A:A&amp;正厂竞争者数据汇总!D:D,0))</f>
        <v>0</v>
      </c>
      <c r="Q33" s="429" t="s">
        <v>180</v>
      </c>
      <c r="R33" s="421" t="s">
        <v>180</v>
      </c>
      <c r="S33" s="472"/>
      <c r="T33" s="466"/>
      <c r="U33" s="466"/>
      <c r="V33" s="466"/>
      <c r="W33" s="466"/>
    </row>
    <row r="34" s="410" customFormat="1" spans="1:23">
      <c r="A34" s="428"/>
      <c r="B34" s="431"/>
      <c r="C34" s="429"/>
      <c r="D34" s="421"/>
      <c r="E34" s="430"/>
      <c r="F34" s="430"/>
      <c r="G34" s="430"/>
      <c r="H34" s="430"/>
      <c r="I34" s="450"/>
      <c r="J34" s="455"/>
      <c r="K34" s="455"/>
      <c r="L34" s="455"/>
      <c r="M34" s="452"/>
      <c r="N34" s="457"/>
      <c r="O34" s="436"/>
      <c r="P34" s="531"/>
      <c r="Q34" s="434"/>
      <c r="R34" s="435"/>
      <c r="S34" s="473"/>
      <c r="T34" s="477"/>
      <c r="U34" s="466"/>
      <c r="V34" s="435"/>
      <c r="W34" s="435"/>
    </row>
    <row r="35" s="408" customFormat="1" spans="1:23">
      <c r="A35" s="428"/>
      <c r="B35" s="421"/>
      <c r="C35" s="439"/>
      <c r="D35" s="421"/>
      <c r="E35" s="430"/>
      <c r="F35" s="430">
        <v>2060253.50646667</v>
      </c>
      <c r="G35" s="430"/>
      <c r="H35" s="430"/>
      <c r="I35" s="453"/>
      <c r="J35" s="430"/>
      <c r="K35" s="430"/>
      <c r="L35" s="430"/>
      <c r="M35" s="451"/>
      <c r="N35" s="451"/>
      <c r="O35" s="430"/>
      <c r="P35" s="531"/>
      <c r="Q35" s="429"/>
      <c r="R35" s="421"/>
      <c r="S35" s="473"/>
      <c r="T35" s="466"/>
      <c r="U35" s="466"/>
      <c r="V35" s="421"/>
      <c r="W35" s="421"/>
    </row>
    <row r="36" s="408" customFormat="1" spans="1:23">
      <c r="A36" s="428"/>
      <c r="B36" s="421"/>
      <c r="C36" s="439"/>
      <c r="D36" s="421"/>
      <c r="E36" s="430"/>
      <c r="F36" s="430"/>
      <c r="G36" s="430"/>
      <c r="H36" s="430"/>
      <c r="I36" s="453"/>
      <c r="J36" s="430"/>
      <c r="K36" s="430"/>
      <c r="L36" s="430"/>
      <c r="M36" s="451"/>
      <c r="N36" s="451"/>
      <c r="O36" s="430"/>
      <c r="P36" s="531"/>
      <c r="Q36" s="429"/>
      <c r="R36" s="421"/>
      <c r="S36" s="473"/>
      <c r="T36" s="466"/>
      <c r="U36" s="466"/>
      <c r="V36" s="421"/>
      <c r="W36" s="421"/>
    </row>
    <row r="37" s="408" customFormat="1" ht="17.4" spans="1:23">
      <c r="A37" s="418" t="s">
        <v>152</v>
      </c>
      <c r="B37" s="419"/>
      <c r="C37" s="420"/>
      <c r="D37" s="421"/>
      <c r="E37" s="422" t="s">
        <v>202</v>
      </c>
      <c r="F37" s="422"/>
      <c r="G37" s="422"/>
      <c r="H37" s="422"/>
      <c r="I37" s="422"/>
      <c r="J37" s="422"/>
      <c r="K37" s="422"/>
      <c r="L37" s="422"/>
      <c r="M37" s="443"/>
      <c r="N37" s="444"/>
      <c r="O37" s="422"/>
      <c r="P37" s="531"/>
      <c r="Q37" s="465"/>
      <c r="R37" s="424"/>
      <c r="S37" s="473"/>
      <c r="T37" s="467"/>
      <c r="U37" s="467"/>
      <c r="V37" s="467"/>
      <c r="W37" s="467"/>
    </row>
    <row r="38" s="409" customFormat="1" ht="46.8" spans="1:23">
      <c r="A38" s="423" t="s">
        <v>206</v>
      </c>
      <c r="B38" s="424" t="s">
        <v>207</v>
      </c>
      <c r="C38" s="425" t="s">
        <v>208</v>
      </c>
      <c r="D38" s="424" t="s">
        <v>209</v>
      </c>
      <c r="E38" s="426" t="s">
        <v>210</v>
      </c>
      <c r="F38" s="427" t="s">
        <v>432</v>
      </c>
      <c r="G38" s="427" t="s">
        <v>213</v>
      </c>
      <c r="H38" s="427" t="s">
        <v>396</v>
      </c>
      <c r="I38" s="427" t="s">
        <v>386</v>
      </c>
      <c r="J38" s="446" t="s">
        <v>433</v>
      </c>
      <c r="K38" s="446" t="s">
        <v>434</v>
      </c>
      <c r="L38" s="446" t="s">
        <v>435</v>
      </c>
      <c r="M38" s="447" t="s">
        <v>436</v>
      </c>
      <c r="N38" s="448" t="s">
        <v>219</v>
      </c>
      <c r="O38" s="449" t="s">
        <v>220</v>
      </c>
      <c r="P38" s="535" t="s">
        <v>0</v>
      </c>
      <c r="Q38" s="469" t="s">
        <v>222</v>
      </c>
      <c r="R38" s="426" t="s">
        <v>223</v>
      </c>
      <c r="S38" s="470" t="s">
        <v>224</v>
      </c>
      <c r="T38" s="467" t="s">
        <v>225</v>
      </c>
      <c r="U38" s="470" t="s">
        <v>226</v>
      </c>
      <c r="V38" s="467"/>
      <c r="W38" s="467"/>
    </row>
    <row r="39" s="410" customFormat="1" ht="17.4" spans="1:23">
      <c r="A39" s="432" t="s">
        <v>227</v>
      </c>
      <c r="B39" s="432" t="s">
        <v>153</v>
      </c>
      <c r="C39" s="434" t="str">
        <f>VLOOKUP(B39,正厂竞争者数据汇总!D:H,2,FALSE)</f>
        <v>原厂目录</v>
      </c>
      <c r="D39" s="435" t="str">
        <f>VLOOKUP(B39,正厂竞争者数据汇总!D:H,3,FALSE)</f>
        <v>CA</v>
      </c>
      <c r="E39" s="436">
        <f>VLOOKUP(B39,正厂竞争者数据汇总!D:H,4,FALSE)</f>
        <v>0</v>
      </c>
      <c r="F39" s="436">
        <v>430847.166666667</v>
      </c>
      <c r="G39" s="436">
        <v>436555.583333333</v>
      </c>
      <c r="H39" s="436">
        <v>490593.833333333</v>
      </c>
      <c r="I39" s="454">
        <v>-0.0130760363275605</v>
      </c>
      <c r="J39" s="457">
        <v>0.30109752738898</v>
      </c>
      <c r="K39" s="457">
        <v>0.31266890565816</v>
      </c>
      <c r="L39" s="457">
        <v>0.319852149745689</v>
      </c>
      <c r="M39" s="456">
        <f>J39-K39</f>
        <v>-0.01157137826918</v>
      </c>
      <c r="N39" s="457" t="str">
        <f>IFERROR(O39*0.5/#REF!,"")</f>
        <v/>
      </c>
      <c r="O39" s="436" t="s">
        <v>180</v>
      </c>
      <c r="P39" s="531">
        <f t="array" ref="P39">INDEX(正厂竞争者数据汇总!I:I,MATCH($A$37&amp;B39,正厂竞争者数据汇总!A:A&amp;正厂竞争者数据汇总!D:D,0))</f>
        <v>0</v>
      </c>
      <c r="Q39" s="434" t="s">
        <v>268</v>
      </c>
      <c r="R39" s="435" t="s">
        <v>229</v>
      </c>
      <c r="S39" s="476"/>
      <c r="T39" s="477"/>
      <c r="U39" s="477"/>
      <c r="V39" s="477"/>
      <c r="W39" s="477"/>
    </row>
    <row r="40" s="408" customFormat="1" spans="1:23">
      <c r="A40" s="428" t="s">
        <v>230</v>
      </c>
      <c r="B40" s="421" t="s">
        <v>255</v>
      </c>
      <c r="C40" s="429" t="s">
        <v>233</v>
      </c>
      <c r="D40" s="421" t="str">
        <f>VLOOKUP(B40,正厂竞争者数据汇总!D:H,3,FALSE)</f>
        <v>RI</v>
      </c>
      <c r="E40" s="430"/>
      <c r="F40" s="430">
        <v>261889.760000001</v>
      </c>
      <c r="G40" s="430"/>
      <c r="H40" s="430"/>
      <c r="I40" s="450"/>
      <c r="J40" s="451">
        <v>0.18302164963638</v>
      </c>
      <c r="K40" s="451">
        <v>0.18242304864821</v>
      </c>
      <c r="L40" s="451">
        <v>0.174265631770389</v>
      </c>
      <c r="M40" s="452"/>
      <c r="N40" s="451"/>
      <c r="O40" s="430"/>
      <c r="P40" s="531" t="str">
        <f t="array" ref="P40">INDEX(正厂竞争者数据汇总!I:I,MATCH($A$37&amp;B40,正厂竞争者数据汇总!A:A&amp;正厂竞争者数据汇总!D:D,0))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40" s="429"/>
      <c r="R40" s="421"/>
      <c r="S40" s="472"/>
      <c r="T40" s="466"/>
      <c r="U40" s="466"/>
      <c r="V40" s="466"/>
      <c r="W40" s="466"/>
    </row>
    <row r="41" s="408" customFormat="1" spans="1:23">
      <c r="A41" s="428" t="s">
        <v>243</v>
      </c>
      <c r="B41" s="421" t="s">
        <v>270</v>
      </c>
      <c r="C41" s="429" t="s">
        <v>233</v>
      </c>
      <c r="D41" s="421" t="str">
        <f>VLOOKUP(B41,正厂竞争者数据汇总!D:H,3,FALSE)</f>
        <v>FL</v>
      </c>
      <c r="E41" s="430"/>
      <c r="F41" s="430">
        <v>260469.166666667</v>
      </c>
      <c r="G41" s="430"/>
      <c r="H41" s="430"/>
      <c r="I41" s="450"/>
      <c r="J41" s="451">
        <v>0.182028868034956</v>
      </c>
      <c r="K41" s="451">
        <v>0.163658548556016</v>
      </c>
      <c r="L41" s="451">
        <v>0.151131921534652</v>
      </c>
      <c r="M41" s="452"/>
      <c r="N41" s="451"/>
      <c r="O41" s="430"/>
      <c r="P41" s="531">
        <f t="array" ref="P41">INDEX(正厂竞争者数据汇总!I:I,MATCH($A$37&amp;B41,正厂竞争者数据汇总!A:A&amp;正厂竞争者数据汇总!D:D,0))</f>
        <v>0</v>
      </c>
      <c r="Q41" s="429"/>
      <c r="R41" s="421"/>
      <c r="S41" s="472"/>
      <c r="T41" s="466"/>
      <c r="U41" s="466"/>
      <c r="V41" s="466"/>
      <c r="W41" s="466"/>
    </row>
    <row r="42" s="408" customFormat="1" spans="1:23">
      <c r="A42" s="428" t="s">
        <v>230</v>
      </c>
      <c r="B42" s="421" t="s">
        <v>269</v>
      </c>
      <c r="C42" s="429" t="str">
        <f>VLOOKUP(B42,正厂竞争者数据汇总!D:H,2,FALSE)</f>
        <v>Motor目录</v>
      </c>
      <c r="D42" s="421" t="str">
        <f>VLOOKUP(B42,正厂竞争者数据汇总!D:H,3,FALSE)</f>
        <v>-</v>
      </c>
      <c r="E42" s="430"/>
      <c r="F42" s="430">
        <v>229083.833333333</v>
      </c>
      <c r="G42" s="430"/>
      <c r="H42" s="430"/>
      <c r="I42" s="450"/>
      <c r="J42" s="451">
        <v>0.160095228930264</v>
      </c>
      <c r="K42" s="451">
        <v>0.150568849134707</v>
      </c>
      <c r="L42" s="451">
        <v>0.154219422266048</v>
      </c>
      <c r="M42" s="452"/>
      <c r="N42" s="451"/>
      <c r="O42" s="430"/>
      <c r="P42" s="531" t="str">
        <f t="array" ref="P42">INDEX(正厂竞争者数据汇总!I:I,MATCH($A$37&amp;B42,正厂竞争者数据汇总!A:A&amp;正厂竞争者数据汇总!D:D,0))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42" s="429"/>
      <c r="R42" s="421"/>
      <c r="S42" s="472"/>
      <c r="T42" s="466"/>
      <c r="U42" s="466"/>
      <c r="V42" s="466"/>
      <c r="W42" s="466"/>
    </row>
    <row r="43" s="408" customFormat="1" spans="1:23">
      <c r="A43" s="428" t="s">
        <v>230</v>
      </c>
      <c r="B43" s="421" t="s">
        <v>273</v>
      </c>
      <c r="C43" s="429" t="s">
        <v>233</v>
      </c>
      <c r="D43" s="421" t="str">
        <f>VLOOKUP(B43,正厂竞争者数据汇总!D:H,3,FALSE)</f>
        <v>GA</v>
      </c>
      <c r="E43" s="430"/>
      <c r="F43" s="430">
        <v>111366.5</v>
      </c>
      <c r="G43" s="430"/>
      <c r="H43" s="430"/>
      <c r="I43" s="450"/>
      <c r="J43" s="451">
        <v>0.0778284746384502</v>
      </c>
      <c r="K43" s="451">
        <v>0.0811887972652123</v>
      </c>
      <c r="L43" s="451">
        <v>0.0852054197879285</v>
      </c>
      <c r="M43" s="452"/>
      <c r="N43" s="451"/>
      <c r="O43" s="430"/>
      <c r="P43" s="531">
        <f t="array" ref="P43">INDEX(正厂竞争者数据汇总!I:I,MATCH($A$37&amp;B43,正厂竞争者数据汇总!A:A&amp;正厂竞争者数据汇总!D:D,0))</f>
        <v>0</v>
      </c>
      <c r="Q43" s="429"/>
      <c r="R43" s="421"/>
      <c r="S43" s="472"/>
      <c r="T43" s="466"/>
      <c r="U43" s="466"/>
      <c r="V43" s="466"/>
      <c r="W43" s="466"/>
    </row>
    <row r="44" s="408" customFormat="1" spans="1:23">
      <c r="A44" s="428" t="s">
        <v>230</v>
      </c>
      <c r="B44" s="421" t="s">
        <v>292</v>
      </c>
      <c r="C44" s="429" t="s">
        <v>233</v>
      </c>
      <c r="D44" s="421" t="str">
        <f>VLOOKUP(B44,正厂竞争者数据汇总!D:H,3,FALSE)</f>
        <v>MA</v>
      </c>
      <c r="E44" s="430"/>
      <c r="F44" s="430">
        <v>75625.6241666667</v>
      </c>
      <c r="G44" s="430"/>
      <c r="H44" s="430"/>
      <c r="I44" s="450"/>
      <c r="J44" s="451">
        <v>0.0528509648096365</v>
      </c>
      <c r="K44" s="451">
        <v>0.0613021579171326</v>
      </c>
      <c r="L44" s="451">
        <v>0.0578880899019573</v>
      </c>
      <c r="M44" s="452"/>
      <c r="N44" s="451"/>
      <c r="O44" s="430"/>
      <c r="P44" s="531" t="str">
        <f t="array" ref="P44">INDEX(正厂竞争者数据汇总!I:I,MATCH($A$37&amp;B44,正厂竞争者数据汇总!A:A&amp;正厂竞争者数据汇总!D:D,0))</f>
        <v>同时经营多品牌，流量折算比例为Ford:23%,GM:23%,Infiniti:0%,Kia:13%,Mopar:31%,Nissan:10%</v>
      </c>
      <c r="Q44" s="429"/>
      <c r="R44" s="421"/>
      <c r="S44" s="472"/>
      <c r="T44" s="466"/>
      <c r="U44" s="466"/>
      <c r="V44" s="466"/>
      <c r="W44" s="466"/>
    </row>
    <row r="45" s="408" customFormat="1" spans="1:23">
      <c r="A45" s="428" t="s">
        <v>230</v>
      </c>
      <c r="B45" s="421" t="s">
        <v>400</v>
      </c>
      <c r="C45" s="429" t="s">
        <v>233</v>
      </c>
      <c r="D45" s="421" t="str">
        <f>VLOOKUP(B45,正厂竞争者数据汇总!D:H,3,FALSE)</f>
        <v>MO</v>
      </c>
      <c r="E45" s="430"/>
      <c r="F45" s="430">
        <v>61640.25</v>
      </c>
      <c r="G45" s="430"/>
      <c r="H45" s="430"/>
      <c r="I45" s="450"/>
      <c r="J45" s="451">
        <v>0.0430772865613333</v>
      </c>
      <c r="K45" s="451">
        <v>0.0481896928205621</v>
      </c>
      <c r="L45" s="451">
        <v>0.0574373649933361</v>
      </c>
      <c r="M45" s="452"/>
      <c r="N45" s="451"/>
      <c r="O45" s="430"/>
      <c r="P45" s="531">
        <f t="array" ref="P45">INDEX(正厂竞争者数据汇总!I:I,MATCH($A$37&amp;B45,正厂竞争者数据汇总!A:A&amp;正厂竞争者数据汇总!D:D,0))</f>
        <v>0</v>
      </c>
      <c r="Q45" s="429"/>
      <c r="R45" s="421"/>
      <c r="S45" s="472"/>
      <c r="T45" s="466"/>
      <c r="U45" s="466"/>
      <c r="V45" s="466"/>
      <c r="W45" s="466"/>
    </row>
    <row r="46" s="408" customFormat="1" spans="1:23">
      <c r="A46" s="428"/>
      <c r="B46" s="421"/>
      <c r="C46" s="429"/>
      <c r="D46" s="421"/>
      <c r="E46" s="430"/>
      <c r="F46" s="430"/>
      <c r="G46" s="430"/>
      <c r="H46" s="430"/>
      <c r="I46" s="450"/>
      <c r="J46" s="451"/>
      <c r="K46" s="451"/>
      <c r="L46" s="451"/>
      <c r="M46" s="452"/>
      <c r="N46" s="451"/>
      <c r="O46" s="430"/>
      <c r="P46" s="531"/>
      <c r="Q46" s="429"/>
      <c r="R46" s="421"/>
      <c r="S46" s="472"/>
      <c r="T46" s="466"/>
      <c r="U46" s="466"/>
      <c r="V46" s="421"/>
      <c r="W46" s="421"/>
    </row>
    <row r="47" s="408" customFormat="1" spans="1:23">
      <c r="A47" s="428"/>
      <c r="B47" s="421"/>
      <c r="C47" s="439"/>
      <c r="D47" s="421"/>
      <c r="E47" s="430"/>
      <c r="F47" s="430">
        <v>1430922.30083333</v>
      </c>
      <c r="G47" s="430">
        <v>1270419.34583333</v>
      </c>
      <c r="H47" s="430">
        <v>1259631.94083333</v>
      </c>
      <c r="I47" s="453">
        <v>0.126338563346359</v>
      </c>
      <c r="J47" s="430"/>
      <c r="K47" s="451"/>
      <c r="L47" s="430"/>
      <c r="M47" s="451"/>
      <c r="N47" s="459">
        <f>SUM(N39:N45)</f>
        <v>0</v>
      </c>
      <c r="O47" s="430" t="s">
        <v>180</v>
      </c>
      <c r="P47" s="531"/>
      <c r="Q47" s="429"/>
      <c r="R47" s="421"/>
      <c r="S47" s="473"/>
      <c r="T47" s="466"/>
      <c r="U47" s="466"/>
      <c r="V47" s="421"/>
      <c r="W47" s="421"/>
    </row>
    <row r="48" s="408" customFormat="1" spans="1:23">
      <c r="A48" s="428"/>
      <c r="B48" s="421"/>
      <c r="C48" s="439"/>
      <c r="D48" s="421"/>
      <c r="E48" s="430"/>
      <c r="F48" s="430"/>
      <c r="G48" s="430"/>
      <c r="H48" s="430"/>
      <c r="I48" s="453"/>
      <c r="J48" s="430"/>
      <c r="K48" s="430"/>
      <c r="L48" s="430"/>
      <c r="M48" s="451"/>
      <c r="N48" s="459"/>
      <c r="O48" s="430"/>
      <c r="P48" s="531"/>
      <c r="Q48" s="429"/>
      <c r="R48" s="421"/>
      <c r="S48" s="473"/>
      <c r="T48" s="466"/>
      <c r="U48" s="466"/>
      <c r="V48" s="421"/>
      <c r="W48" s="421"/>
    </row>
    <row r="49" s="408" customFormat="1" ht="17.4" spans="1:23">
      <c r="A49" s="418" t="s">
        <v>149</v>
      </c>
      <c r="B49" s="419"/>
      <c r="C49" s="420"/>
      <c r="D49" s="421"/>
      <c r="E49" s="422" t="s">
        <v>202</v>
      </c>
      <c r="F49" s="422"/>
      <c r="G49" s="422"/>
      <c r="H49" s="422"/>
      <c r="I49" s="422"/>
      <c r="J49" s="422"/>
      <c r="K49" s="422"/>
      <c r="L49" s="422"/>
      <c r="M49" s="443"/>
      <c r="N49" s="444"/>
      <c r="O49" s="422"/>
      <c r="P49" s="531"/>
      <c r="Q49" s="465"/>
      <c r="R49" s="424"/>
      <c r="S49" s="473"/>
      <c r="T49" s="467"/>
      <c r="U49" s="467"/>
      <c r="V49" s="467"/>
      <c r="W49" s="467"/>
    </row>
    <row r="50" s="409" customFormat="1" ht="46.8" spans="1:23">
      <c r="A50" s="423" t="s">
        <v>206</v>
      </c>
      <c r="B50" s="424" t="s">
        <v>207</v>
      </c>
      <c r="C50" s="425" t="s">
        <v>208</v>
      </c>
      <c r="D50" s="424" t="s">
        <v>209</v>
      </c>
      <c r="E50" s="426" t="s">
        <v>210</v>
      </c>
      <c r="F50" s="427" t="s">
        <v>432</v>
      </c>
      <c r="G50" s="427" t="s">
        <v>213</v>
      </c>
      <c r="H50" s="427" t="s">
        <v>396</v>
      </c>
      <c r="I50" s="427" t="s">
        <v>386</v>
      </c>
      <c r="J50" s="446" t="s">
        <v>433</v>
      </c>
      <c r="K50" s="446" t="s">
        <v>434</v>
      </c>
      <c r="L50" s="446" t="s">
        <v>435</v>
      </c>
      <c r="M50" s="447" t="s">
        <v>436</v>
      </c>
      <c r="N50" s="448" t="s">
        <v>219</v>
      </c>
      <c r="O50" s="449" t="s">
        <v>220</v>
      </c>
      <c r="P50" s="535" t="s">
        <v>0</v>
      </c>
      <c r="Q50" s="469" t="s">
        <v>222</v>
      </c>
      <c r="R50" s="426" t="s">
        <v>223</v>
      </c>
      <c r="S50" s="470" t="s">
        <v>224</v>
      </c>
      <c r="T50" s="467" t="s">
        <v>225</v>
      </c>
      <c r="U50" s="470" t="s">
        <v>226</v>
      </c>
      <c r="V50" s="467"/>
      <c r="W50" s="467"/>
    </row>
    <row r="51" s="410" customFormat="1" ht="17.4" spans="1:23">
      <c r="A51" s="432" t="s">
        <v>227</v>
      </c>
      <c r="B51" s="432" t="s">
        <v>150</v>
      </c>
      <c r="C51" s="434" t="str">
        <f>VLOOKUP(B51,正厂竞争者数据汇总!D:H,2,FALSE)</f>
        <v>原厂目录</v>
      </c>
      <c r="D51" s="435" t="str">
        <f>VLOOKUP(B51,正厂竞争者数据汇总!D:H,3,FALSE)</f>
        <v>AZ</v>
      </c>
      <c r="E51" s="436">
        <f>VLOOKUP(B51,正厂竞争者数据汇总!D:H,4,FALSE)</f>
        <v>0</v>
      </c>
      <c r="F51" s="436">
        <v>468795</v>
      </c>
      <c r="G51" s="436">
        <v>521458.083333333</v>
      </c>
      <c r="H51" s="436">
        <v>566477.333333333</v>
      </c>
      <c r="I51" s="454">
        <v>-0.100991978102426</v>
      </c>
      <c r="J51" s="455">
        <v>0.350949944333293</v>
      </c>
      <c r="K51" s="455">
        <v>0.350487029270765</v>
      </c>
      <c r="L51" s="455">
        <v>0.359343044451055</v>
      </c>
      <c r="M51" s="456">
        <f>J51-K51</f>
        <v>0.000462915062527991</v>
      </c>
      <c r="N51" s="457" t="str">
        <f>IFERROR(O51*0.5/F$58,"")</f>
        <v/>
      </c>
      <c r="O51" s="436" t="s">
        <v>180</v>
      </c>
      <c r="P51" s="531">
        <f t="array" ref="P51">INDEX(正厂竞争者数据汇总!I:I,MATCH($A$49&amp;B51,正厂竞争者数据汇总!A:A&amp;正厂竞争者数据汇总!D:D,0))</f>
        <v>0</v>
      </c>
      <c r="Q51" s="434" t="s">
        <v>259</v>
      </c>
      <c r="R51" s="435" t="s">
        <v>229</v>
      </c>
      <c r="S51" s="476"/>
      <c r="T51" s="477"/>
      <c r="U51" s="477"/>
      <c r="V51" s="477"/>
      <c r="W51" s="477"/>
    </row>
    <row r="52" s="408" customFormat="1" spans="1:23">
      <c r="A52" s="428" t="s">
        <v>230</v>
      </c>
      <c r="B52" s="421" t="s">
        <v>255</v>
      </c>
      <c r="C52" s="429" t="str">
        <f>VLOOKUP(B52,正厂竞争者数据汇总!D:H,2,FALSE)</f>
        <v>Motor目录</v>
      </c>
      <c r="D52" s="421" t="str">
        <f>VLOOKUP(B52,正厂竞争者数据汇总!D:H,3,FALSE)</f>
        <v>RI</v>
      </c>
      <c r="E52" s="430"/>
      <c r="F52" s="430">
        <v>237337.595</v>
      </c>
      <c r="G52" s="430"/>
      <c r="H52" s="430"/>
      <c r="I52" s="450"/>
      <c r="J52" s="451">
        <v>0.177675990045644</v>
      </c>
      <c r="K52" s="451">
        <v>0.162716056454774</v>
      </c>
      <c r="L52" s="451">
        <v>0.153195475105035</v>
      </c>
      <c r="M52" s="452"/>
      <c r="N52" s="451"/>
      <c r="O52" s="430"/>
      <c r="P52" s="531" t="str">
        <f t="array" ref="P52">INDEX(正厂竞争者数据汇总!I:I,MATCH($A$49&amp;B52,正厂竞争者数据汇总!A:A&amp;正厂竞争者数据汇总!D:D,0))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52" s="429"/>
      <c r="R52" s="421"/>
      <c r="S52" s="472"/>
      <c r="T52" s="466"/>
      <c r="U52" s="466"/>
      <c r="V52" s="466"/>
      <c r="W52" s="466"/>
    </row>
    <row r="53" s="408" customFormat="1" spans="1:23">
      <c r="A53" s="428" t="s">
        <v>230</v>
      </c>
      <c r="B53" s="421" t="s">
        <v>261</v>
      </c>
      <c r="C53" s="429" t="str">
        <f>VLOOKUP(B53,正厂竞争者数据汇总!D:H,2,FALSE)</f>
        <v>Motor目录</v>
      </c>
      <c r="D53" s="421" t="str">
        <f>VLOOKUP(B53,正厂竞争者数据汇总!D:H,3,FALSE)</f>
        <v>MO</v>
      </c>
      <c r="E53" s="430"/>
      <c r="F53" s="430">
        <v>146264.666666667</v>
      </c>
      <c r="G53" s="430"/>
      <c r="H53" s="430"/>
      <c r="I53" s="450"/>
      <c r="J53" s="451">
        <v>0.109496851768032</v>
      </c>
      <c r="K53" s="451">
        <v>0.113019298138242</v>
      </c>
      <c r="L53" s="451">
        <v>0.10673348103793</v>
      </c>
      <c r="M53" s="452"/>
      <c r="N53" s="451"/>
      <c r="O53" s="430"/>
      <c r="P53" s="531" t="str">
        <f t="array" ref="P53">INDEX(正厂竞争者数据汇总!I:I,MATCH($A$49&amp;B53,正厂竞争者数据汇总!A:A&amp;正厂竞争者数据汇总!D:D,0))</f>
        <v>2022年1月 新加入 CompetitorSites
2022年1月 新加入 MarketingShare</v>
      </c>
      <c r="Q53" s="429"/>
      <c r="R53" s="421"/>
      <c r="S53" s="472"/>
      <c r="T53" s="466"/>
      <c r="U53" s="466"/>
      <c r="V53" s="466"/>
      <c r="W53" s="466"/>
    </row>
    <row r="54" s="408" customFormat="1" spans="1:23">
      <c r="A54" s="428" t="s">
        <v>243</v>
      </c>
      <c r="B54" s="421" t="s">
        <v>262</v>
      </c>
      <c r="C54" s="429" t="str">
        <f>VLOOKUP(B54,正厂竞争者数据汇总!D:H,2,FALSE)</f>
        <v>原厂目录</v>
      </c>
      <c r="D54" s="421" t="str">
        <f>VLOOKUP(B54,正厂竞争者数据汇总!D:H,3,FALSE)</f>
        <v>FL</v>
      </c>
      <c r="E54" s="430"/>
      <c r="F54" s="430">
        <v>143954.416666667</v>
      </c>
      <c r="G54" s="430"/>
      <c r="H54" s="430"/>
      <c r="I54" s="450"/>
      <c r="J54" s="451">
        <v>0.10776734930129</v>
      </c>
      <c r="K54" s="451">
        <v>0.0960963237809398</v>
      </c>
      <c r="L54" s="451">
        <v>0.09589581558287</v>
      </c>
      <c r="M54" s="452"/>
      <c r="N54" s="451"/>
      <c r="O54" s="430"/>
      <c r="P54" s="531" t="str">
        <f t="array" ref="P54">INDEX(正厂竞争者数据汇总!I:I,MATCH($A$49&amp;B54,正厂竞争者数据汇总!A:A&amp;正厂竞争者数据汇总!D:D,0))</f>
        <v>变为精确运费</v>
      </c>
      <c r="Q54" s="429"/>
      <c r="R54" s="421"/>
      <c r="S54" s="472"/>
      <c r="T54" s="466"/>
      <c r="U54" s="466"/>
      <c r="V54" s="466"/>
      <c r="W54" s="466"/>
    </row>
    <row r="55" s="408" customFormat="1" spans="1:23">
      <c r="A55" s="428" t="s">
        <v>230</v>
      </c>
      <c r="B55" s="421" t="s">
        <v>260</v>
      </c>
      <c r="C55" s="429" t="str">
        <f>VLOOKUP(B55,正厂竞争者数据汇总!D:H,2,FALSE)</f>
        <v>Motor目录</v>
      </c>
      <c r="D55" s="421" t="str">
        <f>VLOOKUP(B55,正厂竞争者数据汇总!D:H,3,FALSE)</f>
        <v>TX</v>
      </c>
      <c r="E55" s="430"/>
      <c r="F55" s="430">
        <v>139997.535866667</v>
      </c>
      <c r="G55" s="430"/>
      <c r="H55" s="430"/>
      <c r="I55" s="450"/>
      <c r="J55" s="451">
        <v>0.104805143867159</v>
      </c>
      <c r="K55" s="451">
        <v>0.103101420620356</v>
      </c>
      <c r="L55" s="451">
        <v>0.098901503508086</v>
      </c>
      <c r="M55" s="452"/>
      <c r="N55" s="451"/>
      <c r="O55" s="430"/>
      <c r="P55" s="531">
        <f t="array" ref="P55">INDEX(正厂竞争者数据汇总!I:I,MATCH($A$49&amp;B55,正厂竞争者数据汇总!A:A&amp;正厂竞争者数据汇总!D:D,0))</f>
        <v>0</v>
      </c>
      <c r="Q55" s="429"/>
      <c r="R55" s="421"/>
      <c r="S55" s="472"/>
      <c r="T55" s="466"/>
      <c r="U55" s="466"/>
      <c r="V55" s="466"/>
      <c r="W55" s="466"/>
    </row>
    <row r="56" s="408" customFormat="1" spans="1:23">
      <c r="A56" s="428" t="s">
        <v>243</v>
      </c>
      <c r="B56" s="421" t="s">
        <v>265</v>
      </c>
      <c r="C56" s="429" t="str">
        <f>VLOOKUP(B56,正厂竞争者数据汇总!D:H,2,FALSE)</f>
        <v>原厂目录</v>
      </c>
      <c r="D56" s="421" t="s">
        <v>266</v>
      </c>
      <c r="E56" s="430"/>
      <c r="F56" s="430">
        <v>87057.5833333332</v>
      </c>
      <c r="G56" s="430"/>
      <c r="H56" s="430"/>
      <c r="I56" s="450"/>
      <c r="J56" s="451">
        <v>0.0651731652953302</v>
      </c>
      <c r="K56" s="451">
        <v>0.0750862337782365</v>
      </c>
      <c r="L56" s="451">
        <v>0.0785185289308837</v>
      </c>
      <c r="M56" s="452"/>
      <c r="N56" s="451"/>
      <c r="O56" s="430"/>
      <c r="P56" s="531" t="str">
        <f t="array" ref="P56">INDEX(正厂竞争者数据汇总!I:I,MATCH($A$49&amp;B56,正厂竞争者数据汇总!A:A&amp;正厂竞争者数据汇总!D:D,0))</f>
        <v>因MS大于5%，202305重新加入MS计算基准</v>
      </c>
      <c r="Q56" s="429"/>
      <c r="R56" s="421"/>
      <c r="S56" s="472"/>
      <c r="T56" s="466"/>
      <c r="U56" s="466"/>
      <c r="V56" s="466"/>
      <c r="W56" s="466"/>
    </row>
    <row r="57" s="408" customFormat="1" spans="1:23">
      <c r="A57" s="428" t="s">
        <v>230</v>
      </c>
      <c r="B57" s="421" t="s">
        <v>267</v>
      </c>
      <c r="C57" s="429" t="str">
        <f>VLOOKUP(B57,正厂竞争者数据汇总!D:H,2,FALSE)</f>
        <v>原厂目录</v>
      </c>
      <c r="D57" s="421" t="str">
        <f>VLOOKUP(B57,正厂竞争者数据汇总!D:H,3,FALSE)</f>
        <v>AZ</v>
      </c>
      <c r="E57" s="430"/>
      <c r="F57" s="430">
        <v>68267.1666666667</v>
      </c>
      <c r="G57" s="430"/>
      <c r="H57" s="430"/>
      <c r="I57" s="450"/>
      <c r="J57" s="451">
        <v>0.0511062582609847</v>
      </c>
      <c r="K57" s="451">
        <v>0.0612153716783291</v>
      </c>
      <c r="L57" s="451">
        <v>0.0668517681299012</v>
      </c>
      <c r="M57" s="452"/>
      <c r="N57" s="451"/>
      <c r="O57" s="430"/>
      <c r="P57" s="531" t="str">
        <f t="array" ref="P57">INDEX(正厂竞争者数据汇总!I:I,MATCH($A$49&amp;B57,正厂竞争者数据汇总!A:A&amp;正厂竞争者数据汇总!D:D,0))</f>
        <v>2022年1月 新加入 CompetitorSites</v>
      </c>
      <c r="Q57" s="429"/>
      <c r="R57" s="421"/>
      <c r="S57" s="472"/>
      <c r="T57" s="466"/>
      <c r="U57" s="466"/>
      <c r="V57" s="466"/>
      <c r="W57" s="466"/>
    </row>
    <row r="58" s="408" customFormat="1" spans="1:23">
      <c r="A58" s="428" t="s">
        <v>243</v>
      </c>
      <c r="B58" s="421" t="s">
        <v>438</v>
      </c>
      <c r="C58" s="429" t="str">
        <f>VLOOKUP(B58,正厂竞争者数据汇总!D:H,2,FALSE)</f>
        <v>原厂目录</v>
      </c>
      <c r="D58" s="421" t="str">
        <f>VLOOKUP(B58,正厂竞争者数据汇总!D:H,3,FALSE)</f>
        <v>SC</v>
      </c>
      <c r="E58" s="430"/>
      <c r="F58" s="430">
        <v>44114.82155</v>
      </c>
      <c r="G58" s="430"/>
      <c r="H58" s="430"/>
      <c r="I58" s="450"/>
      <c r="J58" s="451">
        <v>0.0330252971282664</v>
      </c>
      <c r="K58" s="451">
        <v>0.0382782662783581</v>
      </c>
      <c r="L58" s="451">
        <v>0.0405603832542381</v>
      </c>
      <c r="M58" s="452"/>
      <c r="N58" s="451"/>
      <c r="O58" s="430"/>
      <c r="P58" s="531" t="str">
        <f t="array" ref="P58">INDEX(正厂竞争者数据汇总!I:I,MATCH($A$49&amp;B58,正厂竞争者数据汇总!A:A&amp;正厂竞争者数据汇总!D:D,0))</f>
        <v>2022年1月 新加入 CompetitorSites
2022年1月 新加入 MarketingShare</v>
      </c>
      <c r="Q58" s="429"/>
      <c r="R58" s="421"/>
      <c r="S58" s="472"/>
      <c r="T58" s="466"/>
      <c r="U58" s="466"/>
      <c r="V58" s="466"/>
      <c r="W58" s="466"/>
    </row>
    <row r="59" s="410" customFormat="1" spans="1:23">
      <c r="A59" s="428"/>
      <c r="B59" s="431"/>
      <c r="C59" s="429"/>
      <c r="D59" s="421"/>
      <c r="E59" s="430"/>
      <c r="F59" s="430"/>
      <c r="G59" s="430"/>
      <c r="H59" s="430"/>
      <c r="I59" s="453"/>
      <c r="J59" s="451"/>
      <c r="K59" s="451"/>
      <c r="L59" s="451"/>
      <c r="M59" s="451"/>
      <c r="N59" s="455"/>
      <c r="O59" s="436"/>
      <c r="P59" s="531"/>
      <c r="Q59" s="434"/>
      <c r="R59" s="435"/>
      <c r="S59" s="473"/>
      <c r="T59" s="477"/>
      <c r="U59" s="466"/>
      <c r="V59" s="435"/>
      <c r="W59" s="435"/>
    </row>
    <row r="60" s="408" customFormat="1" spans="1:23">
      <c r="A60" s="428"/>
      <c r="B60" s="421"/>
      <c r="C60" s="439"/>
      <c r="D60" s="421"/>
      <c r="E60" s="430"/>
      <c r="F60" s="430">
        <v>1335788.78575</v>
      </c>
      <c r="G60" s="430">
        <v>1468579.74166667</v>
      </c>
      <c r="H60" s="430">
        <v>1519526.8275</v>
      </c>
      <c r="I60" s="453">
        <v>-0.0904213452964879</v>
      </c>
      <c r="J60" s="512"/>
      <c r="K60" s="430"/>
      <c r="L60" s="430"/>
      <c r="M60" s="451"/>
      <c r="N60" s="451"/>
      <c r="O60" s="430"/>
      <c r="P60" s="531"/>
      <c r="Q60" s="429"/>
      <c r="R60" s="421"/>
      <c r="S60" s="473"/>
      <c r="T60" s="466"/>
      <c r="U60" s="466"/>
      <c r="V60" s="421"/>
      <c r="W60" s="421"/>
    </row>
    <row r="61" s="408" customFormat="1" spans="1:23">
      <c r="A61" s="428"/>
      <c r="B61" s="421"/>
      <c r="C61" s="439"/>
      <c r="D61" s="421"/>
      <c r="E61" s="430"/>
      <c r="F61" s="430"/>
      <c r="G61" s="430"/>
      <c r="H61" s="430"/>
      <c r="I61" s="453"/>
      <c r="J61" s="430"/>
      <c r="K61" s="430"/>
      <c r="L61" s="430"/>
      <c r="M61" s="451"/>
      <c r="N61" s="451"/>
      <c r="O61" s="430"/>
      <c r="P61" s="531"/>
      <c r="Q61" s="429"/>
      <c r="R61" s="421"/>
      <c r="S61" s="473"/>
      <c r="T61" s="466"/>
      <c r="U61" s="466"/>
      <c r="V61" s="421"/>
      <c r="W61" s="421"/>
    </row>
    <row r="62" s="408" customFormat="1" ht="17.4" spans="1:23">
      <c r="A62" s="418" t="s">
        <v>274</v>
      </c>
      <c r="B62" s="419"/>
      <c r="C62" s="420"/>
      <c r="D62" s="421"/>
      <c r="E62" s="422" t="s">
        <v>202</v>
      </c>
      <c r="F62" s="422"/>
      <c r="G62" s="422"/>
      <c r="H62" s="422"/>
      <c r="I62" s="422"/>
      <c r="J62" s="422"/>
      <c r="K62" s="422"/>
      <c r="L62" s="422"/>
      <c r="M62" s="443"/>
      <c r="N62" s="444"/>
      <c r="O62" s="422"/>
      <c r="P62" s="531"/>
      <c r="Q62" s="465"/>
      <c r="R62" s="424"/>
      <c r="S62" s="473"/>
      <c r="T62" s="467"/>
      <c r="U62" s="467"/>
      <c r="V62" s="467"/>
      <c r="W62" s="467"/>
    </row>
    <row r="63" s="409" customFormat="1" ht="46.8" spans="1:23">
      <c r="A63" s="423" t="s">
        <v>206</v>
      </c>
      <c r="B63" s="424" t="s">
        <v>207</v>
      </c>
      <c r="C63" s="425" t="s">
        <v>208</v>
      </c>
      <c r="D63" s="424" t="s">
        <v>209</v>
      </c>
      <c r="E63" s="426" t="s">
        <v>210</v>
      </c>
      <c r="F63" s="427" t="s">
        <v>432</v>
      </c>
      <c r="G63" s="427" t="s">
        <v>213</v>
      </c>
      <c r="H63" s="427" t="s">
        <v>396</v>
      </c>
      <c r="I63" s="427" t="s">
        <v>386</v>
      </c>
      <c r="J63" s="446" t="s">
        <v>433</v>
      </c>
      <c r="K63" s="446" t="s">
        <v>434</v>
      </c>
      <c r="L63" s="446" t="s">
        <v>435</v>
      </c>
      <c r="M63" s="447" t="s">
        <v>436</v>
      </c>
      <c r="N63" s="448" t="s">
        <v>219</v>
      </c>
      <c r="O63" s="449" t="s">
        <v>220</v>
      </c>
      <c r="P63" s="535" t="s">
        <v>0</v>
      </c>
      <c r="Q63" s="469" t="s">
        <v>222</v>
      </c>
      <c r="R63" s="426" t="s">
        <v>223</v>
      </c>
      <c r="S63" s="470" t="s">
        <v>224</v>
      </c>
      <c r="T63" s="467" t="s">
        <v>225</v>
      </c>
      <c r="U63" s="470" t="s">
        <v>226</v>
      </c>
      <c r="V63" s="467"/>
      <c r="W63" s="467"/>
    </row>
    <row r="64" s="410" customFormat="1" ht="17.4" spans="1:23">
      <c r="A64" s="432" t="s">
        <v>227</v>
      </c>
      <c r="B64" s="432" t="s">
        <v>157</v>
      </c>
      <c r="C64" s="434" t="str">
        <f>VLOOKUP(B64,正厂竞争者数据汇总!D:H,2,FALSE)</f>
        <v>原厂目录</v>
      </c>
      <c r="D64" s="435" t="str">
        <f>VLOOKUP(B64,正厂竞争者数据汇总!D:H,3,FALSE)</f>
        <v>CA</v>
      </c>
      <c r="E64" s="436">
        <f>VLOOKUP(B64,正厂竞争者数据汇总!D:H,4,FALSE)</f>
        <v>0</v>
      </c>
      <c r="F64" s="436">
        <v>349808.863933333</v>
      </c>
      <c r="G64" s="436">
        <v>278909.416666667</v>
      </c>
      <c r="H64" s="436">
        <v>329867.416666667</v>
      </c>
      <c r="I64" s="454">
        <v>0.254202414941766</v>
      </c>
      <c r="J64" s="457">
        <v>0.455972350540081</v>
      </c>
      <c r="K64" s="457">
        <v>0.46351068070417</v>
      </c>
      <c r="L64" s="457">
        <v>0.411132134176415</v>
      </c>
      <c r="M64" s="456">
        <f>J64-K64</f>
        <v>-0.007538330164089</v>
      </c>
      <c r="N64" s="457" t="str">
        <f>IFERROR(O64*0.5/$F$64,"")</f>
        <v/>
      </c>
      <c r="O64" s="436" t="s">
        <v>180</v>
      </c>
      <c r="P64" s="531">
        <f t="array" ref="P64">INDEX(正厂竞争者数据汇总!I:I,MATCH($A$62&amp;B64,正厂竞争者数据汇总!A:A&amp;正厂竞争者数据汇总!D:D,0))</f>
        <v>0</v>
      </c>
      <c r="Q64" s="434" t="s">
        <v>275</v>
      </c>
      <c r="R64" s="435" t="s">
        <v>229</v>
      </c>
      <c r="S64" s="476"/>
      <c r="T64" s="477"/>
      <c r="U64" s="477"/>
      <c r="V64" s="435"/>
      <c r="W64" s="435"/>
    </row>
    <row r="65" s="408" customFormat="1" spans="1:23">
      <c r="A65" s="428" t="s">
        <v>230</v>
      </c>
      <c r="B65" s="421" t="s">
        <v>276</v>
      </c>
      <c r="C65" s="429" t="str">
        <f>VLOOKUP(B65,正厂竞争者数据汇总!D:H,2,FALSE)</f>
        <v>Motor目录</v>
      </c>
      <c r="D65" s="421" t="str">
        <f>VLOOKUP(B65,正厂竞争者数据汇总!D:H,3,FALSE)</f>
        <v>-</v>
      </c>
      <c r="E65" s="430"/>
      <c r="F65" s="430">
        <v>220671.25</v>
      </c>
      <c r="G65" s="430"/>
      <c r="H65" s="430"/>
      <c r="I65" s="450"/>
      <c r="J65" s="451">
        <v>0.287642764187628</v>
      </c>
      <c r="K65" s="451">
        <v>0.262153114750469</v>
      </c>
      <c r="L65" s="451">
        <v>0.254915186204287</v>
      </c>
      <c r="M65" s="452"/>
      <c r="N65" s="451"/>
      <c r="O65" s="430"/>
      <c r="P65" s="531" t="str">
        <f t="array" ref="P65">INDEX(正厂竞争者数据汇总!I:I,MATCH($A$62&amp;B65,正厂竞争者数据汇总!A:A&amp;正厂竞争者数据汇总!D:D,0))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65" s="429"/>
      <c r="R65" s="421"/>
      <c r="S65" s="472"/>
      <c r="T65" s="466"/>
      <c r="U65" s="466"/>
      <c r="V65" s="466"/>
      <c r="W65" s="466"/>
    </row>
    <row r="66" s="408" customFormat="1" spans="1:23">
      <c r="A66" s="428" t="s">
        <v>230</v>
      </c>
      <c r="B66" s="421" t="s">
        <v>278</v>
      </c>
      <c r="C66" s="429" t="str">
        <f>VLOOKUP(B66,正厂竞争者数据汇总!D:H,2,FALSE)</f>
        <v>Motor</v>
      </c>
      <c r="D66" s="421" t="str">
        <f>VLOOKUP(B66,正厂竞争者数据汇总!D:H,3,FALSE)</f>
        <v>NM</v>
      </c>
      <c r="E66" s="430"/>
      <c r="F66" s="430">
        <v>103182.416666667</v>
      </c>
      <c r="G66" s="430"/>
      <c r="H66" s="430"/>
      <c r="I66" s="450"/>
      <c r="J66" s="451">
        <v>0.134497246676038</v>
      </c>
      <c r="K66" s="451">
        <v>0.133077331188923</v>
      </c>
      <c r="L66" s="451">
        <v>0.144628712358689</v>
      </c>
      <c r="M66" s="452"/>
      <c r="N66" s="451"/>
      <c r="O66" s="430"/>
      <c r="P66" s="531" t="str">
        <f t="array" ref="P66">INDEX(正厂竞争者数据汇总!I:I,MATCH($A$62&amp;B66,正厂竞争者数据汇总!A:A&amp;正厂竞争者数据汇总!D:D,0))</f>
        <v>2020年11月新增竞争者</v>
      </c>
      <c r="Q66" s="429"/>
      <c r="R66" s="421"/>
      <c r="S66" s="472"/>
      <c r="T66" s="466"/>
      <c r="U66" s="466"/>
      <c r="V66" s="466"/>
      <c r="W66" s="466"/>
    </row>
    <row r="67" s="408" customFormat="1" spans="1:23">
      <c r="A67" s="428" t="s">
        <v>243</v>
      </c>
      <c r="B67" s="421" t="s">
        <v>277</v>
      </c>
      <c r="C67" s="429" t="str">
        <f>VLOOKUP(B67,正厂竞争者数据汇总!D:H,2,FALSE)</f>
        <v>Motor目录</v>
      </c>
      <c r="D67" s="421" t="str">
        <f>VLOOKUP(B67,正厂竞争者数据汇总!D:H,3,FALSE)</f>
        <v>FL</v>
      </c>
      <c r="E67" s="430"/>
      <c r="F67" s="430">
        <v>64241.2716</v>
      </c>
      <c r="G67" s="430"/>
      <c r="H67" s="430"/>
      <c r="I67" s="450"/>
      <c r="J67" s="451">
        <v>0.0837378541062879</v>
      </c>
      <c r="K67" s="451">
        <v>0.101766445620623</v>
      </c>
      <c r="L67" s="451">
        <v>0.128824630960351</v>
      </c>
      <c r="M67" s="452"/>
      <c r="N67" s="451"/>
      <c r="O67" s="430"/>
      <c r="P67" s="531">
        <f t="array" ref="P67">INDEX(正厂竞争者数据汇总!I:I,MATCH($A$62&amp;B67,正厂竞争者数据汇总!A:A&amp;正厂竞争者数据汇总!D:D,0))</f>
        <v>0</v>
      </c>
      <c r="Q67" s="429"/>
      <c r="R67" s="421"/>
      <c r="S67" s="472"/>
      <c r="T67" s="466"/>
      <c r="U67" s="466"/>
      <c r="V67" s="466"/>
      <c r="W67" s="466"/>
    </row>
    <row r="68" s="408" customFormat="1" spans="1:23">
      <c r="A68" s="428" t="s">
        <v>230</v>
      </c>
      <c r="B68" s="421" t="s">
        <v>279</v>
      </c>
      <c r="C68" s="429" t="str">
        <f>VLOOKUP(B68,正厂竞争者数据汇总!D:H,2,FALSE)</f>
        <v>Motor目录</v>
      </c>
      <c r="D68" s="421" t="str">
        <f>VLOOKUP(B68,正厂竞争者数据汇总!D:H,3,FALSE)</f>
        <v>-</v>
      </c>
      <c r="E68" s="430"/>
      <c r="F68" s="430">
        <v>29267.4166666667</v>
      </c>
      <c r="G68" s="430"/>
      <c r="H68" s="430"/>
      <c r="I68" s="450"/>
      <c r="J68" s="451">
        <v>0.0381497844899645</v>
      </c>
      <c r="K68" s="451">
        <v>0.0394924277358157</v>
      </c>
      <c r="L68" s="451">
        <v>0.060499336300258</v>
      </c>
      <c r="M68" s="452"/>
      <c r="N68" s="451"/>
      <c r="O68" s="430"/>
      <c r="P68" s="531" t="str">
        <f t="array" ref="P68">INDEX(正厂竞争者数据汇总!I:I,MATCH($A$62&amp;B68,正厂竞争者数据汇总!A:A&amp;正厂竞争者数据汇总!D:D,0))</f>
        <v>同时经营多品牌零件，semrush流量折算比例：Ford:0%, GM:36%, Honda:25%, Hyundai:0%, Infiniti:1%, Kia:1%, Lexus:4%, Mopar:0%, Nissan:25%, Subaru:5%, Toyota:2%</v>
      </c>
      <c r="Q68" s="429"/>
      <c r="R68" s="421"/>
      <c r="S68" s="472"/>
      <c r="T68" s="466"/>
      <c r="U68" s="466"/>
      <c r="V68" s="466"/>
      <c r="W68" s="466"/>
    </row>
    <row r="69" s="408" customFormat="1" spans="1:23">
      <c r="A69" s="428"/>
      <c r="B69" s="431"/>
      <c r="C69" s="429"/>
      <c r="D69" s="421"/>
      <c r="E69" s="430"/>
      <c r="F69" s="430"/>
      <c r="G69" s="430"/>
      <c r="H69" s="430"/>
      <c r="I69" s="453"/>
      <c r="J69" s="451"/>
      <c r="K69" s="451"/>
      <c r="L69" s="451"/>
      <c r="M69" s="451"/>
      <c r="N69" s="451"/>
      <c r="O69" s="430"/>
      <c r="P69" s="531"/>
      <c r="Q69" s="429"/>
      <c r="R69" s="435"/>
      <c r="S69" s="473"/>
      <c r="T69" s="466"/>
      <c r="U69" s="466"/>
      <c r="V69" s="421"/>
      <c r="W69" s="421"/>
    </row>
    <row r="70" s="408" customFormat="1" spans="1:23">
      <c r="A70" s="428"/>
      <c r="B70" s="421"/>
      <c r="C70" s="439"/>
      <c r="D70" s="421"/>
      <c r="E70" s="430"/>
      <c r="F70" s="430">
        <v>767171.218866667</v>
      </c>
      <c r="G70" s="430">
        <v>704838.916666666</v>
      </c>
      <c r="H70" s="430">
        <v>764789.250000002</v>
      </c>
      <c r="I70" s="453">
        <v>0.0884348192559845</v>
      </c>
      <c r="J70" s="490"/>
      <c r="K70" s="480"/>
      <c r="L70" s="480"/>
      <c r="M70" s="451"/>
      <c r="N70" s="451">
        <f>SUM(N64:N68)</f>
        <v>0</v>
      </c>
      <c r="O70" s="430"/>
      <c r="P70" s="531"/>
      <c r="Q70" s="429"/>
      <c r="R70" s="421"/>
      <c r="S70" s="473"/>
      <c r="T70" s="466"/>
      <c r="U70" s="466"/>
      <c r="V70" s="421"/>
      <c r="W70" s="421"/>
    </row>
    <row r="71" s="408" customFormat="1" spans="1:23">
      <c r="A71" s="428"/>
      <c r="B71" s="421"/>
      <c r="C71" s="439"/>
      <c r="D71" s="421"/>
      <c r="E71" s="430"/>
      <c r="F71" s="430"/>
      <c r="G71" s="430"/>
      <c r="H71" s="430"/>
      <c r="I71" s="453"/>
      <c r="J71" s="430"/>
      <c r="K71" s="430"/>
      <c r="L71" s="430"/>
      <c r="M71" s="451"/>
      <c r="N71" s="459"/>
      <c r="O71" s="430"/>
      <c r="P71" s="531"/>
      <c r="Q71" s="429"/>
      <c r="R71" s="421"/>
      <c r="S71" s="473"/>
      <c r="T71" s="466"/>
      <c r="U71" s="466"/>
      <c r="V71" s="421"/>
      <c r="W71" s="421"/>
    </row>
    <row r="72" s="408" customFormat="1" ht="17.4" spans="1:23">
      <c r="A72" s="418" t="s">
        <v>159</v>
      </c>
      <c r="B72" s="419"/>
      <c r="C72" s="420"/>
      <c r="D72" s="421"/>
      <c r="E72" s="422" t="s">
        <v>202</v>
      </c>
      <c r="F72" s="422"/>
      <c r="G72" s="422"/>
      <c r="H72" s="422"/>
      <c r="I72" s="422"/>
      <c r="J72" s="422"/>
      <c r="K72" s="422"/>
      <c r="L72" s="422"/>
      <c r="M72" s="443"/>
      <c r="N72" s="444"/>
      <c r="O72" s="422"/>
      <c r="P72" s="531"/>
      <c r="Q72" s="465"/>
      <c r="R72" s="424"/>
      <c r="S72" s="473"/>
      <c r="T72" s="467"/>
      <c r="U72" s="467"/>
      <c r="V72" s="467"/>
      <c r="W72" s="467"/>
    </row>
    <row r="73" s="409" customFormat="1" ht="46.8" spans="1:23">
      <c r="A73" s="423" t="s">
        <v>206</v>
      </c>
      <c r="B73" s="424" t="s">
        <v>207</v>
      </c>
      <c r="C73" s="425" t="s">
        <v>208</v>
      </c>
      <c r="D73" s="424" t="s">
        <v>209</v>
      </c>
      <c r="E73" s="426" t="s">
        <v>210</v>
      </c>
      <c r="F73" s="427" t="s">
        <v>432</v>
      </c>
      <c r="G73" s="427" t="s">
        <v>213</v>
      </c>
      <c r="H73" s="427" t="s">
        <v>396</v>
      </c>
      <c r="I73" s="427" t="s">
        <v>386</v>
      </c>
      <c r="J73" s="446" t="s">
        <v>433</v>
      </c>
      <c r="K73" s="446" t="s">
        <v>434</v>
      </c>
      <c r="L73" s="446" t="s">
        <v>435</v>
      </c>
      <c r="M73" s="447" t="s">
        <v>436</v>
      </c>
      <c r="N73" s="448" t="s">
        <v>219</v>
      </c>
      <c r="O73" s="449" t="s">
        <v>220</v>
      </c>
      <c r="P73" s="535" t="s">
        <v>0</v>
      </c>
      <c r="Q73" s="469" t="s">
        <v>222</v>
      </c>
      <c r="R73" s="426" t="s">
        <v>223</v>
      </c>
      <c r="S73" s="470" t="s">
        <v>224</v>
      </c>
      <c r="T73" s="467" t="s">
        <v>225</v>
      </c>
      <c r="U73" s="470" t="s">
        <v>226</v>
      </c>
      <c r="V73" s="467"/>
      <c r="W73" s="467"/>
    </row>
    <row r="74" s="410" customFormat="1" ht="17.4" spans="1:23">
      <c r="A74" s="432" t="s">
        <v>227</v>
      </c>
      <c r="B74" s="432" t="s">
        <v>160</v>
      </c>
      <c r="C74" s="434" t="str">
        <f>VLOOKUP(B74,正厂竞争者数据汇总!D:H,2,FALSE)</f>
        <v>原厂目录</v>
      </c>
      <c r="D74" s="435" t="str">
        <f>VLOOKUP(B74,正厂竞争者数据汇总!D:H,3,FALSE)</f>
        <v>CA</v>
      </c>
      <c r="E74" s="436">
        <f>VLOOKUP(B74,正厂竞争者数据汇总!D:H,4,FALSE)</f>
        <v>0</v>
      </c>
      <c r="F74" s="436">
        <v>343308.083333333</v>
      </c>
      <c r="G74" s="436">
        <v>369856.833333333</v>
      </c>
      <c r="H74" s="436">
        <v>370810.25</v>
      </c>
      <c r="I74" s="454">
        <v>-0.0717811531579111</v>
      </c>
      <c r="J74" s="455">
        <v>0.550208078114157</v>
      </c>
      <c r="K74" s="455">
        <v>0.551053400370037</v>
      </c>
      <c r="L74" s="455">
        <v>0.494113924522347</v>
      </c>
      <c r="M74" s="456">
        <f>J74-K74</f>
        <v>-0.000845322255880077</v>
      </c>
      <c r="N74" s="455" t="str">
        <f>IFERROR(O74*0.5/$F$74,"")</f>
        <v/>
      </c>
      <c r="O74" s="436" t="s">
        <v>180</v>
      </c>
      <c r="P74" s="531">
        <f t="array" ref="P74">INDEX(正厂竞争者数据汇总!I:I,MATCH($A$72&amp;B74,正厂竞争者数据汇总!A:A&amp;正厂竞争者数据汇总!D:D,0))</f>
        <v>0</v>
      </c>
      <c r="Q74" s="434" t="s">
        <v>280</v>
      </c>
      <c r="R74" s="435" t="s">
        <v>229</v>
      </c>
      <c r="S74" s="476"/>
      <c r="T74" s="477"/>
      <c r="U74" s="477"/>
      <c r="V74" s="435"/>
      <c r="W74" s="435"/>
    </row>
    <row r="75" s="408" customFormat="1" spans="1:23">
      <c r="A75" s="428" t="s">
        <v>230</v>
      </c>
      <c r="B75" s="421" t="s">
        <v>255</v>
      </c>
      <c r="C75" s="429" t="str">
        <f>VLOOKUP(B75,正厂竞争者数据汇总!D:H,2,FALSE)</f>
        <v>Motor目录</v>
      </c>
      <c r="D75" s="421" t="str">
        <f>VLOOKUP(B75,正厂竞争者数据汇总!D:H,3,FALSE)</f>
        <v>RI</v>
      </c>
      <c r="E75" s="430"/>
      <c r="F75" s="430">
        <v>114576.77</v>
      </c>
      <c r="G75" s="430"/>
      <c r="H75" s="430"/>
      <c r="I75" s="450"/>
      <c r="J75" s="451">
        <v>0.18362825543207</v>
      </c>
      <c r="K75" s="451">
        <v>0.148118319589145</v>
      </c>
      <c r="L75" s="451">
        <v>0.139966086117917</v>
      </c>
      <c r="M75" s="452"/>
      <c r="N75" s="451"/>
      <c r="O75" s="430"/>
      <c r="P75" s="531" t="str">
        <f t="array" ref="P75">INDEX(正厂竞争者数据汇总!I:I,MATCH($A$72&amp;B75,正厂竞争者数据汇总!A:A&amp;正厂竞争者数据汇总!D:D,0))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75" s="429"/>
      <c r="R75" s="421"/>
      <c r="S75" s="472"/>
      <c r="T75" s="466"/>
      <c r="U75" s="466"/>
      <c r="V75" s="466"/>
      <c r="W75" s="466"/>
    </row>
    <row r="76" s="408" customFormat="1" spans="1:23">
      <c r="A76" s="428" t="s">
        <v>230</v>
      </c>
      <c r="B76" s="421" t="s">
        <v>282</v>
      </c>
      <c r="C76" s="429" t="str">
        <f>VLOOKUP(B76,正厂竞争者数据汇总!D:H,2,FALSE)</f>
        <v>原厂目录</v>
      </c>
      <c r="D76" s="421" t="str">
        <f>VLOOKUP(B76,正厂竞争者数据汇总!D:H,3,FALSE)</f>
        <v>MA</v>
      </c>
      <c r="E76" s="430"/>
      <c r="F76" s="430">
        <v>88187.7171999998</v>
      </c>
      <c r="G76" s="430"/>
      <c r="H76" s="430"/>
      <c r="I76" s="450"/>
      <c r="J76" s="451">
        <v>0.141335426543904</v>
      </c>
      <c r="K76" s="451">
        <v>0.124936813503818</v>
      </c>
      <c r="L76" s="451">
        <v>0.145633540164248</v>
      </c>
      <c r="M76" s="452"/>
      <c r="N76" s="451"/>
      <c r="O76" s="430"/>
      <c r="P76" s="531" t="str">
        <f t="array" ref="P76">INDEX(正厂竞争者数据汇总!I:I,MATCH($A$72&amp;B76,正厂竞争者数据汇总!A:A&amp;正厂竞争者数据汇总!D:D,0))</f>
        <v>2021年08月新增竞争者</v>
      </c>
      <c r="Q76" s="429"/>
      <c r="R76" s="421"/>
      <c r="S76" s="472"/>
      <c r="T76" s="466"/>
      <c r="U76" s="466"/>
      <c r="V76" s="466"/>
      <c r="W76" s="466"/>
    </row>
    <row r="77" s="408" customFormat="1" spans="1:23">
      <c r="A77" s="428" t="s">
        <v>230</v>
      </c>
      <c r="B77" s="421" t="s">
        <v>281</v>
      </c>
      <c r="C77" s="429" t="str">
        <f>VLOOKUP(B77,正厂竞争者数据汇总!D:H,2,FALSE)</f>
        <v>Motor目录</v>
      </c>
      <c r="D77" s="421" t="str">
        <f>VLOOKUP(B77,正厂竞争者数据汇总!D:H,3,FALSE)</f>
        <v>-</v>
      </c>
      <c r="E77" s="430"/>
      <c r="F77" s="430">
        <v>57424.1666666667</v>
      </c>
      <c r="G77" s="430"/>
      <c r="H77" s="430"/>
      <c r="I77" s="450"/>
      <c r="J77" s="451">
        <v>0.092031740331312</v>
      </c>
      <c r="K77" s="451">
        <v>0.0858132424053407</v>
      </c>
      <c r="L77" s="451">
        <v>0.0801386902059847</v>
      </c>
      <c r="M77" s="452"/>
      <c r="N77" s="451"/>
      <c r="O77" s="430"/>
      <c r="P77" s="531" t="str">
        <f t="array" ref="P77">INDEX(正厂竞争者数据汇总!I:I,MATCH($A$72&amp;B77,正厂竞争者数据汇总!A:A&amp;正厂竞争者数据汇总!D:D,0))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77" s="429"/>
      <c r="R77" s="421"/>
      <c r="S77" s="472"/>
      <c r="T77" s="466"/>
      <c r="U77" s="466"/>
      <c r="V77" s="466"/>
      <c r="W77" s="466"/>
    </row>
    <row r="78" s="408" customFormat="1" spans="1:23">
      <c r="A78" s="428" t="s">
        <v>243</v>
      </c>
      <c r="B78" s="421" t="s">
        <v>401</v>
      </c>
      <c r="C78" s="429" t="str">
        <f>VLOOKUP(B78,正厂竞争者数据汇总!D:H,2,FALSE)</f>
        <v>Motor目录</v>
      </c>
      <c r="D78" s="421" t="str">
        <f>VLOOKUP(B78,正厂竞争者数据汇总!D:H,3,FALSE)</f>
        <v>FL</v>
      </c>
      <c r="E78" s="430"/>
      <c r="F78" s="430">
        <v>20463.7188333333</v>
      </c>
      <c r="G78" s="430"/>
      <c r="H78" s="430"/>
      <c r="I78" s="450"/>
      <c r="J78" s="451">
        <v>0.0327964995785568</v>
      </c>
      <c r="K78" s="451">
        <v>0.0446315065178208</v>
      </c>
      <c r="L78" s="451">
        <v>0.0527416931430119</v>
      </c>
      <c r="M78" s="452"/>
      <c r="N78" s="451"/>
      <c r="O78" s="430"/>
      <c r="P78" s="531" t="str">
        <f t="array" ref="P78">INDEX(正厂竞争者数据汇总!I:I,MATCH($A$72&amp;B78,正厂竞争者数据汇总!A:A&amp;正厂竞争者数据汇总!D:D,0))</f>
        <v>2023年1月新增</v>
      </c>
      <c r="Q78" s="429"/>
      <c r="R78" s="421"/>
      <c r="S78" s="472"/>
      <c r="T78" s="466"/>
      <c r="U78" s="466"/>
      <c r="V78" s="466"/>
      <c r="W78" s="466"/>
    </row>
    <row r="79" s="408" customFormat="1" spans="1:23">
      <c r="A79" s="428"/>
      <c r="B79" s="421"/>
      <c r="C79" s="429"/>
      <c r="D79" s="421"/>
      <c r="E79" s="430"/>
      <c r="F79" s="430"/>
      <c r="G79" s="430"/>
      <c r="H79" s="430"/>
      <c r="I79" s="453"/>
      <c r="J79" s="451"/>
      <c r="K79" s="451"/>
      <c r="L79" s="451"/>
      <c r="M79" s="451"/>
      <c r="N79" s="451"/>
      <c r="O79" s="430"/>
      <c r="P79" s="531"/>
      <c r="Q79" s="429"/>
      <c r="R79" s="421"/>
      <c r="S79" s="473"/>
      <c r="T79" s="466"/>
      <c r="U79" s="466"/>
      <c r="V79" s="421"/>
      <c r="W79" s="421"/>
    </row>
    <row r="80" s="408" customFormat="1" spans="1:23">
      <c r="A80" s="428"/>
      <c r="B80" s="421"/>
      <c r="C80" s="429"/>
      <c r="D80" s="421"/>
      <c r="E80" s="430"/>
      <c r="F80" s="430">
        <v>623960.456033333</v>
      </c>
      <c r="G80" s="430">
        <v>675366.255</v>
      </c>
      <c r="H80" s="430">
        <v>656929.13</v>
      </c>
      <c r="I80" s="453">
        <v>-0.0761154389726905</v>
      </c>
      <c r="J80" s="451"/>
      <c r="K80" s="451"/>
      <c r="L80" s="451"/>
      <c r="M80" s="451"/>
      <c r="N80" s="451">
        <f>SUM(N74:N77)</f>
        <v>0</v>
      </c>
      <c r="O80" s="430"/>
      <c r="P80" s="531"/>
      <c r="Q80" s="429"/>
      <c r="R80" s="421"/>
      <c r="S80" s="473"/>
      <c r="T80" s="466"/>
      <c r="U80" s="466"/>
      <c r="V80" s="421"/>
      <c r="W80" s="421"/>
    </row>
    <row r="81" s="408" customFormat="1" spans="1:23">
      <c r="A81" s="428"/>
      <c r="B81" s="421"/>
      <c r="C81" s="429"/>
      <c r="D81" s="421"/>
      <c r="E81" s="430"/>
      <c r="F81" s="430"/>
      <c r="G81" s="430"/>
      <c r="H81" s="430"/>
      <c r="I81" s="453"/>
      <c r="J81" s="451"/>
      <c r="K81" s="451"/>
      <c r="L81" s="451"/>
      <c r="M81" s="451"/>
      <c r="N81" s="451"/>
      <c r="O81" s="430"/>
      <c r="P81" s="531"/>
      <c r="Q81" s="429"/>
      <c r="R81" s="421"/>
      <c r="S81" s="473"/>
      <c r="T81" s="466"/>
      <c r="U81" s="466"/>
      <c r="V81" s="421"/>
      <c r="W81" s="421"/>
    </row>
    <row r="82" s="408" customFormat="1" ht="17.4" spans="1:23">
      <c r="A82" s="418" t="s">
        <v>162</v>
      </c>
      <c r="B82" s="419"/>
      <c r="C82" s="420"/>
      <c r="D82" s="421"/>
      <c r="E82" s="422" t="s">
        <v>202</v>
      </c>
      <c r="F82" s="422"/>
      <c r="G82" s="422"/>
      <c r="H82" s="422"/>
      <c r="I82" s="422"/>
      <c r="J82" s="422"/>
      <c r="K82" s="422"/>
      <c r="L82" s="422"/>
      <c r="M82" s="443"/>
      <c r="N82" s="444"/>
      <c r="O82" s="422"/>
      <c r="P82" s="531"/>
      <c r="Q82" s="465"/>
      <c r="R82" s="424"/>
      <c r="S82" s="473"/>
      <c r="T82" s="467"/>
      <c r="U82" s="467"/>
      <c r="V82" s="467"/>
      <c r="W82" s="467"/>
    </row>
    <row r="83" s="409" customFormat="1" ht="46.8" spans="1:23">
      <c r="A83" s="423" t="s">
        <v>206</v>
      </c>
      <c r="B83" s="424" t="s">
        <v>207</v>
      </c>
      <c r="C83" s="425" t="s">
        <v>208</v>
      </c>
      <c r="D83" s="424" t="s">
        <v>209</v>
      </c>
      <c r="E83" s="426" t="s">
        <v>210</v>
      </c>
      <c r="F83" s="427" t="s">
        <v>432</v>
      </c>
      <c r="G83" s="427" t="s">
        <v>213</v>
      </c>
      <c r="H83" s="427" t="s">
        <v>396</v>
      </c>
      <c r="I83" s="427" t="s">
        <v>386</v>
      </c>
      <c r="J83" s="446" t="s">
        <v>433</v>
      </c>
      <c r="K83" s="446" t="s">
        <v>434</v>
      </c>
      <c r="L83" s="446" t="s">
        <v>435</v>
      </c>
      <c r="M83" s="447" t="s">
        <v>436</v>
      </c>
      <c r="N83" s="448" t="s">
        <v>219</v>
      </c>
      <c r="O83" s="449" t="s">
        <v>220</v>
      </c>
      <c r="P83" s="535" t="s">
        <v>0</v>
      </c>
      <c r="Q83" s="469" t="s">
        <v>222</v>
      </c>
      <c r="R83" s="426" t="s">
        <v>223</v>
      </c>
      <c r="S83" s="470" t="s">
        <v>224</v>
      </c>
      <c r="T83" s="467" t="s">
        <v>225</v>
      </c>
      <c r="U83" s="470" t="s">
        <v>226</v>
      </c>
      <c r="V83" s="467"/>
      <c r="W83" s="467"/>
    </row>
    <row r="84" s="410" customFormat="1" ht="17.4" spans="1:23">
      <c r="A84" s="432" t="s">
        <v>227</v>
      </c>
      <c r="B84" s="432" t="s">
        <v>163</v>
      </c>
      <c r="C84" s="434" t="str">
        <f>VLOOKUP(B84,正厂竞争者数据汇总!D:H,2,FALSE)</f>
        <v>原厂目录</v>
      </c>
      <c r="D84" s="435" t="str">
        <f>VLOOKUP(B84,正厂竞争者数据汇总!D:H,3,FALSE)</f>
        <v>CA</v>
      </c>
      <c r="E84" s="436">
        <f>VLOOKUP(B84,正厂竞争者数据汇总!D:H,4,FALSE)</f>
        <v>0</v>
      </c>
      <c r="F84" s="436">
        <v>227699.2021</v>
      </c>
      <c r="G84" s="436">
        <v>213503.583333333</v>
      </c>
      <c r="H84" s="436">
        <v>235149.083333333</v>
      </c>
      <c r="I84" s="454">
        <v>0.0664889017085211</v>
      </c>
      <c r="J84" s="457">
        <v>0.436433783334042</v>
      </c>
      <c r="K84" s="457">
        <v>0.413692227726469</v>
      </c>
      <c r="L84" s="457">
        <v>0.392160465993053</v>
      </c>
      <c r="M84" s="456">
        <f>J84-K84</f>
        <v>0.022741555607573</v>
      </c>
      <c r="N84" s="457" t="str">
        <f>IFERROR(O84*0.5/$F$84,"")</f>
        <v/>
      </c>
      <c r="O84" s="436" t="s">
        <v>180</v>
      </c>
      <c r="P84" s="531">
        <f t="array" ref="P84">INDEX(正厂竞争者数据汇总!I:I,MATCH($A$82&amp;B84,正厂竞争者数据汇总!A:A&amp;正厂竞争者数据汇总!D:D,0))</f>
        <v>0</v>
      </c>
      <c r="Q84" s="434" t="s">
        <v>284</v>
      </c>
      <c r="R84" s="435" t="s">
        <v>229</v>
      </c>
      <c r="S84" s="476"/>
      <c r="T84" s="477"/>
      <c r="U84" s="477"/>
      <c r="V84" s="435"/>
      <c r="W84" s="435"/>
    </row>
    <row r="85" s="408" customFormat="1" spans="1:23">
      <c r="A85" s="428" t="s">
        <v>230</v>
      </c>
      <c r="B85" t="s">
        <v>285</v>
      </c>
      <c r="C85" s="429" t="str">
        <f>VLOOKUP(B85,正厂竞争者数据汇总!D:H,2,FALSE)</f>
        <v>Motor目录</v>
      </c>
      <c r="D85" s="421" t="str">
        <f>VLOOKUP(B85,正厂竞争者数据汇总!D:H,3,FALSE)</f>
        <v>AZ</v>
      </c>
      <c r="E85" s="430"/>
      <c r="F85" s="430">
        <v>68976.3333333335</v>
      </c>
      <c r="G85" s="430"/>
      <c r="H85" s="430"/>
      <c r="I85" s="450"/>
      <c r="J85" s="451">
        <v>0.132207762871105</v>
      </c>
      <c r="K85" s="451">
        <v>0.154535015787596</v>
      </c>
      <c r="L85" s="451">
        <v>0.178461424237207</v>
      </c>
      <c r="M85" s="452"/>
      <c r="N85" s="451"/>
      <c r="O85" s="430"/>
      <c r="P85" s="531">
        <f t="array" ref="P85">INDEX(正厂竞争者数据汇总!I:I,MATCH($A$82&amp;B85,正厂竞争者数据汇总!A:A&amp;正厂竞争者数据汇总!D:D,0))</f>
        <v>0</v>
      </c>
      <c r="Q85" s="429"/>
      <c r="R85" s="421"/>
      <c r="S85" s="472"/>
      <c r="T85" s="466"/>
      <c r="U85" s="466"/>
      <c r="V85" s="466"/>
      <c r="W85" s="466"/>
    </row>
    <row r="86" s="408" customFormat="1" spans="1:23">
      <c r="A86" s="428" t="s">
        <v>230</v>
      </c>
      <c r="B86" s="421" t="s">
        <v>255</v>
      </c>
      <c r="C86" s="429" t="str">
        <f>VLOOKUP(B86,正厂竞争者数据汇总!D:H,2,FALSE)</f>
        <v>Motor目录</v>
      </c>
      <c r="D86" s="421" t="str">
        <f>VLOOKUP(B86,正厂竞争者数据汇总!D:H,3,FALSE)</f>
        <v>RI</v>
      </c>
      <c r="E86" s="430"/>
      <c r="F86" s="430">
        <v>49104.3300000001</v>
      </c>
      <c r="G86" s="430"/>
      <c r="H86" s="430"/>
      <c r="I86" s="450"/>
      <c r="J86" s="451">
        <v>0.0941188564664862</v>
      </c>
      <c r="K86" s="451">
        <v>0.0797607451956466</v>
      </c>
      <c r="L86" s="451">
        <v>0.0720643841221258</v>
      </c>
      <c r="M86" s="452"/>
      <c r="N86" s="451"/>
      <c r="O86" s="430"/>
      <c r="P86" s="531" t="str">
        <f t="array" ref="P86">INDEX(正厂竞争者数据汇总!I:I,MATCH($A$82&amp;B86,正厂竞争者数据汇总!A:A&amp;正厂竞争者数据汇总!D:D,0))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86" s="429"/>
      <c r="R86" s="421"/>
      <c r="S86" s="472"/>
      <c r="T86" s="466"/>
      <c r="U86" s="466"/>
      <c r="V86" s="466"/>
      <c r="W86" s="466"/>
    </row>
    <row r="87" s="408" customFormat="1" spans="1:23">
      <c r="A87" s="428" t="s">
        <v>243</v>
      </c>
      <c r="B87" s="421" t="s">
        <v>290</v>
      </c>
      <c r="C87" s="429" t="s">
        <v>233</v>
      </c>
      <c r="D87" s="421" t="s">
        <v>291</v>
      </c>
      <c r="E87" s="430"/>
      <c r="F87" s="430">
        <v>35977.4166666667</v>
      </c>
      <c r="G87" s="430"/>
      <c r="H87" s="430"/>
      <c r="I87" s="450"/>
      <c r="J87" s="451">
        <v>0.0689583447179702</v>
      </c>
      <c r="K87" s="451">
        <v>0.0702895154966084</v>
      </c>
      <c r="L87" s="451">
        <v>0.0739403885180843</v>
      </c>
      <c r="M87" s="452"/>
      <c r="N87" s="451"/>
      <c r="O87" s="430"/>
      <c r="P87" s="531" t="str">
        <f t="array" ref="P87">INDEX(正厂竞争者数据汇总!I:I,MATCH($A$82&amp;B87,正厂竞争者数据汇总!A:A&amp;正厂竞争者数据汇总!D:D,0))</f>
        <v>2023年2月新增正厂</v>
      </c>
      <c r="Q87" s="429"/>
      <c r="R87" s="421"/>
      <c r="S87" s="472"/>
      <c r="T87" s="466"/>
      <c r="U87" s="466"/>
      <c r="V87" s="466"/>
      <c r="W87" s="466"/>
    </row>
    <row r="88" s="408" customFormat="1" spans="1:23">
      <c r="A88" s="428" t="s">
        <v>230</v>
      </c>
      <c r="B88" s="421" t="s">
        <v>287</v>
      </c>
      <c r="C88" s="429" t="str">
        <f>VLOOKUP(B88,正厂竞争者数据汇总!D:H,2,FALSE)</f>
        <v>Motor目录</v>
      </c>
      <c r="D88" s="421" t="str">
        <f>VLOOKUP(B88,正厂竞争者数据汇总!D:H,3,FALSE)</f>
        <v>CA</v>
      </c>
      <c r="E88" s="430"/>
      <c r="F88" s="430">
        <v>33497.5833333333</v>
      </c>
      <c r="G88" s="430"/>
      <c r="H88" s="430"/>
      <c r="I88" s="450"/>
      <c r="J88" s="451">
        <v>0.0642052185158447</v>
      </c>
      <c r="K88" s="451">
        <v>0.0580139744972524</v>
      </c>
      <c r="L88" s="451">
        <v>0.0583933510029968</v>
      </c>
      <c r="M88" s="452"/>
      <c r="N88" s="451"/>
      <c r="O88" s="430"/>
      <c r="P88" s="531">
        <f t="array" ref="P88">INDEX(正厂竞争者数据汇总!I:I,MATCH($A$82&amp;B88,正厂竞争者数据汇总!A:A&amp;正厂竞争者数据汇总!D:D,0))</f>
        <v>0</v>
      </c>
      <c r="Q88" s="429"/>
      <c r="R88" s="421"/>
      <c r="S88" s="472"/>
      <c r="T88" s="466"/>
      <c r="U88" s="466"/>
      <c r="V88" s="466"/>
      <c r="W88" s="466"/>
    </row>
    <row r="89" s="408" customFormat="1" spans="1:23">
      <c r="A89" s="428" t="s">
        <v>230</v>
      </c>
      <c r="B89" s="421" t="s">
        <v>292</v>
      </c>
      <c r="C89" s="429" t="str">
        <f>VLOOKUP(B89,正厂竞争者数据汇总!D:H,2,FALSE)</f>
        <v>Motor目录</v>
      </c>
      <c r="D89" s="421" t="str">
        <f>VLOOKUP(B89,正厂竞争者数据汇总!D:H,3,FALSE)</f>
        <v>MA</v>
      </c>
      <c r="E89" s="430"/>
      <c r="F89" s="430">
        <v>33227.3108333333</v>
      </c>
      <c r="G89" s="430"/>
      <c r="H89" s="430"/>
      <c r="I89" s="450"/>
      <c r="J89" s="451">
        <v>0.0636871839833638</v>
      </c>
      <c r="K89" s="451">
        <v>0.0577882744919931</v>
      </c>
      <c r="L89" s="451">
        <v>0.0608288810205151</v>
      </c>
      <c r="M89" s="452"/>
      <c r="N89" s="451"/>
      <c r="O89" s="430"/>
      <c r="P89" s="531" t="str">
        <f t="array" ref="P89">INDEX(正厂竞争者数据汇总!I:I,MATCH($A$82&amp;B89,正厂竞争者数据汇总!A:A&amp;正厂竞争者数据汇总!D:D,0))</f>
        <v>同时经营多品牌，流量折算比例为Ford:23%,GM:23%,Infiniti:0%,Kia:13%,Mopar:31%,Nissan:10%</v>
      </c>
      <c r="Q89" s="429"/>
      <c r="R89" s="421"/>
      <c r="S89" s="472"/>
      <c r="T89" s="466"/>
      <c r="U89" s="466"/>
      <c r="V89" s="466"/>
      <c r="W89" s="466"/>
    </row>
    <row r="90" s="408" customFormat="1" spans="1:23">
      <c r="A90" s="428" t="s">
        <v>230</v>
      </c>
      <c r="B90" s="421" t="s">
        <v>288</v>
      </c>
      <c r="C90" s="429" t="str">
        <f>VLOOKUP(B90,正厂竞争者数据汇总!D:H,2,FALSE)</f>
        <v>原厂目录</v>
      </c>
      <c r="D90" s="421" t="str">
        <f>VLOOKUP(B90,正厂竞争者数据汇总!D:H,3,FALSE)</f>
        <v>CT</v>
      </c>
      <c r="E90" s="430"/>
      <c r="F90" s="430">
        <v>24837.1088333333</v>
      </c>
      <c r="G90" s="430"/>
      <c r="H90" s="430"/>
      <c r="I90" s="450"/>
      <c r="J90" s="451">
        <v>0.0476055834857535</v>
      </c>
      <c r="K90" s="451">
        <v>0.0566681411483032</v>
      </c>
      <c r="L90" s="451">
        <v>0.0561270722617686</v>
      </c>
      <c r="M90" s="452"/>
      <c r="N90" s="451"/>
      <c r="O90" s="430"/>
      <c r="P90" s="531" t="str">
        <f t="array" ref="P90">INDEX(正厂竞争者数据汇总!I:I,MATCH($A$82&amp;B90,正厂竞争者数据汇总!A:A&amp;正厂竞争者数据汇总!D:D,0))</f>
        <v>2022年1月 新加入 CompetitorSites
2022年1月 新加入 MarketingShare</v>
      </c>
      <c r="Q90" s="429"/>
      <c r="R90" s="421"/>
      <c r="S90" s="472"/>
      <c r="T90" s="466"/>
      <c r="U90" s="466"/>
      <c r="V90" s="466"/>
      <c r="W90" s="466"/>
    </row>
    <row r="91" s="408" customFormat="1" spans="1:23">
      <c r="A91" s="428" t="s">
        <v>230</v>
      </c>
      <c r="B91" s="421" t="s">
        <v>286</v>
      </c>
      <c r="C91" s="429" t="str">
        <f>VLOOKUP(B91,正厂竞争者数据汇总!D:H,2,FALSE)</f>
        <v>Motor目录</v>
      </c>
      <c r="D91" s="421" t="str">
        <f>VLOOKUP(B91,正厂竞争者数据汇总!D:H,3,FALSE)</f>
        <v>-</v>
      </c>
      <c r="E91" s="430"/>
      <c r="F91" s="430">
        <v>24772.93365</v>
      </c>
      <c r="G91" s="430"/>
      <c r="H91" s="430"/>
      <c r="I91" s="450"/>
      <c r="J91" s="451">
        <v>0.0474825781444962</v>
      </c>
      <c r="K91" s="451">
        <v>0.063338548934122</v>
      </c>
      <c r="L91" s="451">
        <v>0.050158612968636</v>
      </c>
      <c r="M91" s="452"/>
      <c r="N91" s="451"/>
      <c r="O91" s="430"/>
      <c r="P91" s="531" t="str">
        <f t="array" ref="P91">INDEX(正厂竞争者数据汇总!I:I,MATCH($A$82&amp;B91,正厂竞争者数据汇总!A:A&amp;正厂竞争者数据汇总!D:D,0))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91" s="429"/>
      <c r="R91" s="421"/>
      <c r="S91" s="472"/>
      <c r="T91" s="466"/>
      <c r="U91" s="466"/>
      <c r="V91" s="466"/>
      <c r="W91" s="466"/>
    </row>
    <row r="92" s="408" customFormat="1" spans="1:23">
      <c r="A92" s="428" t="s">
        <v>230</v>
      </c>
      <c r="B92" s="421" t="s">
        <v>289</v>
      </c>
      <c r="C92" s="429" t="str">
        <f>VLOOKUP(B92,正厂竞争者数据汇总!D:H,2,FALSE)</f>
        <v>Motor目录</v>
      </c>
      <c r="D92" s="421" t="str">
        <f>VLOOKUP(B92,正厂竞争者数据汇总!D:H,3,FALSE)</f>
        <v>WA</v>
      </c>
      <c r="E92" s="430"/>
      <c r="F92" s="430">
        <v>23634.5833333333</v>
      </c>
      <c r="G92" s="430"/>
      <c r="H92" s="430"/>
      <c r="I92" s="450"/>
      <c r="J92" s="451">
        <v>0.0453006884809384</v>
      </c>
      <c r="K92" s="451">
        <v>0.0459135567220096</v>
      </c>
      <c r="L92" s="451">
        <v>0.0406727562144767</v>
      </c>
      <c r="M92" s="452"/>
      <c r="N92" s="451"/>
      <c r="O92" s="430"/>
      <c r="P92" s="531" t="str">
        <f t="array" ref="P92">INDEX(正厂竞争者数据汇总!I:I,MATCH($A$82&amp;B92,正厂竞争者数据汇总!A:A&amp;正厂竞争者数据汇总!D:D,0))</f>
        <v>2021年11月重开
2021年10月临时关站
2020年10月从PartSites变成Revolution，加入MarketingShare</v>
      </c>
      <c r="Q92" s="429"/>
      <c r="R92" s="421"/>
      <c r="S92" s="472"/>
      <c r="T92" s="466"/>
      <c r="U92" s="466"/>
      <c r="V92" s="466"/>
      <c r="W92" s="466"/>
    </row>
    <row r="93" s="408" customFormat="1" spans="1:23">
      <c r="A93" s="428"/>
      <c r="B93" s="421"/>
      <c r="C93" s="439"/>
      <c r="D93" s="421"/>
      <c r="E93" s="421"/>
      <c r="F93" s="430"/>
      <c r="G93" s="430"/>
      <c r="H93" s="430"/>
      <c r="I93" s="453"/>
      <c r="J93" s="430"/>
      <c r="K93" s="430"/>
      <c r="L93" s="430"/>
      <c r="M93" s="451"/>
      <c r="N93" s="451"/>
      <c r="O93" s="430"/>
      <c r="P93" s="531"/>
      <c r="Q93" s="429"/>
      <c r="R93" s="421"/>
      <c r="S93" s="473"/>
      <c r="T93" s="466"/>
      <c r="U93" s="466"/>
      <c r="V93" s="421"/>
      <c r="W93" s="421"/>
    </row>
    <row r="94" s="408" customFormat="1" spans="1:23">
      <c r="A94" s="428"/>
      <c r="B94" s="421"/>
      <c r="C94" s="439"/>
      <c r="D94" s="421"/>
      <c r="E94" s="421"/>
      <c r="F94" s="430">
        <v>521726.802083333</v>
      </c>
      <c r="G94" s="430">
        <v>445410.310833333</v>
      </c>
      <c r="H94" s="430">
        <v>428652.916666666</v>
      </c>
      <c r="I94" s="453">
        <v>0.17133974987516</v>
      </c>
      <c r="J94" s="430"/>
      <c r="K94" s="430"/>
      <c r="L94" s="430"/>
      <c r="M94" s="451"/>
      <c r="N94" s="451">
        <f>SUM(N84:N85)</f>
        <v>0</v>
      </c>
      <c r="O94" s="430"/>
      <c r="P94" s="531"/>
      <c r="Q94" s="429"/>
      <c r="R94" s="421"/>
      <c r="S94" s="473"/>
      <c r="T94" s="466"/>
      <c r="U94" s="466"/>
      <c r="V94" s="421"/>
      <c r="W94" s="421"/>
    </row>
    <row r="95" s="408" customFormat="1" spans="1:23">
      <c r="A95" s="428"/>
      <c r="B95" s="421"/>
      <c r="C95" s="485"/>
      <c r="D95" s="421"/>
      <c r="E95" s="430"/>
      <c r="F95" s="451"/>
      <c r="G95" s="451"/>
      <c r="H95" s="451"/>
      <c r="I95" s="453"/>
      <c r="J95" s="451"/>
      <c r="K95" s="451"/>
      <c r="L95" s="451"/>
      <c r="M95" s="451"/>
      <c r="N95" s="451"/>
      <c r="O95" s="451"/>
      <c r="P95" s="531"/>
      <c r="Q95" s="429"/>
      <c r="R95" s="421"/>
      <c r="S95" s="473"/>
      <c r="T95" s="466"/>
      <c r="U95" s="466"/>
      <c r="V95" s="421"/>
      <c r="W95" s="421"/>
    </row>
    <row r="96" s="408" customFormat="1" ht="17.4" spans="1:23">
      <c r="A96" s="418" t="s">
        <v>174</v>
      </c>
      <c r="B96" s="419"/>
      <c r="C96" s="420"/>
      <c r="D96" s="421"/>
      <c r="E96" s="422" t="s">
        <v>202</v>
      </c>
      <c r="F96" s="422"/>
      <c r="G96" s="422"/>
      <c r="H96" s="422"/>
      <c r="I96" s="422"/>
      <c r="J96" s="422"/>
      <c r="K96" s="422"/>
      <c r="L96" s="422"/>
      <c r="M96" s="443"/>
      <c r="N96" s="444"/>
      <c r="O96" s="422"/>
      <c r="P96" s="531"/>
      <c r="Q96" s="465"/>
      <c r="R96" s="424"/>
      <c r="S96" s="473"/>
      <c r="T96" s="467"/>
      <c r="U96" s="467"/>
      <c r="V96" s="467"/>
      <c r="W96" s="467"/>
    </row>
    <row r="97" s="409" customFormat="1" ht="46.8" spans="1:23">
      <c r="A97" s="423" t="s">
        <v>206</v>
      </c>
      <c r="B97" s="424" t="s">
        <v>207</v>
      </c>
      <c r="C97" s="425" t="s">
        <v>208</v>
      </c>
      <c r="D97" s="424" t="s">
        <v>209</v>
      </c>
      <c r="E97" s="426" t="s">
        <v>210</v>
      </c>
      <c r="F97" s="427" t="s">
        <v>432</v>
      </c>
      <c r="G97" s="427" t="s">
        <v>213</v>
      </c>
      <c r="H97" s="427" t="s">
        <v>396</v>
      </c>
      <c r="I97" s="427" t="s">
        <v>386</v>
      </c>
      <c r="J97" s="446" t="s">
        <v>433</v>
      </c>
      <c r="K97" s="446" t="s">
        <v>434</v>
      </c>
      <c r="L97" s="446" t="s">
        <v>435</v>
      </c>
      <c r="M97" s="447" t="s">
        <v>436</v>
      </c>
      <c r="N97" s="448" t="s">
        <v>219</v>
      </c>
      <c r="O97" s="449" t="s">
        <v>220</v>
      </c>
      <c r="P97" s="535" t="s">
        <v>0</v>
      </c>
      <c r="Q97" s="469" t="s">
        <v>222</v>
      </c>
      <c r="R97" s="426" t="s">
        <v>223</v>
      </c>
      <c r="S97" s="470" t="s">
        <v>224</v>
      </c>
      <c r="T97" s="467" t="s">
        <v>225</v>
      </c>
      <c r="U97" s="470" t="s">
        <v>226</v>
      </c>
      <c r="V97" s="467"/>
      <c r="W97" s="467"/>
    </row>
    <row r="98" s="410" customFormat="1" ht="17.4" spans="1:23">
      <c r="A98" s="435" t="s">
        <v>227</v>
      </c>
      <c r="B98" s="435" t="s">
        <v>175</v>
      </c>
      <c r="C98" s="435" t="str">
        <f>VLOOKUP(B98,正厂竞争者数据汇总!D:H,2,FALSE)</f>
        <v>原厂目录</v>
      </c>
      <c r="D98" s="435" t="str">
        <f>VLOOKUP(B98,正厂竞争者数据汇总!D:H,3,FALSE)</f>
        <v>CA</v>
      </c>
      <c r="E98" s="436">
        <f>VLOOKUP(B98,正厂竞争者数据汇总!D:H,4,FALSE)</f>
        <v>325311</v>
      </c>
      <c r="F98" s="436">
        <v>223330</v>
      </c>
      <c r="G98" s="436">
        <v>223330</v>
      </c>
      <c r="H98" s="436">
        <v>223330</v>
      </c>
      <c r="I98" s="436">
        <v>223330</v>
      </c>
      <c r="J98" s="457">
        <v>0.428674633804099</v>
      </c>
      <c r="K98" s="457">
        <v>0.427185743931387</v>
      </c>
      <c r="L98" s="457">
        <v>0.431796981188069</v>
      </c>
      <c r="M98" s="456">
        <f>J98-K98</f>
        <v>0.00148888987271201</v>
      </c>
      <c r="N98" s="457" t="str">
        <f>IFERROR(O98*0.5/$F$98,"")</f>
        <v/>
      </c>
      <c r="O98" s="436" t="s">
        <v>180</v>
      </c>
      <c r="P98" s="531">
        <f t="array" ref="P98">INDEX(正厂竞争者数据汇总!I:I,MATCH($A$96&amp;B98,正厂竞争者数据汇总!A:A&amp;正厂竞争者数据汇总!D:D,0))</f>
        <v>0</v>
      </c>
      <c r="Q98" s="434" t="s">
        <v>318</v>
      </c>
      <c r="R98" s="435" t="s">
        <v>229</v>
      </c>
      <c r="S98" s="476"/>
      <c r="T98" s="477"/>
      <c r="U98" s="477"/>
      <c r="V98" s="435"/>
      <c r="W98" s="435"/>
    </row>
    <row r="99" s="408" customFormat="1" spans="1:23">
      <c r="A99" s="428" t="s">
        <v>230</v>
      </c>
      <c r="B99" s="421" t="s">
        <v>320</v>
      </c>
      <c r="C99" s="429" t="str">
        <f>VLOOKUP(B99,正厂竞争者数据汇总!D:H,2,FALSE)</f>
        <v>原厂目录</v>
      </c>
      <c r="D99" s="421" t="str">
        <f>VLOOKUP(B99,正厂竞争者数据汇总!D:H,3,FALSE)</f>
        <v>AZ</v>
      </c>
      <c r="E99" s="430"/>
      <c r="F99" s="430">
        <v>86171.3333333333</v>
      </c>
      <c r="G99" s="430"/>
      <c r="H99" s="430"/>
      <c r="I99" s="450"/>
      <c r="J99" s="451">
        <v>0.165403057184783</v>
      </c>
      <c r="K99" s="451">
        <v>0.187556447176356</v>
      </c>
      <c r="L99" s="451">
        <v>0.169535395242295</v>
      </c>
      <c r="M99" s="452"/>
      <c r="N99" s="451"/>
      <c r="O99" s="430"/>
      <c r="P99" s="531">
        <f t="array" ref="P99">INDEX(正厂竞争者数据汇总!I:I,MATCH($A$96&amp;B99,正厂竞争者数据汇总!A:A&amp;正厂竞争者数据汇总!D:D,0))</f>
        <v>0</v>
      </c>
      <c r="Q99" s="429"/>
      <c r="R99" s="421"/>
      <c r="S99" s="472"/>
      <c r="T99" s="466"/>
      <c r="U99" s="466"/>
      <c r="V99" s="466"/>
      <c r="W99" s="466"/>
    </row>
    <row r="100" s="408" customFormat="1" spans="1:23">
      <c r="A100" s="428" t="s">
        <v>230</v>
      </c>
      <c r="B100" s="421" t="s">
        <v>319</v>
      </c>
      <c r="C100" s="429" t="str">
        <f>VLOOKUP(B100,正厂竞争者数据汇总!D:H,2,FALSE)</f>
        <v>Motor目录</v>
      </c>
      <c r="D100" s="421" t="str">
        <f>VLOOKUP(B100,正厂竞争者数据汇总!D:H,3,FALSE)</f>
        <v>-</v>
      </c>
      <c r="E100" s="430"/>
      <c r="F100" s="430">
        <v>80496.9621666666</v>
      </c>
      <c r="G100" s="430"/>
      <c r="H100" s="430"/>
      <c r="I100" s="450"/>
      <c r="J100" s="451">
        <v>0.154511287239234</v>
      </c>
      <c r="K100" s="451">
        <v>0.134497905835578</v>
      </c>
      <c r="L100" s="451">
        <v>0.150578726704467</v>
      </c>
      <c r="M100" s="452"/>
      <c r="N100" s="451"/>
      <c r="O100" s="430"/>
      <c r="P100" s="531" t="str">
        <f t="array" ref="P100">INDEX(正厂竞争者数据汇总!I:I,MATCH($A$96&amp;B100,正厂竞争者数据汇总!A:A&amp;正厂竞争者数据汇总!D:D,0))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00" s="429"/>
      <c r="R100" s="421"/>
      <c r="S100" s="472"/>
      <c r="T100" s="466"/>
      <c r="U100" s="466"/>
      <c r="V100" s="466"/>
      <c r="W100" s="466"/>
    </row>
    <row r="101" s="408" customFormat="1" spans="1:23">
      <c r="A101" s="428" t="s">
        <v>230</v>
      </c>
      <c r="B101" s="421" t="s">
        <v>321</v>
      </c>
      <c r="C101" s="429" t="str">
        <f>VLOOKUP(B101,正厂竞争者数据汇总!D:H,2,FALSE)</f>
        <v>原厂目录</v>
      </c>
      <c r="D101" s="421" t="str">
        <f>VLOOKUP(B101,正厂竞争者数据汇总!D:H,3,FALSE)</f>
        <v>CO</v>
      </c>
      <c r="E101" s="430"/>
      <c r="F101" s="430">
        <v>43716.23</v>
      </c>
      <c r="G101" s="430"/>
      <c r="H101" s="430"/>
      <c r="I101" s="450"/>
      <c r="J101" s="451">
        <v>0.08391187429609</v>
      </c>
      <c r="K101" s="451">
        <v>0.082234386177858</v>
      </c>
      <c r="L101" s="451">
        <v>0.0693760760724627</v>
      </c>
      <c r="M101" s="452"/>
      <c r="N101" s="451"/>
      <c r="O101" s="430"/>
      <c r="P101" s="531" t="str">
        <f t="array" ref="P101">INDEX(正厂竞争者数据汇总!I:I,MATCH($A$96&amp;B101,正厂竞争者数据汇总!A:A&amp;正厂竞争者数据汇总!D:D,0))</f>
        <v>同时经营honda/acura，折算比例：acura75%，honda25%</v>
      </c>
      <c r="Q101" s="429"/>
      <c r="R101" s="421"/>
      <c r="S101" s="472"/>
      <c r="T101" s="466"/>
      <c r="U101" s="466"/>
      <c r="V101" s="466"/>
      <c r="W101" s="466"/>
    </row>
    <row r="102" s="408" customFormat="1" spans="1:23">
      <c r="A102" s="428" t="s">
        <v>230</v>
      </c>
      <c r="B102" s="421" t="s">
        <v>323</v>
      </c>
      <c r="C102" s="429" t="str">
        <f>VLOOKUP(B102,正厂竞争者数据汇总!D:H,2,FALSE)</f>
        <v>原厂目录</v>
      </c>
      <c r="D102" s="421" t="str">
        <f>VLOOKUP(B102,正厂竞争者数据汇总!D:H,3,FALSE)</f>
        <v>NJ</v>
      </c>
      <c r="E102" s="430"/>
      <c r="F102" s="430">
        <v>38524.75</v>
      </c>
      <c r="G102" s="430"/>
      <c r="H102" s="430"/>
      <c r="I102" s="450"/>
      <c r="J102" s="451">
        <v>0.0739469981580821</v>
      </c>
      <c r="K102" s="451">
        <v>0.087699301873569</v>
      </c>
      <c r="L102" s="451">
        <v>0.078562085697388</v>
      </c>
      <c r="M102" s="452"/>
      <c r="N102" s="451"/>
      <c r="O102" s="430"/>
      <c r="P102" s="531" t="str">
        <f t="array" ref="P102">INDEX(正厂竞争者数据汇总!I:I,MATCH($A$96&amp;B102,正厂竞争者数据汇总!A:A&amp;正厂竞争者数据汇总!D:D,0))</f>
        <v>2022年1月 新加入 CompetitorSites
2022年1月 新加入 MarketingShare</v>
      </c>
      <c r="Q102" s="429"/>
      <c r="R102" s="421"/>
      <c r="S102" s="472"/>
      <c r="T102" s="466"/>
      <c r="U102" s="466"/>
      <c r="V102" s="466"/>
      <c r="W102" s="466"/>
    </row>
    <row r="103" s="408" customFormat="1" spans="1:23">
      <c r="A103" s="428" t="s">
        <v>238</v>
      </c>
      <c r="B103" s="421" t="s">
        <v>322</v>
      </c>
      <c r="C103" s="429" t="str">
        <f>VLOOKUP(B103,正厂竞争者数据汇总!D:H,2,FALSE)</f>
        <v>原厂目录</v>
      </c>
      <c r="D103" s="421" t="str">
        <f>VLOOKUP(B103,正厂竞争者数据汇总!D:H,3,FALSE)</f>
        <v>MA</v>
      </c>
      <c r="E103" s="430"/>
      <c r="F103" s="430">
        <v>30617</v>
      </c>
      <c r="G103" s="430"/>
      <c r="H103" s="430"/>
      <c r="I103" s="450"/>
      <c r="J103" s="451">
        <v>0.0587683305564864</v>
      </c>
      <c r="K103" s="451">
        <v>0.0494794854519541</v>
      </c>
      <c r="L103" s="451">
        <v>0.0706501272543582</v>
      </c>
      <c r="M103" s="452"/>
      <c r="N103" s="451"/>
      <c r="O103" s="430"/>
      <c r="P103" s="531">
        <f t="array" ref="P103">INDEX(正厂竞争者数据汇总!I:I,MATCH($A$96&amp;B103,正厂竞争者数据汇总!A:A&amp;正厂竞争者数据汇总!D:D,0))</f>
        <v>0</v>
      </c>
      <c r="Q103" s="429"/>
      <c r="R103" s="421"/>
      <c r="S103" s="472"/>
      <c r="T103" s="466"/>
      <c r="U103" s="466"/>
      <c r="V103" s="466"/>
      <c r="W103" s="466"/>
    </row>
    <row r="104" s="408" customFormat="1" spans="1:23">
      <c r="A104" s="428" t="s">
        <v>230</v>
      </c>
      <c r="B104" s="421" t="s">
        <v>439</v>
      </c>
      <c r="C104" s="429" t="str">
        <f>VLOOKUP(B104,正厂竞争者数据汇总!D:H,2,FALSE)</f>
        <v>原厂目录</v>
      </c>
      <c r="D104" s="421" t="str">
        <f>VLOOKUP(B104,正厂竞争者数据汇总!D:H,3,FALSE)</f>
        <v>IN</v>
      </c>
      <c r="E104" s="430"/>
      <c r="F104" s="430">
        <v>18121.6</v>
      </c>
      <c r="G104" s="430"/>
      <c r="H104" s="430"/>
      <c r="I104" s="450"/>
      <c r="J104" s="451">
        <v>0.0347838187612249</v>
      </c>
      <c r="K104" s="451">
        <v>0.0313467295532977</v>
      </c>
      <c r="L104" s="451">
        <v>0.0295006078409602</v>
      </c>
      <c r="M104" s="452"/>
      <c r="N104" s="451"/>
      <c r="O104" s="430"/>
      <c r="P104" s="531" t="str">
        <f t="array" ref="P104">INDEX(正厂竞争者数据汇总!I:I,MATCH($A$96&amp;B104,正厂竞争者数据汇总!A:A&amp;正厂竞争者数据汇总!D:D,0))</f>
        <v>同时经营honda/acura，折算比例：acura:80%,honda:20%</v>
      </c>
      <c r="Q104" s="429"/>
      <c r="R104" s="421"/>
      <c r="S104" s="472"/>
      <c r="T104" s="466"/>
      <c r="U104" s="466"/>
      <c r="V104" s="466"/>
      <c r="W104" s="466"/>
    </row>
    <row r="105" s="408" customFormat="1" spans="1:23">
      <c r="A105" s="428"/>
      <c r="B105" s="438"/>
      <c r="C105" s="429"/>
      <c r="D105" s="421"/>
      <c r="E105" s="430"/>
      <c r="F105" s="486"/>
      <c r="G105" s="486">
        <v>409170.916666667</v>
      </c>
      <c r="H105" s="486"/>
      <c r="I105" s="453"/>
      <c r="J105" s="451"/>
      <c r="K105" s="430"/>
      <c r="L105" s="430"/>
      <c r="M105" s="451"/>
      <c r="N105" s="451"/>
      <c r="O105" s="430"/>
      <c r="P105" s="531"/>
      <c r="Q105" s="429"/>
      <c r="R105" s="421"/>
      <c r="S105" s="473"/>
      <c r="T105" s="466"/>
      <c r="U105" s="466"/>
      <c r="V105" s="421"/>
      <c r="W105" s="421"/>
    </row>
    <row r="106" s="408" customFormat="1" spans="1:23">
      <c r="A106" s="428"/>
      <c r="B106" s="421"/>
      <c r="C106" s="439"/>
      <c r="D106" s="421"/>
      <c r="E106" s="421"/>
      <c r="F106" s="430">
        <v>520977.8755</v>
      </c>
      <c r="G106" s="430"/>
      <c r="H106" s="430">
        <v>444921.666666667</v>
      </c>
      <c r="I106" s="453" t="e">
        <v>#DIV/0!</v>
      </c>
      <c r="J106" s="430"/>
      <c r="K106" s="430"/>
      <c r="L106" s="430"/>
      <c r="M106" s="451"/>
      <c r="N106" s="451">
        <f>SUM(N98:N105)</f>
        <v>0</v>
      </c>
      <c r="O106" s="430"/>
      <c r="P106" s="531"/>
      <c r="Q106" s="429" t="s">
        <v>180</v>
      </c>
      <c r="R106" s="421" t="s">
        <v>180</v>
      </c>
      <c r="S106" s="473"/>
      <c r="T106" s="466"/>
      <c r="U106" s="466"/>
      <c r="V106" s="421"/>
      <c r="W106" s="421"/>
    </row>
    <row r="107" s="408" customFormat="1" spans="1:23">
      <c r="A107" s="428"/>
      <c r="B107" s="421"/>
      <c r="C107" s="439"/>
      <c r="D107" s="421"/>
      <c r="E107" s="430"/>
      <c r="F107" s="430"/>
      <c r="G107" s="430"/>
      <c r="H107" s="430"/>
      <c r="I107" s="453"/>
      <c r="J107" s="430"/>
      <c r="K107" s="430"/>
      <c r="L107" s="430"/>
      <c r="M107" s="451"/>
      <c r="N107" s="459"/>
      <c r="O107" s="430"/>
      <c r="P107" s="531"/>
      <c r="Q107" s="429"/>
      <c r="R107" s="421" t="s">
        <v>180</v>
      </c>
      <c r="S107" s="473"/>
      <c r="T107" s="466"/>
      <c r="U107" s="466"/>
      <c r="V107" s="421"/>
      <c r="W107" s="421"/>
    </row>
    <row r="108" s="408" customFormat="1" ht="17.4" spans="1:23">
      <c r="A108" s="418" t="s">
        <v>165</v>
      </c>
      <c r="B108" s="419"/>
      <c r="C108" s="420"/>
      <c r="D108" s="421"/>
      <c r="E108" s="422" t="s">
        <v>202</v>
      </c>
      <c r="F108" s="422"/>
      <c r="G108" s="422"/>
      <c r="H108" s="422"/>
      <c r="I108" s="422"/>
      <c r="J108" s="422"/>
      <c r="K108" s="422"/>
      <c r="L108" s="422"/>
      <c r="M108" s="443"/>
      <c r="N108" s="444"/>
      <c r="O108" s="422"/>
      <c r="P108" s="531"/>
      <c r="Q108" s="465"/>
      <c r="R108" s="424"/>
      <c r="S108" s="473"/>
      <c r="T108" s="467"/>
      <c r="U108" s="467"/>
      <c r="V108" s="467"/>
      <c r="W108" s="467"/>
    </row>
    <row r="109" s="409" customFormat="1" ht="46.8" spans="1:23">
      <c r="A109" s="423" t="s">
        <v>206</v>
      </c>
      <c r="B109" s="424" t="s">
        <v>207</v>
      </c>
      <c r="C109" s="425" t="s">
        <v>208</v>
      </c>
      <c r="D109" s="424" t="s">
        <v>209</v>
      </c>
      <c r="E109" s="426" t="s">
        <v>210</v>
      </c>
      <c r="F109" s="427" t="s">
        <v>432</v>
      </c>
      <c r="G109" s="427" t="s">
        <v>213</v>
      </c>
      <c r="H109" s="427" t="s">
        <v>396</v>
      </c>
      <c r="I109" s="427" t="s">
        <v>386</v>
      </c>
      <c r="J109" s="446" t="s">
        <v>433</v>
      </c>
      <c r="K109" s="446" t="s">
        <v>434</v>
      </c>
      <c r="L109" s="446" t="s">
        <v>435</v>
      </c>
      <c r="M109" s="447" t="s">
        <v>436</v>
      </c>
      <c r="N109" s="448" t="s">
        <v>219</v>
      </c>
      <c r="O109" s="449" t="s">
        <v>220</v>
      </c>
      <c r="P109" s="535" t="s">
        <v>0</v>
      </c>
      <c r="Q109" s="469" t="s">
        <v>222</v>
      </c>
      <c r="R109" s="426" t="s">
        <v>223</v>
      </c>
      <c r="S109" s="470" t="s">
        <v>224</v>
      </c>
      <c r="T109" s="467" t="s">
        <v>225</v>
      </c>
      <c r="U109" s="470" t="s">
        <v>226</v>
      </c>
      <c r="V109" s="467"/>
      <c r="W109" s="467"/>
    </row>
    <row r="110" s="408" customFormat="1" spans="1:23">
      <c r="A110" s="428" t="s">
        <v>230</v>
      </c>
      <c r="B110" s="421" t="s">
        <v>293</v>
      </c>
      <c r="C110" s="429" t="str">
        <f>VLOOKUP(B110,正厂竞争者数据汇总!D:H,2,FALSE)</f>
        <v>Motor目录</v>
      </c>
      <c r="D110" s="421" t="str">
        <f>VLOOKUP(B110,正厂竞争者数据汇总!D:H,3,FALSE)</f>
        <v>WA</v>
      </c>
      <c r="E110" s="430"/>
      <c r="F110" s="430">
        <v>184847.333333333</v>
      </c>
      <c r="G110" s="430"/>
      <c r="H110" s="430"/>
      <c r="I110" s="450"/>
      <c r="J110" s="451">
        <v>0.369973108810663</v>
      </c>
      <c r="K110" s="451">
        <v>0.331737367816057</v>
      </c>
      <c r="L110" s="451">
        <v>0.368371415076681</v>
      </c>
      <c r="M110" s="452"/>
      <c r="N110" s="451"/>
      <c r="O110" s="430"/>
      <c r="P110" s="531">
        <f t="array" ref="P110">INDEX(正厂竞争者数据汇总!I:I,MATCH($A$108&amp;B110,正厂竞争者数据汇总!A:A&amp;正厂竞争者数据汇总!D:D,0))</f>
        <v>0</v>
      </c>
      <c r="Q110" s="429"/>
      <c r="R110" s="421"/>
      <c r="S110" s="472"/>
      <c r="T110" s="466"/>
      <c r="U110" s="466"/>
      <c r="V110" s="466"/>
      <c r="W110" s="466"/>
    </row>
    <row r="111" s="410" customFormat="1" spans="1:23">
      <c r="A111" s="432" t="s">
        <v>227</v>
      </c>
      <c r="B111" s="432" t="s">
        <v>166</v>
      </c>
      <c r="C111" s="505" t="str">
        <f>VLOOKUP(B111,正厂竞争者数据汇总!D:H,2,FALSE)</f>
        <v>原厂目录</v>
      </c>
      <c r="D111" s="435" t="str">
        <f>VLOOKUP(B111,正厂竞争者数据汇总!D:H,3,FALSE)</f>
        <v>AZ</v>
      </c>
      <c r="E111" s="462"/>
      <c r="F111" s="436">
        <v>167869.583333333</v>
      </c>
      <c r="G111" s="462"/>
      <c r="H111" s="462"/>
      <c r="I111" s="510"/>
      <c r="J111" s="461">
        <v>0.335992034619113</v>
      </c>
      <c r="K111" s="457">
        <v>0.311430142358195</v>
      </c>
      <c r="L111" s="457">
        <v>0.246207197148092</v>
      </c>
      <c r="M111" s="461"/>
      <c r="N111" s="461"/>
      <c r="O111" s="462"/>
      <c r="P111" s="531">
        <f t="array" ref="P111">INDEX(正厂竞争者数据汇总!I:I,MATCH($A$108&amp;B111,正厂竞争者数据汇总!A:A&amp;正厂竞争者数据汇总!D:D,0))</f>
        <v>0</v>
      </c>
      <c r="Q111" s="434"/>
      <c r="R111" s="435"/>
      <c r="S111" s="476"/>
      <c r="T111" s="477"/>
      <c r="U111" s="477"/>
      <c r="V111" s="435"/>
      <c r="W111" s="435"/>
    </row>
    <row r="112" s="408" customFormat="1" spans="1:23">
      <c r="A112" s="428" t="s">
        <v>243</v>
      </c>
      <c r="B112" s="421" t="s">
        <v>298</v>
      </c>
      <c r="C112" s="429" t="str">
        <f>VLOOKUP(B112,正厂竞争者数据汇总!D:H,2,FALSE)</f>
        <v>原厂目录</v>
      </c>
      <c r="D112" s="421" t="str">
        <f>VLOOKUP(B112,正厂竞争者数据汇总!D:H,3,FALSE)</f>
        <v>IL</v>
      </c>
      <c r="E112" s="430"/>
      <c r="F112" s="430">
        <v>44437.5</v>
      </c>
      <c r="G112" s="430"/>
      <c r="H112" s="430"/>
      <c r="I112" s="450"/>
      <c r="J112" s="451">
        <v>0.0889419377942908</v>
      </c>
      <c r="K112" s="451">
        <v>0.0955436546122065</v>
      </c>
      <c r="L112" s="451">
        <v>0.092972067597983</v>
      </c>
      <c r="M112" s="452"/>
      <c r="N112" s="451"/>
      <c r="O112" s="430"/>
      <c r="P112" s="531">
        <f t="array" ref="P112">INDEX(正厂竞争者数据汇总!I:I,MATCH($A$108&amp;B112,正厂竞争者数据汇总!A:A&amp;正厂竞争者数据汇总!D:D,0))</f>
        <v>0</v>
      </c>
      <c r="Q112" s="429"/>
      <c r="R112" s="421"/>
      <c r="S112" s="472"/>
      <c r="T112" s="466"/>
      <c r="U112" s="466"/>
      <c r="V112" s="466"/>
      <c r="W112" s="466"/>
    </row>
    <row r="113" s="408" customFormat="1" spans="1:23">
      <c r="A113" s="428" t="s">
        <v>230</v>
      </c>
      <c r="B113" s="421" t="s">
        <v>294</v>
      </c>
      <c r="C113" s="429" t="str">
        <f>VLOOKUP(B113,正厂竞争者数据汇总!D:H,2,FALSE)</f>
        <v>Motor目录</v>
      </c>
      <c r="D113" s="421" t="str">
        <f>VLOOKUP(B113,正厂竞争者数据汇总!D:H,3,FALSE)</f>
        <v>MA</v>
      </c>
      <c r="E113" s="430"/>
      <c r="F113" s="430">
        <v>33435.6745166667</v>
      </c>
      <c r="G113" s="430"/>
      <c r="H113" s="430"/>
      <c r="I113" s="450"/>
      <c r="J113" s="451">
        <v>0.0669217143847319</v>
      </c>
      <c r="K113" s="451">
        <v>0.0673658491751346</v>
      </c>
      <c r="L113" s="451">
        <v>0.0717524550214527</v>
      </c>
      <c r="M113" s="452"/>
      <c r="N113" s="451"/>
      <c r="O113" s="430"/>
      <c r="P113" s="531" t="str">
        <f t="array" ref="P113">INDEX(正厂竞争者数据汇总!I:I,MATCH($A$108&amp;B113,正厂竞争者数据汇总!A:A&amp;正厂竞争者数据汇总!D:D,0))</f>
        <v>2022年1月 新加入 CompetitorSites</v>
      </c>
      <c r="Q113" s="429"/>
      <c r="R113" s="421"/>
      <c r="S113" s="472"/>
      <c r="T113" s="466"/>
      <c r="U113" s="466"/>
      <c r="V113" s="466"/>
      <c r="W113" s="466"/>
    </row>
    <row r="114" s="408" customFormat="1" spans="1:23">
      <c r="A114" s="428" t="s">
        <v>230</v>
      </c>
      <c r="B114" s="421" t="s">
        <v>295</v>
      </c>
      <c r="C114" s="429" t="str">
        <f>VLOOKUP(B114,正厂竞争者数据汇总!D:H,2,FALSE)</f>
        <v>Motor目录</v>
      </c>
      <c r="D114" s="421" t="str">
        <f>VLOOKUP(B114,正厂竞争者数据汇总!D:H,3,FALSE)</f>
        <v>NY</v>
      </c>
      <c r="E114" s="430"/>
      <c r="F114" s="430">
        <v>21422.8961666667</v>
      </c>
      <c r="G114" s="430"/>
      <c r="H114" s="430"/>
      <c r="I114" s="450"/>
      <c r="J114" s="451">
        <v>0.0428780624074086</v>
      </c>
      <c r="K114" s="451">
        <v>0.0669836790639864</v>
      </c>
      <c r="L114" s="451">
        <v>0.0797933122270488</v>
      </c>
      <c r="M114" s="452"/>
      <c r="N114" s="451"/>
      <c r="O114" s="430"/>
      <c r="P114" s="531" t="str">
        <f t="array" ref="P114">INDEX(正厂竞争者数据汇总!I:I,MATCH($A$108&amp;B114,正厂竞争者数据汇总!A:A&amp;正厂竞争者数据汇总!D:D,0))</f>
        <v>2023年4月，流量更新为子站parts.subaruonlineparts.com，子站主营parts，此前监控域名为subaruonlineparts.com,该子域名的实际成单效率较高，流量不能完全反应其竞争力</v>
      </c>
      <c r="Q114" s="429"/>
      <c r="R114" s="421"/>
      <c r="S114" s="472"/>
      <c r="T114" s="466"/>
      <c r="U114" s="466"/>
      <c r="V114" s="466"/>
      <c r="W114" s="466"/>
    </row>
    <row r="115" s="408" customFormat="1" spans="1:23">
      <c r="A115" s="428" t="s">
        <v>230</v>
      </c>
      <c r="B115" s="421" t="s">
        <v>406</v>
      </c>
      <c r="C115" s="429" t="str">
        <f>VLOOKUP(B115,正厂竞争者数据汇总!D:H,2,FALSE)</f>
        <v>Motor目录</v>
      </c>
      <c r="D115" s="421" t="s">
        <v>60</v>
      </c>
      <c r="E115" s="430"/>
      <c r="F115" s="430">
        <v>17951.8258333333</v>
      </c>
      <c r="G115" s="430"/>
      <c r="H115" s="430"/>
      <c r="I115" s="450"/>
      <c r="J115" s="451">
        <v>0.0359306931434548</v>
      </c>
      <c r="K115" s="451">
        <v>0.0474099449475673</v>
      </c>
      <c r="L115" s="451">
        <v>0.0494762501646221</v>
      </c>
      <c r="M115" s="452"/>
      <c r="N115" s="451"/>
      <c r="O115" s="430"/>
      <c r="P115" s="531"/>
      <c r="Q115" s="429"/>
      <c r="R115" s="421"/>
      <c r="S115" s="472"/>
      <c r="T115" s="466"/>
      <c r="U115" s="466"/>
      <c r="V115" s="466"/>
      <c r="W115" s="466"/>
    </row>
    <row r="116" s="408" customFormat="1" spans="1:23">
      <c r="A116" s="428" t="s">
        <v>230</v>
      </c>
      <c r="B116" s="421" t="s">
        <v>296</v>
      </c>
      <c r="C116" s="429" t="str">
        <f>VLOOKUP(B116,正厂竞争者数据汇总!D:H,2,FALSE)</f>
        <v>Motor目录</v>
      </c>
      <c r="D116" s="421" t="str">
        <f>VLOOKUP(B116,正厂竞争者数据汇总!D:H,3,FALSE)</f>
        <v>NY</v>
      </c>
      <c r="E116" s="430"/>
      <c r="F116" s="430">
        <v>16033.9696333333</v>
      </c>
      <c r="G116" s="430"/>
      <c r="H116" s="430"/>
      <c r="I116" s="450"/>
      <c r="J116" s="451">
        <v>0.0320920918081233</v>
      </c>
      <c r="K116" s="451">
        <v>0.0478044970711363</v>
      </c>
      <c r="L116" s="451">
        <v>0.0536939856944293</v>
      </c>
      <c r="M116" s="452"/>
      <c r="N116" s="451"/>
      <c r="O116" s="430"/>
      <c r="P116" s="531" t="str">
        <f t="array" ref="P116">INDEX(正厂竞争者数据汇总!I:I,MATCH($A$108&amp;B116,正厂竞争者数据汇总!A:A&amp;正厂竞争者数据汇总!D:D,0))</f>
        <v>2023年2月新增正厂，Semrush子域名查不到流量。202306因流量上涨加入MS计算基准</v>
      </c>
      <c r="Q116" s="429"/>
      <c r="R116" s="421"/>
      <c r="S116" s="472"/>
      <c r="T116" s="466"/>
      <c r="U116" s="466"/>
      <c r="V116" s="466"/>
      <c r="W116" s="466"/>
    </row>
    <row r="117" s="408" customFormat="1" spans="1:23">
      <c r="A117" s="428" t="s">
        <v>230</v>
      </c>
      <c r="B117" s="421" t="s">
        <v>440</v>
      </c>
      <c r="C117" s="429" t="str">
        <f>VLOOKUP(B117,正厂竞争者数据汇总!D:H,2,FALSE)</f>
        <v>Motor目录</v>
      </c>
      <c r="D117" s="421" t="str">
        <f>VLOOKUP(B117,正厂竞争者数据汇总!D:H,3,FALSE)</f>
        <v>NC</v>
      </c>
      <c r="E117" s="430"/>
      <c r="F117" s="430">
        <v>13624.9166666667</v>
      </c>
      <c r="G117" s="430"/>
      <c r="H117" s="430"/>
      <c r="I117" s="450"/>
      <c r="J117" s="451">
        <v>0.0272703570322152</v>
      </c>
      <c r="K117" s="451">
        <v>0.0317248649557171</v>
      </c>
      <c r="L117" s="451">
        <v>0.0377333170696902</v>
      </c>
      <c r="M117" s="452"/>
      <c r="N117" s="451"/>
      <c r="O117" s="430"/>
      <c r="P117" s="531" t="str">
        <f t="array" ref="P117">INDEX(正厂竞争者数据汇总!I:I,MATCH($A$108&amp;B117,正厂竞争者数据汇总!A:A&amp;正厂竞争者数据汇总!D:D,0))</f>
        <v>202307，Semrush无法正常获取流量</v>
      </c>
      <c r="Q117" s="429"/>
      <c r="R117" s="421"/>
      <c r="S117" s="472"/>
      <c r="T117" s="466"/>
      <c r="U117" s="466"/>
      <c r="V117" s="466"/>
      <c r="W117" s="466"/>
    </row>
    <row r="118" s="408" customFormat="1" spans="1:23">
      <c r="A118" s="428"/>
      <c r="B118" s="421"/>
      <c r="C118" s="429"/>
      <c r="D118" s="421"/>
      <c r="E118" s="430"/>
      <c r="F118" s="481"/>
      <c r="G118" s="481"/>
      <c r="H118" s="481"/>
      <c r="I118" s="453"/>
      <c r="J118" s="451"/>
      <c r="K118" s="451"/>
      <c r="L118" s="451"/>
      <c r="M118" s="451"/>
      <c r="N118" s="451"/>
      <c r="O118" s="430"/>
      <c r="P118" s="531"/>
      <c r="Q118" s="429"/>
      <c r="R118" s="421"/>
      <c r="S118" s="473"/>
      <c r="T118" s="466"/>
      <c r="U118" s="466"/>
      <c r="V118" s="421"/>
      <c r="W118" s="421"/>
    </row>
    <row r="119" s="408" customFormat="1" spans="1:23">
      <c r="A119" s="428"/>
      <c r="B119" s="421"/>
      <c r="C119" s="439"/>
      <c r="D119" s="421"/>
      <c r="E119" s="421"/>
      <c r="F119" s="481">
        <v>499623.699483333</v>
      </c>
      <c r="G119" s="481">
        <v>427571.166666666</v>
      </c>
      <c r="H119" s="481">
        <v>496054.5</v>
      </c>
      <c r="I119" s="453">
        <v>0.168515883281809</v>
      </c>
      <c r="J119" s="430"/>
      <c r="K119" s="430"/>
      <c r="L119" s="430"/>
      <c r="M119" s="451"/>
      <c r="N119" s="451">
        <f>SUM(N110:N112)</f>
        <v>0</v>
      </c>
      <c r="O119" s="430"/>
      <c r="P119" s="531"/>
      <c r="Q119" s="429"/>
      <c r="R119" s="421"/>
      <c r="S119" s="473"/>
      <c r="T119" s="466"/>
      <c r="U119" s="466"/>
      <c r="V119" s="421"/>
      <c r="W119" s="421"/>
    </row>
    <row r="120" s="408" customFormat="1" spans="1:23">
      <c r="A120" s="428"/>
      <c r="B120" s="421"/>
      <c r="C120" s="429"/>
      <c r="D120" s="421"/>
      <c r="E120" s="430"/>
      <c r="F120" s="451"/>
      <c r="G120" s="451"/>
      <c r="H120" s="451"/>
      <c r="I120" s="453"/>
      <c r="J120" s="451"/>
      <c r="K120" s="451"/>
      <c r="L120" s="451"/>
      <c r="M120" s="451"/>
      <c r="N120" s="451"/>
      <c r="O120" s="451"/>
      <c r="P120" s="531"/>
      <c r="Q120" s="429"/>
      <c r="R120" s="421"/>
      <c r="S120" s="473"/>
      <c r="T120" s="466"/>
      <c r="U120" s="466"/>
      <c r="V120" s="421"/>
      <c r="W120" s="421"/>
    </row>
    <row r="121" s="408" customFormat="1" ht="17.4" spans="1:23">
      <c r="A121" s="418" t="s">
        <v>171</v>
      </c>
      <c r="B121" s="419"/>
      <c r="C121" s="420"/>
      <c r="D121" s="421"/>
      <c r="E121" s="422" t="s">
        <v>202</v>
      </c>
      <c r="F121" s="422"/>
      <c r="G121" s="422"/>
      <c r="H121" s="422"/>
      <c r="I121" s="422"/>
      <c r="J121" s="422"/>
      <c r="K121" s="422"/>
      <c r="L121" s="422"/>
      <c r="M121" s="443"/>
      <c r="N121" s="422"/>
      <c r="O121" s="422"/>
      <c r="P121" s="531"/>
      <c r="Q121" s="465"/>
      <c r="R121" s="424"/>
      <c r="S121" s="473"/>
      <c r="T121" s="467"/>
      <c r="U121" s="467"/>
      <c r="V121" s="467"/>
      <c r="W121" s="467"/>
    </row>
    <row r="122" s="409" customFormat="1" ht="46.8" spans="1:23">
      <c r="A122" s="423" t="s">
        <v>206</v>
      </c>
      <c r="B122" s="424" t="s">
        <v>207</v>
      </c>
      <c r="C122" s="425" t="s">
        <v>208</v>
      </c>
      <c r="D122" s="424" t="s">
        <v>209</v>
      </c>
      <c r="E122" s="426" t="s">
        <v>210</v>
      </c>
      <c r="F122" s="427" t="s">
        <v>432</v>
      </c>
      <c r="G122" s="427" t="s">
        <v>213</v>
      </c>
      <c r="H122" s="427" t="s">
        <v>396</v>
      </c>
      <c r="I122" s="427" t="s">
        <v>386</v>
      </c>
      <c r="J122" s="446" t="s">
        <v>433</v>
      </c>
      <c r="K122" s="446" t="s">
        <v>434</v>
      </c>
      <c r="L122" s="446" t="s">
        <v>435</v>
      </c>
      <c r="M122" s="447" t="s">
        <v>436</v>
      </c>
      <c r="N122" s="448" t="s">
        <v>219</v>
      </c>
      <c r="O122" s="449" t="s">
        <v>220</v>
      </c>
      <c r="P122" s="535" t="s">
        <v>0</v>
      </c>
      <c r="Q122" s="469" t="s">
        <v>222</v>
      </c>
      <c r="R122" s="426" t="s">
        <v>223</v>
      </c>
      <c r="S122" s="470" t="s">
        <v>224</v>
      </c>
      <c r="T122" s="467" t="s">
        <v>225</v>
      </c>
      <c r="U122" s="470" t="s">
        <v>226</v>
      </c>
      <c r="V122" s="467"/>
      <c r="W122" s="467"/>
    </row>
    <row r="123" s="408" customFormat="1" spans="1:23">
      <c r="A123" s="428" t="s">
        <v>230</v>
      </c>
      <c r="B123" s="421" t="s">
        <v>310</v>
      </c>
      <c r="C123" s="429" t="str">
        <f>VLOOKUP(B123,正厂竞争者数据汇总!D:H,2,FALSE)</f>
        <v>Motor目录</v>
      </c>
      <c r="D123" s="421" t="str">
        <f>VLOOKUP(B123,正厂竞争者数据汇总!D:H,3,FALSE)</f>
        <v>MD</v>
      </c>
      <c r="E123" s="430"/>
      <c r="F123" s="430">
        <v>100767.954433334</v>
      </c>
      <c r="G123" s="430"/>
      <c r="H123" s="430"/>
      <c r="I123" s="450"/>
      <c r="J123" s="451">
        <v>0.207387046488647</v>
      </c>
      <c r="K123" s="451">
        <v>0.234656128699011</v>
      </c>
      <c r="L123" s="451">
        <v>0.228752000577895</v>
      </c>
      <c r="M123" s="452"/>
      <c r="N123" s="451"/>
      <c r="O123" s="430"/>
      <c r="P123" s="531">
        <f t="array" ref="P123">INDEX(正厂竞争者数据汇总!I:I,MATCH($A$121&amp;B123,正厂竞争者数据汇总!A:A&amp;正厂竞争者数据汇总!D:D,0))</f>
        <v>0</v>
      </c>
      <c r="Q123" s="429"/>
      <c r="R123" s="421"/>
      <c r="S123" s="472"/>
      <c r="T123" s="466"/>
      <c r="U123" s="466"/>
      <c r="V123" s="466"/>
      <c r="W123" s="466"/>
    </row>
    <row r="124" s="410" customFormat="1" spans="1:23">
      <c r="A124" s="432" t="s">
        <v>227</v>
      </c>
      <c r="B124" s="432" t="s">
        <v>172</v>
      </c>
      <c r="C124" s="434" t="str">
        <f>VLOOKUP(B124,正厂竞争者数据汇总!D:H,2,FALSE)</f>
        <v>原厂目录</v>
      </c>
      <c r="D124" s="477" t="str">
        <f>VLOOKUP(B124,正厂竞争者数据汇总!D:H,3,FALSE)</f>
        <v>CA</v>
      </c>
      <c r="E124" s="436">
        <f>VLOOKUP(B124,正厂竞争者数据汇总!D:H,4,FALSE)</f>
        <v>0</v>
      </c>
      <c r="F124" s="436">
        <v>97352.4999999998</v>
      </c>
      <c r="G124" s="436">
        <v>132262.583333333</v>
      </c>
      <c r="H124" s="436">
        <v>137115.416666667</v>
      </c>
      <c r="I124" s="454">
        <v>-0.263945270487811</v>
      </c>
      <c r="J124" s="457">
        <v>0.200357817689383</v>
      </c>
      <c r="K124" s="457">
        <v>0.216669953973049</v>
      </c>
      <c r="L124" s="457">
        <v>0.20064004218998</v>
      </c>
      <c r="M124" s="456">
        <f>J124-K124</f>
        <v>-0.016312136283666</v>
      </c>
      <c r="N124" s="455"/>
      <c r="O124" s="436"/>
      <c r="P124" s="531">
        <f t="array" ref="P124">INDEX(正厂竞争者数据汇总!I:I,MATCH($A$121&amp;B124,正厂竞争者数据汇总!A:A&amp;正厂竞争者数据汇总!D:D,0))</f>
        <v>0</v>
      </c>
      <c r="Q124" s="491" t="s">
        <v>313</v>
      </c>
      <c r="R124" s="435" t="s">
        <v>180</v>
      </c>
      <c r="S124" s="476"/>
      <c r="T124" s="477"/>
      <c r="U124" s="477"/>
      <c r="V124" s="435"/>
      <c r="W124" s="435"/>
    </row>
    <row r="125" s="408" customFormat="1" spans="1:23">
      <c r="A125" s="428" t="s">
        <v>230</v>
      </c>
      <c r="B125" s="421" t="s">
        <v>311</v>
      </c>
      <c r="C125" s="429" t="str">
        <f>VLOOKUP(B125,正厂竞争者数据汇总!D:H,2,FALSE)</f>
        <v>原厂目录</v>
      </c>
      <c r="D125" s="421" t="str">
        <f>VLOOKUP(B125,正厂竞争者数据汇总!D:H,3,FALSE)</f>
        <v>GA</v>
      </c>
      <c r="E125" s="430"/>
      <c r="F125" s="430">
        <v>86123.5</v>
      </c>
      <c r="G125" s="430"/>
      <c r="H125" s="430"/>
      <c r="I125" s="450"/>
      <c r="J125" s="451">
        <v>0.177247800639651</v>
      </c>
      <c r="K125" s="451">
        <v>0.202142346116456</v>
      </c>
      <c r="L125" s="451">
        <v>0.169313620059247</v>
      </c>
      <c r="M125" s="452"/>
      <c r="N125" s="451"/>
      <c r="O125" s="430"/>
      <c r="P125" s="531">
        <f t="array" ref="P125">INDEX(正厂竞争者数据汇总!I:I,MATCH($A$121&amp;B125,正厂竞争者数据汇总!A:A&amp;正厂竞争者数据汇总!D:D,0))</f>
        <v>0</v>
      </c>
      <c r="Q125" s="429"/>
      <c r="R125" s="421"/>
      <c r="S125" s="472"/>
      <c r="T125" s="466"/>
      <c r="U125" s="466"/>
      <c r="V125" s="466"/>
      <c r="W125" s="466"/>
    </row>
    <row r="126" s="408" customFormat="1" spans="1:23">
      <c r="A126" s="428" t="s">
        <v>243</v>
      </c>
      <c r="B126" s="421" t="s">
        <v>314</v>
      </c>
      <c r="C126" s="429" t="str">
        <f>VLOOKUP(B126,正厂竞争者数据汇总!D:H,2,FALSE)</f>
        <v>原厂目录</v>
      </c>
      <c r="D126" s="421" t="str">
        <f>VLOOKUP(B126,正厂竞争者数据汇总!D:H,3,FALSE)</f>
        <v>WA</v>
      </c>
      <c r="E126" s="430"/>
      <c r="F126" s="430">
        <v>63384.4166666667</v>
      </c>
      <c r="G126" s="430"/>
      <c r="H126" s="430"/>
      <c r="I126" s="450"/>
      <c r="J126" s="451">
        <v>0.130449278640486</v>
      </c>
      <c r="K126" s="451">
        <v>0.129720502243066</v>
      </c>
      <c r="L126" s="451">
        <v>0.137437248699357</v>
      </c>
      <c r="M126" s="452"/>
      <c r="N126" s="451"/>
      <c r="O126" s="430"/>
      <c r="P126" s="531">
        <f t="array" ref="P126">INDEX(正厂竞争者数据汇总!I:I,MATCH($A$121&amp;B126,正厂竞争者数据汇总!A:A&amp;正厂竞争者数据汇总!D:D,0))</f>
        <v>0</v>
      </c>
      <c r="Q126" s="429"/>
      <c r="R126" s="421"/>
      <c r="S126" s="472"/>
      <c r="T126" s="466"/>
      <c r="U126" s="466"/>
      <c r="V126" s="466"/>
      <c r="W126" s="466"/>
    </row>
    <row r="127" s="408" customFormat="1" spans="1:23">
      <c r="A127" s="428" t="s">
        <v>230</v>
      </c>
      <c r="B127" s="421" t="s">
        <v>315</v>
      </c>
      <c r="C127" s="429" t="str">
        <f>VLOOKUP(B127,正厂竞争者数据汇总!D:H,2,FALSE)</f>
        <v>Motor目录</v>
      </c>
      <c r="D127" s="421" t="str">
        <f>VLOOKUP(B127,正厂竞争者数据汇总!D:H,3,FALSE)</f>
        <v>IL</v>
      </c>
      <c r="E127" s="430"/>
      <c r="F127" s="430">
        <v>43772.5833333333</v>
      </c>
      <c r="G127" s="430"/>
      <c r="H127" s="430"/>
      <c r="I127" s="450"/>
      <c r="J127" s="451">
        <v>0.0900868418509368</v>
      </c>
      <c r="K127" s="451">
        <v>0.0918718322351155</v>
      </c>
      <c r="L127" s="451">
        <v>0.0886528933902181</v>
      </c>
      <c r="M127" s="452"/>
      <c r="N127" s="451"/>
      <c r="O127" s="430"/>
      <c r="P127" s="531">
        <f t="array" ref="P127">INDEX(正厂竞争者数据汇总!I:I,MATCH($A$121&amp;B127,正厂竞争者数据汇总!A:A&amp;正厂竞争者数据汇总!D:D,0))</f>
        <v>0</v>
      </c>
      <c r="Q127" s="429"/>
      <c r="R127" s="421"/>
      <c r="S127" s="472"/>
      <c r="T127" s="466"/>
      <c r="U127" s="466"/>
      <c r="V127" s="466"/>
      <c r="W127" s="466"/>
    </row>
    <row r="128" s="408" customFormat="1" spans="1:23">
      <c r="A128" s="428" t="s">
        <v>230</v>
      </c>
      <c r="B128" s="421" t="s">
        <v>317</v>
      </c>
      <c r="C128" s="429" t="str">
        <f>VLOOKUP(B128,正厂竞争者数据汇总!D:H,2,FALSE)</f>
        <v>Motor目录</v>
      </c>
      <c r="D128" s="421" t="str">
        <f>VLOOKUP(B128,正厂竞争者数据汇总!D:H,3,FALSE)</f>
        <v>PA</v>
      </c>
      <c r="E128" s="430"/>
      <c r="F128" s="430">
        <v>27629.8333333334</v>
      </c>
      <c r="G128" s="430"/>
      <c r="H128" s="430"/>
      <c r="I128" s="450"/>
      <c r="J128" s="451">
        <v>0.0568640056473954</v>
      </c>
      <c r="K128" s="451">
        <v>0.0708326719255408</v>
      </c>
      <c r="L128" s="451">
        <v>0.0653073400350691</v>
      </c>
      <c r="M128" s="452"/>
      <c r="N128" s="451"/>
      <c r="O128" s="430"/>
      <c r="P128" s="531">
        <f t="array" ref="P128">INDEX(正厂竞争者数据汇总!I:I,MATCH($A$121&amp;B128,正厂竞争者数据汇总!A:A&amp;正厂竞争者数据汇总!D:D,0))</f>
        <v>0</v>
      </c>
      <c r="Q128" s="429"/>
      <c r="R128" s="421"/>
      <c r="S128" s="472"/>
      <c r="T128" s="466"/>
      <c r="U128" s="466"/>
      <c r="V128" s="466"/>
      <c r="W128" s="466"/>
    </row>
    <row r="129" s="408" customFormat="1" spans="1:23">
      <c r="A129" s="428" t="s">
        <v>243</v>
      </c>
      <c r="B129" s="421" t="s">
        <v>388</v>
      </c>
      <c r="C129" s="255" t="s">
        <v>389</v>
      </c>
      <c r="D129" s="270" t="s">
        <v>49</v>
      </c>
      <c r="E129" s="430"/>
      <c r="F129" s="430">
        <v>25183.9063333334</v>
      </c>
      <c r="G129" s="430"/>
      <c r="H129" s="430"/>
      <c r="I129" s="450"/>
      <c r="J129" s="451">
        <v>0.0518301277711463</v>
      </c>
      <c r="K129" s="451"/>
      <c r="L129" s="451"/>
      <c r="M129" s="452"/>
      <c r="N129" s="451"/>
      <c r="O129" s="430"/>
      <c r="P129" s="531">
        <f t="array" ref="P129">INDEX(正厂竞争者数据汇总!I:I,MATCH($A$121&amp;B129,正厂竞争者数据汇总!A:A&amp;正厂竞争者数据汇总!D:D,0))</f>
        <v>0</v>
      </c>
      <c r="Q129" s="429"/>
      <c r="R129" s="421"/>
      <c r="S129" s="472"/>
      <c r="T129" s="466"/>
      <c r="U129" s="466"/>
      <c r="V129" s="466"/>
      <c r="W129" s="466"/>
    </row>
    <row r="130" s="408" customFormat="1" spans="1:23">
      <c r="A130" s="428" t="s">
        <v>230</v>
      </c>
      <c r="B130" s="421" t="s">
        <v>393</v>
      </c>
      <c r="C130" s="429" t="s">
        <v>351</v>
      </c>
      <c r="D130" s="421" t="s">
        <v>60</v>
      </c>
      <c r="E130" s="430"/>
      <c r="F130" s="430">
        <v>21326.6666666667</v>
      </c>
      <c r="G130" s="430"/>
      <c r="H130" s="430"/>
      <c r="I130" s="450"/>
      <c r="J130" s="451">
        <v>0.0438916760424463</v>
      </c>
      <c r="K130" s="451">
        <v>0.0541065648077615</v>
      </c>
      <c r="L130" s="451">
        <v>0.0508461434748323</v>
      </c>
      <c r="M130" s="452"/>
      <c r="N130" s="451"/>
      <c r="O130" s="430"/>
      <c r="P130" s="531" t="str">
        <f t="array" ref="P130">INDEX(正厂竞争者数据汇总!I:I,MATCH($A$121&amp;B130,正厂竞争者数据汇总!A:A&amp;正厂竞争者数据汇总!D:D,0))</f>
        <v>2022年1月加入CompetitorSites，202305因流量大于MS5%，加入MS计算基准</v>
      </c>
      <c r="Q130" s="429"/>
      <c r="R130" s="421"/>
      <c r="S130" s="472"/>
      <c r="T130" s="466"/>
      <c r="U130" s="466"/>
      <c r="V130" s="466"/>
      <c r="W130" s="466"/>
    </row>
    <row r="131" s="408" customFormat="1" spans="1:23">
      <c r="A131" s="428" t="s">
        <v>230</v>
      </c>
      <c r="B131" s="421" t="s">
        <v>392</v>
      </c>
      <c r="C131" s="429" t="str">
        <f>VLOOKUP(B131,正厂竞争者数据汇总!D:H,2,FALSE)</f>
        <v>Motor目录</v>
      </c>
      <c r="D131" s="421" t="str">
        <f>VLOOKUP(B131,正厂竞争者数据汇总!D:H,3,FALSE)</f>
        <v>LA</v>
      </c>
      <c r="E131" s="430"/>
      <c r="F131" s="430">
        <v>20351.8333333333</v>
      </c>
      <c r="G131" s="430"/>
      <c r="H131" s="430"/>
      <c r="I131" s="450"/>
      <c r="J131" s="451">
        <v>0.0418854052299089</v>
      </c>
      <c r="K131" s="451">
        <v>0.0517586283848119</v>
      </c>
      <c r="L131" s="451">
        <v>0.0590507115734015</v>
      </c>
      <c r="M131" s="452"/>
      <c r="N131" s="451"/>
      <c r="O131" s="430"/>
      <c r="P131" s="531">
        <f t="array" ref="P131">INDEX(正厂竞争者数据汇总!I:I,MATCH($A$121&amp;B131,正厂竞争者数据汇总!A:A&amp;正厂竞争者数据汇总!D:D,0))</f>
        <v>0</v>
      </c>
      <c r="Q131" s="429"/>
      <c r="R131" s="421"/>
      <c r="S131" s="472"/>
      <c r="T131" s="466"/>
      <c r="U131" s="466"/>
      <c r="V131" s="466"/>
      <c r="W131" s="466"/>
    </row>
    <row r="132" s="408" customFormat="1" spans="1:23">
      <c r="A132" s="428"/>
      <c r="B132" s="438"/>
      <c r="C132" s="429"/>
      <c r="D132" s="466"/>
      <c r="E132" s="430"/>
      <c r="F132" s="430"/>
      <c r="G132" s="430"/>
      <c r="H132" s="430"/>
      <c r="I132" s="453"/>
      <c r="J132" s="451"/>
      <c r="K132" s="451"/>
      <c r="L132" s="451"/>
      <c r="M132" s="451"/>
      <c r="N132" s="459"/>
      <c r="O132" s="430"/>
      <c r="P132" s="531"/>
      <c r="Q132" s="492"/>
      <c r="R132" s="421"/>
      <c r="S132" s="473"/>
      <c r="T132" s="466"/>
      <c r="U132" s="466"/>
      <c r="V132" s="421"/>
      <c r="W132" s="421"/>
    </row>
    <row r="133" s="408" customFormat="1" spans="1:23">
      <c r="A133" s="428"/>
      <c r="B133" s="421"/>
      <c r="C133" s="439"/>
      <c r="D133" s="421"/>
      <c r="E133" s="430"/>
      <c r="F133" s="430">
        <v>485893.194100001</v>
      </c>
      <c r="G133" s="430">
        <v>451480.499999999</v>
      </c>
      <c r="H133" s="430">
        <v>457440.166666667</v>
      </c>
      <c r="I133" s="453">
        <v>0.0762218835586512</v>
      </c>
      <c r="J133" s="430"/>
      <c r="K133" s="430"/>
      <c r="L133" s="430"/>
      <c r="M133" s="451"/>
      <c r="N133" s="451"/>
      <c r="O133" s="430"/>
      <c r="P133" s="531"/>
      <c r="Q133" s="493"/>
      <c r="R133" s="421"/>
      <c r="S133" s="473"/>
      <c r="T133" s="466"/>
      <c r="U133" s="466"/>
      <c r="V133" s="421"/>
      <c r="W133" s="421"/>
    </row>
    <row r="134" s="408" customFormat="1" spans="1:23">
      <c r="A134" s="428"/>
      <c r="B134" s="421"/>
      <c r="C134" s="439"/>
      <c r="D134" s="421"/>
      <c r="E134" s="430"/>
      <c r="F134" s="430"/>
      <c r="G134" s="430"/>
      <c r="H134" s="430"/>
      <c r="I134" s="453"/>
      <c r="J134" s="430"/>
      <c r="K134" s="430"/>
      <c r="L134" s="430"/>
      <c r="M134" s="451"/>
      <c r="N134" s="451"/>
      <c r="O134" s="430"/>
      <c r="P134" s="531"/>
      <c r="Q134" s="493"/>
      <c r="R134" s="421"/>
      <c r="S134" s="473"/>
      <c r="T134" s="466"/>
      <c r="U134" s="466"/>
      <c r="V134" s="421"/>
      <c r="W134" s="421"/>
    </row>
    <row r="135" s="408" customFormat="1" ht="17.4" spans="1:23">
      <c r="A135" s="418" t="s">
        <v>168</v>
      </c>
      <c r="B135" s="487"/>
      <c r="C135" s="420"/>
      <c r="D135" s="421"/>
      <c r="E135" s="422" t="s">
        <v>202</v>
      </c>
      <c r="F135" s="422"/>
      <c r="G135" s="422" t="s">
        <v>213</v>
      </c>
      <c r="H135" s="422"/>
      <c r="I135" s="422"/>
      <c r="J135" s="422"/>
      <c r="K135" s="422"/>
      <c r="L135" s="422"/>
      <c r="M135" s="443"/>
      <c r="N135" s="444"/>
      <c r="O135" s="422"/>
      <c r="P135" s="531"/>
      <c r="Q135" s="465"/>
      <c r="R135" s="424"/>
      <c r="S135" s="473"/>
      <c r="T135" s="467"/>
      <c r="U135" s="467"/>
      <c r="V135" s="467"/>
      <c r="W135" s="467"/>
    </row>
    <row r="136" s="409" customFormat="1" ht="46.8" spans="1:23">
      <c r="A136" s="423" t="s">
        <v>206</v>
      </c>
      <c r="B136" s="424" t="s">
        <v>207</v>
      </c>
      <c r="C136" s="425" t="s">
        <v>208</v>
      </c>
      <c r="D136" s="424" t="s">
        <v>209</v>
      </c>
      <c r="E136" s="426" t="s">
        <v>210</v>
      </c>
      <c r="F136" s="427" t="s">
        <v>432</v>
      </c>
      <c r="G136" s="427">
        <v>197584.75</v>
      </c>
      <c r="H136" s="427" t="s">
        <v>396</v>
      </c>
      <c r="I136" s="427" t="s">
        <v>386</v>
      </c>
      <c r="J136" s="446" t="s">
        <v>433</v>
      </c>
      <c r="K136" s="446" t="s">
        <v>434</v>
      </c>
      <c r="L136" s="446" t="s">
        <v>435</v>
      </c>
      <c r="M136" s="447" t="s">
        <v>436</v>
      </c>
      <c r="N136" s="448" t="s">
        <v>219</v>
      </c>
      <c r="O136" s="449" t="s">
        <v>220</v>
      </c>
      <c r="P136" s="535" t="s">
        <v>0</v>
      </c>
      <c r="Q136" s="469" t="s">
        <v>222</v>
      </c>
      <c r="R136" s="426" t="s">
        <v>223</v>
      </c>
      <c r="S136" s="470" t="s">
        <v>224</v>
      </c>
      <c r="T136" s="467" t="s">
        <v>225</v>
      </c>
      <c r="U136" s="470" t="s">
        <v>226</v>
      </c>
      <c r="V136" s="467"/>
      <c r="W136" s="467"/>
    </row>
    <row r="137" s="410" customFormat="1" ht="17.4" spans="1:23">
      <c r="A137" s="432" t="s">
        <v>227</v>
      </c>
      <c r="B137" s="432" t="s">
        <v>169</v>
      </c>
      <c r="C137" s="434" t="str">
        <f>VLOOKUP(B137,正厂竞争者数据汇总!D:H,2,FALSE)</f>
        <v>原厂目录</v>
      </c>
      <c r="D137" s="435" t="str">
        <f>VLOOKUP(B137,正厂竞争者数据汇总!D:H,3,FALSE)</f>
        <v>CA</v>
      </c>
      <c r="E137" s="436">
        <f>VLOOKUP(B137,正厂竞争者数据汇总!D:H,4,FALSE)</f>
        <v>0</v>
      </c>
      <c r="F137" s="436">
        <v>283366.583333333</v>
      </c>
      <c r="G137" s="436">
        <v>39089.5833333333</v>
      </c>
      <c r="H137" s="436">
        <v>201623.666666667</v>
      </c>
      <c r="I137" s="454">
        <v>6.24915845014123</v>
      </c>
      <c r="J137" s="457">
        <v>0.593338473717117</v>
      </c>
      <c r="K137" s="457">
        <v>0.525588721383758</v>
      </c>
      <c r="L137" s="457">
        <v>0.50831227820267</v>
      </c>
      <c r="M137" s="456">
        <f>J137-K142</f>
        <v>0.52247483733757</v>
      </c>
      <c r="N137" s="457" t="str">
        <f>IFERROR(O137*0.5/$F$137,"")</f>
        <v/>
      </c>
      <c r="O137" s="436" t="s">
        <v>180</v>
      </c>
      <c r="P137" s="531">
        <f t="array" ref="P137">INDEX(正厂竞争者数据汇总!I:I,MATCH($A$135&amp;B137,正厂竞争者数据汇总!A:A&amp;正厂竞争者数据汇总!D:D,0))</f>
        <v>0</v>
      </c>
      <c r="Q137" s="434" t="s">
        <v>299</v>
      </c>
      <c r="R137" s="435" t="s">
        <v>229</v>
      </c>
      <c r="S137" s="476"/>
      <c r="T137" s="477"/>
      <c r="U137" s="477"/>
      <c r="V137" s="435"/>
      <c r="W137" s="435"/>
    </row>
    <row r="138" s="408" customFormat="1" spans="1:23">
      <c r="A138" s="428" t="s">
        <v>243</v>
      </c>
      <c r="B138" s="421" t="s">
        <v>303</v>
      </c>
      <c r="C138" s="429" t="s">
        <v>233</v>
      </c>
      <c r="D138" s="421" t="s">
        <v>49</v>
      </c>
      <c r="E138" s="430"/>
      <c r="F138" s="430">
        <v>32567.1733333333</v>
      </c>
      <c r="G138" s="430"/>
      <c r="H138" s="430"/>
      <c r="I138" s="450"/>
      <c r="J138" s="451">
        <v>0.0681920807018733</v>
      </c>
      <c r="K138" s="451">
        <v>0.0796256436081907</v>
      </c>
      <c r="L138" s="451">
        <v>0.052909574771407</v>
      </c>
      <c r="M138" s="452"/>
      <c r="N138" s="451"/>
      <c r="O138" s="430"/>
      <c r="P138" s="531" t="str">
        <f t="array" ref="P138">INDEX(正厂竞争者数据汇总!I:I,MATCH($A$135&amp;B138,正厂竞争者数据汇总!A:A&amp;正厂竞争者数据汇总!D:D,0))</f>
        <v>2023年3月新增正厂，202306因流量超过MS5%加入MS计算基准</v>
      </c>
      <c r="Q138" s="429"/>
      <c r="R138" s="421"/>
      <c r="S138" s="472"/>
      <c r="T138" s="466"/>
      <c r="U138" s="466"/>
      <c r="V138" s="466"/>
      <c r="W138" s="466"/>
    </row>
    <row r="139" s="408" customFormat="1" spans="1:23">
      <c r="A139" s="428" t="s">
        <v>243</v>
      </c>
      <c r="B139" s="421" t="s">
        <v>300</v>
      </c>
      <c r="C139" s="429" t="s">
        <v>441</v>
      </c>
      <c r="D139" s="421" t="s">
        <v>302</v>
      </c>
      <c r="E139" s="430"/>
      <c r="F139" s="430">
        <v>31526.0833333333</v>
      </c>
      <c r="G139" s="430"/>
      <c r="H139" s="430"/>
      <c r="I139" s="450"/>
      <c r="J139" s="451">
        <v>0.0660121526936526</v>
      </c>
      <c r="K139" s="451">
        <v>0.0731416830519512</v>
      </c>
      <c r="L139" s="451">
        <v>0.0665039301577195</v>
      </c>
      <c r="M139" s="452"/>
      <c r="N139" s="451"/>
      <c r="O139" s="430"/>
      <c r="P139" s="531" t="str">
        <f t="array" ref="P139">INDEX(正厂竞争者数据汇总!I:I,MATCH($A$135&amp;B139,正厂竞争者数据汇总!A:A&amp;正厂竞争者数据汇总!D:D,0))</f>
        <v>2023年3月新增正厂，202305因流量超过MS5%加入MS计算基准</v>
      </c>
      <c r="Q139" s="429"/>
      <c r="R139" s="421"/>
      <c r="S139" s="472"/>
      <c r="T139" s="466"/>
      <c r="U139" s="466"/>
      <c r="V139" s="466"/>
      <c r="W139" s="466"/>
    </row>
    <row r="140" s="408" customFormat="1" spans="1:23">
      <c r="A140" s="428" t="s">
        <v>230</v>
      </c>
      <c r="B140" s="421" t="s">
        <v>308</v>
      </c>
      <c r="C140" s="429" t="str">
        <f>VLOOKUP(B140,正厂竞争者数据汇总!D:H,2,FALSE)</f>
        <v>Motor目录</v>
      </c>
      <c r="D140" s="421" t="str">
        <f>VLOOKUP(B140,正厂竞争者数据汇总!D:H,3,FALSE)</f>
        <v>OH</v>
      </c>
      <c r="E140" s="430"/>
      <c r="F140" s="430">
        <v>30874.0833333333</v>
      </c>
      <c r="G140" s="430"/>
      <c r="H140" s="430"/>
      <c r="I140" s="450"/>
      <c r="J140" s="451">
        <v>0.0646469363709908</v>
      </c>
      <c r="K140" s="451">
        <v>0.0651472677082875</v>
      </c>
      <c r="L140" s="451">
        <v>0.0640299423043888</v>
      </c>
      <c r="M140" s="452"/>
      <c r="N140" s="451"/>
      <c r="O140" s="430"/>
      <c r="P140" s="531">
        <f t="array" ref="P140">INDEX(正厂竞争者数据汇总!I:I,MATCH($A$135&amp;B140,正厂竞争者数据汇总!A:A&amp;正厂竞争者数据汇总!D:D,0))</f>
        <v>0</v>
      </c>
      <c r="Q140" s="429"/>
      <c r="R140" s="421"/>
      <c r="S140" s="472"/>
      <c r="T140" s="466"/>
      <c r="U140" s="466"/>
      <c r="V140" s="466"/>
      <c r="W140" s="466"/>
    </row>
    <row r="141" s="408" customFormat="1" spans="1:23">
      <c r="A141" s="428" t="s">
        <v>230</v>
      </c>
      <c r="B141" s="421" t="s">
        <v>307</v>
      </c>
      <c r="C141" s="429" t="s">
        <v>233</v>
      </c>
      <c r="D141" s="421" t="s">
        <v>49</v>
      </c>
      <c r="E141" s="430"/>
      <c r="F141" s="430">
        <v>27731.5833333333</v>
      </c>
      <c r="G141" s="430"/>
      <c r="H141" s="430"/>
      <c r="I141" s="450"/>
      <c r="J141" s="451">
        <v>0.0580668868403703</v>
      </c>
      <c r="K141" s="451">
        <v>0.0811917036030424</v>
      </c>
      <c r="L141" s="451">
        <v>0.0728699214260639</v>
      </c>
      <c r="M141" s="452"/>
      <c r="N141" s="451"/>
      <c r="O141" s="430"/>
      <c r="P141" s="531" t="str">
        <f t="array" ref="P141">INDEX(正厂竞争者数据汇总!I:I,MATCH($A$135&amp;B141,正厂竞争者数据汇总!A:A&amp;正厂竞争者数据汇总!D:D,0))</f>
        <v>2023年2月新增正厂</v>
      </c>
      <c r="Q141" s="429"/>
      <c r="R141" s="421"/>
      <c r="S141" s="472"/>
      <c r="T141" s="466"/>
      <c r="U141" s="466"/>
      <c r="V141" s="466"/>
      <c r="W141" s="466"/>
    </row>
    <row r="142" s="408" customFormat="1" spans="1:23">
      <c r="A142" s="428" t="s">
        <v>305</v>
      </c>
      <c r="B142" s="421" t="s">
        <v>306</v>
      </c>
      <c r="C142" s="429" t="str">
        <f>VLOOKUP(B142,正厂竞争者数据汇总!D:H,2,FALSE)</f>
        <v>Motor目录</v>
      </c>
      <c r="D142" s="421" t="str">
        <f>VLOOKUP(B142,正厂竞争者数据汇总!D:H,3,FALSE)</f>
        <v>CA</v>
      </c>
      <c r="E142" s="430"/>
      <c r="F142" s="430">
        <v>25381.8333333333</v>
      </c>
      <c r="G142" s="430"/>
      <c r="H142" s="430"/>
      <c r="I142" s="450"/>
      <c r="J142" s="451">
        <v>0.0531467686591211</v>
      </c>
      <c r="K142" s="451">
        <v>0.0708636363795469</v>
      </c>
      <c r="L142" s="451">
        <v>0.0636535820394313</v>
      </c>
      <c r="M142" s="452"/>
      <c r="N142" s="451"/>
      <c r="O142" s="430"/>
      <c r="P142" s="531">
        <f t="array" ref="P142">INDEX(正厂竞争者数据汇总!I:I,MATCH($A$135&amp;B142,正厂竞争者数据汇总!A:A&amp;正厂竞争者数据汇总!D:D,0))</f>
        <v>0</v>
      </c>
      <c r="Q142" s="429"/>
      <c r="R142" s="421"/>
      <c r="S142" s="472"/>
      <c r="T142" s="466"/>
      <c r="U142" s="466"/>
      <c r="V142" s="466"/>
      <c r="W142" s="466"/>
    </row>
    <row r="143" s="408" customFormat="1" spans="1:23">
      <c r="A143" s="428" t="s">
        <v>230</v>
      </c>
      <c r="B143" s="421" t="s">
        <v>304</v>
      </c>
      <c r="C143" s="429" t="str">
        <f>VLOOKUP(B143,正厂竞争者数据汇总!D:H,2,FALSE)</f>
        <v>Motor目录</v>
      </c>
      <c r="D143" s="421" t="str">
        <f>VLOOKUP(B143,正厂竞争者数据汇总!D:H,3,FALSE)</f>
        <v>CA</v>
      </c>
      <c r="E143" s="430"/>
      <c r="F143" s="430">
        <v>23430.2866666667</v>
      </c>
      <c r="G143" s="430"/>
      <c r="H143" s="430"/>
      <c r="I143" s="450"/>
      <c r="J143" s="451">
        <v>0.0490604444815607</v>
      </c>
      <c r="K143" s="451">
        <v>0.0557506643830529</v>
      </c>
      <c r="L143" s="451">
        <v>0.0593146560273447</v>
      </c>
      <c r="M143" s="452"/>
      <c r="N143" s="451"/>
      <c r="O143" s="430"/>
      <c r="P143" s="531">
        <f t="array" ref="P143">INDEX(正厂竞争者数据汇总!I:I,MATCH($A$135&amp;B143,正厂竞争者数据汇总!A:A&amp;正厂竞争者数据汇总!D:D,0))</f>
        <v>0</v>
      </c>
      <c r="Q143" s="429"/>
      <c r="R143" s="421"/>
      <c r="S143" s="472"/>
      <c r="T143" s="466"/>
      <c r="U143" s="466"/>
      <c r="V143" s="466"/>
      <c r="W143" s="466"/>
    </row>
    <row r="144" s="408" customFormat="1" spans="1:23">
      <c r="A144" s="428" t="s">
        <v>230</v>
      </c>
      <c r="B144" s="421" t="s">
        <v>309</v>
      </c>
      <c r="C144" s="429" t="str">
        <f>VLOOKUP(B144,正厂竞争者数据汇总!D:H,2,FALSE)</f>
        <v>Motor目录</v>
      </c>
      <c r="D144" s="421" t="str">
        <f>VLOOKUP(B144,正厂竞争者数据汇总!D:H,3,FALSE)</f>
        <v>FL</v>
      </c>
      <c r="E144" s="430"/>
      <c r="F144" s="430">
        <v>22702.365</v>
      </c>
      <c r="G144" s="430"/>
      <c r="H144" s="430"/>
      <c r="I144" s="450"/>
      <c r="J144" s="451">
        <v>0.0475362565353145</v>
      </c>
      <c r="K144" s="451">
        <v>0.048690679882171</v>
      </c>
      <c r="L144" s="451">
        <v>0.0514564484840817</v>
      </c>
      <c r="M144" s="452"/>
      <c r="N144" s="451"/>
      <c r="O144" s="430"/>
      <c r="P144" s="531" t="str">
        <f t="array" ref="P144">INDEX(正厂竞争者数据汇总!I:I,MATCH($A$135&amp;B144,正厂竞争者数据汇总!A:A&amp;正厂竞争者数据汇总!D:D,0))</f>
        <v>同时经营多品牌网站零件，折算比例为：toyota：33%，lexus：42%，subaru:25%</v>
      </c>
      <c r="Q144" s="429"/>
      <c r="R144" s="421"/>
      <c r="S144" s="472"/>
      <c r="T144" s="466"/>
      <c r="U144" s="466"/>
      <c r="V144" s="466"/>
      <c r="W144" s="466"/>
    </row>
    <row r="146" s="408" customFormat="1" spans="1:23">
      <c r="A146" s="440"/>
      <c r="B146" s="431"/>
      <c r="C146" s="429"/>
      <c r="D146" s="421"/>
      <c r="E146" s="430"/>
      <c r="F146" s="430"/>
      <c r="G146" s="430">
        <v>259436.916666667</v>
      </c>
      <c r="H146" s="430"/>
      <c r="I146" s="453"/>
      <c r="J146" s="451"/>
      <c r="K146" s="451"/>
      <c r="L146" s="451"/>
      <c r="M146" s="451"/>
      <c r="N146" s="451"/>
      <c r="O146" s="430"/>
      <c r="P146" s="531"/>
      <c r="Q146" s="429"/>
      <c r="R146" s="421"/>
      <c r="S146" s="473"/>
      <c r="T146" s="466"/>
      <c r="U146" s="466"/>
      <c r="V146" s="421"/>
      <c r="W146" s="421"/>
    </row>
    <row r="147" s="408" customFormat="1" spans="1:23">
      <c r="A147" s="428"/>
      <c r="B147" s="431"/>
      <c r="C147" s="439"/>
      <c r="D147" s="421"/>
      <c r="E147" s="430"/>
      <c r="F147" s="430">
        <v>477579.991666666</v>
      </c>
      <c r="G147" s="430"/>
      <c r="H147" s="430">
        <v>254943.25</v>
      </c>
      <c r="I147" s="453" t="e">
        <v>#DIV/0!</v>
      </c>
      <c r="J147" s="430"/>
      <c r="K147" s="430"/>
      <c r="L147" s="430"/>
      <c r="M147" s="451"/>
      <c r="N147" s="451">
        <f>SUM(N137:N140)</f>
        <v>0</v>
      </c>
      <c r="O147" s="430"/>
      <c r="P147" s="531"/>
      <c r="Q147" s="429"/>
      <c r="R147" s="421"/>
      <c r="S147" s="473"/>
      <c r="T147" s="466"/>
      <c r="U147" s="466"/>
      <c r="V147" s="421"/>
      <c r="W147" s="421"/>
    </row>
    <row r="148" s="408" customFormat="1" spans="1:23">
      <c r="A148" s="428"/>
      <c r="B148" s="421"/>
      <c r="C148" s="439"/>
      <c r="D148" s="421"/>
      <c r="E148" s="430"/>
      <c r="F148" s="451"/>
      <c r="G148" s="451"/>
      <c r="H148" s="451"/>
      <c r="I148" s="453"/>
      <c r="J148" s="451"/>
      <c r="K148" s="451"/>
      <c r="L148" s="451"/>
      <c r="M148" s="451"/>
      <c r="N148" s="451"/>
      <c r="O148" s="451"/>
      <c r="P148" s="531"/>
      <c r="Q148" s="429"/>
      <c r="R148" s="421"/>
      <c r="S148" s="473"/>
      <c r="T148" s="466"/>
      <c r="U148" s="466"/>
      <c r="V148" s="421"/>
      <c r="W148" s="421"/>
    </row>
    <row r="149" s="408" customFormat="1" ht="17.4" spans="1:23">
      <c r="A149" s="418" t="s">
        <v>177</v>
      </c>
      <c r="B149" s="419"/>
      <c r="C149" s="420"/>
      <c r="D149" s="421"/>
      <c r="E149" s="422" t="s">
        <v>202</v>
      </c>
      <c r="F149" s="422"/>
      <c r="G149" s="422" t="s">
        <v>213</v>
      </c>
      <c r="H149" s="422"/>
      <c r="I149" s="422"/>
      <c r="J149" s="422"/>
      <c r="K149" s="422"/>
      <c r="L149" s="422"/>
      <c r="M149" s="443"/>
      <c r="N149" s="444"/>
      <c r="O149" s="422"/>
      <c r="P149" s="531"/>
      <c r="Q149" s="465"/>
      <c r="R149" s="424"/>
      <c r="S149" s="473"/>
      <c r="T149" s="467"/>
      <c r="U149" s="467"/>
      <c r="V149" s="467"/>
      <c r="W149" s="467"/>
    </row>
    <row r="150" s="409" customFormat="1" ht="46.8" spans="1:23">
      <c r="A150" s="423" t="s">
        <v>206</v>
      </c>
      <c r="B150" s="424" t="s">
        <v>207</v>
      </c>
      <c r="C150" s="425" t="s">
        <v>208</v>
      </c>
      <c r="D150" s="424" t="s">
        <v>209</v>
      </c>
      <c r="E150" s="426" t="s">
        <v>210</v>
      </c>
      <c r="F150" s="427" t="s">
        <v>432</v>
      </c>
      <c r="G150" s="427">
        <v>93920.4166666667</v>
      </c>
      <c r="H150" s="427" t="s">
        <v>396</v>
      </c>
      <c r="I150" s="427" t="s">
        <v>386</v>
      </c>
      <c r="J150" s="446" t="s">
        <v>433</v>
      </c>
      <c r="K150" s="446" t="s">
        <v>434</v>
      </c>
      <c r="L150" s="446" t="s">
        <v>435</v>
      </c>
      <c r="M150" s="447" t="s">
        <v>436</v>
      </c>
      <c r="N150" s="448" t="s">
        <v>219</v>
      </c>
      <c r="O150" s="449" t="s">
        <v>220</v>
      </c>
      <c r="P150" s="535" t="s">
        <v>0</v>
      </c>
      <c r="Q150" s="469" t="s">
        <v>222</v>
      </c>
      <c r="R150" s="426" t="s">
        <v>223</v>
      </c>
      <c r="S150" s="470" t="s">
        <v>224</v>
      </c>
      <c r="T150" s="467" t="s">
        <v>225</v>
      </c>
      <c r="U150" s="470" t="s">
        <v>226</v>
      </c>
      <c r="V150" s="467"/>
      <c r="W150" s="467"/>
    </row>
    <row r="151" s="410" customFormat="1" ht="17.4" spans="1:23">
      <c r="A151" s="432" t="s">
        <v>227</v>
      </c>
      <c r="B151" s="432" t="s">
        <v>178</v>
      </c>
      <c r="C151" s="434" t="str">
        <f>VLOOKUP(B151,正厂竞争者数据汇总!D:H,2,FALSE)</f>
        <v>原厂目录</v>
      </c>
      <c r="D151" s="435" t="str">
        <f>VLOOKUP(B151,正厂竞争者数据汇总!D:H,3,FALSE)</f>
        <v>CA</v>
      </c>
      <c r="E151" s="436">
        <f>VLOOKUP(B151,正厂竞争者数据汇总!D:H,4,FALSE)</f>
        <v>0</v>
      </c>
      <c r="F151" s="436">
        <v>95764.3333333333</v>
      </c>
      <c r="G151" s="436">
        <v>19160.4166666667</v>
      </c>
      <c r="H151" s="436">
        <v>93560.5000000002</v>
      </c>
      <c r="I151" s="454">
        <v>3.99802979232357</v>
      </c>
      <c r="J151" s="457">
        <v>0.562325879496778</v>
      </c>
      <c r="K151" s="457">
        <v>0.488490224047266</v>
      </c>
      <c r="L151" s="457">
        <v>0.502880828265115</v>
      </c>
      <c r="M151" s="456">
        <f>J151-K158</f>
        <v>0.554240403231823</v>
      </c>
      <c r="N151" s="457" t="str">
        <f>IFERROR(O151*0.5/#REF!,"")</f>
        <v/>
      </c>
      <c r="O151" s="436" t="s">
        <v>180</v>
      </c>
      <c r="P151" s="531">
        <f t="array" ref="P151">INDEX(正厂竞争者数据汇总!I:I,MATCH($A$149&amp;B151,正厂竞争者数据汇总!A:A&amp;正厂竞争者数据汇总!D:D,0))</f>
        <v>0</v>
      </c>
      <c r="Q151" s="434" t="s">
        <v>324</v>
      </c>
      <c r="R151" s="435" t="s">
        <v>229</v>
      </c>
      <c r="S151" s="476"/>
      <c r="T151" s="477"/>
      <c r="U151" s="477"/>
      <c r="V151" s="435"/>
      <c r="W151" s="435"/>
    </row>
    <row r="152" s="408" customFormat="1" spans="1:23">
      <c r="A152" s="428" t="s">
        <v>230</v>
      </c>
      <c r="B152" s="421" t="s">
        <v>328</v>
      </c>
      <c r="C152" s="429" t="str">
        <f>VLOOKUP(B152,正厂竞争者数据汇总!D:H,2,FALSE)</f>
        <v>Motor目录</v>
      </c>
      <c r="D152" s="421" t="str">
        <f>VLOOKUP(B152,正厂竞争者数据汇总!D:H,3,FALSE)</f>
        <v>AZ</v>
      </c>
      <c r="E152" s="430"/>
      <c r="F152" s="430">
        <v>26404.5833333333</v>
      </c>
      <c r="G152" s="430"/>
      <c r="H152" s="430"/>
      <c r="I152" s="450"/>
      <c r="J152" s="451">
        <v>0.155047083071943</v>
      </c>
      <c r="K152" s="451">
        <v>0.131811742408903</v>
      </c>
      <c r="L152" s="451">
        <v>0.112360882005316</v>
      </c>
      <c r="M152" s="452"/>
      <c r="N152" s="451"/>
      <c r="O152" s="430"/>
      <c r="P152" s="531" t="str">
        <f t="array" ref="P152">INDEX(正厂竞争者数据汇总!I:I,MATCH($A$149&amp;B152,正厂竞争者数据汇总!A:A&amp;正厂竞争者数据汇总!D:D,0))</f>
        <v>2022年1月 新加入 MarketingShare</v>
      </c>
      <c r="Q152" s="429"/>
      <c r="R152" s="421"/>
      <c r="S152" s="472"/>
      <c r="T152" s="466"/>
      <c r="U152" s="466"/>
      <c r="V152" s="466"/>
      <c r="W152" s="466"/>
    </row>
    <row r="153" s="408" customFormat="1" spans="1:23">
      <c r="A153" s="428" t="s">
        <v>230</v>
      </c>
      <c r="B153" s="421" t="s">
        <v>329</v>
      </c>
      <c r="C153" s="429" t="str">
        <f>VLOOKUP(B153,正厂竞争者数据汇总!D:H,2,FALSE)</f>
        <v>Motor目录</v>
      </c>
      <c r="D153" s="421" t="str">
        <f>VLOOKUP(B153,正厂竞争者数据汇总!D:H,3,FALSE)</f>
        <v>AZ</v>
      </c>
      <c r="E153" s="430"/>
      <c r="F153" s="430">
        <v>16592.6510166667</v>
      </c>
      <c r="G153" s="430"/>
      <c r="H153" s="430"/>
      <c r="I153" s="450"/>
      <c r="J153" s="451">
        <v>0.0974316507133505</v>
      </c>
      <c r="K153" s="451">
        <v>0.135928892281461</v>
      </c>
      <c r="L153" s="451">
        <v>0.113210591522947</v>
      </c>
      <c r="M153" s="452"/>
      <c r="N153" s="451"/>
      <c r="O153" s="430"/>
      <c r="P153" s="531">
        <f t="array" ref="P153">INDEX(正厂竞争者数据汇总!I:I,MATCH($A$149&amp;B153,正厂竞争者数据汇总!A:A&amp;正厂竞争者数据汇总!D:D,0))</f>
        <v>0</v>
      </c>
      <c r="Q153" s="429"/>
      <c r="R153" s="421"/>
      <c r="S153" s="472"/>
      <c r="T153" s="466"/>
      <c r="U153" s="466"/>
      <c r="V153" s="466"/>
      <c r="W153" s="466"/>
    </row>
    <row r="154" s="408" customFormat="1" spans="1:23">
      <c r="A154" s="428" t="s">
        <v>230</v>
      </c>
      <c r="B154" s="421" t="s">
        <v>327</v>
      </c>
      <c r="C154" s="429" t="str">
        <f>VLOOKUP(B154,正厂竞争者数据汇总!D:H,2,FALSE)</f>
        <v>Motor目录</v>
      </c>
      <c r="D154" s="421" t="str">
        <f>VLOOKUP(B154,正厂竞争者数据汇总!D:H,3,FALSE)</f>
        <v>-</v>
      </c>
      <c r="E154" s="430"/>
      <c r="F154" s="430">
        <v>12057.5873333333</v>
      </c>
      <c r="G154" s="430"/>
      <c r="H154" s="430"/>
      <c r="I154" s="450"/>
      <c r="J154" s="451">
        <v>0.0708018650140364</v>
      </c>
      <c r="K154" s="451">
        <v>0.102836407914329</v>
      </c>
      <c r="L154" s="451">
        <v>0.0928268071712272</v>
      </c>
      <c r="M154" s="452"/>
      <c r="N154" s="451"/>
      <c r="O154" s="430"/>
      <c r="P154" s="531" t="str">
        <f t="array" ref="P154">INDEX(正厂竞争者数据汇总!I:I,MATCH($A$149&amp;B154,正厂竞争者数据汇总!A:A&amp;正厂竞争者数据汇总!D:D,0))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54" s="429"/>
      <c r="R154" s="421"/>
      <c r="S154" s="472"/>
      <c r="T154" s="466"/>
      <c r="U154" s="466"/>
      <c r="V154" s="466"/>
      <c r="W154" s="466"/>
    </row>
    <row r="155" s="408" customFormat="1" spans="1:23">
      <c r="A155" s="428" t="s">
        <v>230</v>
      </c>
      <c r="B155" s="421" t="s">
        <v>394</v>
      </c>
      <c r="C155" s="429" t="str">
        <f>VLOOKUP(B155,正厂竞争者数据汇总!D:H,2,FALSE)</f>
        <v>Motor目录</v>
      </c>
      <c r="D155" s="421" t="str">
        <f>VLOOKUP(B155,正厂竞争者数据汇总!D:H,3,FALSE)</f>
        <v>GA</v>
      </c>
      <c r="E155" s="430"/>
      <c r="F155" s="430">
        <v>6250.75</v>
      </c>
      <c r="G155" s="430"/>
      <c r="H155" s="430"/>
      <c r="I155" s="450"/>
      <c r="J155" s="451">
        <v>0.0367042547983886</v>
      </c>
      <c r="K155" s="451">
        <v>0.0523151671186428</v>
      </c>
      <c r="L155" s="451">
        <v>0.0580872563688866</v>
      </c>
      <c r="M155" s="452"/>
      <c r="N155" s="451"/>
      <c r="O155" s="430"/>
      <c r="P155" s="531" t="str">
        <f t="array" ref="P155">INDEX(正厂竞争者数据汇总!I:I,MATCH($A$149&amp;B155,正厂竞争者数据汇总!A:A&amp;正厂竞争者数据汇总!D:D,0))</f>
        <v>2023/6，因流量上涨加入MS计算基准</v>
      </c>
      <c r="Q155" s="429"/>
      <c r="R155" s="421"/>
      <c r="S155" s="472"/>
      <c r="T155" s="466"/>
      <c r="U155" s="466"/>
      <c r="V155" s="466"/>
      <c r="W155" s="466"/>
    </row>
    <row r="156" s="408" customFormat="1" spans="1:23">
      <c r="A156" s="428" t="s">
        <v>325</v>
      </c>
      <c r="B156" s="421" t="s">
        <v>326</v>
      </c>
      <c r="C156" s="429" t="str">
        <f>VLOOKUP(B156,正厂竞争者数据汇总!D:H,2,FALSE)</f>
        <v>原厂目录</v>
      </c>
      <c r="D156" s="421" t="str">
        <f>VLOOKUP(B156,正厂竞争者数据汇总!D:H,3,FALSE)</f>
        <v>IL</v>
      </c>
      <c r="E156" s="430"/>
      <c r="F156" s="430">
        <v>7318.16666666667</v>
      </c>
      <c r="G156" s="430"/>
      <c r="H156" s="430"/>
      <c r="I156" s="450"/>
      <c r="J156" s="451">
        <v>0.0429720999864668</v>
      </c>
      <c r="K156" s="451">
        <v>0.0500406587546266</v>
      </c>
      <c r="L156" s="451">
        <v>0.051615772670225</v>
      </c>
      <c r="M156" s="452"/>
      <c r="N156" s="451"/>
      <c r="O156" s="430"/>
      <c r="P156" s="531">
        <f t="array" ref="P156">INDEX(正厂竞争者数据汇总!I:I,MATCH($A$149&amp;B156,正厂竞争者数据汇总!A:A&amp;正厂竞争者数据汇总!D:D,0))</f>
        <v>0</v>
      </c>
      <c r="Q156" s="429"/>
      <c r="R156" s="421"/>
      <c r="S156" s="472"/>
      <c r="T156" s="466"/>
      <c r="U156" s="466"/>
      <c r="V156" s="466"/>
      <c r="W156" s="466"/>
    </row>
    <row r="157" s="408" customFormat="1" spans="1:23">
      <c r="A157" s="428" t="s">
        <v>230</v>
      </c>
      <c r="B157" s="421" t="s">
        <v>407</v>
      </c>
      <c r="C157" s="429" t="str">
        <f>VLOOKUP(B157,正厂竞争者数据汇总!D:H,2,FALSE)</f>
        <v>Motor目录</v>
      </c>
      <c r="D157" s="421" t="str">
        <f>VLOOKUP(B157,正厂竞争者数据汇总!D:H,3,FALSE)</f>
        <v>NC</v>
      </c>
      <c r="E157" s="430"/>
      <c r="F157" s="430">
        <v>5658.848</v>
      </c>
      <c r="G157" s="430"/>
      <c r="H157" s="430"/>
      <c r="I157" s="450"/>
      <c r="J157" s="451">
        <v>0.0332286203827303</v>
      </c>
      <c r="K157" s="451">
        <v>0.0385769074747716</v>
      </c>
      <c r="L157" s="451">
        <v>0.0417901926677255</v>
      </c>
      <c r="M157" s="452"/>
      <c r="N157" s="451"/>
      <c r="O157" s="430"/>
      <c r="P157" s="531" t="str">
        <f t="array" ref="P157">INDEX(正厂竞争者数据汇总!I:I,MATCH($A$149&amp;B157,正厂竞争者数据汇总!A:A&amp;正厂竞争者数据汇总!D:D,0))</f>
        <v>202112新增竞争者</v>
      </c>
      <c r="Q157" s="429"/>
      <c r="R157" s="421"/>
      <c r="S157" s="472"/>
      <c r="T157" s="466"/>
      <c r="U157" s="466"/>
      <c r="V157" s="466"/>
      <c r="W157" s="466"/>
    </row>
    <row r="158" s="408" customFormat="1" spans="1:23">
      <c r="A158" s="428" t="s">
        <v>325</v>
      </c>
      <c r="B158" s="421" t="s">
        <v>442</v>
      </c>
      <c r="C158" s="429" t="str">
        <f>VLOOKUP(B158,正厂竞争者数据汇总!D:H,2,FALSE)</f>
        <v>原厂目录</v>
      </c>
      <c r="D158" s="421" t="str">
        <f>VLOOKUP(B158,正厂竞争者数据汇总!D:H,3,FALSE)</f>
        <v>TX</v>
      </c>
      <c r="E158" s="430"/>
      <c r="F158" s="430">
        <v>253.5001</v>
      </c>
      <c r="G158" s="430"/>
      <c r="H158" s="430"/>
      <c r="I158" s="450"/>
      <c r="J158" s="451">
        <v>0.00148854653630636</v>
      </c>
      <c r="K158" s="451">
        <v>0.00808547626495514</v>
      </c>
      <c r="L158" s="451">
        <v>0.0206988278371459</v>
      </c>
      <c r="M158" s="452"/>
      <c r="N158" s="451"/>
      <c r="O158" s="430"/>
      <c r="P158" s="531" t="str">
        <f t="array" ref="P158">INDEX(正厂竞争者数据汇总!I:I,MATCH($A$149&amp;B158,正厂竞争者数据汇总!A:A&amp;正厂竞争者数据汇总!D:D,0))</f>
        <v>202305流量太低，无法正常获取流量</v>
      </c>
      <c r="Q158" s="429"/>
      <c r="R158" s="421"/>
      <c r="S158" s="472"/>
      <c r="T158" s="466"/>
      <c r="U158" s="466"/>
      <c r="V158" s="466"/>
      <c r="W158" s="466"/>
    </row>
    <row r="159" s="408" customFormat="1" spans="1:23">
      <c r="A159" s="428"/>
      <c r="B159" s="431"/>
      <c r="C159" s="429"/>
      <c r="D159" s="421"/>
      <c r="E159" s="430"/>
      <c r="F159" s="430"/>
      <c r="G159" s="430">
        <v>161698.333333333</v>
      </c>
      <c r="H159" s="430"/>
      <c r="I159" s="453"/>
      <c r="J159" s="451"/>
      <c r="K159" s="451"/>
      <c r="L159" s="451"/>
      <c r="M159" s="451"/>
      <c r="N159" s="451"/>
      <c r="O159" s="430"/>
      <c r="P159" s="531"/>
      <c r="Q159" s="429"/>
      <c r="R159" s="421"/>
      <c r="S159" s="473"/>
      <c r="T159" s="466"/>
      <c r="U159" s="466"/>
      <c r="V159" s="421"/>
      <c r="W159" s="421"/>
    </row>
    <row r="160" s="408" customFormat="1" spans="1:23">
      <c r="A160" s="428"/>
      <c r="B160" s="421"/>
      <c r="C160" s="439"/>
      <c r="D160" s="421"/>
      <c r="E160" s="430"/>
      <c r="F160" s="430">
        <v>170300.419783333</v>
      </c>
      <c r="G160" s="430"/>
      <c r="H160" s="430">
        <v>167907.166666667</v>
      </c>
      <c r="I160" s="453" t="e">
        <v>#DIV/0!</v>
      </c>
      <c r="J160" s="430"/>
      <c r="K160" s="430"/>
      <c r="L160" s="430"/>
      <c r="M160" s="451"/>
      <c r="N160" s="451">
        <f>SUM(N151:N154)</f>
        <v>0</v>
      </c>
      <c r="O160" s="430"/>
      <c r="P160" s="531"/>
      <c r="Q160" s="493"/>
      <c r="R160" s="421"/>
      <c r="S160" s="473"/>
      <c r="T160" s="466"/>
      <c r="U160" s="466"/>
      <c r="V160" s="421"/>
      <c r="W160" s="421"/>
    </row>
    <row r="161" s="408" customFormat="1" spans="1:23">
      <c r="A161" s="428"/>
      <c r="B161" s="421"/>
      <c r="C161" s="439"/>
      <c r="D161" s="421"/>
      <c r="E161" s="430"/>
      <c r="F161" s="430"/>
      <c r="G161" s="430"/>
      <c r="H161" s="430"/>
      <c r="I161" s="453"/>
      <c r="J161" s="430"/>
      <c r="K161" s="430"/>
      <c r="L161" s="430"/>
      <c r="M161" s="451"/>
      <c r="N161" s="451"/>
      <c r="O161" s="430"/>
      <c r="P161" s="531"/>
      <c r="Q161" s="493"/>
      <c r="R161" s="421"/>
      <c r="S161" s="473"/>
      <c r="T161" s="466"/>
      <c r="U161" s="466"/>
      <c r="V161" s="421"/>
      <c r="W161" s="421"/>
    </row>
    <row r="162" s="408" customFormat="1" ht="17.4" spans="1:23">
      <c r="A162" s="418" t="s">
        <v>185</v>
      </c>
      <c r="B162" s="419"/>
      <c r="C162" s="420"/>
      <c r="D162" s="421"/>
      <c r="E162" s="422" t="s">
        <v>202</v>
      </c>
      <c r="F162" s="422"/>
      <c r="G162" s="422" t="s">
        <v>213</v>
      </c>
      <c r="H162" s="422"/>
      <c r="I162" s="422"/>
      <c r="J162" s="422"/>
      <c r="K162" s="422"/>
      <c r="L162" s="422"/>
      <c r="M162" s="443"/>
      <c r="N162" s="444"/>
      <c r="O162" s="422"/>
      <c r="P162" s="531"/>
      <c r="Q162" s="465"/>
      <c r="R162" s="424"/>
      <c r="S162" s="473"/>
      <c r="T162" s="467"/>
      <c r="U162" s="467"/>
      <c r="V162" s="467"/>
      <c r="W162" s="467"/>
    </row>
    <row r="163" s="409" customFormat="1" ht="46.8" spans="1:23">
      <c r="A163" s="423" t="s">
        <v>206</v>
      </c>
      <c r="B163" s="424" t="s">
        <v>207</v>
      </c>
      <c r="C163" s="425" t="s">
        <v>208</v>
      </c>
      <c r="D163" s="424" t="s">
        <v>209</v>
      </c>
      <c r="E163" s="426" t="s">
        <v>210</v>
      </c>
      <c r="F163" s="427" t="s">
        <v>432</v>
      </c>
      <c r="G163" s="427">
        <v>116448.583333333</v>
      </c>
      <c r="H163" s="427" t="s">
        <v>396</v>
      </c>
      <c r="I163" s="427" t="s">
        <v>386</v>
      </c>
      <c r="J163" s="446" t="s">
        <v>433</v>
      </c>
      <c r="K163" s="446"/>
      <c r="L163" s="446"/>
      <c r="M163" s="447" t="s">
        <v>436</v>
      </c>
      <c r="N163" s="448" t="s">
        <v>219</v>
      </c>
      <c r="O163" s="449" t="s">
        <v>220</v>
      </c>
      <c r="P163" s="535" t="s">
        <v>0</v>
      </c>
      <c r="Q163" s="469" t="s">
        <v>222</v>
      </c>
      <c r="R163" s="426" t="s">
        <v>223</v>
      </c>
      <c r="S163" s="470" t="s">
        <v>224</v>
      </c>
      <c r="T163" s="467" t="s">
        <v>225</v>
      </c>
      <c r="U163" s="470" t="s">
        <v>226</v>
      </c>
      <c r="V163" s="467"/>
      <c r="W163" s="467"/>
    </row>
    <row r="164" s="408" customFormat="1" spans="1:23">
      <c r="A164" s="428" t="s">
        <v>230</v>
      </c>
      <c r="B164" s="438" t="s">
        <v>330</v>
      </c>
      <c r="C164" s="429" t="str">
        <f>VLOOKUP(B164,正厂竞争者数据汇总!D:H,2,FALSE)</f>
        <v>Motor目录</v>
      </c>
      <c r="D164" s="421" t="str">
        <f>VLOOKUP(B164,正厂竞争者数据汇总!D:H,3,FALSE)</f>
        <v>NM</v>
      </c>
      <c r="E164" s="430"/>
      <c r="F164" s="430">
        <v>134347.166666667</v>
      </c>
      <c r="G164" s="430"/>
      <c r="H164" s="430"/>
      <c r="I164" s="453"/>
      <c r="J164" s="451">
        <v>0.271647046176254</v>
      </c>
      <c r="K164" s="451"/>
      <c r="L164" s="451"/>
      <c r="M164" s="451"/>
      <c r="N164" s="459"/>
      <c r="O164" s="430"/>
      <c r="P164" s="531">
        <f>VLOOKUP(B164,正厂竞争者数据汇总!D:M,6,FALSE)</f>
        <v>0</v>
      </c>
      <c r="Q164" s="429"/>
      <c r="R164" s="421"/>
      <c r="S164" s="473"/>
      <c r="T164" s="466"/>
      <c r="U164" s="466"/>
      <c r="V164" s="421"/>
      <c r="W164" s="421"/>
    </row>
    <row r="165" s="408" customFormat="1" spans="1:23">
      <c r="A165" s="428" t="s">
        <v>243</v>
      </c>
      <c r="B165" s="438" t="s">
        <v>331</v>
      </c>
      <c r="C165" s="429" t="str">
        <f>VLOOKUP(B165,正厂竞争者数据汇总!D:H,2,FALSE)</f>
        <v>旧年份原厂、新年份Motor</v>
      </c>
      <c r="D165" s="421" t="str">
        <f>VLOOKUP(B165,正厂竞争者数据汇总!D:H,3,FALSE)</f>
        <v>GA</v>
      </c>
      <c r="E165" s="430" t="str">
        <f>VLOOKUP(B163,正厂竞争者数据汇总!D:H,4,FALSE)</f>
        <v>Alexa Traffic Rank</v>
      </c>
      <c r="F165" s="430">
        <v>106889.916666667</v>
      </c>
      <c r="G165" s="430">
        <v>148204.583333333</v>
      </c>
      <c r="H165" s="430">
        <v>93790.0833333333</v>
      </c>
      <c r="I165" s="453">
        <v>-0.278767806888559</v>
      </c>
      <c r="J165" s="451">
        <v>0.216129084438148</v>
      </c>
      <c r="K165" s="451"/>
      <c r="L165" s="451"/>
      <c r="M165" s="451" t="e">
        <f>J165-#REF!</f>
        <v>#REF!</v>
      </c>
      <c r="N165" s="459"/>
      <c r="O165" s="430"/>
      <c r="P165" s="531">
        <f>VLOOKUP(B165,正厂竞争者数据汇总!D:M,6,FALSE)</f>
        <v>0</v>
      </c>
      <c r="Q165" s="429" t="s">
        <v>180</v>
      </c>
      <c r="R165" s="421" t="s">
        <v>180</v>
      </c>
      <c r="S165" s="473"/>
      <c r="T165" s="466"/>
      <c r="U165" s="466"/>
      <c r="V165" s="421"/>
      <c r="W165" s="421"/>
    </row>
    <row r="166" s="408" customFormat="1" spans="1:23">
      <c r="A166" s="428" t="s">
        <v>230</v>
      </c>
      <c r="B166" s="438" t="s">
        <v>336</v>
      </c>
      <c r="C166" s="429" t="str">
        <f>VLOOKUP(B166,正厂竞争者数据汇总!D:H,2,FALSE)</f>
        <v>Motor目录</v>
      </c>
      <c r="D166" s="421" t="str">
        <f>VLOOKUP(B166,正厂竞争者数据汇总!D:H,3,FALSE)</f>
        <v>IL</v>
      </c>
      <c r="E166" s="430"/>
      <c r="F166" s="430">
        <v>79027</v>
      </c>
      <c r="G166" s="430"/>
      <c r="H166" s="430"/>
      <c r="I166" s="453"/>
      <c r="J166" s="451">
        <v>0.159790873531664</v>
      </c>
      <c r="K166" s="451"/>
      <c r="L166" s="451"/>
      <c r="M166" s="451"/>
      <c r="N166" s="459"/>
      <c r="O166" s="430"/>
      <c r="P166" s="531" t="str">
        <f>VLOOKUP(B166,正厂竞争者数据汇总!D:M,6,FALSE)</f>
        <v>2023年9月新增</v>
      </c>
      <c r="Q166" s="429"/>
      <c r="R166" s="421"/>
      <c r="S166" s="473"/>
      <c r="T166" s="466"/>
      <c r="U166" s="466"/>
      <c r="V166" s="421"/>
      <c r="W166" s="421"/>
    </row>
    <row r="167" s="408" customFormat="1" spans="1:23">
      <c r="A167" s="428" t="s">
        <v>332</v>
      </c>
      <c r="B167" s="438" t="s">
        <v>333</v>
      </c>
      <c r="C167" s="429" t="str">
        <f>VLOOKUP(B167,正厂竞争者数据汇总!D:H,2,FALSE)</f>
        <v>Motor目录</v>
      </c>
      <c r="D167" s="421" t="str">
        <f>VLOOKUP(B167,正厂竞争者数据汇总!D:H,3,FALSE)</f>
        <v>TX</v>
      </c>
      <c r="E167" s="430"/>
      <c r="F167" s="430">
        <v>78905</v>
      </c>
      <c r="G167" s="430"/>
      <c r="H167" s="430"/>
      <c r="I167" s="453"/>
      <c r="J167" s="451">
        <v>0.159544192187682</v>
      </c>
      <c r="K167" s="451"/>
      <c r="L167" s="451"/>
      <c r="M167" s="451"/>
      <c r="N167" s="459"/>
      <c r="O167" s="430"/>
      <c r="P167" s="531" t="str">
        <f>VLOOKUP(B167,正厂竞争者数据汇总!D:M,6,FALSE)</f>
        <v>2023年9月新增，用区号确定的地址</v>
      </c>
      <c r="Q167" s="429"/>
      <c r="R167" s="421"/>
      <c r="S167" s="473"/>
      <c r="T167" s="466"/>
      <c r="U167" s="466"/>
      <c r="V167" s="421"/>
      <c r="W167" s="421"/>
    </row>
    <row r="168" s="408" customFormat="1" spans="1:23">
      <c r="A168" s="428" t="s">
        <v>230</v>
      </c>
      <c r="B168" s="438" t="s">
        <v>334</v>
      </c>
      <c r="C168" s="429" t="str">
        <f>VLOOKUP(B168,正厂竞争者数据汇总!D:H,2,FALSE)</f>
        <v>Motor目录</v>
      </c>
      <c r="D168" s="421" t="str">
        <f>VLOOKUP(B168,正厂竞争者数据汇总!D:H,3,FALSE)</f>
        <v>WA</v>
      </c>
      <c r="E168" s="430"/>
      <c r="F168" s="430">
        <v>53377.6666666667</v>
      </c>
      <c r="G168" s="430"/>
      <c r="H168" s="430"/>
      <c r="I168" s="453"/>
      <c r="J168" s="451">
        <v>0.107928479934056</v>
      </c>
      <c r="K168" s="451"/>
      <c r="L168" s="451"/>
      <c r="M168" s="451"/>
      <c r="N168" s="459"/>
      <c r="O168" s="430"/>
      <c r="P168" s="531">
        <f>VLOOKUP(B168,正厂竞争者数据汇总!D:M,6,FALSE)</f>
        <v>0</v>
      </c>
      <c r="Q168" s="429"/>
      <c r="R168" s="421"/>
      <c r="S168" s="473"/>
      <c r="T168" s="466"/>
      <c r="U168" s="466"/>
      <c r="V168" s="421"/>
      <c r="W168" s="421"/>
    </row>
    <row r="169" s="408" customFormat="1" spans="1:23">
      <c r="A169" s="428" t="s">
        <v>230</v>
      </c>
      <c r="B169" s="438" t="s">
        <v>337</v>
      </c>
      <c r="C169" s="429" t="str">
        <f>VLOOKUP(B169,正厂竞争者数据汇总!D:H,2,FALSE)</f>
        <v>Acc目录</v>
      </c>
      <c r="D169" s="421" t="str">
        <f>VLOOKUP(B169,正厂竞争者数据汇总!D:H,3,FALSE)</f>
        <v>AL</v>
      </c>
      <c r="E169" s="430"/>
      <c r="F169" s="430">
        <v>42018.4166666667</v>
      </c>
      <c r="G169" s="430"/>
      <c r="H169" s="430"/>
      <c r="I169" s="453"/>
      <c r="J169" s="451">
        <v>0.0849603237321943</v>
      </c>
      <c r="K169" s="451"/>
      <c r="L169" s="451"/>
      <c r="M169" s="451"/>
      <c r="N169" s="459"/>
      <c r="O169" s="430"/>
      <c r="P169" s="531" t="str">
        <f>VLOOKUP(B169,正厂竞争者数据汇总!D:M,6,FALSE)</f>
        <v>主营Acc</v>
      </c>
      <c r="Q169" s="429"/>
      <c r="R169" s="421"/>
      <c r="S169" s="473"/>
      <c r="T169" s="466"/>
      <c r="U169" s="466"/>
      <c r="V169" s="421"/>
      <c r="W169" s="421"/>
    </row>
    <row r="170" s="410" customFormat="1" spans="1:23">
      <c r="A170" s="432"/>
      <c r="B170" s="433"/>
      <c r="C170" s="434"/>
      <c r="D170" s="421"/>
      <c r="E170" s="436"/>
      <c r="F170" s="436"/>
      <c r="G170" s="436">
        <v>417528.5</v>
      </c>
      <c r="H170" s="436"/>
      <c r="I170" s="453"/>
      <c r="J170" s="457"/>
      <c r="K170" s="457"/>
      <c r="L170" s="457"/>
      <c r="M170" s="451"/>
      <c r="N170" s="455"/>
      <c r="O170" s="436"/>
      <c r="P170" s="531"/>
      <c r="Q170" s="500"/>
      <c r="R170" s="501"/>
      <c r="S170" s="473"/>
      <c r="T170" s="466"/>
      <c r="U170" s="466"/>
      <c r="V170" s="435"/>
      <c r="W170" s="435"/>
    </row>
    <row r="171" s="408" customFormat="1" spans="1:23">
      <c r="A171" s="428"/>
      <c r="B171" s="421"/>
      <c r="C171" s="439"/>
      <c r="D171" s="421"/>
      <c r="E171" s="430"/>
      <c r="F171" s="430">
        <v>494565.166666667</v>
      </c>
      <c r="G171" s="430"/>
      <c r="H171" s="430">
        <v>484652.583333333</v>
      </c>
      <c r="I171" s="453" t="e">
        <v>#DIV/0!</v>
      </c>
      <c r="J171" s="430"/>
      <c r="K171" s="430"/>
      <c r="L171" s="430"/>
      <c r="M171" s="451"/>
      <c r="N171" s="459"/>
      <c r="O171" s="430"/>
      <c r="P171" s="531"/>
      <c r="Q171" s="429"/>
      <c r="R171" s="421"/>
      <c r="S171" s="473"/>
      <c r="T171" s="466"/>
      <c r="U171" s="466"/>
      <c r="V171" s="421"/>
      <c r="W171" s="421"/>
    </row>
    <row r="172" s="408" customFormat="1" spans="1:23">
      <c r="A172" s="423"/>
      <c r="B172" s="421"/>
      <c r="C172" s="425"/>
      <c r="D172" s="421"/>
      <c r="E172" s="430"/>
      <c r="F172" s="430"/>
      <c r="G172" s="430"/>
      <c r="H172" s="430"/>
      <c r="I172" s="453"/>
      <c r="J172" s="430"/>
      <c r="K172" s="430"/>
      <c r="L172" s="430"/>
      <c r="M172" s="451"/>
      <c r="N172" s="459"/>
      <c r="O172" s="430"/>
      <c r="P172" s="531"/>
      <c r="Q172" s="429"/>
      <c r="R172" s="421"/>
      <c r="S172" s="473"/>
      <c r="T172" s="466"/>
      <c r="U172" s="466"/>
      <c r="V172" s="421"/>
      <c r="W172" s="421"/>
    </row>
    <row r="173" s="408" customFormat="1" ht="17.4" spans="1:23">
      <c r="A173" s="418" t="s">
        <v>189</v>
      </c>
      <c r="B173" s="419"/>
      <c r="C173" s="420"/>
      <c r="D173" s="421"/>
      <c r="E173" s="422" t="s">
        <v>202</v>
      </c>
      <c r="F173" s="422"/>
      <c r="G173" s="422" t="s">
        <v>213</v>
      </c>
      <c r="H173" s="422"/>
      <c r="I173" s="422"/>
      <c r="J173" s="422"/>
      <c r="K173" s="422"/>
      <c r="L173" s="422"/>
      <c r="M173" s="443"/>
      <c r="N173" s="422"/>
      <c r="O173" s="422"/>
      <c r="P173" s="531"/>
      <c r="Q173" s="465"/>
      <c r="R173" s="424"/>
      <c r="S173" s="473"/>
      <c r="T173" s="467"/>
      <c r="U173" s="467"/>
      <c r="V173" s="467"/>
      <c r="W173" s="467"/>
    </row>
    <row r="174" s="409" customFormat="1" ht="46.8" spans="1:23">
      <c r="A174" s="423" t="s">
        <v>206</v>
      </c>
      <c r="B174" s="424" t="s">
        <v>207</v>
      </c>
      <c r="C174" s="425" t="s">
        <v>208</v>
      </c>
      <c r="D174" s="424" t="s">
        <v>209</v>
      </c>
      <c r="E174" s="426" t="s">
        <v>210</v>
      </c>
      <c r="F174" s="427" t="s">
        <v>432</v>
      </c>
      <c r="G174" s="427">
        <v>116448.583333333</v>
      </c>
      <c r="H174" s="427" t="s">
        <v>396</v>
      </c>
      <c r="I174" s="427" t="s">
        <v>386</v>
      </c>
      <c r="J174" s="446" t="s">
        <v>433</v>
      </c>
      <c r="K174" s="446"/>
      <c r="L174" s="446"/>
      <c r="M174" s="447" t="s">
        <v>436</v>
      </c>
      <c r="N174" s="448" t="s">
        <v>219</v>
      </c>
      <c r="O174" s="449" t="s">
        <v>220</v>
      </c>
      <c r="P174" s="535" t="s">
        <v>0</v>
      </c>
      <c r="Q174" s="469" t="s">
        <v>222</v>
      </c>
      <c r="R174" s="426" t="s">
        <v>223</v>
      </c>
      <c r="S174" s="470" t="s">
        <v>224</v>
      </c>
      <c r="T174" s="467" t="s">
        <v>225</v>
      </c>
      <c r="U174" s="470" t="s">
        <v>226</v>
      </c>
      <c r="V174" s="467"/>
      <c r="W174" s="467"/>
    </row>
    <row r="175" s="408" customFormat="1" spans="1:23">
      <c r="A175" s="428" t="s">
        <v>230</v>
      </c>
      <c r="B175" s="421" t="s">
        <v>354</v>
      </c>
      <c r="C175" s="429" t="str">
        <f>VLOOKUP(B175,正厂竞争者数据汇总!D:H,2,FALSE)</f>
        <v>Motor目录</v>
      </c>
      <c r="D175" s="421" t="str">
        <f>VLOOKUP(B175,正厂竞争者数据汇总!D:H,3,FALSE)</f>
        <v>NJ</v>
      </c>
      <c r="E175" s="430"/>
      <c r="F175" s="430">
        <v>117755.416666666</v>
      </c>
      <c r="G175" s="430"/>
      <c r="H175" s="430"/>
      <c r="I175" s="453"/>
      <c r="J175" s="451">
        <v>0.446506805834718</v>
      </c>
      <c r="K175" s="451"/>
      <c r="L175" s="451"/>
      <c r="M175" s="451"/>
      <c r="N175" s="459"/>
      <c r="O175" s="430"/>
      <c r="P175" s="531">
        <f>VLOOKUP(B175,正厂竞争者数据汇总!D:M,6,FALSE)</f>
        <v>0</v>
      </c>
      <c r="Q175" s="429"/>
      <c r="R175" s="421"/>
      <c r="S175" s="473"/>
      <c r="T175" s="466"/>
      <c r="U175" s="466"/>
      <c r="V175" s="421"/>
      <c r="W175" s="421"/>
    </row>
    <row r="176" s="408" customFormat="1" spans="1:23">
      <c r="A176" s="428" t="s">
        <v>243</v>
      </c>
      <c r="B176" s="421" t="s">
        <v>355</v>
      </c>
      <c r="C176" s="429" t="str">
        <f>VLOOKUP(B176,正厂竞争者数据汇总!D:H,2,FALSE)</f>
        <v>旧年份原厂、新年份Motor</v>
      </c>
      <c r="D176" s="421" t="str">
        <f>VLOOKUP(B176,正厂竞争者数据汇总!D:H,3,FALSE)</f>
        <v>GA</v>
      </c>
      <c r="E176" s="430" t="e">
        <f>VLOOKUP(B180,正厂竞争者数据汇总!D:H,4,FALSE)</f>
        <v>#N/A</v>
      </c>
      <c r="F176" s="430">
        <v>48976</v>
      </c>
      <c r="G176" s="430">
        <v>128</v>
      </c>
      <c r="H176" s="430">
        <v>27911.6666666667</v>
      </c>
      <c r="I176" s="453">
        <v>381.625</v>
      </c>
      <c r="J176" s="451">
        <v>0.185707952479706</v>
      </c>
      <c r="K176" s="451"/>
      <c r="L176" s="451"/>
      <c r="M176" s="451"/>
      <c r="N176" s="459"/>
      <c r="O176" s="430"/>
      <c r="P176" s="536">
        <f>VLOOKUP(B176,正厂竞争者数据汇总!D:M,6,FALSE)</f>
        <v>0</v>
      </c>
      <c r="Q176" s="429" t="s">
        <v>180</v>
      </c>
      <c r="R176" s="421" t="s">
        <v>180</v>
      </c>
      <c r="S176" s="473"/>
      <c r="T176" s="466"/>
      <c r="U176" s="466"/>
      <c r="V176" s="421"/>
      <c r="W176" s="421"/>
    </row>
    <row r="177" s="408" customFormat="1" spans="1:23">
      <c r="A177" s="428" t="s">
        <v>243</v>
      </c>
      <c r="B177" s="421" t="s">
        <v>353</v>
      </c>
      <c r="C177" s="429" t="str">
        <f>VLOOKUP(B177,正厂竞争者数据汇总!D:H,2,FALSE)</f>
        <v>Motor目录</v>
      </c>
      <c r="D177" s="421" t="str">
        <f>VLOOKUP(B177,正厂竞争者数据汇总!D:H,3,FALSE)</f>
        <v>WI</v>
      </c>
      <c r="E177" s="430">
        <f>VLOOKUP(B179,正厂竞争者数据汇总!D:H,4,FALSE)</f>
        <v>0</v>
      </c>
      <c r="F177" s="430">
        <v>43395.5</v>
      </c>
      <c r="G177" s="430">
        <v>127</v>
      </c>
      <c r="H177" s="430">
        <v>27910.6666666667</v>
      </c>
      <c r="I177" s="453">
        <v>340.696850393701</v>
      </c>
      <c r="J177" s="451">
        <v>0.164547726474867</v>
      </c>
      <c r="K177" s="451"/>
      <c r="L177" s="451"/>
      <c r="M177" s="451" t="e">
        <f>J177-#REF!</f>
        <v>#REF!</v>
      </c>
      <c r="N177" s="459"/>
      <c r="O177" s="430"/>
      <c r="P177" s="531" t="str">
        <f>VLOOKUP(B177,正厂竞争者数据汇总!D:M,6,FALSE)</f>
        <v>2023年9月新增</v>
      </c>
      <c r="Q177" s="429" t="s">
        <v>180</v>
      </c>
      <c r="R177" s="421" t="s">
        <v>180</v>
      </c>
      <c r="S177" s="473"/>
      <c r="T177" s="466"/>
      <c r="U177" s="466"/>
      <c r="V177" s="421"/>
      <c r="W177" s="421"/>
    </row>
    <row r="178" s="408" customFormat="1" spans="1:23">
      <c r="A178" s="428" t="s">
        <v>230</v>
      </c>
      <c r="B178" s="421" t="s">
        <v>352</v>
      </c>
      <c r="C178" s="429" t="str">
        <f>VLOOKUP(B178,正厂竞争者数据汇总!D:H,2,FALSE)</f>
        <v>Motor目录</v>
      </c>
      <c r="D178" s="421" t="str">
        <f>VLOOKUP(B178,正厂竞争者数据汇总!D:H,3,FALSE)</f>
        <v>-</v>
      </c>
      <c r="E178" s="430" t="e">
        <f>VLOOKUP(B181,正厂竞争者数据汇总!D:H,4,FALSE)</f>
        <v>#N/A</v>
      </c>
      <c r="F178" s="430">
        <v>32508</v>
      </c>
      <c r="G178" s="430">
        <v>129</v>
      </c>
      <c r="H178" s="430">
        <v>27912.6666666667</v>
      </c>
      <c r="I178" s="453">
        <v>251</v>
      </c>
      <c r="J178" s="451">
        <v>0.123264335985182</v>
      </c>
      <c r="K178" s="451"/>
      <c r="L178" s="451"/>
      <c r="M178" s="451"/>
      <c r="N178" s="459"/>
      <c r="O178" s="430"/>
      <c r="P178" s="531" t="str">
        <f>VLOOKUP(B178,正厂竞争者数据汇总!D:M,6,FALSE)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78" s="429"/>
      <c r="R178" s="421"/>
      <c r="S178" s="473"/>
      <c r="T178" s="466"/>
      <c r="U178" s="466"/>
      <c r="V178" s="421"/>
      <c r="W178" s="421"/>
    </row>
    <row r="179" s="408" customFormat="1" spans="1:23">
      <c r="A179" s="428" t="s">
        <v>230</v>
      </c>
      <c r="B179" s="431" t="s">
        <v>356</v>
      </c>
      <c r="C179" s="429" t="str">
        <f>VLOOKUP(B179,正厂竞争者数据汇总!D:H,2,FALSE)</f>
        <v>Motor目录</v>
      </c>
      <c r="D179" s="421" t="str">
        <f>VLOOKUP(B179,正厂竞争者数据汇总!D:H,3,FALSE)</f>
        <v>KS</v>
      </c>
      <c r="E179" s="430">
        <f>VLOOKUP(B179,正厂竞争者数据汇总!D:H,4,FALSE)</f>
        <v>0</v>
      </c>
      <c r="F179" s="430">
        <v>21091</v>
      </c>
      <c r="G179" s="430">
        <v>23846.5</v>
      </c>
      <c r="H179" s="430">
        <v>201650.166666667</v>
      </c>
      <c r="I179" s="453">
        <v>-0.115551548445264</v>
      </c>
      <c r="J179" s="451">
        <v>0.0799731792255282</v>
      </c>
      <c r="K179" s="451"/>
      <c r="L179" s="451"/>
      <c r="M179" s="451" t="e">
        <f>J179-#REF!</f>
        <v>#REF!</v>
      </c>
      <c r="N179" s="459"/>
      <c r="O179" s="430"/>
      <c r="P179" s="531">
        <f>VLOOKUP(B179,正厂竞争者数据汇总!D:M,6,FALSE)</f>
        <v>0</v>
      </c>
      <c r="Q179" s="429" t="s">
        <v>180</v>
      </c>
      <c r="R179" s="421" t="s">
        <v>180</v>
      </c>
      <c r="S179" s="473"/>
      <c r="T179" s="466"/>
      <c r="U179" s="466"/>
      <c r="V179" s="421"/>
      <c r="W179" s="421"/>
    </row>
    <row r="180" s="410" customFormat="1" spans="1:23">
      <c r="A180" s="432"/>
      <c r="B180" s="433"/>
      <c r="C180" s="434"/>
      <c r="D180" s="421"/>
      <c r="E180" s="436"/>
      <c r="F180" s="436"/>
      <c r="G180" s="436">
        <v>749876.416666666</v>
      </c>
      <c r="H180" s="436"/>
      <c r="I180" s="453"/>
      <c r="J180" s="457"/>
      <c r="K180" s="457"/>
      <c r="L180" s="457"/>
      <c r="M180" s="451"/>
      <c r="N180" s="455"/>
      <c r="O180" s="436"/>
      <c r="P180" s="531"/>
      <c r="Q180" s="434"/>
      <c r="R180" s="435"/>
      <c r="S180" s="473"/>
      <c r="T180" s="466"/>
      <c r="U180" s="466"/>
      <c r="V180" s="435"/>
      <c r="W180" s="435"/>
    </row>
    <row r="181" s="408" customFormat="1" spans="1:23">
      <c r="A181" s="428"/>
      <c r="B181" s="421"/>
      <c r="C181" s="439"/>
      <c r="D181" s="421"/>
      <c r="E181" s="430"/>
      <c r="F181" s="430">
        <v>263725.916666666</v>
      </c>
      <c r="G181" s="430"/>
      <c r="H181" s="430">
        <v>829193.583333334</v>
      </c>
      <c r="I181" s="453" t="e">
        <v>#DIV/0!</v>
      </c>
      <c r="J181" s="430"/>
      <c r="K181" s="430"/>
      <c r="L181" s="430"/>
      <c r="M181" s="451"/>
      <c r="N181" s="459"/>
      <c r="O181" s="430"/>
      <c r="P181" s="531"/>
      <c r="Q181" s="429"/>
      <c r="R181" s="421"/>
      <c r="S181" s="473"/>
      <c r="T181" s="466"/>
      <c r="U181" s="466"/>
      <c r="V181" s="421"/>
      <c r="W181" s="421"/>
    </row>
    <row r="182" s="408" customFormat="1" spans="1:23">
      <c r="A182" s="428"/>
      <c r="B182" s="421"/>
      <c r="C182" s="439"/>
      <c r="D182" s="421"/>
      <c r="E182" s="430"/>
      <c r="F182" s="430"/>
      <c r="G182" s="430"/>
      <c r="H182" s="430"/>
      <c r="I182" s="453"/>
      <c r="J182" s="430"/>
      <c r="K182" s="430"/>
      <c r="L182" s="430"/>
      <c r="M182" s="451"/>
      <c r="N182" s="459"/>
      <c r="O182" s="430"/>
      <c r="P182" s="531"/>
      <c r="Q182" s="429"/>
      <c r="R182" s="421"/>
      <c r="S182" s="473"/>
      <c r="T182" s="466"/>
      <c r="U182" s="466"/>
      <c r="V182" s="421"/>
      <c r="W182" s="421"/>
    </row>
    <row r="183" s="408" customFormat="1" ht="17.4" spans="1:23">
      <c r="A183" s="418" t="s">
        <v>187</v>
      </c>
      <c r="B183" s="419"/>
      <c r="C183" s="420"/>
      <c r="D183" s="421"/>
      <c r="E183" s="422" t="s">
        <v>202</v>
      </c>
      <c r="F183" s="422"/>
      <c r="G183" s="422" t="s">
        <v>213</v>
      </c>
      <c r="H183" s="422"/>
      <c r="I183" s="422"/>
      <c r="J183" s="422"/>
      <c r="K183" s="422"/>
      <c r="L183" s="422"/>
      <c r="M183" s="443"/>
      <c r="N183" s="422"/>
      <c r="O183" s="422"/>
      <c r="P183" s="531"/>
      <c r="Q183" s="465"/>
      <c r="R183" s="424"/>
      <c r="S183" s="473"/>
      <c r="T183" s="467"/>
      <c r="U183" s="467"/>
      <c r="V183" s="467"/>
      <c r="W183" s="467"/>
    </row>
    <row r="184" s="409" customFormat="1" ht="46.8" spans="1:23">
      <c r="A184" s="423" t="s">
        <v>206</v>
      </c>
      <c r="B184" s="424" t="s">
        <v>207</v>
      </c>
      <c r="C184" s="425" t="s">
        <v>208</v>
      </c>
      <c r="D184" s="424" t="s">
        <v>209</v>
      </c>
      <c r="E184" s="426" t="s">
        <v>210</v>
      </c>
      <c r="F184" s="427" t="s">
        <v>432</v>
      </c>
      <c r="G184" s="427">
        <v>116448.583333333</v>
      </c>
      <c r="H184" s="427" t="s">
        <v>396</v>
      </c>
      <c r="I184" s="427" t="s">
        <v>386</v>
      </c>
      <c r="J184" s="446" t="s">
        <v>433</v>
      </c>
      <c r="K184" s="446"/>
      <c r="L184" s="446"/>
      <c r="M184" s="447" t="s">
        <v>436</v>
      </c>
      <c r="N184" s="448" t="s">
        <v>219</v>
      </c>
      <c r="O184" s="449" t="s">
        <v>220</v>
      </c>
      <c r="P184" s="535" t="s">
        <v>0</v>
      </c>
      <c r="Q184" s="469" t="s">
        <v>222</v>
      </c>
      <c r="R184" s="426" t="s">
        <v>223</v>
      </c>
      <c r="S184" s="470" t="s">
        <v>224</v>
      </c>
      <c r="T184" s="467" t="s">
        <v>225</v>
      </c>
      <c r="U184" s="470" t="s">
        <v>226</v>
      </c>
      <c r="V184" s="467"/>
      <c r="W184" s="467"/>
    </row>
    <row r="185" s="408" customFormat="1" spans="1:23">
      <c r="A185" s="428" t="s">
        <v>230</v>
      </c>
      <c r="B185" s="438" t="s">
        <v>341</v>
      </c>
      <c r="C185" s="429" t="str">
        <f>VLOOKUP(B185,正厂竞争者数据汇总!D:H,2,FALSE)</f>
        <v>Motor目录</v>
      </c>
      <c r="D185" s="421" t="str">
        <f>VLOOKUP(B185,正厂竞争者数据汇总!D:H,3,FALSE)</f>
        <v>IL</v>
      </c>
      <c r="E185" s="430">
        <f>VLOOKUP(B185,正厂竞争者数据汇总!D:H,4,FALSE)</f>
        <v>0</v>
      </c>
      <c r="F185" s="430">
        <v>67319</v>
      </c>
      <c r="G185" s="430">
        <v>1355.75</v>
      </c>
      <c r="H185" s="430">
        <v>65360.75</v>
      </c>
      <c r="I185" s="453">
        <v>48.6544348146782</v>
      </c>
      <c r="J185" s="451">
        <v>0.264848737997803</v>
      </c>
      <c r="K185" s="451"/>
      <c r="L185" s="451"/>
      <c r="M185" s="451" t="e">
        <f>J185-#REF!</f>
        <v>#REF!</v>
      </c>
      <c r="N185" s="459"/>
      <c r="O185" s="430"/>
      <c r="P185" s="531">
        <f>VLOOKUP(B185,正厂竞争者数据汇总!D:M,6,FALSE)</f>
        <v>0</v>
      </c>
      <c r="Q185" s="429" t="s">
        <v>180</v>
      </c>
      <c r="R185" s="421" t="s">
        <v>180</v>
      </c>
      <c r="S185" s="473"/>
      <c r="T185" s="466"/>
      <c r="U185" s="466"/>
      <c r="V185" s="421"/>
      <c r="W185" s="421"/>
    </row>
    <row r="186" s="408" customFormat="1" spans="1:23">
      <c r="A186" s="428" t="s">
        <v>230</v>
      </c>
      <c r="B186" s="438" t="s">
        <v>346</v>
      </c>
      <c r="C186" s="429" t="str">
        <f>VLOOKUP(B186,正厂竞争者数据汇总!D:H,2,FALSE)</f>
        <v>Motor目录</v>
      </c>
      <c r="D186" s="421" t="str">
        <f>VLOOKUP(B186,正厂竞争者数据汇总!D:H,3,FALSE)</f>
        <v>AZ</v>
      </c>
      <c r="E186" s="430">
        <f>VLOOKUP(B186,正厂竞争者数据汇总!D:H,4,FALSE)</f>
        <v>0</v>
      </c>
      <c r="F186" s="430">
        <v>35095.5</v>
      </c>
      <c r="G186" s="430">
        <v>1364.75</v>
      </c>
      <c r="H186" s="430">
        <v>65369.75</v>
      </c>
      <c r="I186" s="453">
        <v>24.7156988459425</v>
      </c>
      <c r="J186" s="451">
        <v>0.138073929862325</v>
      </c>
      <c r="K186" s="451"/>
      <c r="L186" s="451"/>
      <c r="M186" s="451"/>
      <c r="N186" s="459"/>
      <c r="O186" s="430"/>
      <c r="P186" s="531" t="str">
        <f>VLOOKUP(B186,正厂竞争者数据汇总!D:M,6,FALSE)</f>
        <v>2023年9月新增</v>
      </c>
      <c r="Q186" s="429"/>
      <c r="R186" s="421"/>
      <c r="S186" s="473"/>
      <c r="T186" s="466"/>
      <c r="U186" s="466"/>
      <c r="V186" s="421"/>
      <c r="W186" s="421"/>
    </row>
    <row r="187" s="408" customFormat="1" spans="1:23">
      <c r="A187" s="428" t="s">
        <v>230</v>
      </c>
      <c r="B187" s="438" t="s">
        <v>342</v>
      </c>
      <c r="C187" s="429" t="str">
        <f>VLOOKUP(B187,正厂竞争者数据汇总!D:H,2,FALSE)</f>
        <v>Motor目录</v>
      </c>
      <c r="D187" s="421" t="str">
        <f>VLOOKUP(B187,正厂竞争者数据汇总!D:H,3,FALSE)</f>
        <v>NE</v>
      </c>
      <c r="E187" s="430">
        <f>VLOOKUP(B187,正厂竞争者数据汇总!D:H,4,FALSE)</f>
        <v>0</v>
      </c>
      <c r="F187" s="430">
        <v>25765</v>
      </c>
      <c r="G187" s="430">
        <v>1360.75</v>
      </c>
      <c r="H187" s="430">
        <v>65365.75</v>
      </c>
      <c r="I187" s="453">
        <v>17.9344111703105</v>
      </c>
      <c r="J187" s="451">
        <v>0.101365554071115</v>
      </c>
      <c r="K187" s="451"/>
      <c r="L187" s="451"/>
      <c r="M187" s="451"/>
      <c r="N187" s="459"/>
      <c r="O187" s="430"/>
      <c r="P187" s="531" t="str">
        <f>VLOOKUP(B187,正厂竞争者数据汇总!D:M,6,FALSE)</f>
        <v>2023年9月新增</v>
      </c>
      <c r="Q187" s="429"/>
      <c r="R187" s="421"/>
      <c r="S187" s="473"/>
      <c r="T187" s="466"/>
      <c r="U187" s="466"/>
      <c r="V187" s="421"/>
      <c r="W187" s="421"/>
    </row>
    <row r="188" s="408" customFormat="1" spans="1:23">
      <c r="A188" s="428" t="s">
        <v>230</v>
      </c>
      <c r="B188" s="438" t="s">
        <v>343</v>
      </c>
      <c r="C188" s="429" t="str">
        <f>VLOOKUP(B188,正厂竞争者数据汇总!D:H,2,FALSE)</f>
        <v>Motor目录</v>
      </c>
      <c r="D188" s="421" t="str">
        <f>VLOOKUP(B188,正厂竞争者数据汇总!D:H,3,FALSE)</f>
        <v>-</v>
      </c>
      <c r="E188" s="430">
        <f>VLOOKUP(B188,正厂竞争者数据汇总!D:H,4,FALSE)</f>
        <v>0</v>
      </c>
      <c r="F188" s="430">
        <v>23675</v>
      </c>
      <c r="G188" s="430">
        <v>1368.75</v>
      </c>
      <c r="H188" s="430">
        <v>65373.75</v>
      </c>
      <c r="I188" s="453">
        <v>16.296803652968</v>
      </c>
      <c r="J188" s="451">
        <v>0.0931430037893905</v>
      </c>
      <c r="K188" s="451"/>
      <c r="L188" s="451"/>
      <c r="M188" s="451"/>
      <c r="N188" s="459"/>
      <c r="O188" s="430"/>
      <c r="P188" s="531" t="str">
        <f>VLOOKUP(B188,正厂竞争者数据汇总!D:M,6,FALSE)</f>
        <v>2023年9月新增</v>
      </c>
      <c r="Q188" s="429"/>
      <c r="R188" s="421"/>
      <c r="S188" s="473"/>
      <c r="T188" s="466"/>
      <c r="U188" s="466"/>
      <c r="V188" s="421"/>
      <c r="W188" s="421"/>
    </row>
    <row r="189" s="408" customFormat="1" spans="1:23">
      <c r="A189" s="428" t="s">
        <v>230</v>
      </c>
      <c r="B189" s="438" t="s">
        <v>344</v>
      </c>
      <c r="C189" s="429" t="str">
        <f>VLOOKUP(B189,正厂竞争者数据汇总!D:H,2,FALSE)</f>
        <v>Motor目录</v>
      </c>
      <c r="D189" s="421" t="str">
        <f>VLOOKUP(B189,正厂竞争者数据汇总!D:H,3,FALSE)</f>
        <v>-</v>
      </c>
      <c r="E189" s="430">
        <f>VLOOKUP(B189,正厂竞争者数据汇总!D:H,4,FALSE)</f>
        <v>0</v>
      </c>
      <c r="F189" s="430">
        <v>21644.1666666667</v>
      </c>
      <c r="G189" s="430">
        <v>1363.75</v>
      </c>
      <c r="H189" s="430">
        <v>65368.75</v>
      </c>
      <c r="I189" s="453">
        <v>14.8710663000306</v>
      </c>
      <c r="J189" s="451">
        <v>0.0851532290539191</v>
      </c>
      <c r="K189" s="451"/>
      <c r="L189" s="451"/>
      <c r="M189" s="451"/>
      <c r="N189" s="459"/>
      <c r="O189" s="430"/>
      <c r="P189" s="531">
        <f>VLOOKUP(B189,正厂竞争者数据汇总!D:M,6,FALSE)</f>
        <v>0</v>
      </c>
      <c r="Q189" s="429"/>
      <c r="R189" s="421"/>
      <c r="S189" s="473"/>
      <c r="T189" s="466"/>
      <c r="U189" s="466"/>
      <c r="V189" s="421"/>
      <c r="W189" s="421"/>
    </row>
    <row r="190" s="408" customFormat="1" spans="1:23">
      <c r="A190" s="428" t="s">
        <v>230</v>
      </c>
      <c r="B190" s="438" t="s">
        <v>347</v>
      </c>
      <c r="C190" s="429" t="str">
        <f>VLOOKUP(B190,正厂竞争者数据汇总!D:H,2,FALSE)</f>
        <v>Motor目录</v>
      </c>
      <c r="D190" s="421" t="str">
        <f>VLOOKUP(B190,正厂竞争者数据汇总!D:H,3,FALSE)</f>
        <v>-</v>
      </c>
      <c r="E190" s="430">
        <f>VLOOKUP(B190,正厂竞争者数据汇总!D:H,4,FALSE)</f>
        <v>0</v>
      </c>
      <c r="F190" s="430">
        <v>20264.5</v>
      </c>
      <c r="G190" s="430">
        <v>1361.75</v>
      </c>
      <c r="H190" s="430">
        <v>65366.75</v>
      </c>
      <c r="I190" s="453">
        <v>13.8812190196438</v>
      </c>
      <c r="J190" s="451">
        <v>0.0797252967387583</v>
      </c>
      <c r="K190" s="451"/>
      <c r="L190" s="451"/>
      <c r="M190" s="451"/>
      <c r="N190" s="459"/>
      <c r="O190" s="430"/>
      <c r="P190" s="531" t="str">
        <f>VLOOKUP(B190,正厂竞争者数据汇总!D:M,6,FALSE)</f>
        <v>2023年9月新增</v>
      </c>
      <c r="Q190" s="429"/>
      <c r="R190" s="421"/>
      <c r="S190" s="473"/>
      <c r="T190" s="466"/>
      <c r="U190" s="466"/>
      <c r="V190" s="421"/>
      <c r="W190" s="421"/>
    </row>
    <row r="191" s="408" customFormat="1" spans="1:23">
      <c r="A191" s="428" t="s">
        <v>230</v>
      </c>
      <c r="B191" s="438" t="s">
        <v>348</v>
      </c>
      <c r="C191" s="429" t="str">
        <f>VLOOKUP(B191,正厂竞争者数据汇总!D:H,2,FALSE)</f>
        <v>Motor目录</v>
      </c>
      <c r="D191" s="421" t="str">
        <f>VLOOKUP(B191,正厂竞争者数据汇总!D:H,3,FALSE)</f>
        <v>-</v>
      </c>
      <c r="E191" s="430">
        <f>VLOOKUP(B191,正厂竞争者数据汇总!D:H,4,FALSE)</f>
        <v>0</v>
      </c>
      <c r="F191" s="430">
        <v>18422</v>
      </c>
      <c r="G191" s="430">
        <v>1362.75</v>
      </c>
      <c r="H191" s="430">
        <v>65367.75</v>
      </c>
      <c r="I191" s="453">
        <v>12.5182535314621</v>
      </c>
      <c r="J191" s="451">
        <v>0.0724764695167118</v>
      </c>
      <c r="K191" s="451"/>
      <c r="L191" s="451"/>
      <c r="M191" s="451"/>
      <c r="N191" s="459"/>
      <c r="O191" s="430"/>
      <c r="P191" s="531" t="str">
        <f>VLOOKUP(B191,正厂竞争者数据汇总!D:M,6,FALSE)</f>
        <v>2023年9月新增</v>
      </c>
      <c r="Q191" s="429"/>
      <c r="R191" s="421"/>
      <c r="S191" s="473"/>
      <c r="T191" s="466"/>
      <c r="U191" s="466"/>
      <c r="V191" s="421"/>
      <c r="W191" s="421"/>
    </row>
    <row r="192" s="408" customFormat="1" spans="1:23">
      <c r="A192" s="428" t="s">
        <v>230</v>
      </c>
      <c r="B192" s="438" t="s">
        <v>349</v>
      </c>
      <c r="C192" s="429" t="str">
        <f>VLOOKUP(B192,正厂竞争者数据汇总!D:H,2,FALSE)</f>
        <v>Motor目录</v>
      </c>
      <c r="D192" s="421" t="str">
        <f>VLOOKUP(B192,正厂竞争者数据汇总!D:H,3,FALSE)</f>
        <v>-</v>
      </c>
      <c r="E192" s="430">
        <f>VLOOKUP(B192,正厂竞争者数据汇总!D:H,4,FALSE)</f>
        <v>0</v>
      </c>
      <c r="F192" s="430">
        <v>16825.5</v>
      </c>
      <c r="G192" s="430">
        <v>1374.75</v>
      </c>
      <c r="H192" s="430">
        <v>65379.75</v>
      </c>
      <c r="I192" s="453">
        <v>11.2389525368249</v>
      </c>
      <c r="J192" s="451">
        <v>0.0661954640024663</v>
      </c>
      <c r="K192" s="451"/>
      <c r="L192" s="451"/>
      <c r="M192" s="451"/>
      <c r="N192" s="459"/>
      <c r="O192" s="430"/>
      <c r="P192" s="531" t="str">
        <f>VLOOKUP(B192,正厂竞争者数据汇总!D:M,6,FALSE)</f>
        <v>2023年9月新增</v>
      </c>
      <c r="Q192" s="429"/>
      <c r="R192" s="421"/>
      <c r="S192" s="473"/>
      <c r="T192" s="466"/>
      <c r="U192" s="466"/>
      <c r="V192" s="421"/>
      <c r="W192" s="421"/>
    </row>
    <row r="193" s="408" customFormat="1" spans="1:23">
      <c r="A193" s="428" t="s">
        <v>230</v>
      </c>
      <c r="B193" s="438" t="s">
        <v>350</v>
      </c>
      <c r="C193" s="255" t="s">
        <v>233</v>
      </c>
      <c r="D193" s="421" t="str">
        <f>VLOOKUP(B193,正厂竞争者数据汇总!D:H,3,FALSE)</f>
        <v>UT</v>
      </c>
      <c r="E193" s="430">
        <f>VLOOKUP(B193,正厂竞争者数据汇总!D:H,4,FALSE)</f>
        <v>0</v>
      </c>
      <c r="F193" s="430">
        <v>13676.5</v>
      </c>
      <c r="G193" s="430">
        <v>1374.75</v>
      </c>
      <c r="H193" s="430">
        <v>65379.75</v>
      </c>
      <c r="I193" s="453">
        <v>8.94835424622659</v>
      </c>
      <c r="J193" s="451">
        <v>0.0538065592956958</v>
      </c>
      <c r="K193" s="451"/>
      <c r="L193" s="451"/>
      <c r="M193" s="451"/>
      <c r="N193" s="459"/>
      <c r="O193" s="430"/>
      <c r="P193" s="531"/>
      <c r="Q193" s="429"/>
      <c r="R193" s="421"/>
      <c r="S193" s="473"/>
      <c r="T193" s="466"/>
      <c r="U193" s="466"/>
      <c r="V193" s="421"/>
      <c r="W193" s="421"/>
    </row>
    <row r="194" s="408" customFormat="1" spans="1:23">
      <c r="A194" s="428" t="s">
        <v>375</v>
      </c>
      <c r="B194" s="438" t="s">
        <v>376</v>
      </c>
      <c r="C194" s="429" t="str">
        <f>VLOOKUP(B194,正厂竞争者数据汇总!D:H,2,FALSE)</f>
        <v>无完整目录，category下放的PD</v>
      </c>
      <c r="D194" s="421" t="str">
        <f>VLOOKUP(B194,正厂竞争者数据汇总!D:H,3,FALSE)</f>
        <v>NY</v>
      </c>
      <c r="E194" s="430">
        <f>VLOOKUP(B194,正厂竞争者数据汇总!D:H,4,FALSE)</f>
        <v>0</v>
      </c>
      <c r="F194" s="430">
        <v>11491.881</v>
      </c>
      <c r="G194" s="430">
        <v>1366.75</v>
      </c>
      <c r="H194" s="430">
        <v>65371.75</v>
      </c>
      <c r="I194" s="453">
        <v>7.40818072068776</v>
      </c>
      <c r="J194" s="451">
        <v>0.0452117556718152</v>
      </c>
      <c r="K194" s="451"/>
      <c r="L194" s="451"/>
      <c r="M194" s="451"/>
      <c r="N194" s="459"/>
      <c r="O194" s="430"/>
      <c r="P194" s="531" t="str">
        <f>VLOOKUP(B194,正厂竞争者数据汇总!D:M,6,FALSE)</f>
        <v>同时经营Audi，BMW、Dodge、Jaguar、Land Rover、Mercedes-Benz、Mini、Porsche、Saab、Volkswagen、Volvo。折算比例：Audi：30.3%，MB：69.7%</v>
      </c>
      <c r="Q194" s="429"/>
      <c r="R194" s="421"/>
      <c r="S194" s="473"/>
      <c r="T194" s="466"/>
      <c r="U194" s="466"/>
      <c r="V194" s="421"/>
      <c r="W194" s="421"/>
    </row>
    <row r="195" s="408" customFormat="1" spans="1:23">
      <c r="A195" s="428"/>
      <c r="B195" s="421"/>
      <c r="C195" s="429"/>
      <c r="D195" s="421"/>
      <c r="E195" s="430"/>
      <c r="F195" s="430"/>
      <c r="G195" s="430">
        <v>100126.666666667</v>
      </c>
      <c r="H195" s="430"/>
      <c r="I195" s="453"/>
      <c r="J195" s="451"/>
      <c r="K195" s="451"/>
      <c r="L195" s="451"/>
      <c r="M195" s="451"/>
      <c r="N195" s="459"/>
      <c r="O195" s="430"/>
      <c r="P195" s="531"/>
      <c r="Q195" s="429"/>
      <c r="R195" s="421"/>
      <c r="S195" s="473"/>
      <c r="T195" s="466"/>
      <c r="U195" s="466"/>
      <c r="V195" s="421"/>
      <c r="W195" s="421"/>
    </row>
    <row r="196" s="408" customFormat="1" spans="1:23">
      <c r="A196" s="428"/>
      <c r="B196" s="421"/>
      <c r="C196" s="439"/>
      <c r="D196" s="421"/>
      <c r="E196" s="430"/>
      <c r="F196" s="430">
        <v>254179.047666667</v>
      </c>
      <c r="G196" s="430"/>
      <c r="H196" s="430">
        <v>96860.5</v>
      </c>
      <c r="I196" s="453" t="e">
        <v>#DIV/0!</v>
      </c>
      <c r="J196" s="430"/>
      <c r="K196" s="430"/>
      <c r="L196" s="430"/>
      <c r="M196" s="451"/>
      <c r="N196" s="459"/>
      <c r="O196" s="430"/>
      <c r="P196" s="531"/>
      <c r="Q196" s="429"/>
      <c r="R196" s="421"/>
      <c r="S196" s="473"/>
      <c r="T196" s="466"/>
      <c r="U196" s="466"/>
      <c r="V196" s="421"/>
      <c r="W196" s="421"/>
    </row>
    <row r="197" s="408" customFormat="1" spans="1:23">
      <c r="A197" s="428"/>
      <c r="B197" s="421"/>
      <c r="C197" s="439"/>
      <c r="D197" s="421"/>
      <c r="E197" s="421"/>
      <c r="F197" s="430"/>
      <c r="G197" s="430"/>
      <c r="H197" s="430"/>
      <c r="I197" s="453"/>
      <c r="J197" s="430"/>
      <c r="K197" s="430"/>
      <c r="L197" s="430"/>
      <c r="M197" s="451"/>
      <c r="N197" s="459"/>
      <c r="O197" s="430"/>
      <c r="P197" s="531"/>
      <c r="Q197" s="429"/>
      <c r="R197" s="421"/>
      <c r="S197" s="473"/>
      <c r="T197" s="466"/>
      <c r="U197" s="466"/>
      <c r="V197" s="421"/>
      <c r="W197" s="421"/>
    </row>
    <row r="198" s="408" customFormat="1" ht="17.4" spans="1:23">
      <c r="A198" s="418" t="s">
        <v>195</v>
      </c>
      <c r="B198" s="419"/>
      <c r="C198" s="420"/>
      <c r="D198" s="421"/>
      <c r="E198" s="422" t="s">
        <v>202</v>
      </c>
      <c r="F198" s="422"/>
      <c r="G198" s="422" t="s">
        <v>213</v>
      </c>
      <c r="H198" s="422"/>
      <c r="I198" s="422"/>
      <c r="J198" s="422"/>
      <c r="K198" s="422"/>
      <c r="L198" s="422"/>
      <c r="M198" s="443"/>
      <c r="N198" s="444"/>
      <c r="O198" s="422"/>
      <c r="P198" s="531"/>
      <c r="Q198" s="465"/>
      <c r="R198" s="424"/>
      <c r="S198" s="473"/>
      <c r="T198" s="467"/>
      <c r="U198" s="467"/>
      <c r="V198" s="467"/>
      <c r="W198" s="467"/>
    </row>
    <row r="199" s="409" customFormat="1" ht="46.8" spans="1:23">
      <c r="A199" s="423" t="s">
        <v>206</v>
      </c>
      <c r="B199" s="424" t="s">
        <v>207</v>
      </c>
      <c r="C199" s="425" t="s">
        <v>208</v>
      </c>
      <c r="D199" s="424" t="s">
        <v>209</v>
      </c>
      <c r="E199" s="426" t="s">
        <v>210</v>
      </c>
      <c r="F199" s="427" t="s">
        <v>432</v>
      </c>
      <c r="G199" s="427">
        <v>116448.583333333</v>
      </c>
      <c r="H199" s="427" t="s">
        <v>396</v>
      </c>
      <c r="I199" s="427" t="s">
        <v>386</v>
      </c>
      <c r="J199" s="446" t="s">
        <v>433</v>
      </c>
      <c r="K199" s="446"/>
      <c r="L199" s="446"/>
      <c r="M199" s="447" t="s">
        <v>436</v>
      </c>
      <c r="N199" s="448" t="s">
        <v>219</v>
      </c>
      <c r="O199" s="449" t="s">
        <v>220</v>
      </c>
      <c r="P199" s="535" t="s">
        <v>0</v>
      </c>
      <c r="Q199" s="469" t="s">
        <v>222</v>
      </c>
      <c r="R199" s="426" t="s">
        <v>223</v>
      </c>
      <c r="S199" s="470" t="s">
        <v>224</v>
      </c>
      <c r="T199" s="467" t="s">
        <v>225</v>
      </c>
      <c r="U199" s="470" t="s">
        <v>226</v>
      </c>
      <c r="V199" s="467"/>
      <c r="W199" s="467"/>
    </row>
    <row r="200" s="408" customFormat="1" spans="1:23">
      <c r="A200" s="428" t="s">
        <v>230</v>
      </c>
      <c r="B200" s="421" t="s">
        <v>378</v>
      </c>
      <c r="C200" s="429" t="str">
        <f>VLOOKUP(B200,正厂竞争者数据汇总!D:H,2,FALSE)</f>
        <v>Motor目录</v>
      </c>
      <c r="D200" s="421" t="str">
        <f>VLOOKUP(B200,正厂竞争者数据汇总!D:H,3,FALSE)</f>
        <v>FL</v>
      </c>
      <c r="E200" s="430" t="str">
        <f>VLOOKUP(B199,正厂竞争者数据汇总!D:H,4,FALSE)</f>
        <v>Alexa Traffic Rank</v>
      </c>
      <c r="F200" s="430">
        <v>80383.75</v>
      </c>
      <c r="G200" s="430">
        <v>0</v>
      </c>
      <c r="H200" s="430">
        <v>88546.8333333332</v>
      </c>
      <c r="I200" s="453" t="e">
        <v>#DIV/0!</v>
      </c>
      <c r="J200" s="451">
        <v>0.356285474801824</v>
      </c>
      <c r="K200" s="451"/>
      <c r="L200" s="451"/>
      <c r="M200" s="451">
        <f>J200-K204</f>
        <v>0.356285474801824</v>
      </c>
      <c r="N200" s="459"/>
      <c r="O200" s="430"/>
      <c r="P200" s="531">
        <f>VLOOKUP(B200,正厂竞争者数据汇总!D:M,6,FALSE)</f>
        <v>0</v>
      </c>
      <c r="Q200" s="429" t="s">
        <v>180</v>
      </c>
      <c r="R200" s="421" t="s">
        <v>180</v>
      </c>
      <c r="S200" s="473"/>
      <c r="T200" s="466"/>
      <c r="U200" s="466"/>
      <c r="V200" s="421"/>
      <c r="W200" s="421"/>
    </row>
    <row r="201" s="408" customFormat="1" spans="1:23">
      <c r="A201" s="428" t="s">
        <v>230</v>
      </c>
      <c r="B201" s="421" t="s">
        <v>380</v>
      </c>
      <c r="C201" s="429" t="str">
        <f>VLOOKUP(B201,正厂竞争者数据汇总!D:H,2,FALSE)</f>
        <v>Motor目录</v>
      </c>
      <c r="D201" s="421" t="str">
        <f>VLOOKUP(B201,正厂竞争者数据汇总!D:H,3,FALSE)</f>
        <v>FL</v>
      </c>
      <c r="E201" s="430">
        <f>VLOOKUP(B200,正厂竞争者数据汇总!D:H,4,FALSE)</f>
        <v>0</v>
      </c>
      <c r="F201" s="430">
        <v>45242</v>
      </c>
      <c r="G201" s="430">
        <v>1</v>
      </c>
      <c r="H201" s="430">
        <v>88547.8333333332</v>
      </c>
      <c r="I201" s="453">
        <v>45241</v>
      </c>
      <c r="J201" s="451">
        <v>0.200526442856723</v>
      </c>
      <c r="K201" s="451"/>
      <c r="L201" s="451"/>
      <c r="M201" s="451"/>
      <c r="N201" s="459"/>
      <c r="O201" s="430"/>
      <c r="P201" s="531"/>
      <c r="Q201" s="429"/>
      <c r="R201" s="421"/>
      <c r="S201" s="473"/>
      <c r="T201" s="466"/>
      <c r="U201" s="466"/>
      <c r="V201" s="421"/>
      <c r="W201" s="421"/>
    </row>
    <row r="202" s="408" customFormat="1" spans="1:23">
      <c r="A202" s="428" t="s">
        <v>230</v>
      </c>
      <c r="B202" s="421" t="s">
        <v>381</v>
      </c>
      <c r="C202" s="429" t="str">
        <f>VLOOKUP(B202,正厂竞争者数据汇总!D:H,2,FALSE)</f>
        <v>Motor目录</v>
      </c>
      <c r="D202" s="421" t="str">
        <f>VLOOKUP(B202,正厂竞争者数据汇总!D:H,3,FALSE)</f>
        <v>CA</v>
      </c>
      <c r="E202" s="430">
        <f>VLOOKUP(B201,正厂竞争者数据汇总!D:H,4,FALSE)</f>
        <v>0</v>
      </c>
      <c r="F202" s="430">
        <v>27182.5</v>
      </c>
      <c r="G202" s="430">
        <v>2</v>
      </c>
      <c r="H202" s="430">
        <v>88548.8333333332</v>
      </c>
      <c r="I202" s="453">
        <v>13590.25</v>
      </c>
      <c r="J202" s="451">
        <v>0.120481190773018</v>
      </c>
      <c r="K202" s="451"/>
      <c r="L202" s="451"/>
      <c r="M202" s="451"/>
      <c r="N202" s="459"/>
      <c r="O202" s="430"/>
      <c r="P202" s="531"/>
      <c r="Q202" s="429"/>
      <c r="R202" s="421"/>
      <c r="S202" s="473"/>
      <c r="T202" s="466"/>
      <c r="U202" s="466"/>
      <c r="V202" s="421"/>
      <c r="W202" s="421"/>
    </row>
    <row r="203" s="408" customFormat="1" spans="1:23">
      <c r="A203" s="428" t="s">
        <v>325</v>
      </c>
      <c r="B203" s="421" t="s">
        <v>383</v>
      </c>
      <c r="C203" s="429" t="str">
        <f>VLOOKUP(B203,正厂竞争者数据汇总!D:H,2,FALSE)</f>
        <v>Motor目录</v>
      </c>
      <c r="D203" s="421" t="str">
        <f>VLOOKUP(B203,正厂竞争者数据汇总!D:H,3,FALSE)</f>
        <v>CA</v>
      </c>
      <c r="E203" s="430">
        <f>VLOOKUP(B202,正厂竞争者数据汇总!D:H,4,FALSE)</f>
        <v>0</v>
      </c>
      <c r="F203" s="430">
        <v>24156.88</v>
      </c>
      <c r="G203" s="430">
        <v>3</v>
      </c>
      <c r="H203" s="430">
        <v>88549.8333333332</v>
      </c>
      <c r="I203" s="453">
        <v>8051.29333333333</v>
      </c>
      <c r="J203" s="451">
        <v>0.107070713428158</v>
      </c>
      <c r="K203" s="451"/>
      <c r="L203" s="451"/>
      <c r="M203" s="451"/>
      <c r="N203" s="459"/>
      <c r="O203" s="430"/>
      <c r="P203" s="531"/>
      <c r="Q203" s="429"/>
      <c r="R203" s="421"/>
      <c r="S203" s="473"/>
      <c r="T203" s="466"/>
      <c r="U203" s="466"/>
      <c r="V203" s="421"/>
      <c r="W203" s="421"/>
    </row>
    <row r="204" s="408" customFormat="1" spans="1:23">
      <c r="A204" s="428" t="s">
        <v>230</v>
      </c>
      <c r="B204" s="421" t="s">
        <v>379</v>
      </c>
      <c r="C204" s="429" t="str">
        <f>VLOOKUP(B204,正厂竞争者数据汇总!D:H,2,FALSE)</f>
        <v>Motor目录</v>
      </c>
      <c r="D204" s="421" t="str">
        <f>VLOOKUP(B204,正厂竞争者数据汇总!D:H,3,FALSE)</f>
        <v>FL</v>
      </c>
      <c r="E204" s="430">
        <f>VLOOKUP(B203,正厂竞争者数据汇总!D:H,4,FALSE)</f>
        <v>0</v>
      </c>
      <c r="F204" s="430">
        <v>23097.5</v>
      </c>
      <c r="G204" s="430">
        <v>4</v>
      </c>
      <c r="H204" s="430">
        <v>88550.8333333332</v>
      </c>
      <c r="I204" s="453">
        <v>5773.375</v>
      </c>
      <c r="J204" s="451">
        <v>0.102375215814579</v>
      </c>
      <c r="K204" s="451"/>
      <c r="L204" s="451"/>
      <c r="M204" s="451"/>
      <c r="N204" s="459"/>
      <c r="O204" s="430"/>
      <c r="P204" s="531" t="str">
        <f>VLOOKUP(B204,正厂竞争者数据汇总!D:M,6,FALSE)</f>
        <v>2023年9月新增</v>
      </c>
      <c r="Q204" s="429" t="s">
        <v>180</v>
      </c>
      <c r="R204" s="421" t="s">
        <v>180</v>
      </c>
      <c r="S204" s="473"/>
      <c r="T204" s="466"/>
      <c r="U204" s="466"/>
      <c r="V204" s="421"/>
      <c r="W204" s="421"/>
    </row>
    <row r="205" s="408" customFormat="1" spans="1:23">
      <c r="A205" s="428" t="s">
        <v>230</v>
      </c>
      <c r="B205" s="421" t="s">
        <v>384</v>
      </c>
      <c r="C205" s="255" t="s">
        <v>351</v>
      </c>
      <c r="D205" s="270" t="s">
        <v>49</v>
      </c>
      <c r="E205" s="430"/>
      <c r="F205" s="430">
        <v>11297</v>
      </c>
      <c r="G205" s="430"/>
      <c r="H205" s="430"/>
      <c r="I205" s="453"/>
      <c r="J205" s="451">
        <v>0.0500717745668273</v>
      </c>
      <c r="K205" s="451"/>
      <c r="L205" s="451"/>
      <c r="M205" s="451"/>
      <c r="N205" s="459"/>
      <c r="O205" s="430"/>
      <c r="P205" s="531"/>
      <c r="Q205" s="429"/>
      <c r="R205" s="421"/>
      <c r="S205" s="473"/>
      <c r="T205" s="466"/>
      <c r="U205" s="466"/>
      <c r="V205" s="421"/>
      <c r="W205" s="421"/>
    </row>
    <row r="206" s="408" customFormat="1" spans="1:23">
      <c r="A206" s="428" t="s">
        <v>230</v>
      </c>
      <c r="B206" s="421" t="s">
        <v>382</v>
      </c>
      <c r="C206" s="429" t="str">
        <f>VLOOKUP(B206,正厂竞争者数据汇总!D:H,2,FALSE)</f>
        <v>Motor目录</v>
      </c>
      <c r="D206" s="421" t="str">
        <f>VLOOKUP(B206,正厂竞争者数据汇总!D:H,3,FALSE)</f>
        <v>NJ</v>
      </c>
      <c r="E206" s="430">
        <f>VLOOKUP(B204,正厂竞争者数据汇总!D:H,4,FALSE)</f>
        <v>0</v>
      </c>
      <c r="F206" s="430">
        <v>14256.5</v>
      </c>
      <c r="G206" s="430">
        <v>5</v>
      </c>
      <c r="H206" s="430">
        <v>88551.8333333332</v>
      </c>
      <c r="I206" s="453">
        <v>2850.3</v>
      </c>
      <c r="J206" s="451">
        <v>0.0631891877588717</v>
      </c>
      <c r="K206" s="451"/>
      <c r="L206" s="451"/>
      <c r="M206" s="451"/>
      <c r="N206" s="459"/>
      <c r="O206" s="430"/>
      <c r="P206" s="531" t="str">
        <f>VLOOKUP(B206,正厂竞争者数据汇总!D:M,6,FALSE)</f>
        <v>2023年9月新增</v>
      </c>
      <c r="Q206" s="429" t="s">
        <v>180</v>
      </c>
      <c r="R206" s="421" t="s">
        <v>180</v>
      </c>
      <c r="S206" s="473"/>
      <c r="T206" s="466"/>
      <c r="U206" s="466"/>
      <c r="V206" s="421"/>
      <c r="W206" s="421"/>
    </row>
    <row r="207" s="408" customFormat="1" spans="1:23">
      <c r="A207" s="428"/>
      <c r="B207" s="421"/>
      <c r="C207" s="429"/>
      <c r="D207" s="421"/>
      <c r="E207" s="430"/>
      <c r="F207" s="430"/>
      <c r="G207" s="430"/>
      <c r="H207" s="430"/>
      <c r="I207" s="453"/>
      <c r="J207" s="451"/>
      <c r="K207" s="451"/>
      <c r="L207" s="451"/>
      <c r="M207" s="451"/>
      <c r="N207" s="459"/>
      <c r="O207" s="430"/>
      <c r="P207" s="531"/>
      <c r="Q207" s="429"/>
      <c r="R207" s="421"/>
      <c r="S207" s="473"/>
      <c r="T207" s="466"/>
      <c r="U207" s="466"/>
      <c r="V207" s="421"/>
      <c r="W207" s="421"/>
    </row>
    <row r="208" s="408" customFormat="1" spans="1:23">
      <c r="A208" s="428"/>
      <c r="B208" s="421"/>
      <c r="C208" s="439"/>
      <c r="D208" s="421"/>
      <c r="E208" s="430"/>
      <c r="F208" s="430">
        <v>225616.13</v>
      </c>
      <c r="G208" s="430"/>
      <c r="H208" s="430">
        <v>88546.8333333332</v>
      </c>
      <c r="I208" s="453" t="e">
        <v>#DIV/0!</v>
      </c>
      <c r="J208" s="430"/>
      <c r="K208" s="430"/>
      <c r="L208" s="430"/>
      <c r="M208" s="451"/>
      <c r="N208" s="459"/>
      <c r="O208" s="430"/>
      <c r="P208" s="531"/>
      <c r="Q208" s="429"/>
      <c r="R208" s="421"/>
      <c r="S208" s="473"/>
      <c r="T208" s="466"/>
      <c r="U208" s="466"/>
      <c r="V208" s="421"/>
      <c r="W208" s="421"/>
    </row>
    <row r="209" s="408" customFormat="1" spans="1:23">
      <c r="A209" s="423"/>
      <c r="B209" s="421"/>
      <c r="C209" s="425"/>
      <c r="D209" s="421"/>
      <c r="E209" s="430"/>
      <c r="F209" s="430"/>
      <c r="G209" s="430"/>
      <c r="H209" s="430"/>
      <c r="I209" s="453"/>
      <c r="J209" s="430"/>
      <c r="K209" s="430"/>
      <c r="L209" s="430"/>
      <c r="M209" s="451"/>
      <c r="N209" s="459"/>
      <c r="O209" s="430"/>
      <c r="P209" s="531"/>
      <c r="Q209" s="429"/>
      <c r="R209" s="421"/>
      <c r="S209" s="473"/>
      <c r="T209" s="466"/>
      <c r="U209" s="466"/>
      <c r="V209" s="421"/>
      <c r="W209" s="421"/>
    </row>
    <row r="210" s="408" customFormat="1" ht="17.4" spans="1:23">
      <c r="A210" s="418" t="s">
        <v>193</v>
      </c>
      <c r="B210" s="419"/>
      <c r="C210" s="420"/>
      <c r="D210" s="421"/>
      <c r="E210" s="422" t="s">
        <v>202</v>
      </c>
      <c r="F210" s="422"/>
      <c r="G210" s="422" t="s">
        <v>213</v>
      </c>
      <c r="H210" s="422"/>
      <c r="I210" s="422"/>
      <c r="J210" s="422"/>
      <c r="K210" s="422"/>
      <c r="L210" s="422"/>
      <c r="M210" s="443"/>
      <c r="N210" s="422"/>
      <c r="O210" s="422"/>
      <c r="P210" s="531"/>
      <c r="Q210" s="465"/>
      <c r="R210" s="424"/>
      <c r="S210" s="473"/>
      <c r="T210" s="467"/>
      <c r="U210" s="467"/>
      <c r="V210" s="467"/>
      <c r="W210" s="467"/>
    </row>
    <row r="211" s="409" customFormat="1" ht="46.8" spans="1:23">
      <c r="A211" s="423" t="s">
        <v>206</v>
      </c>
      <c r="B211" s="424" t="s">
        <v>207</v>
      </c>
      <c r="C211" s="425" t="s">
        <v>208</v>
      </c>
      <c r="D211" s="424" t="s">
        <v>209</v>
      </c>
      <c r="E211" s="426" t="s">
        <v>210</v>
      </c>
      <c r="F211" s="427" t="s">
        <v>432</v>
      </c>
      <c r="G211" s="427">
        <v>116448.583333333</v>
      </c>
      <c r="H211" s="427" t="s">
        <v>396</v>
      </c>
      <c r="I211" s="427" t="s">
        <v>386</v>
      </c>
      <c r="J211" s="446" t="s">
        <v>433</v>
      </c>
      <c r="K211" s="446"/>
      <c r="L211" s="446"/>
      <c r="M211" s="447" t="s">
        <v>436</v>
      </c>
      <c r="N211" s="448" t="s">
        <v>219</v>
      </c>
      <c r="O211" s="449" t="s">
        <v>220</v>
      </c>
      <c r="P211" s="535" t="s">
        <v>0</v>
      </c>
      <c r="Q211" s="469" t="s">
        <v>222</v>
      </c>
      <c r="R211" s="426" t="s">
        <v>223</v>
      </c>
      <c r="S211" s="470" t="s">
        <v>224</v>
      </c>
      <c r="T211" s="467" t="s">
        <v>225</v>
      </c>
      <c r="U211" s="470" t="s">
        <v>226</v>
      </c>
      <c r="V211" s="467"/>
      <c r="W211" s="467"/>
    </row>
    <row r="212" s="408" customFormat="1" spans="1:23">
      <c r="A212" s="428" t="s">
        <v>230</v>
      </c>
      <c r="B212" s="438" t="s">
        <v>365</v>
      </c>
      <c r="C212" s="429" t="str">
        <f>VLOOKUP(B212,正厂竞争者数据汇总!D:H,2,FALSE)</f>
        <v>Motor目录</v>
      </c>
      <c r="D212" s="421" t="str">
        <f>VLOOKUP(B212,正厂竞争者数据汇总!D:H,3,FALSE)</f>
        <v>OR</v>
      </c>
      <c r="E212" s="430">
        <f>VLOOKUP(B212,正厂竞争者数据汇总!D:H,4,FALSE)</f>
        <v>0</v>
      </c>
      <c r="F212" s="430">
        <v>53290.8333333334</v>
      </c>
      <c r="G212" s="430">
        <v>38319.6666666667</v>
      </c>
      <c r="H212" s="430">
        <v>273188.083333333</v>
      </c>
      <c r="I212" s="453"/>
      <c r="J212" s="451">
        <v>0.256416983265263</v>
      </c>
      <c r="K212" s="430"/>
      <c r="L212" s="430"/>
      <c r="M212" s="451"/>
      <c r="N212" s="459"/>
      <c r="O212" s="430"/>
      <c r="P212" s="531">
        <f>VLOOKUP(B212,正厂竞争者数据汇总!D:M,6,FALSE)</f>
        <v>0</v>
      </c>
      <c r="Q212" s="429" t="s">
        <v>180</v>
      </c>
      <c r="R212" s="421" t="s">
        <v>180</v>
      </c>
      <c r="S212" s="473"/>
      <c r="T212" s="466"/>
      <c r="U212" s="466"/>
      <c r="V212" s="421"/>
      <c r="W212" s="421"/>
    </row>
    <row r="213" s="408" customFormat="1" spans="1:23">
      <c r="A213" s="428" t="s">
        <v>243</v>
      </c>
      <c r="B213" s="438" t="s">
        <v>369</v>
      </c>
      <c r="C213" s="429" t="str">
        <f>VLOOKUP(B213,正厂竞争者数据汇总!D:H,2,FALSE)</f>
        <v>旧年份原厂、新年份Motor</v>
      </c>
      <c r="D213" s="421" t="str">
        <f>VLOOKUP(B213,正厂竞争者数据汇总!D:H,3,FALSE)</f>
        <v>GA</v>
      </c>
      <c r="E213" s="430">
        <f>VLOOKUP(B213,正厂竞争者数据汇总!D:H,4,FALSE)</f>
        <v>0</v>
      </c>
      <c r="F213" s="430">
        <v>29813</v>
      </c>
      <c r="G213" s="430">
        <v>38322.6666666667</v>
      </c>
      <c r="H213" s="430">
        <v>273191.083333333</v>
      </c>
      <c r="I213" s="453"/>
      <c r="J213" s="451">
        <v>0.143449802600584</v>
      </c>
      <c r="K213" s="430"/>
      <c r="L213" s="430"/>
      <c r="M213" s="451"/>
      <c r="N213" s="459"/>
      <c r="O213" s="430"/>
      <c r="P213" s="531">
        <f>VLOOKUP(B213,正厂竞争者数据汇总!D:M,6,FALSE)</f>
        <v>0</v>
      </c>
      <c r="Q213" s="429"/>
      <c r="R213" s="421"/>
      <c r="S213" s="473"/>
      <c r="T213" s="466"/>
      <c r="U213" s="466"/>
      <c r="V213" s="421"/>
      <c r="W213" s="421"/>
    </row>
    <row r="214" s="408" customFormat="1" spans="1:23">
      <c r="A214" s="428" t="s">
        <v>230</v>
      </c>
      <c r="B214" s="438" t="s">
        <v>366</v>
      </c>
      <c r="C214" s="429" t="s">
        <v>65</v>
      </c>
      <c r="D214" s="421" t="s">
        <v>49</v>
      </c>
      <c r="E214" s="430"/>
      <c r="F214" s="430">
        <v>27868.5</v>
      </c>
      <c r="G214" s="430">
        <v>38321.6666666667</v>
      </c>
      <c r="H214" s="430">
        <v>273190.083333333</v>
      </c>
      <c r="I214" s="453"/>
      <c r="J214" s="451">
        <v>0.134093543882681</v>
      </c>
      <c r="K214" s="430"/>
      <c r="L214" s="430"/>
      <c r="M214" s="451"/>
      <c r="N214" s="459"/>
      <c r="O214" s="430"/>
      <c r="P214" s="531"/>
      <c r="Q214" s="429"/>
      <c r="R214" s="421"/>
      <c r="S214" s="473"/>
      <c r="T214" s="466"/>
      <c r="U214" s="466"/>
      <c r="V214" s="421"/>
      <c r="W214" s="421"/>
    </row>
    <row r="215" s="408" customFormat="1" spans="1:23">
      <c r="A215" s="428" t="s">
        <v>367</v>
      </c>
      <c r="B215" s="438" t="s">
        <v>368</v>
      </c>
      <c r="C215" s="429" t="str">
        <f>VLOOKUP(B215,正厂竞争者数据汇总!D:H,2,FALSE)</f>
        <v>Motor目录</v>
      </c>
      <c r="D215" s="421" t="str">
        <f>VLOOKUP(B215,正厂竞争者数据汇总!D:H,3,FALSE)</f>
        <v>-</v>
      </c>
      <c r="E215" s="430">
        <f>VLOOKUP(B215,正厂竞争者数据汇总!D:H,4,FALSE)</f>
        <v>0</v>
      </c>
      <c r="F215" s="430">
        <v>27058.25</v>
      </c>
      <c r="G215" s="430">
        <v>38320.6666666667</v>
      </c>
      <c r="H215" s="430">
        <v>273189.083333333</v>
      </c>
      <c r="I215" s="453"/>
      <c r="J215" s="451">
        <v>0.130194902264691</v>
      </c>
      <c r="K215" s="430"/>
      <c r="L215" s="430"/>
      <c r="M215" s="451"/>
      <c r="N215" s="459"/>
      <c r="O215" s="430"/>
      <c r="P215" s="531">
        <f>VLOOKUP(B215,正厂竞争者数据汇总!D:M,6,FALSE)</f>
        <v>0</v>
      </c>
      <c r="Q215" s="429"/>
      <c r="R215" s="421"/>
      <c r="S215" s="473"/>
      <c r="T215" s="466"/>
      <c r="U215" s="466"/>
      <c r="V215" s="421"/>
      <c r="W215" s="421"/>
    </row>
    <row r="216" s="408" customFormat="1" spans="1:23">
      <c r="A216" s="428" t="s">
        <v>230</v>
      </c>
      <c r="B216" s="438" t="s">
        <v>377</v>
      </c>
      <c r="C216" s="429" t="str">
        <f>VLOOKUP(B216,正厂竞争者数据汇总!D:H,2,FALSE)</f>
        <v>Motor目录</v>
      </c>
      <c r="D216" s="421" t="str">
        <f>VLOOKUP(B216,正厂竞争者数据汇总!D:H,3,FALSE)</f>
        <v>CA</v>
      </c>
      <c r="E216" s="430">
        <f>VLOOKUP(B216,正厂竞争者数据汇总!D:H,4,FALSE)</f>
        <v>0</v>
      </c>
      <c r="F216" s="430">
        <v>21191.5</v>
      </c>
      <c r="G216" s="430">
        <v>38327.6666666667</v>
      </c>
      <c r="H216" s="430">
        <v>273196.083333333</v>
      </c>
      <c r="I216" s="453"/>
      <c r="J216" s="451">
        <v>0.101966138657977</v>
      </c>
      <c r="K216" s="430"/>
      <c r="L216" s="430"/>
      <c r="M216" s="451"/>
      <c r="N216" s="459"/>
      <c r="O216" s="430"/>
      <c r="P216" s="531" t="str">
        <f>VLOOKUP(B216,正厂竞争者数据汇总!D:M,6,FALSE)</f>
        <v>2023年9月新增</v>
      </c>
      <c r="Q216" s="429"/>
      <c r="R216" s="421"/>
      <c r="S216" s="473"/>
      <c r="T216" s="466"/>
      <c r="U216" s="466"/>
      <c r="V216" s="421"/>
      <c r="W216" s="421"/>
    </row>
    <row r="217" s="408" customFormat="1" spans="1:23">
      <c r="A217" s="428" t="s">
        <v>230</v>
      </c>
      <c r="B217" s="438" t="s">
        <v>370</v>
      </c>
      <c r="C217" s="429" t="s">
        <v>233</v>
      </c>
      <c r="D217" s="421" t="s">
        <v>371</v>
      </c>
      <c r="E217" s="430"/>
      <c r="F217" s="430">
        <v>19535.1666666667</v>
      </c>
      <c r="G217" s="430">
        <v>38321.6666666667</v>
      </c>
      <c r="H217" s="430">
        <v>273190.083333333</v>
      </c>
      <c r="I217" s="453"/>
      <c r="J217" s="451">
        <v>0.0939964378661269</v>
      </c>
      <c r="K217" s="430"/>
      <c r="L217" s="430"/>
      <c r="M217" s="451"/>
      <c r="N217" s="459"/>
      <c r="O217" s="430"/>
      <c r="P217" s="531"/>
      <c r="Q217" s="429"/>
      <c r="R217" s="421"/>
      <c r="S217" s="473"/>
      <c r="T217" s="466"/>
      <c r="U217" s="466"/>
      <c r="V217" s="421"/>
      <c r="W217" s="421"/>
    </row>
    <row r="218" s="408" customFormat="1" spans="1:23">
      <c r="A218" s="428" t="s">
        <v>230</v>
      </c>
      <c r="B218" s="438" t="s">
        <v>372</v>
      </c>
      <c r="C218" s="429" t="str">
        <f>VLOOKUP(B218,正厂竞争者数据汇总!D:H,2,FALSE)</f>
        <v>Motor目录</v>
      </c>
      <c r="D218" s="421" t="str">
        <f>VLOOKUP(B218,正厂竞争者数据汇总!D:H,3,FALSE)</f>
        <v>NV</v>
      </c>
      <c r="E218" s="430">
        <f>VLOOKUP(B218,正厂竞争者数据汇总!D:H,4,FALSE)</f>
        <v>0</v>
      </c>
      <c r="F218" s="430">
        <v>13845</v>
      </c>
      <c r="G218" s="430">
        <v>38326.6666666667</v>
      </c>
      <c r="H218" s="430">
        <v>273195.083333333</v>
      </c>
      <c r="I218" s="453"/>
      <c r="J218" s="451">
        <v>0.0666173319359032</v>
      </c>
      <c r="K218" s="430"/>
      <c r="L218" s="430"/>
      <c r="M218" s="451"/>
      <c r="N218" s="459"/>
      <c r="O218" s="430"/>
      <c r="P218" s="531" t="str">
        <f>VLOOKUP(B218,正厂竞争者数据汇总!D:M,6,FALSE)</f>
        <v>2023年9月新增</v>
      </c>
      <c r="Q218" s="429"/>
      <c r="R218" s="421"/>
      <c r="S218" s="473"/>
      <c r="T218" s="466"/>
      <c r="U218" s="466"/>
      <c r="V218" s="421"/>
      <c r="W218" s="421"/>
    </row>
    <row r="219" s="408" customFormat="1" spans="1:23">
      <c r="A219" s="428" t="s">
        <v>375</v>
      </c>
      <c r="B219" s="438" t="s">
        <v>376</v>
      </c>
      <c r="C219" s="429" t="str">
        <f>VLOOKUP(B219,正厂竞争者数据汇总!D:H,2,FALSE)</f>
        <v>无完整目录，category下放的PD</v>
      </c>
      <c r="D219" s="421" t="str">
        <f>VLOOKUP(B219,正厂竞争者数据汇总!D:H,3,FALSE)</f>
        <v>NY</v>
      </c>
      <c r="E219" s="430">
        <f>VLOOKUP(B219,正厂竞争者数据汇总!D:H,4,FALSE)</f>
        <v>0</v>
      </c>
      <c r="F219" s="430">
        <v>11491.881</v>
      </c>
      <c r="G219" s="430">
        <v>38329.6666666667</v>
      </c>
      <c r="H219" s="430">
        <v>273198.083333333</v>
      </c>
      <c r="I219" s="453"/>
      <c r="J219" s="451">
        <v>0.055294940494395</v>
      </c>
      <c r="K219" s="430"/>
      <c r="L219" s="430"/>
      <c r="M219" s="451" t="e">
        <f>J219-#REF!</f>
        <v>#REF!</v>
      </c>
      <c r="N219" s="459"/>
      <c r="O219" s="430"/>
      <c r="P219" s="531" t="str">
        <f>VLOOKUP(B219,正厂竞争者数据汇总!D:M,6,FALSE)</f>
        <v>同时经营Audi，BMW、Dodge、Jaguar、Land Rover、Mercedes-Benz、Mini、Porsche、Saab、Volkswagen、Volvo。折算比例：Audi：30.3%，MB：69.7%</v>
      </c>
      <c r="Q219" s="429" t="s">
        <v>180</v>
      </c>
      <c r="R219" s="421" t="s">
        <v>180</v>
      </c>
      <c r="S219" s="473"/>
      <c r="T219" s="466"/>
      <c r="U219" s="466"/>
      <c r="V219" s="421"/>
      <c r="W219" s="421"/>
    </row>
    <row r="220" s="408" customFormat="1" spans="1:23">
      <c r="A220" s="428" t="s">
        <v>230</v>
      </c>
      <c r="B220" s="438" t="s">
        <v>373</v>
      </c>
      <c r="C220" s="429" t="str">
        <f>VLOOKUP(B220,正厂竞争者数据汇总!D:H,2,FALSE)</f>
        <v>Motor目录</v>
      </c>
      <c r="D220" s="421" t="str">
        <f>VLOOKUP(B220,正厂竞争者数据汇总!D:H,3,FALSE)</f>
        <v>MA</v>
      </c>
      <c r="E220" s="430">
        <f>VLOOKUP(B220,正厂竞争者数据汇总!D:H,4,FALSE)</f>
        <v>3939</v>
      </c>
      <c r="F220" s="430">
        <v>3734.66666666667</v>
      </c>
      <c r="G220" s="430">
        <v>38321.6666666667</v>
      </c>
      <c r="H220" s="430">
        <v>273190.083333333</v>
      </c>
      <c r="I220" s="453"/>
      <c r="J220" s="451">
        <v>0.017969919032379</v>
      </c>
      <c r="K220" s="430"/>
      <c r="L220" s="430"/>
      <c r="M220" s="451"/>
      <c r="N220" s="459"/>
      <c r="O220" s="430"/>
      <c r="P220" s="531">
        <f>VLOOKUP(B220,正厂竞争者数据汇总!D:M,6,FALSE)</f>
        <v>0</v>
      </c>
      <c r="Q220" s="429"/>
      <c r="R220" s="421"/>
      <c r="S220" s="473"/>
      <c r="T220" s="466"/>
      <c r="U220" s="466"/>
      <c r="V220" s="421"/>
      <c r="W220" s="421"/>
    </row>
    <row r="221" s="410" customFormat="1" spans="1:23">
      <c r="A221" s="432"/>
      <c r="B221" s="435"/>
      <c r="C221" s="429"/>
      <c r="D221" s="421"/>
      <c r="E221" s="430"/>
      <c r="F221" s="436"/>
      <c r="G221" s="436">
        <v>335229.333333333</v>
      </c>
      <c r="H221" s="436"/>
      <c r="I221" s="453"/>
      <c r="J221" s="457"/>
      <c r="K221" s="457"/>
      <c r="L221" s="457"/>
      <c r="M221" s="451"/>
      <c r="N221" s="455"/>
      <c r="O221" s="436"/>
      <c r="P221" s="531"/>
      <c r="Q221" s="434"/>
      <c r="R221" s="435"/>
      <c r="S221" s="473"/>
      <c r="T221" s="466"/>
      <c r="U221" s="466"/>
      <c r="V221" s="435"/>
      <c r="W221" s="435"/>
    </row>
    <row r="222" s="408" customFormat="1" spans="1:23">
      <c r="A222" s="428"/>
      <c r="B222" s="421"/>
      <c r="C222" s="439"/>
      <c r="D222" s="421"/>
      <c r="E222" s="421"/>
      <c r="F222" s="496">
        <v>207828.797666667</v>
      </c>
      <c r="G222" s="496"/>
      <c r="H222" s="496">
        <v>377262.166666666</v>
      </c>
      <c r="I222" s="453" t="e">
        <v>#DIV/0!</v>
      </c>
      <c r="J222" s="430"/>
      <c r="K222" s="430"/>
      <c r="L222" s="430"/>
      <c r="M222" s="451"/>
      <c r="N222" s="459"/>
      <c r="O222" s="430"/>
      <c r="P222" s="531"/>
      <c r="Q222" s="429"/>
      <c r="R222" s="421"/>
      <c r="S222" s="473"/>
      <c r="T222" s="466"/>
      <c r="U222" s="466"/>
      <c r="V222" s="421"/>
      <c r="W222" s="421"/>
    </row>
    <row r="223" s="408" customFormat="1" spans="1:23">
      <c r="A223" s="428"/>
      <c r="B223" s="421"/>
      <c r="C223" s="439"/>
      <c r="D223" s="421"/>
      <c r="E223" s="421"/>
      <c r="F223" s="496"/>
      <c r="G223" s="496"/>
      <c r="H223" s="496"/>
      <c r="I223" s="453"/>
      <c r="J223" s="430"/>
      <c r="K223" s="430"/>
      <c r="L223" s="430"/>
      <c r="M223" s="451"/>
      <c r="N223" s="459"/>
      <c r="O223" s="430"/>
      <c r="P223" s="531"/>
      <c r="Q223" s="429"/>
      <c r="R223" s="421"/>
      <c r="S223" s="473"/>
      <c r="T223" s="466"/>
      <c r="U223" s="466"/>
      <c r="V223" s="421"/>
      <c r="W223" s="421"/>
    </row>
    <row r="224" s="408" customFormat="1" ht="17.4" spans="1:23">
      <c r="A224" s="418" t="s">
        <v>191</v>
      </c>
      <c r="B224" s="419"/>
      <c r="C224" s="420"/>
      <c r="D224" s="421"/>
      <c r="E224" s="422" t="s">
        <v>202</v>
      </c>
      <c r="F224" s="422"/>
      <c r="G224" s="422" t="s">
        <v>213</v>
      </c>
      <c r="H224" s="422"/>
      <c r="I224" s="422"/>
      <c r="J224" s="422"/>
      <c r="K224" s="422"/>
      <c r="L224" s="422"/>
      <c r="M224" s="443"/>
      <c r="N224" s="422"/>
      <c r="O224" s="422"/>
      <c r="P224" s="531"/>
      <c r="Q224" s="465"/>
      <c r="R224" s="424"/>
      <c r="S224" s="473"/>
      <c r="T224" s="467"/>
      <c r="U224" s="467"/>
      <c r="V224" s="467"/>
      <c r="W224" s="467"/>
    </row>
    <row r="225" s="409" customFormat="1" ht="46.8" spans="1:23">
      <c r="A225" s="423" t="s">
        <v>206</v>
      </c>
      <c r="B225" s="424" t="s">
        <v>207</v>
      </c>
      <c r="C225" s="425" t="s">
        <v>208</v>
      </c>
      <c r="D225" s="424" t="s">
        <v>209</v>
      </c>
      <c r="E225" s="426" t="s">
        <v>210</v>
      </c>
      <c r="F225" s="427" t="s">
        <v>432</v>
      </c>
      <c r="G225" s="427">
        <v>116448.583333333</v>
      </c>
      <c r="H225" s="427" t="s">
        <v>396</v>
      </c>
      <c r="I225" s="427" t="s">
        <v>386</v>
      </c>
      <c r="J225" s="446" t="s">
        <v>433</v>
      </c>
      <c r="K225" s="446"/>
      <c r="L225" s="446"/>
      <c r="M225" s="447" t="s">
        <v>436</v>
      </c>
      <c r="N225" s="448" t="s">
        <v>219</v>
      </c>
      <c r="O225" s="449" t="s">
        <v>220</v>
      </c>
      <c r="P225" s="535" t="s">
        <v>0</v>
      </c>
      <c r="Q225" s="469" t="s">
        <v>222</v>
      </c>
      <c r="R225" s="426" t="s">
        <v>223</v>
      </c>
      <c r="S225" s="470" t="s">
        <v>224</v>
      </c>
      <c r="T225" s="467" t="s">
        <v>225</v>
      </c>
      <c r="U225" s="470" t="s">
        <v>226</v>
      </c>
      <c r="V225" s="467"/>
      <c r="W225" s="467"/>
    </row>
    <row r="226" s="408" customFormat="1" spans="1:23">
      <c r="A226" s="428" t="s">
        <v>325</v>
      </c>
      <c r="B226" s="421" t="s">
        <v>357</v>
      </c>
      <c r="C226" s="429" t="str">
        <f>VLOOKUP(B226,正厂竞争者数据汇总!D:H,2,FALSE)</f>
        <v>原厂目录</v>
      </c>
      <c r="D226" s="421" t="str">
        <f>VLOOKUP(B226,正厂竞争者数据汇总!D:H,3,FALSE)</f>
        <v>IL</v>
      </c>
      <c r="E226" s="430">
        <f>VLOOKUP(B226,正厂竞争者数据汇总!D:H,4,FALSE)</f>
        <v>0</v>
      </c>
      <c r="F226" s="430">
        <v>96424.5833333333</v>
      </c>
      <c r="G226" s="430">
        <v>0</v>
      </c>
      <c r="H226" s="430">
        <v>99768.6666666667</v>
      </c>
      <c r="I226" s="453" t="e">
        <v>#DIV/0!</v>
      </c>
      <c r="J226" s="451">
        <v>0.556358263381553</v>
      </c>
      <c r="K226" s="451"/>
      <c r="L226" s="451"/>
      <c r="M226" s="451" t="e">
        <f>J226-#REF!</f>
        <v>#REF!</v>
      </c>
      <c r="N226" s="459"/>
      <c r="O226" s="430"/>
      <c r="P226" s="531">
        <f>VLOOKUP(B226,正厂竞争者数据汇总!D:M,6,FALSE)</f>
        <v>0</v>
      </c>
      <c r="Q226" s="429" t="s">
        <v>180</v>
      </c>
      <c r="R226" s="421" t="s">
        <v>180</v>
      </c>
      <c r="S226" s="473"/>
      <c r="T226" s="466"/>
      <c r="U226" s="466"/>
      <c r="V226" s="421"/>
      <c r="W226" s="421"/>
    </row>
    <row r="227" s="408" customFormat="1" spans="1:23">
      <c r="A227" s="428" t="s">
        <v>230</v>
      </c>
      <c r="B227" s="421" t="s">
        <v>364</v>
      </c>
      <c r="C227" s="429" t="str">
        <f>VLOOKUP(B227,正厂竞争者数据汇总!D:H,2,FALSE)</f>
        <v>Motor目录</v>
      </c>
      <c r="D227" s="421" t="str">
        <f>VLOOKUP(B227,正厂竞争者数据汇总!D:H,3,FALSE)</f>
        <v>TX</v>
      </c>
      <c r="E227" s="430"/>
      <c r="F227" s="430">
        <v>35905.5</v>
      </c>
      <c r="G227" s="430"/>
      <c r="H227" s="430"/>
      <c r="I227" s="453"/>
      <c r="J227" s="451">
        <v>0.207170422057097</v>
      </c>
      <c r="K227" s="451"/>
      <c r="L227" s="451"/>
      <c r="M227" s="451"/>
      <c r="N227" s="459"/>
      <c r="O227" s="430"/>
      <c r="P227" s="531" t="str">
        <f>VLOOKUP(B227,正厂竞争者数据汇总!D:M,6,FALSE)</f>
        <v>2023年9月新增，202402导流到myswedishparts.com</v>
      </c>
      <c r="Q227" s="429"/>
      <c r="R227" s="421"/>
      <c r="S227" s="473"/>
      <c r="T227" s="466"/>
      <c r="U227" s="466"/>
      <c r="V227" s="421"/>
      <c r="W227" s="421"/>
    </row>
    <row r="228" s="408" customFormat="1" spans="1:23">
      <c r="A228" s="428" t="s">
        <v>230</v>
      </c>
      <c r="B228" s="421" t="s">
        <v>358</v>
      </c>
      <c r="C228" s="429" t="str">
        <f>VLOOKUP(B228,正厂竞争者数据汇总!D:H,2,FALSE)</f>
        <v>Motor目录</v>
      </c>
      <c r="D228" s="421" t="str">
        <f>VLOOKUP(B228,正厂竞争者数据汇总!D:H,3,FALSE)</f>
        <v>CT</v>
      </c>
      <c r="E228" s="430"/>
      <c r="F228" s="430">
        <v>18209.5</v>
      </c>
      <c r="G228" s="430"/>
      <c r="H228" s="430"/>
      <c r="I228" s="453"/>
      <c r="J228" s="451">
        <v>0.105066627687923</v>
      </c>
      <c r="K228" s="451"/>
      <c r="L228" s="451"/>
      <c r="M228" s="451"/>
      <c r="N228" s="459"/>
      <c r="O228" s="430"/>
      <c r="P228" s="531" t="str">
        <f>VLOOKUP(B228,正厂竞争者数据汇总!D:M,6,FALSE)</f>
        <v>2023年9月新增</v>
      </c>
      <c r="Q228" s="429"/>
      <c r="R228" s="421"/>
      <c r="S228" s="473"/>
      <c r="T228" s="466"/>
      <c r="U228" s="466"/>
      <c r="V228" s="421"/>
      <c r="W228" s="421"/>
    </row>
    <row r="229" s="408" customFormat="1" spans="1:23">
      <c r="A229" s="428" t="s">
        <v>325</v>
      </c>
      <c r="B229" s="421" t="s">
        <v>362</v>
      </c>
      <c r="C229" s="429" t="str">
        <f>VLOOKUP(B229,正厂竞争者数据汇总!D:H,2,FALSE)</f>
        <v>原厂目录</v>
      </c>
      <c r="D229" s="421" t="str">
        <f>VLOOKUP(B229,正厂竞争者数据汇总!D:H,3,FALSE)</f>
        <v>CA</v>
      </c>
      <c r="E229" s="430"/>
      <c r="F229" s="430">
        <v>12076.75</v>
      </c>
      <c r="G229" s="430"/>
      <c r="H229" s="430"/>
      <c r="I229" s="453"/>
      <c r="J229" s="451">
        <v>0.0696813968494533</v>
      </c>
      <c r="K229" s="451"/>
      <c r="L229" s="451"/>
      <c r="M229" s="451"/>
      <c r="N229" s="459"/>
      <c r="O229" s="430"/>
      <c r="P229" s="531">
        <f>VLOOKUP(B229,正厂竞争者数据汇总!D:M,6,FALSE)</f>
        <v>0</v>
      </c>
      <c r="Q229" s="429"/>
      <c r="R229" s="421"/>
      <c r="S229" s="473"/>
      <c r="T229" s="466"/>
      <c r="U229" s="466"/>
      <c r="V229" s="421"/>
      <c r="W229" s="421"/>
    </row>
    <row r="230" s="408" customFormat="1" spans="1:23">
      <c r="A230" s="428" t="s">
        <v>230</v>
      </c>
      <c r="B230" s="421" t="s">
        <v>359</v>
      </c>
      <c r="C230" s="429" t="str">
        <f>VLOOKUP(B230,正厂竞争者数据汇总!D:H,2,FALSE)</f>
        <v>Motor目录</v>
      </c>
      <c r="D230" s="421" t="str">
        <f>VLOOKUP(B230,正厂竞争者数据汇总!D:H,3,FALSE)</f>
        <v>NY</v>
      </c>
      <c r="E230" s="430"/>
      <c r="F230" s="430">
        <v>10697.5</v>
      </c>
      <c r="G230" s="430"/>
      <c r="H230" s="430"/>
      <c r="I230" s="453"/>
      <c r="J230" s="451">
        <v>0.0617232900239739</v>
      </c>
      <c r="K230" s="451"/>
      <c r="L230" s="451"/>
      <c r="M230" s="451"/>
      <c r="N230" s="459"/>
      <c r="O230" s="430"/>
      <c r="P230" s="531" t="str">
        <f>VLOOKUP(B230,正厂竞争者数据汇总!D:M,6,FALSE)</f>
        <v>2023年9月新增</v>
      </c>
      <c r="Q230" s="429"/>
      <c r="R230" s="421"/>
      <c r="S230" s="473"/>
      <c r="T230" s="466"/>
      <c r="U230" s="466"/>
      <c r="V230" s="421"/>
      <c r="W230" s="421"/>
    </row>
    <row r="231" s="408" customFormat="1" spans="1:23">
      <c r="A231" s="428"/>
      <c r="B231" s="438"/>
      <c r="C231" s="429"/>
      <c r="D231" s="421"/>
      <c r="E231" s="430"/>
      <c r="F231" s="430"/>
      <c r="G231" s="430">
        <v>131075.583333333</v>
      </c>
      <c r="H231" s="430"/>
      <c r="I231" s="453"/>
      <c r="J231" s="451"/>
      <c r="K231" s="451"/>
      <c r="L231" s="451"/>
      <c r="M231" s="451"/>
      <c r="N231" s="459"/>
      <c r="O231" s="430"/>
      <c r="P231" s="531"/>
      <c r="Q231" s="429"/>
      <c r="R231" s="421"/>
      <c r="S231" s="473"/>
      <c r="T231" s="466"/>
      <c r="U231" s="466"/>
      <c r="V231" s="421"/>
      <c r="W231" s="421"/>
    </row>
    <row r="232" s="408" customFormat="1" spans="1:23">
      <c r="A232" s="428"/>
      <c r="B232" s="421"/>
      <c r="C232" s="439"/>
      <c r="D232" s="421"/>
      <c r="E232" s="421"/>
      <c r="F232" s="496">
        <v>173313.833333333</v>
      </c>
      <c r="G232" s="496"/>
      <c r="H232" s="496">
        <v>117816.916666667</v>
      </c>
      <c r="I232" s="453" t="e">
        <v>#DIV/0!</v>
      </c>
      <c r="J232" s="430"/>
      <c r="K232" s="430"/>
      <c r="L232" s="430"/>
      <c r="M232" s="451"/>
      <c r="N232" s="459"/>
      <c r="O232" s="430"/>
      <c r="P232" s="531"/>
      <c r="Q232" s="429"/>
      <c r="R232" s="421"/>
      <c r="S232" s="473"/>
      <c r="T232" s="466"/>
      <c r="U232" s="466"/>
      <c r="V232" s="421"/>
      <c r="W232" s="421"/>
    </row>
    <row r="233" s="408" customFormat="1" spans="1:23">
      <c r="A233" s="428"/>
      <c r="B233" s="438"/>
      <c r="C233" s="439"/>
      <c r="D233" s="421"/>
      <c r="E233" s="430"/>
      <c r="F233" s="430"/>
      <c r="G233" s="430"/>
      <c r="H233" s="430"/>
      <c r="I233" s="453"/>
      <c r="J233" s="430"/>
      <c r="K233" s="430"/>
      <c r="L233" s="430"/>
      <c r="M233" s="451"/>
      <c r="N233" s="459"/>
      <c r="O233" s="430"/>
      <c r="P233" s="531"/>
      <c r="Q233" s="429"/>
      <c r="R233" s="421"/>
      <c r="S233" s="473"/>
      <c r="T233" s="466"/>
      <c r="U233" s="466"/>
      <c r="V233" s="421"/>
      <c r="W233" s="421"/>
    </row>
    <row r="234" s="408" customFormat="1" spans="3:21">
      <c r="C234" s="411"/>
      <c r="F234" s="502"/>
      <c r="G234" s="502"/>
      <c r="H234" s="502"/>
      <c r="I234" s="502"/>
      <c r="J234" s="412"/>
      <c r="K234" s="412"/>
      <c r="L234" s="412"/>
      <c r="M234" s="413"/>
      <c r="N234" s="414"/>
      <c r="O234" s="412"/>
      <c r="P234" s="528"/>
      <c r="T234" s="416"/>
      <c r="U234" s="416"/>
    </row>
    <row r="235" s="408" customFormat="1" spans="3:21">
      <c r="C235" s="411"/>
      <c r="E235" s="412"/>
      <c r="F235" s="412"/>
      <c r="G235" s="412"/>
      <c r="H235" s="412"/>
      <c r="I235" s="412"/>
      <c r="J235" s="412"/>
      <c r="K235" s="412"/>
      <c r="L235" s="412"/>
      <c r="M235" s="413"/>
      <c r="N235" s="414"/>
      <c r="O235" s="412"/>
      <c r="T235" s="416"/>
      <c r="U235" s="416"/>
    </row>
    <row r="236" s="408" customFormat="1" spans="3:21">
      <c r="C236" s="411"/>
      <c r="F236" s="412"/>
      <c r="G236" s="412"/>
      <c r="H236" s="412"/>
      <c r="I236" s="412"/>
      <c r="J236" s="412"/>
      <c r="K236" s="412"/>
      <c r="L236" s="412"/>
      <c r="M236" s="413"/>
      <c r="N236" s="414"/>
      <c r="O236" s="412"/>
      <c r="P236" s="528"/>
      <c r="T236" s="416"/>
      <c r="U236" s="416"/>
    </row>
    <row r="237" s="408" customFormat="1" spans="3:21">
      <c r="C237" s="411"/>
      <c r="F237" s="412"/>
      <c r="G237" s="412"/>
      <c r="H237" s="412"/>
      <c r="I237" s="412"/>
      <c r="J237" s="412"/>
      <c r="K237" s="412"/>
      <c r="L237" s="412"/>
      <c r="M237" s="413"/>
      <c r="N237" s="414"/>
      <c r="O237" s="412"/>
      <c r="P237" s="528"/>
      <c r="T237" s="416"/>
      <c r="U237" s="416"/>
    </row>
    <row r="238" s="408" customFormat="1" spans="3:21">
      <c r="C238" s="411"/>
      <c r="F238" s="412"/>
      <c r="G238" s="412"/>
      <c r="H238" s="412"/>
      <c r="I238" s="412"/>
      <c r="J238" s="412"/>
      <c r="K238" s="412"/>
      <c r="L238" s="412"/>
      <c r="M238" s="413"/>
      <c r="N238" s="414"/>
      <c r="O238" s="412"/>
      <c r="P238" s="528"/>
      <c r="T238" s="416"/>
      <c r="U238" s="416"/>
    </row>
    <row r="239" s="408" customFormat="1" spans="3:21">
      <c r="C239" s="411"/>
      <c r="F239" s="412"/>
      <c r="G239" s="412"/>
      <c r="H239" s="412"/>
      <c r="I239" s="412"/>
      <c r="J239" s="412"/>
      <c r="K239" s="412"/>
      <c r="L239" s="412"/>
      <c r="M239" s="413"/>
      <c r="N239" s="414"/>
      <c r="O239" s="412"/>
      <c r="P239" s="528"/>
      <c r="T239" s="416"/>
      <c r="U239" s="416"/>
    </row>
    <row r="240" s="408" customFormat="1" spans="3:21">
      <c r="C240" s="411"/>
      <c r="F240" s="412"/>
      <c r="G240" s="412"/>
      <c r="H240" s="412"/>
      <c r="I240" s="412"/>
      <c r="J240" s="412"/>
      <c r="K240" s="412"/>
      <c r="L240" s="412"/>
      <c r="M240" s="413"/>
      <c r="N240" s="414"/>
      <c r="O240" s="412"/>
      <c r="P240" s="528"/>
      <c r="T240" s="416"/>
      <c r="U240" s="416"/>
    </row>
    <row r="241" s="408" customFormat="1" spans="3:21">
      <c r="C241" s="411"/>
      <c r="F241" s="412"/>
      <c r="G241" s="412"/>
      <c r="H241" s="412"/>
      <c r="I241" s="412"/>
      <c r="J241" s="412"/>
      <c r="K241" s="412"/>
      <c r="L241" s="412"/>
      <c r="M241" s="413"/>
      <c r="N241" s="414"/>
      <c r="O241" s="412"/>
      <c r="P241" s="528"/>
      <c r="T241" s="416"/>
      <c r="U241" s="416"/>
    </row>
    <row r="242" s="408" customFormat="1" spans="3:21">
      <c r="C242" s="411"/>
      <c r="F242" s="412"/>
      <c r="G242" s="412"/>
      <c r="H242" s="412"/>
      <c r="I242" s="412"/>
      <c r="J242" s="412"/>
      <c r="K242" s="412"/>
      <c r="L242" s="412"/>
      <c r="M242" s="413"/>
      <c r="N242" s="414"/>
      <c r="O242" s="412"/>
      <c r="P242" s="528"/>
      <c r="T242" s="416"/>
      <c r="U242" s="416"/>
    </row>
    <row r="243" s="408" customFormat="1" spans="3:21">
      <c r="C243" s="411"/>
      <c r="F243" s="412"/>
      <c r="G243" s="412"/>
      <c r="H243" s="412"/>
      <c r="I243" s="412"/>
      <c r="J243" s="412"/>
      <c r="K243" s="412"/>
      <c r="L243" s="412"/>
      <c r="M243" s="413"/>
      <c r="N243" s="414"/>
      <c r="O243" s="412"/>
      <c r="P243" s="528"/>
      <c r="T243" s="416"/>
      <c r="U243" s="416"/>
    </row>
    <row r="244" s="408" customFormat="1" spans="3:21">
      <c r="C244" s="411"/>
      <c r="F244" s="412"/>
      <c r="G244" s="412"/>
      <c r="H244" s="412"/>
      <c r="I244" s="412"/>
      <c r="J244" s="412"/>
      <c r="K244" s="412"/>
      <c r="L244" s="412"/>
      <c r="M244" s="413"/>
      <c r="N244" s="414"/>
      <c r="O244" s="412"/>
      <c r="P244" s="528"/>
      <c r="T244" s="416"/>
      <c r="U244" s="416"/>
    </row>
    <row r="245" s="408" customFormat="1" spans="3:21">
      <c r="C245" s="411"/>
      <c r="F245" s="412"/>
      <c r="G245" s="412"/>
      <c r="H245" s="412"/>
      <c r="I245" s="412"/>
      <c r="J245" s="412"/>
      <c r="K245" s="412"/>
      <c r="L245" s="412"/>
      <c r="M245" s="413"/>
      <c r="N245" s="414"/>
      <c r="O245" s="412"/>
      <c r="P245" s="528"/>
      <c r="T245" s="416"/>
      <c r="U245" s="416"/>
    </row>
    <row r="246" s="411" customFormat="1" spans="1:23">
      <c r="A246" s="408"/>
      <c r="B246" s="503"/>
      <c r="D246" s="408"/>
      <c r="E246" s="408"/>
      <c r="F246" s="412"/>
      <c r="G246" s="412"/>
      <c r="H246" s="412"/>
      <c r="I246" s="412"/>
      <c r="J246" s="412"/>
      <c r="K246" s="412"/>
      <c r="L246" s="412"/>
      <c r="M246" s="413"/>
      <c r="N246" s="414"/>
      <c r="O246" s="412"/>
      <c r="P246" s="528"/>
      <c r="Q246" s="408"/>
      <c r="R246" s="408"/>
      <c r="S246" s="408"/>
      <c r="T246" s="416"/>
      <c r="U246" s="416"/>
      <c r="V246" s="408"/>
      <c r="W246" s="408"/>
    </row>
  </sheetData>
  <autoFilter ref="C1:C246">
    <extLst/>
  </autoFilter>
  <mergeCells count="19">
    <mergeCell ref="U1:W1"/>
    <mergeCell ref="U12:W12"/>
    <mergeCell ref="U24:W24"/>
    <mergeCell ref="U37:W37"/>
    <mergeCell ref="U49:W49"/>
    <mergeCell ref="U62:W62"/>
    <mergeCell ref="U72:W72"/>
    <mergeCell ref="U82:W82"/>
    <mergeCell ref="U96:W96"/>
    <mergeCell ref="U108:W108"/>
    <mergeCell ref="U121:W121"/>
    <mergeCell ref="U135:W135"/>
    <mergeCell ref="U149:W149"/>
    <mergeCell ref="U162:W162"/>
    <mergeCell ref="U173:W173"/>
    <mergeCell ref="U183:W183"/>
    <mergeCell ref="U198:W198"/>
    <mergeCell ref="U210:W210"/>
    <mergeCell ref="U224:W224"/>
  </mergeCells>
  <conditionalFormatting sqref="M3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{2cd0f9ab-03fe-4a72-a74c-537e8e6894ab}</x14:id>
        </ext>
      </extLst>
    </cfRule>
  </conditionalFormatting>
  <conditionalFormatting sqref="M14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{a22571ee-7664-4402-911f-7d196426454a}</x14:id>
        </ext>
      </extLst>
    </cfRule>
  </conditionalFormatting>
  <conditionalFormatting sqref="I27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{4315d9ee-843b-4b61-99a5-25421d0204c9}</x14:id>
        </ext>
      </extLst>
    </cfRule>
  </conditionalFormatting>
  <conditionalFormatting sqref="M27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{07e553e8-b83f-41e5-bdd8-688d2607ca84}</x14:id>
        </ext>
      </extLst>
    </cfRule>
  </conditionalFormatting>
  <conditionalFormatting sqref="M3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{a4ad5e18-0c8e-454f-9c8f-11b6065a94de}</x14:id>
        </ext>
      </extLst>
    </cfRule>
  </conditionalFormatting>
  <conditionalFormatting sqref="M39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{bc2cb13b-781f-443d-90c5-a188aedd6383}</x14:id>
        </ext>
      </extLst>
    </cfRule>
  </conditionalFormatting>
  <conditionalFormatting sqref="M51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{a48069f2-712c-4c37-9a79-6991f5efbce3}</x14:id>
        </ext>
      </extLst>
    </cfRule>
  </conditionalFormatting>
  <conditionalFormatting sqref="M6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{7965032f-896f-4f3b-94f0-d1b6c397f1d8}</x14:id>
        </ext>
      </extLst>
    </cfRule>
  </conditionalFormatting>
  <conditionalFormatting sqref="M74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{7ba9d5fe-fb3d-4fd5-b690-1a5bd8c231c8}</x14:id>
        </ext>
      </extLst>
    </cfRule>
  </conditionalFormatting>
  <conditionalFormatting sqref="M84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{b917ee02-ce90-4d50-9e14-fc0192669144}</x14:id>
        </ext>
      </extLst>
    </cfRule>
  </conditionalFormatting>
  <conditionalFormatting sqref="M98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{b1e06616-9914-45a5-818c-c14c3cb7f3ab}</x14:id>
        </ext>
      </extLst>
    </cfRule>
  </conditionalFormatting>
  <conditionalFormatting sqref="I110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{6706e872-bc5c-40f0-bf11-0cb049ef0d96}</x14:id>
        </ext>
      </extLst>
    </cfRule>
  </conditionalFormatting>
  <conditionalFormatting sqref="M1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{a2dc1909-ceca-4a32-97d7-de54c867ac04}</x14:id>
        </ext>
      </extLst>
    </cfRule>
  </conditionalFormatting>
  <conditionalFormatting sqref="M111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{b8eae6b4-1328-4c5c-b91e-60c0ca915e2c}</x14:id>
        </ext>
      </extLst>
    </cfRule>
  </conditionalFormatting>
  <conditionalFormatting sqref="I123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{034bd309-b805-4175-a5f1-33bff08847cf}</x14:id>
        </ext>
      </extLst>
    </cfRule>
  </conditionalFormatting>
  <conditionalFormatting sqref="M123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{52fc5e4d-3fd0-47f7-910e-9cbe1fe2148b}</x14:id>
        </ext>
      </extLst>
    </cfRule>
  </conditionalFormatting>
  <conditionalFormatting sqref="M124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{87761696-ef1e-4e49-8e7c-3df6ce909403}</x14:id>
        </ext>
      </extLst>
    </cfRule>
  </conditionalFormatting>
  <conditionalFormatting sqref="I129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{55ade1b6-f1fe-40e1-bf7a-ded845c1b9ec}</x14:id>
        </ext>
      </extLst>
    </cfRule>
  </conditionalFormatting>
  <conditionalFormatting sqref="M137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{cd42be6a-3ac6-4ce4-abc7-db5caa7873b3}</x14:id>
        </ext>
      </extLst>
    </cfRule>
  </conditionalFormatting>
  <conditionalFormatting sqref="M151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{76d5930f-b98a-40db-bc1c-b105ac2dcdb2}</x14:id>
        </ext>
      </extLst>
    </cfRule>
  </conditionalFormatting>
  <conditionalFormatting sqref="I4:I8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{60f495e0-d5af-4cfe-99ec-622e52d4bb0c}</x14:id>
        </ext>
      </extLst>
    </cfRule>
  </conditionalFormatting>
  <conditionalFormatting sqref="I15:I20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{a76b398f-cfef-421f-b6fe-9ec5deaa0665}</x14:id>
        </ext>
      </extLst>
    </cfRule>
  </conditionalFormatting>
  <conditionalFormatting sqref="I34:I35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{b126a71b-70ef-4796-8baa-30662b12063a}</x14:id>
        </ext>
      </extLst>
    </cfRule>
  </conditionalFormatting>
  <conditionalFormatting sqref="I40:I45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{0f03b9df-aa79-41b0-82ee-cfd13bc9a40c}</x14:id>
        </ext>
      </extLst>
    </cfRule>
  </conditionalFormatting>
  <conditionalFormatting sqref="I52:I58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{b6a56a35-f67c-491e-a1a3-f98549f8bc8e}</x14:id>
        </ext>
      </extLst>
    </cfRule>
  </conditionalFormatting>
  <conditionalFormatting sqref="I65:I68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{8679fd5a-c57b-4cf3-a002-843de5e9ee1b}</x14:id>
        </ext>
      </extLst>
    </cfRule>
  </conditionalFormatting>
  <conditionalFormatting sqref="I75:I78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{4db3152b-0601-4d0b-9fad-24a52616f978}</x14:id>
        </ext>
      </extLst>
    </cfRule>
  </conditionalFormatting>
  <conditionalFormatting sqref="I85:I92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{67c32229-b197-4394-bebe-986738d0ecdc}</x14:id>
        </ext>
      </extLst>
    </cfRule>
  </conditionalFormatting>
  <conditionalFormatting sqref="I99:I10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{1c5fc3e8-86c9-42dc-821b-d45bd68a2773}</x14:id>
        </ext>
      </extLst>
    </cfRule>
  </conditionalFormatting>
  <conditionalFormatting sqref="I105:I106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{53415c5c-0f98-42eb-93d6-20a7e1360f4c}</x14:id>
        </ext>
      </extLst>
    </cfRule>
  </conditionalFormatting>
  <conditionalFormatting sqref="I112:I117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{79970fde-fc51-4885-9721-83884fffba2c}</x14:id>
        </ext>
      </extLst>
    </cfRule>
  </conditionalFormatting>
  <conditionalFormatting sqref="I138:I14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{28fb7491-c2c3-4423-a26a-ac2b632bcd93}</x14:id>
        </ext>
      </extLst>
    </cfRule>
  </conditionalFormatting>
  <conditionalFormatting sqref="I152:I15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{027e4e20-5d32-40e4-98bd-c872192a02a4}</x14:id>
        </ext>
      </extLst>
    </cfRule>
  </conditionalFormatting>
  <conditionalFormatting sqref="M4:M8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{a9a64881-5340-4699-825e-71c954bb2212}</x14:id>
        </ext>
      </extLst>
    </cfRule>
  </conditionalFormatting>
  <conditionalFormatting sqref="M15:M20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{ce55617b-07d1-4e7d-b7b5-2ca7db24b590}</x14:id>
        </ext>
      </extLst>
    </cfRule>
  </conditionalFormatting>
  <conditionalFormatting sqref="M40:M45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{1f675a46-698b-40d4-8061-932d45ae89ee}</x14:id>
        </ext>
      </extLst>
    </cfRule>
  </conditionalFormatting>
  <conditionalFormatting sqref="M52:M58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{066547e6-e79d-4946-818a-1f70828d85cb}</x14:id>
        </ext>
      </extLst>
    </cfRule>
  </conditionalFormatting>
  <conditionalFormatting sqref="M65:M68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{4eb26df5-837e-4157-9d0b-9397a14be2ee}</x14:id>
        </ext>
      </extLst>
    </cfRule>
  </conditionalFormatting>
  <conditionalFormatting sqref="M75:M78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{358f07fd-80d4-49b9-88ff-b70e2f3955a9}</x14:id>
        </ext>
      </extLst>
    </cfRule>
  </conditionalFormatting>
  <conditionalFormatting sqref="M85:M9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{d552f36b-2803-4e1b-8468-aa5a9e0ad73b}</x14:id>
        </ext>
      </extLst>
    </cfRule>
  </conditionalFormatting>
  <conditionalFormatting sqref="M99:M104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{a7b3e8d3-ba70-4f68-b772-a84b58a80c6b}</x14:id>
        </ext>
      </extLst>
    </cfRule>
  </conditionalFormatting>
  <conditionalFormatting sqref="M112:M117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{b7203f2f-d8cb-43ff-ad5b-406408399396}</x14:id>
        </ext>
      </extLst>
    </cfRule>
  </conditionalFormatting>
  <conditionalFormatting sqref="M125:M131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{7eb33e86-069f-46da-9e71-412049ea20a9}</x14:id>
        </ext>
      </extLst>
    </cfRule>
  </conditionalFormatting>
  <conditionalFormatting sqref="M138:M144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{e63c74b7-2d53-4c0a-898a-9713dee906c3}</x14:id>
        </ext>
      </extLst>
    </cfRule>
  </conditionalFormatting>
  <conditionalFormatting sqref="M152:M15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{3142ee03-bd77-49e6-a775-a171da3520b8}</x14:id>
        </ext>
      </extLst>
    </cfRule>
  </conditionalFormatting>
  <conditionalFormatting sqref="I9:I10 I3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{359d4597-badc-40a2-8996-25fd3ca74dd9}</x14:id>
        </ext>
      </extLst>
    </cfRule>
  </conditionalFormatting>
  <conditionalFormatting sqref="I21:I22 I1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{3302ec08-70ea-4164-826a-767e2ff86edd}</x14:id>
        </ext>
      </extLst>
    </cfRule>
  </conditionalFormatting>
  <conditionalFormatting sqref="I26 I3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{f780ac88-f028-42b8-ad2f-fac5c59f30e5}</x14:id>
        </ext>
      </extLst>
    </cfRule>
  </conditionalFormatting>
  <conditionalFormatting sqref="M26 M32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{2dccc3c3-0cf4-4f6b-b86e-42256926e8a9}</x14:id>
        </ext>
      </extLst>
    </cfRule>
  </conditionalFormatting>
  <conditionalFormatting sqref="I28:I31 I33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{d69ff6ab-a1d5-428e-80f2-b5f6bb9884f3}</x14:id>
        </ext>
      </extLst>
    </cfRule>
  </conditionalFormatting>
  <conditionalFormatting sqref="M28:M31 M33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{78c42408-adc6-4ddd-b2cd-abecb806844e}</x14:id>
        </ext>
      </extLst>
    </cfRule>
  </conditionalFormatting>
  <conditionalFormatting sqref="I46:I47 I39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{ea90c71d-97fd-490a-80e2-b04c28ff1e69}</x14:id>
        </ext>
      </extLst>
    </cfRule>
  </conditionalFormatting>
  <conditionalFormatting sqref="I59:I60 I51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{939b88e7-d419-4ce0-a1e0-2a8c726a74cf}</x14:id>
        </ext>
      </extLst>
    </cfRule>
  </conditionalFormatting>
  <conditionalFormatting sqref="I69:I70 I64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{86f484bf-ac5c-4b91-bbaf-3693a5c20b12}</x14:id>
        </ext>
      </extLst>
    </cfRule>
  </conditionalFormatting>
  <conditionalFormatting sqref="I79:I80 I74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{eaa66bc3-ae7a-4fd4-9946-1080737ce1ff}</x14:id>
        </ext>
      </extLst>
    </cfRule>
  </conditionalFormatting>
  <conditionalFormatting sqref="I93:I94 I84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{895eb303-7756-48bb-818a-c2e045744c3d}</x14:id>
        </ext>
      </extLst>
    </cfRule>
  </conditionalFormatting>
  <conditionalFormatting sqref="I118:I119 I111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{42d4bab3-7e8c-45ed-ba50-afb769cb39ed}</x14:id>
        </ext>
      </extLst>
    </cfRule>
  </conditionalFormatting>
  <conditionalFormatting sqref="I132:I133 I124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{885b8088-8ed6-4632-a3de-7a16c0f13f51}</x14:id>
        </ext>
      </extLst>
    </cfRule>
  </conditionalFormatting>
  <conditionalFormatting sqref="I125:I128 I130:I131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{c16a62db-92df-43c1-a6bd-d842140eea69}</x14:id>
        </ext>
      </extLst>
    </cfRule>
  </conditionalFormatting>
  <conditionalFormatting sqref="I146:I147 I137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{c083ef52-369d-424d-aea5-71593efaaab8}</x14:id>
        </ext>
      </extLst>
    </cfRule>
  </conditionalFormatting>
  <conditionalFormatting sqref="I159:I160 I151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{fbba2df3-eb19-4acf-848b-1d8a5d5b6fbf}</x14:id>
        </ext>
      </extLst>
    </cfRule>
  </conditionalFormatting>
  <hyperlinks>
    <hyperlink ref="B58" r:id="rId1" display="moparpartsinc.com"/>
    <hyperlink ref="B113" r:id="rId2" display="subarupartsplus.com" tooltip="http://www.subarupartsplus.com"/>
    <hyperlink ref="B53" r:id="rId3" display="moparfactoryparts.com" tooltip="http://www.moparfactoryparts.com"/>
    <hyperlink ref="B110" r:id="rId4" display="subaruparts.com" tooltip="http://www.subaruparts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cd0f9ab-03fe-4a72-a74c-537e8e6894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</xm:sqref>
        </x14:conditionalFormatting>
        <x14:conditionalFormatting xmlns:xm="http://schemas.microsoft.com/office/excel/2006/main">
          <x14:cfRule type="dataBar" id="{a22571ee-7664-4402-911f-7d19642645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</xm:sqref>
        </x14:conditionalFormatting>
        <x14:conditionalFormatting xmlns:xm="http://schemas.microsoft.com/office/excel/2006/main">
          <x14:cfRule type="dataBar" id="{4315d9ee-843b-4b61-99a5-25421d0204c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I27</xm:sqref>
        </x14:conditionalFormatting>
        <x14:conditionalFormatting xmlns:xm="http://schemas.microsoft.com/office/excel/2006/main">
          <x14:cfRule type="dataBar" id="{07e553e8-b83f-41e5-bdd8-688d2607ca8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M27</xm:sqref>
        </x14:conditionalFormatting>
        <x14:conditionalFormatting xmlns:xm="http://schemas.microsoft.com/office/excel/2006/main">
          <x14:cfRule type="dataBar" id="{a4ad5e18-0c8e-454f-9c8f-11b6065a94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M34</xm:sqref>
        </x14:conditionalFormatting>
        <x14:conditionalFormatting xmlns:xm="http://schemas.microsoft.com/office/excel/2006/main">
          <x14:cfRule type="dataBar" id="{bc2cb13b-781f-443d-90c5-a188aedd63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M39</xm:sqref>
        </x14:conditionalFormatting>
        <x14:conditionalFormatting xmlns:xm="http://schemas.microsoft.com/office/excel/2006/main">
          <x14:cfRule type="dataBar" id="{a48069f2-712c-4c37-9a79-6991f5efbc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M51</xm:sqref>
        </x14:conditionalFormatting>
        <x14:conditionalFormatting xmlns:xm="http://schemas.microsoft.com/office/excel/2006/main">
          <x14:cfRule type="dataBar" id="{7965032f-896f-4f3b-94f0-d1b6c397f1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M64</xm:sqref>
        </x14:conditionalFormatting>
        <x14:conditionalFormatting xmlns:xm="http://schemas.microsoft.com/office/excel/2006/main">
          <x14:cfRule type="dataBar" id="{7ba9d5fe-fb3d-4fd5-b690-1a5bd8c231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M74</xm:sqref>
        </x14:conditionalFormatting>
        <x14:conditionalFormatting xmlns:xm="http://schemas.microsoft.com/office/excel/2006/main">
          <x14:cfRule type="dataBar" id="{b917ee02-ce90-4d50-9e14-fc01926691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M84</xm:sqref>
        </x14:conditionalFormatting>
        <x14:conditionalFormatting xmlns:xm="http://schemas.microsoft.com/office/excel/2006/main">
          <x14:cfRule type="dataBar" id="{b1e06616-9914-45a5-818c-c14c3cb7f3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M98</xm:sqref>
        </x14:conditionalFormatting>
        <x14:conditionalFormatting xmlns:xm="http://schemas.microsoft.com/office/excel/2006/main">
          <x14:cfRule type="dataBar" id="{6706e872-bc5c-40f0-bf11-0cb049ef0d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I110</xm:sqref>
        </x14:conditionalFormatting>
        <x14:conditionalFormatting xmlns:xm="http://schemas.microsoft.com/office/excel/2006/main">
          <x14:cfRule type="dataBar" id="{a2dc1909-ceca-4a32-97d7-de54c867ac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M110</xm:sqref>
        </x14:conditionalFormatting>
        <x14:conditionalFormatting xmlns:xm="http://schemas.microsoft.com/office/excel/2006/main">
          <x14:cfRule type="dataBar" id="{b8eae6b4-1328-4c5c-b91e-60c0ca915e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M111</xm:sqref>
        </x14:conditionalFormatting>
        <x14:conditionalFormatting xmlns:xm="http://schemas.microsoft.com/office/excel/2006/main">
          <x14:cfRule type="dataBar" id="{034bd309-b805-4175-a5f1-33bff08847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I123</xm:sqref>
        </x14:conditionalFormatting>
        <x14:conditionalFormatting xmlns:xm="http://schemas.microsoft.com/office/excel/2006/main">
          <x14:cfRule type="dataBar" id="{52fc5e4d-3fd0-47f7-910e-9cbe1fe214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M123</xm:sqref>
        </x14:conditionalFormatting>
        <x14:conditionalFormatting xmlns:xm="http://schemas.microsoft.com/office/excel/2006/main">
          <x14:cfRule type="dataBar" id="{87761696-ef1e-4e49-8e7c-3df6ce9094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M124</xm:sqref>
        </x14:conditionalFormatting>
        <x14:conditionalFormatting xmlns:xm="http://schemas.microsoft.com/office/excel/2006/main">
          <x14:cfRule type="dataBar" id="{55ade1b6-f1fe-40e1-bf7a-ded845c1b9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I129</xm:sqref>
        </x14:conditionalFormatting>
        <x14:conditionalFormatting xmlns:xm="http://schemas.microsoft.com/office/excel/2006/main">
          <x14:cfRule type="dataBar" id="{cd42be6a-3ac6-4ce4-abc7-db5caa7873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M137</xm:sqref>
        </x14:conditionalFormatting>
        <x14:conditionalFormatting xmlns:xm="http://schemas.microsoft.com/office/excel/2006/main">
          <x14:cfRule type="dataBar" id="{76d5930f-b98a-40db-bc1c-b105ac2dcd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M151</xm:sqref>
        </x14:conditionalFormatting>
        <x14:conditionalFormatting xmlns:xm="http://schemas.microsoft.com/office/excel/2006/main">
          <x14:cfRule type="dataBar" id="{60f495e0-d5af-4cfe-99ec-622e52d4bb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I4:I8</xm:sqref>
        </x14:conditionalFormatting>
        <x14:conditionalFormatting xmlns:xm="http://schemas.microsoft.com/office/excel/2006/main">
          <x14:cfRule type="dataBar" id="{a76b398f-cfef-421f-b6fe-9ec5deaa06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I15:I20</xm:sqref>
        </x14:conditionalFormatting>
        <x14:conditionalFormatting xmlns:xm="http://schemas.microsoft.com/office/excel/2006/main">
          <x14:cfRule type="dataBar" id="{b126a71b-70ef-4796-8baa-30662b1206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I34:I35</xm:sqref>
        </x14:conditionalFormatting>
        <x14:conditionalFormatting xmlns:xm="http://schemas.microsoft.com/office/excel/2006/main">
          <x14:cfRule type="dataBar" id="{0f03b9df-aa79-41b0-82ee-cfd13bc9a4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I40:I45</xm:sqref>
        </x14:conditionalFormatting>
        <x14:conditionalFormatting xmlns:xm="http://schemas.microsoft.com/office/excel/2006/main">
          <x14:cfRule type="dataBar" id="{b6a56a35-f67c-491e-a1a3-f98549f8bc8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I52:I58</xm:sqref>
        </x14:conditionalFormatting>
        <x14:conditionalFormatting xmlns:xm="http://schemas.microsoft.com/office/excel/2006/main">
          <x14:cfRule type="dataBar" id="{8679fd5a-c57b-4cf3-a002-843de5e9ee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I65:I68</xm:sqref>
        </x14:conditionalFormatting>
        <x14:conditionalFormatting xmlns:xm="http://schemas.microsoft.com/office/excel/2006/main">
          <x14:cfRule type="dataBar" id="{4db3152b-0601-4d0b-9fad-24a52616f9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I75:I78</xm:sqref>
        </x14:conditionalFormatting>
        <x14:conditionalFormatting xmlns:xm="http://schemas.microsoft.com/office/excel/2006/main">
          <x14:cfRule type="dataBar" id="{67c32229-b197-4394-bebe-986738d0ec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I85:I92</xm:sqref>
        </x14:conditionalFormatting>
        <x14:conditionalFormatting xmlns:xm="http://schemas.microsoft.com/office/excel/2006/main">
          <x14:cfRule type="dataBar" id="{1c5fc3e8-86c9-42dc-821b-d45bd68a277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I99:I104</xm:sqref>
        </x14:conditionalFormatting>
        <x14:conditionalFormatting xmlns:xm="http://schemas.microsoft.com/office/excel/2006/main">
          <x14:cfRule type="dataBar" id="{53415c5c-0f98-42eb-93d6-20a7e1360f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I105:I106</xm:sqref>
        </x14:conditionalFormatting>
        <x14:conditionalFormatting xmlns:xm="http://schemas.microsoft.com/office/excel/2006/main">
          <x14:cfRule type="dataBar" id="{79970fde-fc51-4885-9721-83884fffba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I112:I117</xm:sqref>
        </x14:conditionalFormatting>
        <x14:conditionalFormatting xmlns:xm="http://schemas.microsoft.com/office/excel/2006/main">
          <x14:cfRule type="dataBar" id="{28fb7491-c2c3-4423-a26a-ac2b632bcd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I138:I144</xm:sqref>
        </x14:conditionalFormatting>
        <x14:conditionalFormatting xmlns:xm="http://schemas.microsoft.com/office/excel/2006/main">
          <x14:cfRule type="dataBar" id="{027e4e20-5d32-40e4-98bd-c872192a02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I152:I158</xm:sqref>
        </x14:conditionalFormatting>
        <x14:conditionalFormatting xmlns:xm="http://schemas.microsoft.com/office/excel/2006/main">
          <x14:cfRule type="dataBar" id="{a9a64881-5340-4699-825e-71c954bb221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M4:M8</xm:sqref>
        </x14:conditionalFormatting>
        <x14:conditionalFormatting xmlns:xm="http://schemas.microsoft.com/office/excel/2006/main">
          <x14:cfRule type="dataBar" id="{ce55617b-07d1-4e7d-b7b5-2ca7db24b5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M15:M20</xm:sqref>
        </x14:conditionalFormatting>
        <x14:conditionalFormatting xmlns:xm="http://schemas.microsoft.com/office/excel/2006/main">
          <x14:cfRule type="dataBar" id="{1f675a46-698b-40d4-8061-932d45ae89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M40:M45</xm:sqref>
        </x14:conditionalFormatting>
        <x14:conditionalFormatting xmlns:xm="http://schemas.microsoft.com/office/excel/2006/main">
          <x14:cfRule type="dataBar" id="{066547e6-e79d-4946-818a-1f70828d85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M52:M58</xm:sqref>
        </x14:conditionalFormatting>
        <x14:conditionalFormatting xmlns:xm="http://schemas.microsoft.com/office/excel/2006/main">
          <x14:cfRule type="dataBar" id="{4eb26df5-837e-4157-9d0b-9397a14be2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M65:M68</xm:sqref>
        </x14:conditionalFormatting>
        <x14:conditionalFormatting xmlns:xm="http://schemas.microsoft.com/office/excel/2006/main">
          <x14:cfRule type="dataBar" id="{358f07fd-80d4-49b9-88ff-b70e2f3955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M75:M78</xm:sqref>
        </x14:conditionalFormatting>
        <x14:conditionalFormatting xmlns:xm="http://schemas.microsoft.com/office/excel/2006/main">
          <x14:cfRule type="dataBar" id="{d552f36b-2803-4e1b-8468-aa5a9e0ad7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M85:M92</xm:sqref>
        </x14:conditionalFormatting>
        <x14:conditionalFormatting xmlns:xm="http://schemas.microsoft.com/office/excel/2006/main">
          <x14:cfRule type="dataBar" id="{a7b3e8d3-ba70-4f68-b772-a84b58a80c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M99:M104</xm:sqref>
        </x14:conditionalFormatting>
        <x14:conditionalFormatting xmlns:xm="http://schemas.microsoft.com/office/excel/2006/main">
          <x14:cfRule type="dataBar" id="{b7203f2f-d8cb-43ff-ad5b-4064083993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M112:M117</xm:sqref>
        </x14:conditionalFormatting>
        <x14:conditionalFormatting xmlns:xm="http://schemas.microsoft.com/office/excel/2006/main">
          <x14:cfRule type="dataBar" id="{7eb33e86-069f-46da-9e71-412049ea20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M125:M131</xm:sqref>
        </x14:conditionalFormatting>
        <x14:conditionalFormatting xmlns:xm="http://schemas.microsoft.com/office/excel/2006/main">
          <x14:cfRule type="dataBar" id="{e63c74b7-2d53-4c0a-898a-9713dee906c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M138:M144</xm:sqref>
        </x14:conditionalFormatting>
        <x14:conditionalFormatting xmlns:xm="http://schemas.microsoft.com/office/excel/2006/main">
          <x14:cfRule type="dataBar" id="{3142ee03-bd77-49e6-a775-a171da3520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M152:M158</xm:sqref>
        </x14:conditionalFormatting>
        <x14:conditionalFormatting xmlns:xm="http://schemas.microsoft.com/office/excel/2006/main">
          <x14:cfRule type="dataBar" id="{359d4597-badc-40a2-8996-25fd3ca74dd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I9:I10 I3</xm:sqref>
        </x14:conditionalFormatting>
        <x14:conditionalFormatting xmlns:xm="http://schemas.microsoft.com/office/excel/2006/main">
          <x14:cfRule type="dataBar" id="{3302ec08-70ea-4164-826a-767e2ff86e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I21:I22 I14</xm:sqref>
        </x14:conditionalFormatting>
        <x14:conditionalFormatting xmlns:xm="http://schemas.microsoft.com/office/excel/2006/main">
          <x14:cfRule type="dataBar" id="{f780ac88-f028-42b8-ad2f-fac5c59f30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I26 I32</xm:sqref>
        </x14:conditionalFormatting>
        <x14:conditionalFormatting xmlns:xm="http://schemas.microsoft.com/office/excel/2006/main">
          <x14:cfRule type="dataBar" id="{2dccc3c3-0cf4-4f6b-b86e-42256926e8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M26 M32</xm:sqref>
        </x14:conditionalFormatting>
        <x14:conditionalFormatting xmlns:xm="http://schemas.microsoft.com/office/excel/2006/main">
          <x14:cfRule type="dataBar" id="{d69ff6ab-a1d5-428e-80f2-b5f6bb9884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I28:I31 I33</xm:sqref>
        </x14:conditionalFormatting>
        <x14:conditionalFormatting xmlns:xm="http://schemas.microsoft.com/office/excel/2006/main">
          <x14:cfRule type="dataBar" id="{78c42408-adc6-4ddd-b2cd-abecb806844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M28:M31 M33</xm:sqref>
        </x14:conditionalFormatting>
        <x14:conditionalFormatting xmlns:xm="http://schemas.microsoft.com/office/excel/2006/main">
          <x14:cfRule type="dataBar" id="{ea90c71d-97fd-490a-80e2-b04c28ff1e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I46:I47 I39</xm:sqref>
        </x14:conditionalFormatting>
        <x14:conditionalFormatting xmlns:xm="http://schemas.microsoft.com/office/excel/2006/main">
          <x14:cfRule type="dataBar" id="{939b88e7-d419-4ce0-a1e0-2a8c726a74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I59:I60 I51</xm:sqref>
        </x14:conditionalFormatting>
        <x14:conditionalFormatting xmlns:xm="http://schemas.microsoft.com/office/excel/2006/main">
          <x14:cfRule type="dataBar" id="{86f484bf-ac5c-4b91-bbaf-3693a5c20b1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I69:I70 I64</xm:sqref>
        </x14:conditionalFormatting>
        <x14:conditionalFormatting xmlns:xm="http://schemas.microsoft.com/office/excel/2006/main">
          <x14:cfRule type="dataBar" id="{eaa66bc3-ae7a-4fd4-9946-1080737ce1f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I79:I80 I74</xm:sqref>
        </x14:conditionalFormatting>
        <x14:conditionalFormatting xmlns:xm="http://schemas.microsoft.com/office/excel/2006/main">
          <x14:cfRule type="dataBar" id="{895eb303-7756-48bb-818a-c2e045744c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I93:I94 I84</xm:sqref>
        </x14:conditionalFormatting>
        <x14:conditionalFormatting xmlns:xm="http://schemas.microsoft.com/office/excel/2006/main">
          <x14:cfRule type="dataBar" id="{42d4bab3-7e8c-45ed-ba50-afb769cb39e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I118:I119 I111</xm:sqref>
        </x14:conditionalFormatting>
        <x14:conditionalFormatting xmlns:xm="http://schemas.microsoft.com/office/excel/2006/main">
          <x14:cfRule type="dataBar" id="{885b8088-8ed6-4632-a3de-7a16c0f13f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I132:I133 I124</xm:sqref>
        </x14:conditionalFormatting>
        <x14:conditionalFormatting xmlns:xm="http://schemas.microsoft.com/office/excel/2006/main">
          <x14:cfRule type="dataBar" id="{c16a62db-92df-43c1-a6bd-d842140eea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I125:I128 I130:I131</xm:sqref>
        </x14:conditionalFormatting>
        <x14:conditionalFormatting xmlns:xm="http://schemas.microsoft.com/office/excel/2006/main">
          <x14:cfRule type="dataBar" id="{c083ef52-369d-424d-aea5-71593efaaa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I146:I147 I137</xm:sqref>
        </x14:conditionalFormatting>
        <x14:conditionalFormatting xmlns:xm="http://schemas.microsoft.com/office/excel/2006/main">
          <x14:cfRule type="dataBar" id="{fbba2df3-eb19-4acf-848b-1d8a5d5b6fb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I159:I160 I151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42"/>
  <sheetViews>
    <sheetView workbookViewId="0">
      <selection activeCell="A1" sqref="A1"/>
    </sheetView>
  </sheetViews>
  <sheetFormatPr defaultColWidth="9" defaultRowHeight="15.6"/>
  <cols>
    <col min="1" max="1" width="13.4444444444444" style="408" customWidth="1"/>
    <col min="2" max="2" width="39.8888888888889" style="408" customWidth="1"/>
    <col min="3" max="3" width="11.3333333333333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19.2222222222222" style="413" hidden="1" customWidth="1"/>
    <col min="14" max="14" width="7.33333333333333" style="414" hidden="1" customWidth="1"/>
    <col min="15" max="15" width="16.3333333333333" style="412" hidden="1" customWidth="1"/>
    <col min="16" max="16" width="96.4444444444444" style="528" customWidth="1"/>
    <col min="17" max="17" width="31.6666666666667" style="408" customWidth="1"/>
    <col min="18" max="18" width="14.8888888888889" style="408" customWidth="1"/>
    <col min="19" max="19" width="10.1111111111111" style="408" customWidth="1"/>
    <col min="20" max="20" width="17.1111111111111" style="416" customWidth="1"/>
    <col min="21" max="21" width="16.8888888888889" style="416" customWidth="1"/>
    <col min="22" max="22" width="10.8888888888889" style="408" hidden="1" customWidth="1"/>
    <col min="23" max="23" width="11.1111111111111" style="408" hidden="1" customWidth="1"/>
    <col min="24" max="16383" width="9" style="417"/>
  </cols>
  <sheetData>
    <row r="1" s="408" customFormat="1" ht="17.4" spans="1:23">
      <c r="A1" s="418" t="s">
        <v>145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43"/>
      <c r="N1" s="444"/>
      <c r="O1" s="422"/>
      <c r="P1" s="529"/>
      <c r="Q1" s="465"/>
      <c r="R1" s="424"/>
      <c r="S1" s="421"/>
      <c r="T1" s="466"/>
      <c r="U1" s="467"/>
      <c r="V1" s="467"/>
      <c r="W1" s="467"/>
    </row>
    <row r="2" s="409" customFormat="1" ht="46.8" spans="1:23">
      <c r="A2" s="423" t="s">
        <v>206</v>
      </c>
      <c r="B2" s="424" t="s">
        <v>207</v>
      </c>
      <c r="C2" s="425" t="s">
        <v>208</v>
      </c>
      <c r="D2" s="424" t="s">
        <v>209</v>
      </c>
      <c r="E2" s="426" t="s">
        <v>210</v>
      </c>
      <c r="F2" s="427" t="s">
        <v>443</v>
      </c>
      <c r="G2" s="427" t="s">
        <v>213</v>
      </c>
      <c r="H2" s="427" t="s">
        <v>396</v>
      </c>
      <c r="I2" s="445" t="s">
        <v>386</v>
      </c>
      <c r="J2" s="446" t="s">
        <v>434</v>
      </c>
      <c r="K2" s="446" t="s">
        <v>435</v>
      </c>
      <c r="L2" s="446" t="s">
        <v>444</v>
      </c>
      <c r="M2" s="447" t="s">
        <v>436</v>
      </c>
      <c r="N2" s="448" t="s">
        <v>219</v>
      </c>
      <c r="O2" s="449" t="s">
        <v>220</v>
      </c>
      <c r="P2" s="535" t="s">
        <v>0</v>
      </c>
      <c r="Q2" s="469" t="s">
        <v>222</v>
      </c>
      <c r="R2" s="426" t="s">
        <v>223</v>
      </c>
      <c r="S2" s="470" t="s">
        <v>224</v>
      </c>
      <c r="T2" s="467" t="s">
        <v>225</v>
      </c>
      <c r="U2" s="470" t="s">
        <v>226</v>
      </c>
      <c r="V2" s="467"/>
      <c r="W2" s="467"/>
    </row>
    <row r="3" s="408" customFormat="1" spans="1:23">
      <c r="A3" s="428" t="s">
        <v>230</v>
      </c>
      <c r="B3" s="421" t="s">
        <v>251</v>
      </c>
      <c r="C3" s="429" t="str">
        <f>VLOOKUP(B3,正厂竞争者数据汇总!D:H,2,FALSE)</f>
        <v>Motor目录</v>
      </c>
      <c r="D3" s="421" t="str">
        <f>VLOOKUP(B3,正厂竞争者数据汇总!D:H,3,FALSE)</f>
        <v>NC</v>
      </c>
      <c r="E3" s="430"/>
      <c r="F3" s="430">
        <v>608241.333333333</v>
      </c>
      <c r="G3" s="430"/>
      <c r="H3" s="430"/>
      <c r="I3" s="450"/>
      <c r="J3" s="451">
        <v>0.295984504953936</v>
      </c>
      <c r="K3" s="451">
        <v>0.251421568272547</v>
      </c>
      <c r="L3" s="451">
        <v>0.235301891847012</v>
      </c>
      <c r="M3" s="452"/>
      <c r="N3" s="451"/>
      <c r="O3" s="430"/>
      <c r="P3" s="531">
        <f t="array" ref="P3">INDEX(正厂竞争者数据汇总!I:I,MATCH($A$1&amp;B3,正厂竞争者数据汇总!A:A&amp;正厂竞争者数据汇总!D:D,0))</f>
        <v>0</v>
      </c>
      <c r="Q3" s="429" t="s">
        <v>180</v>
      </c>
      <c r="R3" s="421" t="s">
        <v>180</v>
      </c>
      <c r="S3" s="472"/>
      <c r="T3" s="466"/>
      <c r="U3" s="466"/>
      <c r="V3" s="466"/>
      <c r="W3" s="466"/>
    </row>
    <row r="4" s="410" customFormat="1" spans="1:23">
      <c r="A4" s="432" t="s">
        <v>227</v>
      </c>
      <c r="B4" s="432" t="s">
        <v>146</v>
      </c>
      <c r="C4" s="505" t="str">
        <f>VLOOKUP(B4,正厂竞争者数据汇总!D:H,2,FALSE)</f>
        <v>原厂目录</v>
      </c>
      <c r="D4" s="435" t="str">
        <f>VLOOKUP(B4,正厂竞争者数据汇总!D:H,3,FALSE)</f>
        <v>AZ</v>
      </c>
      <c r="E4" s="436"/>
      <c r="F4" s="436">
        <v>544746.166666667</v>
      </c>
      <c r="G4" s="436"/>
      <c r="H4" s="436"/>
      <c r="I4" s="510"/>
      <c r="J4" s="457">
        <v>0.265086266963751</v>
      </c>
      <c r="K4" s="457">
        <v>0.222145681881585</v>
      </c>
      <c r="L4" s="457">
        <v>0.205876306455008</v>
      </c>
      <c r="M4" s="461"/>
      <c r="N4" s="457"/>
      <c r="O4" s="436"/>
      <c r="P4" s="531">
        <f t="array" ref="P4">INDEX(正厂竞争者数据汇总!I:I,MATCH($A$1&amp;B4,正厂竞争者数据汇总!A:A&amp;正厂竞争者数据汇总!D:D,0))</f>
        <v>0</v>
      </c>
      <c r="Q4" s="434"/>
      <c r="R4" s="435"/>
      <c r="S4" s="476"/>
      <c r="T4" s="477"/>
      <c r="U4" s="477"/>
      <c r="V4" s="477"/>
      <c r="W4" s="477"/>
    </row>
    <row r="5" s="408" customFormat="1" spans="1:23">
      <c r="A5" s="428" t="s">
        <v>230</v>
      </c>
      <c r="B5" s="421" t="s">
        <v>258</v>
      </c>
      <c r="C5" s="429" t="str">
        <f>VLOOKUP(B5,正厂竞争者数据汇总!D:H,2,FALSE)</f>
        <v>Motor目录</v>
      </c>
      <c r="D5" s="421" t="str">
        <f>VLOOKUP(B5,正厂竞争者数据汇总!D:H,3,FALSE)</f>
        <v>NM</v>
      </c>
      <c r="E5" s="430"/>
      <c r="F5" s="430">
        <v>223735.916666667</v>
      </c>
      <c r="G5" s="430"/>
      <c r="H5" s="430"/>
      <c r="I5" s="450"/>
      <c r="J5" s="451">
        <v>0.108875146929068</v>
      </c>
      <c r="K5" s="451">
        <v>0.106770179813124</v>
      </c>
      <c r="L5" s="451">
        <v>0.0706072715653019</v>
      </c>
      <c r="M5" s="452"/>
      <c r="N5" s="451"/>
      <c r="O5" s="430"/>
      <c r="P5" s="531">
        <f t="array" ref="P5">INDEX(正厂竞争者数据汇总!I:I,MATCH($A$1&amp;B5,正厂竞争者数据汇总!A:A&amp;正厂竞争者数据汇总!D:D,0))</f>
        <v>0</v>
      </c>
      <c r="Q5" s="429" t="s">
        <v>180</v>
      </c>
      <c r="R5" s="421"/>
      <c r="S5" s="472"/>
      <c r="T5" s="466"/>
      <c r="U5" s="466"/>
      <c r="V5" s="466"/>
      <c r="W5" s="466"/>
    </row>
    <row r="6" s="408" customFormat="1" spans="1:23">
      <c r="A6" s="428" t="s">
        <v>230</v>
      </c>
      <c r="B6" s="421" t="s">
        <v>252</v>
      </c>
      <c r="C6" s="429" t="str">
        <f>VLOOKUP(B6,正厂竞争者数据汇总!D:H,2,FALSE)</f>
        <v>Motor目录</v>
      </c>
      <c r="D6" s="421" t="str">
        <f>VLOOKUP(B6,正厂竞争者数据汇总!D:H,3,FALSE)</f>
        <v>AZ</v>
      </c>
      <c r="E6" s="430"/>
      <c r="F6" s="430">
        <v>215310.666666667</v>
      </c>
      <c r="G6" s="430"/>
      <c r="H6" s="430"/>
      <c r="I6" s="450"/>
      <c r="J6" s="451">
        <v>0.104775222583748</v>
      </c>
      <c r="K6" s="451">
        <v>0.0952818771303367</v>
      </c>
      <c r="L6" s="451">
        <v>0.0968642838950356</v>
      </c>
      <c r="M6" s="452"/>
      <c r="N6" s="451"/>
      <c r="O6" s="430"/>
      <c r="P6" s="531">
        <f t="array" ref="P6">INDEX(正厂竞争者数据汇总!I:I,MATCH($A$1&amp;B6,正厂竞争者数据汇总!A:A&amp;正厂竞争者数据汇总!D:D,0))</f>
        <v>0</v>
      </c>
      <c r="Q6" s="429" t="s">
        <v>180</v>
      </c>
      <c r="R6" s="421" t="s">
        <v>180</v>
      </c>
      <c r="S6" s="472"/>
      <c r="T6" s="466"/>
      <c r="U6" s="466"/>
      <c r="V6" s="466"/>
      <c r="W6" s="466"/>
    </row>
    <row r="7" s="408" customFormat="1" spans="1:23">
      <c r="A7" s="428" t="s">
        <v>391</v>
      </c>
      <c r="B7" s="421" t="s">
        <v>256</v>
      </c>
      <c r="C7" s="429" t="str">
        <f>VLOOKUP(B7,正厂竞争者数据汇总!D:H,2,FALSE)</f>
        <v>原厂目录</v>
      </c>
      <c r="D7" s="421" t="str">
        <f>VLOOKUP(B7,正厂竞争者数据汇总!D:H,3,FALSE)</f>
        <v>KY</v>
      </c>
      <c r="E7" s="430"/>
      <c r="F7" s="430">
        <v>151871.75</v>
      </c>
      <c r="G7" s="430"/>
      <c r="H7" s="430"/>
      <c r="I7" s="450"/>
      <c r="J7" s="451">
        <v>0.0739043571634472</v>
      </c>
      <c r="K7" s="451">
        <v>0.0669783847809687</v>
      </c>
      <c r="L7" s="451">
        <v>0.0614695322205222</v>
      </c>
      <c r="M7" s="452"/>
      <c r="N7" s="451"/>
      <c r="O7" s="430"/>
      <c r="P7" s="531">
        <f t="array" ref="P7">INDEX(正厂竞争者数据汇总!I:I,MATCH($A$1&amp;B7,正厂竞争者数据汇总!A:A&amp;正厂竞争者数据汇总!D:D,0))</f>
        <v>0</v>
      </c>
      <c r="Q7" s="429" t="s">
        <v>257</v>
      </c>
      <c r="R7" s="421" t="s">
        <v>229</v>
      </c>
      <c r="S7" s="472"/>
      <c r="T7" s="466"/>
      <c r="U7" s="466"/>
      <c r="V7" s="466"/>
      <c r="W7" s="466"/>
    </row>
    <row r="8" s="408" customFormat="1" spans="1:23">
      <c r="A8" s="428" t="s">
        <v>230</v>
      </c>
      <c r="B8" s="421" t="s">
        <v>255</v>
      </c>
      <c r="C8" s="429" t="str">
        <f>VLOOKUP(B8,正厂竞争者数据汇总!D:H,2,FALSE)</f>
        <v>Motor目录</v>
      </c>
      <c r="D8" s="421" t="str">
        <f>VLOOKUP(B8,正厂竞争者数据汇总!D:H,3,FALSE)</f>
        <v>RI</v>
      </c>
      <c r="E8" s="430"/>
      <c r="F8" s="430">
        <v>148073.475833333</v>
      </c>
      <c r="G8" s="430"/>
      <c r="H8" s="430"/>
      <c r="I8" s="450"/>
      <c r="J8" s="451">
        <v>0.0720560278288734</v>
      </c>
      <c r="K8" s="451">
        <v>0.0601901746141378</v>
      </c>
      <c r="L8" s="451">
        <v>0.0554634423238055</v>
      </c>
      <c r="M8" s="452"/>
      <c r="N8" s="451"/>
      <c r="O8" s="430"/>
      <c r="P8" s="531" t="str">
        <f t="array" ref="P8">INDEX(正厂竞争者数据汇总!I:I,MATCH($A$1&amp;B8,正厂竞争者数据汇总!A:A&amp;正厂竞争者数据汇总!D:D,0))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8" s="429" t="s">
        <v>180</v>
      </c>
      <c r="R8" s="421" t="s">
        <v>180</v>
      </c>
      <c r="S8" s="472"/>
      <c r="T8" s="466"/>
      <c r="U8" s="466"/>
      <c r="V8" s="466"/>
      <c r="W8" s="466"/>
    </row>
    <row r="9" s="408" customFormat="1" ht="17.4" spans="1:23">
      <c r="A9" s="428" t="s">
        <v>230</v>
      </c>
      <c r="B9" s="421" t="s">
        <v>253</v>
      </c>
      <c r="C9" s="429" t="str">
        <f>VLOOKUP(B9,正厂竞争者数据汇总!D:H,2,FALSE)</f>
        <v>Motor目录</v>
      </c>
      <c r="D9" s="421" t="str">
        <f>VLOOKUP(B9,正厂竞争者数据汇总!D:H,3,FALSE)</f>
        <v>TX</v>
      </c>
      <c r="E9" s="430"/>
      <c r="F9" s="430">
        <v>84513.6344</v>
      </c>
      <c r="G9" s="430"/>
      <c r="H9" s="430"/>
      <c r="I9" s="450"/>
      <c r="J9" s="451">
        <v>0.0411263175796591</v>
      </c>
      <c r="K9" s="451">
        <v>0.15671955044194</v>
      </c>
      <c r="L9" s="451">
        <v>0.228864002748741</v>
      </c>
      <c r="M9" s="452"/>
      <c r="N9" s="451"/>
      <c r="O9" s="430"/>
      <c r="P9" s="531" t="str">
        <f t="array" ref="P9">INDEX(正厂竞争者数据汇总!I:I,MATCH($A$1&amp;B9,正厂竞争者数据汇总!A:A&amp;正厂竞争者数据汇总!D:D,0))</f>
        <v>202306，原竞品gmpartsonline.net将网站导流至此，现新网站正式成为新增竞品</v>
      </c>
      <c r="Q9" s="429" t="s">
        <v>254</v>
      </c>
      <c r="R9" s="421" t="s">
        <v>229</v>
      </c>
      <c r="S9" s="472"/>
      <c r="T9" s="466"/>
      <c r="U9" s="466"/>
      <c r="V9" s="466"/>
      <c r="W9" s="466"/>
    </row>
    <row r="10" s="408" customFormat="1" spans="1:23">
      <c r="A10" s="428" t="s">
        <v>230</v>
      </c>
      <c r="B10" s="421" t="s">
        <v>437</v>
      </c>
      <c r="C10" s="429" t="str">
        <f>VLOOKUP(B10,正厂竞争者数据汇总!D:H,2,FALSE)</f>
        <v>Motor目录</v>
      </c>
      <c r="D10" s="421" t="str">
        <f>VLOOKUP(B10,正厂竞争者数据汇总!D:H,3,FALSE)</f>
        <v>MI</v>
      </c>
      <c r="E10" s="430"/>
      <c r="F10" s="430">
        <v>78484</v>
      </c>
      <c r="G10" s="430"/>
      <c r="H10" s="430"/>
      <c r="I10" s="450"/>
      <c r="J10" s="451">
        <v>0.0381921559975176</v>
      </c>
      <c r="K10" s="451">
        <v>0.0404925830653602</v>
      </c>
      <c r="L10" s="451">
        <v>0.0455532689445742</v>
      </c>
      <c r="M10" s="452"/>
      <c r="N10" s="451"/>
      <c r="O10" s="430"/>
      <c r="P10" s="531">
        <f t="array" ref="P10">INDEX(正厂竞争者数据汇总!I:I,MATCH($A$1&amp;B10,正厂竞争者数据汇总!A:A&amp;正厂竞争者数据汇总!D:D,0))</f>
        <v>0</v>
      </c>
      <c r="Q10" s="429" t="s">
        <v>180</v>
      </c>
      <c r="R10" s="421" t="s">
        <v>180</v>
      </c>
      <c r="S10" s="472"/>
      <c r="T10" s="466"/>
      <c r="U10" s="466"/>
      <c r="V10" s="466"/>
      <c r="W10" s="466"/>
    </row>
    <row r="11" s="410" customFormat="1" spans="1:23">
      <c r="A11" s="428"/>
      <c r="B11" s="431"/>
      <c r="C11" s="429"/>
      <c r="D11" s="421"/>
      <c r="E11" s="430"/>
      <c r="F11" s="430"/>
      <c r="G11" s="430"/>
      <c r="H11" s="430"/>
      <c r="I11" s="450"/>
      <c r="J11" s="455"/>
      <c r="K11" s="455"/>
      <c r="L11" s="455"/>
      <c r="M11" s="452"/>
      <c r="N11" s="457"/>
      <c r="O11" s="436"/>
      <c r="P11" s="531"/>
      <c r="Q11" s="434"/>
      <c r="R11" s="435"/>
      <c r="S11" s="473"/>
      <c r="T11" s="477"/>
      <c r="U11" s="466"/>
      <c r="V11" s="435"/>
      <c r="W11" s="435"/>
    </row>
    <row r="12" s="408" customFormat="1" spans="1:23">
      <c r="A12" s="428"/>
      <c r="B12" s="421"/>
      <c r="C12" s="439"/>
      <c r="D12" s="421"/>
      <c r="E12" s="430"/>
      <c r="F12" s="430">
        <v>2054976.94356667</v>
      </c>
      <c r="G12" s="430"/>
      <c r="H12" s="430"/>
      <c r="I12" s="453"/>
      <c r="J12" s="430"/>
      <c r="K12" s="430"/>
      <c r="L12" s="430"/>
      <c r="M12" s="451"/>
      <c r="N12" s="451"/>
      <c r="O12" s="430"/>
      <c r="P12" s="531"/>
      <c r="Q12" s="429"/>
      <c r="R12" s="421"/>
      <c r="S12" s="473"/>
      <c r="T12" s="466"/>
      <c r="U12" s="466"/>
      <c r="V12" s="421"/>
      <c r="W12" s="421"/>
    </row>
    <row r="13" s="408" customFormat="1" spans="1:23">
      <c r="A13" s="428"/>
      <c r="B13" s="421"/>
      <c r="C13" s="439"/>
      <c r="D13" s="421"/>
      <c r="E13" s="430"/>
      <c r="F13" s="430"/>
      <c r="G13" s="430"/>
      <c r="H13" s="430"/>
      <c r="I13" s="453"/>
      <c r="J13" s="430"/>
      <c r="K13" s="430"/>
      <c r="L13" s="430"/>
      <c r="M13" s="451"/>
      <c r="N13" s="451"/>
      <c r="O13" s="430"/>
      <c r="P13" s="531"/>
      <c r="Q13" s="429"/>
      <c r="R13" s="421"/>
      <c r="S13" s="473"/>
      <c r="T13" s="466"/>
      <c r="U13" s="466"/>
      <c r="V13" s="421"/>
      <c r="W13" s="421"/>
    </row>
    <row r="14" s="408" customFormat="1" ht="17.4" spans="1:23">
      <c r="A14" s="418" t="s">
        <v>138</v>
      </c>
      <c r="B14" s="419"/>
      <c r="C14" s="420"/>
      <c r="D14" s="421"/>
      <c r="E14" s="422" t="s">
        <v>202</v>
      </c>
      <c r="F14" s="422"/>
      <c r="G14" s="422"/>
      <c r="H14" s="422"/>
      <c r="I14" s="422"/>
      <c r="J14" s="422"/>
      <c r="K14" s="422"/>
      <c r="L14" s="422"/>
      <c r="M14" s="443"/>
      <c r="N14" s="444"/>
      <c r="O14" s="422"/>
      <c r="P14" s="531"/>
      <c r="Q14" s="465"/>
      <c r="R14" s="424"/>
      <c r="S14" s="473"/>
      <c r="T14" s="467"/>
      <c r="U14" s="467"/>
      <c r="V14" s="467"/>
      <c r="W14" s="467"/>
    </row>
    <row r="15" s="409" customFormat="1" ht="46.8" spans="1:23">
      <c r="A15" s="423" t="s">
        <v>206</v>
      </c>
      <c r="B15" s="424" t="s">
        <v>207</v>
      </c>
      <c r="C15" s="425" t="s">
        <v>208</v>
      </c>
      <c r="D15" s="424" t="s">
        <v>209</v>
      </c>
      <c r="E15" s="426" t="s">
        <v>210</v>
      </c>
      <c r="F15" s="427" t="s">
        <v>443</v>
      </c>
      <c r="G15" s="427" t="s">
        <v>213</v>
      </c>
      <c r="H15" s="427" t="s">
        <v>396</v>
      </c>
      <c r="I15" s="427" t="s">
        <v>386</v>
      </c>
      <c r="J15" s="446" t="s">
        <v>434</v>
      </c>
      <c r="K15" s="446" t="s">
        <v>435</v>
      </c>
      <c r="L15" s="446" t="s">
        <v>444</v>
      </c>
      <c r="M15" s="447" t="s">
        <v>436</v>
      </c>
      <c r="N15" s="448" t="s">
        <v>219</v>
      </c>
      <c r="O15" s="449" t="s">
        <v>220</v>
      </c>
      <c r="P15" s="535" t="s">
        <v>0</v>
      </c>
      <c r="Q15" s="469" t="s">
        <v>222</v>
      </c>
      <c r="R15" s="426" t="s">
        <v>223</v>
      </c>
      <c r="S15" s="470" t="s">
        <v>224</v>
      </c>
      <c r="T15" s="467" t="s">
        <v>225</v>
      </c>
      <c r="U15" s="470" t="s">
        <v>226</v>
      </c>
      <c r="V15" s="467"/>
      <c r="W15" s="467"/>
    </row>
    <row r="16" s="410" customFormat="1" ht="17.4" spans="1:23">
      <c r="A16" s="432" t="s">
        <v>227</v>
      </c>
      <c r="B16" s="432" t="s">
        <v>139</v>
      </c>
      <c r="C16" s="434" t="str">
        <f>VLOOKUP(B16,正厂竞争者数据汇总!D:H,2,FALSE)</f>
        <v>原厂目录</v>
      </c>
      <c r="D16" s="435" t="str">
        <f>VLOOKUP(B16,正厂竞争者数据汇总!D:H,3,FALSE)</f>
        <v>CA</v>
      </c>
      <c r="E16" s="436">
        <f>VLOOKUP(B16,正厂竞争者数据汇总!D:H,4,FALSE)</f>
        <v>0</v>
      </c>
      <c r="F16" s="436">
        <v>1161000</v>
      </c>
      <c r="G16" s="436">
        <v>1150833.33333333</v>
      </c>
      <c r="H16" s="436">
        <v>1200750</v>
      </c>
      <c r="I16" s="454">
        <f>(F16/G16)-1</f>
        <v>0.00883417813179155</v>
      </c>
      <c r="J16" s="455">
        <v>0.544282853146901</v>
      </c>
      <c r="K16" s="455">
        <v>0.513309550773037</v>
      </c>
      <c r="L16" s="455">
        <v>0.53525393620801</v>
      </c>
      <c r="M16" s="456">
        <f>J16-K16</f>
        <v>0.030973302373864</v>
      </c>
      <c r="N16" s="455" t="str">
        <f>IFERROR(O16*0.5/$F$16,"")</f>
        <v/>
      </c>
      <c r="O16" s="436" t="s">
        <v>180</v>
      </c>
      <c r="P16" s="531">
        <f t="array" ref="P16">INDEX(正厂竞争者数据汇总!I:I,MATCH($A$14&amp;B16,正厂竞争者数据汇总!A:A&amp;正厂竞争者数据汇总!D:D,0))</f>
        <v>0</v>
      </c>
      <c r="Q16" s="434" t="s">
        <v>228</v>
      </c>
      <c r="R16" s="435" t="s">
        <v>229</v>
      </c>
      <c r="S16" s="476"/>
      <c r="T16" s="435" t="s">
        <v>445</v>
      </c>
      <c r="U16" s="477"/>
      <c r="V16" s="477"/>
      <c r="W16" s="477"/>
    </row>
    <row r="17" s="408" customFormat="1" spans="1:23">
      <c r="A17" s="428" t="s">
        <v>230</v>
      </c>
      <c r="B17" s="421" t="s">
        <v>231</v>
      </c>
      <c r="C17" s="429" t="str">
        <f>VLOOKUP(B17,正厂竞争者数据汇总!D:H,2,FALSE)</f>
        <v>原厂目录</v>
      </c>
      <c r="D17" s="421" t="str">
        <f>VLOOKUP(B17,正厂竞争者数据汇总!D:H,3,FALSE)</f>
        <v>TX</v>
      </c>
      <c r="E17" s="430"/>
      <c r="F17" s="430">
        <v>388994.702683333</v>
      </c>
      <c r="G17" s="430"/>
      <c r="H17" s="430"/>
      <c r="I17" s="450"/>
      <c r="J17" s="451">
        <v>0.182362744733432</v>
      </c>
      <c r="K17" s="451">
        <v>0.165902629061415</v>
      </c>
      <c r="L17" s="451">
        <v>0.161180980298857</v>
      </c>
      <c r="M17" s="452"/>
      <c r="N17" s="451"/>
      <c r="O17" s="430"/>
      <c r="P17" s="531">
        <f t="array" ref="P17">INDEX(正厂竞争者数据汇总!I:I,MATCH($A$14&amp;B17,正厂竞争者数据汇总!A:A&amp;正厂竞争者数据汇总!D:D,0))</f>
        <v>0</v>
      </c>
      <c r="Q17" s="429"/>
      <c r="R17" s="421"/>
      <c r="S17" s="472"/>
      <c r="T17" s="466"/>
      <c r="U17" s="466"/>
      <c r="V17" s="466"/>
      <c r="W17" s="466"/>
    </row>
    <row r="18" s="408" customFormat="1" spans="1:23">
      <c r="A18" s="428" t="s">
        <v>230</v>
      </c>
      <c r="B18" s="421" t="s">
        <v>236</v>
      </c>
      <c r="C18" s="429" t="str">
        <f>VLOOKUP(B18,正厂竞争者数据汇总!D:H,2,FALSE)</f>
        <v>原厂目录</v>
      </c>
      <c r="D18" s="421" t="str">
        <f>VLOOKUP(B18,正厂竞争者数据汇总!D:H,3,FALSE)</f>
        <v>AL</v>
      </c>
      <c r="E18" s="430"/>
      <c r="F18" s="430">
        <v>175886.543066667</v>
      </c>
      <c r="G18" s="430"/>
      <c r="H18" s="430"/>
      <c r="I18" s="450"/>
      <c r="J18" s="451">
        <v>0.0824565284155648</v>
      </c>
      <c r="K18" s="451">
        <v>0.0725999713732813</v>
      </c>
      <c r="L18" s="451">
        <v>0.0811779772954461</v>
      </c>
      <c r="M18" s="452"/>
      <c r="N18" s="451"/>
      <c r="O18" s="430"/>
      <c r="P18" s="531" t="str">
        <f t="array" ref="P18">INDEX(正厂竞争者数据汇总!I:I,MATCH($A$14&amp;B18,正厂竞争者数据汇总!A:A&amp;正厂竞争者数据汇总!D:D,0))</f>
        <v>2022年1月 新加入 CompetitorSites
2022年1月 新加入 MarketingShare</v>
      </c>
      <c r="Q18" s="429"/>
      <c r="R18" s="421"/>
      <c r="S18" s="472"/>
      <c r="T18" s="466"/>
      <c r="U18" s="466"/>
      <c r="V18" s="466"/>
      <c r="W18" s="466"/>
    </row>
    <row r="19" s="408" customFormat="1" spans="1:23">
      <c r="A19" s="428" t="s">
        <v>230</v>
      </c>
      <c r="B19" s="421" t="s">
        <v>235</v>
      </c>
      <c r="C19" s="429" t="str">
        <f>VLOOKUP(B19,正厂竞争者数据汇总!D:H,2,FALSE)</f>
        <v>原厂目录</v>
      </c>
      <c r="D19" s="421" t="str">
        <f>VLOOKUP(B19,正厂竞争者数据汇总!D:H,3,FALSE)</f>
        <v>NJ</v>
      </c>
      <c r="E19" s="430"/>
      <c r="F19" s="430">
        <v>164057.416666667</v>
      </c>
      <c r="G19" s="430"/>
      <c r="H19" s="430"/>
      <c r="I19" s="450"/>
      <c r="J19" s="451">
        <v>0.0769109722853087</v>
      </c>
      <c r="K19" s="451">
        <v>0.0682850388010909</v>
      </c>
      <c r="L19" s="451">
        <v>0.0750749696846623</v>
      </c>
      <c r="M19" s="452"/>
      <c r="N19" s="451"/>
      <c r="O19" s="430"/>
      <c r="P19" s="531" t="str">
        <f t="array" ref="P19">INDEX(正厂竞争者数据汇总!I:I,MATCH($A$14&amp;B19,正厂竞争者数据汇总!A:A&amp;正厂竞争者数据汇总!D:D,0))</f>
        <v>2021年06月新加竞争者</v>
      </c>
      <c r="Q19" s="429"/>
      <c r="R19" s="421"/>
      <c r="S19" s="472"/>
      <c r="T19" s="466"/>
      <c r="U19" s="466"/>
      <c r="V19" s="466"/>
      <c r="W19" s="466"/>
    </row>
    <row r="20" s="408" customFormat="1" spans="1:23">
      <c r="A20" s="428" t="s">
        <v>230</v>
      </c>
      <c r="B20" s="421" t="s">
        <v>237</v>
      </c>
      <c r="C20" s="429" t="str">
        <f>VLOOKUP(B20,正厂竞争者数据汇总!D:H,2,FALSE)</f>
        <v>原厂目录</v>
      </c>
      <c r="D20" s="421" t="str">
        <f>VLOOKUP(B20,正厂竞争者数据汇总!D:H,3,FALSE)</f>
        <v>MA</v>
      </c>
      <c r="E20" s="430"/>
      <c r="F20" s="430">
        <v>123093</v>
      </c>
      <c r="G20" s="430"/>
      <c r="H20" s="430"/>
      <c r="I20" s="450"/>
      <c r="J20" s="451">
        <v>0.0577066401743423</v>
      </c>
      <c r="K20" s="451">
        <v>0.0615074514186327</v>
      </c>
      <c r="L20" s="451">
        <v>0.0650024591583505</v>
      </c>
      <c r="M20" s="452"/>
      <c r="N20" s="451"/>
      <c r="O20" s="430"/>
      <c r="P20" s="531">
        <f t="array" ref="P20">INDEX(正厂竞争者数据汇总!I:I,MATCH($A$14&amp;B20,正厂竞争者数据汇总!A:A&amp;正厂竞争者数据汇总!D:D,0))</f>
        <v>0</v>
      </c>
      <c r="Q20" s="429"/>
      <c r="R20" s="421"/>
      <c r="S20" s="472"/>
      <c r="T20" s="466"/>
      <c r="U20" s="466"/>
      <c r="V20" s="466"/>
      <c r="W20" s="466"/>
    </row>
    <row r="21" s="408" customFormat="1" spans="1:23">
      <c r="A21" s="428" t="s">
        <v>238</v>
      </c>
      <c r="B21" s="421" t="s">
        <v>239</v>
      </c>
      <c r="C21" s="429" t="str">
        <f>VLOOKUP(B21,正厂竞争者数据汇总!D:H,2,FALSE)</f>
        <v>原厂目录</v>
      </c>
      <c r="D21" s="421" t="str">
        <f>VLOOKUP(B21,正厂竞争者数据汇总!D:H,3,FALSE)</f>
        <v>MA</v>
      </c>
      <c r="E21" s="430"/>
      <c r="F21" s="430">
        <v>120050.416666667</v>
      </c>
      <c r="G21" s="430"/>
      <c r="H21" s="430"/>
      <c r="I21" s="450"/>
      <c r="J21" s="451">
        <v>0.0562802612444511</v>
      </c>
      <c r="K21" s="451">
        <v>0.0521930265241697</v>
      </c>
      <c r="L21" s="451">
        <v>0.0445701358087412</v>
      </c>
      <c r="M21" s="452"/>
      <c r="N21" s="451"/>
      <c r="O21" s="430"/>
      <c r="P21" s="531" t="str">
        <f t="array" ref="P21">INDEX(正厂竞争者数据汇总!I:I,MATCH($A$14&amp;B21,正厂竞争者数据汇总!A:A&amp;正厂竞争者数据汇总!D:D,0))</f>
        <v>2023年10月，Semrush中仅能获取acura子域名流量</v>
      </c>
      <c r="Q21" s="429"/>
      <c r="R21" s="421"/>
      <c r="S21" s="472"/>
      <c r="T21" s="466"/>
      <c r="U21" s="466"/>
      <c r="V21" s="466"/>
      <c r="W21" s="466"/>
    </row>
    <row r="22" s="410" customFormat="1" spans="1:23">
      <c r="A22" s="432"/>
      <c r="B22" s="435"/>
      <c r="C22" s="434"/>
      <c r="D22" s="435"/>
      <c r="E22" s="430"/>
      <c r="F22" s="430"/>
      <c r="G22" s="430"/>
      <c r="H22" s="430"/>
      <c r="I22" s="453"/>
      <c r="J22" s="436"/>
      <c r="K22" s="436"/>
      <c r="L22" s="436"/>
      <c r="M22" s="451"/>
      <c r="N22" s="455"/>
      <c r="O22" s="436"/>
      <c r="P22" s="531"/>
      <c r="Q22" s="434"/>
      <c r="R22" s="435"/>
      <c r="S22" s="473"/>
      <c r="T22" s="477"/>
      <c r="U22" s="466"/>
      <c r="V22" s="435"/>
      <c r="W22" s="435"/>
    </row>
    <row r="23" s="408" customFormat="1" spans="1:23">
      <c r="A23" s="428"/>
      <c r="B23" s="421"/>
      <c r="C23" s="439"/>
      <c r="D23" s="421"/>
      <c r="E23" s="430"/>
      <c r="F23" s="430">
        <v>2133082.07908333</v>
      </c>
      <c r="G23" s="430">
        <v>2122774.16666666</v>
      </c>
      <c r="H23" s="430">
        <v>2262821.16666667</v>
      </c>
      <c r="I23" s="453">
        <f>(F23/G23)-1</f>
        <v>0.00485586859805065</v>
      </c>
      <c r="J23" s="451"/>
      <c r="K23" s="451"/>
      <c r="L23" s="451"/>
      <c r="M23" s="451"/>
      <c r="N23" s="451">
        <f>SUM(N16:N17)</f>
        <v>0</v>
      </c>
      <c r="O23" s="451"/>
      <c r="P23" s="531"/>
      <c r="Q23" s="429"/>
      <c r="R23" s="421"/>
      <c r="S23" s="473"/>
      <c r="T23" s="466"/>
      <c r="U23" s="466"/>
      <c r="V23" s="421"/>
      <c r="W23" s="421"/>
    </row>
    <row r="24" s="408" customFormat="1" spans="1:23">
      <c r="A24" s="428"/>
      <c r="B24" s="421"/>
      <c r="C24" s="439"/>
      <c r="D24" s="421"/>
      <c r="E24" s="430"/>
      <c r="F24" s="430"/>
      <c r="G24" s="430"/>
      <c r="H24" s="430"/>
      <c r="I24" s="453"/>
      <c r="J24" s="430"/>
      <c r="K24" s="430"/>
      <c r="L24" s="430"/>
      <c r="M24" s="451"/>
      <c r="N24" s="451"/>
      <c r="O24" s="430"/>
      <c r="P24" s="531"/>
      <c r="Q24" s="429"/>
      <c r="R24" s="421"/>
      <c r="S24" s="473"/>
      <c r="T24" s="466"/>
      <c r="U24" s="466"/>
      <c r="V24" s="421"/>
      <c r="W24" s="421"/>
    </row>
    <row r="25" s="408" customFormat="1" ht="17.4" spans="1:23">
      <c r="A25" s="418" t="s">
        <v>141</v>
      </c>
      <c r="B25" s="441"/>
      <c r="C25" s="420"/>
      <c r="D25" s="421"/>
      <c r="E25" s="422" t="s">
        <v>202</v>
      </c>
      <c r="F25" s="422"/>
      <c r="G25" s="422"/>
      <c r="H25" s="422"/>
      <c r="I25" s="422"/>
      <c r="J25" s="422"/>
      <c r="K25" s="422"/>
      <c r="L25" s="422"/>
      <c r="M25" s="443"/>
      <c r="N25" s="444"/>
      <c r="O25" s="422"/>
      <c r="P25" s="531"/>
      <c r="Q25" s="465"/>
      <c r="R25" s="424"/>
      <c r="S25" s="473"/>
      <c r="T25" s="467"/>
      <c r="U25" s="467"/>
      <c r="V25" s="467"/>
      <c r="W25" s="467"/>
    </row>
    <row r="26" s="409" customFormat="1" ht="46.8" spans="1:23">
      <c r="A26" s="423" t="s">
        <v>206</v>
      </c>
      <c r="B26" s="424" t="s">
        <v>207</v>
      </c>
      <c r="C26" s="425" t="s">
        <v>208</v>
      </c>
      <c r="D26" s="424" t="s">
        <v>209</v>
      </c>
      <c r="E26" s="426" t="s">
        <v>210</v>
      </c>
      <c r="F26" s="427" t="s">
        <v>443</v>
      </c>
      <c r="G26" s="427" t="s">
        <v>213</v>
      </c>
      <c r="H26" s="427" t="s">
        <v>396</v>
      </c>
      <c r="I26" s="427" t="s">
        <v>386</v>
      </c>
      <c r="J26" s="446" t="s">
        <v>434</v>
      </c>
      <c r="K26" s="446" t="s">
        <v>435</v>
      </c>
      <c r="L26" s="446" t="s">
        <v>444</v>
      </c>
      <c r="M26" s="447" t="s">
        <v>436</v>
      </c>
      <c r="N26" s="448" t="s">
        <v>219</v>
      </c>
      <c r="O26" s="449" t="s">
        <v>220</v>
      </c>
      <c r="P26" s="535" t="s">
        <v>0</v>
      </c>
      <c r="Q26" s="469" t="s">
        <v>222</v>
      </c>
      <c r="R26" s="426" t="s">
        <v>223</v>
      </c>
      <c r="S26" s="470" t="s">
        <v>224</v>
      </c>
      <c r="T26" s="467" t="s">
        <v>225</v>
      </c>
      <c r="U26" s="470" t="s">
        <v>226</v>
      </c>
      <c r="V26" s="467"/>
      <c r="W26" s="467"/>
    </row>
    <row r="27" s="410" customFormat="1" ht="17.4" spans="1:23">
      <c r="A27" s="432" t="s">
        <v>227</v>
      </c>
      <c r="B27" s="432" t="s">
        <v>142</v>
      </c>
      <c r="C27" s="434" t="str">
        <f>VLOOKUP(B27,正厂竞争者数据汇总!D:H,2,FALSE)</f>
        <v>原厂目录</v>
      </c>
      <c r="D27" s="435" t="str">
        <f>VLOOKUP(B27,正厂竞争者数据汇总!D:H,3,FALSE)</f>
        <v>CA</v>
      </c>
      <c r="E27" s="436">
        <f>VLOOKUP(B27,正厂竞争者数据汇总!D:H,4,FALSE)</f>
        <v>0</v>
      </c>
      <c r="F27" s="436">
        <v>621480.333333333</v>
      </c>
      <c r="G27" s="436">
        <v>506654</v>
      </c>
      <c r="H27" s="436">
        <v>541471.75</v>
      </c>
      <c r="I27" s="454">
        <f>(F27/G27)-1</f>
        <v>0.226636586967305</v>
      </c>
      <c r="J27" s="455">
        <v>0.29209638371747</v>
      </c>
      <c r="K27" s="455">
        <v>0.289311855879896</v>
      </c>
      <c r="L27" s="455">
        <v>0.315627214435687</v>
      </c>
      <c r="M27" s="456">
        <f>J27-K27</f>
        <v>0.00278452783757399</v>
      </c>
      <c r="N27" s="455" t="str">
        <f>IFERROR(O27*0.5/#REF!,"")</f>
        <v/>
      </c>
      <c r="O27" s="436" t="s">
        <v>180</v>
      </c>
      <c r="P27" s="531">
        <f t="array" ref="P27">INDEX(正厂竞争者数据汇总!I:I,MATCH($A$25&amp;B27,正厂竞争者数据汇总!A:A&amp;正厂竞争者数据汇总!D:D,0))</f>
        <v>0</v>
      </c>
      <c r="Q27" s="434" t="s">
        <v>241</v>
      </c>
      <c r="R27" s="435" t="s">
        <v>229</v>
      </c>
      <c r="S27" s="476"/>
      <c r="T27" s="477"/>
      <c r="U27" s="477"/>
      <c r="V27" s="435"/>
      <c r="W27" s="435"/>
    </row>
    <row r="28" s="408" customFormat="1" spans="1:23">
      <c r="A28" s="428" t="s">
        <v>243</v>
      </c>
      <c r="B28" s="421" t="s">
        <v>244</v>
      </c>
      <c r="C28" s="429" t="str">
        <f>VLOOKUP(B28,正厂竞争者数据汇总!D:H,2,FALSE)</f>
        <v>旧年份原厂、新年份Motor</v>
      </c>
      <c r="D28" s="421" t="str">
        <f>VLOOKUP(B28,正厂竞争者数据汇总!D:H,3,FALSE)</f>
        <v>FL</v>
      </c>
      <c r="E28" s="430"/>
      <c r="F28" s="430">
        <v>428290.158633334</v>
      </c>
      <c r="G28" s="430"/>
      <c r="H28" s="430"/>
      <c r="I28" s="450"/>
      <c r="J28" s="451">
        <v>0.201296806686688</v>
      </c>
      <c r="K28" s="451">
        <v>0.202609080199013</v>
      </c>
      <c r="L28" s="451">
        <v>0.176838541663302</v>
      </c>
      <c r="M28" s="452"/>
      <c r="N28" s="451"/>
      <c r="O28" s="430"/>
      <c r="P28" s="531">
        <f t="array" ref="P28">INDEX(正厂竞争者数据汇总!I:I,MATCH($A$25&amp;B28,正厂竞争者数据汇总!A:A&amp;正厂竞争者数据汇总!D:D,0))</f>
        <v>0</v>
      </c>
      <c r="Q28" s="429"/>
      <c r="R28" s="421"/>
      <c r="S28" s="472"/>
      <c r="T28" s="466"/>
      <c r="U28" s="466"/>
      <c r="V28" s="466"/>
      <c r="W28" s="466"/>
    </row>
    <row r="29" s="408" customFormat="1" spans="1:23">
      <c r="A29" s="428" t="s">
        <v>230</v>
      </c>
      <c r="B29" s="421" t="s">
        <v>242</v>
      </c>
      <c r="C29" s="429" t="str">
        <f>VLOOKUP(B29,正厂竞争者数据汇总!D:H,2,FALSE)</f>
        <v>Motor目录</v>
      </c>
      <c r="D29" s="421" t="str">
        <f>VLOOKUP(B29,正厂竞争者数据汇总!D:H,3,FALSE)</f>
        <v>KS</v>
      </c>
      <c r="E29" s="430"/>
      <c r="F29" s="430">
        <v>341864.416666667</v>
      </c>
      <c r="G29" s="430"/>
      <c r="H29" s="430"/>
      <c r="I29" s="450"/>
      <c r="J29" s="451">
        <v>0.160676620761959</v>
      </c>
      <c r="K29" s="451">
        <v>0.170309325441213</v>
      </c>
      <c r="L29" s="451">
        <v>0.182277986117001</v>
      </c>
      <c r="M29" s="452"/>
      <c r="N29" s="451"/>
      <c r="O29" s="430"/>
      <c r="P29" s="531">
        <f t="array" ref="P29">INDEX(正厂竞争者数据汇总!I:I,MATCH($A$25&amp;B29,正厂竞争者数据汇总!A:A&amp;正厂竞争者数据汇总!D:D,0))</f>
        <v>0</v>
      </c>
      <c r="Q29" s="429"/>
      <c r="R29" s="421"/>
      <c r="S29" s="472"/>
      <c r="T29" s="466"/>
      <c r="U29" s="466"/>
      <c r="V29" s="466"/>
      <c r="W29" s="466"/>
    </row>
    <row r="30" s="408" customFormat="1" spans="1:23">
      <c r="A30" s="428" t="s">
        <v>230</v>
      </c>
      <c r="B30" s="421" t="s">
        <v>245</v>
      </c>
      <c r="C30" s="429" t="str">
        <f>VLOOKUP(B30,正厂竞争者数据汇总!D:H,2,FALSE)</f>
        <v>Motor目录</v>
      </c>
      <c r="D30" s="421" t="str">
        <f>VLOOKUP(B30,正厂竞争者数据汇总!D:H,3,FALSE)</f>
        <v>SC,NC,MS</v>
      </c>
      <c r="E30" s="430"/>
      <c r="F30" s="430">
        <v>212297.143333333</v>
      </c>
      <c r="G30" s="430"/>
      <c r="H30" s="430"/>
      <c r="I30" s="450"/>
      <c r="J30" s="451">
        <v>0.0997798715666778</v>
      </c>
      <c r="K30" s="451">
        <v>0.0970842294279433</v>
      </c>
      <c r="L30" s="451">
        <v>0.0949042588948863</v>
      </c>
      <c r="M30" s="452"/>
      <c r="N30" s="451"/>
      <c r="O30" s="430"/>
      <c r="P30" s="531" t="str">
        <f t="array" ref="P30">INDEX(正厂竞争者数据汇总!I:I,MATCH($A$25&amp;B30,正厂竞争者数据汇总!A:A&amp;正厂竞争者数据汇总!D:D,0))</f>
        <v>2021年02新加竞争者</v>
      </c>
      <c r="Q30" s="429"/>
      <c r="R30" s="421"/>
      <c r="S30" s="472"/>
      <c r="T30" s="466"/>
      <c r="U30" s="466"/>
      <c r="V30" s="466"/>
      <c r="W30" s="466"/>
    </row>
    <row r="31" s="408" customFormat="1" spans="1:23">
      <c r="A31" s="428" t="s">
        <v>230</v>
      </c>
      <c r="B31" s="421" t="s">
        <v>416</v>
      </c>
      <c r="C31" s="429" t="str">
        <f>VLOOKUP(B31,正厂竞争者数据汇总!D:H,2,FALSE)</f>
        <v>Motor目录</v>
      </c>
      <c r="D31" s="421" t="str">
        <f>VLOOKUP(B31,正厂竞争者数据汇总!D:H,3,FALSE)</f>
        <v>VA</v>
      </c>
      <c r="E31" s="430"/>
      <c r="F31" s="430">
        <v>210118.916666667</v>
      </c>
      <c r="G31" s="430"/>
      <c r="H31" s="430"/>
      <c r="I31" s="450"/>
      <c r="J31" s="451">
        <v>0.0987561028355942</v>
      </c>
      <c r="K31" s="451">
        <v>0.0948719532029934</v>
      </c>
      <c r="L31" s="451">
        <v>0.0879655361993822</v>
      </c>
      <c r="M31" s="452"/>
      <c r="N31" s="451"/>
      <c r="O31" s="430"/>
      <c r="P31" s="531" t="str">
        <f t="array" ref="P31">INDEX(正厂竞争者数据汇总!I:I,MATCH($A$25&amp;B31,正厂竞争者数据汇总!A:A&amp;正厂竞争者数据汇总!D:D,0))</f>
        <v>2023年11月导流至toyotaparts.ourismantoyotaofrichmond.com，原网站流量大幅下跌</v>
      </c>
      <c r="Q31" s="429"/>
      <c r="R31" s="421"/>
      <c r="S31" s="472"/>
      <c r="T31" s="466"/>
      <c r="U31" s="466"/>
      <c r="V31" s="466"/>
      <c r="W31" s="466"/>
    </row>
    <row r="32" s="408" customFormat="1" spans="1:23">
      <c r="A32" s="428" t="s">
        <v>230</v>
      </c>
      <c r="B32" s="421" t="s">
        <v>249</v>
      </c>
      <c r="C32" s="429" t="s">
        <v>233</v>
      </c>
      <c r="D32" s="421" t="s">
        <v>250</v>
      </c>
      <c r="E32" s="430"/>
      <c r="F32" s="430">
        <v>172871.7</v>
      </c>
      <c r="G32" s="430"/>
      <c r="H32" s="430"/>
      <c r="I32" s="450"/>
      <c r="J32" s="451">
        <v>0.0812498734211887</v>
      </c>
      <c r="K32" s="451">
        <v>0.0757249986891353</v>
      </c>
      <c r="L32" s="451">
        <v>0.0791798387152944</v>
      </c>
      <c r="M32" s="452"/>
      <c r="N32" s="451"/>
      <c r="O32" s="430"/>
      <c r="P32" s="531" t="str">
        <f t="array" ref="P32">INDEX(正厂竞争者数据汇总!I:I,MATCH($A$25&amp;B32,正厂竞争者数据汇总!A:A&amp;正厂竞争者数据汇总!D:D,0))</f>
        <v>2023年2月新增正厂</v>
      </c>
      <c r="Q32" s="429"/>
      <c r="R32" s="421"/>
      <c r="S32" s="472"/>
      <c r="T32" s="466"/>
      <c r="U32" s="466"/>
      <c r="V32" s="466"/>
      <c r="W32" s="466"/>
    </row>
    <row r="33" s="408" customFormat="1" spans="1:23">
      <c r="A33" s="428" t="s">
        <v>230</v>
      </c>
      <c r="B33" s="421" t="s">
        <v>246</v>
      </c>
      <c r="C33" s="429" t="s">
        <v>233</v>
      </c>
      <c r="D33" s="421" t="s">
        <v>49</v>
      </c>
      <c r="E33" s="430"/>
      <c r="F33" s="430">
        <v>140732.338333333</v>
      </c>
      <c r="G33" s="430"/>
      <c r="H33" s="430"/>
      <c r="I33" s="450"/>
      <c r="J33" s="451">
        <v>0.066144341010421</v>
      </c>
      <c r="K33" s="451">
        <v>0.0700885571598056</v>
      </c>
      <c r="L33" s="451">
        <v>0.0632066239744466</v>
      </c>
      <c r="M33" s="452"/>
      <c r="N33" s="451"/>
      <c r="O33" s="430"/>
      <c r="P33" s="531" t="str">
        <f t="array" ref="P33">INDEX(正厂竞争者数据汇总!I:I,MATCH($A$25&amp;B33,正厂竞争者数据汇总!A:A&amp;正厂竞争者数据汇总!D:D,0))</f>
        <v>2023年2月新增正厂</v>
      </c>
      <c r="Q33" s="429"/>
      <c r="R33" s="421"/>
      <c r="S33" s="472"/>
      <c r="T33" s="466"/>
      <c r="U33" s="466"/>
      <c r="V33" s="466"/>
      <c r="W33" s="466"/>
    </row>
    <row r="34" s="410" customFormat="1" spans="1:23">
      <c r="A34" s="428"/>
      <c r="B34" s="438"/>
      <c r="C34" s="429"/>
      <c r="D34" s="421"/>
      <c r="E34" s="430"/>
      <c r="F34" s="430"/>
      <c r="G34" s="430"/>
      <c r="H34" s="430"/>
      <c r="I34" s="453"/>
      <c r="J34" s="463"/>
      <c r="K34" s="463"/>
      <c r="L34" s="463"/>
      <c r="M34" s="451"/>
      <c r="N34" s="459"/>
      <c r="O34" s="430"/>
      <c r="P34" s="531"/>
      <c r="Q34" s="429"/>
      <c r="R34" s="435"/>
      <c r="S34" s="473"/>
      <c r="T34" s="466"/>
      <c r="U34" s="466"/>
      <c r="V34" s="421"/>
      <c r="W34" s="421"/>
    </row>
    <row r="35" s="408" customFormat="1" spans="1:23">
      <c r="A35" s="428"/>
      <c r="B35" s="421"/>
      <c r="C35" s="439"/>
      <c r="D35" s="421"/>
      <c r="E35" s="430"/>
      <c r="F35" s="430">
        <v>2127655.00696667</v>
      </c>
      <c r="G35" s="430">
        <v>1471722.72</v>
      </c>
      <c r="H35" s="430">
        <v>1511577.56416667</v>
      </c>
      <c r="I35" s="453">
        <f>(F35/G35)-1</f>
        <v>0.445690127666623</v>
      </c>
      <c r="J35" s="430"/>
      <c r="K35" s="513"/>
      <c r="L35" s="430"/>
      <c r="M35" s="451"/>
      <c r="N35" s="459"/>
      <c r="O35" s="430"/>
      <c r="P35" s="531"/>
      <c r="Q35" s="429" t="s">
        <v>180</v>
      </c>
      <c r="R35" s="421"/>
      <c r="S35" s="473"/>
      <c r="T35" s="466"/>
      <c r="U35" s="466"/>
      <c r="V35" s="421"/>
      <c r="W35" s="421"/>
    </row>
    <row r="36" s="408" customFormat="1" spans="1:23">
      <c r="A36" s="428"/>
      <c r="B36" s="421"/>
      <c r="C36" s="439"/>
      <c r="D36" s="421"/>
      <c r="E36" s="430"/>
      <c r="F36" s="430"/>
      <c r="G36" s="430"/>
      <c r="H36" s="430"/>
      <c r="I36" s="453"/>
      <c r="J36" s="430"/>
      <c r="K36" s="430"/>
      <c r="L36" s="430"/>
      <c r="M36" s="451"/>
      <c r="N36" s="451"/>
      <c r="O36" s="430"/>
      <c r="P36" s="531"/>
      <c r="Q36" s="429"/>
      <c r="R36" s="421"/>
      <c r="S36" s="473"/>
      <c r="T36" s="466"/>
      <c r="U36" s="466"/>
      <c r="V36" s="421"/>
      <c r="W36" s="421"/>
    </row>
    <row r="37" s="408" customFormat="1" ht="17.4" spans="1:23">
      <c r="A37" s="418" t="s">
        <v>149</v>
      </c>
      <c r="B37" s="419"/>
      <c r="C37" s="420"/>
      <c r="D37" s="421"/>
      <c r="E37" s="422" t="s">
        <v>202</v>
      </c>
      <c r="F37" s="422"/>
      <c r="G37" s="422"/>
      <c r="H37" s="422"/>
      <c r="I37" s="422"/>
      <c r="J37" s="422"/>
      <c r="K37" s="422"/>
      <c r="L37" s="422"/>
      <c r="M37" s="443"/>
      <c r="N37" s="444"/>
      <c r="O37" s="422"/>
      <c r="P37" s="531"/>
      <c r="Q37" s="465"/>
      <c r="R37" s="424"/>
      <c r="S37" s="473"/>
      <c r="T37" s="467"/>
      <c r="U37" s="467"/>
      <c r="V37" s="467"/>
      <c r="W37" s="467"/>
    </row>
    <row r="38" s="409" customFormat="1" ht="46.8" spans="1:23">
      <c r="A38" s="423" t="s">
        <v>206</v>
      </c>
      <c r="B38" s="424" t="s">
        <v>207</v>
      </c>
      <c r="C38" s="425" t="s">
        <v>208</v>
      </c>
      <c r="D38" s="424" t="s">
        <v>209</v>
      </c>
      <c r="E38" s="426" t="s">
        <v>210</v>
      </c>
      <c r="F38" s="427" t="s">
        <v>443</v>
      </c>
      <c r="G38" s="427" t="s">
        <v>213</v>
      </c>
      <c r="H38" s="427" t="s">
        <v>396</v>
      </c>
      <c r="I38" s="427" t="s">
        <v>386</v>
      </c>
      <c r="J38" s="446" t="s">
        <v>434</v>
      </c>
      <c r="K38" s="446" t="s">
        <v>435</v>
      </c>
      <c r="L38" s="446" t="s">
        <v>444</v>
      </c>
      <c r="M38" s="447" t="s">
        <v>436</v>
      </c>
      <c r="N38" s="448" t="s">
        <v>219</v>
      </c>
      <c r="O38" s="449" t="s">
        <v>220</v>
      </c>
      <c r="P38" s="535" t="s">
        <v>0</v>
      </c>
      <c r="Q38" s="469" t="s">
        <v>222</v>
      </c>
      <c r="R38" s="426" t="s">
        <v>223</v>
      </c>
      <c r="S38" s="470" t="s">
        <v>224</v>
      </c>
      <c r="T38" s="467" t="s">
        <v>225</v>
      </c>
      <c r="U38" s="470" t="s">
        <v>226</v>
      </c>
      <c r="V38" s="467"/>
      <c r="W38" s="467"/>
    </row>
    <row r="39" s="410" customFormat="1" ht="17.4" spans="1:23">
      <c r="A39" s="432" t="s">
        <v>227</v>
      </c>
      <c r="B39" s="432" t="s">
        <v>150</v>
      </c>
      <c r="C39" s="434" t="str">
        <f>VLOOKUP(B39,正厂竞争者数据汇总!D:H,2,FALSE)</f>
        <v>原厂目录</v>
      </c>
      <c r="D39" s="435" t="str">
        <f>VLOOKUP(B39,正厂竞争者数据汇总!D:H,3,FALSE)</f>
        <v>AZ</v>
      </c>
      <c r="E39" s="436">
        <f>VLOOKUP(B39,正厂竞争者数据汇总!D:H,4,FALSE)</f>
        <v>0</v>
      </c>
      <c r="F39" s="436">
        <v>486814.166666667</v>
      </c>
      <c r="G39" s="436">
        <v>521458.083333333</v>
      </c>
      <c r="H39" s="436">
        <v>566477.333333333</v>
      </c>
      <c r="I39" s="454">
        <f>(F39/G39)-1</f>
        <v>-0.066436627936057</v>
      </c>
      <c r="J39" s="455">
        <v>0.350487029270765</v>
      </c>
      <c r="K39" s="455">
        <v>0.359343044451055</v>
      </c>
      <c r="L39" s="455">
        <v>0.35047649250744</v>
      </c>
      <c r="M39" s="456">
        <f>J39-K39</f>
        <v>-0.00885601518029</v>
      </c>
      <c r="N39" s="457" t="str">
        <f>IFERROR(O39*0.5/F$46,"")</f>
        <v/>
      </c>
      <c r="O39" s="436" t="s">
        <v>180</v>
      </c>
      <c r="P39" s="531">
        <f t="array" ref="P39">INDEX(正厂竞争者数据汇总!I:I,MATCH($A$37&amp;B39,正厂竞争者数据汇总!A:A&amp;正厂竞争者数据汇总!D:D,0))</f>
        <v>0</v>
      </c>
      <c r="Q39" s="434" t="s">
        <v>259</v>
      </c>
      <c r="R39" s="435" t="s">
        <v>229</v>
      </c>
      <c r="S39" s="476"/>
      <c r="T39" s="477"/>
      <c r="U39" s="477"/>
      <c r="V39" s="477"/>
      <c r="W39" s="477"/>
    </row>
    <row r="40" s="408" customFormat="1" spans="1:23">
      <c r="A40" s="428" t="s">
        <v>230</v>
      </c>
      <c r="B40" s="421" t="s">
        <v>255</v>
      </c>
      <c r="C40" s="429" t="str">
        <f>VLOOKUP(B40,正厂竞争者数据汇总!D:H,2,FALSE)</f>
        <v>Motor目录</v>
      </c>
      <c r="D40" s="421" t="str">
        <f>VLOOKUP(B40,正厂竞争者数据汇总!D:H,3,FALSE)</f>
        <v>RI</v>
      </c>
      <c r="E40" s="430"/>
      <c r="F40" s="430">
        <v>226006.884166667</v>
      </c>
      <c r="G40" s="430"/>
      <c r="H40" s="430"/>
      <c r="I40" s="450"/>
      <c r="J40" s="451">
        <v>0.162716056454774</v>
      </c>
      <c r="K40" s="451">
        <v>0.153195475105035</v>
      </c>
      <c r="L40" s="451">
        <v>0.138249261294667</v>
      </c>
      <c r="M40" s="452"/>
      <c r="N40" s="451"/>
      <c r="O40" s="430"/>
      <c r="P40" s="531" t="str">
        <f t="array" ref="P40">INDEX(正厂竞争者数据汇总!I:I,MATCH($A$37&amp;B40,正厂竞争者数据汇总!A:A&amp;正厂竞争者数据汇总!D:D,0))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40" s="429"/>
      <c r="R40" s="421"/>
      <c r="S40" s="472"/>
      <c r="T40" s="466"/>
      <c r="U40" s="466"/>
      <c r="V40" s="466"/>
      <c r="W40" s="466"/>
    </row>
    <row r="41" s="408" customFormat="1" spans="1:23">
      <c r="A41" s="428" t="s">
        <v>230</v>
      </c>
      <c r="B41" s="421" t="s">
        <v>261</v>
      </c>
      <c r="C41" s="429" t="str">
        <f>VLOOKUP(B41,正厂竞争者数据汇总!D:H,2,FALSE)</f>
        <v>Motor目录</v>
      </c>
      <c r="D41" s="421" t="str">
        <f>VLOOKUP(B41,正厂竞争者数据汇总!D:H,3,FALSE)</f>
        <v>MO</v>
      </c>
      <c r="E41" s="430"/>
      <c r="F41" s="430">
        <v>156979.833333333</v>
      </c>
      <c r="G41" s="430"/>
      <c r="H41" s="430"/>
      <c r="I41" s="450"/>
      <c r="J41" s="451">
        <v>0.113019298138242</v>
      </c>
      <c r="K41" s="451">
        <v>0.10673348103793</v>
      </c>
      <c r="L41" s="451">
        <v>0.0915027780013012</v>
      </c>
      <c r="M41" s="452"/>
      <c r="N41" s="451"/>
      <c r="O41" s="430"/>
      <c r="P41" s="531" t="str">
        <f t="array" ref="P41">INDEX(正厂竞争者数据汇总!I:I,MATCH($A$37&amp;B41,正厂竞争者数据汇总!A:A&amp;正厂竞争者数据汇总!D:D,0))</f>
        <v>2022年1月 新加入 CompetitorSites
2022年1月 新加入 MarketingShare</v>
      </c>
      <c r="Q41" s="429"/>
      <c r="R41" s="421"/>
      <c r="S41" s="472"/>
      <c r="T41" s="466"/>
      <c r="U41" s="466"/>
      <c r="V41" s="466"/>
      <c r="W41" s="466"/>
    </row>
    <row r="42" s="408" customFormat="1" spans="1:23">
      <c r="A42" s="428" t="s">
        <v>230</v>
      </c>
      <c r="B42" s="421" t="s">
        <v>260</v>
      </c>
      <c r="C42" s="429" t="str">
        <f>VLOOKUP(B42,正厂竞争者数据汇总!D:H,2,FALSE)</f>
        <v>Motor目录</v>
      </c>
      <c r="D42" s="421" t="str">
        <f>VLOOKUP(B42,正厂竞争者数据汇总!D:H,3,FALSE)</f>
        <v>TX</v>
      </c>
      <c r="E42" s="430"/>
      <c r="F42" s="430">
        <v>143204.25</v>
      </c>
      <c r="G42" s="430"/>
      <c r="H42" s="430"/>
      <c r="I42" s="450"/>
      <c r="J42" s="451">
        <v>0.103101420620356</v>
      </c>
      <c r="K42" s="451">
        <v>0.098901503508086</v>
      </c>
      <c r="L42" s="451">
        <v>0.11732239272706</v>
      </c>
      <c r="M42" s="452"/>
      <c r="N42" s="451"/>
      <c r="O42" s="430"/>
      <c r="P42" s="531">
        <f t="array" ref="P42">INDEX(正厂竞争者数据汇总!I:I,MATCH($A$37&amp;B42,正厂竞争者数据汇总!A:A&amp;正厂竞争者数据汇总!D:D,0))</f>
        <v>0</v>
      </c>
      <c r="Q42" s="429"/>
      <c r="R42" s="421"/>
      <c r="S42" s="472"/>
      <c r="T42" s="466"/>
      <c r="U42" s="466"/>
      <c r="V42" s="466"/>
      <c r="W42" s="466"/>
    </row>
    <row r="43" s="408" customFormat="1" spans="1:23">
      <c r="A43" s="428" t="s">
        <v>243</v>
      </c>
      <c r="B43" s="421" t="s">
        <v>262</v>
      </c>
      <c r="C43" s="429" t="str">
        <f>VLOOKUP(B43,正厂竞争者数据汇总!D:H,2,FALSE)</f>
        <v>原厂目录</v>
      </c>
      <c r="D43" s="421" t="str">
        <f>VLOOKUP(B43,正厂竞争者数据汇总!D:H,3,FALSE)</f>
        <v>FL</v>
      </c>
      <c r="E43" s="430"/>
      <c r="F43" s="430">
        <v>133474.416666667</v>
      </c>
      <c r="G43" s="430"/>
      <c r="H43" s="430"/>
      <c r="I43" s="450"/>
      <c r="J43" s="451">
        <v>0.0960963237809398</v>
      </c>
      <c r="K43" s="451">
        <v>0.09589581558287</v>
      </c>
      <c r="L43" s="451">
        <v>0.094366513520689</v>
      </c>
      <c r="M43" s="452"/>
      <c r="N43" s="451"/>
      <c r="O43" s="430"/>
      <c r="P43" s="531" t="str">
        <f t="array" ref="P43">INDEX(正厂竞争者数据汇总!I:I,MATCH($A$37&amp;B43,正厂竞争者数据汇总!A:A&amp;正厂竞争者数据汇总!D:D,0))</f>
        <v>变为精确运费</v>
      </c>
      <c r="Q43" s="429"/>
      <c r="R43" s="421"/>
      <c r="S43" s="472"/>
      <c r="T43" s="466"/>
      <c r="U43" s="466"/>
      <c r="V43" s="466"/>
      <c r="W43" s="466"/>
    </row>
    <row r="44" s="408" customFormat="1" spans="1:23">
      <c r="A44" s="428" t="s">
        <v>243</v>
      </c>
      <c r="B44" s="421" t="s">
        <v>265</v>
      </c>
      <c r="C44" s="429" t="str">
        <f>VLOOKUP(B44,正厂竞争者数据汇总!D:H,2,FALSE)</f>
        <v>原厂目录</v>
      </c>
      <c r="D44" s="421" t="s">
        <v>266</v>
      </c>
      <c r="E44" s="430"/>
      <c r="F44" s="430">
        <v>104292.14</v>
      </c>
      <c r="G44" s="430"/>
      <c r="H44" s="430"/>
      <c r="I44" s="450"/>
      <c r="J44" s="451">
        <v>0.0750862337782365</v>
      </c>
      <c r="K44" s="451">
        <v>0.0785185289308837</v>
      </c>
      <c r="L44" s="451">
        <v>0.057217734505822</v>
      </c>
      <c r="M44" s="452"/>
      <c r="N44" s="451"/>
      <c r="O44" s="430"/>
      <c r="P44" s="531" t="str">
        <f t="array" ref="P44">INDEX(正厂竞争者数据汇总!I:I,MATCH($A$37&amp;B44,正厂竞争者数据汇总!A:A&amp;正厂竞争者数据汇总!D:D,0))</f>
        <v>因MS大于5%，202305重新加入MS计算基准</v>
      </c>
      <c r="Q44" s="429"/>
      <c r="R44" s="421"/>
      <c r="S44" s="472"/>
      <c r="T44" s="466"/>
      <c r="U44" s="466"/>
      <c r="V44" s="466"/>
      <c r="W44" s="466"/>
    </row>
    <row r="45" s="408" customFormat="1" spans="1:23">
      <c r="A45" s="428" t="s">
        <v>230</v>
      </c>
      <c r="B45" s="421" t="s">
        <v>267</v>
      </c>
      <c r="C45" s="429" t="str">
        <f>VLOOKUP(B45,正厂竞争者数据汇总!D:H,2,FALSE)</f>
        <v>原厂目录</v>
      </c>
      <c r="D45" s="421" t="str">
        <f>VLOOKUP(B45,正厂竞争者数据汇总!D:H,3,FALSE)</f>
        <v>AZ</v>
      </c>
      <c r="E45" s="430"/>
      <c r="F45" s="430">
        <v>85026</v>
      </c>
      <c r="G45" s="430"/>
      <c r="H45" s="430"/>
      <c r="I45" s="450"/>
      <c r="J45" s="451">
        <v>0.0612153716783291</v>
      </c>
      <c r="K45" s="451">
        <v>0.0668517681299012</v>
      </c>
      <c r="L45" s="451">
        <v>0.0718315587229029</v>
      </c>
      <c r="M45" s="452"/>
      <c r="N45" s="451"/>
      <c r="O45" s="430"/>
      <c r="P45" s="531" t="str">
        <f t="array" ref="P45">INDEX(正厂竞争者数据汇总!I:I,MATCH($A$37&amp;B45,正厂竞争者数据汇总!A:A&amp;正厂竞争者数据汇总!D:D,0))</f>
        <v>2022年1月 新加入 CompetitorSites</v>
      </c>
      <c r="Q45" s="429"/>
      <c r="R45" s="421"/>
      <c r="S45" s="472"/>
      <c r="T45" s="466"/>
      <c r="U45" s="466"/>
      <c r="V45" s="466"/>
      <c r="W45" s="466"/>
    </row>
    <row r="46" s="408" customFormat="1" spans="1:23">
      <c r="A46" s="428" t="s">
        <v>243</v>
      </c>
      <c r="B46" s="421" t="s">
        <v>438</v>
      </c>
      <c r="C46" s="429" t="str">
        <f>VLOOKUP(B46,正厂竞争者数据汇总!D:H,2,FALSE)</f>
        <v>原厂目录</v>
      </c>
      <c r="D46" s="421" t="str">
        <f>VLOOKUP(B46,正厂竞争者数据汇总!D:H,3,FALSE)</f>
        <v>SC</v>
      </c>
      <c r="E46" s="430"/>
      <c r="F46" s="430">
        <v>53167.1666666667</v>
      </c>
      <c r="G46" s="430"/>
      <c r="H46" s="430"/>
      <c r="I46" s="450"/>
      <c r="J46" s="451">
        <v>0.0382782662783581</v>
      </c>
      <c r="K46" s="451">
        <v>0.0405603832542381</v>
      </c>
      <c r="L46" s="451">
        <v>0.0413220098118472</v>
      </c>
      <c r="M46" s="452"/>
      <c r="N46" s="451"/>
      <c r="O46" s="430"/>
      <c r="P46" s="531" t="str">
        <f t="array" ref="P46">INDEX(正厂竞争者数据汇总!I:I,MATCH($A$37&amp;B46,正厂竞争者数据汇总!A:A&amp;正厂竞争者数据汇总!D:D,0))</f>
        <v>2022年1月 新加入 CompetitorSites
2022年1月 新加入 MarketingShare</v>
      </c>
      <c r="Q46" s="429"/>
      <c r="R46" s="421"/>
      <c r="S46" s="472"/>
      <c r="T46" s="466"/>
      <c r="U46" s="466"/>
      <c r="V46" s="466"/>
      <c r="W46" s="466"/>
    </row>
    <row r="47" s="410" customFormat="1" spans="1:23">
      <c r="A47" s="428"/>
      <c r="B47" s="431"/>
      <c r="C47" s="429"/>
      <c r="D47" s="421"/>
      <c r="E47" s="430"/>
      <c r="F47" s="430"/>
      <c r="G47" s="430"/>
      <c r="H47" s="430"/>
      <c r="I47" s="453"/>
      <c r="J47" s="451"/>
      <c r="K47" s="451"/>
      <c r="L47" s="451"/>
      <c r="M47" s="451"/>
      <c r="N47" s="455"/>
      <c r="O47" s="436"/>
      <c r="P47" s="531"/>
      <c r="Q47" s="434"/>
      <c r="R47" s="435"/>
      <c r="S47" s="473"/>
      <c r="T47" s="477"/>
      <c r="U47" s="466"/>
      <c r="V47" s="435"/>
      <c r="W47" s="435"/>
    </row>
    <row r="48" s="408" customFormat="1" spans="1:23">
      <c r="A48" s="428"/>
      <c r="B48" s="421"/>
      <c r="C48" s="439"/>
      <c r="D48" s="421"/>
      <c r="E48" s="430"/>
      <c r="F48" s="430">
        <v>1388964.8575</v>
      </c>
      <c r="G48" s="430">
        <v>1468579.74166667</v>
      </c>
      <c r="H48" s="430">
        <v>1519526.8275</v>
      </c>
      <c r="I48" s="453">
        <f>(F48/G48)-1</f>
        <v>-0.0542121628862429</v>
      </c>
      <c r="J48" s="512"/>
      <c r="K48" s="430"/>
      <c r="L48" s="430"/>
      <c r="M48" s="451"/>
      <c r="N48" s="451"/>
      <c r="O48" s="430"/>
      <c r="P48" s="531"/>
      <c r="Q48" s="429"/>
      <c r="R48" s="421"/>
      <c r="S48" s="473"/>
      <c r="T48" s="466"/>
      <c r="U48" s="466"/>
      <c r="V48" s="421"/>
      <c r="W48" s="421"/>
    </row>
    <row r="49" s="408" customFormat="1" spans="1:23">
      <c r="A49" s="428"/>
      <c r="B49" s="421"/>
      <c r="C49" s="439"/>
      <c r="D49" s="421"/>
      <c r="E49" s="430"/>
      <c r="F49" s="430"/>
      <c r="G49" s="430"/>
      <c r="H49" s="430"/>
      <c r="I49" s="453"/>
      <c r="J49" s="430"/>
      <c r="K49" s="430"/>
      <c r="L49" s="430"/>
      <c r="M49" s="451"/>
      <c r="N49" s="451"/>
      <c r="O49" s="430"/>
      <c r="P49" s="531"/>
      <c r="Q49" s="429"/>
      <c r="R49" s="421"/>
      <c r="S49" s="473"/>
      <c r="T49" s="466"/>
      <c r="U49" s="466"/>
      <c r="V49" s="421"/>
      <c r="W49" s="421"/>
    </row>
    <row r="50" s="408" customFormat="1" ht="17.4" spans="1:23">
      <c r="A50" s="418" t="s">
        <v>152</v>
      </c>
      <c r="B50" s="419"/>
      <c r="C50" s="420"/>
      <c r="D50" s="421"/>
      <c r="E50" s="422" t="s">
        <v>202</v>
      </c>
      <c r="F50" s="422"/>
      <c r="G50" s="422"/>
      <c r="H50" s="422"/>
      <c r="I50" s="422"/>
      <c r="J50" s="422"/>
      <c r="K50" s="422"/>
      <c r="L50" s="422"/>
      <c r="M50" s="443"/>
      <c r="N50" s="444"/>
      <c r="O50" s="422"/>
      <c r="P50" s="531"/>
      <c r="Q50" s="465"/>
      <c r="R50" s="424"/>
      <c r="S50" s="473"/>
      <c r="T50" s="467"/>
      <c r="U50" s="467"/>
      <c r="V50" s="467"/>
      <c r="W50" s="467"/>
    </row>
    <row r="51" s="409" customFormat="1" ht="46.8" spans="1:23">
      <c r="A51" s="423" t="s">
        <v>206</v>
      </c>
      <c r="B51" s="424" t="s">
        <v>207</v>
      </c>
      <c r="C51" s="425" t="s">
        <v>208</v>
      </c>
      <c r="D51" s="424" t="s">
        <v>209</v>
      </c>
      <c r="E51" s="426" t="s">
        <v>210</v>
      </c>
      <c r="F51" s="427" t="s">
        <v>443</v>
      </c>
      <c r="G51" s="427" t="s">
        <v>213</v>
      </c>
      <c r="H51" s="427" t="s">
        <v>396</v>
      </c>
      <c r="I51" s="427" t="s">
        <v>386</v>
      </c>
      <c r="J51" s="446" t="s">
        <v>434</v>
      </c>
      <c r="K51" s="446" t="s">
        <v>435</v>
      </c>
      <c r="L51" s="446" t="s">
        <v>444</v>
      </c>
      <c r="M51" s="447" t="s">
        <v>436</v>
      </c>
      <c r="N51" s="448" t="s">
        <v>219</v>
      </c>
      <c r="O51" s="449" t="s">
        <v>220</v>
      </c>
      <c r="P51" s="535" t="s">
        <v>0</v>
      </c>
      <c r="Q51" s="469" t="s">
        <v>222</v>
      </c>
      <c r="R51" s="426" t="s">
        <v>223</v>
      </c>
      <c r="S51" s="470" t="s">
        <v>224</v>
      </c>
      <c r="T51" s="467" t="s">
        <v>225</v>
      </c>
      <c r="U51" s="470" t="s">
        <v>226</v>
      </c>
      <c r="V51" s="467"/>
      <c r="W51" s="467"/>
    </row>
    <row r="52" s="410" customFormat="1" ht="17.4" spans="1:23">
      <c r="A52" s="432" t="s">
        <v>227</v>
      </c>
      <c r="B52" s="432" t="s">
        <v>153</v>
      </c>
      <c r="C52" s="434" t="str">
        <f>VLOOKUP(B52,正厂竞争者数据汇总!D:H,2,FALSE)</f>
        <v>原厂目录</v>
      </c>
      <c r="D52" s="435" t="str">
        <f>VLOOKUP(B52,正厂竞争者数据汇总!D:H,3,FALSE)</f>
        <v>CA</v>
      </c>
      <c r="E52" s="436">
        <f>VLOOKUP(B52,正厂竞争者数据汇总!D:H,4,FALSE)</f>
        <v>0</v>
      </c>
      <c r="F52" s="436">
        <v>427443.416666667</v>
      </c>
      <c r="G52" s="436">
        <v>436555.583333333</v>
      </c>
      <c r="H52" s="436">
        <v>490593.833333333</v>
      </c>
      <c r="I52" s="454">
        <f>(F52/G52)-1</f>
        <v>-0.0208728670862249</v>
      </c>
      <c r="J52" s="457">
        <v>0.31266890565816</v>
      </c>
      <c r="K52" s="457">
        <v>0.319852149745689</v>
      </c>
      <c r="L52" s="457">
        <v>0.301837639150851</v>
      </c>
      <c r="M52" s="456">
        <f>J52-K52</f>
        <v>-0.00718324408752896</v>
      </c>
      <c r="N52" s="457" t="str">
        <f>IFERROR(O52*0.5/#REF!,"")</f>
        <v/>
      </c>
      <c r="O52" s="436" t="s">
        <v>180</v>
      </c>
      <c r="P52" s="531">
        <f t="array" ref="P52">INDEX(正厂竞争者数据汇总!I:I,MATCH($A$50&amp;B52,正厂竞争者数据汇总!A:A&amp;正厂竞争者数据汇总!D:D,0))</f>
        <v>0</v>
      </c>
      <c r="Q52" s="434" t="s">
        <v>268</v>
      </c>
      <c r="R52" s="435" t="s">
        <v>229</v>
      </c>
      <c r="S52" s="476"/>
      <c r="T52" s="477"/>
      <c r="U52" s="477"/>
      <c r="V52" s="477"/>
      <c r="W52" s="477"/>
    </row>
    <row r="53" s="408" customFormat="1" spans="1:23">
      <c r="A53" s="428" t="s">
        <v>230</v>
      </c>
      <c r="B53" s="421" t="s">
        <v>255</v>
      </c>
      <c r="C53" s="429" t="s">
        <v>233</v>
      </c>
      <c r="D53" s="421" t="str">
        <f>VLOOKUP(B53,正厂竞争者数据汇总!D:H,3,FALSE)</f>
        <v>RI</v>
      </c>
      <c r="E53" s="430"/>
      <c r="F53" s="430">
        <v>249386.906666667</v>
      </c>
      <c r="G53" s="430"/>
      <c r="H53" s="430"/>
      <c r="I53" s="450"/>
      <c r="J53" s="451">
        <v>0.18242304864821</v>
      </c>
      <c r="K53" s="451">
        <v>0.174265631770389</v>
      </c>
      <c r="L53" s="451">
        <v>0.16291597868068</v>
      </c>
      <c r="M53" s="452"/>
      <c r="N53" s="451"/>
      <c r="O53" s="430"/>
      <c r="P53" s="531" t="str">
        <f t="array" ref="P53">INDEX(正厂竞争者数据汇总!I:I,MATCH($A$50&amp;B53,正厂竞争者数据汇总!A:A&amp;正厂竞争者数据汇总!D:D,0))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53" s="429"/>
      <c r="R53" s="421"/>
      <c r="S53" s="472"/>
      <c r="T53" s="466"/>
      <c r="U53" s="466"/>
      <c r="V53" s="466"/>
      <c r="W53" s="466"/>
    </row>
    <row r="54" s="408" customFormat="1" spans="1:23">
      <c r="A54" s="428" t="s">
        <v>243</v>
      </c>
      <c r="B54" s="421" t="s">
        <v>270</v>
      </c>
      <c r="C54" s="429" t="s">
        <v>233</v>
      </c>
      <c r="D54" s="421" t="str">
        <f>VLOOKUP(B54,正厂竞争者数据汇总!D:H,3,FALSE)</f>
        <v>FL</v>
      </c>
      <c r="E54" s="430"/>
      <c r="F54" s="430">
        <v>223734.333333333</v>
      </c>
      <c r="G54" s="430"/>
      <c r="H54" s="430"/>
      <c r="I54" s="450"/>
      <c r="J54" s="451">
        <v>0.163658548556016</v>
      </c>
      <c r="K54" s="451">
        <v>0.151131921534652</v>
      </c>
      <c r="L54" s="451">
        <v>0.16216942570585</v>
      </c>
      <c r="M54" s="452"/>
      <c r="N54" s="451"/>
      <c r="O54" s="430"/>
      <c r="P54" s="531">
        <f t="array" ref="P54">INDEX(正厂竞争者数据汇总!I:I,MATCH($A$50&amp;B54,正厂竞争者数据汇总!A:A&amp;正厂竞争者数据汇总!D:D,0))</f>
        <v>0</v>
      </c>
      <c r="Q54" s="429"/>
      <c r="R54" s="421"/>
      <c r="S54" s="472"/>
      <c r="T54" s="466"/>
      <c r="U54" s="466"/>
      <c r="V54" s="466"/>
      <c r="W54" s="466"/>
    </row>
    <row r="55" s="408" customFormat="1" spans="1:23">
      <c r="A55" s="428" t="s">
        <v>230</v>
      </c>
      <c r="B55" s="421" t="s">
        <v>269</v>
      </c>
      <c r="C55" s="429" t="str">
        <f>VLOOKUP(B55,正厂竞争者数据汇总!D:H,2,FALSE)</f>
        <v>Motor目录</v>
      </c>
      <c r="D55" s="421" t="str">
        <f>VLOOKUP(B55,正厂竞争者数据汇总!D:H,3,FALSE)</f>
        <v>-</v>
      </c>
      <c r="E55" s="430"/>
      <c r="F55" s="430">
        <v>205839.666666667</v>
      </c>
      <c r="G55" s="430"/>
      <c r="H55" s="430"/>
      <c r="I55" s="450"/>
      <c r="J55" s="451">
        <v>0.150568849134707</v>
      </c>
      <c r="K55" s="451">
        <v>0.154219422266048</v>
      </c>
      <c r="L55" s="451">
        <v>0.120048897291958</v>
      </c>
      <c r="M55" s="452"/>
      <c r="N55" s="451"/>
      <c r="O55" s="430"/>
      <c r="P55" s="531" t="str">
        <f t="array" ref="P55">INDEX(正厂竞争者数据汇总!I:I,MATCH($A$50&amp;B55,正厂竞争者数据汇总!A:A&amp;正厂竞争者数据汇总!D:D,0))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55" s="429"/>
      <c r="R55" s="421"/>
      <c r="S55" s="472"/>
      <c r="T55" s="466"/>
      <c r="U55" s="466"/>
      <c r="V55" s="466"/>
      <c r="W55" s="466"/>
    </row>
    <row r="56" s="408" customFormat="1" spans="1:23">
      <c r="A56" s="428" t="s">
        <v>230</v>
      </c>
      <c r="B56" s="421" t="s">
        <v>273</v>
      </c>
      <c r="C56" s="429" t="s">
        <v>233</v>
      </c>
      <c r="D56" s="421" t="str">
        <f>VLOOKUP(B56,正厂竞争者数据汇总!D:H,3,FALSE)</f>
        <v>GA</v>
      </c>
      <c r="E56" s="430"/>
      <c r="F56" s="430">
        <v>110991.583333333</v>
      </c>
      <c r="G56" s="430"/>
      <c r="H56" s="430"/>
      <c r="I56" s="450"/>
      <c r="J56" s="451">
        <v>0.0811887972652123</v>
      </c>
      <c r="K56" s="451">
        <v>0.0852054197879285</v>
      </c>
      <c r="L56" s="451">
        <v>0.0905099236189884</v>
      </c>
      <c r="M56" s="452"/>
      <c r="N56" s="451"/>
      <c r="O56" s="430"/>
      <c r="P56" s="531">
        <f t="array" ref="P56">INDEX(正厂竞争者数据汇总!I:I,MATCH($A$50&amp;B56,正厂竞争者数据汇总!A:A&amp;正厂竞争者数据汇总!D:D,0))</f>
        <v>0</v>
      </c>
      <c r="Q56" s="429"/>
      <c r="R56" s="421"/>
      <c r="S56" s="472"/>
      <c r="T56" s="466"/>
      <c r="U56" s="466"/>
      <c r="V56" s="466"/>
      <c r="W56" s="466"/>
    </row>
    <row r="57" s="408" customFormat="1" spans="1:23">
      <c r="A57" s="428" t="s">
        <v>230</v>
      </c>
      <c r="B57" s="421" t="s">
        <v>292</v>
      </c>
      <c r="C57" s="429" t="s">
        <v>233</v>
      </c>
      <c r="D57" s="421" t="str">
        <f>VLOOKUP(B57,正厂竞争者数据汇总!D:H,3,FALSE)</f>
        <v>MA</v>
      </c>
      <c r="E57" s="430"/>
      <c r="F57" s="430">
        <v>83804.9558333333</v>
      </c>
      <c r="G57" s="430"/>
      <c r="H57" s="430"/>
      <c r="I57" s="450"/>
      <c r="J57" s="451">
        <v>0.0613021579171326</v>
      </c>
      <c r="K57" s="451">
        <v>0.0578880899019573</v>
      </c>
      <c r="L57" s="451">
        <v>0.0479405867588703</v>
      </c>
      <c r="M57" s="452"/>
      <c r="N57" s="451"/>
      <c r="O57" s="430"/>
      <c r="P57" s="531" t="str">
        <f t="array" ref="P57">INDEX(正厂竞争者数据汇总!I:I,MATCH($A$50&amp;B57,正厂竞争者数据汇总!A:A&amp;正厂竞争者数据汇总!D:D,0))</f>
        <v>同时经营多品牌，流量折算比例为Ford:23%,GM:23%,Infiniti:0%,Kia:13%,Mopar:31%,Nissan:10%</v>
      </c>
      <c r="Q57" s="429"/>
      <c r="R57" s="421"/>
      <c r="S57" s="472"/>
      <c r="T57" s="466"/>
      <c r="U57" s="466"/>
      <c r="V57" s="466"/>
      <c r="W57" s="466"/>
    </row>
    <row r="58" s="408" customFormat="1" spans="1:23">
      <c r="A58" s="428" t="s">
        <v>230</v>
      </c>
      <c r="B58" s="421" t="s">
        <v>400</v>
      </c>
      <c r="C58" s="429" t="s">
        <v>233</v>
      </c>
      <c r="D58" s="421" t="str">
        <f>VLOOKUP(B58,正厂竞争者数据汇总!D:H,3,FALSE)</f>
        <v>MO</v>
      </c>
      <c r="E58" s="430"/>
      <c r="F58" s="430">
        <v>65879.1666666667</v>
      </c>
      <c r="G58" s="430"/>
      <c r="H58" s="430"/>
      <c r="I58" s="450"/>
      <c r="J58" s="451">
        <v>0.0481896928205621</v>
      </c>
      <c r="K58" s="451">
        <v>0.0574373649933361</v>
      </c>
      <c r="L58" s="451">
        <v>0.0588151394741173</v>
      </c>
      <c r="M58" s="452"/>
      <c r="N58" s="451"/>
      <c r="O58" s="430"/>
      <c r="P58" s="531">
        <f t="array" ref="P58">INDEX(正厂竞争者数据汇总!I:I,MATCH($A$50&amp;B58,正厂竞争者数据汇总!A:A&amp;正厂竞争者数据汇总!D:D,0))</f>
        <v>0</v>
      </c>
      <c r="Q58" s="429"/>
      <c r="R58" s="421"/>
      <c r="S58" s="472"/>
      <c r="T58" s="466"/>
      <c r="U58" s="466"/>
      <c r="V58" s="466"/>
      <c r="W58" s="466"/>
    </row>
    <row r="59" s="408" customFormat="1" spans="1:23">
      <c r="A59" s="428"/>
      <c r="B59" s="421"/>
      <c r="C59" s="429"/>
      <c r="D59" s="421"/>
      <c r="E59" s="430"/>
      <c r="F59" s="430"/>
      <c r="G59" s="430"/>
      <c r="H59" s="430"/>
      <c r="I59" s="450"/>
      <c r="J59" s="451"/>
      <c r="K59" s="451"/>
      <c r="L59" s="451"/>
      <c r="M59" s="452"/>
      <c r="N59" s="451"/>
      <c r="O59" s="430"/>
      <c r="P59" s="531"/>
      <c r="Q59" s="429"/>
      <c r="R59" s="421"/>
      <c r="S59" s="472"/>
      <c r="T59" s="466"/>
      <c r="U59" s="466"/>
      <c r="V59" s="421"/>
      <c r="W59" s="421"/>
    </row>
    <row r="60" s="408" customFormat="1" spans="1:23">
      <c r="A60" s="428"/>
      <c r="B60" s="421"/>
      <c r="C60" s="439"/>
      <c r="D60" s="421"/>
      <c r="E60" s="430"/>
      <c r="F60" s="430">
        <v>1367080.02916667</v>
      </c>
      <c r="G60" s="430">
        <v>1270419.34583333</v>
      </c>
      <c r="H60" s="430">
        <v>1259631.94083333</v>
      </c>
      <c r="I60" s="453">
        <f>(F60/G60)-1</f>
        <v>0.0760856512854311</v>
      </c>
      <c r="J60" s="430"/>
      <c r="K60" s="451"/>
      <c r="L60" s="430"/>
      <c r="M60" s="451"/>
      <c r="N60" s="459">
        <f>SUM(N52:N58)</f>
        <v>0</v>
      </c>
      <c r="O60" s="430" t="s">
        <v>180</v>
      </c>
      <c r="P60" s="531"/>
      <c r="Q60" s="429"/>
      <c r="R60" s="421"/>
      <c r="S60" s="473"/>
      <c r="T60" s="466"/>
      <c r="U60" s="466"/>
      <c r="V60" s="421"/>
      <c r="W60" s="421"/>
    </row>
    <row r="61" s="408" customFormat="1" spans="1:23">
      <c r="A61" s="428"/>
      <c r="B61" s="421"/>
      <c r="C61" s="439"/>
      <c r="D61" s="421"/>
      <c r="E61" s="430"/>
      <c r="F61" s="430"/>
      <c r="G61" s="430"/>
      <c r="H61" s="430"/>
      <c r="I61" s="453"/>
      <c r="J61" s="430"/>
      <c r="K61" s="430"/>
      <c r="L61" s="430"/>
      <c r="M61" s="451"/>
      <c r="N61" s="459"/>
      <c r="O61" s="430"/>
      <c r="P61" s="531"/>
      <c r="Q61" s="429"/>
      <c r="R61" s="421"/>
      <c r="S61" s="473"/>
      <c r="T61" s="466"/>
      <c r="U61" s="466"/>
      <c r="V61" s="421"/>
      <c r="W61" s="421"/>
    </row>
    <row r="62" s="408" customFormat="1" ht="17.4" spans="1:23">
      <c r="A62" s="418" t="s">
        <v>159</v>
      </c>
      <c r="B62" s="419"/>
      <c r="C62" s="420"/>
      <c r="D62" s="421"/>
      <c r="E62" s="422" t="s">
        <v>202</v>
      </c>
      <c r="F62" s="422"/>
      <c r="G62" s="422"/>
      <c r="H62" s="422"/>
      <c r="I62" s="422"/>
      <c r="J62" s="422"/>
      <c r="K62" s="422"/>
      <c r="L62" s="422"/>
      <c r="M62" s="443"/>
      <c r="N62" s="444"/>
      <c r="O62" s="422"/>
      <c r="P62" s="531"/>
      <c r="Q62" s="465"/>
      <c r="R62" s="424"/>
      <c r="S62" s="473"/>
      <c r="T62" s="467"/>
      <c r="U62" s="467"/>
      <c r="V62" s="467"/>
      <c r="W62" s="467"/>
    </row>
    <row r="63" s="409" customFormat="1" ht="46.8" spans="1:23">
      <c r="A63" s="423" t="s">
        <v>206</v>
      </c>
      <c r="B63" s="424" t="s">
        <v>207</v>
      </c>
      <c r="C63" s="425" t="s">
        <v>208</v>
      </c>
      <c r="D63" s="424" t="s">
        <v>209</v>
      </c>
      <c r="E63" s="426" t="s">
        <v>210</v>
      </c>
      <c r="F63" s="427" t="s">
        <v>443</v>
      </c>
      <c r="G63" s="427" t="s">
        <v>213</v>
      </c>
      <c r="H63" s="427" t="s">
        <v>396</v>
      </c>
      <c r="I63" s="427" t="s">
        <v>386</v>
      </c>
      <c r="J63" s="446" t="s">
        <v>434</v>
      </c>
      <c r="K63" s="446" t="s">
        <v>435</v>
      </c>
      <c r="L63" s="446" t="s">
        <v>444</v>
      </c>
      <c r="M63" s="447" t="s">
        <v>436</v>
      </c>
      <c r="N63" s="448" t="s">
        <v>219</v>
      </c>
      <c r="O63" s="449" t="s">
        <v>220</v>
      </c>
      <c r="P63" s="535" t="s">
        <v>0</v>
      </c>
      <c r="Q63" s="469" t="s">
        <v>222</v>
      </c>
      <c r="R63" s="426" t="s">
        <v>223</v>
      </c>
      <c r="S63" s="470" t="s">
        <v>224</v>
      </c>
      <c r="T63" s="467" t="s">
        <v>225</v>
      </c>
      <c r="U63" s="470" t="s">
        <v>226</v>
      </c>
      <c r="V63" s="467"/>
      <c r="W63" s="467"/>
    </row>
    <row r="64" s="410" customFormat="1" ht="17.4" spans="1:23">
      <c r="A64" s="432" t="s">
        <v>227</v>
      </c>
      <c r="B64" s="432" t="s">
        <v>160</v>
      </c>
      <c r="C64" s="434" t="str">
        <f>VLOOKUP(B64,正厂竞争者数据汇总!D:H,2,FALSE)</f>
        <v>原厂目录</v>
      </c>
      <c r="D64" s="435" t="str">
        <f>VLOOKUP(B64,正厂竞争者数据汇总!D:H,3,FALSE)</f>
        <v>CA</v>
      </c>
      <c r="E64" s="436">
        <f>VLOOKUP(B64,正厂竞争者数据汇总!D:H,4,FALSE)</f>
        <v>0</v>
      </c>
      <c r="F64" s="436">
        <v>405916.416666667</v>
      </c>
      <c r="G64" s="436">
        <v>369856.833333333</v>
      </c>
      <c r="H64" s="436">
        <v>370810.25</v>
      </c>
      <c r="I64" s="454">
        <f>(F64/G64)-1</f>
        <v>0.0974960581594428</v>
      </c>
      <c r="J64" s="455">
        <v>0.551053400370037</v>
      </c>
      <c r="K64" s="455">
        <v>0.494113924522347</v>
      </c>
      <c r="L64" s="455">
        <v>0.49972152426268</v>
      </c>
      <c r="M64" s="456">
        <f>J64-K64</f>
        <v>0.05693947584769</v>
      </c>
      <c r="N64" s="455" t="str">
        <f>IFERROR(O64*0.5/$F$64,"")</f>
        <v/>
      </c>
      <c r="O64" s="436" t="s">
        <v>180</v>
      </c>
      <c r="P64" s="531">
        <f t="array" ref="P64">INDEX(正厂竞争者数据汇总!I:I,MATCH($A$62&amp;B64,正厂竞争者数据汇总!A:A&amp;正厂竞争者数据汇总!D:D,0))</f>
        <v>0</v>
      </c>
      <c r="Q64" s="434" t="s">
        <v>280</v>
      </c>
      <c r="R64" s="435" t="s">
        <v>229</v>
      </c>
      <c r="S64" s="476"/>
      <c r="T64" s="477"/>
      <c r="U64" s="477"/>
      <c r="V64" s="435"/>
      <c r="W64" s="435"/>
    </row>
    <row r="65" s="408" customFormat="1" spans="1:23">
      <c r="A65" s="428" t="s">
        <v>230</v>
      </c>
      <c r="B65" s="421" t="s">
        <v>255</v>
      </c>
      <c r="C65" s="429" t="str">
        <f>VLOOKUP(B65,正厂竞争者数据汇总!D:H,2,FALSE)</f>
        <v>Motor目录</v>
      </c>
      <c r="D65" s="421" t="str">
        <f>VLOOKUP(B65,正厂竞争者数据汇总!D:H,3,FALSE)</f>
        <v>RI</v>
      </c>
      <c r="E65" s="430"/>
      <c r="F65" s="430">
        <v>109106.771666667</v>
      </c>
      <c r="G65" s="430"/>
      <c r="H65" s="430"/>
      <c r="I65" s="450"/>
      <c r="J65" s="451">
        <v>0.148118319589145</v>
      </c>
      <c r="K65" s="451">
        <v>0.139966086117917</v>
      </c>
      <c r="L65" s="451">
        <v>0.132353756853909</v>
      </c>
      <c r="M65" s="452"/>
      <c r="N65" s="451"/>
      <c r="O65" s="430"/>
      <c r="P65" s="531" t="str">
        <f t="array" ref="P65">INDEX(正厂竞争者数据汇总!I:I,MATCH($A$62&amp;B65,正厂竞争者数据汇总!A:A&amp;正厂竞争者数据汇总!D:D,0))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65" s="429"/>
      <c r="R65" s="421"/>
      <c r="S65" s="472"/>
      <c r="T65" s="466"/>
      <c r="U65" s="466"/>
      <c r="V65" s="466"/>
      <c r="W65" s="466"/>
    </row>
    <row r="66" s="408" customFormat="1" spans="1:23">
      <c r="A66" s="428" t="s">
        <v>230</v>
      </c>
      <c r="B66" s="421" t="s">
        <v>282</v>
      </c>
      <c r="C66" s="429" t="str">
        <f>VLOOKUP(B66,正厂竞争者数据汇总!D:H,2,FALSE)</f>
        <v>原厂目录</v>
      </c>
      <c r="D66" s="421" t="str">
        <f>VLOOKUP(B66,正厂竞争者数据汇总!D:H,3,FALSE)</f>
        <v>MA</v>
      </c>
      <c r="E66" s="430"/>
      <c r="F66" s="430">
        <v>92030.8333333333</v>
      </c>
      <c r="G66" s="430"/>
      <c r="H66" s="430"/>
      <c r="I66" s="450"/>
      <c r="J66" s="451">
        <v>0.124936813503818</v>
      </c>
      <c r="K66" s="451">
        <v>0.145633540164248</v>
      </c>
      <c r="L66" s="451">
        <v>0.154176270591048</v>
      </c>
      <c r="M66" s="452"/>
      <c r="N66" s="451"/>
      <c r="O66" s="430"/>
      <c r="P66" s="531" t="str">
        <f t="array" ref="P66">INDEX(正厂竞争者数据汇总!I:I,MATCH($A$62&amp;B66,正厂竞争者数据汇总!A:A&amp;正厂竞争者数据汇总!D:D,0))</f>
        <v>2021年08月新增竞争者</v>
      </c>
      <c r="Q66" s="429"/>
      <c r="R66" s="421"/>
      <c r="S66" s="472"/>
      <c r="T66" s="466"/>
      <c r="U66" s="466"/>
      <c r="V66" s="466"/>
      <c r="W66" s="466"/>
    </row>
    <row r="67" s="408" customFormat="1" spans="1:23">
      <c r="A67" s="428" t="s">
        <v>230</v>
      </c>
      <c r="B67" s="421" t="s">
        <v>281</v>
      </c>
      <c r="C67" s="429" t="str">
        <f>VLOOKUP(B67,正厂竞争者数据汇总!D:H,2,FALSE)</f>
        <v>Motor目录</v>
      </c>
      <c r="D67" s="421" t="str">
        <f>VLOOKUP(B67,正厂竞争者数据汇总!D:H,3,FALSE)</f>
        <v>-</v>
      </c>
      <c r="E67" s="430"/>
      <c r="F67" s="430">
        <v>63211.6666666667</v>
      </c>
      <c r="G67" s="430"/>
      <c r="H67" s="430"/>
      <c r="I67" s="450"/>
      <c r="J67" s="451">
        <v>0.0858132424053408</v>
      </c>
      <c r="K67" s="451">
        <v>0.0801386902059847</v>
      </c>
      <c r="L67" s="451">
        <v>0.0735915995276813</v>
      </c>
      <c r="M67" s="452"/>
      <c r="N67" s="451"/>
      <c r="O67" s="430"/>
      <c r="P67" s="531" t="str">
        <f t="array" ref="P67">INDEX(正厂竞争者数据汇总!I:I,MATCH($A$62&amp;B67,正厂竞争者数据汇总!A:A&amp;正厂竞争者数据汇总!D:D,0))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67" s="429"/>
      <c r="R67" s="421"/>
      <c r="S67" s="472"/>
      <c r="T67" s="466"/>
      <c r="U67" s="466"/>
      <c r="V67" s="466"/>
      <c r="W67" s="466"/>
    </row>
    <row r="68" s="408" customFormat="1" spans="1:23">
      <c r="A68" s="428" t="s">
        <v>230</v>
      </c>
      <c r="B68" s="421" t="s">
        <v>283</v>
      </c>
      <c r="C68" s="429" t="str">
        <f>VLOOKUP(B68,正厂竞争者数据汇总!D:H,2,FALSE)</f>
        <v>Motor目录</v>
      </c>
      <c r="D68" s="421" t="str">
        <f>VLOOKUP(B68,正厂竞争者数据汇总!D:H,3,FALSE)</f>
        <v>WA</v>
      </c>
      <c r="E68" s="430"/>
      <c r="F68" s="430">
        <v>33476.9166666667</v>
      </c>
      <c r="G68" s="430"/>
      <c r="H68" s="430"/>
      <c r="I68" s="450"/>
      <c r="J68" s="451">
        <v>0.0454467176138381</v>
      </c>
      <c r="K68" s="451">
        <v>0.0413951734686787</v>
      </c>
      <c r="L68" s="451">
        <v>0.0369394180453675</v>
      </c>
      <c r="M68" s="452"/>
      <c r="N68" s="451"/>
      <c r="O68" s="430"/>
      <c r="P68" s="531" t="str">
        <f t="array" ref="P68">INDEX(正厂竞争者数据汇总!I:I,MATCH($A$62&amp;B68,正厂竞争者数据汇总!A:A&amp;正厂竞争者数据汇总!D:D,0))</f>
        <v>2020年10月起加入MarketingShare.2023年8月，因为连续半年市场份额低于5%移除；2024年2月因市场份额大于5%重新加入监控</v>
      </c>
      <c r="Q68" s="429"/>
      <c r="R68" s="421"/>
      <c r="S68" s="472"/>
      <c r="T68" s="466"/>
      <c r="U68" s="466"/>
      <c r="V68" s="466"/>
      <c r="W68" s="466"/>
    </row>
    <row r="69" s="408" customFormat="1" spans="1:23">
      <c r="A69" s="428" t="s">
        <v>243</v>
      </c>
      <c r="B69" s="421" t="s">
        <v>401</v>
      </c>
      <c r="C69" s="429" t="str">
        <f>VLOOKUP(B69,正厂竞争者数据汇总!D:H,2,FALSE)</f>
        <v>Motor目录</v>
      </c>
      <c r="D69" s="421" t="str">
        <f>VLOOKUP(B69,正厂竞争者数据汇总!D:H,3,FALSE)</f>
        <v>FL</v>
      </c>
      <c r="E69" s="430"/>
      <c r="F69" s="430">
        <v>32876.4166666667</v>
      </c>
      <c r="G69" s="430"/>
      <c r="H69" s="430"/>
      <c r="I69" s="450"/>
      <c r="J69" s="451">
        <v>0.0446315065178209</v>
      </c>
      <c r="K69" s="451">
        <v>0.0527416931430119</v>
      </c>
      <c r="L69" s="451">
        <v>0.053912909821013</v>
      </c>
      <c r="M69" s="452"/>
      <c r="N69" s="451"/>
      <c r="O69" s="430"/>
      <c r="P69" s="531" t="str">
        <f t="array" ref="P69">INDEX(正厂竞争者数据汇总!I:I,MATCH($A$62&amp;B69,正厂竞争者数据汇总!A:A&amp;正厂竞争者数据汇总!D:D,0))</f>
        <v>2023年1月新增</v>
      </c>
      <c r="Q69" s="429"/>
      <c r="R69" s="421"/>
      <c r="S69" s="472"/>
      <c r="T69" s="466"/>
      <c r="U69" s="466"/>
      <c r="V69" s="466"/>
      <c r="W69" s="466"/>
    </row>
    <row r="70" s="408" customFormat="1" spans="1:23">
      <c r="A70" s="428"/>
      <c r="B70" s="421"/>
      <c r="C70" s="429"/>
      <c r="D70" s="421"/>
      <c r="E70" s="430"/>
      <c r="F70" s="430"/>
      <c r="G70" s="430"/>
      <c r="H70" s="430"/>
      <c r="I70" s="453"/>
      <c r="J70" s="451"/>
      <c r="K70" s="451"/>
      <c r="L70" s="451"/>
      <c r="M70" s="451"/>
      <c r="N70" s="451"/>
      <c r="O70" s="430"/>
      <c r="P70" s="531"/>
      <c r="Q70" s="429"/>
      <c r="R70" s="421"/>
      <c r="S70" s="473"/>
      <c r="T70" s="466"/>
      <c r="U70" s="466"/>
      <c r="V70" s="421"/>
      <c r="W70" s="421"/>
    </row>
    <row r="71" s="408" customFormat="1" spans="1:23">
      <c r="A71" s="428"/>
      <c r="B71" s="421"/>
      <c r="C71" s="429"/>
      <c r="D71" s="421"/>
      <c r="E71" s="430"/>
      <c r="F71" s="430">
        <v>736619.021666668</v>
      </c>
      <c r="G71" s="430">
        <v>675366.255</v>
      </c>
      <c r="H71" s="430">
        <v>656929.13</v>
      </c>
      <c r="I71" s="453">
        <f>(F71/G71)-1</f>
        <v>0.0906956280583904</v>
      </c>
      <c r="J71" s="451"/>
      <c r="K71" s="451"/>
      <c r="L71" s="451"/>
      <c r="M71" s="451"/>
      <c r="N71" s="451">
        <f>SUM(N64:N67)</f>
        <v>0</v>
      </c>
      <c r="O71" s="430"/>
      <c r="P71" s="531"/>
      <c r="Q71" s="429"/>
      <c r="R71" s="421"/>
      <c r="S71" s="473"/>
      <c r="T71" s="466"/>
      <c r="U71" s="466"/>
      <c r="V71" s="421"/>
      <c r="W71" s="421"/>
    </row>
    <row r="72" s="408" customFormat="1" spans="1:23">
      <c r="A72" s="428"/>
      <c r="B72" s="421"/>
      <c r="C72" s="429"/>
      <c r="D72" s="421"/>
      <c r="E72" s="430"/>
      <c r="F72" s="430"/>
      <c r="G72" s="430"/>
      <c r="H72" s="430"/>
      <c r="I72" s="453"/>
      <c r="J72" s="451"/>
      <c r="K72" s="451"/>
      <c r="L72" s="451"/>
      <c r="M72" s="451"/>
      <c r="N72" s="451"/>
      <c r="O72" s="430"/>
      <c r="P72" s="531"/>
      <c r="Q72" s="429"/>
      <c r="R72" s="421"/>
      <c r="S72" s="473"/>
      <c r="T72" s="466"/>
      <c r="U72" s="466"/>
      <c r="V72" s="421"/>
      <c r="W72" s="421"/>
    </row>
    <row r="73" s="408" customFormat="1" ht="17.4" spans="1:23">
      <c r="A73" s="418" t="s">
        <v>274</v>
      </c>
      <c r="B73" s="419"/>
      <c r="C73" s="420"/>
      <c r="D73" s="421"/>
      <c r="E73" s="422" t="s">
        <v>202</v>
      </c>
      <c r="F73" s="422"/>
      <c r="G73" s="422"/>
      <c r="H73" s="422"/>
      <c r="I73" s="422"/>
      <c r="J73" s="422"/>
      <c r="K73" s="422"/>
      <c r="L73" s="422"/>
      <c r="M73" s="443"/>
      <c r="N73" s="444"/>
      <c r="O73" s="422"/>
      <c r="P73" s="531"/>
      <c r="Q73" s="465"/>
      <c r="R73" s="424"/>
      <c r="S73" s="473"/>
      <c r="T73" s="467"/>
      <c r="U73" s="467"/>
      <c r="V73" s="467"/>
      <c r="W73" s="467"/>
    </row>
    <row r="74" s="409" customFormat="1" ht="46.8" spans="1:23">
      <c r="A74" s="423" t="s">
        <v>206</v>
      </c>
      <c r="B74" s="424" t="s">
        <v>207</v>
      </c>
      <c r="C74" s="425" t="s">
        <v>208</v>
      </c>
      <c r="D74" s="424" t="s">
        <v>209</v>
      </c>
      <c r="E74" s="426" t="s">
        <v>210</v>
      </c>
      <c r="F74" s="427" t="s">
        <v>443</v>
      </c>
      <c r="G74" s="427" t="s">
        <v>213</v>
      </c>
      <c r="H74" s="427" t="s">
        <v>396</v>
      </c>
      <c r="I74" s="427" t="s">
        <v>386</v>
      </c>
      <c r="J74" s="446" t="s">
        <v>434</v>
      </c>
      <c r="K74" s="446" t="s">
        <v>435</v>
      </c>
      <c r="L74" s="446" t="s">
        <v>444</v>
      </c>
      <c r="M74" s="447" t="s">
        <v>436</v>
      </c>
      <c r="N74" s="448" t="s">
        <v>219</v>
      </c>
      <c r="O74" s="449" t="s">
        <v>220</v>
      </c>
      <c r="P74" s="535" t="s">
        <v>0</v>
      </c>
      <c r="Q74" s="469" t="s">
        <v>222</v>
      </c>
      <c r="R74" s="426" t="s">
        <v>223</v>
      </c>
      <c r="S74" s="470" t="s">
        <v>224</v>
      </c>
      <c r="T74" s="467" t="s">
        <v>225</v>
      </c>
      <c r="U74" s="470" t="s">
        <v>226</v>
      </c>
      <c r="V74" s="467"/>
      <c r="W74" s="467"/>
    </row>
    <row r="75" s="410" customFormat="1" ht="17.4" spans="1:23">
      <c r="A75" s="432" t="s">
        <v>227</v>
      </c>
      <c r="B75" s="432" t="s">
        <v>157</v>
      </c>
      <c r="C75" s="434" t="str">
        <f>VLOOKUP(B75,正厂竞争者数据汇总!D:H,2,FALSE)</f>
        <v>原厂目录</v>
      </c>
      <c r="D75" s="435" t="str">
        <f>VLOOKUP(B75,正厂竞争者数据汇总!D:H,3,FALSE)</f>
        <v>CA</v>
      </c>
      <c r="E75" s="436">
        <f>VLOOKUP(B75,正厂竞争者数据汇总!D:H,4,FALSE)</f>
        <v>0</v>
      </c>
      <c r="F75" s="436">
        <v>317456.152033333</v>
      </c>
      <c r="G75" s="436">
        <v>278909.416666667</v>
      </c>
      <c r="H75" s="436">
        <v>329867.416666667</v>
      </c>
      <c r="I75" s="454">
        <f>(F75/G75)-1</f>
        <v>0.13820521310234</v>
      </c>
      <c r="J75" s="457">
        <v>0.46351068070417</v>
      </c>
      <c r="K75" s="457">
        <v>0.411132134176415</v>
      </c>
      <c r="L75" s="457">
        <v>0.40765605340742</v>
      </c>
      <c r="M75" s="456">
        <f>J75-K75</f>
        <v>0.052378546527755</v>
      </c>
      <c r="N75" s="457" t="str">
        <f>IFERROR(O75*0.5/$F$75,"")</f>
        <v/>
      </c>
      <c r="O75" s="436" t="s">
        <v>180</v>
      </c>
      <c r="P75" s="531">
        <f t="array" ref="P75">INDEX(正厂竞争者数据汇总!I:I,MATCH($A$73&amp;B75,正厂竞争者数据汇总!A:A&amp;正厂竞争者数据汇总!D:D,0))</f>
        <v>0</v>
      </c>
      <c r="Q75" s="434" t="s">
        <v>275</v>
      </c>
      <c r="R75" s="435" t="s">
        <v>229</v>
      </c>
      <c r="S75" s="476"/>
      <c r="T75" s="477"/>
      <c r="U75" s="477"/>
      <c r="V75" s="435"/>
      <c r="W75" s="435"/>
    </row>
    <row r="76" s="408" customFormat="1" spans="1:23">
      <c r="A76" s="428" t="s">
        <v>230</v>
      </c>
      <c r="B76" s="421" t="s">
        <v>276</v>
      </c>
      <c r="C76" s="429" t="str">
        <f>VLOOKUP(B76,正厂竞争者数据汇总!D:H,2,FALSE)</f>
        <v>Motor目录</v>
      </c>
      <c r="D76" s="421" t="str">
        <f>VLOOKUP(B76,正厂竞争者数据汇总!D:H,3,FALSE)</f>
        <v>-</v>
      </c>
      <c r="E76" s="430"/>
      <c r="F76" s="430">
        <v>179547.36</v>
      </c>
      <c r="G76" s="430"/>
      <c r="H76" s="430"/>
      <c r="I76" s="450"/>
      <c r="J76" s="451">
        <v>0.262153114750469</v>
      </c>
      <c r="K76" s="451">
        <v>0.254915186204287</v>
      </c>
      <c r="L76" s="451">
        <v>0.245987548302622</v>
      </c>
      <c r="M76" s="452"/>
      <c r="N76" s="451"/>
      <c r="O76" s="430"/>
      <c r="P76" s="531" t="str">
        <f t="array" ref="P76">INDEX(正厂竞争者数据汇总!I:I,MATCH($A$73&amp;B76,正厂竞争者数据汇总!A:A&amp;正厂竞争者数据汇总!D:D,0))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76" s="429"/>
      <c r="R76" s="421"/>
      <c r="S76" s="472"/>
      <c r="T76" s="466"/>
      <c r="U76" s="466"/>
      <c r="V76" s="466"/>
      <c r="W76" s="466"/>
    </row>
    <row r="77" s="408" customFormat="1" spans="1:23">
      <c r="A77" s="428" t="s">
        <v>230</v>
      </c>
      <c r="B77" s="421" t="s">
        <v>278</v>
      </c>
      <c r="C77" s="429" t="str">
        <f>VLOOKUP(B77,正厂竞争者数据汇总!D:H,2,FALSE)</f>
        <v>Motor</v>
      </c>
      <c r="D77" s="421" t="str">
        <f>VLOOKUP(B77,正厂竞争者数据汇总!D:H,3,FALSE)</f>
        <v>NM</v>
      </c>
      <c r="E77" s="430"/>
      <c r="F77" s="430">
        <v>91144</v>
      </c>
      <c r="G77" s="430"/>
      <c r="H77" s="430"/>
      <c r="I77" s="450"/>
      <c r="J77" s="451">
        <v>0.133077331188923</v>
      </c>
      <c r="K77" s="451">
        <v>0.144628712358689</v>
      </c>
      <c r="L77" s="451">
        <v>0.138859084968701</v>
      </c>
      <c r="M77" s="452"/>
      <c r="N77" s="451"/>
      <c r="O77" s="430"/>
      <c r="P77" s="531" t="str">
        <f t="array" ref="P77">INDEX(正厂竞争者数据汇总!I:I,MATCH($A$73&amp;B77,正厂竞争者数据汇总!A:A&amp;正厂竞争者数据汇总!D:D,0))</f>
        <v>2020年11月新增竞争者</v>
      </c>
      <c r="Q77" s="429"/>
      <c r="R77" s="421"/>
      <c r="S77" s="472"/>
      <c r="T77" s="466"/>
      <c r="U77" s="466"/>
      <c r="V77" s="466"/>
      <c r="W77" s="466"/>
    </row>
    <row r="78" s="408" customFormat="1" spans="1:23">
      <c r="A78" s="428" t="s">
        <v>243</v>
      </c>
      <c r="B78" s="421" t="s">
        <v>277</v>
      </c>
      <c r="C78" s="429" t="str">
        <f>VLOOKUP(B78,正厂竞争者数据汇总!D:H,2,FALSE)</f>
        <v>Motor目录</v>
      </c>
      <c r="D78" s="421" t="str">
        <f>VLOOKUP(B78,正厂竞争者数据汇总!D:H,3,FALSE)</f>
        <v>FL</v>
      </c>
      <c r="E78" s="430"/>
      <c r="F78" s="430">
        <v>69699.3307333333</v>
      </c>
      <c r="G78" s="430"/>
      <c r="H78" s="430"/>
      <c r="I78" s="450"/>
      <c r="J78" s="451">
        <v>0.101766445620623</v>
      </c>
      <c r="K78" s="451">
        <v>0.128824630960351</v>
      </c>
      <c r="L78" s="451">
        <v>0.136474659698307</v>
      </c>
      <c r="M78" s="452"/>
      <c r="N78" s="451"/>
      <c r="O78" s="430"/>
      <c r="P78" s="531">
        <f t="array" ref="P78">INDEX(正厂竞争者数据汇总!I:I,MATCH($A$73&amp;B78,正厂竞争者数据汇总!A:A&amp;正厂竞争者数据汇总!D:D,0))</f>
        <v>0</v>
      </c>
      <c r="Q78" s="429"/>
      <c r="R78" s="421"/>
      <c r="S78" s="472"/>
      <c r="T78" s="466"/>
      <c r="U78" s="466"/>
      <c r="V78" s="466"/>
      <c r="W78" s="466"/>
    </row>
    <row r="79" s="408" customFormat="1" spans="1:23">
      <c r="A79" s="428" t="s">
        <v>230</v>
      </c>
      <c r="B79" s="421" t="s">
        <v>279</v>
      </c>
      <c r="C79" s="429" t="str">
        <f>VLOOKUP(B79,正厂竞争者数据汇总!D:H,2,FALSE)</f>
        <v>Motor目录</v>
      </c>
      <c r="D79" s="421" t="str">
        <f>VLOOKUP(B79,正厂竞争者数据汇总!D:H,3,FALSE)</f>
        <v>-</v>
      </c>
      <c r="E79" s="430"/>
      <c r="F79" s="430">
        <v>27048.1666666667</v>
      </c>
      <c r="G79" s="430"/>
      <c r="H79" s="430"/>
      <c r="I79" s="450"/>
      <c r="J79" s="451">
        <v>0.0394924277358157</v>
      </c>
      <c r="K79" s="451">
        <v>0.060499336300258</v>
      </c>
      <c r="L79" s="451">
        <v>0.0710226536229493</v>
      </c>
      <c r="M79" s="452"/>
      <c r="N79" s="451"/>
      <c r="O79" s="430"/>
      <c r="P79" s="531" t="str">
        <f t="array" ref="P79">INDEX(正厂竞争者数据汇总!I:I,MATCH($A$73&amp;B79,正厂竞争者数据汇总!A:A&amp;正厂竞争者数据汇总!D:D,0))</f>
        <v>同时经营多品牌零件，semrush流量折算比例：Ford:0%, GM:36%, Honda:25%, Hyundai:0%, Infiniti:1%, Kia:1%, Lexus:4%, Mopar:0%, Nissan:25%, Subaru:5%, Toyota:2%</v>
      </c>
      <c r="Q79" s="429"/>
      <c r="R79" s="421"/>
      <c r="S79" s="472"/>
      <c r="T79" s="466"/>
      <c r="U79" s="466"/>
      <c r="V79" s="466"/>
      <c r="W79" s="466"/>
    </row>
    <row r="80" s="408" customFormat="1" spans="1:23">
      <c r="A80" s="428"/>
      <c r="B80" s="431"/>
      <c r="C80" s="429"/>
      <c r="D80" s="421"/>
      <c r="E80" s="430"/>
      <c r="F80" s="430"/>
      <c r="G80" s="430"/>
      <c r="H80" s="430"/>
      <c r="I80" s="453"/>
      <c r="J80" s="451"/>
      <c r="K80" s="451"/>
      <c r="L80" s="451"/>
      <c r="M80" s="451"/>
      <c r="N80" s="451"/>
      <c r="O80" s="430"/>
      <c r="P80" s="531"/>
      <c r="Q80" s="429"/>
      <c r="R80" s="435"/>
      <c r="S80" s="473"/>
      <c r="T80" s="466"/>
      <c r="U80" s="466"/>
      <c r="V80" s="421"/>
      <c r="W80" s="421"/>
    </row>
    <row r="81" s="408" customFormat="1" spans="1:23">
      <c r="A81" s="428"/>
      <c r="B81" s="421"/>
      <c r="C81" s="439"/>
      <c r="D81" s="421"/>
      <c r="E81" s="430"/>
      <c r="F81" s="430">
        <v>684895.009433333</v>
      </c>
      <c r="G81" s="430">
        <v>704838.916666666</v>
      </c>
      <c r="H81" s="430">
        <v>764789.250000002</v>
      </c>
      <c r="I81" s="453">
        <f>(F81/G81)-1</f>
        <v>-0.028295695316672</v>
      </c>
      <c r="J81" s="490"/>
      <c r="K81" s="480"/>
      <c r="L81" s="480"/>
      <c r="M81" s="451"/>
      <c r="N81" s="451">
        <f>SUM(N75:N79)</f>
        <v>0</v>
      </c>
      <c r="O81" s="430"/>
      <c r="P81" s="531"/>
      <c r="Q81" s="429"/>
      <c r="R81" s="421"/>
      <c r="S81" s="473"/>
      <c r="T81" s="466"/>
      <c r="U81" s="466"/>
      <c r="V81" s="421"/>
      <c r="W81" s="421"/>
    </row>
    <row r="82" s="408" customFormat="1" spans="1:23">
      <c r="A82" s="428"/>
      <c r="B82" s="421"/>
      <c r="C82" s="439"/>
      <c r="D82" s="421"/>
      <c r="E82" s="430"/>
      <c r="F82" s="430"/>
      <c r="G82" s="430"/>
      <c r="H82" s="430"/>
      <c r="I82" s="453"/>
      <c r="J82" s="430"/>
      <c r="K82" s="430"/>
      <c r="L82" s="430"/>
      <c r="M82" s="451"/>
      <c r="N82" s="459"/>
      <c r="O82" s="430"/>
      <c r="P82" s="531"/>
      <c r="Q82" s="429"/>
      <c r="R82" s="421"/>
      <c r="S82" s="473"/>
      <c r="T82" s="466"/>
      <c r="U82" s="466"/>
      <c r="V82" s="421"/>
      <c r="W82" s="421"/>
    </row>
    <row r="83" s="408" customFormat="1" ht="17.4" spans="1:23">
      <c r="A83" s="418" t="s">
        <v>165</v>
      </c>
      <c r="B83" s="419"/>
      <c r="C83" s="420"/>
      <c r="D83" s="421"/>
      <c r="E83" s="422" t="s">
        <v>202</v>
      </c>
      <c r="F83" s="422"/>
      <c r="G83" s="422"/>
      <c r="H83" s="422"/>
      <c r="I83" s="422"/>
      <c r="J83" s="422"/>
      <c r="K83" s="422"/>
      <c r="L83" s="422"/>
      <c r="M83" s="443"/>
      <c r="N83" s="444"/>
      <c r="O83" s="422"/>
      <c r="P83" s="531"/>
      <c r="Q83" s="465"/>
      <c r="R83" s="424"/>
      <c r="S83" s="473"/>
      <c r="T83" s="467"/>
      <c r="U83" s="467"/>
      <c r="V83" s="467"/>
      <c r="W83" s="467"/>
    </row>
    <row r="84" s="409" customFormat="1" ht="46.8" spans="1:23">
      <c r="A84" s="423" t="s">
        <v>206</v>
      </c>
      <c r="B84" s="424" t="s">
        <v>207</v>
      </c>
      <c r="C84" s="425" t="s">
        <v>208</v>
      </c>
      <c r="D84" s="424" t="s">
        <v>209</v>
      </c>
      <c r="E84" s="426" t="s">
        <v>210</v>
      </c>
      <c r="F84" s="427" t="s">
        <v>443</v>
      </c>
      <c r="G84" s="427" t="s">
        <v>213</v>
      </c>
      <c r="H84" s="427" t="s">
        <v>396</v>
      </c>
      <c r="I84" s="427" t="s">
        <v>386</v>
      </c>
      <c r="J84" s="446" t="s">
        <v>434</v>
      </c>
      <c r="K84" s="446" t="s">
        <v>435</v>
      </c>
      <c r="L84" s="446" t="s">
        <v>444</v>
      </c>
      <c r="M84" s="447" t="s">
        <v>436</v>
      </c>
      <c r="N84" s="448" t="s">
        <v>219</v>
      </c>
      <c r="O84" s="449" t="s">
        <v>220</v>
      </c>
      <c r="P84" s="535" t="s">
        <v>0</v>
      </c>
      <c r="Q84" s="469" t="s">
        <v>222</v>
      </c>
      <c r="R84" s="426" t="s">
        <v>223</v>
      </c>
      <c r="S84" s="470" t="s">
        <v>224</v>
      </c>
      <c r="T84" s="467" t="s">
        <v>225</v>
      </c>
      <c r="U84" s="470" t="s">
        <v>226</v>
      </c>
      <c r="V84" s="467"/>
      <c r="W84" s="467"/>
    </row>
    <row r="85" s="408" customFormat="1" spans="1:23">
      <c r="A85" s="428" t="s">
        <v>230</v>
      </c>
      <c r="B85" s="421" t="s">
        <v>293</v>
      </c>
      <c r="C85" s="429" t="str">
        <f>VLOOKUP(B85,正厂竞争者数据汇总!D:H,2,FALSE)</f>
        <v>Motor目录</v>
      </c>
      <c r="D85" s="421" t="str">
        <f>VLOOKUP(B85,正厂竞争者数据汇总!D:H,3,FALSE)</f>
        <v>WA</v>
      </c>
      <c r="E85" s="430"/>
      <c r="F85" s="430">
        <v>169280.016666667</v>
      </c>
      <c r="G85" s="430"/>
      <c r="H85" s="430"/>
      <c r="I85" s="450"/>
      <c r="J85" s="451">
        <v>0.331737367816057</v>
      </c>
      <c r="K85" s="451">
        <v>0.368371415076681</v>
      </c>
      <c r="L85" s="451">
        <v>0.389615115899931</v>
      </c>
      <c r="M85" s="452"/>
      <c r="N85" s="451"/>
      <c r="O85" s="430"/>
      <c r="P85" s="531">
        <f t="array" ref="P85">INDEX(正厂竞争者数据汇总!I:I,MATCH($A$83&amp;B85,正厂竞争者数据汇总!A:A&amp;正厂竞争者数据汇总!D:D,0))</f>
        <v>0</v>
      </c>
      <c r="Q85" s="429"/>
      <c r="R85" s="421"/>
      <c r="S85" s="472"/>
      <c r="T85" s="466"/>
      <c r="U85" s="466"/>
      <c r="V85" s="466"/>
      <c r="W85" s="466"/>
    </row>
    <row r="86" s="410" customFormat="1" spans="1:23">
      <c r="A86" s="432" t="s">
        <v>227</v>
      </c>
      <c r="B86" s="432" t="s">
        <v>166</v>
      </c>
      <c r="C86" s="505" t="str">
        <f>VLOOKUP(B86,正厂竞争者数据汇总!D:H,2,FALSE)</f>
        <v>原厂目录</v>
      </c>
      <c r="D86" s="435" t="str">
        <f>VLOOKUP(B86,正厂竞争者数据汇总!D:H,3,FALSE)</f>
        <v>AZ</v>
      </c>
      <c r="E86" s="462"/>
      <c r="F86" s="436">
        <v>158917.58</v>
      </c>
      <c r="G86" s="462"/>
      <c r="H86" s="462"/>
      <c r="I86" s="510"/>
      <c r="J86" s="461">
        <v>0.311430142358195</v>
      </c>
      <c r="K86" s="457">
        <v>0.246207197148092</v>
      </c>
      <c r="L86" s="457">
        <v>0.227775632260067</v>
      </c>
      <c r="M86" s="461"/>
      <c r="N86" s="461"/>
      <c r="O86" s="462"/>
      <c r="P86" s="531">
        <f t="array" ref="P86">INDEX(正厂竞争者数据汇总!I:I,MATCH($A$83&amp;B86,正厂竞争者数据汇总!A:A&amp;正厂竞争者数据汇总!D:D,0))</f>
        <v>0</v>
      </c>
      <c r="Q86" s="434"/>
      <c r="R86" s="435"/>
      <c r="S86" s="476"/>
      <c r="T86" s="477"/>
      <c r="U86" s="477"/>
      <c r="V86" s="435"/>
      <c r="W86" s="435"/>
    </row>
    <row r="87" s="408" customFormat="1" spans="1:23">
      <c r="A87" s="428" t="s">
        <v>243</v>
      </c>
      <c r="B87" s="421" t="s">
        <v>298</v>
      </c>
      <c r="C87" s="429" t="str">
        <f>VLOOKUP(B87,正厂竞争者数据汇总!D:H,2,FALSE)</f>
        <v>原厂目录</v>
      </c>
      <c r="D87" s="421" t="str">
        <f>VLOOKUP(B87,正厂竞争者数据汇总!D:H,3,FALSE)</f>
        <v>IL</v>
      </c>
      <c r="E87" s="430"/>
      <c r="F87" s="430">
        <v>48754.325</v>
      </c>
      <c r="G87" s="430"/>
      <c r="H87" s="430"/>
      <c r="I87" s="450"/>
      <c r="J87" s="451">
        <v>0.0955436546122065</v>
      </c>
      <c r="K87" s="451">
        <v>0.092972067597983</v>
      </c>
      <c r="L87" s="451">
        <v>0.104746112313128</v>
      </c>
      <c r="M87" s="452"/>
      <c r="N87" s="451"/>
      <c r="O87" s="430"/>
      <c r="P87" s="531">
        <f t="array" ref="P87">INDEX(正厂竞争者数据汇总!I:I,MATCH($A$83&amp;B87,正厂竞争者数据汇总!A:A&amp;正厂竞争者数据汇总!D:D,0))</f>
        <v>0</v>
      </c>
      <c r="Q87" s="429"/>
      <c r="R87" s="421"/>
      <c r="S87" s="472"/>
      <c r="T87" s="466"/>
      <c r="U87" s="466"/>
      <c r="V87" s="466"/>
      <c r="W87" s="466"/>
    </row>
    <row r="88" s="408" customFormat="1" spans="1:23">
      <c r="A88" s="428" t="s">
        <v>230</v>
      </c>
      <c r="B88" s="421" t="s">
        <v>294</v>
      </c>
      <c r="C88" s="429" t="str">
        <f>VLOOKUP(B88,正厂竞争者数据汇总!D:H,2,FALSE)</f>
        <v>Motor目录</v>
      </c>
      <c r="D88" s="421" t="str">
        <f>VLOOKUP(B88,正厂竞争者数据汇总!D:H,3,FALSE)</f>
        <v>MA</v>
      </c>
      <c r="E88" s="430"/>
      <c r="F88" s="430">
        <v>34375.6633333334</v>
      </c>
      <c r="G88" s="430"/>
      <c r="H88" s="430"/>
      <c r="I88" s="450"/>
      <c r="J88" s="451">
        <v>0.0673658491751346</v>
      </c>
      <c r="K88" s="451">
        <v>0.0717524550214527</v>
      </c>
      <c r="L88" s="451">
        <v>0.0895153098114108</v>
      </c>
      <c r="M88" s="452"/>
      <c r="N88" s="451"/>
      <c r="O88" s="430"/>
      <c r="P88" s="531" t="str">
        <f t="array" ref="P88">INDEX(正厂竞争者数据汇总!I:I,MATCH($A$83&amp;B88,正厂竞争者数据汇总!A:A&amp;正厂竞争者数据汇总!D:D,0))</f>
        <v>2022年1月 新加入 CompetitorSites</v>
      </c>
      <c r="Q88" s="429"/>
      <c r="R88" s="421"/>
      <c r="S88" s="472"/>
      <c r="T88" s="466"/>
      <c r="U88" s="466"/>
      <c r="V88" s="466"/>
      <c r="W88" s="466"/>
    </row>
    <row r="89" s="408" customFormat="1" spans="1:23">
      <c r="A89" s="428" t="s">
        <v>230</v>
      </c>
      <c r="B89" s="421" t="s">
        <v>295</v>
      </c>
      <c r="C89" s="429" t="str">
        <f>VLOOKUP(B89,正厂竞争者数据汇总!D:H,2,FALSE)</f>
        <v>Motor目录</v>
      </c>
      <c r="D89" s="421" t="str">
        <f>VLOOKUP(B89,正厂竞争者数据汇总!D:H,3,FALSE)</f>
        <v>NY</v>
      </c>
      <c r="E89" s="430"/>
      <c r="F89" s="430">
        <v>34180.6483333333</v>
      </c>
      <c r="G89" s="430"/>
      <c r="H89" s="430"/>
      <c r="I89" s="450"/>
      <c r="J89" s="451">
        <v>0.0669836790639864</v>
      </c>
      <c r="K89" s="451">
        <v>0.0797933122270488</v>
      </c>
      <c r="L89" s="451">
        <v>0.0928309618542641</v>
      </c>
      <c r="M89" s="452"/>
      <c r="N89" s="451"/>
      <c r="O89" s="430"/>
      <c r="P89" s="531" t="str">
        <f t="array" ref="P89">INDEX(正厂竞争者数据汇总!I:I,MATCH($A$83&amp;B89,正厂竞争者数据汇总!A:A&amp;正厂竞争者数据汇总!D:D,0))</f>
        <v>2023年4月，流量更新为子站parts.subaruonlineparts.com，子站主营parts，此前监控域名为subaruonlineparts.com,该子域名的实际成单效率较高，流量不能完全反应其竞争力</v>
      </c>
      <c r="Q89" s="429"/>
      <c r="R89" s="421"/>
      <c r="S89" s="472"/>
      <c r="T89" s="466"/>
      <c r="U89" s="466"/>
      <c r="V89" s="466"/>
      <c r="W89" s="466"/>
    </row>
    <row r="90" s="408" customFormat="1" spans="1:23">
      <c r="A90" s="428" t="s">
        <v>230</v>
      </c>
      <c r="B90" s="421" t="s">
        <v>296</v>
      </c>
      <c r="C90" s="429" t="str">
        <f>VLOOKUP(B90,正厂竞争者数据汇总!D:H,2,FALSE)</f>
        <v>Motor目录</v>
      </c>
      <c r="D90" s="421" t="str">
        <f>VLOOKUP(B90,正厂竞争者数据汇总!D:H,3,FALSE)</f>
        <v>NY</v>
      </c>
      <c r="E90" s="430"/>
      <c r="F90" s="430">
        <v>24393.8333333333</v>
      </c>
      <c r="G90" s="430"/>
      <c r="H90" s="430"/>
      <c r="I90" s="450"/>
      <c r="J90" s="451">
        <v>0.0478044970711363</v>
      </c>
      <c r="K90" s="451">
        <v>0.0536939856944293</v>
      </c>
      <c r="L90" s="451"/>
      <c r="M90" s="452"/>
      <c r="N90" s="451"/>
      <c r="O90" s="430"/>
      <c r="P90" s="531" t="str">
        <f t="array" ref="P90">INDEX(正厂竞争者数据汇总!I:I,MATCH($A$83&amp;B90,正厂竞争者数据汇总!A:A&amp;正厂竞争者数据汇总!D:D,0))</f>
        <v>2023年2月新增正厂，Semrush子域名查不到流量。202306因流量上涨加入MS计算基准</v>
      </c>
      <c r="Q90" s="429"/>
      <c r="R90" s="421"/>
      <c r="S90" s="472"/>
      <c r="T90" s="466"/>
      <c r="U90" s="466"/>
      <c r="V90" s="466"/>
      <c r="W90" s="466"/>
    </row>
    <row r="91" s="408" customFormat="1" spans="1:23">
      <c r="A91" s="428" t="s">
        <v>230</v>
      </c>
      <c r="B91" s="421" t="s">
        <v>406</v>
      </c>
      <c r="C91" s="429" t="str">
        <f>VLOOKUP(B91,正厂竞争者数据汇总!D:H,2,FALSE)</f>
        <v>Motor目录</v>
      </c>
      <c r="D91" s="421" t="s">
        <v>60</v>
      </c>
      <c r="E91" s="430"/>
      <c r="F91" s="430">
        <v>24192.5</v>
      </c>
      <c r="G91" s="430"/>
      <c r="H91" s="430"/>
      <c r="I91" s="450"/>
      <c r="J91" s="451">
        <v>0.0474099449475673</v>
      </c>
      <c r="K91" s="451">
        <v>0.0494762501646221</v>
      </c>
      <c r="L91" s="451">
        <v>0.055532789066128</v>
      </c>
      <c r="M91" s="452"/>
      <c r="N91" s="451"/>
      <c r="O91" s="430"/>
      <c r="P91" s="531"/>
      <c r="Q91" s="429"/>
      <c r="R91" s="421"/>
      <c r="S91" s="472"/>
      <c r="T91" s="466"/>
      <c r="U91" s="466"/>
      <c r="V91" s="466"/>
      <c r="W91" s="466"/>
    </row>
    <row r="92" s="408" customFormat="1" spans="1:23">
      <c r="A92" s="428" t="s">
        <v>230</v>
      </c>
      <c r="B92" s="421" t="s">
        <v>440</v>
      </c>
      <c r="C92" s="429" t="str">
        <f>VLOOKUP(B92,正厂竞争者数据汇总!D:H,2,FALSE)</f>
        <v>Motor目录</v>
      </c>
      <c r="D92" s="421" t="str">
        <f>VLOOKUP(B92,正厂竞争者数据汇总!D:H,3,FALSE)</f>
        <v>NC</v>
      </c>
      <c r="E92" s="430"/>
      <c r="F92" s="430">
        <v>16188.6666666667</v>
      </c>
      <c r="G92" s="430"/>
      <c r="H92" s="430"/>
      <c r="I92" s="450"/>
      <c r="J92" s="451">
        <v>0.0317248649557171</v>
      </c>
      <c r="K92" s="451">
        <v>0.0377333170696902</v>
      </c>
      <c r="L92" s="451">
        <v>0.0399840787950716</v>
      </c>
      <c r="M92" s="452"/>
      <c r="N92" s="451"/>
      <c r="O92" s="430"/>
      <c r="P92" s="531" t="str">
        <f t="array" ref="P92">INDEX(正厂竞争者数据汇总!I:I,MATCH($A$83&amp;B92,正厂竞争者数据汇总!A:A&amp;正厂竞争者数据汇总!D:D,0))</f>
        <v>202307，Semrush无法正常获取流量</v>
      </c>
      <c r="Q92" s="429"/>
      <c r="R92" s="421"/>
      <c r="S92" s="472"/>
      <c r="T92" s="466"/>
      <c r="U92" s="466"/>
      <c r="V92" s="466"/>
      <c r="W92" s="466"/>
    </row>
    <row r="93" s="408" customFormat="1" spans="1:23">
      <c r="A93" s="428"/>
      <c r="B93" s="421"/>
      <c r="C93" s="429"/>
      <c r="D93" s="421"/>
      <c r="E93" s="430"/>
      <c r="F93" s="481"/>
      <c r="G93" s="481"/>
      <c r="H93" s="481"/>
      <c r="I93" s="453"/>
      <c r="J93" s="451"/>
      <c r="K93" s="451"/>
      <c r="L93" s="451"/>
      <c r="M93" s="451"/>
      <c r="N93" s="451"/>
      <c r="O93" s="430"/>
      <c r="P93" s="531"/>
      <c r="Q93" s="429"/>
      <c r="R93" s="421"/>
      <c r="S93" s="473"/>
      <c r="T93" s="466"/>
      <c r="U93" s="466"/>
      <c r="V93" s="421"/>
      <c r="W93" s="421"/>
    </row>
    <row r="94" s="408" customFormat="1" spans="1:23">
      <c r="A94" s="428"/>
      <c r="B94" s="421"/>
      <c r="C94" s="439"/>
      <c r="D94" s="421"/>
      <c r="E94" s="421"/>
      <c r="F94" s="481">
        <v>510283.233333334</v>
      </c>
      <c r="G94" s="481">
        <v>427571.166666666</v>
      </c>
      <c r="H94" s="481">
        <v>496054.5</v>
      </c>
      <c r="I94" s="453">
        <f>(F94/G94)-1</f>
        <v>0.193446315174826</v>
      </c>
      <c r="J94" s="430"/>
      <c r="K94" s="430"/>
      <c r="L94" s="430"/>
      <c r="M94" s="451"/>
      <c r="N94" s="451">
        <f>SUM(N85:N87)</f>
        <v>0</v>
      </c>
      <c r="O94" s="430"/>
      <c r="P94" s="531"/>
      <c r="Q94" s="429"/>
      <c r="R94" s="421"/>
      <c r="S94" s="473"/>
      <c r="T94" s="466"/>
      <c r="U94" s="466"/>
      <c r="V94" s="421"/>
      <c r="W94" s="421"/>
    </row>
    <row r="95" s="408" customFormat="1" spans="1:23">
      <c r="A95" s="428"/>
      <c r="B95" s="421"/>
      <c r="C95" s="429"/>
      <c r="D95" s="421"/>
      <c r="E95" s="430"/>
      <c r="F95" s="451"/>
      <c r="G95" s="451"/>
      <c r="H95" s="451"/>
      <c r="I95" s="453"/>
      <c r="J95" s="451"/>
      <c r="K95" s="451"/>
      <c r="L95" s="451"/>
      <c r="M95" s="451"/>
      <c r="N95" s="451"/>
      <c r="O95" s="451"/>
      <c r="P95" s="531"/>
      <c r="Q95" s="429"/>
      <c r="R95" s="421"/>
      <c r="S95" s="473"/>
      <c r="T95" s="466"/>
      <c r="U95" s="466"/>
      <c r="V95" s="421"/>
      <c r="W95" s="421"/>
    </row>
    <row r="96" s="408" customFormat="1" ht="17.4" spans="1:23">
      <c r="A96" s="418" t="s">
        <v>171</v>
      </c>
      <c r="B96" s="419"/>
      <c r="C96" s="420"/>
      <c r="D96" s="421"/>
      <c r="E96" s="422" t="s">
        <v>202</v>
      </c>
      <c r="F96" s="422"/>
      <c r="G96" s="422"/>
      <c r="H96" s="422"/>
      <c r="I96" s="422"/>
      <c r="J96" s="422"/>
      <c r="K96" s="422"/>
      <c r="L96" s="422"/>
      <c r="M96" s="443"/>
      <c r="N96" s="422"/>
      <c r="O96" s="422"/>
      <c r="P96" s="531"/>
      <c r="Q96" s="465"/>
      <c r="R96" s="424"/>
      <c r="S96" s="473"/>
      <c r="T96" s="467"/>
      <c r="U96" s="467"/>
      <c r="V96" s="467"/>
      <c r="W96" s="467"/>
    </row>
    <row r="97" s="409" customFormat="1" ht="46.8" spans="1:23">
      <c r="A97" s="423" t="s">
        <v>206</v>
      </c>
      <c r="B97" s="424" t="s">
        <v>207</v>
      </c>
      <c r="C97" s="425" t="s">
        <v>208</v>
      </c>
      <c r="D97" s="424" t="s">
        <v>209</v>
      </c>
      <c r="E97" s="426" t="s">
        <v>210</v>
      </c>
      <c r="F97" s="427" t="s">
        <v>443</v>
      </c>
      <c r="G97" s="427" t="s">
        <v>213</v>
      </c>
      <c r="H97" s="427" t="s">
        <v>396</v>
      </c>
      <c r="I97" s="427" t="s">
        <v>386</v>
      </c>
      <c r="J97" s="446" t="s">
        <v>434</v>
      </c>
      <c r="K97" s="446" t="s">
        <v>435</v>
      </c>
      <c r="L97" s="446" t="s">
        <v>444</v>
      </c>
      <c r="M97" s="447" t="s">
        <v>436</v>
      </c>
      <c r="N97" s="448" t="s">
        <v>219</v>
      </c>
      <c r="O97" s="449" t="s">
        <v>220</v>
      </c>
      <c r="P97" s="535" t="s">
        <v>0</v>
      </c>
      <c r="Q97" s="469" t="s">
        <v>222</v>
      </c>
      <c r="R97" s="426" t="s">
        <v>223</v>
      </c>
      <c r="S97" s="470" t="s">
        <v>224</v>
      </c>
      <c r="T97" s="467" t="s">
        <v>225</v>
      </c>
      <c r="U97" s="470" t="s">
        <v>226</v>
      </c>
      <c r="V97" s="467"/>
      <c r="W97" s="467"/>
    </row>
    <row r="98" s="408" customFormat="1" spans="1:23">
      <c r="A98" s="428" t="s">
        <v>230</v>
      </c>
      <c r="B98" s="421" t="s">
        <v>310</v>
      </c>
      <c r="C98" s="429" t="str">
        <f>VLOOKUP(B98,正厂竞争者数据汇总!D:H,2,FALSE)</f>
        <v>Motor目录</v>
      </c>
      <c r="D98" s="421" t="str">
        <f>VLOOKUP(B98,正厂竞争者数据汇总!D:H,3,FALSE)</f>
        <v>MD</v>
      </c>
      <c r="E98" s="430"/>
      <c r="F98" s="430">
        <v>108086.658866667</v>
      </c>
      <c r="G98" s="430"/>
      <c r="H98" s="430"/>
      <c r="I98" s="450"/>
      <c r="J98" s="451">
        <v>0.234656128699011</v>
      </c>
      <c r="K98" s="451">
        <v>0.228752000577895</v>
      </c>
      <c r="L98" s="451">
        <v>0.23134044901548</v>
      </c>
      <c r="M98" s="452"/>
      <c r="N98" s="451"/>
      <c r="O98" s="430"/>
      <c r="P98" s="531">
        <f t="array" ref="P98">INDEX(正厂竞争者数据汇总!I:I,MATCH($A$96&amp;B98,正厂竞争者数据汇总!A:A&amp;正厂竞争者数据汇总!D:D,0))</f>
        <v>0</v>
      </c>
      <c r="Q98" s="429"/>
      <c r="R98" s="421"/>
      <c r="S98" s="472"/>
      <c r="T98" s="466"/>
      <c r="U98" s="466"/>
      <c r="V98" s="466"/>
      <c r="W98" s="466"/>
    </row>
    <row r="99" s="410" customFormat="1" spans="1:23">
      <c r="A99" s="432" t="s">
        <v>227</v>
      </c>
      <c r="B99" s="432" t="s">
        <v>172</v>
      </c>
      <c r="C99" s="434" t="str">
        <f>VLOOKUP(B99,正厂竞争者数据汇总!D:H,2,FALSE)</f>
        <v>原厂目录</v>
      </c>
      <c r="D99" s="477" t="str">
        <f>VLOOKUP(B99,正厂竞争者数据汇总!D:H,3,FALSE)</f>
        <v>CA</v>
      </c>
      <c r="E99" s="436">
        <f>VLOOKUP(B99,正厂竞争者数据汇总!D:H,4,FALSE)</f>
        <v>0</v>
      </c>
      <c r="F99" s="436">
        <v>99801.9166666667</v>
      </c>
      <c r="G99" s="436">
        <v>132262.583333333</v>
      </c>
      <c r="H99" s="436">
        <v>137115.416666667</v>
      </c>
      <c r="I99" s="454">
        <f>(F99/G99)-1</f>
        <v>-0.245425923557366</v>
      </c>
      <c r="J99" s="457">
        <v>0.216669953973049</v>
      </c>
      <c r="K99" s="457">
        <v>0.20064004218998</v>
      </c>
      <c r="L99" s="457">
        <v>0.217660428945916</v>
      </c>
      <c r="M99" s="456">
        <f>J99-K99</f>
        <v>0.016029911783069</v>
      </c>
      <c r="N99" s="455"/>
      <c r="O99" s="436"/>
      <c r="P99" s="531">
        <f t="array" ref="P99">INDEX(正厂竞争者数据汇总!I:I,MATCH($A$96&amp;B99,正厂竞争者数据汇总!A:A&amp;正厂竞争者数据汇总!D:D,0))</f>
        <v>0</v>
      </c>
      <c r="Q99" s="491" t="s">
        <v>313</v>
      </c>
      <c r="R99" s="435" t="s">
        <v>180</v>
      </c>
      <c r="S99" s="476"/>
      <c r="T99" s="477"/>
      <c r="U99" s="477"/>
      <c r="V99" s="435"/>
      <c r="W99" s="435"/>
    </row>
    <row r="100" s="408" customFormat="1" spans="1:23">
      <c r="A100" s="428" t="s">
        <v>230</v>
      </c>
      <c r="B100" s="421" t="s">
        <v>311</v>
      </c>
      <c r="C100" s="429" t="str">
        <f>VLOOKUP(B100,正厂竞争者数据汇总!D:H,2,FALSE)</f>
        <v>原厂目录</v>
      </c>
      <c r="D100" s="421" t="str">
        <f>VLOOKUP(B100,正厂竞争者数据汇总!D:H,3,FALSE)</f>
        <v>GA</v>
      </c>
      <c r="E100" s="430"/>
      <c r="F100" s="430">
        <v>93110.25</v>
      </c>
      <c r="G100" s="430"/>
      <c r="H100" s="430"/>
      <c r="I100" s="450"/>
      <c r="J100" s="451">
        <v>0.202142346116456</v>
      </c>
      <c r="K100" s="451">
        <v>0.169313620059247</v>
      </c>
      <c r="L100" s="451">
        <v>0.141438252044653</v>
      </c>
      <c r="M100" s="452"/>
      <c r="N100" s="451"/>
      <c r="O100" s="430"/>
      <c r="P100" s="531">
        <f t="array" ref="P100">INDEX(正厂竞争者数据汇总!I:I,MATCH($A$96&amp;B100,正厂竞争者数据汇总!A:A&amp;正厂竞争者数据汇总!D:D,0))</f>
        <v>0</v>
      </c>
      <c r="Q100" s="429"/>
      <c r="R100" s="421"/>
      <c r="S100" s="472"/>
      <c r="T100" s="466"/>
      <c r="U100" s="466"/>
      <c r="V100" s="466"/>
      <c r="W100" s="466"/>
    </row>
    <row r="101" s="408" customFormat="1" spans="1:23">
      <c r="A101" s="428" t="s">
        <v>243</v>
      </c>
      <c r="B101" s="421" t="s">
        <v>314</v>
      </c>
      <c r="C101" s="429" t="str">
        <f>VLOOKUP(B101,正厂竞争者数据汇总!D:H,2,FALSE)</f>
        <v>原厂目录</v>
      </c>
      <c r="D101" s="421" t="str">
        <f>VLOOKUP(B101,正厂竞争者数据汇总!D:H,3,FALSE)</f>
        <v>WA</v>
      </c>
      <c r="E101" s="430"/>
      <c r="F101" s="430">
        <v>59751.5</v>
      </c>
      <c r="G101" s="430"/>
      <c r="H101" s="430"/>
      <c r="I101" s="450"/>
      <c r="J101" s="451">
        <v>0.129720502243066</v>
      </c>
      <c r="K101" s="451">
        <v>0.137437248699357</v>
      </c>
      <c r="L101" s="451">
        <v>0.148740377249397</v>
      </c>
      <c r="M101" s="452"/>
      <c r="N101" s="451"/>
      <c r="O101" s="430"/>
      <c r="P101" s="531">
        <f t="array" ref="P101">INDEX(正厂竞争者数据汇总!I:I,MATCH($A$96&amp;B101,正厂竞争者数据汇总!A:A&amp;正厂竞争者数据汇总!D:D,0))</f>
        <v>0</v>
      </c>
      <c r="Q101" s="429"/>
      <c r="R101" s="421"/>
      <c r="S101" s="472"/>
      <c r="T101" s="466"/>
      <c r="U101" s="466"/>
      <c r="V101" s="466"/>
      <c r="W101" s="466"/>
    </row>
    <row r="102" s="408" customFormat="1" spans="1:23">
      <c r="A102" s="428" t="s">
        <v>230</v>
      </c>
      <c r="B102" s="421" t="s">
        <v>315</v>
      </c>
      <c r="C102" s="429" t="str">
        <f>VLOOKUP(B102,正厂竞争者数据汇总!D:H,2,FALSE)</f>
        <v>Motor目录</v>
      </c>
      <c r="D102" s="421" t="str">
        <f>VLOOKUP(B102,正厂竞争者数据汇总!D:H,3,FALSE)</f>
        <v>IL</v>
      </c>
      <c r="E102" s="430"/>
      <c r="F102" s="430">
        <v>42317.75</v>
      </c>
      <c r="G102" s="430"/>
      <c r="H102" s="430"/>
      <c r="I102" s="450"/>
      <c r="J102" s="451">
        <v>0.0918718322351155</v>
      </c>
      <c r="K102" s="451">
        <v>0.0886528933902181</v>
      </c>
      <c r="L102" s="451">
        <v>0.100344867699536</v>
      </c>
      <c r="M102" s="452"/>
      <c r="N102" s="451"/>
      <c r="O102" s="430"/>
      <c r="P102" s="531">
        <f t="array" ref="P102">INDEX(正厂竞争者数据汇总!I:I,MATCH($A$96&amp;B102,正厂竞争者数据汇总!A:A&amp;正厂竞争者数据汇总!D:D,0))</f>
        <v>0</v>
      </c>
      <c r="Q102" s="429"/>
      <c r="R102" s="421"/>
      <c r="S102" s="472"/>
      <c r="T102" s="466"/>
      <c r="U102" s="466"/>
      <c r="V102" s="466"/>
      <c r="W102" s="466"/>
    </row>
    <row r="103" s="408" customFormat="1" spans="1:23">
      <c r="A103" s="428" t="s">
        <v>230</v>
      </c>
      <c r="B103" s="421" t="s">
        <v>317</v>
      </c>
      <c r="C103" s="429" t="str">
        <f>VLOOKUP(B103,正厂竞争者数据汇总!D:H,2,FALSE)</f>
        <v>Motor目录</v>
      </c>
      <c r="D103" s="421" t="str">
        <f>VLOOKUP(B103,正厂竞争者数据汇总!D:H,3,FALSE)</f>
        <v>PA</v>
      </c>
      <c r="E103" s="430"/>
      <c r="F103" s="430">
        <v>32626.75</v>
      </c>
      <c r="G103" s="430"/>
      <c r="H103" s="430"/>
      <c r="I103" s="450"/>
      <c r="J103" s="451">
        <v>0.0708326719255408</v>
      </c>
      <c r="K103" s="451">
        <v>0.0653073400350691</v>
      </c>
      <c r="L103" s="451">
        <v>0.0529497189489863</v>
      </c>
      <c r="M103" s="452"/>
      <c r="N103" s="451"/>
      <c r="O103" s="430"/>
      <c r="P103" s="531">
        <f t="array" ref="P103">INDEX(正厂竞争者数据汇总!I:I,MATCH($A$96&amp;B103,正厂竞争者数据汇总!A:A&amp;正厂竞争者数据汇总!D:D,0))</f>
        <v>0</v>
      </c>
      <c r="Q103" s="429"/>
      <c r="R103" s="421"/>
      <c r="S103" s="472"/>
      <c r="T103" s="466"/>
      <c r="U103" s="466"/>
      <c r="V103" s="466"/>
      <c r="W103" s="466"/>
    </row>
    <row r="104" s="408" customFormat="1" spans="1:23">
      <c r="A104" s="428" t="s">
        <v>230</v>
      </c>
      <c r="B104" s="421" t="s">
        <v>393</v>
      </c>
      <c r="C104" s="429" t="s">
        <v>351</v>
      </c>
      <c r="D104" s="421" t="s">
        <v>60</v>
      </c>
      <c r="E104" s="430"/>
      <c r="F104" s="430">
        <v>24922.4166666667</v>
      </c>
      <c r="G104" s="430"/>
      <c r="H104" s="430"/>
      <c r="I104" s="450"/>
      <c r="J104" s="451">
        <v>0.0541065648077615</v>
      </c>
      <c r="K104" s="451">
        <v>0.0508461434748323</v>
      </c>
      <c r="L104" s="451">
        <v>0.0510812412086958</v>
      </c>
      <c r="M104" s="452"/>
      <c r="N104" s="451"/>
      <c r="O104" s="430"/>
      <c r="P104" s="531" t="str">
        <f t="array" ref="P104">INDEX(正厂竞争者数据汇总!I:I,MATCH($A$96&amp;B104,正厂竞争者数据汇总!A:A&amp;正厂竞争者数据汇总!D:D,0))</f>
        <v>2022年1月加入CompetitorSites，202305因流量大于MS5%，加入MS计算基准</v>
      </c>
      <c r="Q104" s="429"/>
      <c r="R104" s="421"/>
      <c r="S104" s="472"/>
      <c r="T104" s="466"/>
      <c r="U104" s="466"/>
      <c r="V104" s="466"/>
      <c r="W104" s="466"/>
    </row>
    <row r="105" s="408" customFormat="1" spans="1:23">
      <c r="A105" s="428" t="s">
        <v>230</v>
      </c>
      <c r="B105" s="421" t="s">
        <v>392</v>
      </c>
      <c r="C105" s="429" t="str">
        <f>VLOOKUP(B105,正厂竞争者数据汇总!D:H,2,FALSE)</f>
        <v>Motor目录</v>
      </c>
      <c r="D105" s="421" t="str">
        <f>VLOOKUP(B105,正厂竞争者数据汇总!D:H,3,FALSE)</f>
        <v>LA</v>
      </c>
      <c r="E105" s="430"/>
      <c r="F105" s="430">
        <v>23840.9166666667</v>
      </c>
      <c r="G105" s="430"/>
      <c r="H105" s="430"/>
      <c r="I105" s="450"/>
      <c r="J105" s="451">
        <v>0.0517586283848119</v>
      </c>
      <c r="K105" s="451">
        <v>0.0590507115734015</v>
      </c>
      <c r="L105" s="451">
        <v>0.056444664887336</v>
      </c>
      <c r="M105" s="452"/>
      <c r="N105" s="451"/>
      <c r="O105" s="430"/>
      <c r="P105" s="531">
        <f t="array" ref="P105">INDEX(正厂竞争者数据汇总!I:I,MATCH($A$96&amp;B105,正厂竞争者数据汇总!A:A&amp;正厂竞争者数据汇总!D:D,0))</f>
        <v>0</v>
      </c>
      <c r="Q105" s="429"/>
      <c r="R105" s="421"/>
      <c r="S105" s="472"/>
      <c r="T105" s="466"/>
      <c r="U105" s="466"/>
      <c r="V105" s="466"/>
      <c r="W105" s="466"/>
    </row>
    <row r="106" s="408" customFormat="1" spans="1:23">
      <c r="A106" s="428"/>
      <c r="B106" s="438"/>
      <c r="C106" s="429"/>
      <c r="D106" s="466"/>
      <c r="E106" s="430"/>
      <c r="F106" s="430"/>
      <c r="G106" s="430"/>
      <c r="H106" s="430"/>
      <c r="I106" s="453"/>
      <c r="J106" s="451"/>
      <c r="K106" s="451"/>
      <c r="L106" s="451"/>
      <c r="M106" s="451"/>
      <c r="N106" s="459"/>
      <c r="O106" s="430"/>
      <c r="P106" s="531"/>
      <c r="Q106" s="492"/>
      <c r="R106" s="421"/>
      <c r="S106" s="473"/>
      <c r="T106" s="466"/>
      <c r="U106" s="466"/>
      <c r="V106" s="421"/>
      <c r="W106" s="421"/>
    </row>
    <row r="107" s="408" customFormat="1" spans="1:23">
      <c r="A107" s="428"/>
      <c r="B107" s="421"/>
      <c r="C107" s="439"/>
      <c r="D107" s="421"/>
      <c r="E107" s="430"/>
      <c r="F107" s="430">
        <v>460617.2422</v>
      </c>
      <c r="G107" s="430">
        <v>451480.499999999</v>
      </c>
      <c r="H107" s="430">
        <v>457440.166666667</v>
      </c>
      <c r="I107" s="453">
        <f>(F107/G107)-1</f>
        <v>0.0202372908686002</v>
      </c>
      <c r="J107" s="430"/>
      <c r="K107" s="430"/>
      <c r="L107" s="430"/>
      <c r="M107" s="451"/>
      <c r="N107" s="451"/>
      <c r="O107" s="430"/>
      <c r="P107" s="531"/>
      <c r="Q107" s="493"/>
      <c r="R107" s="421"/>
      <c r="S107" s="473"/>
      <c r="T107" s="466"/>
      <c r="U107" s="466"/>
      <c r="V107" s="421"/>
      <c r="W107" s="421"/>
    </row>
    <row r="108" s="408" customFormat="1" spans="1:23">
      <c r="A108" s="428"/>
      <c r="B108" s="421"/>
      <c r="C108" s="439"/>
      <c r="D108" s="421"/>
      <c r="E108" s="430"/>
      <c r="F108" s="430"/>
      <c r="G108" s="430"/>
      <c r="H108" s="430"/>
      <c r="I108" s="453"/>
      <c r="J108" s="430"/>
      <c r="K108" s="430"/>
      <c r="L108" s="430"/>
      <c r="M108" s="451"/>
      <c r="N108" s="451"/>
      <c r="O108" s="430"/>
      <c r="P108" s="531"/>
      <c r="Q108" s="493"/>
      <c r="R108" s="421"/>
      <c r="S108" s="473"/>
      <c r="T108" s="466"/>
      <c r="U108" s="466"/>
      <c r="V108" s="421"/>
      <c r="W108" s="421"/>
    </row>
    <row r="109" s="408" customFormat="1" ht="17.4" spans="1:23">
      <c r="A109" s="418" t="s">
        <v>162</v>
      </c>
      <c r="B109" s="419"/>
      <c r="C109" s="420"/>
      <c r="D109" s="421"/>
      <c r="E109" s="422" t="s">
        <v>202</v>
      </c>
      <c r="F109" s="422"/>
      <c r="G109" s="422"/>
      <c r="H109" s="422"/>
      <c r="I109" s="422"/>
      <c r="J109" s="422"/>
      <c r="K109" s="422"/>
      <c r="L109" s="422"/>
      <c r="M109" s="443"/>
      <c r="N109" s="444"/>
      <c r="O109" s="422"/>
      <c r="P109" s="531"/>
      <c r="Q109" s="465"/>
      <c r="R109" s="424"/>
      <c r="S109" s="473"/>
      <c r="T109" s="467"/>
      <c r="U109" s="467"/>
      <c r="V109" s="467"/>
      <c r="W109" s="467"/>
    </row>
    <row r="110" s="409" customFormat="1" ht="46.8" spans="1:23">
      <c r="A110" s="423" t="s">
        <v>206</v>
      </c>
      <c r="B110" s="424" t="s">
        <v>207</v>
      </c>
      <c r="C110" s="425" t="s">
        <v>208</v>
      </c>
      <c r="D110" s="424" t="s">
        <v>209</v>
      </c>
      <c r="E110" s="426" t="s">
        <v>210</v>
      </c>
      <c r="F110" s="427" t="s">
        <v>443</v>
      </c>
      <c r="G110" s="427" t="s">
        <v>213</v>
      </c>
      <c r="H110" s="427" t="s">
        <v>396</v>
      </c>
      <c r="I110" s="427" t="s">
        <v>386</v>
      </c>
      <c r="J110" s="446" t="s">
        <v>434</v>
      </c>
      <c r="K110" s="446" t="s">
        <v>435</v>
      </c>
      <c r="L110" s="446" t="s">
        <v>444</v>
      </c>
      <c r="M110" s="447" t="s">
        <v>436</v>
      </c>
      <c r="N110" s="448" t="s">
        <v>219</v>
      </c>
      <c r="O110" s="449" t="s">
        <v>220</v>
      </c>
      <c r="P110" s="535" t="s">
        <v>0</v>
      </c>
      <c r="Q110" s="469" t="s">
        <v>222</v>
      </c>
      <c r="R110" s="426" t="s">
        <v>223</v>
      </c>
      <c r="S110" s="470" t="s">
        <v>224</v>
      </c>
      <c r="T110" s="467" t="s">
        <v>225</v>
      </c>
      <c r="U110" s="470" t="s">
        <v>226</v>
      </c>
      <c r="V110" s="467"/>
      <c r="W110" s="467"/>
    </row>
    <row r="111" s="410" customFormat="1" ht="17.4" spans="1:23">
      <c r="A111" s="432" t="s">
        <v>227</v>
      </c>
      <c r="B111" s="432" t="s">
        <v>163</v>
      </c>
      <c r="C111" s="434" t="str">
        <f>VLOOKUP(B111,正厂竞争者数据汇总!D:H,2,FALSE)</f>
        <v>原厂目录</v>
      </c>
      <c r="D111" s="435" t="str">
        <f>VLOOKUP(B111,正厂竞争者数据汇总!D:H,3,FALSE)</f>
        <v>CA</v>
      </c>
      <c r="E111" s="436">
        <f>VLOOKUP(B111,正厂竞争者数据汇总!D:H,4,FALSE)</f>
        <v>0</v>
      </c>
      <c r="F111" s="436">
        <v>242528.666666667</v>
      </c>
      <c r="G111" s="436">
        <v>213503.583333333</v>
      </c>
      <c r="H111" s="436">
        <v>235149.083333333</v>
      </c>
      <c r="I111" s="454">
        <f>(F111/G111)-1</f>
        <v>0.135946586376579</v>
      </c>
      <c r="J111" s="457">
        <v>0.413692227726469</v>
      </c>
      <c r="K111" s="457">
        <v>0.392160465993053</v>
      </c>
      <c r="L111" s="457">
        <v>0.404951423772566</v>
      </c>
      <c r="M111" s="456">
        <f>J111-K111</f>
        <v>0.021531761733416</v>
      </c>
      <c r="N111" s="457" t="str">
        <f>IFERROR(O111*0.5/$F$111,"")</f>
        <v/>
      </c>
      <c r="O111" s="436" t="s">
        <v>180</v>
      </c>
      <c r="P111" s="531">
        <f t="array" ref="P111">INDEX(正厂竞争者数据汇总!I:I,MATCH($A$109&amp;B111,正厂竞争者数据汇总!A:A&amp;正厂竞争者数据汇总!D:D,0))</f>
        <v>0</v>
      </c>
      <c r="Q111" s="434" t="s">
        <v>284</v>
      </c>
      <c r="R111" s="435" t="s">
        <v>229</v>
      </c>
      <c r="S111" s="476"/>
      <c r="T111" s="477"/>
      <c r="U111" s="477"/>
      <c r="V111" s="435"/>
      <c r="W111" s="435"/>
    </row>
    <row r="112" s="408" customFormat="1" spans="1:23">
      <c r="A112" s="428" t="s">
        <v>230</v>
      </c>
      <c r="B112" t="s">
        <v>285</v>
      </c>
      <c r="C112" s="429" t="str">
        <f>VLOOKUP(B112,正厂竞争者数据汇总!D:H,2,FALSE)</f>
        <v>Motor目录</v>
      </c>
      <c r="D112" s="421" t="str">
        <f>VLOOKUP(B112,正厂竞争者数据汇总!D:H,3,FALSE)</f>
        <v>AZ</v>
      </c>
      <c r="E112" s="430"/>
      <c r="F112" s="430">
        <v>90596.75</v>
      </c>
      <c r="G112" s="430"/>
      <c r="H112" s="430"/>
      <c r="I112" s="450"/>
      <c r="J112" s="451">
        <v>0.154535015787596</v>
      </c>
      <c r="K112" s="451">
        <v>0.178461424237207</v>
      </c>
      <c r="L112" s="451">
        <v>0.177913676682776</v>
      </c>
      <c r="M112" s="452"/>
      <c r="N112" s="451"/>
      <c r="O112" s="430"/>
      <c r="P112" s="531">
        <f t="array" ref="P112">INDEX(正厂竞争者数据汇总!I:I,MATCH($A$109&amp;B112,正厂竞争者数据汇总!A:A&amp;正厂竞争者数据汇总!D:D,0))</f>
        <v>0</v>
      </c>
      <c r="Q112" s="429"/>
      <c r="R112" s="421"/>
      <c r="S112" s="472"/>
      <c r="T112" s="466"/>
      <c r="U112" s="466"/>
      <c r="V112" s="466"/>
      <c r="W112" s="466"/>
    </row>
    <row r="113" s="408" customFormat="1" spans="1:23">
      <c r="A113" s="428" t="s">
        <v>230</v>
      </c>
      <c r="B113" s="421" t="s">
        <v>255</v>
      </c>
      <c r="C113" s="429" t="str">
        <f>VLOOKUP(B113,正厂竞争者数据汇总!D:H,2,FALSE)</f>
        <v>Motor目录</v>
      </c>
      <c r="D113" s="421" t="str">
        <f>VLOOKUP(B113,正厂竞争者数据汇总!D:H,3,FALSE)</f>
        <v>RI</v>
      </c>
      <c r="E113" s="430"/>
      <c r="F113" s="430">
        <v>46760.045</v>
      </c>
      <c r="G113" s="430"/>
      <c r="H113" s="430"/>
      <c r="I113" s="450"/>
      <c r="J113" s="451">
        <v>0.0797607451956466</v>
      </c>
      <c r="K113" s="451">
        <v>0.0720643841221258</v>
      </c>
      <c r="L113" s="451">
        <v>0.0666125526378126</v>
      </c>
      <c r="M113" s="452"/>
      <c r="N113" s="451"/>
      <c r="O113" s="430"/>
      <c r="P113" s="531" t="str">
        <f t="array" ref="P113">INDEX(正厂竞争者数据汇总!I:I,MATCH($A$109&amp;B113,正厂竞争者数据汇总!A:A&amp;正厂竞争者数据汇总!D:D,0))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113" s="429"/>
      <c r="R113" s="421"/>
      <c r="S113" s="472"/>
      <c r="T113" s="466"/>
      <c r="U113" s="466"/>
      <c r="V113" s="466"/>
      <c r="W113" s="466"/>
    </row>
    <row r="114" s="408" customFormat="1" spans="1:23">
      <c r="A114" s="428" t="s">
        <v>243</v>
      </c>
      <c r="B114" s="421" t="s">
        <v>290</v>
      </c>
      <c r="C114" s="429" t="s">
        <v>233</v>
      </c>
      <c r="D114" s="421" t="s">
        <v>291</v>
      </c>
      <c r="E114" s="430"/>
      <c r="F114" s="430">
        <v>41207.5</v>
      </c>
      <c r="G114" s="430"/>
      <c r="H114" s="430"/>
      <c r="I114" s="450"/>
      <c r="J114" s="451">
        <v>0.0702895154966084</v>
      </c>
      <c r="K114" s="451">
        <v>0.0739403885180843</v>
      </c>
      <c r="L114" s="451">
        <v>0.0655342492157282</v>
      </c>
      <c r="M114" s="452"/>
      <c r="N114" s="451"/>
      <c r="O114" s="430"/>
      <c r="P114" s="531" t="str">
        <f t="array" ref="P114">INDEX(正厂竞争者数据汇总!I:I,MATCH($A$109&amp;B114,正厂竞争者数据汇总!A:A&amp;正厂竞争者数据汇总!D:D,0))</f>
        <v>2023年2月新增正厂</v>
      </c>
      <c r="Q114" s="429"/>
      <c r="R114" s="421"/>
      <c r="S114" s="472"/>
      <c r="T114" s="466"/>
      <c r="U114" s="466"/>
      <c r="V114" s="466"/>
      <c r="W114" s="466"/>
    </row>
    <row r="115" s="408" customFormat="1" spans="1:23">
      <c r="A115" s="428" t="s">
        <v>230</v>
      </c>
      <c r="B115" s="421" t="s">
        <v>286</v>
      </c>
      <c r="C115" s="429" t="str">
        <f>VLOOKUP(B115,正厂竞争者数据汇总!D:H,2,FALSE)</f>
        <v>Motor目录</v>
      </c>
      <c r="D115" s="421" t="str">
        <f>VLOOKUP(B115,正厂竞争者数据汇总!D:H,3,FALSE)</f>
        <v>-</v>
      </c>
      <c r="E115" s="430"/>
      <c r="F115" s="430">
        <v>37132.469</v>
      </c>
      <c r="G115" s="430"/>
      <c r="H115" s="430"/>
      <c r="I115" s="450"/>
      <c r="J115" s="451">
        <v>0.063338548934122</v>
      </c>
      <c r="K115" s="451">
        <v>0.050158612968636</v>
      </c>
      <c r="L115" s="451">
        <v>0.0543263485828882</v>
      </c>
      <c r="M115" s="452"/>
      <c r="N115" s="451"/>
      <c r="O115" s="430"/>
      <c r="P115" s="531" t="str">
        <f t="array" ref="P115">INDEX(正厂竞争者数据汇总!I:I,MATCH($A$109&amp;B115,正厂竞争者数据汇总!A:A&amp;正厂竞争者数据汇总!D:D,0))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15" s="429"/>
      <c r="R115" s="421"/>
      <c r="S115" s="472"/>
      <c r="T115" s="466"/>
      <c r="U115" s="466"/>
      <c r="V115" s="466"/>
      <c r="W115" s="466"/>
    </row>
    <row r="116" s="408" customFormat="1" spans="1:23">
      <c r="A116" s="428" t="s">
        <v>230</v>
      </c>
      <c r="B116" s="421" t="s">
        <v>287</v>
      </c>
      <c r="C116" s="429" t="str">
        <f>VLOOKUP(B116,正厂竞争者数据汇总!D:H,2,FALSE)</f>
        <v>Motor目录</v>
      </c>
      <c r="D116" s="421" t="str">
        <f>VLOOKUP(B116,正厂竞争者数据汇总!D:H,3,FALSE)</f>
        <v>CA</v>
      </c>
      <c r="E116" s="430"/>
      <c r="F116" s="430">
        <v>34010.9166666667</v>
      </c>
      <c r="G116" s="430"/>
      <c r="H116" s="430"/>
      <c r="I116" s="450"/>
      <c r="J116" s="451">
        <v>0.0580139744972524</v>
      </c>
      <c r="K116" s="451">
        <v>0.0583933510029968</v>
      </c>
      <c r="L116" s="451">
        <v>0.056702892929364</v>
      </c>
      <c r="M116" s="452"/>
      <c r="N116" s="451"/>
      <c r="O116" s="430"/>
      <c r="P116" s="531">
        <f t="array" ref="P116">INDEX(正厂竞争者数据汇总!I:I,MATCH($A$109&amp;B116,正厂竞争者数据汇总!A:A&amp;正厂竞争者数据汇总!D:D,0))</f>
        <v>0</v>
      </c>
      <c r="Q116" s="429"/>
      <c r="R116" s="421"/>
      <c r="S116" s="472"/>
      <c r="T116" s="466"/>
      <c r="U116" s="466"/>
      <c r="V116" s="466"/>
      <c r="W116" s="466"/>
    </row>
    <row r="117" s="408" customFormat="1" spans="1:23">
      <c r="A117" s="428" t="s">
        <v>230</v>
      </c>
      <c r="B117" s="421" t="s">
        <v>292</v>
      </c>
      <c r="C117" s="429" t="str">
        <f>VLOOKUP(B117,正厂竞争者数据汇总!D:H,2,FALSE)</f>
        <v>Motor目录</v>
      </c>
      <c r="D117" s="421" t="str">
        <f>VLOOKUP(B117,正厂竞争者数据汇总!D:H,3,FALSE)</f>
        <v>MA</v>
      </c>
      <c r="E117" s="430"/>
      <c r="F117" s="430">
        <v>33878.5991666667</v>
      </c>
      <c r="G117" s="430"/>
      <c r="H117" s="430"/>
      <c r="I117" s="450"/>
      <c r="J117" s="451">
        <v>0.0577882744919931</v>
      </c>
      <c r="K117" s="451">
        <v>0.0608288810205151</v>
      </c>
      <c r="L117" s="451">
        <v>0.0595559900837156</v>
      </c>
      <c r="M117" s="452"/>
      <c r="N117" s="451"/>
      <c r="O117" s="430"/>
      <c r="P117" s="531" t="str">
        <f t="array" ref="P117">INDEX(正厂竞争者数据汇总!I:I,MATCH($A$109&amp;B117,正厂竞争者数据汇总!A:A&amp;正厂竞争者数据汇总!D:D,0))</f>
        <v>同时经营多品牌，流量折算比例为Ford:23%,GM:23%,Infiniti:0%,Kia:13%,Mopar:31%,Nissan:10%</v>
      </c>
      <c r="Q117" s="429"/>
      <c r="R117" s="421"/>
      <c r="S117" s="472"/>
      <c r="T117" s="466"/>
      <c r="U117" s="466"/>
      <c r="V117" s="466"/>
      <c r="W117" s="466"/>
    </row>
    <row r="118" s="408" customFormat="1" spans="1:23">
      <c r="A118" s="428" t="s">
        <v>230</v>
      </c>
      <c r="B118" s="421" t="s">
        <v>288</v>
      </c>
      <c r="C118" s="429" t="str">
        <f>VLOOKUP(B118,正厂竞争者数据汇总!D:H,2,FALSE)</f>
        <v>原厂目录</v>
      </c>
      <c r="D118" s="421" t="str">
        <f>VLOOKUP(B118,正厂竞争者数据汇总!D:H,3,FALSE)</f>
        <v>CT</v>
      </c>
      <c r="E118" s="430"/>
      <c r="F118" s="430">
        <v>33221.9166666667</v>
      </c>
      <c r="G118" s="430"/>
      <c r="H118" s="430"/>
      <c r="I118" s="450"/>
      <c r="J118" s="451">
        <v>0.0566681411483032</v>
      </c>
      <c r="K118" s="451">
        <v>0.0561270722617686</v>
      </c>
      <c r="L118" s="451">
        <v>0.0549733394650282</v>
      </c>
      <c r="M118" s="452"/>
      <c r="N118" s="451"/>
      <c r="O118" s="430"/>
      <c r="P118" s="531" t="str">
        <f t="array" ref="P118">INDEX(正厂竞争者数据汇总!I:I,MATCH($A$109&amp;B118,正厂竞争者数据汇总!A:A&amp;正厂竞争者数据汇总!D:D,0))</f>
        <v>2022年1月 新加入 CompetitorSites
2022年1月 新加入 MarketingShare</v>
      </c>
      <c r="Q118" s="429"/>
      <c r="R118" s="421"/>
      <c r="S118" s="472"/>
      <c r="T118" s="466"/>
      <c r="U118" s="466"/>
      <c r="V118" s="466"/>
      <c r="W118" s="466"/>
    </row>
    <row r="119" s="408" customFormat="1" spans="1:23">
      <c r="A119" s="428" t="s">
        <v>230</v>
      </c>
      <c r="B119" s="421" t="s">
        <v>289</v>
      </c>
      <c r="C119" s="429" t="str">
        <f>VLOOKUP(B119,正厂竞争者数据汇总!D:H,2,FALSE)</f>
        <v>Motor目录</v>
      </c>
      <c r="D119" s="421" t="str">
        <f>VLOOKUP(B119,正厂竞争者数据汇总!D:H,3,FALSE)</f>
        <v>WA</v>
      </c>
      <c r="E119" s="430"/>
      <c r="F119" s="430">
        <v>26917</v>
      </c>
      <c r="G119" s="430"/>
      <c r="H119" s="430"/>
      <c r="I119" s="450"/>
      <c r="J119" s="451">
        <v>0.0459135567220096</v>
      </c>
      <c r="K119" s="451">
        <v>0.0406727562144767</v>
      </c>
      <c r="L119" s="451">
        <v>0.0416817061603975</v>
      </c>
      <c r="M119" s="452"/>
      <c r="N119" s="451"/>
      <c r="O119" s="430"/>
      <c r="P119" s="531" t="str">
        <f t="array" ref="P119">INDEX(正厂竞争者数据汇总!I:I,MATCH($A$109&amp;B119,正厂竞争者数据汇总!A:A&amp;正厂竞争者数据汇总!D:D,0))</f>
        <v>2021年11月重开
2021年10月临时关站
2020年10月从PartSites变成Revolution，加入MarketingShare</v>
      </c>
      <c r="Q119" s="429"/>
      <c r="R119" s="421"/>
      <c r="S119" s="472"/>
      <c r="T119" s="466"/>
      <c r="U119" s="466"/>
      <c r="V119" s="466"/>
      <c r="W119" s="466"/>
    </row>
    <row r="120" s="408" customFormat="1" spans="1:23">
      <c r="A120" s="428"/>
      <c r="B120" s="421"/>
      <c r="C120" s="439"/>
      <c r="D120" s="421"/>
      <c r="E120" s="421"/>
      <c r="F120" s="430"/>
      <c r="G120" s="430"/>
      <c r="H120" s="430"/>
      <c r="I120" s="453"/>
      <c r="J120" s="430"/>
      <c r="K120" s="430"/>
      <c r="L120" s="430"/>
      <c r="M120" s="451"/>
      <c r="N120" s="451"/>
      <c r="O120" s="430"/>
      <c r="P120" s="531"/>
      <c r="Q120" s="429"/>
      <c r="R120" s="421"/>
      <c r="S120" s="473"/>
      <c r="T120" s="466"/>
      <c r="U120" s="466"/>
      <c r="V120" s="421"/>
      <c r="W120" s="421"/>
    </row>
    <row r="121" s="408" customFormat="1" spans="1:23">
      <c r="A121" s="428"/>
      <c r="B121" s="421"/>
      <c r="C121" s="439"/>
      <c r="D121" s="421"/>
      <c r="E121" s="421"/>
      <c r="F121" s="430">
        <v>586253.863166667</v>
      </c>
      <c r="G121" s="430">
        <v>445410.310833333</v>
      </c>
      <c r="H121" s="430">
        <v>428652.916666666</v>
      </c>
      <c r="I121" s="453">
        <f>(F121/G121)-1</f>
        <v>0.316210803629187</v>
      </c>
      <c r="J121" s="430"/>
      <c r="K121" s="430"/>
      <c r="L121" s="430"/>
      <c r="M121" s="451"/>
      <c r="N121" s="451">
        <f>SUM(N111:N112)</f>
        <v>0</v>
      </c>
      <c r="O121" s="430"/>
      <c r="P121" s="531"/>
      <c r="Q121" s="429"/>
      <c r="R121" s="421"/>
      <c r="S121" s="473"/>
      <c r="T121" s="466"/>
      <c r="U121" s="466"/>
      <c r="V121" s="421"/>
      <c r="W121" s="421"/>
    </row>
    <row r="122" s="408" customFormat="1" spans="1:23">
      <c r="A122" s="428"/>
      <c r="B122" s="421"/>
      <c r="C122" s="485"/>
      <c r="D122" s="421"/>
      <c r="E122" s="430"/>
      <c r="F122" s="451"/>
      <c r="G122" s="451"/>
      <c r="H122" s="451"/>
      <c r="I122" s="453"/>
      <c r="J122" s="451"/>
      <c r="K122" s="451"/>
      <c r="L122" s="451"/>
      <c r="M122" s="451"/>
      <c r="N122" s="451"/>
      <c r="O122" s="451"/>
      <c r="P122" s="531"/>
      <c r="Q122" s="429"/>
      <c r="R122" s="421"/>
      <c r="S122" s="473"/>
      <c r="T122" s="466"/>
      <c r="U122" s="466"/>
      <c r="V122" s="421"/>
      <c r="W122" s="421"/>
    </row>
    <row r="123" s="408" customFormat="1" ht="17.4" spans="1:23">
      <c r="A123" s="418" t="s">
        <v>174</v>
      </c>
      <c r="B123" s="419"/>
      <c r="C123" s="420"/>
      <c r="D123" s="421"/>
      <c r="E123" s="422" t="s">
        <v>202</v>
      </c>
      <c r="F123" s="422"/>
      <c r="G123" s="422"/>
      <c r="H123" s="422"/>
      <c r="I123" s="422"/>
      <c r="J123" s="422"/>
      <c r="K123" s="422"/>
      <c r="L123" s="422"/>
      <c r="M123" s="443"/>
      <c r="N123" s="444"/>
      <c r="O123" s="422"/>
      <c r="P123" s="531"/>
      <c r="Q123" s="465"/>
      <c r="R123" s="424"/>
      <c r="S123" s="473"/>
      <c r="T123" s="467"/>
      <c r="U123" s="467"/>
      <c r="V123" s="467"/>
      <c r="W123" s="467"/>
    </row>
    <row r="124" s="409" customFormat="1" ht="46.8" spans="1:23">
      <c r="A124" s="423" t="s">
        <v>206</v>
      </c>
      <c r="B124" s="424" t="s">
        <v>207</v>
      </c>
      <c r="C124" s="425" t="s">
        <v>208</v>
      </c>
      <c r="D124" s="424" t="s">
        <v>209</v>
      </c>
      <c r="E124" s="426" t="s">
        <v>210</v>
      </c>
      <c r="F124" s="427" t="s">
        <v>443</v>
      </c>
      <c r="G124" s="427" t="s">
        <v>213</v>
      </c>
      <c r="H124" s="427" t="s">
        <v>396</v>
      </c>
      <c r="I124" s="427" t="s">
        <v>386</v>
      </c>
      <c r="J124" s="446" t="s">
        <v>434</v>
      </c>
      <c r="K124" s="446" t="s">
        <v>435</v>
      </c>
      <c r="L124" s="446" t="s">
        <v>444</v>
      </c>
      <c r="M124" s="447" t="s">
        <v>436</v>
      </c>
      <c r="N124" s="448" t="s">
        <v>219</v>
      </c>
      <c r="O124" s="449" t="s">
        <v>220</v>
      </c>
      <c r="P124" s="535" t="s">
        <v>0</v>
      </c>
      <c r="Q124" s="469" t="s">
        <v>222</v>
      </c>
      <c r="R124" s="426" t="s">
        <v>223</v>
      </c>
      <c r="S124" s="470" t="s">
        <v>224</v>
      </c>
      <c r="T124" s="467" t="s">
        <v>225</v>
      </c>
      <c r="U124" s="470" t="s">
        <v>226</v>
      </c>
      <c r="V124" s="467"/>
      <c r="W124" s="467"/>
    </row>
    <row r="125" s="410" customFormat="1" ht="17.4" spans="1:23">
      <c r="A125" s="435" t="s">
        <v>227</v>
      </c>
      <c r="B125" s="435" t="s">
        <v>175</v>
      </c>
      <c r="C125" s="435" t="str">
        <f>VLOOKUP(B125,正厂竞争者数据汇总!D:H,2,FALSE)</f>
        <v>原厂目录</v>
      </c>
      <c r="D125" s="435" t="str">
        <f>VLOOKUP(B125,正厂竞争者数据汇总!D:H,3,FALSE)</f>
        <v>CA</v>
      </c>
      <c r="E125" s="436">
        <f>VLOOKUP(B125,正厂竞争者数据汇总!D:H,4,FALSE)</f>
        <v>325311</v>
      </c>
      <c r="F125" s="436">
        <v>241057.833333333</v>
      </c>
      <c r="G125" s="436">
        <f t="array" ref="G125">INDEX(正厂竞争者数据汇总!$H$2:$H$448,MATCH($A$123&amp;$B125,正厂竞争者数据汇总!$A$2:$A$448&amp;正厂竞争者数据汇总!$D$2:$D$448,0))</f>
        <v>209547.25</v>
      </c>
      <c r="H125" s="436">
        <f t="array" ref="H125">INDEX(正厂竞争者数据汇总!$H$2:$H$448,MATCH($A$123&amp;$B125,正厂竞争者数据汇总!$A$2:$A$448&amp;正厂竞争者数据汇总!$D$2:$D$448,0))</f>
        <v>209547.25</v>
      </c>
      <c r="I125" s="436">
        <f t="array" ref="I125">INDEX(正厂竞争者数据汇总!$H$2:$H$448,MATCH($A$123&amp;$B125,正厂竞争者数据汇总!$A$2:$A$448&amp;正厂竞争者数据汇总!$D$2:$D$448,0))</f>
        <v>209547.25</v>
      </c>
      <c r="J125" s="457">
        <v>0.427185743931387</v>
      </c>
      <c r="K125" s="457">
        <v>0.431796981188069</v>
      </c>
      <c r="L125" s="457">
        <v>0.441663039372345</v>
      </c>
      <c r="M125" s="456">
        <f>J125-K125</f>
        <v>-0.004611237256682</v>
      </c>
      <c r="N125" s="457" t="str">
        <f>IFERROR(O125*0.5/$F$125,"")</f>
        <v/>
      </c>
      <c r="O125" s="436" t="s">
        <v>180</v>
      </c>
      <c r="P125" s="531">
        <f t="array" ref="P125">INDEX(正厂竞争者数据汇总!I:I,MATCH($A$123&amp;B125,正厂竞争者数据汇总!A:A&amp;正厂竞争者数据汇总!D:D,0))</f>
        <v>0</v>
      </c>
      <c r="Q125" s="434" t="s">
        <v>318</v>
      </c>
      <c r="R125" s="435" t="s">
        <v>229</v>
      </c>
      <c r="S125" s="476"/>
      <c r="T125" s="477"/>
      <c r="U125" s="477"/>
      <c r="V125" s="435"/>
      <c r="W125" s="435"/>
    </row>
    <row r="126" s="408" customFormat="1" spans="1:23">
      <c r="A126" s="428" t="s">
        <v>230</v>
      </c>
      <c r="B126" s="421" t="s">
        <v>320</v>
      </c>
      <c r="C126" s="429" t="str">
        <f>VLOOKUP(B126,正厂竞争者数据汇总!D:H,2,FALSE)</f>
        <v>原厂目录</v>
      </c>
      <c r="D126" s="421" t="str">
        <f>VLOOKUP(B126,正厂竞争者数据汇总!D:H,3,FALSE)</f>
        <v>AZ</v>
      </c>
      <c r="E126" s="430"/>
      <c r="F126" s="430">
        <v>105836.75</v>
      </c>
      <c r="G126" s="430"/>
      <c r="H126" s="430"/>
      <c r="I126" s="450"/>
      <c r="J126" s="451">
        <v>0.187556447176356</v>
      </c>
      <c r="K126" s="451">
        <v>0.169535395242295</v>
      </c>
      <c r="L126" s="451">
        <v>0.148078788115558</v>
      </c>
      <c r="M126" s="452"/>
      <c r="N126" s="451"/>
      <c r="O126" s="430"/>
      <c r="P126" s="531">
        <f t="array" ref="P126">INDEX(正厂竞争者数据汇总!I:I,MATCH($A$123&amp;B126,正厂竞争者数据汇总!A:A&amp;正厂竞争者数据汇总!D:D,0))</f>
        <v>0</v>
      </c>
      <c r="Q126" s="429"/>
      <c r="R126" s="421"/>
      <c r="S126" s="472"/>
      <c r="T126" s="466"/>
      <c r="U126" s="466"/>
      <c r="V126" s="466"/>
      <c r="W126" s="466"/>
    </row>
    <row r="127" s="408" customFormat="1" spans="1:23">
      <c r="A127" s="428" t="s">
        <v>230</v>
      </c>
      <c r="B127" s="421" t="s">
        <v>319</v>
      </c>
      <c r="C127" s="429" t="str">
        <f>VLOOKUP(B127,正厂竞争者数据汇总!D:H,2,FALSE)</f>
        <v>Motor目录</v>
      </c>
      <c r="D127" s="421" t="str">
        <f>VLOOKUP(B127,正厂竞争者数据汇总!D:H,3,FALSE)</f>
        <v>-</v>
      </c>
      <c r="E127" s="430"/>
      <c r="F127" s="430">
        <v>75896.1979166667</v>
      </c>
      <c r="G127" s="430"/>
      <c r="H127" s="430"/>
      <c r="I127" s="450"/>
      <c r="J127" s="451">
        <v>0.134497905835578</v>
      </c>
      <c r="K127" s="451">
        <v>0.150578726704467</v>
      </c>
      <c r="L127" s="451">
        <v>0.151374181958006</v>
      </c>
      <c r="M127" s="452"/>
      <c r="N127" s="451"/>
      <c r="O127" s="430"/>
      <c r="P127" s="531" t="str">
        <f t="array" ref="P127">INDEX(正厂竞争者数据汇总!I:I,MATCH($A$123&amp;B127,正厂竞争者数据汇总!A:A&amp;正厂竞争者数据汇总!D:D,0))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27" s="429"/>
      <c r="R127" s="421"/>
      <c r="S127" s="472"/>
      <c r="T127" s="466"/>
      <c r="U127" s="466"/>
      <c r="V127" s="466"/>
      <c r="W127" s="466"/>
    </row>
    <row r="128" s="408" customFormat="1" spans="1:23">
      <c r="A128" s="428" t="s">
        <v>230</v>
      </c>
      <c r="B128" s="421" t="s">
        <v>323</v>
      </c>
      <c r="C128" s="429" t="str">
        <f>VLOOKUP(B128,正厂竞争者数据汇总!D:H,2,FALSE)</f>
        <v>原厂目录</v>
      </c>
      <c r="D128" s="421" t="str">
        <f>VLOOKUP(B128,正厂竞争者数据汇总!D:H,3,FALSE)</f>
        <v>NJ</v>
      </c>
      <c r="E128" s="430"/>
      <c r="F128" s="430">
        <v>49488.0833333333</v>
      </c>
      <c r="G128" s="430"/>
      <c r="H128" s="430"/>
      <c r="I128" s="450"/>
      <c r="J128" s="451">
        <v>0.087699301873569</v>
      </c>
      <c r="K128" s="451">
        <v>0.078562085697388</v>
      </c>
      <c r="L128" s="451">
        <v>0.0789828706672042</v>
      </c>
      <c r="M128" s="452"/>
      <c r="N128" s="451"/>
      <c r="O128" s="430"/>
      <c r="P128" s="531" t="str">
        <f t="array" ref="P128">INDEX(正厂竞争者数据汇总!I:I,MATCH($A$123&amp;B128,正厂竞争者数据汇总!A:A&amp;正厂竞争者数据汇总!D:D,0))</f>
        <v>2022年1月 新加入 CompetitorSites
2022年1月 新加入 MarketingShare</v>
      </c>
      <c r="Q128" s="429"/>
      <c r="R128" s="421"/>
      <c r="S128" s="472"/>
      <c r="T128" s="466"/>
      <c r="U128" s="466"/>
      <c r="V128" s="466"/>
      <c r="W128" s="466"/>
    </row>
    <row r="129" s="408" customFormat="1" spans="1:23">
      <c r="A129" s="428" t="s">
        <v>230</v>
      </c>
      <c r="B129" s="421" t="s">
        <v>321</v>
      </c>
      <c r="C129" s="429" t="str">
        <f>VLOOKUP(B129,正厂竞争者数据汇总!D:H,2,FALSE)</f>
        <v>原厂目录</v>
      </c>
      <c r="D129" s="421" t="str">
        <f>VLOOKUP(B129,正厂竞争者数据汇总!D:H,3,FALSE)</f>
        <v>CO</v>
      </c>
      <c r="E129" s="430"/>
      <c r="F129" s="430">
        <v>46404.2708333333</v>
      </c>
      <c r="G129" s="430"/>
      <c r="H129" s="430"/>
      <c r="I129" s="450"/>
      <c r="J129" s="451">
        <v>0.082234386177858</v>
      </c>
      <c r="K129" s="451">
        <v>0.0693760760724627</v>
      </c>
      <c r="L129" s="451">
        <v>0.0739055888087126</v>
      </c>
      <c r="M129" s="452"/>
      <c r="N129" s="451"/>
      <c r="O129" s="430"/>
      <c r="P129" s="531" t="str">
        <f t="array" ref="P129">INDEX(正厂竞争者数据汇总!I:I,MATCH($A$123&amp;B129,正厂竞争者数据汇总!A:A&amp;正厂竞争者数据汇总!D:D,0))</f>
        <v>同时经营honda/acura，折算比例：acura75%，honda25%</v>
      </c>
      <c r="Q129" s="429"/>
      <c r="R129" s="421"/>
      <c r="S129" s="472"/>
      <c r="T129" s="466"/>
      <c r="U129" s="466"/>
      <c r="V129" s="466"/>
      <c r="W129" s="466"/>
    </row>
    <row r="130" s="408" customFormat="1" spans="1:23">
      <c r="A130" s="428" t="s">
        <v>238</v>
      </c>
      <c r="B130" s="421" t="s">
        <v>322</v>
      </c>
      <c r="C130" s="429" t="str">
        <f>VLOOKUP(B130,正厂竞争者数据汇总!D:H,2,FALSE)</f>
        <v>原厂目录</v>
      </c>
      <c r="D130" s="421" t="str">
        <f>VLOOKUP(B130,正厂竞争者数据汇总!D:H,3,FALSE)</f>
        <v>MA</v>
      </c>
      <c r="E130" s="430"/>
      <c r="F130" s="430">
        <v>27920.9166666666</v>
      </c>
      <c r="G130" s="430"/>
      <c r="H130" s="430"/>
      <c r="I130" s="450"/>
      <c r="J130" s="451">
        <v>0.0494794854519541</v>
      </c>
      <c r="K130" s="451">
        <v>0.0706501272543582</v>
      </c>
      <c r="L130" s="451">
        <v>0.0738792114627659</v>
      </c>
      <c r="M130" s="452"/>
      <c r="N130" s="451"/>
      <c r="O130" s="430"/>
      <c r="P130" s="531">
        <f t="array" ref="P130">INDEX(正厂竞争者数据汇总!I:I,MATCH($A$123&amp;B130,正厂竞争者数据汇总!A:A&amp;正厂竞争者数据汇总!D:D,0))</f>
        <v>0</v>
      </c>
      <c r="Q130" s="429"/>
      <c r="R130" s="421"/>
      <c r="S130" s="472"/>
      <c r="T130" s="466"/>
      <c r="U130" s="466"/>
      <c r="V130" s="466"/>
      <c r="W130" s="466"/>
    </row>
    <row r="131" s="408" customFormat="1" spans="1:23">
      <c r="A131" s="428" t="s">
        <v>230</v>
      </c>
      <c r="B131" s="421" t="s">
        <v>439</v>
      </c>
      <c r="C131" s="429" t="str">
        <f>VLOOKUP(B131,正厂竞争者数据汇总!D:H,2,FALSE)</f>
        <v>原厂目录</v>
      </c>
      <c r="D131" s="421" t="str">
        <f>VLOOKUP(B131,正厂竞争者数据汇总!D:H,3,FALSE)</f>
        <v>IN</v>
      </c>
      <c r="E131" s="430"/>
      <c r="F131" s="430">
        <v>17688.7333333333</v>
      </c>
      <c r="G131" s="430"/>
      <c r="H131" s="430"/>
      <c r="I131" s="450"/>
      <c r="J131" s="451">
        <v>0.0313467295532977</v>
      </c>
      <c r="K131" s="451">
        <v>0.0295006078409602</v>
      </c>
      <c r="L131" s="451">
        <v>0.0321163196154083</v>
      </c>
      <c r="M131" s="452"/>
      <c r="N131" s="451"/>
      <c r="O131" s="430"/>
      <c r="P131" s="531" t="str">
        <f t="array" ref="P131">INDEX(正厂竞争者数据汇总!I:I,MATCH($A$123&amp;B131,正厂竞争者数据汇总!A:A&amp;正厂竞争者数据汇总!D:D,0))</f>
        <v>同时经营honda/acura，折算比例：acura:80%,honda:20%</v>
      </c>
      <c r="Q131" s="429"/>
      <c r="R131" s="421"/>
      <c r="S131" s="472"/>
      <c r="T131" s="466"/>
      <c r="U131" s="466"/>
      <c r="V131" s="466"/>
      <c r="W131" s="466"/>
    </row>
    <row r="132" s="408" customFormat="1" spans="1:23">
      <c r="A132" s="428"/>
      <c r="B132" s="438"/>
      <c r="C132" s="429"/>
      <c r="D132" s="421"/>
      <c r="E132" s="430"/>
      <c r="F132" s="486"/>
      <c r="G132" s="486">
        <v>409170.916666667</v>
      </c>
      <c r="H132" s="486"/>
      <c r="I132" s="453"/>
      <c r="J132" s="451"/>
      <c r="K132" s="430"/>
      <c r="L132" s="430"/>
      <c r="M132" s="451"/>
      <c r="N132" s="451"/>
      <c r="O132" s="430"/>
      <c r="P132" s="531"/>
      <c r="Q132" s="429"/>
      <c r="R132" s="421"/>
      <c r="S132" s="473"/>
      <c r="T132" s="466"/>
      <c r="U132" s="466"/>
      <c r="V132" s="421"/>
      <c r="W132" s="421"/>
    </row>
    <row r="133" s="408" customFormat="1" spans="1:23">
      <c r="A133" s="428"/>
      <c r="B133" s="421"/>
      <c r="C133" s="439"/>
      <c r="D133" s="421"/>
      <c r="E133" s="421"/>
      <c r="F133" s="430">
        <v>564292.785416666</v>
      </c>
      <c r="G133" s="430"/>
      <c r="H133" s="430">
        <v>444921.666666667</v>
      </c>
      <c r="I133" s="453" t="e">
        <f>(F133/G133)-1</f>
        <v>#DIV/0!</v>
      </c>
      <c r="J133" s="430"/>
      <c r="K133" s="430"/>
      <c r="L133" s="430"/>
      <c r="M133" s="451"/>
      <c r="N133" s="451">
        <f>SUM(N125:N132)</f>
        <v>0</v>
      </c>
      <c r="O133" s="430"/>
      <c r="P133" s="531"/>
      <c r="Q133" s="429" t="s">
        <v>180</v>
      </c>
      <c r="R133" s="421" t="s">
        <v>180</v>
      </c>
      <c r="S133" s="473"/>
      <c r="T133" s="466"/>
      <c r="U133" s="466"/>
      <c r="V133" s="421"/>
      <c r="W133" s="421"/>
    </row>
    <row r="134" s="408" customFormat="1" spans="1:23">
      <c r="A134" s="428"/>
      <c r="B134" s="421"/>
      <c r="C134" s="439"/>
      <c r="D134" s="421"/>
      <c r="E134" s="430"/>
      <c r="F134" s="430"/>
      <c r="G134" s="430"/>
      <c r="H134" s="430"/>
      <c r="I134" s="453"/>
      <c r="J134" s="430"/>
      <c r="K134" s="430"/>
      <c r="L134" s="430"/>
      <c r="M134" s="451"/>
      <c r="N134" s="459"/>
      <c r="O134" s="430"/>
      <c r="P134" s="531"/>
      <c r="Q134" s="429"/>
      <c r="R134" s="421" t="s">
        <v>180</v>
      </c>
      <c r="S134" s="473"/>
      <c r="T134" s="466"/>
      <c r="U134" s="466"/>
      <c r="V134" s="421"/>
      <c r="W134" s="421"/>
    </row>
    <row r="135" s="408" customFormat="1" ht="17.4" spans="1:23">
      <c r="A135" s="418" t="s">
        <v>168</v>
      </c>
      <c r="B135" s="487"/>
      <c r="C135" s="420"/>
      <c r="D135" s="421"/>
      <c r="E135" s="422" t="s">
        <v>202</v>
      </c>
      <c r="F135" s="422"/>
      <c r="G135" s="422" t="s">
        <v>213</v>
      </c>
      <c r="H135" s="422"/>
      <c r="I135" s="422"/>
      <c r="J135" s="422"/>
      <c r="K135" s="422"/>
      <c r="L135" s="422"/>
      <c r="M135" s="443"/>
      <c r="N135" s="444"/>
      <c r="O135" s="422"/>
      <c r="P135" s="531"/>
      <c r="Q135" s="465"/>
      <c r="R135" s="424"/>
      <c r="S135" s="473"/>
      <c r="T135" s="467"/>
      <c r="U135" s="467"/>
      <c r="V135" s="467"/>
      <c r="W135" s="467"/>
    </row>
    <row r="136" s="409" customFormat="1" ht="46.8" spans="1:23">
      <c r="A136" s="423" t="s">
        <v>206</v>
      </c>
      <c r="B136" s="424" t="s">
        <v>207</v>
      </c>
      <c r="C136" s="425" t="s">
        <v>208</v>
      </c>
      <c r="D136" s="424" t="s">
        <v>209</v>
      </c>
      <c r="E136" s="426" t="s">
        <v>210</v>
      </c>
      <c r="F136" s="427" t="s">
        <v>443</v>
      </c>
      <c r="G136" s="427">
        <v>197584.75</v>
      </c>
      <c r="H136" s="427" t="s">
        <v>396</v>
      </c>
      <c r="I136" s="427" t="s">
        <v>386</v>
      </c>
      <c r="J136" s="446" t="s">
        <v>434</v>
      </c>
      <c r="K136" s="446" t="s">
        <v>435</v>
      </c>
      <c r="L136" s="446" t="s">
        <v>444</v>
      </c>
      <c r="M136" s="447" t="s">
        <v>436</v>
      </c>
      <c r="N136" s="448" t="s">
        <v>219</v>
      </c>
      <c r="O136" s="449" t="s">
        <v>220</v>
      </c>
      <c r="P136" s="535" t="s">
        <v>0</v>
      </c>
      <c r="Q136" s="469" t="s">
        <v>222</v>
      </c>
      <c r="R136" s="426" t="s">
        <v>223</v>
      </c>
      <c r="S136" s="470" t="s">
        <v>224</v>
      </c>
      <c r="T136" s="467" t="s">
        <v>225</v>
      </c>
      <c r="U136" s="470" t="s">
        <v>226</v>
      </c>
      <c r="V136" s="467"/>
      <c r="W136" s="467"/>
    </row>
    <row r="137" s="410" customFormat="1" ht="17.4" spans="1:23">
      <c r="A137" s="432" t="s">
        <v>227</v>
      </c>
      <c r="B137" s="432" t="s">
        <v>169</v>
      </c>
      <c r="C137" s="434" t="str">
        <f>VLOOKUP(B137,正厂竞争者数据汇总!D:H,2,FALSE)</f>
        <v>原厂目录</v>
      </c>
      <c r="D137" s="435" t="str">
        <f>VLOOKUP(B137,正厂竞争者数据汇总!D:H,3,FALSE)</f>
        <v>CA</v>
      </c>
      <c r="E137" s="436">
        <f>VLOOKUP(B137,正厂竞争者数据汇总!D:H,4,FALSE)</f>
        <v>0</v>
      </c>
      <c r="F137" s="436">
        <v>262769.75</v>
      </c>
      <c r="G137" s="436">
        <v>39089.5833333333</v>
      </c>
      <c r="H137" s="436">
        <v>201623.666666667</v>
      </c>
      <c r="I137" s="454">
        <f>(F137/G137)-1</f>
        <v>5.72224484357513</v>
      </c>
      <c r="J137" s="457">
        <v>0.525588721383758</v>
      </c>
      <c r="K137" s="457">
        <v>0.50831227820267</v>
      </c>
      <c r="L137" s="457">
        <v>0.543655173964074</v>
      </c>
      <c r="M137" s="456">
        <f>J137-K141</f>
        <v>0.461935139344327</v>
      </c>
      <c r="N137" s="457" t="str">
        <f>IFERROR(O137*0.5/$F$137,"")</f>
        <v/>
      </c>
      <c r="O137" s="436" t="s">
        <v>180</v>
      </c>
      <c r="P137" s="531">
        <f t="array" ref="P137">INDEX(正厂竞争者数据汇总!I:I,MATCH($A$135&amp;B137,正厂竞争者数据汇总!A:A&amp;正厂竞争者数据汇总!D:D,0))</f>
        <v>0</v>
      </c>
      <c r="Q137" s="434" t="s">
        <v>299</v>
      </c>
      <c r="R137" s="435" t="s">
        <v>229</v>
      </c>
      <c r="S137" s="476"/>
      <c r="T137" s="477"/>
      <c r="U137" s="477"/>
      <c r="V137" s="435"/>
      <c r="W137" s="435"/>
    </row>
    <row r="138" s="408" customFormat="1" spans="1:23">
      <c r="A138" s="428" t="s">
        <v>230</v>
      </c>
      <c r="B138" s="421" t="s">
        <v>307</v>
      </c>
      <c r="C138" s="429" t="s">
        <v>233</v>
      </c>
      <c r="D138" s="421" t="s">
        <v>49</v>
      </c>
      <c r="E138" s="430"/>
      <c r="F138" s="430">
        <v>40592.05</v>
      </c>
      <c r="G138" s="430"/>
      <c r="H138" s="430"/>
      <c r="I138" s="450"/>
      <c r="J138" s="451">
        <v>0.0811917036030424</v>
      </c>
      <c r="K138" s="451">
        <v>0.0728699214260639</v>
      </c>
      <c r="L138" s="451">
        <v>0.0617108048300339</v>
      </c>
      <c r="M138" s="452"/>
      <c r="N138" s="451"/>
      <c r="O138" s="430"/>
      <c r="P138" s="531" t="str">
        <f t="array" ref="P138">INDEX(正厂竞争者数据汇总!I:I,MATCH($A$135&amp;B138,正厂竞争者数据汇总!A:A&amp;正厂竞争者数据汇总!D:D,0))</f>
        <v>2023年2月新增正厂</v>
      </c>
      <c r="Q138" s="429"/>
      <c r="R138" s="421"/>
      <c r="S138" s="472"/>
      <c r="T138" s="466"/>
      <c r="U138" s="466"/>
      <c r="V138" s="466"/>
      <c r="W138" s="466"/>
    </row>
    <row r="139" s="408" customFormat="1" spans="1:23">
      <c r="A139" s="428" t="s">
        <v>243</v>
      </c>
      <c r="B139" s="421" t="s">
        <v>303</v>
      </c>
      <c r="C139" s="429" t="s">
        <v>233</v>
      </c>
      <c r="D139" s="421" t="s">
        <v>49</v>
      </c>
      <c r="E139" s="430"/>
      <c r="F139" s="430">
        <v>39809.0933333334</v>
      </c>
      <c r="G139" s="430"/>
      <c r="H139" s="430"/>
      <c r="I139" s="450"/>
      <c r="J139" s="451">
        <v>0.0796256436081907</v>
      </c>
      <c r="K139" s="451">
        <v>0.052909574771407</v>
      </c>
      <c r="L139" s="451"/>
      <c r="M139" s="452"/>
      <c r="N139" s="451"/>
      <c r="O139" s="430"/>
      <c r="P139" s="531" t="str">
        <f t="array" ref="P139">INDEX(正厂竞争者数据汇总!I:I,MATCH($A$135&amp;B139,正厂竞争者数据汇总!A:A&amp;正厂竞争者数据汇总!D:D,0))</f>
        <v>2023年3月新增正厂，202306因流量超过MS5%加入MS计算基准</v>
      </c>
      <c r="Q139" s="429"/>
      <c r="R139" s="421"/>
      <c r="S139" s="472"/>
      <c r="T139" s="466"/>
      <c r="U139" s="466"/>
      <c r="V139" s="466"/>
      <c r="W139" s="466"/>
    </row>
    <row r="140" s="408" customFormat="1" spans="1:23">
      <c r="A140" s="428" t="s">
        <v>243</v>
      </c>
      <c r="B140" s="421" t="s">
        <v>300</v>
      </c>
      <c r="C140" s="429" t="s">
        <v>441</v>
      </c>
      <c r="D140" s="421" t="s">
        <v>302</v>
      </c>
      <c r="E140" s="430"/>
      <c r="F140" s="430">
        <v>36567.4166666667</v>
      </c>
      <c r="G140" s="430"/>
      <c r="H140" s="430"/>
      <c r="I140" s="450"/>
      <c r="J140" s="451">
        <v>0.0731416830519512</v>
      </c>
      <c r="K140" s="451">
        <v>0.0665039301577195</v>
      </c>
      <c r="L140" s="451">
        <v>0.0623309354062496</v>
      </c>
      <c r="M140" s="452"/>
      <c r="N140" s="451"/>
      <c r="O140" s="430"/>
      <c r="P140" s="531" t="str">
        <f t="array" ref="P140">INDEX(正厂竞争者数据汇总!I:I,MATCH($A$135&amp;B140,正厂竞争者数据汇总!A:A&amp;正厂竞争者数据汇总!D:D,0))</f>
        <v>2023年3月新增正厂，202305因流量超过MS5%加入MS计算基准</v>
      </c>
      <c r="Q140" s="429"/>
      <c r="R140" s="421"/>
      <c r="S140" s="472"/>
      <c r="T140" s="466"/>
      <c r="U140" s="466"/>
      <c r="V140" s="466"/>
      <c r="W140" s="466"/>
    </row>
    <row r="141" s="408" customFormat="1" spans="1:23">
      <c r="A141" s="428" t="s">
        <v>305</v>
      </c>
      <c r="B141" s="421" t="s">
        <v>306</v>
      </c>
      <c r="C141" s="429" t="str">
        <f>VLOOKUP(B141,正厂竞争者数据汇总!D:H,2,FALSE)</f>
        <v>Motor目录</v>
      </c>
      <c r="D141" s="421" t="str">
        <f>VLOOKUP(B141,正厂竞争者数据汇总!D:H,3,FALSE)</f>
        <v>CA</v>
      </c>
      <c r="E141" s="430"/>
      <c r="F141" s="430">
        <v>35428.5</v>
      </c>
      <c r="G141" s="430"/>
      <c r="H141" s="430"/>
      <c r="I141" s="450"/>
      <c r="J141" s="451">
        <v>0.0708636363795469</v>
      </c>
      <c r="K141" s="451">
        <v>0.0636535820394313</v>
      </c>
      <c r="L141" s="451">
        <v>0.0748865686763307</v>
      </c>
      <c r="M141" s="452"/>
      <c r="N141" s="451"/>
      <c r="O141" s="430"/>
      <c r="P141" s="531">
        <f t="array" ref="P141">INDEX(正厂竞争者数据汇总!I:I,MATCH($A$135&amp;B141,正厂竞争者数据汇总!A:A&amp;正厂竞争者数据汇总!D:D,0))</f>
        <v>0</v>
      </c>
      <c r="Q141" s="429"/>
      <c r="R141" s="421"/>
      <c r="S141" s="472"/>
      <c r="T141" s="466"/>
      <c r="U141" s="466"/>
      <c r="V141" s="466"/>
      <c r="W141" s="466"/>
    </row>
    <row r="142" s="408" customFormat="1" spans="1:23">
      <c r="A142" s="428" t="s">
        <v>230</v>
      </c>
      <c r="B142" s="421" t="s">
        <v>308</v>
      </c>
      <c r="C142" s="429" t="str">
        <f>VLOOKUP(B142,正厂竞争者数据汇总!D:H,2,FALSE)</f>
        <v>Motor目录</v>
      </c>
      <c r="D142" s="421" t="str">
        <f>VLOOKUP(B142,正厂竞争者数据汇总!D:H,3,FALSE)</f>
        <v>OH</v>
      </c>
      <c r="E142" s="430"/>
      <c r="F142" s="430">
        <v>32570.5833333333</v>
      </c>
      <c r="G142" s="430"/>
      <c r="H142" s="430"/>
      <c r="I142" s="450"/>
      <c r="J142" s="451">
        <v>0.0651472677082875</v>
      </c>
      <c r="K142" s="451">
        <v>0.0640299423043888</v>
      </c>
      <c r="L142" s="451">
        <v>0.0786881965147043</v>
      </c>
      <c r="M142" s="452"/>
      <c r="N142" s="451"/>
      <c r="O142" s="430"/>
      <c r="P142" s="531">
        <f t="array" ref="P142">INDEX(正厂竞争者数据汇总!I:I,MATCH($A$135&amp;B142,正厂竞争者数据汇总!A:A&amp;正厂竞争者数据汇总!D:D,0))</f>
        <v>0</v>
      </c>
      <c r="Q142" s="429"/>
      <c r="R142" s="421"/>
      <c r="S142" s="472"/>
      <c r="T142" s="466"/>
      <c r="U142" s="466"/>
      <c r="V142" s="466"/>
      <c r="W142" s="466"/>
    </row>
    <row r="143" s="408" customFormat="1" spans="1:23">
      <c r="A143" s="428" t="s">
        <v>230</v>
      </c>
      <c r="B143" s="421" t="s">
        <v>304</v>
      </c>
      <c r="C143" s="429" t="str">
        <f>VLOOKUP(B143,正厂竞争者数据汇总!D:H,2,FALSE)</f>
        <v>Motor目录</v>
      </c>
      <c r="D143" s="421" t="str">
        <f>VLOOKUP(B143,正厂竞争者数据汇总!D:H,3,FALSE)</f>
        <v>CA</v>
      </c>
      <c r="E143" s="430"/>
      <c r="F143" s="430">
        <v>27872.7216666667</v>
      </c>
      <c r="G143" s="430"/>
      <c r="H143" s="430"/>
      <c r="I143" s="450"/>
      <c r="J143" s="451">
        <v>0.0557506643830529</v>
      </c>
      <c r="K143" s="451">
        <v>0.0593146560273447</v>
      </c>
      <c r="L143" s="451">
        <v>0.0699135142117321</v>
      </c>
      <c r="M143" s="452"/>
      <c r="N143" s="451"/>
      <c r="O143" s="430"/>
      <c r="P143" s="531">
        <f t="array" ref="P143">INDEX(正厂竞争者数据汇总!I:I,MATCH($A$135&amp;B143,正厂竞争者数据汇总!A:A&amp;正厂竞争者数据汇总!D:D,0))</f>
        <v>0</v>
      </c>
      <c r="Q143" s="429"/>
      <c r="R143" s="421"/>
      <c r="S143" s="472"/>
      <c r="T143" s="466"/>
      <c r="U143" s="466"/>
      <c r="V143" s="466"/>
      <c r="W143" s="466"/>
    </row>
    <row r="144" s="408" customFormat="1" spans="1:23">
      <c r="A144" s="428" t="s">
        <v>230</v>
      </c>
      <c r="B144" s="421" t="s">
        <v>309</v>
      </c>
      <c r="C144" s="429" t="str">
        <f>VLOOKUP(B144,正厂竞争者数据汇总!D:H,2,FALSE)</f>
        <v>Motor目录</v>
      </c>
      <c r="D144" s="421" t="str">
        <f>VLOOKUP(B144,正厂竞争者数据汇总!D:H,3,FALSE)</f>
        <v>FL</v>
      </c>
      <c r="E144" s="430"/>
      <c r="F144" s="430">
        <v>24343.06</v>
      </c>
      <c r="G144" s="430"/>
      <c r="H144" s="430"/>
      <c r="I144" s="450"/>
      <c r="J144" s="451">
        <v>0.048690679882171</v>
      </c>
      <c r="K144" s="451">
        <v>0.0514564484840817</v>
      </c>
      <c r="L144" s="451">
        <v>0.052852178944172</v>
      </c>
      <c r="M144" s="452"/>
      <c r="N144" s="451"/>
      <c r="O144" s="430"/>
      <c r="P144" s="531" t="str">
        <f t="array" ref="P144">INDEX(正厂竞争者数据汇总!I:I,MATCH($A$135&amp;B144,正厂竞争者数据汇总!A:A&amp;正厂竞争者数据汇总!D:D,0))</f>
        <v>同时经营多品牌网站零件，折算比例为：toyota：33%，lexus：42%，subaru:25%</v>
      </c>
      <c r="Q144" s="429"/>
      <c r="R144" s="421"/>
      <c r="S144" s="472"/>
      <c r="T144" s="466"/>
      <c r="U144" s="466"/>
      <c r="V144" s="466"/>
      <c r="W144" s="466"/>
    </row>
    <row r="146" s="408" customFormat="1" spans="1:23">
      <c r="A146" s="440"/>
      <c r="B146" s="431"/>
      <c r="C146" s="429"/>
      <c r="D146" s="421"/>
      <c r="E146" s="430"/>
      <c r="F146" s="430"/>
      <c r="G146" s="430">
        <v>259436.916666667</v>
      </c>
      <c r="H146" s="430"/>
      <c r="I146" s="453"/>
      <c r="J146" s="451"/>
      <c r="K146" s="451"/>
      <c r="L146" s="451"/>
      <c r="M146" s="451"/>
      <c r="N146" s="451"/>
      <c r="O146" s="430"/>
      <c r="P146" s="531"/>
      <c r="Q146" s="429"/>
      <c r="R146" s="421"/>
      <c r="S146" s="473"/>
      <c r="T146" s="466"/>
      <c r="U146" s="466"/>
      <c r="V146" s="421"/>
      <c r="W146" s="421"/>
    </row>
    <row r="147" s="408" customFormat="1" spans="1:23">
      <c r="A147" s="428"/>
      <c r="B147" s="431"/>
      <c r="C147" s="439"/>
      <c r="D147" s="421"/>
      <c r="E147" s="430"/>
      <c r="F147" s="430">
        <v>499953.175</v>
      </c>
      <c r="G147" s="430"/>
      <c r="H147" s="430">
        <v>254943.25</v>
      </c>
      <c r="I147" s="453" t="e">
        <f>(F147/G147)-1</f>
        <v>#DIV/0!</v>
      </c>
      <c r="J147" s="430"/>
      <c r="K147" s="430"/>
      <c r="L147" s="430"/>
      <c r="M147" s="451"/>
      <c r="N147" s="451">
        <f>SUM(N137:N142)</f>
        <v>0</v>
      </c>
      <c r="O147" s="430"/>
      <c r="P147" s="531"/>
      <c r="Q147" s="429"/>
      <c r="R147" s="421"/>
      <c r="S147" s="473"/>
      <c r="T147" s="466"/>
      <c r="U147" s="466"/>
      <c r="V147" s="421"/>
      <c r="W147" s="421"/>
    </row>
    <row r="148" s="408" customFormat="1" spans="1:23">
      <c r="A148" s="428"/>
      <c r="B148" s="421"/>
      <c r="C148" s="439"/>
      <c r="D148" s="421"/>
      <c r="E148" s="430"/>
      <c r="F148" s="451"/>
      <c r="G148" s="451"/>
      <c r="H148" s="451"/>
      <c r="I148" s="453"/>
      <c r="J148" s="451"/>
      <c r="K148" s="451"/>
      <c r="L148" s="451"/>
      <c r="M148" s="451"/>
      <c r="N148" s="451"/>
      <c r="O148" s="451"/>
      <c r="P148" s="531"/>
      <c r="Q148" s="429"/>
      <c r="R148" s="421"/>
      <c r="S148" s="473"/>
      <c r="T148" s="466"/>
      <c r="U148" s="466"/>
      <c r="V148" s="421"/>
      <c r="W148" s="421"/>
    </row>
    <row r="149" s="408" customFormat="1" ht="17.4" spans="1:23">
      <c r="A149" s="418" t="s">
        <v>177</v>
      </c>
      <c r="B149" s="419"/>
      <c r="C149" s="420"/>
      <c r="D149" s="421"/>
      <c r="E149" s="422" t="s">
        <v>202</v>
      </c>
      <c r="F149" s="422"/>
      <c r="G149" s="422" t="s">
        <v>213</v>
      </c>
      <c r="H149" s="422"/>
      <c r="I149" s="422"/>
      <c r="J149" s="422"/>
      <c r="K149" s="422"/>
      <c r="L149" s="422"/>
      <c r="M149" s="443"/>
      <c r="N149" s="444"/>
      <c r="O149" s="422"/>
      <c r="P149" s="531"/>
      <c r="Q149" s="465"/>
      <c r="R149" s="424"/>
      <c r="S149" s="473"/>
      <c r="T149" s="467"/>
      <c r="U149" s="467"/>
      <c r="V149" s="467"/>
      <c r="W149" s="467"/>
    </row>
    <row r="150" s="409" customFormat="1" ht="46.8" spans="1:23">
      <c r="A150" s="423" t="s">
        <v>206</v>
      </c>
      <c r="B150" s="424" t="s">
        <v>207</v>
      </c>
      <c r="C150" s="425" t="s">
        <v>208</v>
      </c>
      <c r="D150" s="424" t="s">
        <v>209</v>
      </c>
      <c r="E150" s="426" t="s">
        <v>210</v>
      </c>
      <c r="F150" s="427" t="s">
        <v>443</v>
      </c>
      <c r="G150" s="427">
        <v>93920.4166666667</v>
      </c>
      <c r="H150" s="427" t="s">
        <v>396</v>
      </c>
      <c r="I150" s="427" t="s">
        <v>386</v>
      </c>
      <c r="J150" s="446" t="s">
        <v>434</v>
      </c>
      <c r="K150" s="446" t="s">
        <v>435</v>
      </c>
      <c r="L150" s="446" t="s">
        <v>444</v>
      </c>
      <c r="M150" s="447" t="s">
        <v>436</v>
      </c>
      <c r="N150" s="448" t="s">
        <v>219</v>
      </c>
      <c r="O150" s="449" t="s">
        <v>220</v>
      </c>
      <c r="P150" s="535" t="s">
        <v>0</v>
      </c>
      <c r="Q150" s="469" t="s">
        <v>222</v>
      </c>
      <c r="R150" s="426" t="s">
        <v>223</v>
      </c>
      <c r="S150" s="470" t="s">
        <v>224</v>
      </c>
      <c r="T150" s="467" t="s">
        <v>225</v>
      </c>
      <c r="U150" s="470" t="s">
        <v>226</v>
      </c>
      <c r="V150" s="467"/>
      <c r="W150" s="467"/>
    </row>
    <row r="151" s="410" customFormat="1" ht="17.4" spans="1:23">
      <c r="A151" s="432" t="s">
        <v>227</v>
      </c>
      <c r="B151" s="432" t="s">
        <v>178</v>
      </c>
      <c r="C151" s="434" t="str">
        <f>VLOOKUP(B151,正厂竞争者数据汇总!D:H,2,FALSE)</f>
        <v>原厂目录</v>
      </c>
      <c r="D151" s="435" t="str">
        <f>VLOOKUP(B151,正厂竞争者数据汇总!D:H,3,FALSE)</f>
        <v>CA</v>
      </c>
      <c r="E151" s="436">
        <f>VLOOKUP(B151,正厂竞争者数据汇总!D:H,4,FALSE)</f>
        <v>0</v>
      </c>
      <c r="F151" s="436">
        <v>90538.0566666667</v>
      </c>
      <c r="G151" s="436">
        <v>19160.4166666667</v>
      </c>
      <c r="H151" s="436">
        <v>93560.5000000002</v>
      </c>
      <c r="I151" s="454">
        <f>(F151/G151)-1</f>
        <v>3.72526554311188</v>
      </c>
      <c r="J151" s="457">
        <v>0.488490224047266</v>
      </c>
      <c r="K151" s="457">
        <v>0.502880828265115</v>
      </c>
      <c r="L151" s="457">
        <v>0.509413657146004</v>
      </c>
      <c r="M151" s="456">
        <f>J151-K158</f>
        <v>0.46779139621012</v>
      </c>
      <c r="N151" s="457" t="str">
        <f>IFERROR(O151*0.5/#REF!,"")</f>
        <v/>
      </c>
      <c r="O151" s="436" t="s">
        <v>180</v>
      </c>
      <c r="P151" s="531">
        <f t="array" ref="P151">INDEX(正厂竞争者数据汇总!I:I,MATCH($A$149&amp;B151,正厂竞争者数据汇总!A:A&amp;正厂竞争者数据汇总!D:D,0))</f>
        <v>0</v>
      </c>
      <c r="Q151" s="434" t="s">
        <v>324</v>
      </c>
      <c r="R151" s="435" t="s">
        <v>229</v>
      </c>
      <c r="S151" s="476"/>
      <c r="T151" s="477"/>
      <c r="U151" s="477"/>
      <c r="V151" s="435"/>
      <c r="W151" s="435"/>
    </row>
    <row r="152" s="408" customFormat="1" spans="1:23">
      <c r="A152" s="428" t="s">
        <v>230</v>
      </c>
      <c r="B152" s="421" t="s">
        <v>329</v>
      </c>
      <c r="C152" s="429" t="str">
        <f>VLOOKUP(B152,正厂竞争者数据汇总!D:H,2,FALSE)</f>
        <v>Motor目录</v>
      </c>
      <c r="D152" s="421" t="str">
        <f>VLOOKUP(B152,正厂竞争者数据汇总!D:H,3,FALSE)</f>
        <v>AZ</v>
      </c>
      <c r="E152" s="430"/>
      <c r="F152" s="430">
        <v>25193.4166666667</v>
      </c>
      <c r="G152" s="430"/>
      <c r="H152" s="430"/>
      <c r="I152" s="450"/>
      <c r="J152" s="451">
        <v>0.135928892281461</v>
      </c>
      <c r="K152" s="451">
        <v>0.113210591522947</v>
      </c>
      <c r="L152" s="451">
        <v>0.117282393592282</v>
      </c>
      <c r="M152" s="452"/>
      <c r="N152" s="451"/>
      <c r="O152" s="430"/>
      <c r="P152" s="531">
        <f t="array" ref="P152">INDEX(正厂竞争者数据汇总!I:I,MATCH($A$149&amp;B152,正厂竞争者数据汇总!A:A&amp;正厂竞争者数据汇总!D:D,0))</f>
        <v>0</v>
      </c>
      <c r="Q152" s="429"/>
      <c r="R152" s="421"/>
      <c r="S152" s="472"/>
      <c r="T152" s="466"/>
      <c r="U152" s="466"/>
      <c r="V152" s="466"/>
      <c r="W152" s="466"/>
    </row>
    <row r="153" s="408" customFormat="1" spans="1:23">
      <c r="A153" s="428" t="s">
        <v>230</v>
      </c>
      <c r="B153" s="421" t="s">
        <v>328</v>
      </c>
      <c r="C153" s="429" t="str">
        <f>VLOOKUP(B153,正厂竞争者数据汇总!D:H,2,FALSE)</f>
        <v>Motor目录</v>
      </c>
      <c r="D153" s="421" t="str">
        <f>VLOOKUP(B153,正厂竞争者数据汇总!D:H,3,FALSE)</f>
        <v>AZ</v>
      </c>
      <c r="E153" s="430"/>
      <c r="F153" s="430">
        <v>24430.3333333333</v>
      </c>
      <c r="G153" s="430"/>
      <c r="H153" s="430"/>
      <c r="I153" s="450"/>
      <c r="J153" s="451">
        <v>0.131811742408903</v>
      </c>
      <c r="K153" s="451">
        <v>0.112360882005316</v>
      </c>
      <c r="L153" s="451">
        <v>0.0977219282162366</v>
      </c>
      <c r="M153" s="452"/>
      <c r="N153" s="451"/>
      <c r="O153" s="430"/>
      <c r="P153" s="531" t="str">
        <f t="array" ref="P153">INDEX(正厂竞争者数据汇总!I:I,MATCH($A$149&amp;B153,正厂竞争者数据汇总!A:A&amp;正厂竞争者数据汇总!D:D,0))</f>
        <v>2022年1月 新加入 MarketingShare</v>
      </c>
      <c r="Q153" s="429"/>
      <c r="R153" s="421"/>
      <c r="S153" s="472"/>
      <c r="T153" s="466"/>
      <c r="U153" s="466"/>
      <c r="V153" s="466"/>
      <c r="W153" s="466"/>
    </row>
    <row r="154" s="408" customFormat="1" spans="1:23">
      <c r="A154" s="428" t="s">
        <v>230</v>
      </c>
      <c r="B154" s="421" t="s">
        <v>327</v>
      </c>
      <c r="C154" s="429" t="str">
        <f>VLOOKUP(B154,正厂竞争者数据汇总!D:H,2,FALSE)</f>
        <v>Motor目录</v>
      </c>
      <c r="D154" s="421" t="str">
        <f>VLOOKUP(B154,正厂竞争者数据汇总!D:H,3,FALSE)</f>
        <v>-</v>
      </c>
      <c r="E154" s="430"/>
      <c r="F154" s="430">
        <v>19059.969</v>
      </c>
      <c r="G154" s="430"/>
      <c r="H154" s="430"/>
      <c r="I154" s="450"/>
      <c r="J154" s="451">
        <v>0.102836407914329</v>
      </c>
      <c r="K154" s="451">
        <v>0.0928268071712272</v>
      </c>
      <c r="L154" s="451">
        <v>0.089054703820989</v>
      </c>
      <c r="M154" s="452"/>
      <c r="N154" s="451"/>
      <c r="O154" s="430"/>
      <c r="P154" s="531" t="str">
        <f t="array" ref="P154">INDEX(正厂竞争者数据汇总!I:I,MATCH($A$149&amp;B154,正厂竞争者数据汇总!A:A&amp;正厂竞争者数据汇总!D:D,0))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54" s="429"/>
      <c r="R154" s="421"/>
      <c r="S154" s="472"/>
      <c r="T154" s="466"/>
      <c r="U154" s="466"/>
      <c r="V154" s="466"/>
      <c r="W154" s="466"/>
    </row>
    <row r="155" s="408" customFormat="1" spans="1:23">
      <c r="A155" s="428" t="s">
        <v>230</v>
      </c>
      <c r="B155" s="421" t="s">
        <v>394</v>
      </c>
      <c r="C155" s="429" t="str">
        <f>VLOOKUP(B155,正厂竞争者数据汇总!D:H,2,FALSE)</f>
        <v>Motor目录</v>
      </c>
      <c r="D155" s="421" t="str">
        <f>VLOOKUP(B155,正厂竞争者数据汇总!D:H,3,FALSE)</f>
        <v>GA</v>
      </c>
      <c r="E155" s="430"/>
      <c r="F155" s="430">
        <v>9696.23</v>
      </c>
      <c r="G155" s="430"/>
      <c r="H155" s="430"/>
      <c r="I155" s="450"/>
      <c r="J155" s="451">
        <v>0.0523151671186428</v>
      </c>
      <c r="K155" s="451">
        <v>0.0580872563688866</v>
      </c>
      <c r="L155" s="451"/>
      <c r="M155" s="452"/>
      <c r="N155" s="451"/>
      <c r="O155" s="430"/>
      <c r="P155" s="531" t="str">
        <f t="array" ref="P155">INDEX(正厂竞争者数据汇总!I:I,MATCH($A$149&amp;B155,正厂竞争者数据汇总!A:A&amp;正厂竞争者数据汇总!D:D,0))</f>
        <v>2023/6，因流量上涨加入MS计算基准</v>
      </c>
      <c r="Q155" s="429"/>
      <c r="R155" s="421"/>
      <c r="S155" s="472"/>
      <c r="T155" s="466"/>
      <c r="U155" s="466"/>
      <c r="V155" s="466"/>
      <c r="W155" s="466"/>
    </row>
    <row r="156" s="408" customFormat="1" spans="1:23">
      <c r="A156" s="428" t="s">
        <v>325</v>
      </c>
      <c r="B156" s="421" t="s">
        <v>326</v>
      </c>
      <c r="C156" s="429" t="str">
        <f>VLOOKUP(B156,正厂竞争者数据汇总!D:H,2,FALSE)</f>
        <v>原厂目录</v>
      </c>
      <c r="D156" s="421" t="str">
        <f>VLOOKUP(B156,正厂竞争者数据汇总!D:H,3,FALSE)</f>
        <v>IL</v>
      </c>
      <c r="E156" s="430"/>
      <c r="F156" s="430">
        <v>9274.66666666667</v>
      </c>
      <c r="G156" s="430"/>
      <c r="H156" s="430"/>
      <c r="I156" s="450"/>
      <c r="J156" s="451">
        <v>0.0500406587546266</v>
      </c>
      <c r="K156" s="451">
        <v>0.051615772670225</v>
      </c>
      <c r="L156" s="451">
        <v>0.0557509370401702</v>
      </c>
      <c r="M156" s="452"/>
      <c r="N156" s="451"/>
      <c r="O156" s="430"/>
      <c r="P156" s="531">
        <f t="array" ref="P156">INDEX(正厂竞争者数据汇总!I:I,MATCH($A$149&amp;B156,正厂竞争者数据汇总!A:A&amp;正厂竞争者数据汇总!D:D,0))</f>
        <v>0</v>
      </c>
      <c r="Q156" s="429"/>
      <c r="R156" s="421"/>
      <c r="S156" s="472"/>
      <c r="T156" s="466"/>
      <c r="U156" s="466"/>
      <c r="V156" s="466"/>
      <c r="W156" s="466"/>
    </row>
    <row r="157" s="408" customFormat="1" spans="1:23">
      <c r="A157" s="428" t="s">
        <v>230</v>
      </c>
      <c r="B157" s="421" t="s">
        <v>407</v>
      </c>
      <c r="C157" s="429" t="str">
        <f>VLOOKUP(B157,正厂竞争者数据汇总!D:H,2,FALSE)</f>
        <v>Motor目录</v>
      </c>
      <c r="D157" s="421" t="str">
        <f>VLOOKUP(B157,正厂竞争者数据汇总!D:H,3,FALSE)</f>
        <v>NC</v>
      </c>
      <c r="E157" s="430"/>
      <c r="F157" s="430">
        <v>7149.945</v>
      </c>
      <c r="G157" s="430"/>
      <c r="H157" s="430"/>
      <c r="I157" s="450"/>
      <c r="J157" s="451">
        <v>0.0385769074747716</v>
      </c>
      <c r="K157" s="451">
        <v>0.0417901926677255</v>
      </c>
      <c r="L157" s="451">
        <v>0.0704518664502665</v>
      </c>
      <c r="M157" s="452"/>
      <c r="N157" s="451"/>
      <c r="O157" s="430"/>
      <c r="P157" s="531" t="str">
        <f t="array" ref="P157">INDEX(正厂竞争者数据汇总!I:I,MATCH($A$149&amp;B157,正厂竞争者数据汇总!A:A&amp;正厂竞争者数据汇总!D:D,0))</f>
        <v>202112新增竞争者</v>
      </c>
      <c r="Q157" s="429"/>
      <c r="R157" s="421"/>
      <c r="S157" s="472"/>
      <c r="T157" s="466"/>
      <c r="U157" s="466"/>
      <c r="V157" s="466"/>
      <c r="W157" s="466"/>
    </row>
    <row r="158" s="408" customFormat="1" spans="1:23">
      <c r="A158" s="428" t="s">
        <v>325</v>
      </c>
      <c r="B158" s="421" t="s">
        <v>442</v>
      </c>
      <c r="C158" s="429" t="str">
        <f>VLOOKUP(B158,正厂竞争者数据汇总!D:H,2,FALSE)</f>
        <v>原厂目录</v>
      </c>
      <c r="D158" s="421" t="str">
        <f>VLOOKUP(B158,正厂竞争者数据汇总!D:H,3,FALSE)</f>
        <v>TX</v>
      </c>
      <c r="E158" s="430"/>
      <c r="F158" s="430">
        <v>1498.58333333333</v>
      </c>
      <c r="G158" s="430"/>
      <c r="H158" s="430"/>
      <c r="I158" s="450"/>
      <c r="J158" s="451">
        <v>0.00808547626495514</v>
      </c>
      <c r="K158" s="451">
        <v>0.0206988278371459</v>
      </c>
      <c r="L158" s="451">
        <v>0.0418328210169987</v>
      </c>
      <c r="M158" s="452"/>
      <c r="N158" s="451"/>
      <c r="O158" s="430"/>
      <c r="P158" s="531" t="str">
        <f t="array" ref="P158">INDEX(正厂竞争者数据汇总!I:I,MATCH($A$149&amp;B158,正厂竞争者数据汇总!A:A&amp;正厂竞争者数据汇总!D:D,0))</f>
        <v>202305流量太低，无法正常获取流量</v>
      </c>
      <c r="Q158" s="429"/>
      <c r="R158" s="421"/>
      <c r="S158" s="472"/>
      <c r="T158" s="466"/>
      <c r="U158" s="466"/>
      <c r="V158" s="466"/>
      <c r="W158" s="466"/>
    </row>
    <row r="159" s="408" customFormat="1" spans="1:23">
      <c r="A159" s="428"/>
      <c r="B159" s="431"/>
      <c r="C159" s="429"/>
      <c r="D159" s="421"/>
      <c r="E159" s="430"/>
      <c r="F159" s="430"/>
      <c r="G159" s="430">
        <v>161698.333333333</v>
      </c>
      <c r="H159" s="430"/>
      <c r="I159" s="453"/>
      <c r="J159" s="451"/>
      <c r="K159" s="451"/>
      <c r="L159" s="451"/>
      <c r="M159" s="451"/>
      <c r="N159" s="451"/>
      <c r="O159" s="430"/>
      <c r="P159" s="531"/>
      <c r="Q159" s="429"/>
      <c r="R159" s="421"/>
      <c r="S159" s="473"/>
      <c r="T159" s="466"/>
      <c r="U159" s="466"/>
      <c r="V159" s="421"/>
      <c r="W159" s="421"/>
    </row>
    <row r="160" s="408" customFormat="1" spans="1:23">
      <c r="A160" s="428"/>
      <c r="B160" s="421"/>
      <c r="C160" s="439"/>
      <c r="D160" s="421"/>
      <c r="E160" s="430"/>
      <c r="F160" s="430">
        <v>185342.617333333</v>
      </c>
      <c r="G160" s="430"/>
      <c r="H160" s="430">
        <v>167907.166666667</v>
      </c>
      <c r="I160" s="453" t="e">
        <f>(F160/G160)-1</f>
        <v>#DIV/0!</v>
      </c>
      <c r="J160" s="430"/>
      <c r="K160" s="430"/>
      <c r="L160" s="430"/>
      <c r="M160" s="451"/>
      <c r="N160" s="451">
        <f>SUM(N151:N154)</f>
        <v>0</v>
      </c>
      <c r="O160" s="430"/>
      <c r="P160" s="531"/>
      <c r="Q160" s="493"/>
      <c r="R160" s="421"/>
      <c r="S160" s="473"/>
      <c r="T160" s="466"/>
      <c r="U160" s="466"/>
      <c r="V160" s="421"/>
      <c r="W160" s="421"/>
    </row>
    <row r="161" s="408" customFormat="1" spans="1:23">
      <c r="A161" s="428"/>
      <c r="B161" s="421"/>
      <c r="C161" s="439"/>
      <c r="D161" s="421"/>
      <c r="E161" s="430"/>
      <c r="F161" s="430"/>
      <c r="G161" s="430"/>
      <c r="H161" s="430"/>
      <c r="I161" s="453"/>
      <c r="J161" s="430"/>
      <c r="K161" s="430"/>
      <c r="L161" s="430"/>
      <c r="M161" s="451"/>
      <c r="N161" s="451"/>
      <c r="O161" s="430"/>
      <c r="P161" s="531"/>
      <c r="Q161" s="493"/>
      <c r="R161" s="421"/>
      <c r="S161" s="473"/>
      <c r="T161" s="466"/>
      <c r="U161" s="466"/>
      <c r="V161" s="421"/>
      <c r="W161" s="421"/>
    </row>
    <row r="162" s="408" customFormat="1" ht="17.4" spans="1:23">
      <c r="A162" s="418" t="s">
        <v>191</v>
      </c>
      <c r="B162" s="419"/>
      <c r="C162" s="420"/>
      <c r="D162" s="421"/>
      <c r="E162" s="422" t="s">
        <v>202</v>
      </c>
      <c r="F162" s="422"/>
      <c r="G162" s="422" t="s">
        <v>213</v>
      </c>
      <c r="H162" s="422"/>
      <c r="I162" s="422"/>
      <c r="J162" s="422"/>
      <c r="K162" s="422"/>
      <c r="L162" s="422"/>
      <c r="M162" s="443"/>
      <c r="N162" s="422"/>
      <c r="O162" s="422"/>
      <c r="P162" s="531"/>
      <c r="Q162" s="465"/>
      <c r="R162" s="424"/>
      <c r="S162" s="473"/>
      <c r="T162" s="467"/>
      <c r="U162" s="467"/>
      <c r="V162" s="467"/>
      <c r="W162" s="467"/>
    </row>
    <row r="163" s="409" customFormat="1" ht="46.8" spans="1:23">
      <c r="A163" s="423" t="s">
        <v>206</v>
      </c>
      <c r="B163" s="424" t="s">
        <v>207</v>
      </c>
      <c r="C163" s="425" t="s">
        <v>208</v>
      </c>
      <c r="D163" s="424" t="s">
        <v>209</v>
      </c>
      <c r="E163" s="426" t="s">
        <v>210</v>
      </c>
      <c r="F163" s="427" t="s">
        <v>432</v>
      </c>
      <c r="G163" s="427">
        <v>116448.583333333</v>
      </c>
      <c r="H163" s="427" t="s">
        <v>396</v>
      </c>
      <c r="I163" s="427" t="s">
        <v>386</v>
      </c>
      <c r="J163" s="446" t="s">
        <v>433</v>
      </c>
      <c r="K163" s="446"/>
      <c r="L163" s="446"/>
      <c r="M163" s="447" t="s">
        <v>436</v>
      </c>
      <c r="N163" s="448" t="s">
        <v>219</v>
      </c>
      <c r="O163" s="449" t="s">
        <v>220</v>
      </c>
      <c r="P163" s="535" t="s">
        <v>0</v>
      </c>
      <c r="Q163" s="469" t="s">
        <v>222</v>
      </c>
      <c r="R163" s="426" t="s">
        <v>223</v>
      </c>
      <c r="S163" s="470" t="s">
        <v>224</v>
      </c>
      <c r="T163" s="467" t="s">
        <v>225</v>
      </c>
      <c r="U163" s="470" t="s">
        <v>226</v>
      </c>
      <c r="V163" s="467"/>
      <c r="W163" s="467"/>
    </row>
    <row r="164" s="408" customFormat="1" spans="1:23">
      <c r="A164" s="428" t="s">
        <v>325</v>
      </c>
      <c r="B164" s="421" t="s">
        <v>357</v>
      </c>
      <c r="C164" s="429" t="str">
        <f>VLOOKUP(B164,正厂竞争者数据汇总!D:H,2,FALSE)</f>
        <v>原厂目录</v>
      </c>
      <c r="D164" s="421" t="str">
        <f>VLOOKUP(B164,正厂竞争者数据汇总!D:H,3,FALSE)</f>
        <v>IL</v>
      </c>
      <c r="E164" s="430">
        <f>VLOOKUP(B164,正厂竞争者数据汇总!D:H,4,FALSE)</f>
        <v>0</v>
      </c>
      <c r="F164" s="430">
        <v>99836.3</v>
      </c>
      <c r="G164" s="430">
        <v>0</v>
      </c>
      <c r="H164" s="430">
        <v>99768.6666666667</v>
      </c>
      <c r="I164" s="453" t="e">
        <f>(F164/G164)-1</f>
        <v>#DIV/0!</v>
      </c>
      <c r="J164" s="451">
        <v>0.532033325292971</v>
      </c>
      <c r="K164" s="451"/>
      <c r="L164" s="451"/>
      <c r="M164" s="451">
        <f>J164-K168</f>
        <v>0.532033325292971</v>
      </c>
      <c r="N164" s="459"/>
      <c r="O164" s="430"/>
      <c r="P164" s="531">
        <f>VLOOKUP(B164,正厂竞争者数据汇总!D:M,6,FALSE)</f>
        <v>0</v>
      </c>
      <c r="Q164" s="429" t="s">
        <v>180</v>
      </c>
      <c r="R164" s="421" t="s">
        <v>180</v>
      </c>
      <c r="S164" s="473"/>
      <c r="T164" s="466"/>
      <c r="U164" s="466"/>
      <c r="V164" s="421"/>
      <c r="W164" s="421"/>
    </row>
    <row r="165" s="408" customFormat="1" spans="1:23">
      <c r="A165" s="428" t="s">
        <v>230</v>
      </c>
      <c r="B165" s="421" t="s">
        <v>364</v>
      </c>
      <c r="C165" s="429" t="str">
        <f>VLOOKUP(B165,正厂竞争者数据汇总!D:H,2,FALSE)</f>
        <v>Motor目录</v>
      </c>
      <c r="D165" s="421" t="str">
        <f>VLOOKUP(B165,正厂竞争者数据汇总!D:H,3,FALSE)</f>
        <v>TX</v>
      </c>
      <c r="E165" s="430"/>
      <c r="F165" s="430">
        <v>35905.5</v>
      </c>
      <c r="G165" s="430"/>
      <c r="H165" s="430"/>
      <c r="I165" s="453"/>
      <c r="J165" s="451">
        <v>0.191342453208971</v>
      </c>
      <c r="K165" s="451"/>
      <c r="L165" s="451"/>
      <c r="M165" s="451"/>
      <c r="N165" s="459"/>
      <c r="O165" s="430"/>
      <c r="P165" s="531" t="str">
        <f>VLOOKUP(B165,正厂竞争者数据汇总!D:M,6,FALSE)</f>
        <v>2023年9月新增，202402导流到myswedishparts.com</v>
      </c>
      <c r="Q165" s="429"/>
      <c r="R165" s="421"/>
      <c r="S165" s="473"/>
      <c r="T165" s="466"/>
      <c r="U165" s="466"/>
      <c r="V165" s="421"/>
      <c r="W165" s="421"/>
    </row>
    <row r="166" s="408" customFormat="1" spans="1:23">
      <c r="A166" s="428" t="s">
        <v>230</v>
      </c>
      <c r="B166" s="421" t="s">
        <v>358</v>
      </c>
      <c r="C166" s="429" t="str">
        <f>VLOOKUP(B166,正厂竞争者数据汇总!D:H,2,FALSE)</f>
        <v>Motor目录</v>
      </c>
      <c r="D166" s="421" t="str">
        <f>VLOOKUP(B166,正厂竞争者数据汇总!D:H,3,FALSE)</f>
        <v>CT</v>
      </c>
      <c r="E166" s="430"/>
      <c r="F166" s="430">
        <v>18209.5</v>
      </c>
      <c r="G166" s="430"/>
      <c r="H166" s="430"/>
      <c r="I166" s="453"/>
      <c r="J166" s="451">
        <v>0.0970394619684659</v>
      </c>
      <c r="K166" s="451"/>
      <c r="L166" s="451"/>
      <c r="M166" s="451"/>
      <c r="N166" s="459"/>
      <c r="O166" s="430"/>
      <c r="P166" s="531" t="str">
        <f>VLOOKUP(B166,正厂竞争者数据汇总!D:M,6,FALSE)</f>
        <v>2023年9月新增</v>
      </c>
      <c r="Q166" s="429"/>
      <c r="R166" s="421"/>
      <c r="S166" s="473"/>
      <c r="T166" s="466"/>
      <c r="U166" s="466"/>
      <c r="V166" s="421"/>
      <c r="W166" s="421"/>
    </row>
    <row r="167" s="408" customFormat="1" spans="1:23">
      <c r="A167" s="428" t="s">
        <v>325</v>
      </c>
      <c r="B167" s="421" t="s">
        <v>362</v>
      </c>
      <c r="C167" s="429" t="str">
        <f>VLOOKUP(B167,正厂竞争者数据汇总!D:H,2,FALSE)</f>
        <v>原厂目录</v>
      </c>
      <c r="D167" s="421" t="str">
        <f>VLOOKUP(B167,正厂竞争者数据汇总!D:H,3,FALSE)</f>
        <v>CA</v>
      </c>
      <c r="E167" s="430"/>
      <c r="F167" s="430">
        <v>11500.8316666667</v>
      </c>
      <c r="G167" s="430"/>
      <c r="H167" s="430"/>
      <c r="I167" s="453"/>
      <c r="J167" s="451">
        <v>0.0612885865687268</v>
      </c>
      <c r="K167" s="451"/>
      <c r="L167" s="451"/>
      <c r="M167" s="451"/>
      <c r="N167" s="459"/>
      <c r="O167" s="430"/>
      <c r="P167" s="531">
        <f>VLOOKUP(B167,正厂竞争者数据汇总!D:M,6,FALSE)</f>
        <v>0</v>
      </c>
      <c r="Q167" s="429"/>
      <c r="R167" s="421"/>
      <c r="S167" s="473"/>
      <c r="T167" s="466"/>
      <c r="U167" s="466"/>
      <c r="V167" s="421"/>
      <c r="W167" s="421"/>
    </row>
    <row r="168" s="408" customFormat="1" spans="1:23">
      <c r="A168" s="428" t="s">
        <v>325</v>
      </c>
      <c r="B168" s="421" t="s">
        <v>362</v>
      </c>
      <c r="C168" s="429" t="str">
        <f>VLOOKUP(B168,正厂竞争者数据汇总!D:H,2,FALSE)</f>
        <v>原厂目录</v>
      </c>
      <c r="D168" s="421" t="str">
        <f>VLOOKUP(B168,正厂竞争者数据汇总!D:H,3,FALSE)</f>
        <v>CA</v>
      </c>
      <c r="E168" s="430">
        <f>VLOOKUP(B168,正厂竞争者数据汇总!D:H,4,FALSE)</f>
        <v>0</v>
      </c>
      <c r="F168" s="430">
        <v>11500.8316666667</v>
      </c>
      <c r="G168" s="430">
        <v>207722.25</v>
      </c>
      <c r="H168" s="430">
        <v>0</v>
      </c>
      <c r="I168" s="453"/>
      <c r="J168" s="451">
        <v>0.0612885865687268</v>
      </c>
      <c r="K168" s="451"/>
      <c r="L168" s="451"/>
      <c r="M168" s="451"/>
      <c r="N168" s="459"/>
      <c r="O168" s="430"/>
      <c r="P168" s="531">
        <f>VLOOKUP(B168,正厂竞争者数据汇总!D:M,6,FALSE)</f>
        <v>0</v>
      </c>
      <c r="Q168" s="429" t="s">
        <v>180</v>
      </c>
      <c r="R168" s="421" t="s">
        <v>180</v>
      </c>
      <c r="S168" s="473"/>
      <c r="T168" s="466"/>
      <c r="U168" s="466"/>
      <c r="V168" s="421"/>
      <c r="W168" s="421"/>
    </row>
    <row r="169" s="408" customFormat="1" spans="1:23">
      <c r="A169" s="428" t="s">
        <v>230</v>
      </c>
      <c r="B169" s="421" t="s">
        <v>359</v>
      </c>
      <c r="C169" s="429" t="str">
        <f>VLOOKUP(B169,正厂竞争者数据汇总!D:H,2,FALSE)</f>
        <v>Motor目录</v>
      </c>
      <c r="D169" s="421" t="str">
        <f>VLOOKUP(B169,正厂竞争者数据汇总!D:H,3,FALSE)</f>
        <v>NY</v>
      </c>
      <c r="E169" s="430"/>
      <c r="F169" s="430">
        <v>10697.5</v>
      </c>
      <c r="G169" s="430"/>
      <c r="H169" s="430"/>
      <c r="I169" s="453"/>
      <c r="J169" s="451">
        <v>0.0570075863921395</v>
      </c>
      <c r="K169" s="451"/>
      <c r="L169" s="451"/>
      <c r="M169" s="451"/>
      <c r="N169" s="459"/>
      <c r="O169" s="430"/>
      <c r="P169" s="531" t="str">
        <f>VLOOKUP(B169,正厂竞争者数据汇总!D:M,6,FALSE)</f>
        <v>2023年9月新增</v>
      </c>
      <c r="Q169" s="429"/>
      <c r="R169" s="421"/>
      <c r="S169" s="473"/>
      <c r="T169" s="466"/>
      <c r="U169" s="466"/>
      <c r="V169" s="421"/>
      <c r="W169" s="421"/>
    </row>
    <row r="170" s="408" customFormat="1" spans="1:23">
      <c r="A170" s="428"/>
      <c r="B170" s="438"/>
      <c r="C170" s="429"/>
      <c r="D170" s="421"/>
      <c r="E170" s="430"/>
      <c r="F170" s="430"/>
      <c r="G170" s="430">
        <v>131075.583333333</v>
      </c>
      <c r="H170" s="430"/>
      <c r="I170" s="453"/>
      <c r="J170" s="451"/>
      <c r="K170" s="451"/>
      <c r="L170" s="451"/>
      <c r="M170" s="451"/>
      <c r="N170" s="459"/>
      <c r="O170" s="430"/>
      <c r="P170" s="531"/>
      <c r="Q170" s="429"/>
      <c r="R170" s="421"/>
      <c r="S170" s="473"/>
      <c r="T170" s="466"/>
      <c r="U170" s="466"/>
      <c r="V170" s="421"/>
      <c r="W170" s="421"/>
    </row>
    <row r="171" s="408" customFormat="1" spans="1:23">
      <c r="A171" s="428"/>
      <c r="B171" s="421"/>
      <c r="C171" s="439"/>
      <c r="D171" s="421"/>
      <c r="E171" s="421"/>
      <c r="F171" s="496">
        <v>187650.463333333</v>
      </c>
      <c r="G171" s="496"/>
      <c r="H171" s="496">
        <v>117816.916666667</v>
      </c>
      <c r="I171" s="453" t="e">
        <f>(F171/G171)-1</f>
        <v>#DIV/0!</v>
      </c>
      <c r="J171" s="430"/>
      <c r="K171" s="430"/>
      <c r="L171" s="430"/>
      <c r="M171" s="451"/>
      <c r="N171" s="459"/>
      <c r="O171" s="430"/>
      <c r="P171" s="531"/>
      <c r="Q171" s="429"/>
      <c r="R171" s="421"/>
      <c r="S171" s="473"/>
      <c r="T171" s="466"/>
      <c r="U171" s="466"/>
      <c r="V171" s="421"/>
      <c r="W171" s="421"/>
    </row>
    <row r="172" s="408" customFormat="1" spans="1:23">
      <c r="A172" s="428"/>
      <c r="B172" s="438"/>
      <c r="C172" s="439"/>
      <c r="D172" s="421"/>
      <c r="E172" s="430"/>
      <c r="F172" s="430"/>
      <c r="G172" s="430"/>
      <c r="H172" s="430"/>
      <c r="I172" s="453"/>
      <c r="J172" s="430"/>
      <c r="K172" s="430"/>
      <c r="L172" s="430"/>
      <c r="M172" s="451"/>
      <c r="N172" s="459"/>
      <c r="O172" s="430"/>
      <c r="P172" s="531"/>
      <c r="Q172" s="429"/>
      <c r="R172" s="421"/>
      <c r="S172" s="473"/>
      <c r="T172" s="466"/>
      <c r="U172" s="466"/>
      <c r="V172" s="421"/>
      <c r="W172" s="421"/>
    </row>
    <row r="173" s="408" customFormat="1" ht="17.4" spans="1:23">
      <c r="A173" s="418" t="s">
        <v>189</v>
      </c>
      <c r="B173" s="419"/>
      <c r="C173" s="420"/>
      <c r="D173" s="421"/>
      <c r="E173" s="422" t="s">
        <v>202</v>
      </c>
      <c r="F173" s="422"/>
      <c r="G173" s="422" t="s">
        <v>213</v>
      </c>
      <c r="H173" s="422"/>
      <c r="I173" s="422"/>
      <c r="J173" s="422"/>
      <c r="K173" s="422"/>
      <c r="L173" s="422"/>
      <c r="M173" s="443"/>
      <c r="N173" s="422"/>
      <c r="O173" s="422"/>
      <c r="P173" s="531"/>
      <c r="Q173" s="465"/>
      <c r="R173" s="424"/>
      <c r="S173" s="473"/>
      <c r="T173" s="467"/>
      <c r="U173" s="467"/>
      <c r="V173" s="467"/>
      <c r="W173" s="467"/>
    </row>
    <row r="174" s="409" customFormat="1" ht="46.8" spans="1:23">
      <c r="A174" s="423" t="s">
        <v>206</v>
      </c>
      <c r="B174" s="424" t="s">
        <v>207</v>
      </c>
      <c r="C174" s="425" t="s">
        <v>208</v>
      </c>
      <c r="D174" s="424" t="s">
        <v>209</v>
      </c>
      <c r="E174" s="426" t="s">
        <v>210</v>
      </c>
      <c r="F174" s="427" t="s">
        <v>432</v>
      </c>
      <c r="G174" s="427">
        <v>116448.583333333</v>
      </c>
      <c r="H174" s="427" t="s">
        <v>396</v>
      </c>
      <c r="I174" s="427" t="s">
        <v>386</v>
      </c>
      <c r="J174" s="446" t="s">
        <v>433</v>
      </c>
      <c r="K174" s="446"/>
      <c r="L174" s="446"/>
      <c r="M174" s="447" t="s">
        <v>436</v>
      </c>
      <c r="N174" s="448" t="s">
        <v>219</v>
      </c>
      <c r="O174" s="449" t="s">
        <v>220</v>
      </c>
      <c r="P174" s="535" t="s">
        <v>0</v>
      </c>
      <c r="Q174" s="469" t="s">
        <v>222</v>
      </c>
      <c r="R174" s="426" t="s">
        <v>223</v>
      </c>
      <c r="S174" s="470" t="s">
        <v>224</v>
      </c>
      <c r="T174" s="467" t="s">
        <v>225</v>
      </c>
      <c r="U174" s="470" t="s">
        <v>226</v>
      </c>
      <c r="V174" s="467"/>
      <c r="W174" s="467"/>
    </row>
    <row r="175" s="408" customFormat="1" spans="1:23">
      <c r="A175" s="428" t="s">
        <v>230</v>
      </c>
      <c r="B175" s="421" t="s">
        <v>354</v>
      </c>
      <c r="C175" s="429" t="str">
        <f>VLOOKUP(B175,正厂竞争者数据汇总!D:H,2,FALSE)</f>
        <v>Motor目录</v>
      </c>
      <c r="D175" s="421" t="str">
        <f>VLOOKUP(B175,正厂竞争者数据汇总!D:H,3,FALSE)</f>
        <v>NJ</v>
      </c>
      <c r="E175" s="430"/>
      <c r="F175" s="430">
        <v>120147.75</v>
      </c>
      <c r="G175" s="430"/>
      <c r="H175" s="430"/>
      <c r="I175" s="453"/>
      <c r="J175" s="451">
        <v>0.473304943696732</v>
      </c>
      <c r="K175" s="451"/>
      <c r="L175" s="451"/>
      <c r="M175" s="451"/>
      <c r="N175" s="459"/>
      <c r="O175" s="430"/>
      <c r="P175" s="531">
        <f>VLOOKUP(B175,正厂竞争者数据汇总!D:M,6,FALSE)</f>
        <v>0</v>
      </c>
      <c r="Q175" s="429"/>
      <c r="R175" s="421"/>
      <c r="S175" s="473"/>
      <c r="T175" s="466"/>
      <c r="U175" s="466"/>
      <c r="V175" s="421"/>
      <c r="W175" s="421"/>
    </row>
    <row r="176" s="408" customFormat="1" spans="1:23">
      <c r="A176" s="428" t="s">
        <v>243</v>
      </c>
      <c r="B176" s="421" t="s">
        <v>353</v>
      </c>
      <c r="C176" s="429" t="str">
        <f>VLOOKUP(B176,正厂竞争者数据汇总!D:H,2,FALSE)</f>
        <v>Motor目录</v>
      </c>
      <c r="D176" s="421" t="str">
        <f>VLOOKUP(B176,正厂竞争者数据汇总!D:H,3,FALSE)</f>
        <v>WI</v>
      </c>
      <c r="E176" s="430">
        <f>VLOOKUP(B179,正厂竞争者数据汇总!D:H,4,FALSE)</f>
        <v>0</v>
      </c>
      <c r="F176" s="430">
        <v>43395.5</v>
      </c>
      <c r="G176" s="430">
        <v>127</v>
      </c>
      <c r="H176" s="430">
        <v>27910.6666666667</v>
      </c>
      <c r="I176" s="453">
        <f t="shared" ref="I176:I179" si="0">(F176/G176)-1</f>
        <v>340.696850393701</v>
      </c>
      <c r="J176" s="451">
        <v>0.170950389700944</v>
      </c>
      <c r="K176" s="451"/>
      <c r="L176" s="451"/>
      <c r="M176" s="451" t="e">
        <f>J176-#REF!</f>
        <v>#REF!</v>
      </c>
      <c r="N176" s="459"/>
      <c r="O176" s="430"/>
      <c r="P176" s="531" t="str">
        <f>VLOOKUP(B176,正厂竞争者数据汇总!D:M,6,FALSE)</f>
        <v>2023年9月新增</v>
      </c>
      <c r="Q176" s="429" t="s">
        <v>180</v>
      </c>
      <c r="R176" s="421" t="s">
        <v>180</v>
      </c>
      <c r="S176" s="473"/>
      <c r="T176" s="466"/>
      <c r="U176" s="466"/>
      <c r="V176" s="421"/>
      <c r="W176" s="421"/>
    </row>
    <row r="177" s="408" customFormat="1" spans="1:23">
      <c r="A177" s="428" t="s">
        <v>243</v>
      </c>
      <c r="B177" s="421" t="s">
        <v>355</v>
      </c>
      <c r="C177" s="429" t="str">
        <f>VLOOKUP(B177,正厂竞争者数据汇总!D:H,2,FALSE)</f>
        <v>旧年份原厂、新年份Motor</v>
      </c>
      <c r="D177" s="421" t="str">
        <f>VLOOKUP(B177,正厂竞争者数据汇总!D:H,3,FALSE)</f>
        <v>GA</v>
      </c>
      <c r="E177" s="430" t="e">
        <f>VLOOKUP(B180,正厂竞争者数据汇总!D:H,4,FALSE)</f>
        <v>#N/A</v>
      </c>
      <c r="F177" s="430">
        <v>36602.9166666667</v>
      </c>
      <c r="G177" s="430">
        <v>128</v>
      </c>
      <c r="H177" s="430">
        <v>27911.6666666667</v>
      </c>
      <c r="I177" s="453">
        <f t="shared" si="0"/>
        <v>284.960286458334</v>
      </c>
      <c r="J177" s="451">
        <v>0.144191975397399</v>
      </c>
      <c r="K177" s="451"/>
      <c r="L177" s="451"/>
      <c r="M177" s="451"/>
      <c r="N177" s="459"/>
      <c r="O177" s="430"/>
      <c r="P177" s="536">
        <f>VLOOKUP(B177,正厂竞争者数据汇总!D:M,6,FALSE)</f>
        <v>0</v>
      </c>
      <c r="Q177" s="429" t="s">
        <v>180</v>
      </c>
      <c r="R177" s="421" t="s">
        <v>180</v>
      </c>
      <c r="S177" s="473"/>
      <c r="T177" s="466"/>
      <c r="U177" s="466"/>
      <c r="V177" s="421"/>
      <c r="W177" s="421"/>
    </row>
    <row r="178" s="408" customFormat="1" spans="1:23">
      <c r="A178" s="428" t="s">
        <v>230</v>
      </c>
      <c r="B178" s="421" t="s">
        <v>352</v>
      </c>
      <c r="C178" s="429" t="str">
        <f>VLOOKUP(B178,正厂竞争者数据汇总!D:H,2,FALSE)</f>
        <v>Motor目录</v>
      </c>
      <c r="D178" s="421" t="str">
        <f>VLOOKUP(B178,正厂竞争者数据汇总!D:H,3,FALSE)</f>
        <v>-</v>
      </c>
      <c r="E178" s="430" t="e">
        <f>VLOOKUP(B181,正厂竞争者数据汇总!D:H,4,FALSE)</f>
        <v>#N/A</v>
      </c>
      <c r="F178" s="430">
        <v>32508</v>
      </c>
      <c r="G178" s="430">
        <v>129</v>
      </c>
      <c r="H178" s="430">
        <v>27912.6666666667</v>
      </c>
      <c r="I178" s="453">
        <f t="shared" si="0"/>
        <v>251</v>
      </c>
      <c r="J178" s="451">
        <v>0.128060634591105</v>
      </c>
      <c r="K178" s="451"/>
      <c r="L178" s="451"/>
      <c r="M178" s="451"/>
      <c r="N178" s="459"/>
      <c r="O178" s="430"/>
      <c r="P178" s="531" t="str">
        <f>VLOOKUP(B178,正厂竞争者数据汇总!D:M,6,FALSE)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78" s="429"/>
      <c r="R178" s="421"/>
      <c r="S178" s="473"/>
      <c r="T178" s="466"/>
      <c r="U178" s="466"/>
      <c r="V178" s="421"/>
      <c r="W178" s="421"/>
    </row>
    <row r="179" s="408" customFormat="1" spans="1:23">
      <c r="A179" s="428" t="s">
        <v>230</v>
      </c>
      <c r="B179" s="431" t="s">
        <v>356</v>
      </c>
      <c r="C179" s="429" t="str">
        <f>VLOOKUP(B179,正厂竞争者数据汇总!D:H,2,FALSE)</f>
        <v>Motor目录</v>
      </c>
      <c r="D179" s="421" t="str">
        <f>VLOOKUP(B179,正厂竞争者数据汇总!D:H,3,FALSE)</f>
        <v>KS</v>
      </c>
      <c r="E179" s="430">
        <f>VLOOKUP(B179,正厂竞争者数据汇总!D:H,4,FALSE)</f>
        <v>0</v>
      </c>
      <c r="F179" s="430">
        <v>21194.3333333334</v>
      </c>
      <c r="G179" s="430">
        <v>23846.5</v>
      </c>
      <c r="H179" s="430">
        <v>201650.166666667</v>
      </c>
      <c r="I179" s="453">
        <f t="shared" si="0"/>
        <v>-0.111218278014241</v>
      </c>
      <c r="J179" s="451">
        <v>0.0834920566138204</v>
      </c>
      <c r="K179" s="451"/>
      <c r="L179" s="451"/>
      <c r="M179" s="451" t="e">
        <f>J179-#REF!</f>
        <v>#REF!</v>
      </c>
      <c r="N179" s="459"/>
      <c r="O179" s="430"/>
      <c r="P179" s="531">
        <f>VLOOKUP(B179,正厂竞争者数据汇总!D:M,6,FALSE)</f>
        <v>0</v>
      </c>
      <c r="Q179" s="429" t="s">
        <v>180</v>
      </c>
      <c r="R179" s="421" t="s">
        <v>180</v>
      </c>
      <c r="S179" s="473"/>
      <c r="T179" s="466"/>
      <c r="U179" s="466"/>
      <c r="V179" s="421"/>
      <c r="W179" s="421"/>
    </row>
    <row r="180" s="410" customFormat="1" spans="1:23">
      <c r="A180" s="432"/>
      <c r="B180" s="433"/>
      <c r="C180" s="434"/>
      <c r="D180" s="421"/>
      <c r="E180" s="436"/>
      <c r="F180" s="436"/>
      <c r="G180" s="436">
        <v>749876.416666666</v>
      </c>
      <c r="H180" s="436"/>
      <c r="I180" s="453"/>
      <c r="J180" s="457"/>
      <c r="K180" s="457"/>
      <c r="L180" s="457"/>
      <c r="M180" s="451"/>
      <c r="N180" s="455"/>
      <c r="O180" s="436"/>
      <c r="P180" s="531"/>
      <c r="Q180" s="434"/>
      <c r="R180" s="435"/>
      <c r="S180" s="473"/>
      <c r="T180" s="466"/>
      <c r="U180" s="466"/>
      <c r="V180" s="435"/>
      <c r="W180" s="435"/>
    </row>
    <row r="181" s="408" customFormat="1" spans="1:23">
      <c r="A181" s="428"/>
      <c r="B181" s="421"/>
      <c r="C181" s="439"/>
      <c r="D181" s="421"/>
      <c r="E181" s="430"/>
      <c r="F181" s="430">
        <v>253848.5</v>
      </c>
      <c r="G181" s="430"/>
      <c r="H181" s="430">
        <v>829193.583333334</v>
      </c>
      <c r="I181" s="453" t="e">
        <f>(F181/G181)-1</f>
        <v>#DIV/0!</v>
      </c>
      <c r="J181" s="430"/>
      <c r="K181" s="430"/>
      <c r="L181" s="430"/>
      <c r="M181" s="451"/>
      <c r="N181" s="459"/>
      <c r="O181" s="430"/>
      <c r="P181" s="531"/>
      <c r="Q181" s="429"/>
      <c r="R181" s="421"/>
      <c r="S181" s="473"/>
      <c r="T181" s="466"/>
      <c r="U181" s="466"/>
      <c r="V181" s="421"/>
      <c r="W181" s="421"/>
    </row>
    <row r="182" s="408" customFormat="1" spans="1:23">
      <c r="A182" s="428"/>
      <c r="B182" s="421"/>
      <c r="C182" s="439"/>
      <c r="D182" s="421"/>
      <c r="E182" s="430"/>
      <c r="F182" s="430"/>
      <c r="G182" s="430"/>
      <c r="H182" s="430"/>
      <c r="I182" s="453"/>
      <c r="J182" s="430"/>
      <c r="K182" s="430"/>
      <c r="L182" s="430"/>
      <c r="M182" s="451"/>
      <c r="N182" s="459"/>
      <c r="O182" s="430"/>
      <c r="P182" s="531"/>
      <c r="Q182" s="429"/>
      <c r="R182" s="421"/>
      <c r="S182" s="473"/>
      <c r="T182" s="466"/>
      <c r="U182" s="466"/>
      <c r="V182" s="421"/>
      <c r="W182" s="421"/>
    </row>
    <row r="183" s="408" customFormat="1" ht="17.4" spans="1:23">
      <c r="A183" s="418" t="s">
        <v>185</v>
      </c>
      <c r="B183" s="419"/>
      <c r="C183" s="420"/>
      <c r="D183" s="421"/>
      <c r="E183" s="422" t="s">
        <v>202</v>
      </c>
      <c r="F183" s="422"/>
      <c r="G183" s="422" t="s">
        <v>213</v>
      </c>
      <c r="H183" s="422"/>
      <c r="I183" s="422"/>
      <c r="J183" s="422"/>
      <c r="K183" s="422"/>
      <c r="L183" s="422"/>
      <c r="M183" s="443"/>
      <c r="N183" s="444"/>
      <c r="O183" s="422"/>
      <c r="P183" s="531"/>
      <c r="Q183" s="465"/>
      <c r="R183" s="424"/>
      <c r="S183" s="473"/>
      <c r="T183" s="467"/>
      <c r="U183" s="467"/>
      <c r="V183" s="467"/>
      <c r="W183" s="467"/>
    </row>
    <row r="184" s="409" customFormat="1" ht="46.8" spans="1:23">
      <c r="A184" s="423" t="s">
        <v>206</v>
      </c>
      <c r="B184" s="424" t="s">
        <v>207</v>
      </c>
      <c r="C184" s="425" t="s">
        <v>208</v>
      </c>
      <c r="D184" s="424" t="s">
        <v>209</v>
      </c>
      <c r="E184" s="426" t="s">
        <v>210</v>
      </c>
      <c r="F184" s="427" t="s">
        <v>432</v>
      </c>
      <c r="G184" s="427">
        <v>116448.583333333</v>
      </c>
      <c r="H184" s="427" t="s">
        <v>396</v>
      </c>
      <c r="I184" s="427" t="s">
        <v>386</v>
      </c>
      <c r="J184" s="446" t="s">
        <v>433</v>
      </c>
      <c r="K184" s="446"/>
      <c r="L184" s="446"/>
      <c r="M184" s="447" t="s">
        <v>436</v>
      </c>
      <c r="N184" s="448" t="s">
        <v>219</v>
      </c>
      <c r="O184" s="449" t="s">
        <v>220</v>
      </c>
      <c r="P184" s="535" t="s">
        <v>0</v>
      </c>
      <c r="Q184" s="469" t="s">
        <v>222</v>
      </c>
      <c r="R184" s="426" t="s">
        <v>223</v>
      </c>
      <c r="S184" s="470" t="s">
        <v>224</v>
      </c>
      <c r="T184" s="467" t="s">
        <v>225</v>
      </c>
      <c r="U184" s="470" t="s">
        <v>226</v>
      </c>
      <c r="V184" s="467"/>
      <c r="W184" s="467"/>
    </row>
    <row r="185" s="408" customFormat="1" spans="1:23">
      <c r="A185" s="497" t="s">
        <v>230</v>
      </c>
      <c r="B185" s="438" t="s">
        <v>330</v>
      </c>
      <c r="C185" s="429" t="str">
        <f>VLOOKUP(B185,正厂竞争者数据汇总!D:H,2,FALSE)</f>
        <v>Motor目录</v>
      </c>
      <c r="D185" s="421" t="str">
        <f>VLOOKUP(B185,正厂竞争者数据汇总!D:H,3,FALSE)</f>
        <v>NM</v>
      </c>
      <c r="E185" s="430"/>
      <c r="F185" s="430">
        <v>170787.916666667</v>
      </c>
      <c r="G185" s="430"/>
      <c r="H185" s="430"/>
      <c r="I185" s="453"/>
      <c r="J185" s="451">
        <v>0.305722671707319</v>
      </c>
      <c r="K185" s="451"/>
      <c r="L185" s="451"/>
      <c r="M185" s="451"/>
      <c r="N185" s="459"/>
      <c r="O185" s="430"/>
      <c r="P185" s="531">
        <f>VLOOKUP(B185,正厂竞争者数据汇总!D:M,6,FALSE)</f>
        <v>0</v>
      </c>
      <c r="Q185" s="429"/>
      <c r="R185" s="421"/>
      <c r="S185" s="473"/>
      <c r="T185" s="466"/>
      <c r="U185" s="466"/>
      <c r="V185" s="421"/>
      <c r="W185" s="421"/>
    </row>
    <row r="186" s="408" customFormat="1" spans="1:23">
      <c r="A186" s="497" t="s">
        <v>243</v>
      </c>
      <c r="B186" s="438" t="s">
        <v>331</v>
      </c>
      <c r="C186" s="429" t="str">
        <f>VLOOKUP(B186,正厂竞争者数据汇总!D:H,2,FALSE)</f>
        <v>旧年份原厂、新年份Motor</v>
      </c>
      <c r="D186" s="421" t="str">
        <f>VLOOKUP(B186,正厂竞争者数据汇总!D:H,3,FALSE)</f>
        <v>GA</v>
      </c>
      <c r="E186" s="430" t="str">
        <f>VLOOKUP(B184,正厂竞争者数据汇总!D:H,4,FALSE)</f>
        <v>Alexa Traffic Rank</v>
      </c>
      <c r="F186" s="430">
        <v>123409.406666667</v>
      </c>
      <c r="G186" s="430">
        <v>148204.583333333</v>
      </c>
      <c r="H186" s="430">
        <v>93790.0833333333</v>
      </c>
      <c r="I186" s="453">
        <f>(F186/G186)-1</f>
        <v>-0.167303710242875</v>
      </c>
      <c r="J186" s="451">
        <v>0.22091172640501</v>
      </c>
      <c r="K186" s="451"/>
      <c r="L186" s="451"/>
      <c r="M186" s="451" t="e">
        <f>J186-#REF!</f>
        <v>#REF!</v>
      </c>
      <c r="N186" s="459"/>
      <c r="O186" s="430"/>
      <c r="P186" s="531">
        <f>VLOOKUP(B186,正厂竞争者数据汇总!D:M,6,FALSE)</f>
        <v>0</v>
      </c>
      <c r="Q186" s="429" t="s">
        <v>180</v>
      </c>
      <c r="R186" s="421" t="s">
        <v>180</v>
      </c>
      <c r="S186" s="473"/>
      <c r="T186" s="466"/>
      <c r="U186" s="466"/>
      <c r="V186" s="421"/>
      <c r="W186" s="421"/>
    </row>
    <row r="187" s="408" customFormat="1" spans="1:23">
      <c r="A187" s="497" t="s">
        <v>230</v>
      </c>
      <c r="B187" s="438" t="s">
        <v>336</v>
      </c>
      <c r="C187" s="429" t="str">
        <f>VLOOKUP(B187,正厂竞争者数据汇总!D:H,2,FALSE)</f>
        <v>Motor目录</v>
      </c>
      <c r="D187" s="421" t="str">
        <f>VLOOKUP(B187,正厂竞争者数据汇总!D:H,3,FALSE)</f>
        <v>IL</v>
      </c>
      <c r="E187" s="430"/>
      <c r="F187" s="430">
        <v>79027</v>
      </c>
      <c r="G187" s="430"/>
      <c r="H187" s="430"/>
      <c r="I187" s="453"/>
      <c r="J187" s="451">
        <v>0.141464021861505</v>
      </c>
      <c r="K187" s="451"/>
      <c r="L187" s="451"/>
      <c r="M187" s="451"/>
      <c r="N187" s="459"/>
      <c r="O187" s="430"/>
      <c r="P187" s="531" t="str">
        <f>VLOOKUP(B187,正厂竞争者数据汇总!D:M,6,FALSE)</f>
        <v>2023年9月新增</v>
      </c>
      <c r="Q187" s="429"/>
      <c r="R187" s="421"/>
      <c r="S187" s="473"/>
      <c r="T187" s="466"/>
      <c r="U187" s="466"/>
      <c r="V187" s="421"/>
      <c r="W187" s="421"/>
    </row>
    <row r="188" s="408" customFormat="1" spans="1:23">
      <c r="A188" s="497" t="s">
        <v>332</v>
      </c>
      <c r="B188" s="438" t="s">
        <v>333</v>
      </c>
      <c r="C188" s="429" t="str">
        <f>VLOOKUP(B188,正厂竞争者数据汇总!D:H,2,FALSE)</f>
        <v>Motor目录</v>
      </c>
      <c r="D188" s="421" t="str">
        <f>VLOOKUP(B188,正厂竞争者数据汇总!D:H,3,FALSE)</f>
        <v>TX</v>
      </c>
      <c r="E188" s="430"/>
      <c r="F188" s="430">
        <v>78905</v>
      </c>
      <c r="G188" s="430"/>
      <c r="H188" s="430"/>
      <c r="I188" s="453"/>
      <c r="J188" s="451">
        <v>0.141245633074545</v>
      </c>
      <c r="K188" s="451"/>
      <c r="L188" s="451"/>
      <c r="M188" s="451"/>
      <c r="N188" s="459"/>
      <c r="O188" s="430"/>
      <c r="P188" s="531" t="str">
        <f>VLOOKUP(B188,正厂竞争者数据汇总!D:M,6,FALSE)</f>
        <v>2023年9月新增，用区号确定的地址</v>
      </c>
      <c r="Q188" s="429"/>
      <c r="R188" s="421"/>
      <c r="S188" s="473"/>
      <c r="T188" s="466"/>
      <c r="U188" s="466"/>
      <c r="V188" s="421"/>
      <c r="W188" s="421"/>
    </row>
    <row r="189" s="408" customFormat="1" spans="1:23">
      <c r="A189" s="497" t="s">
        <v>446</v>
      </c>
      <c r="B189" s="438" t="s">
        <v>334</v>
      </c>
      <c r="C189" s="429" t="str">
        <f>VLOOKUP(B189,正厂竞争者数据汇总!D:H,2,FALSE)</f>
        <v>Motor目录</v>
      </c>
      <c r="D189" s="421" t="str">
        <f>VLOOKUP(B189,正厂竞争者数据汇总!D:H,3,FALSE)</f>
        <v>WA</v>
      </c>
      <c r="E189" s="430"/>
      <c r="F189" s="430">
        <v>59443.6666666667</v>
      </c>
      <c r="G189" s="430"/>
      <c r="H189" s="430"/>
      <c r="I189" s="453"/>
      <c r="J189" s="451">
        <v>0.10640844471967</v>
      </c>
      <c r="K189" s="451"/>
      <c r="L189" s="451"/>
      <c r="M189" s="451"/>
      <c r="N189" s="459"/>
      <c r="O189" s="430"/>
      <c r="P189" s="531">
        <f>VLOOKUP(B189,正厂竞争者数据汇总!D:M,6,FALSE)</f>
        <v>0</v>
      </c>
      <c r="Q189" s="429"/>
      <c r="R189" s="421"/>
      <c r="S189" s="473"/>
      <c r="T189" s="466"/>
      <c r="U189" s="466"/>
      <c r="V189" s="421"/>
      <c r="W189" s="421"/>
    </row>
    <row r="190" s="408" customFormat="1" spans="1:23">
      <c r="A190" s="497" t="s">
        <v>234</v>
      </c>
      <c r="B190" s="438" t="s">
        <v>337</v>
      </c>
      <c r="C190" s="429" t="str">
        <f>VLOOKUP(B190,正厂竞争者数据汇总!D:H,2,FALSE)</f>
        <v>Acc目录</v>
      </c>
      <c r="D190" s="421" t="str">
        <f>VLOOKUP(B190,正厂竞争者数据汇总!D:H,3,FALSE)</f>
        <v>AL</v>
      </c>
      <c r="E190" s="430"/>
      <c r="F190" s="430">
        <v>47063.75</v>
      </c>
      <c r="G190" s="430"/>
      <c r="H190" s="430"/>
      <c r="I190" s="453"/>
      <c r="J190" s="451">
        <v>0.0842475022319512</v>
      </c>
      <c r="K190" s="451"/>
      <c r="L190" s="451"/>
      <c r="M190" s="451"/>
      <c r="N190" s="459"/>
      <c r="O190" s="430"/>
      <c r="P190" s="531" t="str">
        <f>VLOOKUP(B190,正厂竞争者数据汇总!D:M,6,FALSE)</f>
        <v>主营Acc</v>
      </c>
      <c r="Q190" s="429"/>
      <c r="R190" s="421"/>
      <c r="S190" s="473"/>
      <c r="T190" s="466"/>
      <c r="U190" s="466"/>
      <c r="V190" s="421"/>
      <c r="W190" s="421"/>
    </row>
    <row r="191" s="410" customFormat="1" spans="1:23">
      <c r="A191" s="432"/>
      <c r="B191" s="433"/>
      <c r="C191" s="434"/>
      <c r="D191" s="421"/>
      <c r="E191" s="436"/>
      <c r="F191" s="436"/>
      <c r="G191" s="436">
        <v>417528.5</v>
      </c>
      <c r="H191" s="436"/>
      <c r="I191" s="453"/>
      <c r="J191" s="457"/>
      <c r="K191" s="457"/>
      <c r="L191" s="457"/>
      <c r="M191" s="451"/>
      <c r="N191" s="455"/>
      <c r="O191" s="436"/>
      <c r="P191" s="531"/>
      <c r="Q191" s="500"/>
      <c r="R191" s="501"/>
      <c r="S191" s="473"/>
      <c r="T191" s="466"/>
      <c r="U191" s="466"/>
      <c r="V191" s="435"/>
      <c r="W191" s="435"/>
    </row>
    <row r="192" s="408" customFormat="1" spans="1:23">
      <c r="A192" s="428"/>
      <c r="B192" s="421"/>
      <c r="C192" s="439"/>
      <c r="D192" s="421"/>
      <c r="E192" s="430"/>
      <c r="F192" s="430">
        <v>558636.740000001</v>
      </c>
      <c r="G192" s="430"/>
      <c r="H192" s="430">
        <v>484652.583333333</v>
      </c>
      <c r="I192" s="453" t="e">
        <f t="shared" ref="I192:I201" si="1">(F192/G192)-1</f>
        <v>#DIV/0!</v>
      </c>
      <c r="J192" s="430"/>
      <c r="K192" s="430"/>
      <c r="L192" s="430"/>
      <c r="M192" s="451"/>
      <c r="N192" s="459"/>
      <c r="O192" s="430"/>
      <c r="P192" s="531"/>
      <c r="Q192" s="429"/>
      <c r="R192" s="421"/>
      <c r="S192" s="473"/>
      <c r="T192" s="466"/>
      <c r="U192" s="466"/>
      <c r="V192" s="421"/>
      <c r="W192" s="421"/>
    </row>
    <row r="193" s="408" customFormat="1" spans="1:23">
      <c r="A193" s="423"/>
      <c r="B193" s="421"/>
      <c r="C193" s="425"/>
      <c r="D193" s="421"/>
      <c r="E193" s="430"/>
      <c r="F193" s="430"/>
      <c r="G193" s="430"/>
      <c r="H193" s="430"/>
      <c r="I193" s="453"/>
      <c r="J193" s="430"/>
      <c r="K193" s="430"/>
      <c r="L193" s="430"/>
      <c r="M193" s="451"/>
      <c r="N193" s="459"/>
      <c r="O193" s="430"/>
      <c r="P193" s="531"/>
      <c r="Q193" s="429"/>
      <c r="R193" s="421"/>
      <c r="S193" s="473"/>
      <c r="T193" s="466"/>
      <c r="U193" s="466"/>
      <c r="V193" s="421"/>
      <c r="W193" s="421"/>
    </row>
    <row r="194" s="408" customFormat="1" ht="17.4" spans="1:23">
      <c r="A194" s="418" t="s">
        <v>195</v>
      </c>
      <c r="B194" s="419"/>
      <c r="C194" s="420"/>
      <c r="D194" s="421"/>
      <c r="E194" s="422" t="s">
        <v>202</v>
      </c>
      <c r="F194" s="422"/>
      <c r="G194" s="422" t="s">
        <v>213</v>
      </c>
      <c r="H194" s="422"/>
      <c r="I194" s="422"/>
      <c r="J194" s="422"/>
      <c r="K194" s="422"/>
      <c r="L194" s="422"/>
      <c r="M194" s="443"/>
      <c r="N194" s="444"/>
      <c r="O194" s="422"/>
      <c r="P194" s="531"/>
      <c r="Q194" s="465"/>
      <c r="R194" s="424"/>
      <c r="S194" s="473"/>
      <c r="T194" s="467"/>
      <c r="U194" s="467"/>
      <c r="V194" s="467"/>
      <c r="W194" s="467"/>
    </row>
    <row r="195" s="409" customFormat="1" ht="46.8" spans="1:23">
      <c r="A195" s="423" t="s">
        <v>206</v>
      </c>
      <c r="B195" s="424" t="s">
        <v>207</v>
      </c>
      <c r="C195" s="425" t="s">
        <v>208</v>
      </c>
      <c r="D195" s="424" t="s">
        <v>209</v>
      </c>
      <c r="E195" s="426" t="s">
        <v>210</v>
      </c>
      <c r="F195" s="427" t="s">
        <v>432</v>
      </c>
      <c r="G195" s="427">
        <v>116448.583333333</v>
      </c>
      <c r="H195" s="427" t="s">
        <v>396</v>
      </c>
      <c r="I195" s="427" t="s">
        <v>386</v>
      </c>
      <c r="J195" s="446" t="s">
        <v>433</v>
      </c>
      <c r="K195" s="446"/>
      <c r="L195" s="446"/>
      <c r="M195" s="447" t="s">
        <v>436</v>
      </c>
      <c r="N195" s="448" t="s">
        <v>219</v>
      </c>
      <c r="O195" s="449" t="s">
        <v>220</v>
      </c>
      <c r="P195" s="535" t="s">
        <v>0</v>
      </c>
      <c r="Q195" s="469" t="s">
        <v>222</v>
      </c>
      <c r="R195" s="426" t="s">
        <v>223</v>
      </c>
      <c r="S195" s="470" t="s">
        <v>224</v>
      </c>
      <c r="T195" s="467" t="s">
        <v>225</v>
      </c>
      <c r="U195" s="470" t="s">
        <v>226</v>
      </c>
      <c r="V195" s="467"/>
      <c r="W195" s="467"/>
    </row>
    <row r="196" s="408" customFormat="1" spans="1:23">
      <c r="A196" s="428" t="s">
        <v>230</v>
      </c>
      <c r="B196" s="421" t="s">
        <v>378</v>
      </c>
      <c r="C196" s="429" t="str">
        <f>VLOOKUP(B196,正厂竞争者数据汇总!D:H,2,FALSE)</f>
        <v>Motor目录</v>
      </c>
      <c r="D196" s="421" t="str">
        <f>VLOOKUP(B196,正厂竞争者数据汇总!D:H,3,FALSE)</f>
        <v>FL</v>
      </c>
      <c r="E196" s="430" t="str">
        <f>VLOOKUP(B195,正厂竞争者数据汇总!D:H,4,FALSE)</f>
        <v>Alexa Traffic Rank</v>
      </c>
      <c r="F196" s="430">
        <v>83761.4166666667</v>
      </c>
      <c r="G196" s="430">
        <v>0</v>
      </c>
      <c r="H196" s="430">
        <v>88546.8333333332</v>
      </c>
      <c r="I196" s="453" t="e">
        <f t="shared" si="1"/>
        <v>#DIV/0!</v>
      </c>
      <c r="J196" s="451">
        <v>0.384761824469657</v>
      </c>
      <c r="K196" s="451"/>
      <c r="L196" s="451"/>
      <c r="M196" s="451">
        <f>J196-K200</f>
        <v>0.384761824469657</v>
      </c>
      <c r="N196" s="459"/>
      <c r="O196" s="430"/>
      <c r="P196" s="531">
        <f>VLOOKUP(B196,正厂竞争者数据汇总!D:M,6,FALSE)</f>
        <v>0</v>
      </c>
      <c r="Q196" s="429" t="s">
        <v>180</v>
      </c>
      <c r="R196" s="421" t="s">
        <v>180</v>
      </c>
      <c r="S196" s="473"/>
      <c r="T196" s="466"/>
      <c r="U196" s="466"/>
      <c r="V196" s="421"/>
      <c r="W196" s="421"/>
    </row>
    <row r="197" s="408" customFormat="1" spans="1:23">
      <c r="A197" s="428" t="s">
        <v>230</v>
      </c>
      <c r="B197" s="421" t="s">
        <v>380</v>
      </c>
      <c r="C197" s="429" t="str">
        <f>VLOOKUP(B197,正厂竞争者数据汇总!D:H,2,FALSE)</f>
        <v>Motor目录</v>
      </c>
      <c r="D197" s="421" t="str">
        <f>VLOOKUP(B197,正厂竞争者数据汇总!D:H,3,FALSE)</f>
        <v>FL</v>
      </c>
      <c r="E197" s="430">
        <f>VLOOKUP(B196,正厂竞争者数据汇总!D:H,4,FALSE)</f>
        <v>0</v>
      </c>
      <c r="F197" s="430">
        <v>45242</v>
      </c>
      <c r="G197" s="430">
        <v>1</v>
      </c>
      <c r="H197" s="430">
        <v>88547.8333333332</v>
      </c>
      <c r="I197" s="453">
        <f t="shared" si="1"/>
        <v>45241</v>
      </c>
      <c r="J197" s="451">
        <v>0.207821156272105</v>
      </c>
      <c r="K197" s="451"/>
      <c r="L197" s="451"/>
      <c r="M197" s="451"/>
      <c r="N197" s="459"/>
      <c r="O197" s="430"/>
      <c r="P197" s="531"/>
      <c r="Q197" s="429"/>
      <c r="R197" s="421"/>
      <c r="S197" s="473"/>
      <c r="T197" s="466"/>
      <c r="U197" s="466"/>
      <c r="V197" s="421"/>
      <c r="W197" s="421"/>
    </row>
    <row r="198" s="408" customFormat="1" spans="1:23">
      <c r="A198" s="428" t="s">
        <v>230</v>
      </c>
      <c r="B198" s="421" t="s">
        <v>381</v>
      </c>
      <c r="C198" s="429" t="str">
        <f>VLOOKUP(B198,正厂竞争者数据汇总!D:H,2,FALSE)</f>
        <v>Motor目录</v>
      </c>
      <c r="D198" s="421" t="str">
        <f>VLOOKUP(B198,正厂竞争者数据汇总!D:H,3,FALSE)</f>
        <v>CA</v>
      </c>
      <c r="E198" s="430">
        <f>VLOOKUP(B197,正厂竞争者数据汇总!D:H,4,FALSE)</f>
        <v>0</v>
      </c>
      <c r="F198" s="430">
        <v>27182.5</v>
      </c>
      <c r="G198" s="430">
        <v>2</v>
      </c>
      <c r="H198" s="430">
        <v>88548.8333333332</v>
      </c>
      <c r="I198" s="453">
        <f t="shared" si="1"/>
        <v>13590.25</v>
      </c>
      <c r="J198" s="451">
        <v>0.124864032986307</v>
      </c>
      <c r="K198" s="451"/>
      <c r="L198" s="451"/>
      <c r="M198" s="451"/>
      <c r="N198" s="459"/>
      <c r="O198" s="430"/>
      <c r="P198" s="531"/>
      <c r="Q198" s="429"/>
      <c r="R198" s="421"/>
      <c r="S198" s="473"/>
      <c r="T198" s="466"/>
      <c r="U198" s="466"/>
      <c r="V198" s="421"/>
      <c r="W198" s="421"/>
    </row>
    <row r="199" s="408" customFormat="1" spans="1:23">
      <c r="A199" s="428" t="s">
        <v>325</v>
      </c>
      <c r="B199" s="421" t="s">
        <v>383</v>
      </c>
      <c r="C199" s="429" t="str">
        <f>VLOOKUP(B199,正厂竞争者数据汇总!D:H,2,FALSE)</f>
        <v>Motor目录</v>
      </c>
      <c r="D199" s="421" t="str">
        <f>VLOOKUP(B199,正厂竞争者数据汇总!D:H,3,FALSE)</f>
        <v>CA</v>
      </c>
      <c r="E199" s="430">
        <f>VLOOKUP(B198,正厂竞争者数据汇总!D:H,4,FALSE)</f>
        <v>0</v>
      </c>
      <c r="F199" s="430">
        <v>24156.88</v>
      </c>
      <c r="G199" s="430">
        <v>3</v>
      </c>
      <c r="H199" s="430">
        <v>88549.8333333332</v>
      </c>
      <c r="I199" s="453">
        <f t="shared" si="1"/>
        <v>8051.29333333333</v>
      </c>
      <c r="J199" s="451">
        <v>0.110965711805988</v>
      </c>
      <c r="K199" s="451"/>
      <c r="L199" s="451"/>
      <c r="M199" s="451"/>
      <c r="N199" s="459"/>
      <c r="O199" s="430"/>
      <c r="P199" s="531"/>
      <c r="Q199" s="429"/>
      <c r="R199" s="421"/>
      <c r="S199" s="473"/>
      <c r="T199" s="466"/>
      <c r="U199" s="466"/>
      <c r="V199" s="421"/>
      <c r="W199" s="421"/>
    </row>
    <row r="200" s="408" customFormat="1" spans="1:23">
      <c r="A200" s="428" t="s">
        <v>230</v>
      </c>
      <c r="B200" s="421" t="s">
        <v>379</v>
      </c>
      <c r="C200" s="429" t="str">
        <f>VLOOKUP(B200,正厂竞争者数据汇总!D:H,2,FALSE)</f>
        <v>Motor目录</v>
      </c>
      <c r="D200" s="421" t="str">
        <f>VLOOKUP(B200,正厂竞争者数据汇总!D:H,3,FALSE)</f>
        <v>FL</v>
      </c>
      <c r="E200" s="430">
        <f>VLOOKUP(B199,正厂竞争者数据汇总!D:H,4,FALSE)</f>
        <v>0</v>
      </c>
      <c r="F200" s="430">
        <v>23097.5</v>
      </c>
      <c r="G200" s="430">
        <v>4</v>
      </c>
      <c r="H200" s="430">
        <v>88550.8333333332</v>
      </c>
      <c r="I200" s="453">
        <f t="shared" si="1"/>
        <v>5773.375</v>
      </c>
      <c r="J200" s="451">
        <v>0.106099402258851</v>
      </c>
      <c r="K200" s="451"/>
      <c r="L200" s="451"/>
      <c r="M200" s="451"/>
      <c r="N200" s="459"/>
      <c r="O200" s="430"/>
      <c r="P200" s="531" t="str">
        <f>VLOOKUP(B200,正厂竞争者数据汇总!D:M,6,FALSE)</f>
        <v>2023年9月新增</v>
      </c>
      <c r="Q200" s="429" t="s">
        <v>180</v>
      </c>
      <c r="R200" s="421" t="s">
        <v>180</v>
      </c>
      <c r="S200" s="473"/>
      <c r="T200" s="466"/>
      <c r="U200" s="466"/>
      <c r="V200" s="421"/>
      <c r="W200" s="421"/>
    </row>
    <row r="201" s="408" customFormat="1" spans="1:23">
      <c r="A201" s="428" t="s">
        <v>230</v>
      </c>
      <c r="B201" s="421" t="s">
        <v>382</v>
      </c>
      <c r="C201" s="429" t="str">
        <f>VLOOKUP(B201,正厂竞争者数据汇总!D:H,2,FALSE)</f>
        <v>Motor目录</v>
      </c>
      <c r="D201" s="421" t="str">
        <f>VLOOKUP(B201,正厂竞争者数据汇总!D:H,3,FALSE)</f>
        <v>NJ</v>
      </c>
      <c r="E201" s="430">
        <f>VLOOKUP(B200,正厂竞争者数据汇总!D:H,4,FALSE)</f>
        <v>0</v>
      </c>
      <c r="F201" s="430">
        <v>14256.5</v>
      </c>
      <c r="G201" s="430">
        <v>5</v>
      </c>
      <c r="H201" s="430">
        <v>88551.8333333332</v>
      </c>
      <c r="I201" s="453">
        <f t="shared" si="1"/>
        <v>2850.3</v>
      </c>
      <c r="J201" s="451">
        <v>0.0654878722070922</v>
      </c>
      <c r="K201" s="451"/>
      <c r="L201" s="451"/>
      <c r="M201" s="451"/>
      <c r="N201" s="459"/>
      <c r="O201" s="430"/>
      <c r="P201" s="531" t="str">
        <f>VLOOKUP(B201,正厂竞争者数据汇总!D:M,6,FALSE)</f>
        <v>2023年9月新增</v>
      </c>
      <c r="Q201" s="429" t="s">
        <v>180</v>
      </c>
      <c r="R201" s="421" t="s">
        <v>180</v>
      </c>
      <c r="S201" s="473"/>
      <c r="T201" s="466"/>
      <c r="U201" s="466"/>
      <c r="V201" s="421"/>
      <c r="W201" s="421"/>
    </row>
    <row r="202" s="408" customFormat="1" spans="1:23">
      <c r="A202" s="428"/>
      <c r="B202" s="421"/>
      <c r="C202" s="429"/>
      <c r="D202" s="421"/>
      <c r="E202" s="430"/>
      <c r="F202" s="430"/>
      <c r="G202" s="430"/>
      <c r="H202" s="430"/>
      <c r="I202" s="453"/>
      <c r="J202" s="451"/>
      <c r="K202" s="451"/>
      <c r="L202" s="451"/>
      <c r="M202" s="451"/>
      <c r="N202" s="459"/>
      <c r="O202" s="430"/>
      <c r="P202" s="531"/>
      <c r="Q202" s="429"/>
      <c r="R202" s="421"/>
      <c r="S202" s="473"/>
      <c r="T202" s="466"/>
      <c r="U202" s="466"/>
      <c r="V202" s="421"/>
      <c r="W202" s="421"/>
    </row>
    <row r="203" s="408" customFormat="1" spans="1:23">
      <c r="A203" s="428"/>
      <c r="B203" s="421"/>
      <c r="C203" s="439"/>
      <c r="D203" s="421"/>
      <c r="E203" s="430"/>
      <c r="F203" s="430">
        <v>217696.796666667</v>
      </c>
      <c r="G203" s="430"/>
      <c r="H203" s="430">
        <v>88546.8333333332</v>
      </c>
      <c r="I203" s="453" t="e">
        <f t="shared" ref="I203:I215" si="2">(F203/G203)-1</f>
        <v>#DIV/0!</v>
      </c>
      <c r="J203" s="430"/>
      <c r="K203" s="430"/>
      <c r="L203" s="430"/>
      <c r="M203" s="451"/>
      <c r="N203" s="459"/>
      <c r="O203" s="430"/>
      <c r="P203" s="531"/>
      <c r="Q203" s="429"/>
      <c r="R203" s="421"/>
      <c r="S203" s="473"/>
      <c r="T203" s="466"/>
      <c r="U203" s="466"/>
      <c r="V203" s="421"/>
      <c r="W203" s="421"/>
    </row>
    <row r="204" s="408" customFormat="1" spans="1:23">
      <c r="A204" s="423"/>
      <c r="B204" s="421"/>
      <c r="C204" s="425"/>
      <c r="D204" s="421"/>
      <c r="E204" s="430"/>
      <c r="F204" s="430"/>
      <c r="G204" s="430"/>
      <c r="H204" s="430"/>
      <c r="I204" s="453"/>
      <c r="J204" s="430"/>
      <c r="K204" s="430"/>
      <c r="L204" s="430"/>
      <c r="M204" s="451"/>
      <c r="N204" s="459"/>
      <c r="O204" s="430"/>
      <c r="P204" s="531"/>
      <c r="Q204" s="429"/>
      <c r="R204" s="421"/>
      <c r="S204" s="473"/>
      <c r="T204" s="466"/>
      <c r="U204" s="466"/>
      <c r="V204" s="421"/>
      <c r="W204" s="421"/>
    </row>
    <row r="205" s="408" customFormat="1" ht="17.4" spans="1:23">
      <c r="A205" s="418" t="s">
        <v>187</v>
      </c>
      <c r="B205" s="419"/>
      <c r="C205" s="420"/>
      <c r="D205" s="421"/>
      <c r="E205" s="422" t="s">
        <v>202</v>
      </c>
      <c r="F205" s="422"/>
      <c r="G205" s="422" t="s">
        <v>213</v>
      </c>
      <c r="H205" s="422"/>
      <c r="I205" s="422"/>
      <c r="J205" s="422"/>
      <c r="K205" s="422"/>
      <c r="L205" s="422"/>
      <c r="M205" s="443"/>
      <c r="N205" s="422"/>
      <c r="O205" s="422"/>
      <c r="P205" s="531"/>
      <c r="Q205" s="465"/>
      <c r="R205" s="424"/>
      <c r="S205" s="473"/>
      <c r="T205" s="467"/>
      <c r="U205" s="467"/>
      <c r="V205" s="467"/>
      <c r="W205" s="467"/>
    </row>
    <row r="206" s="409" customFormat="1" ht="46.8" spans="1:23">
      <c r="A206" s="423" t="s">
        <v>206</v>
      </c>
      <c r="B206" s="424" t="s">
        <v>207</v>
      </c>
      <c r="C206" s="425" t="s">
        <v>208</v>
      </c>
      <c r="D206" s="424" t="s">
        <v>209</v>
      </c>
      <c r="E206" s="426" t="s">
        <v>210</v>
      </c>
      <c r="F206" s="427" t="s">
        <v>432</v>
      </c>
      <c r="G206" s="427">
        <v>116448.583333333</v>
      </c>
      <c r="H206" s="427" t="s">
        <v>396</v>
      </c>
      <c r="I206" s="427" t="s">
        <v>386</v>
      </c>
      <c r="J206" s="446" t="s">
        <v>433</v>
      </c>
      <c r="K206" s="446"/>
      <c r="L206" s="446"/>
      <c r="M206" s="447" t="s">
        <v>436</v>
      </c>
      <c r="N206" s="448" t="s">
        <v>219</v>
      </c>
      <c r="O206" s="449" t="s">
        <v>220</v>
      </c>
      <c r="P206" s="535" t="s">
        <v>0</v>
      </c>
      <c r="Q206" s="469" t="s">
        <v>222</v>
      </c>
      <c r="R206" s="426" t="s">
        <v>223</v>
      </c>
      <c r="S206" s="470" t="s">
        <v>224</v>
      </c>
      <c r="T206" s="467" t="s">
        <v>225</v>
      </c>
      <c r="U206" s="470" t="s">
        <v>226</v>
      </c>
      <c r="V206" s="467"/>
      <c r="W206" s="467"/>
    </row>
    <row r="207" s="408" customFormat="1" spans="1:23">
      <c r="A207" s="428" t="s">
        <v>230</v>
      </c>
      <c r="B207" s="438" t="s">
        <v>341</v>
      </c>
      <c r="C207" s="429" t="str">
        <f>VLOOKUP(B207,正厂竞争者数据汇总!D:H,2,FALSE)</f>
        <v>Motor目录</v>
      </c>
      <c r="D207" s="421" t="str">
        <f>VLOOKUP(B207,正厂竞争者数据汇总!D:H,3,FALSE)</f>
        <v>IL</v>
      </c>
      <c r="E207" s="430">
        <f>VLOOKUP(B207,正厂竞争者数据汇总!D:H,4,FALSE)</f>
        <v>0</v>
      </c>
      <c r="F207" s="430">
        <v>45393.6666666667</v>
      </c>
      <c r="G207" s="430">
        <v>1355.75</v>
      </c>
      <c r="H207" s="430">
        <v>65360.75</v>
      </c>
      <c r="I207" s="453">
        <f t="shared" si="2"/>
        <v>32.4823283545393</v>
      </c>
      <c r="J207" s="451">
        <v>0.206607768581967</v>
      </c>
      <c r="K207" s="451"/>
      <c r="L207" s="451"/>
      <c r="M207" s="451" t="e">
        <f>J207-#REF!</f>
        <v>#REF!</v>
      </c>
      <c r="N207" s="459"/>
      <c r="O207" s="430"/>
      <c r="P207" s="531">
        <f>VLOOKUP(B207,正厂竞争者数据汇总!D:M,6,FALSE)</f>
        <v>0</v>
      </c>
      <c r="Q207" s="429" t="s">
        <v>180</v>
      </c>
      <c r="R207" s="421" t="s">
        <v>180</v>
      </c>
      <c r="S207" s="473"/>
      <c r="T207" s="466"/>
      <c r="U207" s="466"/>
      <c r="V207" s="421"/>
      <c r="W207" s="421"/>
    </row>
    <row r="208" s="408" customFormat="1" spans="1:23">
      <c r="A208" s="428" t="s">
        <v>230</v>
      </c>
      <c r="B208" s="438" t="s">
        <v>346</v>
      </c>
      <c r="C208" s="429" t="str">
        <f>VLOOKUP(B208,正厂竞争者数据汇总!D:H,2,FALSE)</f>
        <v>Motor目录</v>
      </c>
      <c r="D208" s="421" t="str">
        <f>VLOOKUP(B208,正厂竞争者数据汇总!D:H,3,FALSE)</f>
        <v>AZ</v>
      </c>
      <c r="E208" s="430">
        <f>VLOOKUP(B208,正厂竞争者数据汇总!D:H,4,FALSE)</f>
        <v>0</v>
      </c>
      <c r="F208" s="430">
        <v>35095.5</v>
      </c>
      <c r="G208" s="430">
        <v>1364.75</v>
      </c>
      <c r="H208" s="430">
        <v>65369.75</v>
      </c>
      <c r="I208" s="453">
        <f t="shared" si="2"/>
        <v>24.7156988459425</v>
      </c>
      <c r="J208" s="451">
        <v>0.159736004485246</v>
      </c>
      <c r="K208" s="451"/>
      <c r="L208" s="451"/>
      <c r="M208" s="451"/>
      <c r="N208" s="459"/>
      <c r="O208" s="430"/>
      <c r="P208" s="531" t="str">
        <f>VLOOKUP(B208,正厂竞争者数据汇总!D:M,6,FALSE)</f>
        <v>2023年9月新增</v>
      </c>
      <c r="Q208" s="429"/>
      <c r="R208" s="421"/>
      <c r="S208" s="473"/>
      <c r="T208" s="466"/>
      <c r="U208" s="466"/>
      <c r="V208" s="421"/>
      <c r="W208" s="421"/>
    </row>
    <row r="209" s="408" customFormat="1" spans="1:23">
      <c r="A209" s="428" t="s">
        <v>230</v>
      </c>
      <c r="B209" s="438" t="s">
        <v>342</v>
      </c>
      <c r="C209" s="429" t="str">
        <f>VLOOKUP(B209,正厂竞争者数据汇总!D:H,2,FALSE)</f>
        <v>Motor目录</v>
      </c>
      <c r="D209" s="421" t="str">
        <f>VLOOKUP(B209,正厂竞争者数据汇总!D:H,3,FALSE)</f>
        <v>NE</v>
      </c>
      <c r="E209" s="430">
        <f>VLOOKUP(B209,正厂竞争者数据汇总!D:H,4,FALSE)</f>
        <v>0</v>
      </c>
      <c r="F209" s="430">
        <v>25765</v>
      </c>
      <c r="G209" s="430">
        <v>1360.75</v>
      </c>
      <c r="H209" s="430">
        <v>65365.75</v>
      </c>
      <c r="I209" s="453">
        <f t="shared" si="2"/>
        <v>17.9344111703105</v>
      </c>
      <c r="J209" s="451">
        <v>0.117268543134087</v>
      </c>
      <c r="K209" s="451"/>
      <c r="L209" s="451"/>
      <c r="M209" s="451"/>
      <c r="N209" s="459"/>
      <c r="O209" s="430"/>
      <c r="P209" s="531" t="str">
        <f>VLOOKUP(B209,正厂竞争者数据汇总!D:M,6,FALSE)</f>
        <v>2023年9月新增</v>
      </c>
      <c r="Q209" s="429"/>
      <c r="R209" s="421"/>
      <c r="S209" s="473"/>
      <c r="T209" s="466"/>
      <c r="U209" s="466"/>
      <c r="V209" s="421"/>
      <c r="W209" s="421"/>
    </row>
    <row r="210" s="408" customFormat="1" spans="1:23">
      <c r="A210" s="428" t="s">
        <v>230</v>
      </c>
      <c r="B210" s="438" t="s">
        <v>343</v>
      </c>
      <c r="C210" s="429" t="str">
        <f>VLOOKUP(B210,正厂竞争者数据汇总!D:H,2,FALSE)</f>
        <v>Motor目录</v>
      </c>
      <c r="D210" s="421" t="str">
        <f>VLOOKUP(B210,正厂竞争者数据汇总!D:H,3,FALSE)</f>
        <v>-</v>
      </c>
      <c r="E210" s="430">
        <f>VLOOKUP(B210,正厂竞争者数据汇总!D:H,4,FALSE)</f>
        <v>0</v>
      </c>
      <c r="F210" s="430">
        <v>23675</v>
      </c>
      <c r="G210" s="430">
        <v>1368.75</v>
      </c>
      <c r="H210" s="430">
        <v>65373.75</v>
      </c>
      <c r="I210" s="453">
        <f t="shared" si="2"/>
        <v>16.296803652968</v>
      </c>
      <c r="J210" s="451">
        <v>0.107755977438367</v>
      </c>
      <c r="K210" s="451"/>
      <c r="L210" s="451"/>
      <c r="M210" s="451"/>
      <c r="N210" s="459"/>
      <c r="O210" s="430"/>
      <c r="P210" s="531" t="str">
        <f>VLOOKUP(B210,正厂竞争者数据汇总!D:M,6,FALSE)</f>
        <v>2023年9月新增</v>
      </c>
      <c r="Q210" s="429"/>
      <c r="R210" s="421"/>
      <c r="S210" s="473"/>
      <c r="T210" s="466"/>
      <c r="U210" s="466"/>
      <c r="V210" s="421"/>
      <c r="W210" s="421"/>
    </row>
    <row r="211" s="408" customFormat="1" spans="1:23">
      <c r="A211" s="428" t="s">
        <v>230</v>
      </c>
      <c r="B211" s="438" t="s">
        <v>344</v>
      </c>
      <c r="C211" s="429" t="str">
        <f>VLOOKUP(B211,正厂竞争者数据汇总!D:H,2,FALSE)</f>
        <v>Motor目录</v>
      </c>
      <c r="D211" s="421" t="str">
        <f>VLOOKUP(B211,正厂竞争者数据汇总!D:H,3,FALSE)</f>
        <v>-</v>
      </c>
      <c r="E211" s="430">
        <f>VLOOKUP(B211,正厂竞争者数据汇总!D:H,4,FALSE)</f>
        <v>0</v>
      </c>
      <c r="F211" s="430">
        <v>22776.3416666667</v>
      </c>
      <c r="G211" s="430">
        <v>1363.75</v>
      </c>
      <c r="H211" s="430">
        <v>65368.75</v>
      </c>
      <c r="I211" s="453">
        <f t="shared" si="2"/>
        <v>15.7012587839902</v>
      </c>
      <c r="J211" s="451">
        <v>0.103665763833659</v>
      </c>
      <c r="K211" s="451"/>
      <c r="L211" s="451"/>
      <c r="M211" s="451"/>
      <c r="N211" s="459"/>
      <c r="O211" s="430"/>
      <c r="P211" s="531">
        <f>VLOOKUP(B211,正厂竞争者数据汇总!D:M,6,FALSE)</f>
        <v>0</v>
      </c>
      <c r="Q211" s="429"/>
      <c r="R211" s="421"/>
      <c r="S211" s="473"/>
      <c r="T211" s="466"/>
      <c r="U211" s="466"/>
      <c r="V211" s="421"/>
      <c r="W211" s="421"/>
    </row>
    <row r="212" s="408" customFormat="1" spans="1:23">
      <c r="A212" s="428" t="s">
        <v>230</v>
      </c>
      <c r="B212" s="438" t="s">
        <v>347</v>
      </c>
      <c r="C212" s="429" t="str">
        <f>VLOOKUP(B212,正厂竞争者数据汇总!D:H,2,FALSE)</f>
        <v>Motor目录</v>
      </c>
      <c r="D212" s="421" t="str">
        <f>VLOOKUP(B212,正厂竞争者数据汇总!D:H,3,FALSE)</f>
        <v>-</v>
      </c>
      <c r="E212" s="430">
        <f>VLOOKUP(B212,正厂竞争者数据汇总!D:H,4,FALSE)</f>
        <v>0</v>
      </c>
      <c r="F212" s="430">
        <v>20264.5</v>
      </c>
      <c r="G212" s="430">
        <v>1361.75</v>
      </c>
      <c r="H212" s="430">
        <v>65366.75</v>
      </c>
      <c r="I212" s="453">
        <f t="shared" si="2"/>
        <v>13.8812190196438</v>
      </c>
      <c r="J212" s="451">
        <v>0.0922331997803498</v>
      </c>
      <c r="K212" s="451"/>
      <c r="L212" s="451"/>
      <c r="M212" s="451"/>
      <c r="N212" s="459"/>
      <c r="O212" s="430"/>
      <c r="P212" s="531" t="str">
        <f>VLOOKUP(B212,正厂竞争者数据汇总!D:M,6,FALSE)</f>
        <v>2023年9月新增</v>
      </c>
      <c r="Q212" s="429"/>
      <c r="R212" s="421"/>
      <c r="S212" s="473"/>
      <c r="T212" s="466"/>
      <c r="U212" s="466"/>
      <c r="V212" s="421"/>
      <c r="W212" s="421"/>
    </row>
    <row r="213" s="408" customFormat="1" spans="1:23">
      <c r="A213" s="428" t="s">
        <v>230</v>
      </c>
      <c r="B213" s="438" t="s">
        <v>348</v>
      </c>
      <c r="C213" s="429" t="str">
        <f>VLOOKUP(B213,正厂竞争者数据汇总!D:H,2,FALSE)</f>
        <v>Motor目录</v>
      </c>
      <c r="D213" s="421" t="str">
        <f>VLOOKUP(B213,正厂竞争者数据汇总!D:H,3,FALSE)</f>
        <v>-</v>
      </c>
      <c r="E213" s="430">
        <f>VLOOKUP(B213,正厂竞争者数据汇总!D:H,4,FALSE)</f>
        <v>0</v>
      </c>
      <c r="F213" s="430">
        <v>18422</v>
      </c>
      <c r="G213" s="430">
        <v>1362.75</v>
      </c>
      <c r="H213" s="430">
        <v>65367.75</v>
      </c>
      <c r="I213" s="453">
        <f t="shared" si="2"/>
        <v>12.5182535314621</v>
      </c>
      <c r="J213" s="451">
        <v>0.0838471221275435</v>
      </c>
      <c r="K213" s="451"/>
      <c r="L213" s="451"/>
      <c r="M213" s="451"/>
      <c r="N213" s="459"/>
      <c r="O213" s="430"/>
      <c r="P213" s="531" t="str">
        <f>VLOOKUP(B213,正厂竞争者数据汇总!D:M,6,FALSE)</f>
        <v>2023年9月新增</v>
      </c>
      <c r="Q213" s="429"/>
      <c r="R213" s="421"/>
      <c r="S213" s="473"/>
      <c r="T213" s="466"/>
      <c r="U213" s="466"/>
      <c r="V213" s="421"/>
      <c r="W213" s="421"/>
    </row>
    <row r="214" s="408" customFormat="1" spans="1:23">
      <c r="A214" s="428" t="s">
        <v>230</v>
      </c>
      <c r="B214" s="438" t="s">
        <v>349</v>
      </c>
      <c r="C214" s="429" t="str">
        <f>VLOOKUP(B214,正厂竞争者数据汇总!D:H,2,FALSE)</f>
        <v>Motor目录</v>
      </c>
      <c r="D214" s="421" t="str">
        <f>VLOOKUP(B214,正厂竞争者数据汇总!D:H,3,FALSE)</f>
        <v>-</v>
      </c>
      <c r="E214" s="430">
        <f>VLOOKUP(B214,正厂竞争者数据汇总!D:H,4,FALSE)</f>
        <v>0</v>
      </c>
      <c r="F214" s="430">
        <v>16825.5</v>
      </c>
      <c r="G214" s="430">
        <v>1374.75</v>
      </c>
      <c r="H214" s="430">
        <v>65379.75</v>
      </c>
      <c r="I214" s="453">
        <f t="shared" si="2"/>
        <v>11.2389525368249</v>
      </c>
      <c r="J214" s="451">
        <v>0.0765807053173913</v>
      </c>
      <c r="K214" s="451"/>
      <c r="L214" s="451"/>
      <c r="M214" s="451"/>
      <c r="N214" s="459"/>
      <c r="O214" s="430"/>
      <c r="P214" s="531" t="str">
        <f>VLOOKUP(B214,正厂竞争者数据汇总!D:M,6,FALSE)</f>
        <v>2023年9月新增</v>
      </c>
      <c r="Q214" s="429"/>
      <c r="R214" s="421"/>
      <c r="S214" s="473"/>
      <c r="T214" s="466"/>
      <c r="U214" s="466"/>
      <c r="V214" s="421"/>
      <c r="W214" s="421"/>
    </row>
    <row r="215" s="408" customFormat="1" spans="1:23">
      <c r="A215" s="428" t="s">
        <v>375</v>
      </c>
      <c r="B215" s="438" t="s">
        <v>376</v>
      </c>
      <c r="C215" s="429" t="str">
        <f>VLOOKUP(B215,正厂竞争者数据汇总!D:H,2,FALSE)</f>
        <v>无完整目录，category下放的PD</v>
      </c>
      <c r="D215" s="421" t="str">
        <f>VLOOKUP(B215,正厂竞争者数据汇总!D:H,3,FALSE)</f>
        <v>NY</v>
      </c>
      <c r="E215" s="430">
        <f>VLOOKUP(B215,正厂竞争者数据汇总!D:H,4,FALSE)</f>
        <v>0</v>
      </c>
      <c r="F215" s="430">
        <v>11491.881</v>
      </c>
      <c r="G215" s="430">
        <v>1366.75</v>
      </c>
      <c r="H215" s="430">
        <v>65371.75</v>
      </c>
      <c r="I215" s="453">
        <f t="shared" si="2"/>
        <v>7.40818072068776</v>
      </c>
      <c r="J215" s="451">
        <v>0.0523049153013894</v>
      </c>
      <c r="K215" s="451"/>
      <c r="L215" s="451"/>
      <c r="M215" s="451"/>
      <c r="N215" s="459"/>
      <c r="O215" s="430"/>
      <c r="P215" s="531" t="str">
        <f>VLOOKUP(B215,正厂竞争者数据汇总!D:M,6,FALSE)</f>
        <v>同时经营Audi，BMW、Dodge、Jaguar、Land Rover、Mercedes-Benz、Mini、Porsche、Saab、Volkswagen、Volvo。折算比例：Audi：30.3%，MB：69.7%</v>
      </c>
      <c r="Q215" s="429"/>
      <c r="R215" s="421"/>
      <c r="S215" s="473"/>
      <c r="T215" s="466"/>
      <c r="U215" s="466"/>
      <c r="V215" s="421"/>
      <c r="W215" s="421"/>
    </row>
    <row r="216" s="408" customFormat="1" spans="1:23">
      <c r="A216" s="428"/>
      <c r="B216" s="421"/>
      <c r="C216" s="429"/>
      <c r="D216" s="421"/>
      <c r="E216" s="430"/>
      <c r="F216" s="430"/>
      <c r="G216" s="430">
        <v>100126.666666667</v>
      </c>
      <c r="H216" s="430"/>
      <c r="I216" s="453"/>
      <c r="J216" s="451"/>
      <c r="K216" s="451"/>
      <c r="L216" s="451"/>
      <c r="M216" s="451"/>
      <c r="N216" s="459"/>
      <c r="O216" s="430"/>
      <c r="P216" s="531"/>
      <c r="Q216" s="429"/>
      <c r="R216" s="421"/>
      <c r="S216" s="473"/>
      <c r="T216" s="466"/>
      <c r="U216" s="466"/>
      <c r="V216" s="421"/>
      <c r="W216" s="421"/>
    </row>
    <row r="217" s="408" customFormat="1" spans="1:23">
      <c r="A217" s="428"/>
      <c r="B217" s="421"/>
      <c r="C217" s="439"/>
      <c r="D217" s="421"/>
      <c r="E217" s="430"/>
      <c r="F217" s="430">
        <v>219709.389333333</v>
      </c>
      <c r="G217" s="430"/>
      <c r="H217" s="430">
        <v>96860.5</v>
      </c>
      <c r="I217" s="453" t="e">
        <f>(F217/G217)-1</f>
        <v>#DIV/0!</v>
      </c>
      <c r="J217" s="430"/>
      <c r="K217" s="430"/>
      <c r="L217" s="430"/>
      <c r="M217" s="451"/>
      <c r="N217" s="459"/>
      <c r="O217" s="430"/>
      <c r="P217" s="531"/>
      <c r="Q217" s="429"/>
      <c r="R217" s="421"/>
      <c r="S217" s="473"/>
      <c r="T217" s="466"/>
      <c r="U217" s="466"/>
      <c r="V217" s="421"/>
      <c r="W217" s="421"/>
    </row>
    <row r="218" s="408" customFormat="1" spans="1:23">
      <c r="A218" s="428"/>
      <c r="B218" s="421"/>
      <c r="C218" s="439"/>
      <c r="D218" s="421"/>
      <c r="E218" s="421"/>
      <c r="F218" s="430"/>
      <c r="G218" s="430"/>
      <c r="H218" s="430"/>
      <c r="I218" s="453"/>
      <c r="J218" s="430"/>
      <c r="K218" s="430"/>
      <c r="L218" s="430"/>
      <c r="M218" s="451"/>
      <c r="N218" s="459"/>
      <c r="O218" s="430"/>
      <c r="P218" s="531"/>
      <c r="Q218" s="429"/>
      <c r="R218" s="421"/>
      <c r="S218" s="473"/>
      <c r="T218" s="466"/>
      <c r="U218" s="466"/>
      <c r="V218" s="421"/>
      <c r="W218" s="421"/>
    </row>
    <row r="219" s="408" customFormat="1" ht="17.4" spans="1:23">
      <c r="A219" s="418" t="s">
        <v>193</v>
      </c>
      <c r="B219" s="419"/>
      <c r="C219" s="420"/>
      <c r="D219" s="421"/>
      <c r="E219" s="422" t="s">
        <v>202</v>
      </c>
      <c r="F219" s="422"/>
      <c r="G219" s="422" t="s">
        <v>213</v>
      </c>
      <c r="H219" s="422"/>
      <c r="I219" s="422"/>
      <c r="J219" s="422"/>
      <c r="K219" s="422"/>
      <c r="L219" s="422"/>
      <c r="M219" s="443"/>
      <c r="N219" s="422"/>
      <c r="O219" s="422"/>
      <c r="P219" s="531"/>
      <c r="Q219" s="465"/>
      <c r="R219" s="424"/>
      <c r="S219" s="473"/>
      <c r="T219" s="467"/>
      <c r="U219" s="467"/>
      <c r="V219" s="467"/>
      <c r="W219" s="467"/>
    </row>
    <row r="220" s="409" customFormat="1" ht="46.8" spans="1:23">
      <c r="A220" s="423" t="s">
        <v>206</v>
      </c>
      <c r="B220" s="424" t="s">
        <v>207</v>
      </c>
      <c r="C220" s="425" t="s">
        <v>208</v>
      </c>
      <c r="D220" s="424" t="s">
        <v>209</v>
      </c>
      <c r="E220" s="426" t="s">
        <v>210</v>
      </c>
      <c r="F220" s="427" t="s">
        <v>432</v>
      </c>
      <c r="G220" s="427">
        <v>116448.583333333</v>
      </c>
      <c r="H220" s="427" t="s">
        <v>396</v>
      </c>
      <c r="I220" s="427" t="s">
        <v>386</v>
      </c>
      <c r="J220" s="446" t="s">
        <v>433</v>
      </c>
      <c r="K220" s="446"/>
      <c r="L220" s="446"/>
      <c r="M220" s="447" t="s">
        <v>436</v>
      </c>
      <c r="N220" s="448" t="s">
        <v>219</v>
      </c>
      <c r="O220" s="449" t="s">
        <v>220</v>
      </c>
      <c r="P220" s="535" t="s">
        <v>0</v>
      </c>
      <c r="Q220" s="469" t="s">
        <v>222</v>
      </c>
      <c r="R220" s="426" t="s">
        <v>223</v>
      </c>
      <c r="S220" s="470" t="s">
        <v>224</v>
      </c>
      <c r="T220" s="467" t="s">
        <v>225</v>
      </c>
      <c r="U220" s="470" t="s">
        <v>226</v>
      </c>
      <c r="V220" s="467"/>
      <c r="W220" s="467"/>
    </row>
    <row r="221" s="408" customFormat="1" spans="1:23">
      <c r="A221" s="428" t="s">
        <v>230</v>
      </c>
      <c r="B221" s="438" t="s">
        <v>365</v>
      </c>
      <c r="C221" s="429" t="str">
        <f>VLOOKUP(B221,正厂竞争者数据汇总!D:H,2,FALSE)</f>
        <v>Motor目录</v>
      </c>
      <c r="D221" s="421" t="str">
        <f>VLOOKUP(B221,正厂竞争者数据汇总!D:H,3,FALSE)</f>
        <v>OR</v>
      </c>
      <c r="E221" s="430">
        <f>VLOOKUP(B221,正厂竞争者数据汇总!D:H,4,FALSE)</f>
        <v>0</v>
      </c>
      <c r="F221" s="430">
        <v>44863.8333333334</v>
      </c>
      <c r="G221" s="430">
        <v>38319.6666666667</v>
      </c>
      <c r="H221" s="430">
        <v>273188.083333333</v>
      </c>
      <c r="I221" s="453"/>
      <c r="J221" s="451">
        <v>0.296119092434117</v>
      </c>
      <c r="K221" s="430"/>
      <c r="L221" s="430"/>
      <c r="M221" s="451"/>
      <c r="N221" s="459"/>
      <c r="O221" s="430"/>
      <c r="P221" s="531">
        <f>VLOOKUP(B221,正厂竞争者数据汇总!D:M,6,FALSE)</f>
        <v>0</v>
      </c>
      <c r="Q221" s="429" t="s">
        <v>180</v>
      </c>
      <c r="R221" s="421" t="s">
        <v>180</v>
      </c>
      <c r="S221" s="473"/>
      <c r="T221" s="466"/>
      <c r="U221" s="466"/>
      <c r="V221" s="421"/>
      <c r="W221" s="421"/>
    </row>
    <row r="222" s="408" customFormat="1" spans="1:23">
      <c r="A222" s="428" t="s">
        <v>243</v>
      </c>
      <c r="B222" s="438" t="s">
        <v>369</v>
      </c>
      <c r="C222" s="429" t="str">
        <f>VLOOKUP(B222,正厂竞争者数据汇总!D:H,2,FALSE)</f>
        <v>旧年份原厂、新年份Motor</v>
      </c>
      <c r="D222" s="421" t="str">
        <f>VLOOKUP(B222,正厂竞争者数据汇总!D:H,3,FALSE)</f>
        <v>GA</v>
      </c>
      <c r="E222" s="430">
        <f>VLOOKUP(B222,正厂竞争者数据汇总!D:H,4,FALSE)</f>
        <v>0</v>
      </c>
      <c r="F222" s="430">
        <v>27681.5</v>
      </c>
      <c r="G222" s="430">
        <v>38322.6666666667</v>
      </c>
      <c r="H222" s="430">
        <v>273191.083333333</v>
      </c>
      <c r="I222" s="453"/>
      <c r="J222" s="451">
        <v>0.182708878136026</v>
      </c>
      <c r="K222" s="430"/>
      <c r="L222" s="430"/>
      <c r="M222" s="451"/>
      <c r="N222" s="459"/>
      <c r="O222" s="430"/>
      <c r="P222" s="531">
        <f>VLOOKUP(B222,正厂竞争者数据汇总!D:M,6,FALSE)</f>
        <v>0</v>
      </c>
      <c r="Q222" s="429"/>
      <c r="R222" s="421"/>
      <c r="S222" s="473"/>
      <c r="T222" s="466"/>
      <c r="U222" s="466"/>
      <c r="V222" s="421"/>
      <c r="W222" s="421"/>
    </row>
    <row r="223" s="408" customFormat="1" spans="1:23">
      <c r="A223" s="428" t="s">
        <v>230</v>
      </c>
      <c r="B223" s="438" t="s">
        <v>377</v>
      </c>
      <c r="C223" s="429" t="str">
        <f>VLOOKUP(B223,正厂竞争者数据汇总!D:H,2,FALSE)</f>
        <v>Motor目录</v>
      </c>
      <c r="D223" s="421" t="str">
        <f>VLOOKUP(B223,正厂竞争者数据汇总!D:H,3,FALSE)</f>
        <v>CA</v>
      </c>
      <c r="E223" s="430">
        <f>VLOOKUP(B223,正厂竞争者数据汇总!D:H,4,FALSE)</f>
        <v>0</v>
      </c>
      <c r="F223" s="430">
        <v>21191.5</v>
      </c>
      <c r="G223" s="430">
        <v>38327.6666666667</v>
      </c>
      <c r="H223" s="430">
        <v>273196.083333333</v>
      </c>
      <c r="I223" s="453"/>
      <c r="J223" s="451">
        <v>0.139872304283352</v>
      </c>
      <c r="K223" s="430"/>
      <c r="L223" s="430"/>
      <c r="M223" s="451"/>
      <c r="N223" s="459"/>
      <c r="O223" s="430"/>
      <c r="P223" s="531" t="str">
        <f>VLOOKUP(B223,正厂竞争者数据汇总!D:M,6,FALSE)</f>
        <v>2023年9月新增</v>
      </c>
      <c r="Q223" s="429"/>
      <c r="R223" s="421"/>
      <c r="S223" s="473"/>
      <c r="T223" s="466"/>
      <c r="U223" s="466"/>
      <c r="V223" s="421"/>
      <c r="W223" s="421"/>
    </row>
    <row r="224" s="408" customFormat="1" spans="1:23">
      <c r="A224" s="428" t="s">
        <v>367</v>
      </c>
      <c r="B224" s="438" t="s">
        <v>368</v>
      </c>
      <c r="C224" s="429" t="str">
        <f>VLOOKUP(B224,正厂竞争者数据汇总!D:H,2,FALSE)</f>
        <v>Motor目录</v>
      </c>
      <c r="D224" s="421" t="str">
        <f>VLOOKUP(B224,正厂竞争者数据汇总!D:H,3,FALSE)</f>
        <v>-</v>
      </c>
      <c r="E224" s="430">
        <f>VLOOKUP(B224,正厂竞争者数据汇总!D:H,4,FALSE)</f>
        <v>0</v>
      </c>
      <c r="F224" s="430">
        <v>19351.5833333334</v>
      </c>
      <c r="G224" s="430">
        <v>38320.6666666667</v>
      </c>
      <c r="H224" s="430">
        <v>273189.083333333</v>
      </c>
      <c r="I224" s="453"/>
      <c r="J224" s="451">
        <v>0.127728124595458</v>
      </c>
      <c r="K224" s="430"/>
      <c r="L224" s="430"/>
      <c r="M224" s="451"/>
      <c r="N224" s="459"/>
      <c r="O224" s="430"/>
      <c r="P224" s="531">
        <f>VLOOKUP(B224,正厂竞争者数据汇总!D:M,6,FALSE)</f>
        <v>0</v>
      </c>
      <c r="Q224" s="429"/>
      <c r="R224" s="421"/>
      <c r="S224" s="473"/>
      <c r="T224" s="466"/>
      <c r="U224" s="466"/>
      <c r="V224" s="421"/>
      <c r="W224" s="421"/>
    </row>
    <row r="225" s="408" customFormat="1" spans="1:23">
      <c r="A225" s="428" t="s">
        <v>230</v>
      </c>
      <c r="B225" s="438" t="s">
        <v>372</v>
      </c>
      <c r="C225" s="429" t="str">
        <f>VLOOKUP(B225,正厂竞争者数据汇总!D:H,2,FALSE)</f>
        <v>Motor目录</v>
      </c>
      <c r="D225" s="421" t="str">
        <f>VLOOKUP(B225,正厂竞争者数据汇总!D:H,3,FALSE)</f>
        <v>NV</v>
      </c>
      <c r="E225" s="430">
        <f>VLOOKUP(B225,正厂竞争者数据汇总!D:H,4,FALSE)</f>
        <v>0</v>
      </c>
      <c r="F225" s="430">
        <v>13845</v>
      </c>
      <c r="G225" s="430">
        <v>38326.6666666667</v>
      </c>
      <c r="H225" s="430">
        <v>273195.083333333</v>
      </c>
      <c r="I225" s="453"/>
      <c r="J225" s="451">
        <v>0.0913824907535098</v>
      </c>
      <c r="K225" s="430"/>
      <c r="L225" s="430"/>
      <c r="M225" s="451"/>
      <c r="N225" s="459"/>
      <c r="O225" s="430"/>
      <c r="P225" s="531" t="str">
        <f>VLOOKUP(B225,正厂竞争者数据汇总!D:M,6,FALSE)</f>
        <v>2023年9月新增</v>
      </c>
      <c r="Q225" s="429"/>
      <c r="R225" s="421"/>
      <c r="S225" s="473"/>
      <c r="T225" s="466"/>
      <c r="U225" s="466"/>
      <c r="V225" s="421"/>
      <c r="W225" s="421"/>
    </row>
    <row r="226" s="408" customFormat="1" spans="1:23">
      <c r="A226" s="428" t="s">
        <v>230</v>
      </c>
      <c r="B226" s="438" t="s">
        <v>373</v>
      </c>
      <c r="C226" s="429" t="str">
        <f>VLOOKUP(B226,正厂竞争者数据汇总!D:H,2,FALSE)</f>
        <v>Motor目录</v>
      </c>
      <c r="D226" s="421" t="str">
        <f>VLOOKUP(B226,正厂竞争者数据汇总!D:H,3,FALSE)</f>
        <v>MA</v>
      </c>
      <c r="E226" s="430">
        <f>VLOOKUP(B226,正厂竞争者数据汇总!D:H,4,FALSE)</f>
        <v>3939</v>
      </c>
      <c r="F226" s="430">
        <v>13080.75</v>
      </c>
      <c r="G226" s="430">
        <v>38321.6666666667</v>
      </c>
      <c r="H226" s="430">
        <v>273190.083333333</v>
      </c>
      <c r="I226" s="453"/>
      <c r="J226" s="451">
        <v>0.0863381376615366</v>
      </c>
      <c r="K226" s="430"/>
      <c r="L226" s="430"/>
      <c r="M226" s="451"/>
      <c r="N226" s="459"/>
      <c r="O226" s="430"/>
      <c r="P226" s="531">
        <f>VLOOKUP(B226,正厂竞争者数据汇总!D:M,6,FALSE)</f>
        <v>0</v>
      </c>
      <c r="Q226" s="429"/>
      <c r="R226" s="421"/>
      <c r="S226" s="473"/>
      <c r="T226" s="466"/>
      <c r="U226" s="466"/>
      <c r="V226" s="421"/>
      <c r="W226" s="421"/>
    </row>
    <row r="227" s="408" customFormat="1" spans="1:23">
      <c r="A227" s="428" t="s">
        <v>375</v>
      </c>
      <c r="B227" s="421" t="s">
        <v>376</v>
      </c>
      <c r="C227" s="429" t="str">
        <f>VLOOKUP(B227,正厂竞争者数据汇总!D:H,2,FALSE)</f>
        <v>无完整目录，category下放的PD</v>
      </c>
      <c r="D227" s="421" t="str">
        <f>VLOOKUP(B227,正厂竞争者数据汇总!D:H,3,FALSE)</f>
        <v>NY</v>
      </c>
      <c r="E227" s="430">
        <f>VLOOKUP(B227,正厂竞争者数据汇总!D:H,4,FALSE)</f>
        <v>0</v>
      </c>
      <c r="F227" s="430">
        <v>11491.881</v>
      </c>
      <c r="G227" s="430">
        <v>38329.6666666667</v>
      </c>
      <c r="H227" s="430">
        <v>273198.083333333</v>
      </c>
      <c r="I227" s="453"/>
      <c r="J227" s="451">
        <v>0.0758509721360011</v>
      </c>
      <c r="K227" s="451"/>
      <c r="L227" s="451"/>
      <c r="M227" s="451" t="e">
        <f>J227-#REF!</f>
        <v>#REF!</v>
      </c>
      <c r="N227" s="459"/>
      <c r="O227" s="430"/>
      <c r="P227" s="531" t="str">
        <f>VLOOKUP(B227,正厂竞争者数据汇总!D:M,6,FALSE)</f>
        <v>同时经营Audi，BMW、Dodge、Jaguar、Land Rover、Mercedes-Benz、Mini、Porsche、Saab、Volkswagen、Volvo。折算比例：Audi：30.3%，MB：69.7%</v>
      </c>
      <c r="Q227" s="429" t="s">
        <v>180</v>
      </c>
      <c r="R227" s="421" t="s">
        <v>180</v>
      </c>
      <c r="S227" s="473"/>
      <c r="T227" s="466"/>
      <c r="U227" s="466"/>
      <c r="V227" s="421"/>
      <c r="W227" s="421"/>
    </row>
    <row r="228" s="410" customFormat="1" spans="1:23">
      <c r="A228" s="432"/>
      <c r="B228" s="435"/>
      <c r="C228" s="429"/>
      <c r="D228" s="421"/>
      <c r="E228" s="430"/>
      <c r="F228" s="436"/>
      <c r="G228" s="436">
        <v>335229.333333333</v>
      </c>
      <c r="H228" s="436"/>
      <c r="I228" s="453"/>
      <c r="J228" s="457"/>
      <c r="K228" s="457"/>
      <c r="L228" s="457"/>
      <c r="M228" s="451"/>
      <c r="N228" s="455"/>
      <c r="O228" s="436"/>
      <c r="P228" s="531"/>
      <c r="Q228" s="434"/>
      <c r="R228" s="435"/>
      <c r="S228" s="473"/>
      <c r="T228" s="466"/>
      <c r="U228" s="466"/>
      <c r="V228" s="435"/>
      <c r="W228" s="435"/>
    </row>
    <row r="229" s="408" customFormat="1" spans="1:23">
      <c r="A229" s="428"/>
      <c r="B229" s="421"/>
      <c r="C229" s="439"/>
      <c r="D229" s="421"/>
      <c r="E229" s="421"/>
      <c r="F229" s="496">
        <v>151506.047666667</v>
      </c>
      <c r="G229" s="496"/>
      <c r="H229" s="496">
        <v>377262.166666666</v>
      </c>
      <c r="I229" s="453" t="e">
        <f>(F229/G229)-1</f>
        <v>#DIV/0!</v>
      </c>
      <c r="J229" s="430"/>
      <c r="K229" s="430"/>
      <c r="L229" s="430"/>
      <c r="M229" s="451"/>
      <c r="N229" s="459"/>
      <c r="O229" s="430"/>
      <c r="P229" s="531"/>
      <c r="Q229" s="429"/>
      <c r="R229" s="421"/>
      <c r="S229" s="473"/>
      <c r="T229" s="466"/>
      <c r="U229" s="466"/>
      <c r="V229" s="421"/>
      <c r="W229" s="421"/>
    </row>
    <row r="230" s="408" customFormat="1" spans="3:21">
      <c r="C230" s="411"/>
      <c r="F230" s="502"/>
      <c r="G230" s="502"/>
      <c r="H230" s="502"/>
      <c r="I230" s="502"/>
      <c r="J230" s="412"/>
      <c r="K230" s="412"/>
      <c r="L230" s="412"/>
      <c r="M230" s="413"/>
      <c r="N230" s="414"/>
      <c r="O230" s="412"/>
      <c r="P230" s="528"/>
      <c r="T230" s="416"/>
      <c r="U230" s="416"/>
    </row>
    <row r="231" s="408" customFormat="1" spans="3:21">
      <c r="C231" s="411"/>
      <c r="E231" s="412"/>
      <c r="F231" s="412"/>
      <c r="G231" s="412"/>
      <c r="H231" s="412"/>
      <c r="I231" s="412"/>
      <c r="J231" s="412"/>
      <c r="K231" s="412"/>
      <c r="L231" s="412"/>
      <c r="M231" s="413"/>
      <c r="N231" s="414"/>
      <c r="O231" s="412"/>
      <c r="T231" s="416"/>
      <c r="U231" s="416"/>
    </row>
    <row r="232" s="408" customFormat="1" spans="3:21">
      <c r="C232" s="411"/>
      <c r="F232" s="412"/>
      <c r="G232" s="412"/>
      <c r="H232" s="412"/>
      <c r="I232" s="412"/>
      <c r="J232" s="412"/>
      <c r="K232" s="412"/>
      <c r="L232" s="412"/>
      <c r="M232" s="413"/>
      <c r="N232" s="414"/>
      <c r="O232" s="412"/>
      <c r="P232" s="528"/>
      <c r="T232" s="416"/>
      <c r="U232" s="416"/>
    </row>
    <row r="233" s="408" customFormat="1" spans="3:21">
      <c r="C233" s="411"/>
      <c r="F233" s="412"/>
      <c r="G233" s="412"/>
      <c r="H233" s="412"/>
      <c r="I233" s="412"/>
      <c r="J233" s="412"/>
      <c r="K233" s="412"/>
      <c r="L233" s="412"/>
      <c r="M233" s="413"/>
      <c r="N233" s="414"/>
      <c r="O233" s="412"/>
      <c r="P233" s="528"/>
      <c r="T233" s="416"/>
      <c r="U233" s="416"/>
    </row>
    <row r="234" s="408" customFormat="1" spans="3:21">
      <c r="C234" s="411"/>
      <c r="F234" s="412"/>
      <c r="G234" s="412"/>
      <c r="H234" s="412"/>
      <c r="I234" s="412"/>
      <c r="J234" s="412"/>
      <c r="K234" s="412"/>
      <c r="L234" s="412"/>
      <c r="M234" s="413"/>
      <c r="N234" s="414"/>
      <c r="O234" s="412"/>
      <c r="P234" s="528"/>
      <c r="T234" s="416"/>
      <c r="U234" s="416"/>
    </row>
    <row r="235" s="408" customFormat="1" spans="3:21">
      <c r="C235" s="411"/>
      <c r="F235" s="412"/>
      <c r="G235" s="412"/>
      <c r="H235" s="412"/>
      <c r="I235" s="412"/>
      <c r="J235" s="412"/>
      <c r="K235" s="412"/>
      <c r="L235" s="412"/>
      <c r="M235" s="413"/>
      <c r="N235" s="414"/>
      <c r="O235" s="412"/>
      <c r="P235" s="528"/>
      <c r="T235" s="416"/>
      <c r="U235" s="416"/>
    </row>
    <row r="236" s="408" customFormat="1" spans="3:21">
      <c r="C236" s="411"/>
      <c r="F236" s="412"/>
      <c r="G236" s="412"/>
      <c r="H236" s="412"/>
      <c r="I236" s="412"/>
      <c r="J236" s="412"/>
      <c r="K236" s="412"/>
      <c r="L236" s="412"/>
      <c r="M236" s="413"/>
      <c r="N236" s="414"/>
      <c r="O236" s="412"/>
      <c r="P236" s="528"/>
      <c r="T236" s="416"/>
      <c r="U236" s="416"/>
    </row>
    <row r="237" s="408" customFormat="1" spans="3:21">
      <c r="C237" s="411"/>
      <c r="F237" s="412"/>
      <c r="G237" s="412"/>
      <c r="H237" s="412"/>
      <c r="I237" s="412"/>
      <c r="J237" s="412"/>
      <c r="K237" s="412"/>
      <c r="L237" s="412"/>
      <c r="M237" s="413"/>
      <c r="N237" s="414"/>
      <c r="O237" s="412"/>
      <c r="P237" s="528"/>
      <c r="T237" s="416"/>
      <c r="U237" s="416"/>
    </row>
    <row r="238" s="408" customFormat="1" spans="3:21">
      <c r="C238" s="411"/>
      <c r="F238" s="412"/>
      <c r="G238" s="412"/>
      <c r="H238" s="412"/>
      <c r="I238" s="412"/>
      <c r="J238" s="412"/>
      <c r="K238" s="412"/>
      <c r="L238" s="412"/>
      <c r="M238" s="413"/>
      <c r="N238" s="414"/>
      <c r="O238" s="412"/>
      <c r="P238" s="528"/>
      <c r="T238" s="416"/>
      <c r="U238" s="416"/>
    </row>
    <row r="239" s="408" customFormat="1" spans="3:21">
      <c r="C239" s="411"/>
      <c r="F239" s="412"/>
      <c r="G239" s="412"/>
      <c r="H239" s="412"/>
      <c r="I239" s="412"/>
      <c r="J239" s="412"/>
      <c r="K239" s="412"/>
      <c r="L239" s="412"/>
      <c r="M239" s="413"/>
      <c r="N239" s="414"/>
      <c r="O239" s="412"/>
      <c r="P239" s="528"/>
      <c r="T239" s="416"/>
      <c r="U239" s="416"/>
    </row>
    <row r="240" s="408" customFormat="1" spans="3:21">
      <c r="C240" s="411"/>
      <c r="F240" s="412"/>
      <c r="G240" s="412"/>
      <c r="H240" s="412"/>
      <c r="I240" s="412"/>
      <c r="J240" s="412"/>
      <c r="K240" s="412"/>
      <c r="L240" s="412"/>
      <c r="M240" s="413"/>
      <c r="N240" s="414"/>
      <c r="O240" s="412"/>
      <c r="P240" s="528"/>
      <c r="T240" s="416"/>
      <c r="U240" s="416"/>
    </row>
    <row r="241" s="408" customFormat="1" spans="3:21">
      <c r="C241" s="411"/>
      <c r="F241" s="412"/>
      <c r="G241" s="412"/>
      <c r="H241" s="412"/>
      <c r="I241" s="412"/>
      <c r="J241" s="412"/>
      <c r="K241" s="412"/>
      <c r="L241" s="412"/>
      <c r="M241" s="413"/>
      <c r="N241" s="414"/>
      <c r="O241" s="412"/>
      <c r="P241" s="528"/>
      <c r="T241" s="416"/>
      <c r="U241" s="416"/>
    </row>
    <row r="242" s="411" customFormat="1" spans="1:23">
      <c r="A242" s="408"/>
      <c r="B242" s="503"/>
      <c r="D242" s="408"/>
      <c r="E242" s="408"/>
      <c r="F242" s="412"/>
      <c r="G242" s="412"/>
      <c r="H242" s="412"/>
      <c r="I242" s="412"/>
      <c r="J242" s="412"/>
      <c r="K242" s="412"/>
      <c r="L242" s="412"/>
      <c r="M242" s="413"/>
      <c r="N242" s="414"/>
      <c r="O242" s="412"/>
      <c r="P242" s="528"/>
      <c r="Q242" s="408"/>
      <c r="R242" s="408"/>
      <c r="S242" s="408"/>
      <c r="T242" s="416"/>
      <c r="U242" s="416"/>
      <c r="V242" s="408"/>
      <c r="W242" s="408"/>
    </row>
  </sheetData>
  <autoFilter ref="C1:C242">
    <extLst/>
  </autoFilter>
  <mergeCells count="19">
    <mergeCell ref="U1:W1"/>
    <mergeCell ref="U14:W14"/>
    <mergeCell ref="U25:W25"/>
    <mergeCell ref="U37:W37"/>
    <mergeCell ref="U50:W50"/>
    <mergeCell ref="U62:W62"/>
    <mergeCell ref="U73:W73"/>
    <mergeCell ref="U83:W83"/>
    <mergeCell ref="U96:W96"/>
    <mergeCell ref="U109:W109"/>
    <mergeCell ref="U123:W123"/>
    <mergeCell ref="U135:W135"/>
    <mergeCell ref="U149:W149"/>
    <mergeCell ref="U162:W162"/>
    <mergeCell ref="U173:W173"/>
    <mergeCell ref="U183:W183"/>
    <mergeCell ref="U194:W194"/>
    <mergeCell ref="U205:W205"/>
    <mergeCell ref="U219:W219"/>
  </mergeCells>
  <conditionalFormatting sqref="I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{8129bb2b-4b8d-4c6c-96dd-c30eaadcf9a5}</x14:id>
        </ext>
      </extLst>
    </cfRule>
  </conditionalFormatting>
  <conditionalFormatting sqref="M4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{1ff7d7f8-b3bc-4f54-a484-ffa4fbf8284d}</x14:id>
        </ext>
      </extLst>
    </cfRule>
  </conditionalFormatting>
  <conditionalFormatting sqref="M11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{3719095b-701f-436b-afe9-97490b18ce41}</x14:id>
        </ext>
      </extLst>
    </cfRule>
  </conditionalFormatting>
  <conditionalFormatting sqref="M16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{f4970ac1-4641-4ccf-bb94-41b3e378904a}</x14:id>
        </ext>
      </extLst>
    </cfRule>
  </conditionalFormatting>
  <conditionalFormatting sqref="M27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{bc56ab3c-25f8-4b54-a14a-f2a28a7c3828}</x14:id>
        </ext>
      </extLst>
    </cfRule>
  </conditionalFormatting>
  <conditionalFormatting sqref="M39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{94ad60a4-7482-4de4-8751-1062a18a3e9a}</x14:id>
        </ext>
      </extLst>
    </cfRule>
  </conditionalFormatting>
  <conditionalFormatting sqref="M52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{55fcbe7f-4eb2-49c9-8b84-922586ccfe1e}</x14:id>
        </ext>
      </extLst>
    </cfRule>
  </conditionalFormatting>
  <conditionalFormatting sqref="M64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{aca16458-a9b9-42c2-8b5a-b6dcad002b09}</x14:id>
        </ext>
      </extLst>
    </cfRule>
  </conditionalFormatting>
  <conditionalFormatting sqref="M75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{6c8bd4ba-c3a9-4184-9df9-609d15e6821c}</x14:id>
        </ext>
      </extLst>
    </cfRule>
  </conditionalFormatting>
  <conditionalFormatting sqref="I85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{4d238ffe-fec5-4003-8bdd-ea2e604662f2}</x14:id>
        </ext>
      </extLst>
    </cfRule>
  </conditionalFormatting>
  <conditionalFormatting sqref="M8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{66f60760-c68c-4f11-b097-737a716d209f}</x14:id>
        </ext>
      </extLst>
    </cfRule>
  </conditionalFormatting>
  <conditionalFormatting sqref="M86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{9335aa15-8ef5-4d96-b96a-a5afac5f95c8}</x14:id>
        </ext>
      </extLst>
    </cfRule>
  </conditionalFormatting>
  <conditionalFormatting sqref="I98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{9caaf94b-c28d-46b3-95d2-1970828c9895}</x14:id>
        </ext>
      </extLst>
    </cfRule>
  </conditionalFormatting>
  <conditionalFormatting sqref="M98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{d1818d2d-87fc-4871-bad2-ee063440e47a}</x14:id>
        </ext>
      </extLst>
    </cfRule>
  </conditionalFormatting>
  <conditionalFormatting sqref="M99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{4c1c674c-d316-460d-965e-e925dede9a7f}</x14:id>
        </ext>
      </extLst>
    </cfRule>
  </conditionalFormatting>
  <conditionalFormatting sqref="M111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{bb034f68-39db-4efb-8c8c-b6809eaa8631}</x14:id>
        </ext>
      </extLst>
    </cfRule>
  </conditionalFormatting>
  <conditionalFormatting sqref="M125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{91290837-a051-4eec-baab-85dea35fe205}</x14:id>
        </ext>
      </extLst>
    </cfRule>
  </conditionalFormatting>
  <conditionalFormatting sqref="M137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{8a23355f-9c35-4cd7-b0b5-194f5468de8f}</x14:id>
        </ext>
      </extLst>
    </cfRule>
  </conditionalFormatting>
  <conditionalFormatting sqref="M151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{11e3fc2d-c863-4fc0-8535-99d1c484f269}</x14:id>
        </ext>
      </extLst>
    </cfRule>
  </conditionalFormatting>
  <conditionalFormatting sqref="I11:I12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{cc938fee-08ac-47cc-96c5-03e82b67d6e3}</x14:id>
        </ext>
      </extLst>
    </cfRule>
  </conditionalFormatting>
  <conditionalFormatting sqref="I17:I21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{32d4de62-c1b5-4b80-ae44-b6728611a143}</x14:id>
        </ext>
      </extLst>
    </cfRule>
  </conditionalFormatting>
  <conditionalFormatting sqref="I28:I33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{f85e5320-4288-457c-bba3-c18a7c806030}</x14:id>
        </ext>
      </extLst>
    </cfRule>
  </conditionalFormatting>
  <conditionalFormatting sqref="I40:I46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{674cb0e3-b775-4c36-ba71-a656e689a029}</x14:id>
        </ext>
      </extLst>
    </cfRule>
  </conditionalFormatting>
  <conditionalFormatting sqref="I53:I58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{64d6bae7-6b48-4720-9160-010c390a9e3c}</x14:id>
        </ext>
      </extLst>
    </cfRule>
  </conditionalFormatting>
  <conditionalFormatting sqref="I65:I69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{a461535e-fbb5-4aa2-b5e7-018680cd49fe}</x14:id>
        </ext>
      </extLst>
    </cfRule>
  </conditionalFormatting>
  <conditionalFormatting sqref="I76:I79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{9ed7972c-1f3a-49bf-8969-8b523423735e}</x14:id>
        </ext>
      </extLst>
    </cfRule>
  </conditionalFormatting>
  <conditionalFormatting sqref="I87:I9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{8df8f76c-16c6-4941-824c-d91344c4626c}</x14:id>
        </ext>
      </extLst>
    </cfRule>
  </conditionalFormatting>
  <conditionalFormatting sqref="I100:I105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{9a31cbab-06d3-43b2-8b65-8a7aa2c2212a}</x14:id>
        </ext>
      </extLst>
    </cfRule>
  </conditionalFormatting>
  <conditionalFormatting sqref="I112:I119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{25396ebb-b9aa-4e10-bef0-12a01b3e5a1b}</x14:id>
        </ext>
      </extLst>
    </cfRule>
  </conditionalFormatting>
  <conditionalFormatting sqref="I126:I13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{c419f173-6531-4997-a9a9-6f4678127251}</x14:id>
        </ext>
      </extLst>
    </cfRule>
  </conditionalFormatting>
  <conditionalFormatting sqref="I132:I133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{75d39215-40cb-49bf-96d7-b61ca6f9eb8e}</x14:id>
        </ext>
      </extLst>
    </cfRule>
  </conditionalFormatting>
  <conditionalFormatting sqref="I138:I144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{d28d3f59-a403-45d7-b427-8014355a4ac6}</x14:id>
        </ext>
      </extLst>
    </cfRule>
  </conditionalFormatting>
  <conditionalFormatting sqref="I152:I15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{eadac9bc-6c10-4786-bb93-bb06de23d76e}</x14:id>
        </ext>
      </extLst>
    </cfRule>
  </conditionalFormatting>
  <conditionalFormatting sqref="M17:M21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{78bc34f9-6fb9-4557-bde0-0b7177335e99}</x14:id>
        </ext>
      </extLst>
    </cfRule>
  </conditionalFormatting>
  <conditionalFormatting sqref="M28:M33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{aa0164c7-5b20-4397-a508-7fdeb1663609}</x14:id>
        </ext>
      </extLst>
    </cfRule>
  </conditionalFormatting>
  <conditionalFormatting sqref="M40:M46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{6de23b5b-1f3c-486f-af29-4a75fc8893a3}</x14:id>
        </ext>
      </extLst>
    </cfRule>
  </conditionalFormatting>
  <conditionalFormatting sqref="M53:M58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{be89c5d9-388c-4ea8-b8d3-af09e6b992ba}</x14:id>
        </ext>
      </extLst>
    </cfRule>
  </conditionalFormatting>
  <conditionalFormatting sqref="M65:M69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{fdbd17f8-0d53-48fe-968d-e1afc8217fa4}</x14:id>
        </ext>
      </extLst>
    </cfRule>
  </conditionalFormatting>
  <conditionalFormatting sqref="M76:M79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{4e97fcbc-6e93-4fc3-a12b-8a0963db8a63}</x14:id>
        </ext>
      </extLst>
    </cfRule>
  </conditionalFormatting>
  <conditionalFormatting sqref="M87:M9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{12f67696-bc8a-47cf-8290-8dd5b1212cad}</x14:id>
        </ext>
      </extLst>
    </cfRule>
  </conditionalFormatting>
  <conditionalFormatting sqref="M100:M10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{2ba0bb90-f01a-4a7e-929d-ef764fb7db8f}</x14:id>
        </ext>
      </extLst>
    </cfRule>
  </conditionalFormatting>
  <conditionalFormatting sqref="M112:M119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{2a27bfb0-879a-4527-9c77-b5eb8c3127ed}</x14:id>
        </ext>
      </extLst>
    </cfRule>
  </conditionalFormatting>
  <conditionalFormatting sqref="M126:M131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{3016b934-53bf-4970-b3b0-a21267f5f0f0}</x14:id>
        </ext>
      </extLst>
    </cfRule>
  </conditionalFormatting>
  <conditionalFormatting sqref="M138:M14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{eb39c167-c612-42ad-8cb3-d4f8cdefed3e}</x14:id>
        </ext>
      </extLst>
    </cfRule>
  </conditionalFormatting>
  <conditionalFormatting sqref="M152:M15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{6f04f3f5-efb3-429e-9915-32fc81cca678}</x14:id>
        </ext>
      </extLst>
    </cfRule>
  </conditionalFormatting>
  <conditionalFormatting sqref="I3 I9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{5511f4b6-e3a1-4e36-8cdc-6d27ef079c1e}</x14:id>
        </ext>
      </extLst>
    </cfRule>
  </conditionalFormatting>
  <conditionalFormatting sqref="M3 M9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{08c65261-39b3-4c94-8c1a-fe2e6a42029f}</x14:id>
        </ext>
      </extLst>
    </cfRule>
  </conditionalFormatting>
  <conditionalFormatting sqref="I5:I8 I10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{a3418603-5bd6-457b-b3f8-936820858993}</x14:id>
        </ext>
      </extLst>
    </cfRule>
  </conditionalFormatting>
  <conditionalFormatting sqref="M5:M8 M10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{0242bcc9-9d1d-4363-8ef8-e55d6ddc2025}</x14:id>
        </ext>
      </extLst>
    </cfRule>
  </conditionalFormatting>
  <conditionalFormatting sqref="I22:I23 I16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{e5115536-3ddc-4fc9-8290-1a2c08188489}</x14:id>
        </ext>
      </extLst>
    </cfRule>
  </conditionalFormatting>
  <conditionalFormatting sqref="I34:I35 I27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{bc627825-64d7-443e-a9d7-8b1954ad3419}</x14:id>
        </ext>
      </extLst>
    </cfRule>
  </conditionalFormatting>
  <conditionalFormatting sqref="I47:I48 I39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{0dff250c-29b6-474c-8b1e-59aff8d02ac4}</x14:id>
        </ext>
      </extLst>
    </cfRule>
  </conditionalFormatting>
  <conditionalFormatting sqref="I59:I60 I52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{ad344195-5dfc-4c72-b0ec-81093fcd2665}</x14:id>
        </ext>
      </extLst>
    </cfRule>
  </conditionalFormatting>
  <conditionalFormatting sqref="I70:I71 I6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{a6528fb2-5c3e-42c0-8fed-df0cca83dc6d}</x14:id>
        </ext>
      </extLst>
    </cfRule>
  </conditionalFormatting>
  <conditionalFormatting sqref="I80:I81 I75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{eaff7951-f248-48a3-be7e-9eade42d45fe}</x14:id>
        </ext>
      </extLst>
    </cfRule>
  </conditionalFormatting>
  <conditionalFormatting sqref="I93:I94 I86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{c461a0e6-58e4-419c-9fb0-c7e7eff89836}</x14:id>
        </ext>
      </extLst>
    </cfRule>
  </conditionalFormatting>
  <conditionalFormatting sqref="I106:I107 I99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{79013227-600f-4688-89fb-e933e1d5613f}</x14:id>
        </ext>
      </extLst>
    </cfRule>
  </conditionalFormatting>
  <conditionalFormatting sqref="I120:I121 I111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{6301ea4d-7080-4168-a489-87f9230bb6df}</x14:id>
        </ext>
      </extLst>
    </cfRule>
  </conditionalFormatting>
  <conditionalFormatting sqref="I146:I147 I137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{2c928ada-678f-4b92-b961-851f284c5cf2}</x14:id>
        </ext>
      </extLst>
    </cfRule>
  </conditionalFormatting>
  <conditionalFormatting sqref="I159:I160 I151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{e700dc42-3d0b-4377-9192-1702f0978862}</x14:id>
        </ext>
      </extLst>
    </cfRule>
  </conditionalFormatting>
  <hyperlinks>
    <hyperlink ref="B46" r:id="rId1" display="moparpartsinc.com"/>
    <hyperlink ref="B88" r:id="rId2" display="subarupartsplus.com" tooltip="http://www.subarupartsplus.com"/>
    <hyperlink ref="B41" r:id="rId3" display="moparfactoryparts.com" tooltip="http://www.moparfactoryparts.com"/>
    <hyperlink ref="B85" r:id="rId4" display="subaruparts.com" tooltip="http://www.subaruparts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129bb2b-4b8d-4c6c-96dd-c30eaadcf9a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</xm:sqref>
        </x14:conditionalFormatting>
        <x14:conditionalFormatting xmlns:xm="http://schemas.microsoft.com/office/excel/2006/main">
          <x14:cfRule type="dataBar" id="{1ff7d7f8-b3bc-4f54-a484-ffa4fbf828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</xm:sqref>
        </x14:conditionalFormatting>
        <x14:conditionalFormatting xmlns:xm="http://schemas.microsoft.com/office/excel/2006/main">
          <x14:cfRule type="dataBar" id="{3719095b-701f-436b-afe9-97490b18ce4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</xm:sqref>
        </x14:conditionalFormatting>
        <x14:conditionalFormatting xmlns:xm="http://schemas.microsoft.com/office/excel/2006/main">
          <x14:cfRule type="dataBar" id="{f4970ac1-4641-4ccf-bb94-41b3e37890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M16</xm:sqref>
        </x14:conditionalFormatting>
        <x14:conditionalFormatting xmlns:xm="http://schemas.microsoft.com/office/excel/2006/main">
          <x14:cfRule type="dataBar" id="{bc56ab3c-25f8-4b54-a14a-f2a28a7c38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M27</xm:sqref>
        </x14:conditionalFormatting>
        <x14:conditionalFormatting xmlns:xm="http://schemas.microsoft.com/office/excel/2006/main">
          <x14:cfRule type="dataBar" id="{94ad60a4-7482-4de4-8751-1062a18a3e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M39</xm:sqref>
        </x14:conditionalFormatting>
        <x14:conditionalFormatting xmlns:xm="http://schemas.microsoft.com/office/excel/2006/main">
          <x14:cfRule type="dataBar" id="{55fcbe7f-4eb2-49c9-8b84-922586ccfe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M52</xm:sqref>
        </x14:conditionalFormatting>
        <x14:conditionalFormatting xmlns:xm="http://schemas.microsoft.com/office/excel/2006/main">
          <x14:cfRule type="dataBar" id="{aca16458-a9b9-42c2-8b5a-b6dcad002b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M64</xm:sqref>
        </x14:conditionalFormatting>
        <x14:conditionalFormatting xmlns:xm="http://schemas.microsoft.com/office/excel/2006/main">
          <x14:cfRule type="dataBar" id="{6c8bd4ba-c3a9-4184-9df9-609d15e682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M75</xm:sqref>
        </x14:conditionalFormatting>
        <x14:conditionalFormatting xmlns:xm="http://schemas.microsoft.com/office/excel/2006/main">
          <x14:cfRule type="dataBar" id="{4d238ffe-fec5-4003-8bdd-ea2e604662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I85</xm:sqref>
        </x14:conditionalFormatting>
        <x14:conditionalFormatting xmlns:xm="http://schemas.microsoft.com/office/excel/2006/main">
          <x14:cfRule type="dataBar" id="{66f60760-c68c-4f11-b097-737a716d20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M85</xm:sqref>
        </x14:conditionalFormatting>
        <x14:conditionalFormatting xmlns:xm="http://schemas.microsoft.com/office/excel/2006/main">
          <x14:cfRule type="dataBar" id="{9335aa15-8ef5-4d96-b96a-a5afac5f95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M86</xm:sqref>
        </x14:conditionalFormatting>
        <x14:conditionalFormatting xmlns:xm="http://schemas.microsoft.com/office/excel/2006/main">
          <x14:cfRule type="dataBar" id="{9caaf94b-c28d-46b3-95d2-1970828c98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I98</xm:sqref>
        </x14:conditionalFormatting>
        <x14:conditionalFormatting xmlns:xm="http://schemas.microsoft.com/office/excel/2006/main">
          <x14:cfRule type="dataBar" id="{d1818d2d-87fc-4871-bad2-ee063440e4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M98</xm:sqref>
        </x14:conditionalFormatting>
        <x14:conditionalFormatting xmlns:xm="http://schemas.microsoft.com/office/excel/2006/main">
          <x14:cfRule type="dataBar" id="{4c1c674c-d316-460d-965e-e925dede9a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M99</xm:sqref>
        </x14:conditionalFormatting>
        <x14:conditionalFormatting xmlns:xm="http://schemas.microsoft.com/office/excel/2006/main">
          <x14:cfRule type="dataBar" id="{bb034f68-39db-4efb-8c8c-b6809eaa86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M111</xm:sqref>
        </x14:conditionalFormatting>
        <x14:conditionalFormatting xmlns:xm="http://schemas.microsoft.com/office/excel/2006/main">
          <x14:cfRule type="dataBar" id="{91290837-a051-4eec-baab-85dea35fe2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M125</xm:sqref>
        </x14:conditionalFormatting>
        <x14:conditionalFormatting xmlns:xm="http://schemas.microsoft.com/office/excel/2006/main">
          <x14:cfRule type="dataBar" id="{8a23355f-9c35-4cd7-b0b5-194f5468de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M137</xm:sqref>
        </x14:conditionalFormatting>
        <x14:conditionalFormatting xmlns:xm="http://schemas.microsoft.com/office/excel/2006/main">
          <x14:cfRule type="dataBar" id="{11e3fc2d-c863-4fc0-8535-99d1c484f2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M151</xm:sqref>
        </x14:conditionalFormatting>
        <x14:conditionalFormatting xmlns:xm="http://schemas.microsoft.com/office/excel/2006/main">
          <x14:cfRule type="dataBar" id="{cc938fee-08ac-47cc-96c5-03e82b67d6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I11:I12</xm:sqref>
        </x14:conditionalFormatting>
        <x14:conditionalFormatting xmlns:xm="http://schemas.microsoft.com/office/excel/2006/main">
          <x14:cfRule type="dataBar" id="{32d4de62-c1b5-4b80-ae44-b6728611a1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I17:I21</xm:sqref>
        </x14:conditionalFormatting>
        <x14:conditionalFormatting xmlns:xm="http://schemas.microsoft.com/office/excel/2006/main">
          <x14:cfRule type="dataBar" id="{f85e5320-4288-457c-bba3-c18a7c8060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I28:I33</xm:sqref>
        </x14:conditionalFormatting>
        <x14:conditionalFormatting xmlns:xm="http://schemas.microsoft.com/office/excel/2006/main">
          <x14:cfRule type="dataBar" id="{674cb0e3-b775-4c36-ba71-a656e689a02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I40:I46</xm:sqref>
        </x14:conditionalFormatting>
        <x14:conditionalFormatting xmlns:xm="http://schemas.microsoft.com/office/excel/2006/main">
          <x14:cfRule type="dataBar" id="{64d6bae7-6b48-4720-9160-010c390a9e3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I53:I58</xm:sqref>
        </x14:conditionalFormatting>
        <x14:conditionalFormatting xmlns:xm="http://schemas.microsoft.com/office/excel/2006/main">
          <x14:cfRule type="dataBar" id="{a461535e-fbb5-4aa2-b5e7-018680cd49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I65:I69</xm:sqref>
        </x14:conditionalFormatting>
        <x14:conditionalFormatting xmlns:xm="http://schemas.microsoft.com/office/excel/2006/main">
          <x14:cfRule type="dataBar" id="{9ed7972c-1f3a-49bf-8969-8b52342373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I76:I79</xm:sqref>
        </x14:conditionalFormatting>
        <x14:conditionalFormatting xmlns:xm="http://schemas.microsoft.com/office/excel/2006/main">
          <x14:cfRule type="dataBar" id="{8df8f76c-16c6-4941-824c-d91344c4626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I87:I92</xm:sqref>
        </x14:conditionalFormatting>
        <x14:conditionalFormatting xmlns:xm="http://schemas.microsoft.com/office/excel/2006/main">
          <x14:cfRule type="dataBar" id="{9a31cbab-06d3-43b2-8b65-8a7aa2c221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I100:I105</xm:sqref>
        </x14:conditionalFormatting>
        <x14:conditionalFormatting xmlns:xm="http://schemas.microsoft.com/office/excel/2006/main">
          <x14:cfRule type="dataBar" id="{25396ebb-b9aa-4e10-bef0-12a01b3e5a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I112:I119</xm:sqref>
        </x14:conditionalFormatting>
        <x14:conditionalFormatting xmlns:xm="http://schemas.microsoft.com/office/excel/2006/main">
          <x14:cfRule type="dataBar" id="{c419f173-6531-4997-a9a9-6f46781272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I126:I131</xm:sqref>
        </x14:conditionalFormatting>
        <x14:conditionalFormatting xmlns:xm="http://schemas.microsoft.com/office/excel/2006/main">
          <x14:cfRule type="dataBar" id="{75d39215-40cb-49bf-96d7-b61ca6f9eb8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I132:I133</xm:sqref>
        </x14:conditionalFormatting>
        <x14:conditionalFormatting xmlns:xm="http://schemas.microsoft.com/office/excel/2006/main">
          <x14:cfRule type="dataBar" id="{d28d3f59-a403-45d7-b427-8014355a4a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I138:I144</xm:sqref>
        </x14:conditionalFormatting>
        <x14:conditionalFormatting xmlns:xm="http://schemas.microsoft.com/office/excel/2006/main">
          <x14:cfRule type="dataBar" id="{eadac9bc-6c10-4786-bb93-bb06de23d76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I152:I158</xm:sqref>
        </x14:conditionalFormatting>
        <x14:conditionalFormatting xmlns:xm="http://schemas.microsoft.com/office/excel/2006/main">
          <x14:cfRule type="dataBar" id="{78bc34f9-6fb9-4557-bde0-0b7177335e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M17:M21</xm:sqref>
        </x14:conditionalFormatting>
        <x14:conditionalFormatting xmlns:xm="http://schemas.microsoft.com/office/excel/2006/main">
          <x14:cfRule type="dataBar" id="{aa0164c7-5b20-4397-a508-7fdeb16636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M28:M33</xm:sqref>
        </x14:conditionalFormatting>
        <x14:conditionalFormatting xmlns:xm="http://schemas.microsoft.com/office/excel/2006/main">
          <x14:cfRule type="dataBar" id="{6de23b5b-1f3c-486f-af29-4a75fc8893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M40:M46</xm:sqref>
        </x14:conditionalFormatting>
        <x14:conditionalFormatting xmlns:xm="http://schemas.microsoft.com/office/excel/2006/main">
          <x14:cfRule type="dataBar" id="{be89c5d9-388c-4ea8-b8d3-af09e6b992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M53:M58</xm:sqref>
        </x14:conditionalFormatting>
        <x14:conditionalFormatting xmlns:xm="http://schemas.microsoft.com/office/excel/2006/main">
          <x14:cfRule type="dataBar" id="{fdbd17f8-0d53-48fe-968d-e1afc8217f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M65:M69</xm:sqref>
        </x14:conditionalFormatting>
        <x14:conditionalFormatting xmlns:xm="http://schemas.microsoft.com/office/excel/2006/main">
          <x14:cfRule type="dataBar" id="{4e97fcbc-6e93-4fc3-a12b-8a0963db8a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M76:M79</xm:sqref>
        </x14:conditionalFormatting>
        <x14:conditionalFormatting xmlns:xm="http://schemas.microsoft.com/office/excel/2006/main">
          <x14:cfRule type="dataBar" id="{12f67696-bc8a-47cf-8290-8dd5b1212c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M87:M92</xm:sqref>
        </x14:conditionalFormatting>
        <x14:conditionalFormatting xmlns:xm="http://schemas.microsoft.com/office/excel/2006/main">
          <x14:cfRule type="dataBar" id="{2ba0bb90-f01a-4a7e-929d-ef764fb7db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M100:M105</xm:sqref>
        </x14:conditionalFormatting>
        <x14:conditionalFormatting xmlns:xm="http://schemas.microsoft.com/office/excel/2006/main">
          <x14:cfRule type="dataBar" id="{2a27bfb0-879a-4527-9c77-b5eb8c3127e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M112:M119</xm:sqref>
        </x14:conditionalFormatting>
        <x14:conditionalFormatting xmlns:xm="http://schemas.microsoft.com/office/excel/2006/main">
          <x14:cfRule type="dataBar" id="{3016b934-53bf-4970-b3b0-a21267f5f0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M126:M131</xm:sqref>
        </x14:conditionalFormatting>
        <x14:conditionalFormatting xmlns:xm="http://schemas.microsoft.com/office/excel/2006/main">
          <x14:cfRule type="dataBar" id="{eb39c167-c612-42ad-8cb3-d4f8cdefed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M138:M144</xm:sqref>
        </x14:conditionalFormatting>
        <x14:conditionalFormatting xmlns:xm="http://schemas.microsoft.com/office/excel/2006/main">
          <x14:cfRule type="dataBar" id="{6f04f3f5-efb3-429e-9915-32fc81cca6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M152:M158</xm:sqref>
        </x14:conditionalFormatting>
        <x14:conditionalFormatting xmlns:xm="http://schemas.microsoft.com/office/excel/2006/main">
          <x14:cfRule type="dataBar" id="{5511f4b6-e3a1-4e36-8cdc-6d27ef079c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 I9</xm:sqref>
        </x14:conditionalFormatting>
        <x14:conditionalFormatting xmlns:xm="http://schemas.microsoft.com/office/excel/2006/main">
          <x14:cfRule type="dataBar" id="{08c65261-39b3-4c94-8c1a-fe2e6a4202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 M9</xm:sqref>
        </x14:conditionalFormatting>
        <x14:conditionalFormatting xmlns:xm="http://schemas.microsoft.com/office/excel/2006/main">
          <x14:cfRule type="dataBar" id="{a3418603-5bd6-457b-b3f8-9368208589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I5:I8 I10</xm:sqref>
        </x14:conditionalFormatting>
        <x14:conditionalFormatting xmlns:xm="http://schemas.microsoft.com/office/excel/2006/main">
          <x14:cfRule type="dataBar" id="{0242bcc9-9d1d-4363-8ef8-e55d6ddc202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M5:M8 M10</xm:sqref>
        </x14:conditionalFormatting>
        <x14:conditionalFormatting xmlns:xm="http://schemas.microsoft.com/office/excel/2006/main">
          <x14:cfRule type="dataBar" id="{e5115536-3ddc-4fc9-8290-1a2c0818848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I22:I23 I16</xm:sqref>
        </x14:conditionalFormatting>
        <x14:conditionalFormatting xmlns:xm="http://schemas.microsoft.com/office/excel/2006/main">
          <x14:cfRule type="dataBar" id="{bc627825-64d7-443e-a9d7-8b1954ad34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I34:I35 I27</xm:sqref>
        </x14:conditionalFormatting>
        <x14:conditionalFormatting xmlns:xm="http://schemas.microsoft.com/office/excel/2006/main">
          <x14:cfRule type="dataBar" id="{0dff250c-29b6-474c-8b1e-59aff8d02ac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I47:I48 I39</xm:sqref>
        </x14:conditionalFormatting>
        <x14:conditionalFormatting xmlns:xm="http://schemas.microsoft.com/office/excel/2006/main">
          <x14:cfRule type="dataBar" id="{ad344195-5dfc-4c72-b0ec-81093fcd26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I59:I60 I52</xm:sqref>
        </x14:conditionalFormatting>
        <x14:conditionalFormatting xmlns:xm="http://schemas.microsoft.com/office/excel/2006/main">
          <x14:cfRule type="dataBar" id="{a6528fb2-5c3e-42c0-8fed-df0cca83dc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I70:I71 I64</xm:sqref>
        </x14:conditionalFormatting>
        <x14:conditionalFormatting xmlns:xm="http://schemas.microsoft.com/office/excel/2006/main">
          <x14:cfRule type="dataBar" id="{eaff7951-f248-48a3-be7e-9eade42d45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I80:I81 I75</xm:sqref>
        </x14:conditionalFormatting>
        <x14:conditionalFormatting xmlns:xm="http://schemas.microsoft.com/office/excel/2006/main">
          <x14:cfRule type="dataBar" id="{c461a0e6-58e4-419c-9fb0-c7e7eff8983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I93:I94 I86</xm:sqref>
        </x14:conditionalFormatting>
        <x14:conditionalFormatting xmlns:xm="http://schemas.microsoft.com/office/excel/2006/main">
          <x14:cfRule type="dataBar" id="{79013227-600f-4688-89fb-e933e1d561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I106:I107 I99</xm:sqref>
        </x14:conditionalFormatting>
        <x14:conditionalFormatting xmlns:xm="http://schemas.microsoft.com/office/excel/2006/main">
          <x14:cfRule type="dataBar" id="{6301ea4d-7080-4168-a489-87f9230bb6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I120:I121 I111</xm:sqref>
        </x14:conditionalFormatting>
        <x14:conditionalFormatting xmlns:xm="http://schemas.microsoft.com/office/excel/2006/main">
          <x14:cfRule type="dataBar" id="{2c928ada-678f-4b92-b961-851f284c5c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I146:I147 I137</xm:sqref>
        </x14:conditionalFormatting>
        <x14:conditionalFormatting xmlns:xm="http://schemas.microsoft.com/office/excel/2006/main">
          <x14:cfRule type="dataBar" id="{e700dc42-3d0b-4377-9192-1702f09788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I159:I160 I151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33"/>
  <sheetViews>
    <sheetView workbookViewId="0">
      <selection activeCell="A1" sqref="A1"/>
    </sheetView>
  </sheetViews>
  <sheetFormatPr defaultColWidth="9" defaultRowHeight="15.6"/>
  <cols>
    <col min="1" max="1" width="13.4444444444444" style="408" customWidth="1"/>
    <col min="2" max="2" width="39.8888888888889" style="408" customWidth="1"/>
    <col min="3" max="3" width="11.3333333333333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19.2222222222222" style="413" hidden="1" customWidth="1"/>
    <col min="14" max="14" width="7.33333333333333" style="414" hidden="1" customWidth="1"/>
    <col min="15" max="15" width="16.3333333333333" style="412" hidden="1" customWidth="1"/>
    <col min="16" max="16" width="96.4444444444444" style="528" customWidth="1"/>
    <col min="17" max="17" width="31.6666666666667" style="408" customWidth="1"/>
    <col min="18" max="18" width="14.8888888888889" style="408" customWidth="1"/>
    <col min="19" max="19" width="10.1111111111111" style="408" customWidth="1"/>
    <col min="20" max="20" width="17.1111111111111" style="416" customWidth="1"/>
    <col min="21" max="21" width="16.8888888888889" style="416" customWidth="1"/>
    <col min="22" max="22" width="10.8888888888889" style="408" hidden="1" customWidth="1"/>
    <col min="23" max="23" width="11.1111111111111" style="408" hidden="1" customWidth="1"/>
    <col min="24" max="16383" width="9" style="417"/>
  </cols>
  <sheetData>
    <row r="1" s="408" customFormat="1" ht="17.4" spans="1:23">
      <c r="A1" s="418" t="s">
        <v>145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43"/>
      <c r="N1" s="444"/>
      <c r="O1" s="422"/>
      <c r="P1" s="529"/>
      <c r="Q1" s="465"/>
      <c r="R1" s="424"/>
      <c r="S1" s="421"/>
      <c r="T1" s="466"/>
      <c r="U1" s="467"/>
      <c r="V1" s="467"/>
      <c r="W1" s="467"/>
    </row>
    <row r="2" s="409" customFormat="1" ht="46.8" spans="1:23">
      <c r="A2" s="423" t="s">
        <v>206</v>
      </c>
      <c r="B2" s="424" t="s">
        <v>207</v>
      </c>
      <c r="C2" s="425" t="s">
        <v>447</v>
      </c>
      <c r="D2" s="424" t="s">
        <v>209</v>
      </c>
      <c r="E2" s="426" t="s">
        <v>210</v>
      </c>
      <c r="F2" s="427" t="s">
        <v>448</v>
      </c>
      <c r="G2" s="427" t="s">
        <v>213</v>
      </c>
      <c r="H2" s="427" t="s">
        <v>396</v>
      </c>
      <c r="I2" s="445" t="s">
        <v>386</v>
      </c>
      <c r="J2" s="446" t="s">
        <v>435</v>
      </c>
      <c r="K2" s="446" t="s">
        <v>444</v>
      </c>
      <c r="L2" s="446" t="s">
        <v>449</v>
      </c>
      <c r="M2" s="447" t="s">
        <v>436</v>
      </c>
      <c r="N2" s="448" t="s">
        <v>219</v>
      </c>
      <c r="O2" s="449" t="s">
        <v>220</v>
      </c>
      <c r="P2" s="535" t="s">
        <v>0</v>
      </c>
      <c r="Q2" s="469" t="s">
        <v>222</v>
      </c>
      <c r="R2" s="426" t="s">
        <v>223</v>
      </c>
      <c r="S2" s="470" t="s">
        <v>224</v>
      </c>
      <c r="T2" s="467" t="s">
        <v>225</v>
      </c>
      <c r="U2" s="470" t="s">
        <v>226</v>
      </c>
      <c r="V2" s="467"/>
      <c r="W2" s="467"/>
    </row>
    <row r="3" s="408" customFormat="1" spans="1:23">
      <c r="A3" s="428" t="s">
        <v>230</v>
      </c>
      <c r="B3" s="421" t="s">
        <v>251</v>
      </c>
      <c r="C3" s="429" t="s">
        <v>233</v>
      </c>
      <c r="D3" s="421" t="s">
        <v>417</v>
      </c>
      <c r="E3" s="430"/>
      <c r="F3" s="430">
        <v>574001.75</v>
      </c>
      <c r="G3" s="430"/>
      <c r="H3" s="430"/>
      <c r="I3" s="450"/>
      <c r="J3" s="451">
        <f t="shared" ref="J3:J10" si="0">F3/F$12</f>
        <v>0.251421568272548</v>
      </c>
      <c r="K3" s="451">
        <v>0.235301891847012</v>
      </c>
      <c r="L3" s="451">
        <v>0.257695251669707</v>
      </c>
      <c r="M3" s="452"/>
      <c r="N3" s="451"/>
      <c r="O3" s="430"/>
      <c r="P3" s="531">
        <f t="array" ref="P3">INDEX(正厂竞争者数据汇总!I:I,MATCH($A$1&amp;B3,正厂竞争者数据汇总!A:A&amp;正厂竞争者数据汇总!D:D,0))</f>
        <v>0</v>
      </c>
      <c r="Q3" s="429" t="s">
        <v>180</v>
      </c>
      <c r="R3" s="421" t="s">
        <v>180</v>
      </c>
      <c r="S3" s="472"/>
      <c r="T3" s="466"/>
      <c r="U3" s="466"/>
      <c r="V3" s="466"/>
      <c r="W3" s="466"/>
    </row>
    <row r="4" s="410" customFormat="1" spans="1:23">
      <c r="A4" s="432" t="s">
        <v>227</v>
      </c>
      <c r="B4" s="432" t="s">
        <v>146</v>
      </c>
      <c r="C4" s="505" t="s">
        <v>441</v>
      </c>
      <c r="D4" s="435" t="s">
        <v>58</v>
      </c>
      <c r="E4" s="436"/>
      <c r="F4" s="436">
        <v>507164.166666667</v>
      </c>
      <c r="G4" s="436"/>
      <c r="H4" s="436"/>
      <c r="I4" s="510"/>
      <c r="J4" s="457">
        <f t="shared" si="0"/>
        <v>0.222145681881585</v>
      </c>
      <c r="K4" s="457">
        <v>0.205876306455008</v>
      </c>
      <c r="L4" s="457">
        <v>0.189721031094218</v>
      </c>
      <c r="M4" s="461"/>
      <c r="N4" s="457"/>
      <c r="O4" s="436"/>
      <c r="P4" s="531">
        <f t="array" ref="P4">INDEX(正厂竞争者数据汇总!I:I,MATCH($A$1&amp;B4,正厂竞争者数据汇总!A:A&amp;正厂竞争者数据汇总!D:D,0))</f>
        <v>0</v>
      </c>
      <c r="Q4" s="434"/>
      <c r="R4" s="435"/>
      <c r="S4" s="476"/>
      <c r="T4" s="477"/>
      <c r="U4" s="477"/>
      <c r="V4" s="477"/>
      <c r="W4" s="477"/>
    </row>
    <row r="5" s="408" customFormat="1" ht="17.4" spans="1:23">
      <c r="A5" s="428" t="s">
        <v>230</v>
      </c>
      <c r="B5" s="421" t="s">
        <v>450</v>
      </c>
      <c r="C5" s="429" t="s">
        <v>233</v>
      </c>
      <c r="D5" s="421" t="s">
        <v>60</v>
      </c>
      <c r="E5" s="430"/>
      <c r="F5" s="430">
        <v>357794.666666667</v>
      </c>
      <c r="G5" s="430"/>
      <c r="H5" s="430"/>
      <c r="I5" s="450"/>
      <c r="J5" s="451">
        <f t="shared" si="0"/>
        <v>0.15671955044194</v>
      </c>
      <c r="K5" s="451">
        <v>0.228864002748741</v>
      </c>
      <c r="L5" s="451">
        <v>0.217595593660659</v>
      </c>
      <c r="M5" s="452"/>
      <c r="N5" s="451"/>
      <c r="O5" s="430"/>
      <c r="P5" s="531" t="str">
        <f t="array" ref="P5">INDEX(正厂竞争者数据汇总!I:I,MATCH($A$1&amp;B5,正厂竞争者数据汇总!A:A&amp;正厂竞争者数据汇总!D:D,0))</f>
        <v>原gmpartsonline.net，202305网站导流到autopartspress.net。自2023年7月报告更新，将此竞品更名为autopartsexpress.net</v>
      </c>
      <c r="Q5" s="429" t="s">
        <v>254</v>
      </c>
      <c r="R5" s="421" t="s">
        <v>229</v>
      </c>
      <c r="S5" s="472"/>
      <c r="T5" s="466"/>
      <c r="U5" s="466"/>
      <c r="V5" s="466"/>
      <c r="W5" s="466"/>
    </row>
    <row r="6" s="408" customFormat="1" spans="1:23">
      <c r="A6" s="428" t="s">
        <v>230</v>
      </c>
      <c r="B6" s="421" t="s">
        <v>258</v>
      </c>
      <c r="C6" s="429" t="s">
        <v>233</v>
      </c>
      <c r="D6" s="421" t="s">
        <v>59</v>
      </c>
      <c r="E6" s="430"/>
      <c r="F6" s="430">
        <v>243759</v>
      </c>
      <c r="G6" s="430"/>
      <c r="H6" s="430"/>
      <c r="I6" s="450"/>
      <c r="J6" s="451">
        <f t="shared" si="0"/>
        <v>0.106770179813124</v>
      </c>
      <c r="K6" s="451">
        <v>0.0706072715653019</v>
      </c>
      <c r="L6" s="451">
        <v>0.0635032412675029</v>
      </c>
      <c r="M6" s="452"/>
      <c r="N6" s="451"/>
      <c r="O6" s="430"/>
      <c r="P6" s="531">
        <f t="array" ref="P6">INDEX(正厂竞争者数据汇总!I:I,MATCH($A$1&amp;B6,正厂竞争者数据汇总!A:A&amp;正厂竞争者数据汇总!D:D,0))</f>
        <v>0</v>
      </c>
      <c r="Q6" s="429" t="s">
        <v>180</v>
      </c>
      <c r="R6" s="421"/>
      <c r="S6" s="472"/>
      <c r="T6" s="466"/>
      <c r="U6" s="466"/>
      <c r="V6" s="466"/>
      <c r="W6" s="466"/>
    </row>
    <row r="7" s="408" customFormat="1" spans="1:23">
      <c r="A7" s="428" t="s">
        <v>230</v>
      </c>
      <c r="B7" s="421" t="s">
        <v>252</v>
      </c>
      <c r="C7" s="429" t="s">
        <v>233</v>
      </c>
      <c r="D7" s="421" t="s">
        <v>58</v>
      </c>
      <c r="E7" s="430"/>
      <c r="F7" s="430">
        <v>217530.916666667</v>
      </c>
      <c r="G7" s="430"/>
      <c r="H7" s="430"/>
      <c r="I7" s="450"/>
      <c r="J7" s="451">
        <f t="shared" si="0"/>
        <v>0.0952818771303369</v>
      </c>
      <c r="K7" s="451">
        <v>0.0968642838950356</v>
      </c>
      <c r="L7" s="451">
        <v>0.103689611741843</v>
      </c>
      <c r="M7" s="452"/>
      <c r="N7" s="451"/>
      <c r="O7" s="430"/>
      <c r="P7" s="531">
        <f t="array" ref="P7">INDEX(正厂竞争者数据汇总!I:I,MATCH($A$1&amp;B7,正厂竞争者数据汇总!A:A&amp;正厂竞争者数据汇总!D:D,0))</f>
        <v>0</v>
      </c>
      <c r="Q7" s="429" t="s">
        <v>180</v>
      </c>
      <c r="R7" s="421" t="s">
        <v>180</v>
      </c>
      <c r="S7" s="472"/>
      <c r="T7" s="466"/>
      <c r="U7" s="466"/>
      <c r="V7" s="466"/>
      <c r="W7" s="466"/>
    </row>
    <row r="8" s="408" customFormat="1" spans="1:23">
      <c r="A8" s="428" t="s">
        <v>391</v>
      </c>
      <c r="B8" s="421" t="s">
        <v>256</v>
      </c>
      <c r="C8" s="429" t="s">
        <v>441</v>
      </c>
      <c r="D8" s="421" t="s">
        <v>418</v>
      </c>
      <c r="E8" s="430"/>
      <c r="F8" s="430">
        <v>152913.333333333</v>
      </c>
      <c r="G8" s="430"/>
      <c r="H8" s="430"/>
      <c r="I8" s="450"/>
      <c r="J8" s="451">
        <f t="shared" si="0"/>
        <v>0.0669783847809688</v>
      </c>
      <c r="K8" s="451">
        <v>0.0614695322205222</v>
      </c>
      <c r="L8" s="451">
        <v>0.0591363957799695</v>
      </c>
      <c r="M8" s="452"/>
      <c r="N8" s="451"/>
      <c r="O8" s="430"/>
      <c r="P8" s="531">
        <f t="array" ref="P8">INDEX(正厂竞争者数据汇总!I:I,MATCH($A$1&amp;B8,正厂竞争者数据汇总!A:A&amp;正厂竞争者数据汇总!D:D,0))</f>
        <v>0</v>
      </c>
      <c r="Q8" s="429" t="s">
        <v>257</v>
      </c>
      <c r="R8" s="421" t="s">
        <v>229</v>
      </c>
      <c r="S8" s="472"/>
      <c r="T8" s="466"/>
      <c r="U8" s="466"/>
      <c r="V8" s="466"/>
      <c r="W8" s="466"/>
    </row>
    <row r="9" s="408" customFormat="1" spans="1:23">
      <c r="A9" s="428" t="s">
        <v>230</v>
      </c>
      <c r="B9" s="421" t="s">
        <v>255</v>
      </c>
      <c r="C9" s="429" t="s">
        <v>233</v>
      </c>
      <c r="D9" s="421" t="s">
        <v>419</v>
      </c>
      <c r="E9" s="430"/>
      <c r="F9" s="430">
        <v>137415.679166667</v>
      </c>
      <c r="G9" s="430"/>
      <c r="H9" s="430"/>
      <c r="I9" s="450"/>
      <c r="J9" s="451">
        <f t="shared" si="0"/>
        <v>0.0601901746141379</v>
      </c>
      <c r="K9" s="451">
        <v>0.0554634423238055</v>
      </c>
      <c r="L9" s="451">
        <v>0.0588421153956928</v>
      </c>
      <c r="M9" s="452"/>
      <c r="N9" s="451"/>
      <c r="O9" s="430"/>
      <c r="P9" s="531" t="str">
        <f t="array" ref="P9">INDEX(正厂竞争者数据汇总!I:I,MATCH($A$1&amp;B9,正厂竞争者数据汇总!A:A&amp;正厂竞争者数据汇总!D:D,0))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9" s="429" t="s">
        <v>180</v>
      </c>
      <c r="R9" s="421" t="s">
        <v>180</v>
      </c>
      <c r="S9" s="472"/>
      <c r="T9" s="466"/>
      <c r="U9" s="466"/>
      <c r="V9" s="466"/>
      <c r="W9" s="466"/>
    </row>
    <row r="10" s="408" customFormat="1" spans="1:23">
      <c r="A10" s="428" t="s">
        <v>230</v>
      </c>
      <c r="B10" t="s">
        <v>437</v>
      </c>
      <c r="C10" s="429" t="s">
        <v>233</v>
      </c>
      <c r="D10" s="421" t="s">
        <v>451</v>
      </c>
      <c r="E10" s="430"/>
      <c r="F10" s="430">
        <v>92445.5833333333</v>
      </c>
      <c r="G10" s="430"/>
      <c r="H10" s="430"/>
      <c r="I10" s="450"/>
      <c r="J10" s="451">
        <f t="shared" si="0"/>
        <v>0.0404925830653603</v>
      </c>
      <c r="K10" s="451">
        <v>0.0455532689445742</v>
      </c>
      <c r="L10" s="451">
        <v>0.0498167593904073</v>
      </c>
      <c r="M10" s="452"/>
      <c r="N10" s="451"/>
      <c r="O10" s="430"/>
      <c r="P10" s="531">
        <f t="array" ref="P10">INDEX(正厂竞争者数据汇总!I:I,MATCH($A$1&amp;B10,正厂竞争者数据汇总!A:A&amp;正厂竞争者数据汇总!D:D,0))</f>
        <v>0</v>
      </c>
      <c r="Q10" s="429" t="s">
        <v>180</v>
      </c>
      <c r="R10" s="421" t="s">
        <v>180</v>
      </c>
      <c r="S10" s="472"/>
      <c r="T10" s="466"/>
      <c r="U10" s="466"/>
      <c r="V10" s="466"/>
      <c r="W10" s="466"/>
    </row>
    <row r="11" s="410" customFormat="1" spans="1:23">
      <c r="A11" s="428"/>
      <c r="B11" s="431"/>
      <c r="C11" s="429"/>
      <c r="D11" s="421"/>
      <c r="E11" s="430"/>
      <c r="F11" s="430"/>
      <c r="G11" s="430"/>
      <c r="H11" s="430"/>
      <c r="I11" s="450"/>
      <c r="J11" s="455"/>
      <c r="K11" s="455"/>
      <c r="L11" s="455"/>
      <c r="M11" s="452"/>
      <c r="N11" s="457"/>
      <c r="O11" s="436"/>
      <c r="P11" s="531"/>
      <c r="Q11" s="434"/>
      <c r="R11" s="435"/>
      <c r="S11" s="473"/>
      <c r="T11" s="477"/>
      <c r="U11" s="466"/>
      <c r="V11" s="435"/>
      <c r="W11" s="435"/>
    </row>
    <row r="12" s="408" customFormat="1" spans="1:23">
      <c r="A12" s="428"/>
      <c r="B12" s="421"/>
      <c r="C12" s="439"/>
      <c r="D12" s="421"/>
      <c r="E12" s="430"/>
      <c r="F12" s="430">
        <v>2283025.09583333</v>
      </c>
      <c r="G12" s="430"/>
      <c r="H12" s="430"/>
      <c r="I12" s="453"/>
      <c r="J12" s="430"/>
      <c r="K12" s="430"/>
      <c r="L12" s="430"/>
      <c r="M12" s="451"/>
      <c r="N12" s="451"/>
      <c r="O12" s="430"/>
      <c r="P12" s="531"/>
      <c r="Q12" s="429"/>
      <c r="R12" s="421"/>
      <c r="S12" s="473"/>
      <c r="T12" s="466"/>
      <c r="U12" s="466"/>
      <c r="V12" s="421"/>
      <c r="W12" s="421"/>
    </row>
    <row r="13" s="408" customFormat="1" spans="1:23">
      <c r="A13" s="428"/>
      <c r="B13" s="421"/>
      <c r="C13" s="439"/>
      <c r="D13" s="421"/>
      <c r="E13" s="430"/>
      <c r="F13" s="430"/>
      <c r="G13" s="430"/>
      <c r="H13" s="430"/>
      <c r="I13" s="453"/>
      <c r="J13" s="430"/>
      <c r="K13" s="430"/>
      <c r="L13" s="430"/>
      <c r="M13" s="451"/>
      <c r="N13" s="451"/>
      <c r="O13" s="430"/>
      <c r="P13" s="531"/>
      <c r="Q13" s="429"/>
      <c r="R13" s="421"/>
      <c r="S13" s="473"/>
      <c r="T13" s="466"/>
      <c r="U13" s="466"/>
      <c r="V13" s="421"/>
      <c r="W13" s="421"/>
    </row>
    <row r="14" s="408" customFormat="1" ht="17.4" spans="1:23">
      <c r="A14" s="418" t="s">
        <v>138</v>
      </c>
      <c r="B14" s="419"/>
      <c r="C14" s="420"/>
      <c r="D14" s="421"/>
      <c r="E14" s="422" t="s">
        <v>202</v>
      </c>
      <c r="F14" s="422"/>
      <c r="G14" s="422"/>
      <c r="H14" s="422"/>
      <c r="I14" s="422"/>
      <c r="J14" s="422"/>
      <c r="K14" s="422"/>
      <c r="L14" s="422"/>
      <c r="M14" s="443"/>
      <c r="N14" s="444"/>
      <c r="O14" s="422"/>
      <c r="P14" s="531"/>
      <c r="Q14" s="465"/>
      <c r="R14" s="424"/>
      <c r="S14" s="473"/>
      <c r="T14" s="467"/>
      <c r="U14" s="467"/>
      <c r="V14" s="467"/>
      <c r="W14" s="467"/>
    </row>
    <row r="15" s="409" customFormat="1" ht="46.8" spans="1:23">
      <c r="A15" s="423" t="s">
        <v>206</v>
      </c>
      <c r="B15" s="424" t="s">
        <v>207</v>
      </c>
      <c r="C15" s="425" t="s">
        <v>447</v>
      </c>
      <c r="D15" s="424" t="s">
        <v>209</v>
      </c>
      <c r="E15" s="426" t="s">
        <v>210</v>
      </c>
      <c r="F15" s="427" t="s">
        <v>448</v>
      </c>
      <c r="G15" s="427" t="s">
        <v>213</v>
      </c>
      <c r="H15" s="427" t="s">
        <v>396</v>
      </c>
      <c r="I15" s="427" t="s">
        <v>386</v>
      </c>
      <c r="J15" s="446" t="s">
        <v>435</v>
      </c>
      <c r="K15" s="446" t="s">
        <v>444</v>
      </c>
      <c r="L15" s="446" t="s">
        <v>449</v>
      </c>
      <c r="M15" s="447" t="s">
        <v>436</v>
      </c>
      <c r="N15" s="448" t="s">
        <v>219</v>
      </c>
      <c r="O15" s="449" t="s">
        <v>220</v>
      </c>
      <c r="P15" s="535" t="s">
        <v>0</v>
      </c>
      <c r="Q15" s="469" t="s">
        <v>222</v>
      </c>
      <c r="R15" s="426" t="s">
        <v>223</v>
      </c>
      <c r="S15" s="470" t="s">
        <v>224</v>
      </c>
      <c r="T15" s="467" t="s">
        <v>225</v>
      </c>
      <c r="U15" s="470" t="s">
        <v>226</v>
      </c>
      <c r="V15" s="467"/>
      <c r="W15" s="467"/>
    </row>
    <row r="16" s="410" customFormat="1" ht="17.4" spans="1:23">
      <c r="A16" s="432" t="s">
        <v>227</v>
      </c>
      <c r="B16" s="432" t="s">
        <v>139</v>
      </c>
      <c r="C16" s="434" t="s">
        <v>441</v>
      </c>
      <c r="D16" s="435" t="s">
        <v>49</v>
      </c>
      <c r="E16" s="436">
        <f>VLOOKUP(B16,正厂竞争者数据汇总!D:H,4,FALSE)</f>
        <v>0</v>
      </c>
      <c r="F16" s="436">
        <v>1194645.83333333</v>
      </c>
      <c r="G16" s="436">
        <v>1150833.33333333</v>
      </c>
      <c r="H16" s="436">
        <v>1200750</v>
      </c>
      <c r="I16" s="454">
        <f>(F16/G16)-1</f>
        <v>0.0380702389572773</v>
      </c>
      <c r="J16" s="455">
        <f t="shared" ref="J16:J22" si="1">F16/F$24</f>
        <v>0.513309550773037</v>
      </c>
      <c r="K16" s="455">
        <v>0.53525393620801</v>
      </c>
      <c r="L16" s="455">
        <v>0.523149843909333</v>
      </c>
      <c r="M16" s="456">
        <f>J16-K16</f>
        <v>-0.021944385434973</v>
      </c>
      <c r="N16" s="455" t="str">
        <f>IFERROR(O16*0.5/$F$16,"")</f>
        <v/>
      </c>
      <c r="O16" s="436" t="s">
        <v>180</v>
      </c>
      <c r="P16" s="531">
        <f t="array" ref="P16">INDEX(正厂竞争者数据汇总!I:I,MATCH($A$14&amp;B16,正厂竞争者数据汇总!A:A&amp;正厂竞争者数据汇总!D:D,0))</f>
        <v>0</v>
      </c>
      <c r="Q16" s="434" t="s">
        <v>228</v>
      </c>
      <c r="R16" s="435" t="s">
        <v>229</v>
      </c>
      <c r="S16" s="476"/>
      <c r="T16" s="435" t="s">
        <v>452</v>
      </c>
      <c r="U16" s="477"/>
      <c r="V16" s="477"/>
      <c r="W16" s="477"/>
    </row>
    <row r="17" s="408" customFormat="1" spans="1:23">
      <c r="A17" s="428" t="s">
        <v>230</v>
      </c>
      <c r="B17" s="421" t="s">
        <v>231</v>
      </c>
      <c r="C17" s="429" t="s">
        <v>441</v>
      </c>
      <c r="D17" s="421" t="s">
        <v>60</v>
      </c>
      <c r="E17" s="430"/>
      <c r="F17" s="430">
        <v>386111.819366667</v>
      </c>
      <c r="G17" s="430"/>
      <c r="H17" s="430"/>
      <c r="I17" s="450"/>
      <c r="J17" s="451">
        <f t="shared" si="1"/>
        <v>0.165902629061414</v>
      </c>
      <c r="K17" s="451">
        <v>0.161180980298857</v>
      </c>
      <c r="L17" s="451">
        <v>0.169569333682563</v>
      </c>
      <c r="M17" s="452"/>
      <c r="N17" s="451"/>
      <c r="O17" s="430"/>
      <c r="P17" s="531">
        <f t="array" ref="P17">INDEX(正厂竞争者数据汇总!I:I,MATCH($A$14&amp;B17,正厂竞争者数据汇总!A:A&amp;正厂竞争者数据汇总!D:D,0))</f>
        <v>0</v>
      </c>
      <c r="Q17" s="429"/>
      <c r="R17" s="421"/>
      <c r="S17" s="472"/>
      <c r="T17" s="466"/>
      <c r="U17" s="466"/>
      <c r="V17" s="466"/>
      <c r="W17" s="466"/>
    </row>
    <row r="18" s="408" customFormat="1" spans="1:23">
      <c r="A18" s="428" t="s">
        <v>230</v>
      </c>
      <c r="B18" s="421" t="s">
        <v>236</v>
      </c>
      <c r="C18" s="429" t="s">
        <v>441</v>
      </c>
      <c r="D18" s="421" t="s">
        <v>412</v>
      </c>
      <c r="E18" s="430"/>
      <c r="F18" s="430">
        <v>168964.815033333</v>
      </c>
      <c r="G18" s="430"/>
      <c r="H18" s="430"/>
      <c r="I18" s="450"/>
      <c r="J18" s="451">
        <f t="shared" si="1"/>
        <v>0.0725999713732812</v>
      </c>
      <c r="K18" s="451">
        <v>0.0811779772954461</v>
      </c>
      <c r="L18" s="451">
        <v>0.0949487204094577</v>
      </c>
      <c r="M18" s="452"/>
      <c r="N18" s="451"/>
      <c r="O18" s="430"/>
      <c r="P18" s="531" t="str">
        <f t="array" ref="P18">INDEX(正厂竞争者数据汇总!I:I,MATCH($A$14&amp;B18,正厂竞争者数据汇总!A:A&amp;正厂竞争者数据汇总!D:D,0))</f>
        <v>2022年1月 新加入 CompetitorSites
2022年1月 新加入 MarketingShare</v>
      </c>
      <c r="Q18" s="429"/>
      <c r="R18" s="421"/>
      <c r="S18" s="472"/>
      <c r="T18" s="466"/>
      <c r="U18" s="466"/>
      <c r="V18" s="466"/>
      <c r="W18" s="466"/>
    </row>
    <row r="19" s="408" customFormat="1" spans="1:23">
      <c r="A19" s="428" t="s">
        <v>230</v>
      </c>
      <c r="B19" s="421" t="s">
        <v>235</v>
      </c>
      <c r="C19" s="429" t="s">
        <v>441</v>
      </c>
      <c r="D19" s="421" t="s">
        <v>411</v>
      </c>
      <c r="E19" s="430"/>
      <c r="F19" s="430">
        <v>158922.5</v>
      </c>
      <c r="G19" s="430"/>
      <c r="H19" s="430"/>
      <c r="I19" s="450"/>
      <c r="J19" s="451">
        <f t="shared" si="1"/>
        <v>0.0682850388010909</v>
      </c>
      <c r="K19" s="451">
        <v>0.0750749696846623</v>
      </c>
      <c r="L19" s="451">
        <v>0.0799410336679879</v>
      </c>
      <c r="M19" s="452"/>
      <c r="N19" s="451"/>
      <c r="O19" s="430"/>
      <c r="P19" s="531" t="str">
        <f t="array" ref="P19">INDEX(正厂竞争者数据汇总!I:I,MATCH($A$14&amp;B19,正厂竞争者数据汇总!A:A&amp;正厂竞争者数据汇总!D:D,0))</f>
        <v>2021年06月新加竞争者</v>
      </c>
      <c r="Q19" s="429"/>
      <c r="R19" s="421"/>
      <c r="S19" s="472"/>
      <c r="T19" s="466"/>
      <c r="U19" s="466"/>
      <c r="V19" s="466"/>
      <c r="W19" s="466"/>
    </row>
    <row r="20" s="408" customFormat="1" spans="1:23">
      <c r="A20" s="428" t="s">
        <v>230</v>
      </c>
      <c r="B20" s="421" t="s">
        <v>453</v>
      </c>
      <c r="C20" s="429" t="s">
        <v>234</v>
      </c>
      <c r="D20" s="421" t="s">
        <v>426</v>
      </c>
      <c r="E20" s="430"/>
      <c r="F20" s="430">
        <v>154075.333333333</v>
      </c>
      <c r="G20" s="430"/>
      <c r="H20" s="430"/>
      <c r="I20" s="450"/>
      <c r="J20" s="451">
        <f t="shared" si="1"/>
        <v>0.0662023320483736</v>
      </c>
      <c r="K20" s="451"/>
      <c r="L20" s="451"/>
      <c r="M20" s="452"/>
      <c r="N20" s="451"/>
      <c r="O20" s="430"/>
      <c r="P20" s="531" t="str">
        <f t="array" ref="P20">INDEX(正厂竞争者数据汇总!I:I,MATCH($A$14&amp;B20,正厂竞争者数据汇总!A:A&amp;正厂竞争者数据汇总!D:D,0))</f>
        <v>Acc网站，202306因流量上涨加入MS计算基准</v>
      </c>
      <c r="Q20" s="429"/>
      <c r="R20" s="421"/>
      <c r="S20" s="472"/>
      <c r="T20" s="466"/>
      <c r="U20" s="466"/>
      <c r="V20" s="466"/>
      <c r="W20" s="466"/>
    </row>
    <row r="21" s="408" customFormat="1" spans="1:23">
      <c r="A21" s="428" t="s">
        <v>230</v>
      </c>
      <c r="B21" s="421" t="s">
        <v>237</v>
      </c>
      <c r="C21" s="429" t="s">
        <v>441</v>
      </c>
      <c r="D21" s="421" t="s">
        <v>250</v>
      </c>
      <c r="E21" s="430"/>
      <c r="F21" s="430">
        <v>143148.75</v>
      </c>
      <c r="G21" s="430"/>
      <c r="H21" s="430"/>
      <c r="I21" s="450"/>
      <c r="J21" s="451">
        <f t="shared" si="1"/>
        <v>0.0615074514186327</v>
      </c>
      <c r="K21" s="451">
        <v>0.0650024591583505</v>
      </c>
      <c r="L21" s="451">
        <v>0.0633243166929287</v>
      </c>
      <c r="M21" s="452"/>
      <c r="N21" s="451"/>
      <c r="O21" s="430"/>
      <c r="P21" s="531">
        <f t="array" ref="P21">INDEX(正厂竞争者数据汇总!I:I,MATCH($A$14&amp;B21,正厂竞争者数据汇总!A:A&amp;正厂竞争者数据汇总!D:D,0))</f>
        <v>0</v>
      </c>
      <c r="Q21" s="429"/>
      <c r="R21" s="421"/>
      <c r="S21" s="472"/>
      <c r="T21" s="466"/>
      <c r="U21" s="466"/>
      <c r="V21" s="466"/>
      <c r="W21" s="466"/>
    </row>
    <row r="22" s="408" customFormat="1" spans="1:23">
      <c r="A22" s="428" t="s">
        <v>238</v>
      </c>
      <c r="B22" s="421" t="s">
        <v>239</v>
      </c>
      <c r="C22" s="429" t="s">
        <v>441</v>
      </c>
      <c r="D22" s="421" t="s">
        <v>250</v>
      </c>
      <c r="E22" s="430"/>
      <c r="F22" s="430">
        <v>121470.916666666</v>
      </c>
      <c r="G22" s="430"/>
      <c r="H22" s="430"/>
      <c r="I22" s="450"/>
      <c r="J22" s="451">
        <f t="shared" si="1"/>
        <v>0.0521930265241697</v>
      </c>
      <c r="K22" s="451">
        <v>0.0445701358087412</v>
      </c>
      <c r="L22" s="451">
        <v>0.0381997171810157</v>
      </c>
      <c r="M22" s="452"/>
      <c r="N22" s="451"/>
      <c r="O22" s="430"/>
      <c r="P22" s="531" t="str">
        <f t="array" ref="P22">INDEX(正厂竞争者数据汇总!I:I,MATCH($A$14&amp;B22,正厂竞争者数据汇总!A:A&amp;正厂竞争者数据汇总!D:D,0))</f>
        <v>2023年10月，Semrush中仅能获取acura子域名流量</v>
      </c>
      <c r="Q22" s="429"/>
      <c r="R22" s="421"/>
      <c r="S22" s="472"/>
      <c r="T22" s="466"/>
      <c r="U22" s="466"/>
      <c r="V22" s="466"/>
      <c r="W22" s="466"/>
    </row>
    <row r="23" s="410" customFormat="1" spans="1:23">
      <c r="A23" s="432"/>
      <c r="B23" s="435"/>
      <c r="C23" s="434"/>
      <c r="D23" s="435"/>
      <c r="E23" s="430"/>
      <c r="F23" s="430"/>
      <c r="G23" s="430"/>
      <c r="H23" s="430"/>
      <c r="I23" s="453"/>
      <c r="J23" s="436"/>
      <c r="K23" s="436"/>
      <c r="L23" s="436"/>
      <c r="M23" s="451"/>
      <c r="N23" s="455"/>
      <c r="O23" s="436"/>
      <c r="P23" s="531"/>
      <c r="Q23" s="434"/>
      <c r="R23" s="435"/>
      <c r="S23" s="473"/>
      <c r="T23" s="477"/>
      <c r="U23" s="466"/>
      <c r="V23" s="435"/>
      <c r="W23" s="435"/>
    </row>
    <row r="24" s="408" customFormat="1" spans="1:23">
      <c r="A24" s="428"/>
      <c r="B24" s="421"/>
      <c r="C24" s="439"/>
      <c r="D24" s="421"/>
      <c r="E24" s="430"/>
      <c r="F24" s="430">
        <v>2327339.96773333</v>
      </c>
      <c r="G24" s="430">
        <v>2122774.16666666</v>
      </c>
      <c r="H24" s="430">
        <v>2262821.16666667</v>
      </c>
      <c r="I24" s="453">
        <f>(F24/G24)-1</f>
        <v>0.0963671992428166</v>
      </c>
      <c r="J24" s="451"/>
      <c r="K24" s="451"/>
      <c r="L24" s="451"/>
      <c r="M24" s="451"/>
      <c r="N24" s="451">
        <f>SUM(N16:N17)</f>
        <v>0</v>
      </c>
      <c r="O24" s="451"/>
      <c r="P24" s="531"/>
      <c r="Q24" s="429"/>
      <c r="R24" s="421"/>
      <c r="S24" s="473"/>
      <c r="T24" s="466"/>
      <c r="U24" s="466"/>
      <c r="V24" s="421"/>
      <c r="W24" s="421"/>
    </row>
    <row r="25" s="408" customFormat="1" spans="1:23">
      <c r="A25" s="428"/>
      <c r="B25" s="421"/>
      <c r="C25" s="439"/>
      <c r="D25" s="421"/>
      <c r="E25" s="430"/>
      <c r="F25" s="430"/>
      <c r="G25" s="430"/>
      <c r="H25" s="430"/>
      <c r="I25" s="453"/>
      <c r="J25" s="430"/>
      <c r="K25" s="430"/>
      <c r="L25" s="430"/>
      <c r="M25" s="451"/>
      <c r="N25" s="451"/>
      <c r="O25" s="430"/>
      <c r="P25" s="531"/>
      <c r="Q25" s="429"/>
      <c r="R25" s="421"/>
      <c r="S25" s="473"/>
      <c r="T25" s="466"/>
      <c r="U25" s="466"/>
      <c r="V25" s="421"/>
      <c r="W25" s="421"/>
    </row>
    <row r="26" s="408" customFormat="1" ht="17.4" spans="1:23">
      <c r="A26" s="418" t="s">
        <v>141</v>
      </c>
      <c r="B26" s="441"/>
      <c r="C26" s="420"/>
      <c r="D26" s="421"/>
      <c r="E26" s="422" t="s">
        <v>202</v>
      </c>
      <c r="F26" s="422"/>
      <c r="G26" s="422"/>
      <c r="H26" s="422"/>
      <c r="I26" s="422"/>
      <c r="J26" s="422"/>
      <c r="K26" s="422"/>
      <c r="L26" s="422"/>
      <c r="M26" s="443"/>
      <c r="N26" s="444"/>
      <c r="O26" s="422"/>
      <c r="P26" s="531"/>
      <c r="Q26" s="465"/>
      <c r="R26" s="424"/>
      <c r="S26" s="473"/>
      <c r="T26" s="467"/>
      <c r="U26" s="467"/>
      <c r="V26" s="467"/>
      <c r="W26" s="467"/>
    </row>
    <row r="27" s="409" customFormat="1" ht="46.8" spans="1:23">
      <c r="A27" s="423" t="s">
        <v>206</v>
      </c>
      <c r="B27" s="424" t="s">
        <v>207</v>
      </c>
      <c r="C27" s="425" t="s">
        <v>447</v>
      </c>
      <c r="D27" s="424" t="s">
        <v>209</v>
      </c>
      <c r="E27" s="426" t="s">
        <v>210</v>
      </c>
      <c r="F27" s="427" t="s">
        <v>448</v>
      </c>
      <c r="G27" s="427" t="s">
        <v>213</v>
      </c>
      <c r="H27" s="427" t="s">
        <v>396</v>
      </c>
      <c r="I27" s="427" t="s">
        <v>386</v>
      </c>
      <c r="J27" s="446" t="s">
        <v>435</v>
      </c>
      <c r="K27" s="446" t="s">
        <v>444</v>
      </c>
      <c r="L27" s="446" t="s">
        <v>449</v>
      </c>
      <c r="M27" s="447" t="s">
        <v>436</v>
      </c>
      <c r="N27" s="448" t="s">
        <v>219</v>
      </c>
      <c r="O27" s="449" t="s">
        <v>220</v>
      </c>
      <c r="P27" s="535" t="s">
        <v>0</v>
      </c>
      <c r="Q27" s="469" t="s">
        <v>222</v>
      </c>
      <c r="R27" s="426" t="s">
        <v>223</v>
      </c>
      <c r="S27" s="470" t="s">
        <v>224</v>
      </c>
      <c r="T27" s="467" t="s">
        <v>225</v>
      </c>
      <c r="U27" s="470" t="s">
        <v>226</v>
      </c>
      <c r="V27" s="467"/>
      <c r="W27" s="467"/>
    </row>
    <row r="28" s="410" customFormat="1" ht="17.4" spans="1:23">
      <c r="A28" s="432" t="s">
        <v>227</v>
      </c>
      <c r="B28" s="432" t="s">
        <v>142</v>
      </c>
      <c r="C28" s="434" t="s">
        <v>441</v>
      </c>
      <c r="D28" s="435" t="s">
        <v>49</v>
      </c>
      <c r="E28" s="436">
        <f>VLOOKUP(B28,正厂竞争者数据汇总!D:H,4,FALSE)</f>
        <v>0</v>
      </c>
      <c r="F28" s="436">
        <v>562677.916666667</v>
      </c>
      <c r="G28" s="436">
        <v>506654</v>
      </c>
      <c r="H28" s="436">
        <v>541471.75</v>
      </c>
      <c r="I28" s="454">
        <f>(F28/G28)-1</f>
        <v>0.110576284143946</v>
      </c>
      <c r="J28" s="455">
        <f t="shared" ref="J28:J34" si="2">F28/F$36</f>
        <v>0.289311855879897</v>
      </c>
      <c r="K28" s="455">
        <v>0.315627214435687</v>
      </c>
      <c r="L28" s="455">
        <v>0.343691060224751</v>
      </c>
      <c r="M28" s="456">
        <f>J28-K28</f>
        <v>-0.0263153585557903</v>
      </c>
      <c r="N28" s="455" t="str">
        <f>IFERROR(O28*0.5/#REF!,"")</f>
        <v/>
      </c>
      <c r="O28" s="436" t="s">
        <v>180</v>
      </c>
      <c r="P28" s="531">
        <f t="array" ref="P28">INDEX(正厂竞争者数据汇总!I:I,MATCH($A$26&amp;B28,正厂竞争者数据汇总!A:A&amp;正厂竞争者数据汇总!D:D,0))</f>
        <v>0</v>
      </c>
      <c r="Q28" s="434" t="s">
        <v>241</v>
      </c>
      <c r="R28" s="435" t="s">
        <v>229</v>
      </c>
      <c r="S28" s="476"/>
      <c r="T28" s="477"/>
      <c r="U28" s="477"/>
      <c r="V28" s="435"/>
      <c r="W28" s="435"/>
    </row>
    <row r="29" s="408" customFormat="1" spans="1:23">
      <c r="A29" s="428" t="s">
        <v>243</v>
      </c>
      <c r="B29" s="421" t="s">
        <v>244</v>
      </c>
      <c r="C29" s="429" t="s">
        <v>454</v>
      </c>
      <c r="D29" s="421" t="s">
        <v>266</v>
      </c>
      <c r="E29" s="430"/>
      <c r="F29" s="430">
        <v>394051.100316667</v>
      </c>
      <c r="G29" s="430"/>
      <c r="H29" s="430"/>
      <c r="I29" s="450"/>
      <c r="J29" s="451">
        <f t="shared" si="2"/>
        <v>0.202609080199013</v>
      </c>
      <c r="K29" s="451">
        <v>0.176838541663302</v>
      </c>
      <c r="L29" s="451">
        <v>0.137909707073184</v>
      </c>
      <c r="M29" s="452"/>
      <c r="N29" s="451"/>
      <c r="O29" s="430"/>
      <c r="P29" s="531">
        <f t="array" ref="P29">INDEX(正厂竞争者数据汇总!I:I,MATCH($A$26&amp;B29,正厂竞争者数据汇总!A:A&amp;正厂竞争者数据汇总!D:D,0))</f>
        <v>0</v>
      </c>
      <c r="Q29" s="429"/>
      <c r="R29" s="421"/>
      <c r="S29" s="472"/>
      <c r="T29" s="466"/>
      <c r="U29" s="466"/>
      <c r="V29" s="466"/>
      <c r="W29" s="466"/>
    </row>
    <row r="30" s="408" customFormat="1" spans="1:23">
      <c r="A30" s="428" t="s">
        <v>230</v>
      </c>
      <c r="B30" s="421" t="s">
        <v>242</v>
      </c>
      <c r="C30" s="429" t="s">
        <v>233</v>
      </c>
      <c r="D30" s="421" t="s">
        <v>414</v>
      </c>
      <c r="E30" s="430"/>
      <c r="F30" s="430">
        <v>331231.833333333</v>
      </c>
      <c r="G30" s="430"/>
      <c r="H30" s="430"/>
      <c r="I30" s="450"/>
      <c r="J30" s="451">
        <f t="shared" si="2"/>
        <v>0.170309325441213</v>
      </c>
      <c r="K30" s="451">
        <v>0.182277986117001</v>
      </c>
      <c r="L30" s="451">
        <v>0.178703492981499</v>
      </c>
      <c r="M30" s="452"/>
      <c r="N30" s="451"/>
      <c r="O30" s="430"/>
      <c r="P30" s="531">
        <f t="array" ref="P30">INDEX(正厂竞争者数据汇总!I:I,MATCH($A$26&amp;B30,正厂竞争者数据汇总!A:A&amp;正厂竞争者数据汇总!D:D,0))</f>
        <v>0</v>
      </c>
      <c r="Q30" s="429"/>
      <c r="R30" s="421"/>
      <c r="S30" s="472"/>
      <c r="T30" s="466"/>
      <c r="U30" s="466"/>
      <c r="V30" s="466"/>
      <c r="W30" s="466"/>
    </row>
    <row r="31" s="408" customFormat="1" spans="1:23">
      <c r="A31" s="428" t="s">
        <v>230</v>
      </c>
      <c r="B31" s="421" t="s">
        <v>245</v>
      </c>
      <c r="C31" s="429" t="s">
        <v>233</v>
      </c>
      <c r="D31" s="421" t="s">
        <v>415</v>
      </c>
      <c r="E31" s="430"/>
      <c r="F31" s="430">
        <v>188817.536666667</v>
      </c>
      <c r="G31" s="430"/>
      <c r="H31" s="430"/>
      <c r="I31" s="450"/>
      <c r="J31" s="451">
        <f t="shared" si="2"/>
        <v>0.0970842294279433</v>
      </c>
      <c r="K31" s="451">
        <v>0.0949042588948863</v>
      </c>
      <c r="L31" s="451">
        <v>0.0891234488256366</v>
      </c>
      <c r="M31" s="452"/>
      <c r="N31" s="451"/>
      <c r="O31" s="430"/>
      <c r="P31" s="531" t="str">
        <f t="array" ref="P31">INDEX(正厂竞争者数据汇总!I:I,MATCH($A$26&amp;B31,正厂竞争者数据汇总!A:A&amp;正厂竞争者数据汇总!D:D,0))</f>
        <v>2021年02新加竞争者</v>
      </c>
      <c r="Q31" s="429"/>
      <c r="R31" s="421"/>
      <c r="S31" s="472"/>
      <c r="T31" s="466"/>
      <c r="U31" s="466"/>
      <c r="V31" s="466"/>
      <c r="W31" s="466"/>
    </row>
    <row r="32" s="408" customFormat="1" spans="1:23">
      <c r="A32" s="428" t="s">
        <v>230</v>
      </c>
      <c r="B32" s="421" t="s">
        <v>416</v>
      </c>
      <c r="C32" s="429" t="s">
        <v>233</v>
      </c>
      <c r="D32" s="421" t="s">
        <v>291</v>
      </c>
      <c r="E32" s="430"/>
      <c r="F32" s="430">
        <v>184514.916666667</v>
      </c>
      <c r="G32" s="430"/>
      <c r="H32" s="430"/>
      <c r="I32" s="450"/>
      <c r="J32" s="451">
        <f t="shared" si="2"/>
        <v>0.0948719532029935</v>
      </c>
      <c r="K32" s="451">
        <v>0.0879655361993822</v>
      </c>
      <c r="L32" s="451">
        <v>0.0809364594514144</v>
      </c>
      <c r="M32" s="452"/>
      <c r="N32" s="451"/>
      <c r="O32" s="430"/>
      <c r="P32" s="531" t="str">
        <f t="array" ref="P32">INDEX(正厂竞争者数据汇总!I:I,MATCH($A$26&amp;B32,正厂竞争者数据汇总!A:A&amp;正厂竞争者数据汇总!D:D,0))</f>
        <v>2023年11月导流至toyotaparts.ourismantoyotaofrichmond.com，原网站流量大幅下跌</v>
      </c>
      <c r="Q32" s="429"/>
      <c r="R32" s="421"/>
      <c r="S32" s="472"/>
      <c r="T32" s="466"/>
      <c r="U32" s="466"/>
      <c r="V32" s="466"/>
      <c r="W32" s="466"/>
    </row>
    <row r="33" s="408" customFormat="1" spans="1:23">
      <c r="A33" s="428" t="s">
        <v>230</v>
      </c>
      <c r="B33" s="421" t="s">
        <v>249</v>
      </c>
      <c r="C33" s="429" t="s">
        <v>233</v>
      </c>
      <c r="D33" s="421" t="s">
        <v>250</v>
      </c>
      <c r="E33" s="430"/>
      <c r="F33" s="430">
        <v>147276.316666667</v>
      </c>
      <c r="G33" s="430"/>
      <c r="H33" s="430"/>
      <c r="I33" s="450"/>
      <c r="J33" s="451">
        <f t="shared" si="2"/>
        <v>0.0757249986891354</v>
      </c>
      <c r="K33" s="451">
        <v>0.0791798387152944</v>
      </c>
      <c r="L33" s="451">
        <v>0.0944549479243745</v>
      </c>
      <c r="M33" s="452"/>
      <c r="N33" s="451"/>
      <c r="O33" s="430"/>
      <c r="P33" s="531" t="str">
        <f t="array" ref="P33">INDEX(正厂竞争者数据汇总!I:I,MATCH($A$26&amp;B33,正厂竞争者数据汇总!A:A&amp;正厂竞争者数据汇总!D:D,0))</f>
        <v>2023年2月新增正厂</v>
      </c>
      <c r="Q33" s="429"/>
      <c r="R33" s="421"/>
      <c r="S33" s="472"/>
      <c r="T33" s="466"/>
      <c r="U33" s="466"/>
      <c r="V33" s="466"/>
      <c r="W33" s="466"/>
    </row>
    <row r="34" s="408" customFormat="1" spans="1:23">
      <c r="A34" s="428" t="s">
        <v>230</v>
      </c>
      <c r="B34" s="421" t="s">
        <v>246</v>
      </c>
      <c r="C34" s="429" t="s">
        <v>233</v>
      </c>
      <c r="D34" s="421" t="s">
        <v>49</v>
      </c>
      <c r="E34" s="430"/>
      <c r="F34" s="430">
        <v>136314.093333333</v>
      </c>
      <c r="G34" s="430"/>
      <c r="H34" s="430"/>
      <c r="I34" s="450"/>
      <c r="J34" s="451">
        <f t="shared" si="2"/>
        <v>0.0700885571598056</v>
      </c>
      <c r="K34" s="451">
        <v>0.0632066239744466</v>
      </c>
      <c r="L34" s="451">
        <v>0.0751808835191409</v>
      </c>
      <c r="M34" s="452"/>
      <c r="N34" s="451"/>
      <c r="O34" s="430"/>
      <c r="P34" s="531" t="str">
        <f t="array" ref="P34">INDEX(正厂竞争者数据汇总!I:I,MATCH($A$26&amp;B34,正厂竞争者数据汇总!A:A&amp;正厂竞争者数据汇总!D:D,0))</f>
        <v>2023年2月新增正厂</v>
      </c>
      <c r="Q34" s="429"/>
      <c r="R34" s="421"/>
      <c r="S34" s="472"/>
      <c r="T34" s="466"/>
      <c r="U34" s="466"/>
      <c r="V34" s="466"/>
      <c r="W34" s="466"/>
    </row>
    <row r="35" s="410" customFormat="1" spans="1:23">
      <c r="A35" s="428"/>
      <c r="B35" s="438"/>
      <c r="C35" s="429"/>
      <c r="D35" s="421"/>
      <c r="E35" s="430"/>
      <c r="F35" s="430"/>
      <c r="G35" s="430"/>
      <c r="H35" s="430"/>
      <c r="I35" s="453"/>
      <c r="J35" s="463"/>
      <c r="K35" s="463"/>
      <c r="L35" s="463"/>
      <c r="M35" s="451"/>
      <c r="N35" s="459"/>
      <c r="O35" s="430"/>
      <c r="P35" s="531"/>
      <c r="Q35" s="429"/>
      <c r="R35" s="435"/>
      <c r="S35" s="473"/>
      <c r="T35" s="466"/>
      <c r="U35" s="466"/>
      <c r="V35" s="421"/>
      <c r="W35" s="421"/>
    </row>
    <row r="36" s="408" customFormat="1" spans="1:23">
      <c r="A36" s="428"/>
      <c r="B36" s="421"/>
      <c r="C36" s="439"/>
      <c r="D36" s="421"/>
      <c r="E36" s="430"/>
      <c r="F36" s="430">
        <v>1944883.71365</v>
      </c>
      <c r="G36" s="430">
        <v>1471722.72</v>
      </c>
      <c r="H36" s="430">
        <v>1511577.56416667</v>
      </c>
      <c r="I36" s="453">
        <f>(F36/G36)-1</f>
        <v>0.321501453514287</v>
      </c>
      <c r="J36" s="430"/>
      <c r="K36" s="513"/>
      <c r="L36" s="430"/>
      <c r="M36" s="451"/>
      <c r="N36" s="459"/>
      <c r="O36" s="430"/>
      <c r="P36" s="531"/>
      <c r="Q36" s="429" t="s">
        <v>180</v>
      </c>
      <c r="R36" s="421"/>
      <c r="S36" s="473"/>
      <c r="T36" s="466"/>
      <c r="U36" s="466"/>
      <c r="V36" s="421"/>
      <c r="W36" s="421"/>
    </row>
    <row r="37" s="408" customFormat="1" spans="1:23">
      <c r="A37" s="428"/>
      <c r="B37" s="421"/>
      <c r="C37" s="439"/>
      <c r="D37" s="421"/>
      <c r="E37" s="430"/>
      <c r="F37" s="430"/>
      <c r="G37" s="430"/>
      <c r="H37" s="430"/>
      <c r="I37" s="453"/>
      <c r="J37" s="430"/>
      <c r="K37" s="430"/>
      <c r="L37" s="430"/>
      <c r="M37" s="451"/>
      <c r="N37" s="451"/>
      <c r="O37" s="430"/>
      <c r="P37" s="531"/>
      <c r="Q37" s="429"/>
      <c r="R37" s="421"/>
      <c r="S37" s="473"/>
      <c r="T37" s="466"/>
      <c r="U37" s="466"/>
      <c r="V37" s="421"/>
      <c r="W37" s="421"/>
    </row>
    <row r="38" s="408" customFormat="1" ht="17.4" spans="1:23">
      <c r="A38" s="418" t="s">
        <v>149</v>
      </c>
      <c r="B38" s="419"/>
      <c r="C38" s="420"/>
      <c r="D38" s="421"/>
      <c r="E38" s="422" t="s">
        <v>202</v>
      </c>
      <c r="F38" s="422"/>
      <c r="G38" s="422"/>
      <c r="H38" s="422"/>
      <c r="I38" s="422"/>
      <c r="J38" s="422"/>
      <c r="K38" s="422"/>
      <c r="L38" s="422"/>
      <c r="M38" s="443"/>
      <c r="N38" s="444"/>
      <c r="O38" s="422"/>
      <c r="P38" s="531"/>
      <c r="Q38" s="465"/>
      <c r="R38" s="424"/>
      <c r="S38" s="473"/>
      <c r="T38" s="467"/>
      <c r="U38" s="467"/>
      <c r="V38" s="467"/>
      <c r="W38" s="467"/>
    </row>
    <row r="39" s="409" customFormat="1" ht="46.8" spans="1:23">
      <c r="A39" s="423" t="s">
        <v>206</v>
      </c>
      <c r="B39" s="424" t="s">
        <v>207</v>
      </c>
      <c r="C39" s="425" t="s">
        <v>447</v>
      </c>
      <c r="D39" s="424" t="s">
        <v>209</v>
      </c>
      <c r="E39" s="426" t="s">
        <v>210</v>
      </c>
      <c r="F39" s="427" t="s">
        <v>448</v>
      </c>
      <c r="G39" s="427" t="s">
        <v>213</v>
      </c>
      <c r="H39" s="427" t="s">
        <v>396</v>
      </c>
      <c r="I39" s="427" t="s">
        <v>386</v>
      </c>
      <c r="J39" s="446" t="s">
        <v>435</v>
      </c>
      <c r="K39" s="446" t="s">
        <v>444</v>
      </c>
      <c r="L39" s="446" t="s">
        <v>449</v>
      </c>
      <c r="M39" s="447" t="s">
        <v>436</v>
      </c>
      <c r="N39" s="448" t="s">
        <v>219</v>
      </c>
      <c r="O39" s="449" t="s">
        <v>220</v>
      </c>
      <c r="P39" s="535" t="s">
        <v>0</v>
      </c>
      <c r="Q39" s="469" t="s">
        <v>222</v>
      </c>
      <c r="R39" s="426" t="s">
        <v>223</v>
      </c>
      <c r="S39" s="470" t="s">
        <v>224</v>
      </c>
      <c r="T39" s="467" t="s">
        <v>225</v>
      </c>
      <c r="U39" s="470" t="s">
        <v>226</v>
      </c>
      <c r="V39" s="467"/>
      <c r="W39" s="467"/>
    </row>
    <row r="40" s="410" customFormat="1" ht="17.4" spans="1:23">
      <c r="A40" s="432" t="s">
        <v>227</v>
      </c>
      <c r="B40" s="432" t="s">
        <v>150</v>
      </c>
      <c r="C40" s="434" t="s">
        <v>441</v>
      </c>
      <c r="D40" s="435" t="s">
        <v>58</v>
      </c>
      <c r="E40" s="436">
        <f>VLOOKUP(B40,正厂竞争者数据汇总!D:H,4,FALSE)</f>
        <v>0</v>
      </c>
      <c r="F40" s="436">
        <v>491976.083333333</v>
      </c>
      <c r="G40" s="436">
        <v>521458.083333333</v>
      </c>
      <c r="H40" s="436">
        <v>566477.333333333</v>
      </c>
      <c r="I40" s="454">
        <f>(F40/G40)-1</f>
        <v>-0.0565376219916686</v>
      </c>
      <c r="J40" s="455">
        <f t="shared" ref="J40:J47" si="3">F40/F$49</f>
        <v>0.359343044451055</v>
      </c>
      <c r="K40" s="455">
        <v>0.35047649250744</v>
      </c>
      <c r="L40" s="455">
        <v>0.355857391512726</v>
      </c>
      <c r="M40" s="456">
        <f>J40-K40</f>
        <v>0.00886655194361524</v>
      </c>
      <c r="N40" s="457" t="str">
        <f>IFERROR(O40*0.5/F$47,"")</f>
        <v/>
      </c>
      <c r="O40" s="436" t="s">
        <v>180</v>
      </c>
      <c r="P40" s="531">
        <f t="array" ref="P40">INDEX(正厂竞争者数据汇总!I:I,MATCH($A$38&amp;B40,正厂竞争者数据汇总!A:A&amp;正厂竞争者数据汇总!D:D,0))</f>
        <v>0</v>
      </c>
      <c r="Q40" s="434" t="s">
        <v>259</v>
      </c>
      <c r="R40" s="435" t="s">
        <v>229</v>
      </c>
      <c r="S40" s="476"/>
      <c r="T40" s="477"/>
      <c r="U40" s="477"/>
      <c r="V40" s="477"/>
      <c r="W40" s="477"/>
    </row>
    <row r="41" s="408" customFormat="1" spans="1:23">
      <c r="A41" s="428" t="s">
        <v>230</v>
      </c>
      <c r="B41" s="421" t="s">
        <v>255</v>
      </c>
      <c r="C41" s="429" t="s">
        <v>233</v>
      </c>
      <c r="D41" s="421" t="s">
        <v>419</v>
      </c>
      <c r="E41" s="430"/>
      <c r="F41" s="430">
        <v>209739.720833333</v>
      </c>
      <c r="G41" s="430"/>
      <c r="H41" s="430"/>
      <c r="I41" s="450"/>
      <c r="J41" s="451">
        <f t="shared" si="3"/>
        <v>0.153195475105035</v>
      </c>
      <c r="K41" s="451">
        <v>0.138249261294667</v>
      </c>
      <c r="L41" s="451">
        <v>0.13232050792573</v>
      </c>
      <c r="M41" s="452"/>
      <c r="N41" s="451"/>
      <c r="O41" s="430"/>
      <c r="P41" s="531" t="str">
        <f t="array" ref="P41">INDEX(正厂竞争者数据汇总!I:I,MATCH($A$38&amp;B41,正厂竞争者数据汇总!A:A&amp;正厂竞争者数据汇总!D:D,0))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41" s="429"/>
      <c r="R41" s="421"/>
      <c r="S41" s="472"/>
      <c r="T41" s="466"/>
      <c r="U41" s="466"/>
      <c r="V41" s="466"/>
      <c r="W41" s="466"/>
    </row>
    <row r="42" s="408" customFormat="1" spans="1:23">
      <c r="A42" s="428" t="s">
        <v>230</v>
      </c>
      <c r="B42" s="421" t="s">
        <v>261</v>
      </c>
      <c r="C42" s="429" t="s">
        <v>233</v>
      </c>
      <c r="D42" s="421" t="s">
        <v>272</v>
      </c>
      <c r="E42" s="430"/>
      <c r="F42" s="430">
        <v>146128.666666667</v>
      </c>
      <c r="G42" s="430"/>
      <c r="H42" s="430"/>
      <c r="I42" s="450"/>
      <c r="J42" s="451">
        <f t="shared" si="3"/>
        <v>0.10673348103793</v>
      </c>
      <c r="K42" s="451">
        <v>0.0915027780013012</v>
      </c>
      <c r="L42" s="451">
        <v>0.0982582724794922</v>
      </c>
      <c r="M42" s="452"/>
      <c r="N42" s="451"/>
      <c r="O42" s="430"/>
      <c r="P42" s="531" t="str">
        <f t="array" ref="P42">INDEX(正厂竞争者数据汇总!I:I,MATCH($A$38&amp;B42,正厂竞争者数据汇总!A:A&amp;正厂竞争者数据汇总!D:D,0))</f>
        <v>2022年1月 新加入 CompetitorSites
2022年1月 新加入 MarketingShare</v>
      </c>
      <c r="Q42" s="429"/>
      <c r="R42" s="421"/>
      <c r="S42" s="472"/>
      <c r="T42" s="466"/>
      <c r="U42" s="466"/>
      <c r="V42" s="466"/>
      <c r="W42" s="466"/>
    </row>
    <row r="43" s="408" customFormat="1" spans="1:23">
      <c r="A43" s="428" t="s">
        <v>230</v>
      </c>
      <c r="B43" s="421" t="s">
        <v>260</v>
      </c>
      <c r="C43" s="429" t="s">
        <v>233</v>
      </c>
      <c r="D43" s="421" t="s">
        <v>60</v>
      </c>
      <c r="E43" s="430"/>
      <c r="F43" s="430">
        <v>135405.916666667</v>
      </c>
      <c r="G43" s="430"/>
      <c r="H43" s="430"/>
      <c r="I43" s="450"/>
      <c r="J43" s="451">
        <f t="shared" si="3"/>
        <v>0.0989015035080859</v>
      </c>
      <c r="K43" s="451">
        <v>0.11732239272706</v>
      </c>
      <c r="L43" s="451">
        <v>0.17613387519977</v>
      </c>
      <c r="M43" s="452"/>
      <c r="N43" s="451"/>
      <c r="O43" s="430"/>
      <c r="P43" s="531">
        <f t="array" ref="P43">INDEX(正厂竞争者数据汇总!I:I,MATCH($A$38&amp;B43,正厂竞争者数据汇总!A:A&amp;正厂竞争者数据汇总!D:D,0))</f>
        <v>0</v>
      </c>
      <c r="Q43" s="429"/>
      <c r="R43" s="421"/>
      <c r="S43" s="472"/>
      <c r="T43" s="466"/>
      <c r="U43" s="466"/>
      <c r="V43" s="466"/>
      <c r="W43" s="466"/>
    </row>
    <row r="44" s="408" customFormat="1" spans="1:23">
      <c r="A44" s="428" t="s">
        <v>243</v>
      </c>
      <c r="B44" s="421" t="s">
        <v>262</v>
      </c>
      <c r="C44" s="429" t="s">
        <v>441</v>
      </c>
      <c r="D44" s="421" t="s">
        <v>266</v>
      </c>
      <c r="E44" s="430"/>
      <c r="F44" s="430">
        <v>131290.833333333</v>
      </c>
      <c r="G44" s="430"/>
      <c r="H44" s="430"/>
      <c r="I44" s="450"/>
      <c r="J44" s="451">
        <f t="shared" si="3"/>
        <v>0.09589581558287</v>
      </c>
      <c r="K44" s="451">
        <v>0.094366513520689</v>
      </c>
      <c r="L44" s="451">
        <v>0.085616603125229</v>
      </c>
      <c r="M44" s="452"/>
      <c r="N44" s="451"/>
      <c r="O44" s="430"/>
      <c r="P44" s="531" t="str">
        <f t="array" ref="P44">INDEX(正厂竞争者数据汇总!I:I,MATCH($A$38&amp;B44,正厂竞争者数据汇总!A:A&amp;正厂竞争者数据汇总!D:D,0))</f>
        <v>变为精确运费</v>
      </c>
      <c r="Q44" s="429"/>
      <c r="R44" s="421"/>
      <c r="S44" s="472"/>
      <c r="T44" s="466"/>
      <c r="U44" s="466"/>
      <c r="V44" s="466"/>
      <c r="W44" s="466"/>
    </row>
    <row r="45" s="408" customFormat="1" spans="1:23">
      <c r="A45" s="428" t="s">
        <v>243</v>
      </c>
      <c r="B45" s="421" t="s">
        <v>265</v>
      </c>
      <c r="C45" s="429" t="s">
        <v>441</v>
      </c>
      <c r="D45" s="421" t="s">
        <v>266</v>
      </c>
      <c r="E45" s="430"/>
      <c r="F45" s="430">
        <v>107499.613333333</v>
      </c>
      <c r="G45" s="430"/>
      <c r="H45" s="430"/>
      <c r="I45" s="450"/>
      <c r="J45" s="451">
        <f t="shared" si="3"/>
        <v>0.0785185289308837</v>
      </c>
      <c r="K45" s="451">
        <v>0.057217734505822</v>
      </c>
      <c r="L45" s="451"/>
      <c r="M45" s="452"/>
      <c r="N45" s="451"/>
      <c r="O45" s="430"/>
      <c r="P45" s="531" t="str">
        <f t="array" ref="P45">INDEX(正厂竞争者数据汇总!I:I,MATCH($A$38&amp;B45,正厂竞争者数据汇总!A:A&amp;正厂竞争者数据汇总!D:D,0))</f>
        <v>因MS大于5%，202305重新加入MS计算基准</v>
      </c>
      <c r="Q45" s="429"/>
      <c r="R45" s="421"/>
      <c r="S45" s="472"/>
      <c r="T45" s="466"/>
      <c r="U45" s="466"/>
      <c r="V45" s="466"/>
      <c r="W45" s="466"/>
    </row>
    <row r="46" s="408" customFormat="1" spans="1:23">
      <c r="A46" s="428" t="s">
        <v>230</v>
      </c>
      <c r="B46" s="421" t="s">
        <v>267</v>
      </c>
      <c r="C46" s="429" t="s">
        <v>441</v>
      </c>
      <c r="D46" s="421" t="s">
        <v>58</v>
      </c>
      <c r="E46" s="430"/>
      <c r="F46" s="430">
        <v>91526.6666666667</v>
      </c>
      <c r="G46" s="430"/>
      <c r="H46" s="430"/>
      <c r="I46" s="450"/>
      <c r="J46" s="451">
        <f t="shared" si="3"/>
        <v>0.0668517681299012</v>
      </c>
      <c r="K46" s="451">
        <v>0.0718315587229029</v>
      </c>
      <c r="L46" s="451">
        <v>0.0835175009509335</v>
      </c>
      <c r="M46" s="452"/>
      <c r="N46" s="451"/>
      <c r="O46" s="430"/>
      <c r="P46" s="531" t="str">
        <f t="array" ref="P46">INDEX(正厂竞争者数据汇总!I:I,MATCH($A$38&amp;B46,正厂竞争者数据汇总!A:A&amp;正厂竞争者数据汇总!D:D,0))</f>
        <v>2022年1月 新加入 CompetitorSites</v>
      </c>
      <c r="Q46" s="429"/>
      <c r="R46" s="421"/>
      <c r="S46" s="472"/>
      <c r="T46" s="466"/>
      <c r="U46" s="466"/>
      <c r="V46" s="466"/>
      <c r="W46" s="466"/>
    </row>
    <row r="47" s="408" customFormat="1" spans="1:23">
      <c r="A47" s="428" t="s">
        <v>243</v>
      </c>
      <c r="B47" s="421" t="s">
        <v>438</v>
      </c>
      <c r="C47" s="429" t="s">
        <v>441</v>
      </c>
      <c r="D47" s="421" t="s">
        <v>455</v>
      </c>
      <c r="E47" s="430"/>
      <c r="F47" s="430">
        <v>55531.1666666666</v>
      </c>
      <c r="G47" s="430"/>
      <c r="H47" s="430"/>
      <c r="I47" s="450"/>
      <c r="J47" s="451">
        <f t="shared" si="3"/>
        <v>0.040560383254238</v>
      </c>
      <c r="K47" s="451">
        <v>0.0413220098118472</v>
      </c>
      <c r="L47" s="451">
        <v>0.039083565009338</v>
      </c>
      <c r="M47" s="452"/>
      <c r="N47" s="451"/>
      <c r="O47" s="430"/>
      <c r="P47" s="531" t="str">
        <f t="array" ref="P47">INDEX(正厂竞争者数据汇总!I:I,MATCH($A$38&amp;B47,正厂竞争者数据汇总!A:A&amp;正厂竞争者数据汇总!D:D,0))</f>
        <v>2022年1月 新加入 CompetitorSites
2022年1月 新加入 MarketingShare</v>
      </c>
      <c r="Q47" s="429"/>
      <c r="R47" s="421"/>
      <c r="S47" s="472"/>
      <c r="T47" s="466"/>
      <c r="U47" s="466"/>
      <c r="V47" s="466"/>
      <c r="W47" s="466"/>
    </row>
    <row r="48" s="410" customFormat="1" spans="1:23">
      <c r="A48" s="428"/>
      <c r="B48" s="431"/>
      <c r="C48" s="429"/>
      <c r="D48" s="421"/>
      <c r="E48" s="430"/>
      <c r="F48" s="430"/>
      <c r="G48" s="430"/>
      <c r="H48" s="430"/>
      <c r="I48" s="453"/>
      <c r="J48" s="451"/>
      <c r="K48" s="451"/>
      <c r="L48" s="451"/>
      <c r="M48" s="451"/>
      <c r="N48" s="455"/>
      <c r="O48" s="436"/>
      <c r="P48" s="531"/>
      <c r="Q48" s="434"/>
      <c r="R48" s="435"/>
      <c r="S48" s="473"/>
      <c r="T48" s="477"/>
      <c r="U48" s="466"/>
      <c r="V48" s="435"/>
      <c r="W48" s="435"/>
    </row>
    <row r="49" s="408" customFormat="1" spans="1:23">
      <c r="A49" s="428"/>
      <c r="B49" s="421"/>
      <c r="C49" s="439"/>
      <c r="D49" s="421"/>
      <c r="E49" s="430"/>
      <c r="F49" s="430">
        <v>1369098.6675</v>
      </c>
      <c r="G49" s="430">
        <v>1468579.74166667</v>
      </c>
      <c r="H49" s="430">
        <v>1519526.8275</v>
      </c>
      <c r="I49" s="453">
        <f>(F49/G49)-1</f>
        <v>-0.0677396475956902</v>
      </c>
      <c r="J49" s="512"/>
      <c r="K49" s="430"/>
      <c r="L49" s="430"/>
      <c r="M49" s="451"/>
      <c r="N49" s="451"/>
      <c r="O49" s="430"/>
      <c r="P49" s="531"/>
      <c r="Q49" s="429"/>
      <c r="R49" s="421"/>
      <c r="S49" s="473"/>
      <c r="T49" s="466"/>
      <c r="U49" s="466"/>
      <c r="V49" s="421"/>
      <c r="W49" s="421"/>
    </row>
    <row r="50" s="408" customFormat="1" spans="1:23">
      <c r="A50" s="428"/>
      <c r="B50" s="421"/>
      <c r="C50" s="439"/>
      <c r="D50" s="421"/>
      <c r="E50" s="430"/>
      <c r="F50" s="430"/>
      <c r="G50" s="430"/>
      <c r="H50" s="430"/>
      <c r="I50" s="453"/>
      <c r="J50" s="430"/>
      <c r="K50" s="430"/>
      <c r="L50" s="430"/>
      <c r="M50" s="451"/>
      <c r="N50" s="451"/>
      <c r="O50" s="430"/>
      <c r="P50" s="531"/>
      <c r="Q50" s="429"/>
      <c r="R50" s="421"/>
      <c r="S50" s="473"/>
      <c r="T50" s="466"/>
      <c r="U50" s="466"/>
      <c r="V50" s="421"/>
      <c r="W50" s="421"/>
    </row>
    <row r="51" s="408" customFormat="1" ht="17.4" spans="1:23">
      <c r="A51" s="418" t="s">
        <v>152</v>
      </c>
      <c r="B51" s="419"/>
      <c r="C51" s="420"/>
      <c r="D51" s="421"/>
      <c r="E51" s="422" t="s">
        <v>202</v>
      </c>
      <c r="F51" s="422"/>
      <c r="G51" s="422"/>
      <c r="H51" s="422"/>
      <c r="I51" s="422"/>
      <c r="J51" s="422"/>
      <c r="K51" s="422"/>
      <c r="L51" s="422"/>
      <c r="M51" s="443"/>
      <c r="N51" s="444"/>
      <c r="O51" s="422"/>
      <c r="P51" s="531"/>
      <c r="Q51" s="465"/>
      <c r="R51" s="424"/>
      <c r="S51" s="473"/>
      <c r="T51" s="467"/>
      <c r="U51" s="467"/>
      <c r="V51" s="467"/>
      <c r="W51" s="467"/>
    </row>
    <row r="52" s="409" customFormat="1" ht="46.8" spans="1:23">
      <c r="A52" s="423" t="s">
        <v>206</v>
      </c>
      <c r="B52" s="424" t="s">
        <v>207</v>
      </c>
      <c r="C52" s="425" t="s">
        <v>447</v>
      </c>
      <c r="D52" s="424" t="s">
        <v>209</v>
      </c>
      <c r="E52" s="426" t="s">
        <v>210</v>
      </c>
      <c r="F52" s="427" t="s">
        <v>448</v>
      </c>
      <c r="G52" s="427" t="s">
        <v>213</v>
      </c>
      <c r="H52" s="427" t="s">
        <v>396</v>
      </c>
      <c r="I52" s="427" t="s">
        <v>386</v>
      </c>
      <c r="J52" s="446" t="s">
        <v>435</v>
      </c>
      <c r="K52" s="446" t="s">
        <v>444</v>
      </c>
      <c r="L52" s="446" t="s">
        <v>449</v>
      </c>
      <c r="M52" s="447" t="s">
        <v>436</v>
      </c>
      <c r="N52" s="448" t="s">
        <v>219</v>
      </c>
      <c r="O52" s="449" t="s">
        <v>220</v>
      </c>
      <c r="P52" s="535" t="s">
        <v>0</v>
      </c>
      <c r="Q52" s="469" t="s">
        <v>222</v>
      </c>
      <c r="R52" s="426" t="s">
        <v>223</v>
      </c>
      <c r="S52" s="470" t="s">
        <v>224</v>
      </c>
      <c r="T52" s="467" t="s">
        <v>225</v>
      </c>
      <c r="U52" s="470" t="s">
        <v>226</v>
      </c>
      <c r="V52" s="467"/>
      <c r="W52" s="467"/>
    </row>
    <row r="53" s="410" customFormat="1" ht="17.4" spans="1:23">
      <c r="A53" s="432" t="s">
        <v>227</v>
      </c>
      <c r="B53" s="432" t="s">
        <v>153</v>
      </c>
      <c r="C53" s="434" t="s">
        <v>441</v>
      </c>
      <c r="D53" s="435" t="s">
        <v>49</v>
      </c>
      <c r="E53" s="436">
        <f>VLOOKUP(B53,正厂竞争者数据汇总!D:H,4,FALSE)</f>
        <v>0</v>
      </c>
      <c r="F53" s="436">
        <v>424786</v>
      </c>
      <c r="G53" s="436">
        <v>436555.583333333</v>
      </c>
      <c r="H53" s="436">
        <v>490593.833333333</v>
      </c>
      <c r="I53" s="454">
        <f>(F53/G53)-1</f>
        <v>-0.026960102636796</v>
      </c>
      <c r="J53" s="457">
        <f t="shared" ref="J53:J59" si="4">F53/F$61</f>
        <v>0.31985214974569</v>
      </c>
      <c r="K53" s="457">
        <v>0.301837639150851</v>
      </c>
      <c r="L53" s="457">
        <v>0.314975117651462</v>
      </c>
      <c r="M53" s="456">
        <f>J53-K53</f>
        <v>0.0180145105948391</v>
      </c>
      <c r="N53" s="457" t="str">
        <f>IFERROR(O53*0.5/#REF!,"")</f>
        <v/>
      </c>
      <c r="O53" s="436" t="s">
        <v>180</v>
      </c>
      <c r="P53" s="531">
        <f t="array" ref="P53">INDEX(正厂竞争者数据汇总!I:I,MATCH($A$51&amp;B53,正厂竞争者数据汇总!A:A&amp;正厂竞争者数据汇总!D:D,0))</f>
        <v>0</v>
      </c>
      <c r="Q53" s="434" t="s">
        <v>268</v>
      </c>
      <c r="R53" s="435" t="s">
        <v>229</v>
      </c>
      <c r="S53" s="476"/>
      <c r="T53" s="477"/>
      <c r="U53" s="477"/>
      <c r="V53" s="477"/>
      <c r="W53" s="477"/>
    </row>
    <row r="54" s="408" customFormat="1" spans="1:23">
      <c r="A54" s="428" t="s">
        <v>230</v>
      </c>
      <c r="B54" s="421" t="s">
        <v>255</v>
      </c>
      <c r="C54" s="429" t="s">
        <v>233</v>
      </c>
      <c r="D54" s="421" t="s">
        <v>419</v>
      </c>
      <c r="E54" s="430"/>
      <c r="F54" s="430">
        <v>231436.933333333</v>
      </c>
      <c r="G54" s="430"/>
      <c r="H54" s="430"/>
      <c r="I54" s="450"/>
      <c r="J54" s="451">
        <f t="shared" si="4"/>
        <v>0.174265631770389</v>
      </c>
      <c r="K54" s="451">
        <v>0.16291597868068</v>
      </c>
      <c r="L54" s="451">
        <v>0.169153406170112</v>
      </c>
      <c r="M54" s="452"/>
      <c r="N54" s="451"/>
      <c r="O54" s="430"/>
      <c r="P54" s="531" t="str">
        <f t="array" ref="P54">INDEX(正厂竞争者数据汇总!I:I,MATCH($A$51&amp;B54,正厂竞争者数据汇总!A:A&amp;正厂竞争者数据汇总!D:D,0))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54" s="429"/>
      <c r="R54" s="421"/>
      <c r="S54" s="472"/>
      <c r="T54" s="466"/>
      <c r="U54" s="466"/>
      <c r="V54" s="466"/>
      <c r="W54" s="466"/>
    </row>
    <row r="55" s="408" customFormat="1" spans="1:23">
      <c r="A55" s="428" t="s">
        <v>230</v>
      </c>
      <c r="B55" s="421" t="s">
        <v>269</v>
      </c>
      <c r="C55" s="429" t="s">
        <v>233</v>
      </c>
      <c r="D55" s="421" t="s">
        <v>234</v>
      </c>
      <c r="E55" s="430"/>
      <c r="F55" s="430">
        <v>204814.166666667</v>
      </c>
      <c r="G55" s="430"/>
      <c r="H55" s="430"/>
      <c r="I55" s="450"/>
      <c r="J55" s="451">
        <f t="shared" si="4"/>
        <v>0.154219422266048</v>
      </c>
      <c r="K55" s="451">
        <v>0.120048897291958</v>
      </c>
      <c r="L55" s="451">
        <v>0.10305160504263</v>
      </c>
      <c r="M55" s="452"/>
      <c r="N55" s="451"/>
      <c r="O55" s="430"/>
      <c r="P55" s="531" t="str">
        <f t="array" ref="P55">INDEX(正厂竞争者数据汇总!I:I,MATCH($A$51&amp;B55,正厂竞争者数据汇总!A:A&amp;正厂竞争者数据汇总!D:D,0))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55" s="429"/>
      <c r="R55" s="421"/>
      <c r="S55" s="472"/>
      <c r="T55" s="466"/>
      <c r="U55" s="466"/>
      <c r="V55" s="466"/>
      <c r="W55" s="466"/>
    </row>
    <row r="56" s="408" customFormat="1" spans="1:23">
      <c r="A56" s="428" t="s">
        <v>243</v>
      </c>
      <c r="B56" s="421" t="s">
        <v>270</v>
      </c>
      <c r="C56" s="429" t="s">
        <v>233</v>
      </c>
      <c r="D56" s="421" t="s">
        <v>266</v>
      </c>
      <c r="E56" s="430"/>
      <c r="F56" s="430">
        <v>200713.75</v>
      </c>
      <c r="G56" s="430"/>
      <c r="H56" s="430"/>
      <c r="I56" s="450"/>
      <c r="J56" s="451">
        <f t="shared" si="4"/>
        <v>0.151131921534653</v>
      </c>
      <c r="K56" s="451">
        <v>0.16216942570585</v>
      </c>
      <c r="L56" s="451">
        <v>0.177656555687563</v>
      </c>
      <c r="M56" s="452"/>
      <c r="N56" s="451"/>
      <c r="O56" s="430"/>
      <c r="P56" s="531">
        <f t="array" ref="P56">INDEX(正厂竞争者数据汇总!I:I,MATCH($A$51&amp;B56,正厂竞争者数据汇总!A:A&amp;正厂竞争者数据汇总!D:D,0))</f>
        <v>0</v>
      </c>
      <c r="Q56" s="429"/>
      <c r="R56" s="421"/>
      <c r="S56" s="472"/>
      <c r="T56" s="466"/>
      <c r="U56" s="466"/>
      <c r="V56" s="466"/>
      <c r="W56" s="466"/>
    </row>
    <row r="57" s="408" customFormat="1" spans="1:23">
      <c r="A57" s="428" t="s">
        <v>230</v>
      </c>
      <c r="B57" s="421" t="s">
        <v>273</v>
      </c>
      <c r="C57" s="429" t="s">
        <v>233</v>
      </c>
      <c r="D57" s="421" t="s">
        <v>420</v>
      </c>
      <c r="E57" s="430"/>
      <c r="F57" s="430">
        <v>113158.75</v>
      </c>
      <c r="G57" s="430"/>
      <c r="H57" s="430"/>
      <c r="I57" s="450"/>
      <c r="J57" s="451">
        <f t="shared" si="4"/>
        <v>0.0852054197879287</v>
      </c>
      <c r="K57" s="451">
        <v>0.0905099236189884</v>
      </c>
      <c r="L57" s="451">
        <v>0.0864356560835629</v>
      </c>
      <c r="M57" s="452"/>
      <c r="N57" s="451"/>
      <c r="O57" s="430"/>
      <c r="P57" s="531">
        <f t="array" ref="P57">INDEX(正厂竞争者数据汇总!I:I,MATCH($A$51&amp;B57,正厂竞争者数据汇总!A:A&amp;正厂竞争者数据汇总!D:D,0))</f>
        <v>0</v>
      </c>
      <c r="Q57" s="429"/>
      <c r="R57" s="421"/>
      <c r="S57" s="472"/>
      <c r="T57" s="466"/>
      <c r="U57" s="466"/>
      <c r="V57" s="466"/>
      <c r="W57" s="466"/>
    </row>
    <row r="58" s="408" customFormat="1" spans="1:23">
      <c r="A58" s="428" t="s">
        <v>230</v>
      </c>
      <c r="B58" s="421" t="s">
        <v>292</v>
      </c>
      <c r="C58" s="429" t="s">
        <v>233</v>
      </c>
      <c r="D58" s="421" t="s">
        <v>250</v>
      </c>
      <c r="E58" s="430"/>
      <c r="F58" s="430">
        <v>76879.4274999999</v>
      </c>
      <c r="G58" s="430"/>
      <c r="H58" s="430"/>
      <c r="I58" s="450"/>
      <c r="J58" s="451">
        <f t="shared" si="4"/>
        <v>0.0578880899019574</v>
      </c>
      <c r="K58" s="451">
        <v>0.0479405867588703</v>
      </c>
      <c r="L58" s="451">
        <v>0.0351548817700994</v>
      </c>
      <c r="M58" s="452"/>
      <c r="N58" s="451"/>
      <c r="O58" s="430"/>
      <c r="P58" s="531" t="str">
        <f t="array" ref="P58">INDEX(正厂竞争者数据汇总!I:I,MATCH($A$51&amp;B58,正厂竞争者数据汇总!A:A&amp;正厂竞争者数据汇总!D:D,0))</f>
        <v>同时经营多品牌，流量折算比例为Ford:23%,GM:23%,Infiniti:0%,Kia:13%,Mopar:31%,Nissan:10%</v>
      </c>
      <c r="Q58" s="429"/>
      <c r="R58" s="421"/>
      <c r="S58" s="472"/>
      <c r="T58" s="466"/>
      <c r="U58" s="466"/>
      <c r="V58" s="466"/>
      <c r="W58" s="466"/>
    </row>
    <row r="59" s="408" customFormat="1" spans="1:23">
      <c r="A59" s="428" t="s">
        <v>230</v>
      </c>
      <c r="B59" s="421" t="s">
        <v>400</v>
      </c>
      <c r="C59" s="429" t="s">
        <v>233</v>
      </c>
      <c r="D59" s="421" t="s">
        <v>272</v>
      </c>
      <c r="E59" s="430"/>
      <c r="F59" s="430">
        <v>76280.8333333333</v>
      </c>
      <c r="G59" s="430"/>
      <c r="H59" s="430"/>
      <c r="I59" s="450"/>
      <c r="J59" s="451">
        <f t="shared" si="4"/>
        <v>0.0574373649933363</v>
      </c>
      <c r="K59" s="451">
        <v>0.0588151394741173</v>
      </c>
      <c r="L59" s="451">
        <v>0.053970767662581</v>
      </c>
      <c r="M59" s="452"/>
      <c r="N59" s="451"/>
      <c r="O59" s="430"/>
      <c r="P59" s="531">
        <f t="array" ref="P59">INDEX(正厂竞争者数据汇总!I:I,MATCH($A$51&amp;B59,正厂竞争者数据汇总!A:A&amp;正厂竞争者数据汇总!D:D,0))</f>
        <v>0</v>
      </c>
      <c r="Q59" s="429"/>
      <c r="R59" s="421"/>
      <c r="S59" s="472"/>
      <c r="T59" s="466"/>
      <c r="U59" s="466"/>
      <c r="V59" s="466"/>
      <c r="W59" s="466"/>
    </row>
    <row r="60" s="408" customFormat="1" spans="1:23">
      <c r="A60" s="428"/>
      <c r="B60" s="421"/>
      <c r="C60" s="429"/>
      <c r="D60" s="421"/>
      <c r="E60" s="430"/>
      <c r="F60" s="430"/>
      <c r="G60" s="430"/>
      <c r="H60" s="430"/>
      <c r="I60" s="450"/>
      <c r="J60" s="451"/>
      <c r="K60" s="451"/>
      <c r="L60" s="451"/>
      <c r="M60" s="452"/>
      <c r="N60" s="451"/>
      <c r="O60" s="430"/>
      <c r="P60" s="531"/>
      <c r="Q60" s="429"/>
      <c r="R60" s="421"/>
      <c r="S60" s="472"/>
      <c r="T60" s="466"/>
      <c r="U60" s="466"/>
      <c r="V60" s="421"/>
      <c r="W60" s="421"/>
    </row>
    <row r="61" s="408" customFormat="1" spans="1:23">
      <c r="A61" s="428"/>
      <c r="B61" s="421"/>
      <c r="C61" s="439"/>
      <c r="D61" s="421"/>
      <c r="E61" s="430"/>
      <c r="F61" s="430">
        <v>1328069.86083333</v>
      </c>
      <c r="G61" s="430">
        <v>1270419.34583333</v>
      </c>
      <c r="H61" s="430">
        <v>1259631.94083333</v>
      </c>
      <c r="I61" s="453">
        <f>(F61/G61)-1</f>
        <v>0.0453791224048028</v>
      </c>
      <c r="J61" s="430"/>
      <c r="K61" s="451"/>
      <c r="L61" s="430"/>
      <c r="M61" s="451"/>
      <c r="N61" s="459">
        <f>SUM(N53:N59)</f>
        <v>0</v>
      </c>
      <c r="O61" s="430" t="s">
        <v>180</v>
      </c>
      <c r="P61" s="531"/>
      <c r="Q61" s="429"/>
      <c r="R61" s="421"/>
      <c r="S61" s="473"/>
      <c r="T61" s="466"/>
      <c r="U61" s="466"/>
      <c r="V61" s="421"/>
      <c r="W61" s="421"/>
    </row>
    <row r="62" s="408" customFormat="1" spans="1:23">
      <c r="A62" s="428"/>
      <c r="B62" s="421"/>
      <c r="C62" s="439"/>
      <c r="D62" s="421"/>
      <c r="E62" s="430"/>
      <c r="F62" s="430"/>
      <c r="G62" s="430"/>
      <c r="H62" s="430"/>
      <c r="I62" s="453"/>
      <c r="J62" s="430"/>
      <c r="K62" s="430"/>
      <c r="L62" s="430"/>
      <c r="M62" s="451"/>
      <c r="N62" s="459"/>
      <c r="O62" s="430"/>
      <c r="P62" s="531"/>
      <c r="Q62" s="429"/>
      <c r="R62" s="421"/>
      <c r="S62" s="473"/>
      <c r="T62" s="466"/>
      <c r="U62" s="466"/>
      <c r="V62" s="421"/>
      <c r="W62" s="421"/>
    </row>
    <row r="63" s="408" customFormat="1" ht="17.4" spans="1:23">
      <c r="A63" s="418" t="s">
        <v>159</v>
      </c>
      <c r="B63" s="419"/>
      <c r="C63" s="420"/>
      <c r="D63" s="421"/>
      <c r="E63" s="422" t="s">
        <v>202</v>
      </c>
      <c r="F63" s="422"/>
      <c r="G63" s="422"/>
      <c r="H63" s="422"/>
      <c r="I63" s="422"/>
      <c r="J63" s="422"/>
      <c r="K63" s="422"/>
      <c r="L63" s="422"/>
      <c r="M63" s="443"/>
      <c r="N63" s="444"/>
      <c r="O63" s="422"/>
      <c r="P63" s="531"/>
      <c r="Q63" s="465"/>
      <c r="R63" s="424"/>
      <c r="S63" s="473"/>
      <c r="T63" s="467"/>
      <c r="U63" s="467"/>
      <c r="V63" s="467"/>
      <c r="W63" s="467"/>
    </row>
    <row r="64" s="409" customFormat="1" ht="46.8" spans="1:23">
      <c r="A64" s="423" t="s">
        <v>206</v>
      </c>
      <c r="B64" s="424" t="s">
        <v>207</v>
      </c>
      <c r="C64" s="425" t="s">
        <v>447</v>
      </c>
      <c r="D64" s="424" t="s">
        <v>209</v>
      </c>
      <c r="E64" s="426" t="s">
        <v>210</v>
      </c>
      <c r="F64" s="427" t="s">
        <v>448</v>
      </c>
      <c r="G64" s="427" t="s">
        <v>213</v>
      </c>
      <c r="H64" s="427" t="s">
        <v>396</v>
      </c>
      <c r="I64" s="427" t="s">
        <v>386</v>
      </c>
      <c r="J64" s="446" t="s">
        <v>435</v>
      </c>
      <c r="K64" s="446" t="s">
        <v>444</v>
      </c>
      <c r="L64" s="446" t="s">
        <v>449</v>
      </c>
      <c r="M64" s="447" t="s">
        <v>436</v>
      </c>
      <c r="N64" s="448" t="s">
        <v>219</v>
      </c>
      <c r="O64" s="449" t="s">
        <v>220</v>
      </c>
      <c r="P64" s="535" t="s">
        <v>0</v>
      </c>
      <c r="Q64" s="469" t="s">
        <v>222</v>
      </c>
      <c r="R64" s="426" t="s">
        <v>223</v>
      </c>
      <c r="S64" s="470" t="s">
        <v>224</v>
      </c>
      <c r="T64" s="467" t="s">
        <v>225</v>
      </c>
      <c r="U64" s="470" t="s">
        <v>226</v>
      </c>
      <c r="V64" s="467"/>
      <c r="W64" s="467"/>
    </row>
    <row r="65" s="410" customFormat="1" ht="17.4" spans="1:23">
      <c r="A65" s="432" t="s">
        <v>227</v>
      </c>
      <c r="B65" s="432" t="s">
        <v>160</v>
      </c>
      <c r="C65" s="434" t="s">
        <v>441</v>
      </c>
      <c r="D65" s="435" t="s">
        <v>49</v>
      </c>
      <c r="E65" s="436">
        <f>VLOOKUP(B65,正厂竞争者数据汇总!D:H,4,FALSE)</f>
        <v>0</v>
      </c>
      <c r="F65" s="436">
        <v>357449.75</v>
      </c>
      <c r="G65" s="436">
        <v>369856.833333333</v>
      </c>
      <c r="H65" s="436">
        <v>370810.25</v>
      </c>
      <c r="I65" s="454">
        <f>(F65/G65)-1</f>
        <v>-0.0335456377039576</v>
      </c>
      <c r="J65" s="455">
        <f t="shared" ref="J65:J71" si="5">F65/F$73</f>
        <v>0.494113924522346</v>
      </c>
      <c r="K65" s="455">
        <v>0.49972152426268</v>
      </c>
      <c r="L65" s="455">
        <v>0.545583392749921</v>
      </c>
      <c r="M65" s="456">
        <f>J65-K65</f>
        <v>-0.00560759974033365</v>
      </c>
      <c r="N65" s="455" t="str">
        <f>IFERROR(O65*0.5/$F$65,"")</f>
        <v/>
      </c>
      <c r="O65" s="436" t="s">
        <v>180</v>
      </c>
      <c r="P65" s="531">
        <f t="array" ref="P65">INDEX(正厂竞争者数据汇总!I:I,MATCH($A$63&amp;B65,正厂竞争者数据汇总!A:A&amp;正厂竞争者数据汇总!D:D,0))</f>
        <v>0</v>
      </c>
      <c r="Q65" s="434" t="s">
        <v>280</v>
      </c>
      <c r="R65" s="435" t="s">
        <v>229</v>
      </c>
      <c r="S65" s="476"/>
      <c r="T65" s="435" t="s">
        <v>456</v>
      </c>
      <c r="U65" s="477"/>
      <c r="V65" s="435"/>
      <c r="W65" s="435"/>
    </row>
    <row r="66" s="408" customFormat="1" spans="1:23">
      <c r="A66" s="428" t="s">
        <v>230</v>
      </c>
      <c r="B66" s="421" t="s">
        <v>282</v>
      </c>
      <c r="C66" s="429" t="s">
        <v>441</v>
      </c>
      <c r="D66" s="421" t="s">
        <v>250</v>
      </c>
      <c r="E66" s="430"/>
      <c r="F66" s="430">
        <v>105353.583333333</v>
      </c>
      <c r="G66" s="430"/>
      <c r="H66" s="430"/>
      <c r="I66" s="450"/>
      <c r="J66" s="451">
        <f t="shared" si="5"/>
        <v>0.145633540164248</v>
      </c>
      <c r="K66" s="451">
        <v>0.154176270591048</v>
      </c>
      <c r="L66" s="451">
        <v>0.129997742564635</v>
      </c>
      <c r="M66" s="452"/>
      <c r="N66" s="451"/>
      <c r="O66" s="430"/>
      <c r="P66" s="531" t="str">
        <f t="array" ref="P66">INDEX(正厂竞争者数据汇总!I:I,MATCH($A$63&amp;B66,正厂竞争者数据汇总!A:A&amp;正厂竞争者数据汇总!D:D,0))</f>
        <v>2021年08月新增竞争者</v>
      </c>
      <c r="Q66" s="429"/>
      <c r="R66" s="421"/>
      <c r="S66" s="472"/>
      <c r="T66" s="466"/>
      <c r="U66" s="466"/>
      <c r="V66" s="466"/>
      <c r="W66" s="466"/>
    </row>
    <row r="67" s="408" customFormat="1" spans="1:23">
      <c r="A67" s="428" t="s">
        <v>230</v>
      </c>
      <c r="B67" s="421" t="s">
        <v>255</v>
      </c>
      <c r="C67" s="429" t="s">
        <v>233</v>
      </c>
      <c r="D67" s="421" t="s">
        <v>419</v>
      </c>
      <c r="E67" s="430"/>
      <c r="F67" s="430">
        <v>101253.658333333</v>
      </c>
      <c r="G67" s="430"/>
      <c r="H67" s="430"/>
      <c r="I67" s="450"/>
      <c r="J67" s="451">
        <f t="shared" si="5"/>
        <v>0.139966086117917</v>
      </c>
      <c r="K67" s="451">
        <v>0.132353756853909</v>
      </c>
      <c r="L67" s="451">
        <v>0.128881802979068</v>
      </c>
      <c r="M67" s="452"/>
      <c r="N67" s="451"/>
      <c r="O67" s="430"/>
      <c r="P67" s="531" t="str">
        <f t="array" ref="P67">INDEX(正厂竞争者数据汇总!I:I,MATCH($A$63&amp;B67,正厂竞争者数据汇总!A:A&amp;正厂竞争者数据汇总!D:D,0))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67" s="429"/>
      <c r="R67" s="421"/>
      <c r="S67" s="472"/>
      <c r="T67" s="466"/>
      <c r="U67" s="466"/>
      <c r="V67" s="466"/>
      <c r="W67" s="466"/>
    </row>
    <row r="68" s="408" customFormat="1" spans="1:23">
      <c r="A68" s="428" t="s">
        <v>230</v>
      </c>
      <c r="B68" s="421" t="s">
        <v>281</v>
      </c>
      <c r="C68" s="429" t="s">
        <v>233</v>
      </c>
      <c r="D68" s="421" t="s">
        <v>234</v>
      </c>
      <c r="E68" s="430"/>
      <c r="F68" s="430">
        <v>57973.5833333334</v>
      </c>
      <c r="G68" s="430"/>
      <c r="H68" s="430"/>
      <c r="I68" s="450"/>
      <c r="J68" s="451">
        <f t="shared" si="5"/>
        <v>0.0801386902059846</v>
      </c>
      <c r="K68" s="451">
        <v>0.0735915995276813</v>
      </c>
      <c r="L68" s="451">
        <v>0.0674709513963987</v>
      </c>
      <c r="M68" s="452"/>
      <c r="N68" s="451"/>
      <c r="O68" s="430"/>
      <c r="P68" s="531" t="str">
        <f t="array" ref="P68">INDEX(正厂竞争者数据汇总!I:I,MATCH($A$63&amp;B68,正厂竞争者数据汇总!A:A&amp;正厂竞争者数据汇总!D:D,0))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68" s="429"/>
      <c r="R68" s="421"/>
      <c r="S68" s="472"/>
      <c r="T68" s="466"/>
      <c r="U68" s="466"/>
      <c r="V68" s="466"/>
      <c r="W68" s="466"/>
    </row>
    <row r="69" s="408" customFormat="1" spans="1:23">
      <c r="A69" s="428" t="s">
        <v>243</v>
      </c>
      <c r="B69" s="421" t="s">
        <v>401</v>
      </c>
      <c r="C69" s="429" t="s">
        <v>233</v>
      </c>
      <c r="D69" s="421" t="s">
        <v>266</v>
      </c>
      <c r="E69" s="430"/>
      <c r="F69" s="430">
        <v>38154.1666666666</v>
      </c>
      <c r="G69" s="430"/>
      <c r="H69" s="430"/>
      <c r="I69" s="450"/>
      <c r="J69" s="451">
        <f t="shared" si="5"/>
        <v>0.0527416931430119</v>
      </c>
      <c r="K69" s="451">
        <v>0.053912909821013</v>
      </c>
      <c r="L69" s="451">
        <v>0.0476340002533797</v>
      </c>
      <c r="M69" s="452"/>
      <c r="N69" s="451"/>
      <c r="O69" s="430"/>
      <c r="P69" s="531" t="str">
        <f t="array" ref="P69">INDEX(正厂竞争者数据汇总!I:I,MATCH($A$63&amp;B69,正厂竞争者数据汇总!A:A&amp;正厂竞争者数据汇总!D:D,0))</f>
        <v>2023年1月新增</v>
      </c>
      <c r="Q69" s="429"/>
      <c r="R69" s="421"/>
      <c r="S69" s="472"/>
      <c r="T69" s="466"/>
      <c r="U69" s="466"/>
      <c r="V69" s="466"/>
      <c r="W69" s="466"/>
    </row>
    <row r="70" s="408" customFormat="1" spans="1:23">
      <c r="A70" s="428" t="s">
        <v>230</v>
      </c>
      <c r="B70" s="421" t="s">
        <v>457</v>
      </c>
      <c r="C70" s="429" t="s">
        <v>233</v>
      </c>
      <c r="D70" s="421" t="s">
        <v>58</v>
      </c>
      <c r="E70" s="430"/>
      <c r="F70" s="430">
        <v>33285</v>
      </c>
      <c r="G70" s="430"/>
      <c r="H70" s="430"/>
      <c r="I70" s="450"/>
      <c r="J70" s="451">
        <f t="shared" si="5"/>
        <v>0.0460108923778134</v>
      </c>
      <c r="K70" s="451">
        <v>0.0493045208983019</v>
      </c>
      <c r="L70" s="451">
        <v>0.0467470349572757</v>
      </c>
      <c r="M70" s="452"/>
      <c r="N70" s="451"/>
      <c r="O70" s="430"/>
      <c r="P70" s="531">
        <f t="array" ref="P70">INDEX(正厂竞争者数据汇总!I:I,MATCH($A$63&amp;B70,正厂竞争者数据汇总!A:A&amp;正厂竞争者数据汇总!D:D,0))</f>
        <v>0</v>
      </c>
      <c r="Q70" s="429"/>
      <c r="R70" s="421"/>
      <c r="S70" s="472"/>
      <c r="T70" s="466"/>
      <c r="U70" s="466"/>
      <c r="V70" s="466"/>
      <c r="W70" s="466"/>
    </row>
    <row r="71" s="408" customFormat="1" spans="1:23">
      <c r="A71" s="428" t="s">
        <v>230</v>
      </c>
      <c r="B71" s="421" t="s">
        <v>283</v>
      </c>
      <c r="C71" s="429" t="s">
        <v>233</v>
      </c>
      <c r="D71" s="421" t="s">
        <v>50</v>
      </c>
      <c r="E71" s="430"/>
      <c r="F71" s="430">
        <v>29945.9166666667</v>
      </c>
      <c r="G71" s="430"/>
      <c r="H71" s="430"/>
      <c r="I71" s="450"/>
      <c r="J71" s="451">
        <f t="shared" si="5"/>
        <v>0.0413951734686787</v>
      </c>
      <c r="K71" s="451">
        <v>0.0369394180453675</v>
      </c>
      <c r="L71" s="451">
        <v>0.0336850750993218</v>
      </c>
      <c r="M71" s="452"/>
      <c r="N71" s="451"/>
      <c r="O71" s="430"/>
      <c r="P71" s="531" t="str">
        <f t="array" ref="P71">INDEX(正厂竞争者数据汇总!I:I,MATCH($A$63&amp;B71,正厂竞争者数据汇总!A:A&amp;正厂竞争者数据汇总!D:D,0))</f>
        <v>2020年10月起加入MarketingShare.2023年8月，因为连续半年市场份额低于5%移除；2024年2月因市场份额大于5%重新加入监控</v>
      </c>
      <c r="Q71" s="429"/>
      <c r="R71" s="421"/>
      <c r="S71" s="472"/>
      <c r="T71" s="466"/>
      <c r="U71" s="466"/>
      <c r="V71" s="466"/>
      <c r="W71" s="466"/>
    </row>
    <row r="72" s="408" customFormat="1" spans="1:23">
      <c r="A72" s="428"/>
      <c r="B72" s="421"/>
      <c r="C72" s="429"/>
      <c r="D72" s="421"/>
      <c r="E72" s="430"/>
      <c r="F72" s="430"/>
      <c r="G72" s="430"/>
      <c r="H72" s="430"/>
      <c r="I72" s="453"/>
      <c r="J72" s="451"/>
      <c r="K72" s="451"/>
      <c r="L72" s="451"/>
      <c r="M72" s="451"/>
      <c r="N72" s="451"/>
      <c r="O72" s="430"/>
      <c r="P72" s="531"/>
      <c r="Q72" s="429"/>
      <c r="R72" s="421"/>
      <c r="S72" s="473"/>
      <c r="T72" s="466"/>
      <c r="U72" s="466"/>
      <c r="V72" s="421"/>
      <c r="W72" s="421"/>
    </row>
    <row r="73" s="408" customFormat="1" spans="1:23">
      <c r="A73" s="428"/>
      <c r="B73" s="421"/>
      <c r="C73" s="429"/>
      <c r="D73" s="421"/>
      <c r="E73" s="430"/>
      <c r="F73" s="430">
        <v>723415.658333333</v>
      </c>
      <c r="G73" s="430">
        <v>675366.255</v>
      </c>
      <c r="H73" s="430">
        <v>656929.13</v>
      </c>
      <c r="I73" s="453">
        <f>(F73/G73)-1</f>
        <v>0.071145697579061</v>
      </c>
      <c r="J73" s="451"/>
      <c r="K73" s="451"/>
      <c r="L73" s="451"/>
      <c r="M73" s="451"/>
      <c r="N73" s="451">
        <f>SUM(N65:N68)</f>
        <v>0</v>
      </c>
      <c r="O73" s="430"/>
      <c r="P73" s="531"/>
      <c r="Q73" s="429"/>
      <c r="R73" s="421"/>
      <c r="S73" s="473"/>
      <c r="T73" s="466"/>
      <c r="U73" s="466"/>
      <c r="V73" s="421"/>
      <c r="W73" s="421"/>
    </row>
    <row r="74" s="408" customFormat="1" spans="1:23">
      <c r="A74" s="428"/>
      <c r="B74" s="421"/>
      <c r="C74" s="429"/>
      <c r="D74" s="421"/>
      <c r="E74" s="430"/>
      <c r="F74" s="430"/>
      <c r="G74" s="430"/>
      <c r="H74" s="430"/>
      <c r="I74" s="453"/>
      <c r="J74" s="451"/>
      <c r="K74" s="451"/>
      <c r="L74" s="451"/>
      <c r="M74" s="451"/>
      <c r="N74" s="451"/>
      <c r="O74" s="430"/>
      <c r="P74" s="531"/>
      <c r="Q74" s="429"/>
      <c r="R74" s="421"/>
      <c r="S74" s="473"/>
      <c r="T74" s="466"/>
      <c r="U74" s="466"/>
      <c r="V74" s="421"/>
      <c r="W74" s="421"/>
    </row>
    <row r="75" s="408" customFormat="1" ht="17.4" spans="1:23">
      <c r="A75" s="418" t="s">
        <v>274</v>
      </c>
      <c r="B75" s="419"/>
      <c r="C75" s="420"/>
      <c r="D75" s="421"/>
      <c r="E75" s="422" t="s">
        <v>202</v>
      </c>
      <c r="F75" s="422"/>
      <c r="G75" s="422"/>
      <c r="H75" s="422"/>
      <c r="I75" s="422"/>
      <c r="J75" s="422"/>
      <c r="K75" s="422"/>
      <c r="L75" s="422"/>
      <c r="M75" s="443"/>
      <c r="N75" s="444"/>
      <c r="O75" s="422"/>
      <c r="P75" s="531"/>
      <c r="Q75" s="465"/>
      <c r="R75" s="424"/>
      <c r="S75" s="473"/>
      <c r="T75" s="467"/>
      <c r="U75" s="467"/>
      <c r="V75" s="467"/>
      <c r="W75" s="467"/>
    </row>
    <row r="76" s="409" customFormat="1" ht="46.8" spans="1:23">
      <c r="A76" s="423" t="s">
        <v>206</v>
      </c>
      <c r="B76" s="424" t="s">
        <v>207</v>
      </c>
      <c r="C76" s="425" t="s">
        <v>447</v>
      </c>
      <c r="D76" s="424" t="s">
        <v>209</v>
      </c>
      <c r="E76" s="426" t="s">
        <v>210</v>
      </c>
      <c r="F76" s="427" t="s">
        <v>448</v>
      </c>
      <c r="G76" s="427" t="s">
        <v>213</v>
      </c>
      <c r="H76" s="427" t="s">
        <v>396</v>
      </c>
      <c r="I76" s="427" t="s">
        <v>386</v>
      </c>
      <c r="J76" s="446" t="s">
        <v>435</v>
      </c>
      <c r="K76" s="446" t="s">
        <v>444</v>
      </c>
      <c r="L76" s="446" t="s">
        <v>449</v>
      </c>
      <c r="M76" s="447" t="s">
        <v>436</v>
      </c>
      <c r="N76" s="448" t="s">
        <v>219</v>
      </c>
      <c r="O76" s="449" t="s">
        <v>220</v>
      </c>
      <c r="P76" s="535" t="s">
        <v>0</v>
      </c>
      <c r="Q76" s="469" t="s">
        <v>222</v>
      </c>
      <c r="R76" s="426" t="s">
        <v>223</v>
      </c>
      <c r="S76" s="470" t="s">
        <v>224</v>
      </c>
      <c r="T76" s="467" t="s">
        <v>225</v>
      </c>
      <c r="U76" s="470" t="s">
        <v>226</v>
      </c>
      <c r="V76" s="467"/>
      <c r="W76" s="467"/>
    </row>
    <row r="77" s="410" customFormat="1" ht="17.4" spans="1:23">
      <c r="A77" s="432" t="s">
        <v>227</v>
      </c>
      <c r="B77" s="432" t="s">
        <v>157</v>
      </c>
      <c r="C77" s="434" t="s">
        <v>441</v>
      </c>
      <c r="D77" s="435" t="s">
        <v>49</v>
      </c>
      <c r="E77" s="436">
        <f>VLOOKUP(B77,正厂竞争者数据汇总!D:H,4,FALSE)</f>
        <v>0</v>
      </c>
      <c r="F77" s="436">
        <v>257610.6068</v>
      </c>
      <c r="G77" s="436">
        <v>278909.416666667</v>
      </c>
      <c r="H77" s="436">
        <v>329867.416666667</v>
      </c>
      <c r="I77" s="454">
        <f>(F77/G77)-1</f>
        <v>-0.0763646137201665</v>
      </c>
      <c r="J77" s="457">
        <f t="shared" ref="J77:J81" si="6">F77/F$83</f>
        <v>0.411132134176415</v>
      </c>
      <c r="K77" s="457">
        <v>0.40765605340742</v>
      </c>
      <c r="L77" s="457">
        <v>0.387913938967853</v>
      </c>
      <c r="M77" s="456">
        <f>J77-K77</f>
        <v>0.00347608076899514</v>
      </c>
      <c r="N77" s="457" t="str">
        <f>IFERROR(O77*0.5/$F$77,"")</f>
        <v/>
      </c>
      <c r="O77" s="436" t="s">
        <v>180</v>
      </c>
      <c r="P77" s="531">
        <f t="array" ref="P77">INDEX(正厂竞争者数据汇总!I:I,MATCH($A$75&amp;B77,正厂竞争者数据汇总!A:A&amp;正厂竞争者数据汇总!D:D,0))</f>
        <v>0</v>
      </c>
      <c r="Q77" s="434" t="s">
        <v>275</v>
      </c>
      <c r="R77" s="435" t="s">
        <v>229</v>
      </c>
      <c r="S77" s="476"/>
      <c r="T77" s="477"/>
      <c r="U77" s="477"/>
      <c r="V77" s="435"/>
      <c r="W77" s="435"/>
    </row>
    <row r="78" s="408" customFormat="1" spans="1:23">
      <c r="A78" s="428" t="s">
        <v>230</v>
      </c>
      <c r="B78" s="421" t="s">
        <v>276</v>
      </c>
      <c r="C78" s="429" t="s">
        <v>233</v>
      </c>
      <c r="D78" s="421" t="s">
        <v>234</v>
      </c>
      <c r="E78" s="430"/>
      <c r="F78" s="430">
        <v>159726.886666667</v>
      </c>
      <c r="G78" s="430"/>
      <c r="H78" s="430"/>
      <c r="I78" s="450"/>
      <c r="J78" s="451">
        <f t="shared" si="6"/>
        <v>0.254915186204286</v>
      </c>
      <c r="K78" s="451">
        <v>0.245987548302622</v>
      </c>
      <c r="L78" s="451">
        <v>0.250597237965808</v>
      </c>
      <c r="M78" s="452"/>
      <c r="N78" s="451"/>
      <c r="O78" s="430"/>
      <c r="P78" s="531" t="str">
        <f t="array" ref="P78">INDEX(正厂竞争者数据汇总!I:I,MATCH($A$75&amp;B78,正厂竞争者数据汇总!A:A&amp;正厂竞争者数据汇总!D:D,0))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78" s="429"/>
      <c r="R78" s="421"/>
      <c r="S78" s="472"/>
      <c r="T78" s="466"/>
      <c r="U78" s="466"/>
      <c r="V78" s="466"/>
      <c r="W78" s="466"/>
    </row>
    <row r="79" s="408" customFormat="1" spans="1:23">
      <c r="A79" s="428" t="s">
        <v>230</v>
      </c>
      <c r="B79" s="421" t="s">
        <v>278</v>
      </c>
      <c r="C79" s="429" t="s">
        <v>65</v>
      </c>
      <c r="D79" s="421" t="s">
        <v>59</v>
      </c>
      <c r="E79" s="430"/>
      <c r="F79" s="430">
        <v>90622.6666666667</v>
      </c>
      <c r="G79" s="430"/>
      <c r="H79" s="430"/>
      <c r="I79" s="450"/>
      <c r="J79" s="451">
        <f t="shared" si="6"/>
        <v>0.144628712358689</v>
      </c>
      <c r="K79" s="451">
        <v>0.138859084968701</v>
      </c>
      <c r="L79" s="451">
        <v>0.149667384182201</v>
      </c>
      <c r="M79" s="452"/>
      <c r="N79" s="451"/>
      <c r="O79" s="430"/>
      <c r="P79" s="531" t="str">
        <f t="array" ref="P79">INDEX(正厂竞争者数据汇总!I:I,MATCH($A$75&amp;B79,正厂竞争者数据汇总!A:A&amp;正厂竞争者数据汇总!D:D,0))</f>
        <v>2020年11月新增竞争者</v>
      </c>
      <c r="Q79" s="429"/>
      <c r="R79" s="421"/>
      <c r="S79" s="472"/>
      <c r="T79" s="466"/>
      <c r="U79" s="466"/>
      <c r="V79" s="466"/>
      <c r="W79" s="466"/>
    </row>
    <row r="80" s="408" customFormat="1" spans="1:23">
      <c r="A80" s="428" t="s">
        <v>243</v>
      </c>
      <c r="B80" s="421" t="s">
        <v>277</v>
      </c>
      <c r="C80" s="429" t="s">
        <v>233</v>
      </c>
      <c r="D80" s="421" t="s">
        <v>266</v>
      </c>
      <c r="E80" s="430"/>
      <c r="F80" s="430">
        <v>80720.0133333333</v>
      </c>
      <c r="G80" s="430"/>
      <c r="H80" s="430"/>
      <c r="I80" s="450"/>
      <c r="J80" s="451">
        <f t="shared" si="6"/>
        <v>0.128824630960351</v>
      </c>
      <c r="K80" s="451">
        <v>0.136474659698307</v>
      </c>
      <c r="L80" s="451">
        <v>0.139136788703395</v>
      </c>
      <c r="M80" s="452"/>
      <c r="N80" s="451"/>
      <c r="O80" s="430"/>
      <c r="P80" s="531">
        <f t="array" ref="P80">INDEX(正厂竞争者数据汇总!I:I,MATCH($A$75&amp;B80,正厂竞争者数据汇总!A:A&amp;正厂竞争者数据汇总!D:D,0))</f>
        <v>0</v>
      </c>
      <c r="Q80" s="429"/>
      <c r="R80" s="421"/>
      <c r="S80" s="472"/>
      <c r="T80" s="466"/>
      <c r="U80" s="466"/>
      <c r="V80" s="466"/>
      <c r="W80" s="466"/>
    </row>
    <row r="81" s="408" customFormat="1" spans="1:23">
      <c r="A81" s="428" t="s">
        <v>230</v>
      </c>
      <c r="B81" s="421" t="s">
        <v>279</v>
      </c>
      <c r="C81" s="429" t="s">
        <v>233</v>
      </c>
      <c r="D81" s="421" t="s">
        <v>234</v>
      </c>
      <c r="E81" s="430"/>
      <c r="F81" s="430">
        <v>37908.1794871795</v>
      </c>
      <c r="G81" s="430"/>
      <c r="H81" s="430"/>
      <c r="I81" s="450"/>
      <c r="J81" s="451">
        <f t="shared" si="6"/>
        <v>0.0604993363002579</v>
      </c>
      <c r="K81" s="451">
        <v>0.0710226536229493</v>
      </c>
      <c r="L81" s="451">
        <v>0.0726846501807422</v>
      </c>
      <c r="M81" s="452"/>
      <c r="N81" s="451"/>
      <c r="O81" s="430"/>
      <c r="P81" s="531" t="str">
        <f t="array" ref="P81">INDEX(正厂竞争者数据汇总!I:I,MATCH($A$75&amp;B81,正厂竞争者数据汇总!A:A&amp;正厂竞争者数据汇总!D:D,0))</f>
        <v>同时经营多品牌零件，semrush流量折算比例：Ford:0%, GM:36%, Honda:25%, Hyundai:0%, Infiniti:1%, Kia:1%, Lexus:4%, Mopar:0%, Nissan:25%, Subaru:5%, Toyota:2%</v>
      </c>
      <c r="Q81" s="429"/>
      <c r="R81" s="421"/>
      <c r="S81" s="472"/>
      <c r="T81" s="466"/>
      <c r="U81" s="466"/>
      <c r="V81" s="466"/>
      <c r="W81" s="466"/>
    </row>
    <row r="82" s="408" customFormat="1" spans="1:23">
      <c r="A82" s="428"/>
      <c r="B82" s="431"/>
      <c r="C82" s="429"/>
      <c r="D82" s="421"/>
      <c r="E82" s="430"/>
      <c r="F82" s="430"/>
      <c r="G82" s="430"/>
      <c r="H82" s="430"/>
      <c r="I82" s="453"/>
      <c r="J82" s="451"/>
      <c r="K82" s="451"/>
      <c r="L82" s="451"/>
      <c r="M82" s="451"/>
      <c r="N82" s="451"/>
      <c r="O82" s="430"/>
      <c r="P82" s="531"/>
      <c r="Q82" s="429"/>
      <c r="R82" s="435"/>
      <c r="S82" s="473"/>
      <c r="T82" s="466"/>
      <c r="U82" s="466"/>
      <c r="V82" s="421"/>
      <c r="W82" s="421"/>
    </row>
    <row r="83" s="408" customFormat="1" spans="1:23">
      <c r="A83" s="428"/>
      <c r="B83" s="421"/>
      <c r="C83" s="439"/>
      <c r="D83" s="421"/>
      <c r="E83" s="430"/>
      <c r="F83" s="430">
        <v>626588.352953847</v>
      </c>
      <c r="G83" s="430">
        <v>704838.916666666</v>
      </c>
      <c r="H83" s="430">
        <v>764789.250000002</v>
      </c>
      <c r="I83" s="453">
        <f>(F83/G83)-1</f>
        <v>-0.111019073808925</v>
      </c>
      <c r="J83" s="490"/>
      <c r="K83" s="480"/>
      <c r="L83" s="480"/>
      <c r="M83" s="451"/>
      <c r="N83" s="451">
        <f>SUM(N77:N81)</f>
        <v>0</v>
      </c>
      <c r="O83" s="430"/>
      <c r="P83" s="531"/>
      <c r="Q83" s="429"/>
      <c r="R83" s="421"/>
      <c r="S83" s="473"/>
      <c r="T83" s="466"/>
      <c r="U83" s="466"/>
      <c r="V83" s="421"/>
      <c r="W83" s="421"/>
    </row>
    <row r="84" s="408" customFormat="1" spans="1:23">
      <c r="A84" s="428"/>
      <c r="B84" s="421"/>
      <c r="C84" s="439"/>
      <c r="D84" s="421"/>
      <c r="E84" s="430"/>
      <c r="F84" s="430"/>
      <c r="G84" s="430"/>
      <c r="H84" s="430"/>
      <c r="I84" s="453"/>
      <c r="J84" s="430"/>
      <c r="K84" s="430"/>
      <c r="L84" s="430"/>
      <c r="M84" s="451"/>
      <c r="N84" s="459"/>
      <c r="O84" s="430"/>
      <c r="P84" s="531"/>
      <c r="Q84" s="429"/>
      <c r="R84" s="421"/>
      <c r="S84" s="473"/>
      <c r="T84" s="466"/>
      <c r="U84" s="466"/>
      <c r="V84" s="421"/>
      <c r="W84" s="421"/>
    </row>
    <row r="85" s="408" customFormat="1" ht="17.4" spans="1:23">
      <c r="A85" s="418" t="s">
        <v>165</v>
      </c>
      <c r="B85" s="419"/>
      <c r="C85" s="420"/>
      <c r="D85" s="421"/>
      <c r="E85" s="422" t="s">
        <v>202</v>
      </c>
      <c r="F85" s="422"/>
      <c r="G85" s="422"/>
      <c r="H85" s="422"/>
      <c r="I85" s="422"/>
      <c r="J85" s="422"/>
      <c r="K85" s="422"/>
      <c r="L85" s="422"/>
      <c r="M85" s="443"/>
      <c r="N85" s="444"/>
      <c r="O85" s="422"/>
      <c r="P85" s="531"/>
      <c r="Q85" s="465"/>
      <c r="R85" s="424"/>
      <c r="S85" s="473"/>
      <c r="T85" s="467"/>
      <c r="U85" s="467"/>
      <c r="V85" s="467"/>
      <c r="W85" s="467"/>
    </row>
    <row r="86" s="409" customFormat="1" ht="46.8" spans="1:23">
      <c r="A86" s="423" t="s">
        <v>206</v>
      </c>
      <c r="B86" s="424" t="s">
        <v>207</v>
      </c>
      <c r="C86" s="425" t="s">
        <v>447</v>
      </c>
      <c r="D86" s="424" t="s">
        <v>209</v>
      </c>
      <c r="E86" s="426" t="s">
        <v>210</v>
      </c>
      <c r="F86" s="427" t="s">
        <v>448</v>
      </c>
      <c r="G86" s="427" t="s">
        <v>213</v>
      </c>
      <c r="H86" s="427" t="s">
        <v>396</v>
      </c>
      <c r="I86" s="427" t="s">
        <v>386</v>
      </c>
      <c r="J86" s="446" t="s">
        <v>435</v>
      </c>
      <c r="K86" s="446" t="s">
        <v>444</v>
      </c>
      <c r="L86" s="446" t="s">
        <v>449</v>
      </c>
      <c r="M86" s="447" t="s">
        <v>436</v>
      </c>
      <c r="N86" s="448" t="s">
        <v>219</v>
      </c>
      <c r="O86" s="449" t="s">
        <v>220</v>
      </c>
      <c r="P86" s="535" t="s">
        <v>0</v>
      </c>
      <c r="Q86" s="469" t="s">
        <v>222</v>
      </c>
      <c r="R86" s="426" t="s">
        <v>223</v>
      </c>
      <c r="S86" s="470" t="s">
        <v>224</v>
      </c>
      <c r="T86" s="467" t="s">
        <v>225</v>
      </c>
      <c r="U86" s="470" t="s">
        <v>226</v>
      </c>
      <c r="V86" s="467"/>
      <c r="W86" s="467"/>
    </row>
    <row r="87" s="408" customFormat="1" spans="1:23">
      <c r="A87" s="428" t="s">
        <v>230</v>
      </c>
      <c r="B87" s="421" t="s">
        <v>293</v>
      </c>
      <c r="C87" s="429" t="s">
        <v>233</v>
      </c>
      <c r="D87" s="421" t="s">
        <v>50</v>
      </c>
      <c r="E87" s="430"/>
      <c r="F87" s="430">
        <v>181904.616666667</v>
      </c>
      <c r="G87" s="430"/>
      <c r="H87" s="430"/>
      <c r="I87" s="450"/>
      <c r="J87" s="451">
        <f t="shared" ref="J87:J94" si="7">F87/F$96</f>
        <v>0.368371415076682</v>
      </c>
      <c r="K87" s="451">
        <v>0.389615115899931</v>
      </c>
      <c r="L87" s="451">
        <v>0.377312023750511</v>
      </c>
      <c r="M87" s="452"/>
      <c r="N87" s="451"/>
      <c r="O87" s="430"/>
      <c r="P87" s="531">
        <f t="array" ref="P87">INDEX(正厂竞争者数据汇总!I:I,MATCH($A$85&amp;B87,正厂竞争者数据汇总!A:A&amp;正厂竞争者数据汇总!D:D,0))</f>
        <v>0</v>
      </c>
      <c r="Q87" s="429"/>
      <c r="R87" s="421"/>
      <c r="S87" s="472"/>
      <c r="T87" s="466"/>
      <c r="U87" s="466"/>
      <c r="V87" s="466"/>
      <c r="W87" s="466"/>
    </row>
    <row r="88" s="410" customFormat="1" spans="1:23">
      <c r="A88" s="432" t="s">
        <v>227</v>
      </c>
      <c r="B88" s="432" t="s">
        <v>166</v>
      </c>
      <c r="C88" s="505" t="s">
        <v>441</v>
      </c>
      <c r="D88" s="435" t="s">
        <v>58</v>
      </c>
      <c r="E88" s="462"/>
      <c r="F88" s="436">
        <v>121578.993333333</v>
      </c>
      <c r="G88" s="462"/>
      <c r="H88" s="462"/>
      <c r="I88" s="510"/>
      <c r="J88" s="461">
        <f t="shared" si="7"/>
        <v>0.246207197148093</v>
      </c>
      <c r="K88" s="457">
        <v>0.227775632260067</v>
      </c>
      <c r="L88" s="457">
        <v>0.227901723755255</v>
      </c>
      <c r="M88" s="461"/>
      <c r="N88" s="461"/>
      <c r="O88" s="462"/>
      <c r="P88" s="531">
        <f t="array" ref="P88">INDEX(正厂竞争者数据汇总!I:I,MATCH($A$85&amp;B88,正厂竞争者数据汇总!A:A&amp;正厂竞争者数据汇总!D:D,0))</f>
        <v>0</v>
      </c>
      <c r="Q88" s="434"/>
      <c r="R88" s="435"/>
      <c r="S88" s="476"/>
      <c r="T88" s="477"/>
      <c r="U88" s="477"/>
      <c r="V88" s="435"/>
      <c r="W88" s="435"/>
    </row>
    <row r="89" s="408" customFormat="1" spans="1:23">
      <c r="A89" s="428" t="s">
        <v>243</v>
      </c>
      <c r="B89" s="421" t="s">
        <v>298</v>
      </c>
      <c r="C89" s="429" t="s">
        <v>441</v>
      </c>
      <c r="D89" s="421" t="s">
        <v>422</v>
      </c>
      <c r="E89" s="430"/>
      <c r="F89" s="430">
        <v>45910.3166666667</v>
      </c>
      <c r="G89" s="430"/>
      <c r="H89" s="430"/>
      <c r="I89" s="450"/>
      <c r="J89" s="451">
        <f t="shared" si="7"/>
        <v>0.0929720675979831</v>
      </c>
      <c r="K89" s="451">
        <v>0.104746112313128</v>
      </c>
      <c r="L89" s="451">
        <v>0.118357365419499</v>
      </c>
      <c r="M89" s="452"/>
      <c r="N89" s="451"/>
      <c r="O89" s="430"/>
      <c r="P89" s="531">
        <f t="array" ref="P89">INDEX(正厂竞争者数据汇总!I:I,MATCH($A$85&amp;B89,正厂竞争者数据汇总!A:A&amp;正厂竞争者数据汇总!D:D,0))</f>
        <v>0</v>
      </c>
      <c r="Q89" s="429"/>
      <c r="R89" s="421"/>
      <c r="S89" s="472"/>
      <c r="T89" s="466"/>
      <c r="U89" s="466"/>
      <c r="V89" s="466"/>
      <c r="W89" s="466"/>
    </row>
    <row r="90" s="408" customFormat="1" spans="1:23">
      <c r="A90" s="428" t="s">
        <v>230</v>
      </c>
      <c r="B90" s="421" t="s">
        <v>295</v>
      </c>
      <c r="C90" s="429" t="s">
        <v>233</v>
      </c>
      <c r="D90" s="421" t="s">
        <v>423</v>
      </c>
      <c r="E90" s="430"/>
      <c r="F90" s="430">
        <v>39402.5466666667</v>
      </c>
      <c r="G90" s="430"/>
      <c r="H90" s="430"/>
      <c r="I90" s="450"/>
      <c r="J90" s="451">
        <f t="shared" si="7"/>
        <v>0.0797933122270489</v>
      </c>
      <c r="K90" s="451">
        <v>0.0928309618542641</v>
      </c>
      <c r="L90" s="451">
        <v>0.0719655594329005</v>
      </c>
      <c r="M90" s="452"/>
      <c r="N90" s="451"/>
      <c r="O90" s="430"/>
      <c r="P90" s="531" t="str">
        <f t="array" ref="P90">INDEX(正厂竞争者数据汇总!I:I,MATCH($A$85&amp;B90,正厂竞争者数据汇总!A:A&amp;正厂竞争者数据汇总!D:D,0))</f>
        <v>2023年4月，流量更新为子站parts.subaruonlineparts.com，子站主营parts，此前监控域名为subaruonlineparts.com,该子域名的实际成单效率较高，流量不能完全反应其竞争力</v>
      </c>
      <c r="Q90" s="429"/>
      <c r="R90" s="421"/>
      <c r="S90" s="472"/>
      <c r="T90" s="466"/>
      <c r="U90" s="466"/>
      <c r="V90" s="466"/>
      <c r="W90" s="466"/>
    </row>
    <row r="91" s="408" customFormat="1" spans="1:23">
      <c r="A91" s="428" t="s">
        <v>230</v>
      </c>
      <c r="B91" s="421" t="s">
        <v>294</v>
      </c>
      <c r="C91" s="429" t="s">
        <v>233</v>
      </c>
      <c r="D91" s="421" t="s">
        <v>250</v>
      </c>
      <c r="E91" s="430"/>
      <c r="F91" s="430">
        <v>35431.91</v>
      </c>
      <c r="G91" s="430"/>
      <c r="H91" s="430"/>
      <c r="I91" s="450"/>
      <c r="J91" s="451">
        <f t="shared" si="7"/>
        <v>0.0717524550214527</v>
      </c>
      <c r="K91" s="451">
        <v>0.0895153098114108</v>
      </c>
      <c r="L91" s="451">
        <v>0.0943367313272572</v>
      </c>
      <c r="M91" s="452"/>
      <c r="N91" s="451"/>
      <c r="O91" s="430"/>
      <c r="P91" s="531" t="str">
        <f t="array" ref="P91">INDEX(正厂竞争者数据汇总!I:I,MATCH($A$85&amp;B91,正厂竞争者数据汇总!A:A&amp;正厂竞争者数据汇总!D:D,0))</f>
        <v>2022年1月 新加入 CompetitorSites</v>
      </c>
      <c r="Q91" s="429"/>
      <c r="R91" s="421"/>
      <c r="S91" s="472"/>
      <c r="T91" s="466"/>
      <c r="U91" s="466"/>
      <c r="V91" s="466"/>
      <c r="W91" s="466"/>
    </row>
    <row r="92" s="408" customFormat="1" spans="1:23">
      <c r="A92" s="428" t="s">
        <v>230</v>
      </c>
      <c r="B92" s="421" t="s">
        <v>296</v>
      </c>
      <c r="C92" s="429" t="s">
        <v>233</v>
      </c>
      <c r="D92" s="421" t="s">
        <v>423</v>
      </c>
      <c r="E92" s="430"/>
      <c r="F92" s="430">
        <v>26514.5</v>
      </c>
      <c r="G92" s="430"/>
      <c r="H92" s="430"/>
      <c r="I92" s="450"/>
      <c r="J92" s="451">
        <f t="shared" si="7"/>
        <v>0.0536939856944294</v>
      </c>
      <c r="K92" s="451"/>
      <c r="L92" s="451"/>
      <c r="M92" s="452"/>
      <c r="N92" s="451"/>
      <c r="O92" s="430"/>
      <c r="P92" s="531" t="str">
        <f t="array" ref="P92">INDEX(正厂竞争者数据汇总!I:I,MATCH($A$85&amp;B92,正厂竞争者数据汇总!A:A&amp;正厂竞争者数据汇总!D:D,0))</f>
        <v>2023年2月新增正厂，Semrush子域名查不到流量。202306因流量上涨加入MS计算基准</v>
      </c>
      <c r="Q92" s="429"/>
      <c r="R92" s="421"/>
      <c r="S92" s="472"/>
      <c r="T92" s="466"/>
      <c r="U92" s="466"/>
      <c r="V92" s="466"/>
      <c r="W92" s="466"/>
    </row>
    <row r="93" s="408" customFormat="1" spans="1:23">
      <c r="A93" s="428" t="s">
        <v>230</v>
      </c>
      <c r="B93" s="421" t="s">
        <v>406</v>
      </c>
      <c r="C93" s="429" t="s">
        <v>233</v>
      </c>
      <c r="D93" s="421" t="s">
        <v>60</v>
      </c>
      <c r="E93" s="430"/>
      <c r="F93" s="430">
        <v>24431.75</v>
      </c>
      <c r="G93" s="430"/>
      <c r="H93" s="430"/>
      <c r="I93" s="450"/>
      <c r="J93" s="451">
        <f t="shared" si="7"/>
        <v>0.0494762501646222</v>
      </c>
      <c r="K93" s="451">
        <v>0.055532789066128</v>
      </c>
      <c r="L93" s="451">
        <v>0.0646571367234018</v>
      </c>
      <c r="M93" s="452"/>
      <c r="N93" s="451"/>
      <c r="O93" s="430"/>
      <c r="P93" s="531"/>
      <c r="Q93" s="429"/>
      <c r="R93" s="421"/>
      <c r="S93" s="472"/>
      <c r="T93" s="466"/>
      <c r="U93" s="466"/>
      <c r="V93" s="466"/>
      <c r="W93" s="466"/>
    </row>
    <row r="94" s="408" customFormat="1" spans="1:23">
      <c r="A94" s="428" t="s">
        <v>230</v>
      </c>
      <c r="B94" s="421" t="s">
        <v>440</v>
      </c>
      <c r="C94" s="429" t="s">
        <v>233</v>
      </c>
      <c r="D94" s="421" t="s">
        <v>417</v>
      </c>
      <c r="E94" s="430"/>
      <c r="F94" s="430">
        <v>18633</v>
      </c>
      <c r="G94" s="430"/>
      <c r="H94" s="430"/>
      <c r="I94" s="450"/>
      <c r="J94" s="451">
        <f t="shared" si="7"/>
        <v>0.0377333170696903</v>
      </c>
      <c r="K94" s="451">
        <v>0.0399840787950716</v>
      </c>
      <c r="L94" s="451">
        <v>0.0454694595911756</v>
      </c>
      <c r="M94" s="452"/>
      <c r="N94" s="451"/>
      <c r="O94" s="430"/>
      <c r="P94" s="531" t="str">
        <f t="array" ref="P94">INDEX(正厂竞争者数据汇总!I:I,MATCH($A$85&amp;B94,正厂竞争者数据汇总!A:A&amp;正厂竞争者数据汇总!D:D,0))</f>
        <v>202307，Semrush无法正常获取流量</v>
      </c>
      <c r="Q94" s="429"/>
      <c r="R94" s="421"/>
      <c r="S94" s="472"/>
      <c r="T94" s="466"/>
      <c r="U94" s="466"/>
      <c r="V94" s="466"/>
      <c r="W94" s="466"/>
    </row>
    <row r="95" s="408" customFormat="1" spans="1:23">
      <c r="A95" s="428"/>
      <c r="B95" s="421"/>
      <c r="C95" s="429"/>
      <c r="D95" s="421"/>
      <c r="E95" s="430"/>
      <c r="F95" s="481"/>
      <c r="G95" s="481"/>
      <c r="H95" s="481"/>
      <c r="I95" s="453"/>
      <c r="J95" s="451"/>
      <c r="K95" s="451"/>
      <c r="L95" s="451"/>
      <c r="M95" s="451"/>
      <c r="N95" s="451"/>
      <c r="O95" s="430"/>
      <c r="P95" s="531"/>
      <c r="Q95" s="429"/>
      <c r="R95" s="421"/>
      <c r="S95" s="473"/>
      <c r="T95" s="466"/>
      <c r="U95" s="466"/>
      <c r="V95" s="421"/>
      <c r="W95" s="421"/>
    </row>
    <row r="96" s="408" customFormat="1" spans="1:23">
      <c r="A96" s="428"/>
      <c r="B96" s="421"/>
      <c r="C96" s="439"/>
      <c r="D96" s="421"/>
      <c r="E96" s="421"/>
      <c r="F96" s="481">
        <v>493807.633333333</v>
      </c>
      <c r="G96" s="481">
        <v>427571.166666666</v>
      </c>
      <c r="H96" s="481">
        <v>496054.5</v>
      </c>
      <c r="I96" s="453">
        <f>(F96/G96)-1</f>
        <v>0.154913314625597</v>
      </c>
      <c r="J96" s="430"/>
      <c r="K96" s="430"/>
      <c r="L96" s="430"/>
      <c r="M96" s="451"/>
      <c r="N96" s="451">
        <f>SUM(N87:N89)</f>
        <v>0</v>
      </c>
      <c r="O96" s="430"/>
      <c r="P96" s="531"/>
      <c r="Q96" s="429"/>
      <c r="R96" s="421"/>
      <c r="S96" s="473"/>
      <c r="T96" s="466"/>
      <c r="U96" s="466"/>
      <c r="V96" s="421"/>
      <c r="W96" s="421"/>
    </row>
    <row r="97" s="408" customFormat="1" spans="1:23">
      <c r="A97" s="428"/>
      <c r="B97" s="421"/>
      <c r="C97" s="429"/>
      <c r="D97" s="421"/>
      <c r="E97" s="430"/>
      <c r="F97" s="451"/>
      <c r="G97" s="451"/>
      <c r="H97" s="451"/>
      <c r="I97" s="453"/>
      <c r="J97" s="451"/>
      <c r="K97" s="451"/>
      <c r="L97" s="451"/>
      <c r="M97" s="451"/>
      <c r="N97" s="451"/>
      <c r="O97" s="451"/>
      <c r="P97" s="531"/>
      <c r="Q97" s="429"/>
      <c r="R97" s="421"/>
      <c r="S97" s="473"/>
      <c r="T97" s="466"/>
      <c r="U97" s="466"/>
      <c r="V97" s="421"/>
      <c r="W97" s="421"/>
    </row>
    <row r="98" s="408" customFormat="1" ht="17.4" spans="1:23">
      <c r="A98" s="418" t="s">
        <v>171</v>
      </c>
      <c r="B98" s="419"/>
      <c r="C98" s="420"/>
      <c r="D98" s="421"/>
      <c r="E98" s="422" t="s">
        <v>202</v>
      </c>
      <c r="F98" s="422"/>
      <c r="G98" s="422"/>
      <c r="H98" s="422"/>
      <c r="I98" s="422"/>
      <c r="J98" s="422"/>
      <c r="K98" s="422"/>
      <c r="L98" s="422"/>
      <c r="M98" s="443"/>
      <c r="N98" s="422"/>
      <c r="O98" s="422"/>
      <c r="P98" s="531"/>
      <c r="Q98" s="465"/>
      <c r="R98" s="424"/>
      <c r="S98" s="473"/>
      <c r="T98" s="467"/>
      <c r="U98" s="467"/>
      <c r="V98" s="467"/>
      <c r="W98" s="467"/>
    </row>
    <row r="99" s="409" customFormat="1" ht="46.8" spans="1:23">
      <c r="A99" s="423" t="s">
        <v>206</v>
      </c>
      <c r="B99" s="424" t="s">
        <v>207</v>
      </c>
      <c r="C99" s="425" t="s">
        <v>447</v>
      </c>
      <c r="D99" s="424" t="s">
        <v>209</v>
      </c>
      <c r="E99" s="426" t="s">
        <v>210</v>
      </c>
      <c r="F99" s="427" t="s">
        <v>448</v>
      </c>
      <c r="G99" s="427" t="s">
        <v>213</v>
      </c>
      <c r="H99" s="427" t="s">
        <v>396</v>
      </c>
      <c r="I99" s="427" t="s">
        <v>386</v>
      </c>
      <c r="J99" s="446" t="s">
        <v>435</v>
      </c>
      <c r="K99" s="446" t="s">
        <v>444</v>
      </c>
      <c r="L99" s="446" t="s">
        <v>449</v>
      </c>
      <c r="M99" s="447" t="s">
        <v>436</v>
      </c>
      <c r="N99" s="448" t="s">
        <v>219</v>
      </c>
      <c r="O99" s="449" t="s">
        <v>220</v>
      </c>
      <c r="P99" s="535" t="s">
        <v>0</v>
      </c>
      <c r="Q99" s="469" t="s">
        <v>222</v>
      </c>
      <c r="R99" s="426" t="s">
        <v>223</v>
      </c>
      <c r="S99" s="470" t="s">
        <v>224</v>
      </c>
      <c r="T99" s="467" t="s">
        <v>225</v>
      </c>
      <c r="U99" s="470" t="s">
        <v>226</v>
      </c>
      <c r="V99" s="467"/>
      <c r="W99" s="467"/>
    </row>
    <row r="100" s="408" customFormat="1" spans="1:23">
      <c r="A100" s="428" t="s">
        <v>230</v>
      </c>
      <c r="B100" s="421" t="s">
        <v>310</v>
      </c>
      <c r="C100" s="429" t="s">
        <v>233</v>
      </c>
      <c r="D100" s="421" t="s">
        <v>371</v>
      </c>
      <c r="E100" s="430"/>
      <c r="F100" s="430">
        <v>109672.446633333</v>
      </c>
      <c r="G100" s="430"/>
      <c r="H100" s="430"/>
      <c r="I100" s="450"/>
      <c r="J100" s="451">
        <f t="shared" ref="J100:J107" si="8">F100/F$109</f>
        <v>0.228752000577895</v>
      </c>
      <c r="K100" s="451">
        <v>0.23134044901548</v>
      </c>
      <c r="L100" s="451">
        <v>0.244654696865642</v>
      </c>
      <c r="M100" s="452"/>
      <c r="N100" s="451"/>
      <c r="O100" s="430"/>
      <c r="P100" s="531">
        <f t="array" ref="P100">INDEX(正厂竞争者数据汇总!I:I,MATCH($A$98&amp;B100,正厂竞争者数据汇总!A:A&amp;正厂竞争者数据汇总!D:D,0))</f>
        <v>0</v>
      </c>
      <c r="Q100" s="429"/>
      <c r="R100" s="421"/>
      <c r="S100" s="472"/>
      <c r="T100" s="466"/>
      <c r="U100" s="466"/>
      <c r="V100" s="466"/>
      <c r="W100" s="466"/>
    </row>
    <row r="101" s="410" customFormat="1" spans="1:23">
      <c r="A101" s="432" t="s">
        <v>227</v>
      </c>
      <c r="B101" s="432" t="s">
        <v>172</v>
      </c>
      <c r="C101" s="434" t="s">
        <v>441</v>
      </c>
      <c r="D101" s="477" t="s">
        <v>49</v>
      </c>
      <c r="E101" s="436">
        <f>VLOOKUP(B101,正厂竞争者数据汇总!D:H,4,FALSE)</f>
        <v>0</v>
      </c>
      <c r="F101" s="436">
        <v>96194.5</v>
      </c>
      <c r="G101" s="436">
        <v>132262.583333333</v>
      </c>
      <c r="H101" s="436">
        <v>137115.416666667</v>
      </c>
      <c r="I101" s="454">
        <f>(F101/G101)-1</f>
        <v>-0.272700581104127</v>
      </c>
      <c r="J101" s="457">
        <f t="shared" si="8"/>
        <v>0.20064004218998</v>
      </c>
      <c r="K101" s="457">
        <v>0.217660428945916</v>
      </c>
      <c r="L101" s="457">
        <v>0.237076933784312</v>
      </c>
      <c r="M101" s="456">
        <f>J101-K101</f>
        <v>-0.0170203867559357</v>
      </c>
      <c r="N101" s="455"/>
      <c r="O101" s="436"/>
      <c r="P101" s="531">
        <f t="array" ref="P101">INDEX(正厂竞争者数据汇总!I:I,MATCH($A$98&amp;B101,正厂竞争者数据汇总!A:A&amp;正厂竞争者数据汇总!D:D,0))</f>
        <v>0</v>
      </c>
      <c r="Q101" s="491" t="s">
        <v>313</v>
      </c>
      <c r="R101" s="435" t="s">
        <v>180</v>
      </c>
      <c r="S101" s="476"/>
      <c r="T101" s="477"/>
      <c r="U101" s="477"/>
      <c r="V101" s="435"/>
      <c r="W101" s="435"/>
    </row>
    <row r="102" s="408" customFormat="1" spans="1:23">
      <c r="A102" s="428" t="s">
        <v>230</v>
      </c>
      <c r="B102" s="421" t="s">
        <v>311</v>
      </c>
      <c r="C102" s="429" t="s">
        <v>441</v>
      </c>
      <c r="D102" s="421" t="s">
        <v>420</v>
      </c>
      <c r="E102" s="430"/>
      <c r="F102" s="430">
        <v>81175.4166666667</v>
      </c>
      <c r="G102" s="430"/>
      <c r="H102" s="430"/>
      <c r="I102" s="450"/>
      <c r="J102" s="451">
        <f t="shared" si="8"/>
        <v>0.169313620059247</v>
      </c>
      <c r="K102" s="451">
        <v>0.141438252044653</v>
      </c>
      <c r="L102" s="451">
        <v>0.14059071244543</v>
      </c>
      <c r="M102" s="452"/>
      <c r="N102" s="451"/>
      <c r="O102" s="430"/>
      <c r="P102" s="531">
        <f t="array" ref="P102">INDEX(正厂竞争者数据汇总!I:I,MATCH($A$98&amp;B102,正厂竞争者数据汇总!A:A&amp;正厂竞争者数据汇总!D:D,0))</f>
        <v>0</v>
      </c>
      <c r="Q102" s="429"/>
      <c r="R102" s="421"/>
      <c r="S102" s="472"/>
      <c r="T102" s="466"/>
      <c r="U102" s="466"/>
      <c r="V102" s="466"/>
      <c r="W102" s="466"/>
    </row>
    <row r="103" s="408" customFormat="1" spans="1:23">
      <c r="A103" s="428" t="s">
        <v>243</v>
      </c>
      <c r="B103" s="421" t="s">
        <v>314</v>
      </c>
      <c r="C103" s="429" t="s">
        <v>441</v>
      </c>
      <c r="D103" s="421" t="s">
        <v>50</v>
      </c>
      <c r="E103" s="430"/>
      <c r="F103" s="430">
        <v>65892.6666666667</v>
      </c>
      <c r="G103" s="430"/>
      <c r="H103" s="430"/>
      <c r="I103" s="450"/>
      <c r="J103" s="451">
        <f t="shared" si="8"/>
        <v>0.137437248699357</v>
      </c>
      <c r="K103" s="451">
        <v>0.148740377249397</v>
      </c>
      <c r="L103" s="451">
        <v>0.14325816005067</v>
      </c>
      <c r="M103" s="452"/>
      <c r="N103" s="451"/>
      <c r="O103" s="430"/>
      <c r="P103" s="531">
        <f t="array" ref="P103">INDEX(正厂竞争者数据汇总!I:I,MATCH($A$98&amp;B103,正厂竞争者数据汇总!A:A&amp;正厂竞争者数据汇总!D:D,0))</f>
        <v>0</v>
      </c>
      <c r="Q103" s="429"/>
      <c r="R103" s="421"/>
      <c r="S103" s="472"/>
      <c r="T103" s="466"/>
      <c r="U103" s="466"/>
      <c r="V103" s="466"/>
      <c r="W103" s="466"/>
    </row>
    <row r="104" s="408" customFormat="1" spans="1:23">
      <c r="A104" s="428" t="s">
        <v>230</v>
      </c>
      <c r="B104" s="421" t="s">
        <v>315</v>
      </c>
      <c r="C104" s="429" t="s">
        <v>233</v>
      </c>
      <c r="D104" s="421" t="s">
        <v>422</v>
      </c>
      <c r="E104" s="430"/>
      <c r="F104" s="430">
        <v>42503.5833333333</v>
      </c>
      <c r="G104" s="430"/>
      <c r="H104" s="430"/>
      <c r="I104" s="450"/>
      <c r="J104" s="451">
        <f t="shared" si="8"/>
        <v>0.0886528933902181</v>
      </c>
      <c r="K104" s="451">
        <v>0.100344867699536</v>
      </c>
      <c r="L104" s="451">
        <v>0.115564501956213</v>
      </c>
      <c r="M104" s="452"/>
      <c r="N104" s="451"/>
      <c r="O104" s="430"/>
      <c r="P104" s="531">
        <f t="array" ref="P104">INDEX(正厂竞争者数据汇总!I:I,MATCH($A$98&amp;B104,正厂竞争者数据汇总!A:A&amp;正厂竞争者数据汇总!D:D,0))</f>
        <v>0</v>
      </c>
      <c r="Q104" s="429"/>
      <c r="R104" s="421"/>
      <c r="S104" s="472"/>
      <c r="T104" s="466"/>
      <c r="U104" s="466"/>
      <c r="V104" s="466"/>
      <c r="W104" s="466"/>
    </row>
    <row r="105" s="408" customFormat="1" spans="1:23">
      <c r="A105" s="428" t="s">
        <v>230</v>
      </c>
      <c r="B105" s="421" t="s">
        <v>392</v>
      </c>
      <c r="C105" s="429" t="s">
        <v>233</v>
      </c>
      <c r="D105" s="421" t="s">
        <v>425</v>
      </c>
      <c r="E105" s="430"/>
      <c r="F105" s="430">
        <v>28311.1666666667</v>
      </c>
      <c r="G105" s="430"/>
      <c r="H105" s="430"/>
      <c r="I105" s="450"/>
      <c r="J105" s="451">
        <f t="shared" si="8"/>
        <v>0.0590507115734015</v>
      </c>
      <c r="K105" s="451">
        <v>0.056444664887336</v>
      </c>
      <c r="L105" s="451">
        <v>0.0564954820076392</v>
      </c>
      <c r="M105" s="452"/>
      <c r="N105" s="451"/>
      <c r="O105" s="430"/>
      <c r="P105" s="531">
        <f t="array" ref="P105">INDEX(正厂竞争者数据汇总!I:I,MATCH($A$98&amp;B105,正厂竞争者数据汇总!A:A&amp;正厂竞争者数据汇总!D:D,0))</f>
        <v>0</v>
      </c>
      <c r="Q105" s="429"/>
      <c r="R105" s="421"/>
      <c r="S105" s="472"/>
      <c r="T105" s="466"/>
      <c r="U105" s="466"/>
      <c r="V105" s="466"/>
      <c r="W105" s="466"/>
    </row>
    <row r="106" s="408" customFormat="1" spans="1:23">
      <c r="A106" s="428" t="s">
        <v>230</v>
      </c>
      <c r="B106" s="421" t="s">
        <v>317</v>
      </c>
      <c r="C106" s="429" t="s">
        <v>233</v>
      </c>
      <c r="D106" s="421" t="s">
        <v>424</v>
      </c>
      <c r="E106" s="430"/>
      <c r="F106" s="430">
        <v>31310.8333333334</v>
      </c>
      <c r="G106" s="430"/>
      <c r="H106" s="430"/>
      <c r="I106" s="450"/>
      <c r="J106" s="451">
        <f t="shared" si="8"/>
        <v>0.0653073400350691</v>
      </c>
      <c r="K106" s="451">
        <v>0.0529497189489863</v>
      </c>
      <c r="L106" s="451">
        <v>0.0623595128900944</v>
      </c>
      <c r="M106" s="452"/>
      <c r="N106" s="451"/>
      <c r="O106" s="430"/>
      <c r="P106" s="531">
        <f t="array" ref="P106">INDEX(正厂竞争者数据汇总!I:I,MATCH($A$98&amp;B106,正厂竞争者数据汇总!A:A&amp;正厂竞争者数据汇总!D:D,0))</f>
        <v>0</v>
      </c>
      <c r="Q106" s="429"/>
      <c r="R106" s="421"/>
      <c r="S106" s="472"/>
      <c r="T106" s="466"/>
      <c r="U106" s="466"/>
      <c r="V106" s="466"/>
      <c r="W106" s="466"/>
    </row>
    <row r="107" s="408" customFormat="1" spans="1:23">
      <c r="A107" s="428" t="s">
        <v>230</v>
      </c>
      <c r="B107" s="421" t="s">
        <v>393</v>
      </c>
      <c r="C107" s="429" t="s">
        <v>233</v>
      </c>
      <c r="D107" s="421" t="s">
        <v>60</v>
      </c>
      <c r="E107" s="430"/>
      <c r="F107" s="430">
        <v>24377.5833333333</v>
      </c>
      <c r="G107" s="430"/>
      <c r="H107" s="430"/>
      <c r="I107" s="450"/>
      <c r="J107" s="451">
        <f t="shared" si="8"/>
        <v>0.0508461434748323</v>
      </c>
      <c r="K107" s="451">
        <v>0.0510812412086958</v>
      </c>
      <c r="L107" s="451"/>
      <c r="M107" s="452"/>
      <c r="N107" s="451"/>
      <c r="O107" s="430"/>
      <c r="P107" s="531" t="str">
        <f t="array" ref="P107">INDEX(正厂竞争者数据汇总!I:I,MATCH($A$98&amp;B107,正厂竞争者数据汇总!A:A&amp;正厂竞争者数据汇总!D:D,0))</f>
        <v>2022年1月加入CompetitorSites，202305因流量大于MS5%，加入MS计算基准</v>
      </c>
      <c r="Q107" s="429"/>
      <c r="R107" s="421"/>
      <c r="S107" s="472"/>
      <c r="T107" s="466"/>
      <c r="U107" s="466"/>
      <c r="V107" s="466"/>
      <c r="W107" s="466"/>
    </row>
    <row r="108" s="408" customFormat="1" spans="1:23">
      <c r="A108" s="428"/>
      <c r="B108" s="438"/>
      <c r="C108" s="429"/>
      <c r="D108" s="466"/>
      <c r="E108" s="430"/>
      <c r="F108" s="430"/>
      <c r="G108" s="430"/>
      <c r="H108" s="430"/>
      <c r="I108" s="453"/>
      <c r="J108" s="451"/>
      <c r="K108" s="451"/>
      <c r="L108" s="451"/>
      <c r="M108" s="451"/>
      <c r="N108" s="459"/>
      <c r="O108" s="430"/>
      <c r="P108" s="531"/>
      <c r="Q108" s="492"/>
      <c r="R108" s="421"/>
      <c r="S108" s="473"/>
      <c r="T108" s="466"/>
      <c r="U108" s="466"/>
      <c r="V108" s="421"/>
      <c r="W108" s="421"/>
    </row>
    <row r="109" s="408" customFormat="1" spans="1:23">
      <c r="A109" s="428"/>
      <c r="B109" s="421"/>
      <c r="C109" s="439"/>
      <c r="D109" s="421"/>
      <c r="E109" s="430"/>
      <c r="F109" s="430">
        <v>479438.196633333</v>
      </c>
      <c r="G109" s="430">
        <v>451480.499999999</v>
      </c>
      <c r="H109" s="430">
        <v>457440.166666667</v>
      </c>
      <c r="I109" s="453">
        <f>(F109/G109)-1</f>
        <v>0.0619244831910437</v>
      </c>
      <c r="J109" s="430"/>
      <c r="K109" s="430"/>
      <c r="L109" s="430"/>
      <c r="M109" s="451"/>
      <c r="N109" s="451"/>
      <c r="O109" s="430"/>
      <c r="P109" s="531"/>
      <c r="Q109" s="493"/>
      <c r="R109" s="421"/>
      <c r="S109" s="473"/>
      <c r="T109" s="466"/>
      <c r="U109" s="466"/>
      <c r="V109" s="421"/>
      <c r="W109" s="421"/>
    </row>
    <row r="110" s="408" customFormat="1" spans="1:23">
      <c r="A110" s="428"/>
      <c r="B110" s="421"/>
      <c r="C110" s="439"/>
      <c r="D110" s="421"/>
      <c r="E110" s="430"/>
      <c r="F110" s="430"/>
      <c r="G110" s="430"/>
      <c r="H110" s="430"/>
      <c r="I110" s="453"/>
      <c r="J110" s="430"/>
      <c r="K110" s="430"/>
      <c r="L110" s="430"/>
      <c r="M110" s="451"/>
      <c r="N110" s="451"/>
      <c r="O110" s="430"/>
      <c r="P110" s="531"/>
      <c r="Q110" s="493"/>
      <c r="R110" s="421"/>
      <c r="S110" s="473"/>
      <c r="T110" s="466"/>
      <c r="U110" s="466"/>
      <c r="V110" s="421"/>
      <c r="W110" s="421"/>
    </row>
    <row r="111" s="408" customFormat="1" ht="17.4" spans="1:23">
      <c r="A111" s="418" t="s">
        <v>162</v>
      </c>
      <c r="B111" s="419"/>
      <c r="C111" s="420"/>
      <c r="D111" s="421"/>
      <c r="E111" s="422" t="s">
        <v>202</v>
      </c>
      <c r="F111" s="422"/>
      <c r="G111" s="422"/>
      <c r="H111" s="422"/>
      <c r="I111" s="422"/>
      <c r="J111" s="422"/>
      <c r="K111" s="422"/>
      <c r="L111" s="422"/>
      <c r="M111" s="443"/>
      <c r="N111" s="444"/>
      <c r="O111" s="422"/>
      <c r="P111" s="531"/>
      <c r="Q111" s="465"/>
      <c r="R111" s="424"/>
      <c r="S111" s="473"/>
      <c r="T111" s="467"/>
      <c r="U111" s="467"/>
      <c r="V111" s="467"/>
      <c r="W111" s="467"/>
    </row>
    <row r="112" s="409" customFormat="1" ht="46.8" spans="1:23">
      <c r="A112" s="423" t="s">
        <v>206</v>
      </c>
      <c r="B112" s="424" t="s">
        <v>207</v>
      </c>
      <c r="C112" s="425" t="s">
        <v>447</v>
      </c>
      <c r="D112" s="424" t="s">
        <v>209</v>
      </c>
      <c r="E112" s="426" t="s">
        <v>210</v>
      </c>
      <c r="F112" s="427" t="s">
        <v>448</v>
      </c>
      <c r="G112" s="427" t="s">
        <v>213</v>
      </c>
      <c r="H112" s="427" t="s">
        <v>396</v>
      </c>
      <c r="I112" s="427" t="s">
        <v>386</v>
      </c>
      <c r="J112" s="446" t="s">
        <v>435</v>
      </c>
      <c r="K112" s="446" t="s">
        <v>444</v>
      </c>
      <c r="L112" s="446" t="s">
        <v>449</v>
      </c>
      <c r="M112" s="447" t="s">
        <v>436</v>
      </c>
      <c r="N112" s="448" t="s">
        <v>219</v>
      </c>
      <c r="O112" s="449" t="s">
        <v>220</v>
      </c>
      <c r="P112" s="535" t="s">
        <v>0</v>
      </c>
      <c r="Q112" s="469" t="s">
        <v>222</v>
      </c>
      <c r="R112" s="426" t="s">
        <v>223</v>
      </c>
      <c r="S112" s="470" t="s">
        <v>224</v>
      </c>
      <c r="T112" s="467" t="s">
        <v>225</v>
      </c>
      <c r="U112" s="470" t="s">
        <v>226</v>
      </c>
      <c r="V112" s="467"/>
      <c r="W112" s="467"/>
    </row>
    <row r="113" s="410" customFormat="1" ht="17.4" spans="1:23">
      <c r="A113" s="432" t="s">
        <v>227</v>
      </c>
      <c r="B113" s="432" t="s">
        <v>163</v>
      </c>
      <c r="C113" s="434" t="s">
        <v>441</v>
      </c>
      <c r="D113" s="435" t="s">
        <v>49</v>
      </c>
      <c r="E113" s="436">
        <f>VLOOKUP(B113,正厂竞争者数据汇总!D:H,4,FALSE)</f>
        <v>0</v>
      </c>
      <c r="F113" s="436">
        <v>236144.083333333</v>
      </c>
      <c r="G113" s="436">
        <v>213503.583333333</v>
      </c>
      <c r="H113" s="436">
        <v>235149.083333333</v>
      </c>
      <c r="I113" s="454">
        <f>(F113/G113)-1</f>
        <v>0.106042716691328</v>
      </c>
      <c r="J113" s="457">
        <f t="shared" ref="J113:J122" si="9">F113/F$124</f>
        <v>0.392160465993053</v>
      </c>
      <c r="K113" s="457">
        <v>0.404951423772566</v>
      </c>
      <c r="L113" s="457">
        <v>0.369901319802563</v>
      </c>
      <c r="M113" s="456">
        <f>J113-K113</f>
        <v>-0.0127909577795127</v>
      </c>
      <c r="N113" s="457" t="str">
        <f>IFERROR(O113*0.5/$F$113,"")</f>
        <v/>
      </c>
      <c r="O113" s="436" t="s">
        <v>180</v>
      </c>
      <c r="P113" s="531">
        <f t="array" ref="P113">INDEX(正厂竞争者数据汇总!I:I,MATCH($A$111&amp;B113,正厂竞争者数据汇总!A:A&amp;正厂竞争者数据汇总!D:D,0))</f>
        <v>0</v>
      </c>
      <c r="Q113" s="434" t="s">
        <v>284</v>
      </c>
      <c r="R113" s="435" t="s">
        <v>229</v>
      </c>
      <c r="S113" s="476"/>
      <c r="T113" s="435" t="s">
        <v>458</v>
      </c>
      <c r="U113" s="477"/>
      <c r="V113" s="435"/>
      <c r="W113" s="435"/>
    </row>
    <row r="114" s="408" customFormat="1" spans="1:23">
      <c r="A114" s="428" t="s">
        <v>230</v>
      </c>
      <c r="B114" t="s">
        <v>285</v>
      </c>
      <c r="C114" s="429" t="s">
        <v>233</v>
      </c>
      <c r="D114" s="421" t="s">
        <v>58</v>
      </c>
      <c r="E114" s="430"/>
      <c r="F114" s="430">
        <v>107462.666666667</v>
      </c>
      <c r="G114" s="430"/>
      <c r="H114" s="430"/>
      <c r="I114" s="450"/>
      <c r="J114" s="451">
        <f t="shared" si="9"/>
        <v>0.178461424237207</v>
      </c>
      <c r="K114" s="451">
        <v>0.177913676682776</v>
      </c>
      <c r="L114" s="451">
        <v>0.190490707114579</v>
      </c>
      <c r="M114" s="452"/>
      <c r="N114" s="451"/>
      <c r="O114" s="430"/>
      <c r="P114" s="531">
        <f t="array" ref="P114">INDEX(正厂竞争者数据汇总!I:I,MATCH($A$111&amp;B114,正厂竞争者数据汇总!A:A&amp;正厂竞争者数据汇总!D:D,0))</f>
        <v>0</v>
      </c>
      <c r="Q114" s="429"/>
      <c r="R114" s="421"/>
      <c r="S114" s="472"/>
      <c r="T114" s="466"/>
      <c r="U114" s="466"/>
      <c r="V114" s="466"/>
      <c r="W114" s="466"/>
    </row>
    <row r="115" s="408" customFormat="1" spans="1:23">
      <c r="A115" s="428" t="s">
        <v>243</v>
      </c>
      <c r="B115" s="421" t="s">
        <v>290</v>
      </c>
      <c r="C115" s="429" t="s">
        <v>233</v>
      </c>
      <c r="D115" s="421" t="s">
        <v>291</v>
      </c>
      <c r="E115" s="430"/>
      <c r="F115" s="430">
        <v>44524.0833333333</v>
      </c>
      <c r="G115" s="430"/>
      <c r="H115" s="430"/>
      <c r="I115" s="450"/>
      <c r="J115" s="451">
        <f t="shared" si="9"/>
        <v>0.0739403885180843</v>
      </c>
      <c r="K115" s="451">
        <v>0.0655342492157282</v>
      </c>
      <c r="L115" s="451">
        <v>0.0668719122809799</v>
      </c>
      <c r="M115" s="452"/>
      <c r="N115" s="451"/>
      <c r="O115" s="430"/>
      <c r="P115" s="531" t="str">
        <f t="array" ref="P115">INDEX(正厂竞争者数据汇总!I:I,MATCH($A$111&amp;B115,正厂竞争者数据汇总!A:A&amp;正厂竞争者数据汇总!D:D,0))</f>
        <v>2023年2月新增正厂</v>
      </c>
      <c r="Q115" s="429"/>
      <c r="R115" s="421"/>
      <c r="S115" s="472"/>
      <c r="T115" s="466"/>
      <c r="U115" s="466"/>
      <c r="V115" s="466"/>
      <c r="W115" s="466"/>
    </row>
    <row r="116" s="408" customFormat="1" spans="1:23">
      <c r="A116" s="428" t="s">
        <v>230</v>
      </c>
      <c r="B116" s="421" t="s">
        <v>255</v>
      </c>
      <c r="C116" s="429" t="s">
        <v>233</v>
      </c>
      <c r="D116" s="421" t="s">
        <v>419</v>
      </c>
      <c r="E116" s="430"/>
      <c r="F116" s="430">
        <v>43394.425</v>
      </c>
      <c r="G116" s="430"/>
      <c r="H116" s="430"/>
      <c r="I116" s="450"/>
      <c r="J116" s="451">
        <f t="shared" si="9"/>
        <v>0.0720643841221258</v>
      </c>
      <c r="K116" s="451">
        <v>0.0666125526378126</v>
      </c>
      <c r="L116" s="451">
        <v>0.0757230569065191</v>
      </c>
      <c r="M116" s="452"/>
      <c r="N116" s="451"/>
      <c r="O116" s="430"/>
      <c r="P116" s="531" t="str">
        <f t="array" ref="P116">INDEX(正厂竞争者数据汇总!I:I,MATCH($A$111&amp;B116,正厂竞争者数据汇总!A:A&amp;正厂竞争者数据汇总!D:D,0))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116" s="429"/>
      <c r="R116" s="421"/>
      <c r="S116" s="472"/>
      <c r="T116" s="466"/>
      <c r="U116" s="466"/>
      <c r="V116" s="466"/>
      <c r="W116" s="466"/>
    </row>
    <row r="117" s="408" customFormat="1" spans="1:23">
      <c r="A117" s="428" t="s">
        <v>230</v>
      </c>
      <c r="B117" s="421" t="s">
        <v>292</v>
      </c>
      <c r="C117" s="429" t="s">
        <v>233</v>
      </c>
      <c r="D117" s="421" t="s">
        <v>250</v>
      </c>
      <c r="E117" s="430"/>
      <c r="F117" s="430">
        <v>36628.8333333334</v>
      </c>
      <c r="G117" s="430"/>
      <c r="H117" s="430"/>
      <c r="I117" s="450"/>
      <c r="J117" s="451">
        <f t="shared" si="9"/>
        <v>0.0608288810205151</v>
      </c>
      <c r="K117" s="451">
        <v>0.0595559900837156</v>
      </c>
      <c r="L117" s="451">
        <v>0.0631164322339021</v>
      </c>
      <c r="M117" s="452"/>
      <c r="N117" s="451"/>
      <c r="O117" s="430"/>
      <c r="P117" s="531" t="str">
        <f t="array" ref="P117">INDEX(正厂竞争者数据汇总!I:I,MATCH($A$111&amp;B117,正厂竞争者数据汇总!A:A&amp;正厂竞争者数据汇总!D:D,0))</f>
        <v>同时经营多品牌，流量折算比例为Ford:23%,GM:23%,Infiniti:0%,Kia:13%,Mopar:31%,Nissan:10%</v>
      </c>
      <c r="Q117" s="429"/>
      <c r="R117" s="421"/>
      <c r="S117" s="472"/>
      <c r="T117" s="466"/>
      <c r="U117" s="466"/>
      <c r="V117" s="466"/>
      <c r="W117" s="466"/>
    </row>
    <row r="118" s="408" customFormat="1" spans="1:23">
      <c r="A118" s="428" t="s">
        <v>230</v>
      </c>
      <c r="B118" s="421" t="s">
        <v>287</v>
      </c>
      <c r="C118" s="429" t="s">
        <v>233</v>
      </c>
      <c r="D118" s="421" t="s">
        <v>49</v>
      </c>
      <c r="E118" s="430"/>
      <c r="F118" s="430">
        <v>35162.25</v>
      </c>
      <c r="G118" s="430"/>
      <c r="H118" s="430"/>
      <c r="I118" s="450"/>
      <c r="J118" s="451">
        <f t="shared" si="9"/>
        <v>0.0583933510029968</v>
      </c>
      <c r="K118" s="451">
        <v>0.056702892929364</v>
      </c>
      <c r="L118" s="451">
        <v>0.0557364539020091</v>
      </c>
      <c r="M118" s="452"/>
      <c r="N118" s="451"/>
      <c r="O118" s="430"/>
      <c r="P118" s="531">
        <f t="array" ref="P118">INDEX(正厂竞争者数据汇总!I:I,MATCH($A$111&amp;B118,正厂竞争者数据汇总!A:A&amp;正厂竞争者数据汇总!D:D,0))</f>
        <v>0</v>
      </c>
      <c r="Q118" s="429"/>
      <c r="R118" s="421"/>
      <c r="S118" s="472"/>
      <c r="T118" s="466"/>
      <c r="U118" s="466"/>
      <c r="V118" s="466"/>
      <c r="W118" s="466"/>
    </row>
    <row r="119" s="408" customFormat="1" spans="1:23">
      <c r="A119" s="428" t="s">
        <v>230</v>
      </c>
      <c r="B119" s="421" t="s">
        <v>288</v>
      </c>
      <c r="C119" s="429" t="s">
        <v>441</v>
      </c>
      <c r="D119" s="421" t="s">
        <v>421</v>
      </c>
      <c r="E119" s="430"/>
      <c r="F119" s="430">
        <v>33797.5833333334</v>
      </c>
      <c r="G119" s="430"/>
      <c r="H119" s="430"/>
      <c r="I119" s="450"/>
      <c r="J119" s="451">
        <f t="shared" si="9"/>
        <v>0.0561270722617686</v>
      </c>
      <c r="K119" s="451">
        <v>0.0549733394650282</v>
      </c>
      <c r="L119" s="451">
        <v>0.0541475522925422</v>
      </c>
      <c r="M119" s="452"/>
      <c r="N119" s="451"/>
      <c r="O119" s="430"/>
      <c r="P119" s="531" t="str">
        <f t="array" ref="P119">INDEX(正厂竞争者数据汇总!I:I,MATCH($A$111&amp;B119,正厂竞争者数据汇总!A:A&amp;正厂竞争者数据汇总!D:D,0))</f>
        <v>2022年1月 新加入 CompetitorSites
2022年1月 新加入 MarketingShare</v>
      </c>
      <c r="Q119" s="429"/>
      <c r="R119" s="421"/>
      <c r="S119" s="472"/>
      <c r="T119" s="466"/>
      <c r="U119" s="466"/>
      <c r="V119" s="466"/>
      <c r="W119" s="466"/>
    </row>
    <row r="120" s="408" customFormat="1" spans="1:23">
      <c r="A120" s="428" t="s">
        <v>230</v>
      </c>
      <c r="B120" s="421" t="s">
        <v>286</v>
      </c>
      <c r="C120" s="429" t="s">
        <v>233</v>
      </c>
      <c r="D120" s="421" t="s">
        <v>234</v>
      </c>
      <c r="E120" s="430"/>
      <c r="F120" s="430">
        <v>30203.6046666667</v>
      </c>
      <c r="G120" s="430"/>
      <c r="H120" s="430"/>
      <c r="I120" s="450"/>
      <c r="J120" s="451">
        <f t="shared" si="9"/>
        <v>0.050158612968636</v>
      </c>
      <c r="K120" s="451">
        <v>0.0543263485828882</v>
      </c>
      <c r="L120" s="451">
        <v>0.0581843002079611</v>
      </c>
      <c r="M120" s="452"/>
      <c r="N120" s="451"/>
      <c r="O120" s="430"/>
      <c r="P120" s="531" t="str">
        <f t="array" ref="P120">INDEX(正厂竞争者数据汇总!I:I,MATCH($A$111&amp;B120,正厂竞争者数据汇总!A:A&amp;正厂竞争者数据汇总!D:D,0))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20" s="429"/>
      <c r="R120" s="421"/>
      <c r="S120" s="472"/>
      <c r="T120" s="466"/>
      <c r="U120" s="466"/>
      <c r="V120" s="466"/>
      <c r="W120" s="466"/>
    </row>
    <row r="121" s="408" customFormat="1" spans="1:23">
      <c r="A121" s="428" t="s">
        <v>230</v>
      </c>
      <c r="B121" s="421" t="s">
        <v>289</v>
      </c>
      <c r="C121" s="429" t="s">
        <v>233</v>
      </c>
      <c r="D121" s="421" t="s">
        <v>50</v>
      </c>
      <c r="E121" s="430"/>
      <c r="F121" s="430">
        <v>24491.5833333334</v>
      </c>
      <c r="G121" s="430"/>
      <c r="H121" s="430"/>
      <c r="I121" s="450"/>
      <c r="J121" s="451">
        <f t="shared" si="9"/>
        <v>0.0406727562144767</v>
      </c>
      <c r="K121" s="451">
        <v>0.0416817061603975</v>
      </c>
      <c r="L121" s="451">
        <v>0.0465299691143791</v>
      </c>
      <c r="M121" s="452"/>
      <c r="N121" s="451"/>
      <c r="O121" s="430"/>
      <c r="P121" s="531" t="str">
        <f t="array" ref="P121">INDEX(正厂竞争者数据汇总!I:I,MATCH($A$111&amp;B121,正厂竞争者数据汇总!A:A&amp;正厂竞争者数据汇总!D:D,0))</f>
        <v>2021年11月重开
2021年10月临时关站
2020年10月从PartSites变成Revolution，加入MarketingShare</v>
      </c>
      <c r="Q121" s="429"/>
      <c r="R121" s="421"/>
      <c r="S121" s="472"/>
      <c r="T121" s="466"/>
      <c r="U121" s="466"/>
      <c r="V121" s="466"/>
      <c r="W121" s="466"/>
    </row>
    <row r="122" s="408" customFormat="1" spans="1:23">
      <c r="A122" s="428" t="s">
        <v>230</v>
      </c>
      <c r="B122" s="421" t="s">
        <v>459</v>
      </c>
      <c r="C122" s="429" t="s">
        <v>233</v>
      </c>
      <c r="D122" s="421" t="s">
        <v>419</v>
      </c>
      <c r="E122" s="430"/>
      <c r="F122" s="430">
        <v>10352.7666666667</v>
      </c>
      <c r="G122" s="430"/>
      <c r="H122" s="430"/>
      <c r="I122" s="450"/>
      <c r="J122" s="451">
        <f t="shared" si="9"/>
        <v>0.0171926636611364</v>
      </c>
      <c r="K122" s="451">
        <v>0.0177478204697236</v>
      </c>
      <c r="L122" s="451">
        <v>0.0192982961445655</v>
      </c>
      <c r="M122" s="452"/>
      <c r="N122" s="451"/>
      <c r="O122" s="430"/>
      <c r="P122" s="531" t="str">
        <f t="array" ref="P122">INDEX(正厂竞争者数据汇总!I:I,MATCH($A$111&amp;B122,正厂竞争者数据汇总!A:A&amp;正厂竞争者数据汇总!D:D,0))</f>
        <v>经营多品牌零件，折算比例为：Ford:33%,GM:17%,Hyundai:0%,Infiniti:0%,Kia:17%,Mopar:33%,Subaru:0%</v>
      </c>
      <c r="Q122" s="429"/>
      <c r="R122" s="421"/>
      <c r="S122" s="472"/>
      <c r="T122" s="466"/>
      <c r="U122" s="466"/>
      <c r="V122" s="466"/>
      <c r="W122" s="466"/>
    </row>
    <row r="123" s="408" customFormat="1" spans="1:23">
      <c r="A123" s="428"/>
      <c r="B123" s="421"/>
      <c r="C123" s="439"/>
      <c r="D123" s="421"/>
      <c r="E123" s="421"/>
      <c r="F123" s="430"/>
      <c r="G123" s="430"/>
      <c r="H123" s="430"/>
      <c r="I123" s="453"/>
      <c r="J123" s="430"/>
      <c r="K123" s="430"/>
      <c r="L123" s="430"/>
      <c r="M123" s="451"/>
      <c r="N123" s="451"/>
      <c r="O123" s="430"/>
      <c r="P123" s="531"/>
      <c r="Q123" s="429"/>
      <c r="R123" s="421"/>
      <c r="S123" s="473"/>
      <c r="T123" s="466"/>
      <c r="U123" s="466"/>
      <c r="V123" s="421"/>
      <c r="W123" s="421"/>
    </row>
    <row r="124" s="408" customFormat="1" spans="1:23">
      <c r="A124" s="428"/>
      <c r="B124" s="421"/>
      <c r="C124" s="439"/>
      <c r="D124" s="421"/>
      <c r="E124" s="421"/>
      <c r="F124" s="430">
        <v>602161.879666667</v>
      </c>
      <c r="G124" s="430">
        <v>445410.310833333</v>
      </c>
      <c r="H124" s="430">
        <v>428652.916666666</v>
      </c>
      <c r="I124" s="453">
        <f>(F124/G124)-1</f>
        <v>0.351926224024905</v>
      </c>
      <c r="J124" s="430"/>
      <c r="K124" s="430"/>
      <c r="L124" s="430"/>
      <c r="M124" s="451"/>
      <c r="N124" s="451">
        <f>SUM(N113:N114)</f>
        <v>0</v>
      </c>
      <c r="O124" s="430"/>
      <c r="P124" s="531"/>
      <c r="Q124" s="429"/>
      <c r="R124" s="421"/>
      <c r="S124" s="473"/>
      <c r="T124" s="466"/>
      <c r="U124" s="466"/>
      <c r="V124" s="421"/>
      <c r="W124" s="421"/>
    </row>
    <row r="125" s="408" customFormat="1" spans="1:23">
      <c r="A125" s="428"/>
      <c r="B125" s="421"/>
      <c r="C125" s="485"/>
      <c r="D125" s="421"/>
      <c r="E125" s="430"/>
      <c r="F125" s="451"/>
      <c r="G125" s="451"/>
      <c r="H125" s="451"/>
      <c r="I125" s="453"/>
      <c r="J125" s="451"/>
      <c r="K125" s="451"/>
      <c r="L125" s="451"/>
      <c r="M125" s="451"/>
      <c r="N125" s="451"/>
      <c r="O125" s="451"/>
      <c r="P125" s="531"/>
      <c r="Q125" s="429"/>
      <c r="R125" s="421"/>
      <c r="S125" s="473"/>
      <c r="T125" s="466"/>
      <c r="U125" s="466"/>
      <c r="V125" s="421"/>
      <c r="W125" s="421"/>
    </row>
    <row r="126" s="408" customFormat="1" ht="17.4" spans="1:23">
      <c r="A126" s="418" t="s">
        <v>174</v>
      </c>
      <c r="B126" s="419"/>
      <c r="C126" s="420"/>
      <c r="D126" s="421"/>
      <c r="E126" s="422" t="s">
        <v>202</v>
      </c>
      <c r="F126" s="422"/>
      <c r="G126" s="422"/>
      <c r="H126" s="422"/>
      <c r="I126" s="422"/>
      <c r="J126" s="422"/>
      <c r="K126" s="422"/>
      <c r="L126" s="422"/>
      <c r="M126" s="443"/>
      <c r="N126" s="444"/>
      <c r="O126" s="422"/>
      <c r="P126" s="531"/>
      <c r="Q126" s="465"/>
      <c r="R126" s="424"/>
      <c r="S126" s="473"/>
      <c r="T126" s="467"/>
      <c r="U126" s="467"/>
      <c r="V126" s="467"/>
      <c r="W126" s="467"/>
    </row>
    <row r="127" s="409" customFormat="1" ht="46.8" spans="1:23">
      <c r="A127" s="423" t="s">
        <v>206</v>
      </c>
      <c r="B127" s="424" t="s">
        <v>207</v>
      </c>
      <c r="C127" s="425" t="s">
        <v>447</v>
      </c>
      <c r="D127" s="424" t="s">
        <v>209</v>
      </c>
      <c r="E127" s="426" t="s">
        <v>210</v>
      </c>
      <c r="F127" s="427" t="s">
        <v>448</v>
      </c>
      <c r="G127" s="427" t="s">
        <v>213</v>
      </c>
      <c r="H127" s="427" t="s">
        <v>396</v>
      </c>
      <c r="I127" s="427" t="s">
        <v>386</v>
      </c>
      <c r="J127" s="446" t="s">
        <v>435</v>
      </c>
      <c r="K127" s="446" t="s">
        <v>444</v>
      </c>
      <c r="L127" s="446" t="s">
        <v>449</v>
      </c>
      <c r="M127" s="447" t="s">
        <v>436</v>
      </c>
      <c r="N127" s="448" t="s">
        <v>219</v>
      </c>
      <c r="O127" s="449" t="s">
        <v>220</v>
      </c>
      <c r="P127" s="535" t="s">
        <v>0</v>
      </c>
      <c r="Q127" s="469" t="s">
        <v>222</v>
      </c>
      <c r="R127" s="426" t="s">
        <v>223</v>
      </c>
      <c r="S127" s="470" t="s">
        <v>224</v>
      </c>
      <c r="T127" s="467" t="s">
        <v>225</v>
      </c>
      <c r="U127" s="470" t="s">
        <v>226</v>
      </c>
      <c r="V127" s="467"/>
      <c r="W127" s="467"/>
    </row>
    <row r="128" s="410" customFormat="1" ht="17.4" spans="1:23">
      <c r="A128" s="435" t="s">
        <v>227</v>
      </c>
      <c r="B128" s="435" t="s">
        <v>175</v>
      </c>
      <c r="C128" s="435" t="s">
        <v>441</v>
      </c>
      <c r="D128" s="435" t="s">
        <v>49</v>
      </c>
      <c r="E128" s="436">
        <f>VLOOKUP(B128,正厂竞争者数据汇总!D:H,4,FALSE)</f>
        <v>325311</v>
      </c>
      <c r="F128" s="436">
        <v>235455.75</v>
      </c>
      <c r="G128" s="436">
        <f t="array" ref="G128">INDEX(正厂竞争者数据汇总!$H$2:$H$448,MATCH($A$126&amp;$B128,正厂竞争者数据汇总!$A$2:$A$448&amp;正厂竞争者数据汇总!$D$2:$D$448,0))</f>
        <v>209547.25</v>
      </c>
      <c r="H128" s="436">
        <f t="array" ref="H128">INDEX(正厂竞争者数据汇总!$H$2:$H$448,MATCH($A$126&amp;$B128,正厂竞争者数据汇总!$A$2:$A$448&amp;正厂竞争者数据汇总!$D$2:$D$448,0))</f>
        <v>209547.25</v>
      </c>
      <c r="I128" s="436">
        <f t="array" ref="I128">INDEX(正厂竞争者数据汇总!$H$2:$H$448,MATCH($A$126&amp;$B128,正厂竞争者数据汇总!$A$2:$A$448&amp;正厂竞争者数据汇总!$D$2:$D$448,0))</f>
        <v>209547.25</v>
      </c>
      <c r="J128" s="457">
        <f t="shared" ref="J128:J134" si="10">F128/F$136</f>
        <v>0.431796981188068</v>
      </c>
      <c r="K128" s="457">
        <v>0.441663039372345</v>
      </c>
      <c r="L128" s="457">
        <v>0.390268077636924</v>
      </c>
      <c r="M128" s="456">
        <f>J128-K128</f>
        <v>-0.00986605818427655</v>
      </c>
      <c r="N128" s="457" t="str">
        <f>IFERROR(O128*0.5/$F$128,"")</f>
        <v/>
      </c>
      <c r="O128" s="436" t="s">
        <v>180</v>
      </c>
      <c r="P128" s="531">
        <f t="array" ref="P128">INDEX(正厂竞争者数据汇总!I:I,MATCH($A$126&amp;B128,正厂竞争者数据汇总!A:A&amp;正厂竞争者数据汇总!D:D,0))</f>
        <v>0</v>
      </c>
      <c r="Q128" s="434" t="s">
        <v>318</v>
      </c>
      <c r="R128" s="435" t="s">
        <v>229</v>
      </c>
      <c r="S128" s="476"/>
      <c r="T128" s="477"/>
      <c r="U128" s="477"/>
      <c r="V128" s="435"/>
      <c r="W128" s="435"/>
    </row>
    <row r="129" s="408" customFormat="1" spans="1:23">
      <c r="A129" s="428" t="s">
        <v>230</v>
      </c>
      <c r="B129" s="421" t="s">
        <v>320</v>
      </c>
      <c r="C129" s="429" t="s">
        <v>441</v>
      </c>
      <c r="D129" s="421" t="s">
        <v>58</v>
      </c>
      <c r="E129" s="430"/>
      <c r="F129" s="430">
        <v>92446.4166666668</v>
      </c>
      <c r="G129" s="430"/>
      <c r="H129" s="430"/>
      <c r="I129" s="450"/>
      <c r="J129" s="451">
        <f t="shared" si="10"/>
        <v>0.169535395242295</v>
      </c>
      <c r="K129" s="451">
        <v>0.148078788115558</v>
      </c>
      <c r="L129" s="451">
        <v>0.135016154423793</v>
      </c>
      <c r="M129" s="452"/>
      <c r="N129" s="451"/>
      <c r="O129" s="430"/>
      <c r="P129" s="531">
        <f t="array" ref="P129">INDEX(正厂竞争者数据汇总!I:I,MATCH($A$126&amp;B129,正厂竞争者数据汇总!A:A&amp;正厂竞争者数据汇总!D:D,0))</f>
        <v>0</v>
      </c>
      <c r="Q129" s="429"/>
      <c r="R129" s="421"/>
      <c r="S129" s="472"/>
      <c r="T129" s="466"/>
      <c r="U129" s="466"/>
      <c r="V129" s="466"/>
      <c r="W129" s="466"/>
    </row>
    <row r="130" s="408" customFormat="1" spans="1:23">
      <c r="A130" s="428" t="s">
        <v>230</v>
      </c>
      <c r="B130" s="421" t="s">
        <v>319</v>
      </c>
      <c r="C130" s="429" t="s">
        <v>233</v>
      </c>
      <c r="D130" s="421" t="s">
        <v>234</v>
      </c>
      <c r="E130" s="430"/>
      <c r="F130" s="430">
        <v>82109.4833333333</v>
      </c>
      <c r="G130" s="430"/>
      <c r="H130" s="430"/>
      <c r="I130" s="450"/>
      <c r="J130" s="451">
        <f t="shared" si="10"/>
        <v>0.150578726704467</v>
      </c>
      <c r="K130" s="451">
        <v>0.151374181958006</v>
      </c>
      <c r="L130" s="451">
        <v>0.145585340035424</v>
      </c>
      <c r="M130" s="452"/>
      <c r="N130" s="451"/>
      <c r="O130" s="430"/>
      <c r="P130" s="531" t="str">
        <f t="array" ref="P130">INDEX(正厂竞争者数据汇总!I:I,MATCH($A$126&amp;B130,正厂竞争者数据汇总!A:A&amp;正厂竞争者数据汇总!D:D,0))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30" s="429"/>
      <c r="R130" s="421"/>
      <c r="S130" s="472"/>
      <c r="T130" s="466"/>
      <c r="U130" s="466"/>
      <c r="V130" s="466"/>
      <c r="W130" s="466"/>
    </row>
    <row r="131" s="408" customFormat="1" spans="1:23">
      <c r="A131" s="428" t="s">
        <v>230</v>
      </c>
      <c r="B131" s="421" t="s">
        <v>323</v>
      </c>
      <c r="C131" s="429" t="s">
        <v>441</v>
      </c>
      <c r="D131" s="421" t="s">
        <v>411</v>
      </c>
      <c r="E131" s="430"/>
      <c r="F131" s="430">
        <v>42839.3333333334</v>
      </c>
      <c r="G131" s="430"/>
      <c r="H131" s="430"/>
      <c r="I131" s="450"/>
      <c r="J131" s="451">
        <f t="shared" si="10"/>
        <v>0.078562085697388</v>
      </c>
      <c r="K131" s="451">
        <v>0.0789828706672042</v>
      </c>
      <c r="L131" s="451">
        <v>0.0798440222145012</v>
      </c>
      <c r="M131" s="452"/>
      <c r="N131" s="451"/>
      <c r="O131" s="430"/>
      <c r="P131" s="531" t="str">
        <f t="array" ref="P131">INDEX(正厂竞争者数据汇总!I:I,MATCH($A$126&amp;B131,正厂竞争者数据汇总!A:A&amp;正厂竞争者数据汇总!D:D,0))</f>
        <v>2022年1月 新加入 CompetitorSites
2022年1月 新加入 MarketingShare</v>
      </c>
      <c r="Q131" s="429"/>
      <c r="R131" s="421"/>
      <c r="S131" s="472"/>
      <c r="T131" s="466"/>
      <c r="U131" s="466"/>
      <c r="V131" s="466"/>
      <c r="W131" s="466"/>
    </row>
    <row r="132" s="408" customFormat="1" spans="1:23">
      <c r="A132" s="428" t="s">
        <v>238</v>
      </c>
      <c r="B132" s="421" t="s">
        <v>322</v>
      </c>
      <c r="C132" s="429" t="s">
        <v>441</v>
      </c>
      <c r="D132" s="421" t="s">
        <v>250</v>
      </c>
      <c r="E132" s="430"/>
      <c r="F132" s="430">
        <v>38525</v>
      </c>
      <c r="G132" s="430"/>
      <c r="H132" s="430"/>
      <c r="I132" s="450"/>
      <c r="J132" s="451">
        <f t="shared" si="10"/>
        <v>0.0706501272543581</v>
      </c>
      <c r="K132" s="451">
        <v>0.0738792114627659</v>
      </c>
      <c r="L132" s="451">
        <v>0.0904548520171655</v>
      </c>
      <c r="M132" s="452"/>
      <c r="N132" s="451"/>
      <c r="O132" s="430"/>
      <c r="P132" s="531">
        <f t="array" ref="P132">INDEX(正厂竞争者数据汇总!I:I,MATCH($A$126&amp;B132,正厂竞争者数据汇总!A:A&amp;正厂竞争者数据汇总!D:D,0))</f>
        <v>0</v>
      </c>
      <c r="Q132" s="429"/>
      <c r="R132" s="421"/>
      <c r="S132" s="472"/>
      <c r="T132" s="466"/>
      <c r="U132" s="466"/>
      <c r="V132" s="466"/>
      <c r="W132" s="466"/>
    </row>
    <row r="133" s="408" customFormat="1" spans="1:23">
      <c r="A133" s="428" t="s">
        <v>230</v>
      </c>
      <c r="B133" s="421" t="s">
        <v>321</v>
      </c>
      <c r="C133" s="429" t="s">
        <v>441</v>
      </c>
      <c r="D133" s="421" t="s">
        <v>57</v>
      </c>
      <c r="E133" s="430"/>
      <c r="F133" s="430">
        <v>37830.2691666667</v>
      </c>
      <c r="G133" s="430"/>
      <c r="H133" s="430"/>
      <c r="I133" s="450"/>
      <c r="J133" s="451">
        <f t="shared" si="10"/>
        <v>0.0693760760724627</v>
      </c>
      <c r="K133" s="451">
        <v>0.0739055888087126</v>
      </c>
      <c r="L133" s="451">
        <v>0.108944381177888</v>
      </c>
      <c r="M133" s="452"/>
      <c r="N133" s="451"/>
      <c r="O133" s="430"/>
      <c r="P133" s="531" t="str">
        <f t="array" ref="P133">INDEX(正厂竞争者数据汇总!I:I,MATCH($A$126&amp;B133,正厂竞争者数据汇总!A:A&amp;正厂竞争者数据汇总!D:D,0))</f>
        <v>同时经营honda/acura，折算比例：acura75%，honda25%</v>
      </c>
      <c r="Q133" s="429"/>
      <c r="R133" s="421"/>
      <c r="S133" s="472"/>
      <c r="T133" s="466"/>
      <c r="U133" s="466"/>
      <c r="V133" s="466"/>
      <c r="W133" s="466"/>
    </row>
    <row r="134" s="408" customFormat="1" spans="1:23">
      <c r="A134" s="428" t="s">
        <v>230</v>
      </c>
      <c r="B134" s="421" t="s">
        <v>439</v>
      </c>
      <c r="C134" s="429" t="s">
        <v>441</v>
      </c>
      <c r="D134" s="421" t="s">
        <v>460</v>
      </c>
      <c r="E134" s="430"/>
      <c r="F134" s="430">
        <v>16086.4666666667</v>
      </c>
      <c r="G134" s="430"/>
      <c r="H134" s="430"/>
      <c r="I134" s="450"/>
      <c r="J134" s="451">
        <f t="shared" si="10"/>
        <v>0.0295006078409602</v>
      </c>
      <c r="K134" s="451">
        <v>0.0321163196154083</v>
      </c>
      <c r="L134" s="451">
        <v>0.0498871724943046</v>
      </c>
      <c r="M134" s="452"/>
      <c r="N134" s="451"/>
      <c r="O134" s="430"/>
      <c r="P134" s="531" t="str">
        <f t="array" ref="P134">INDEX(正厂竞争者数据汇总!I:I,MATCH($A$126&amp;B134,正厂竞争者数据汇总!A:A&amp;正厂竞争者数据汇总!D:D,0))</f>
        <v>同时经营honda/acura，折算比例：acura:80%,honda:20%</v>
      </c>
      <c r="Q134" s="429"/>
      <c r="R134" s="421"/>
      <c r="S134" s="472"/>
      <c r="T134" s="466"/>
      <c r="U134" s="466"/>
      <c r="V134" s="466"/>
      <c r="W134" s="466"/>
    </row>
    <row r="135" s="408" customFormat="1" spans="1:23">
      <c r="A135" s="428"/>
      <c r="B135" s="438"/>
      <c r="C135" s="429"/>
      <c r="D135" s="421"/>
      <c r="E135" s="430"/>
      <c r="F135" s="486"/>
      <c r="G135" s="486">
        <v>409170.916666667</v>
      </c>
      <c r="H135" s="486"/>
      <c r="I135" s="453"/>
      <c r="J135" s="451"/>
      <c r="K135" s="430"/>
      <c r="L135" s="430"/>
      <c r="M135" s="451"/>
      <c r="N135" s="451"/>
      <c r="O135" s="430"/>
      <c r="P135" s="531"/>
      <c r="Q135" s="429"/>
      <c r="R135" s="421"/>
      <c r="S135" s="473"/>
      <c r="T135" s="466"/>
      <c r="U135" s="466"/>
      <c r="V135" s="421"/>
      <c r="W135" s="421"/>
    </row>
    <row r="136" s="408" customFormat="1" spans="1:23">
      <c r="A136" s="428"/>
      <c r="B136" s="421"/>
      <c r="C136" s="439"/>
      <c r="D136" s="421"/>
      <c r="E136" s="421"/>
      <c r="F136" s="430">
        <v>545292.719166667</v>
      </c>
      <c r="G136" s="430"/>
      <c r="H136" s="430">
        <v>444921.666666667</v>
      </c>
      <c r="I136" s="453" t="e">
        <f>(F136/G136)-1</f>
        <v>#DIV/0!</v>
      </c>
      <c r="J136" s="430"/>
      <c r="K136" s="430"/>
      <c r="L136" s="430"/>
      <c r="M136" s="451"/>
      <c r="N136" s="451">
        <f>SUM(N128:N135)</f>
        <v>0</v>
      </c>
      <c r="O136" s="430"/>
      <c r="P136" s="531"/>
      <c r="Q136" s="429" t="s">
        <v>180</v>
      </c>
      <c r="R136" s="421" t="s">
        <v>180</v>
      </c>
      <c r="S136" s="473"/>
      <c r="T136" s="466"/>
      <c r="U136" s="466"/>
      <c r="V136" s="421"/>
      <c r="W136" s="421"/>
    </row>
    <row r="137" s="408" customFormat="1" spans="1:23">
      <c r="A137" s="428"/>
      <c r="B137" s="421"/>
      <c r="C137" s="439"/>
      <c r="D137" s="421"/>
      <c r="E137" s="430"/>
      <c r="F137" s="430"/>
      <c r="G137" s="430"/>
      <c r="H137" s="430"/>
      <c r="I137" s="453"/>
      <c r="J137" s="430"/>
      <c r="K137" s="430"/>
      <c r="L137" s="430"/>
      <c r="M137" s="451"/>
      <c r="N137" s="459"/>
      <c r="O137" s="430"/>
      <c r="P137" s="531"/>
      <c r="Q137" s="429"/>
      <c r="R137" s="421" t="s">
        <v>180</v>
      </c>
      <c r="S137" s="473"/>
      <c r="T137" s="466"/>
      <c r="U137" s="466"/>
      <c r="V137" s="421"/>
      <c r="W137" s="421"/>
    </row>
    <row r="138" s="408" customFormat="1" ht="17.4" spans="1:23">
      <c r="A138" s="418" t="s">
        <v>168</v>
      </c>
      <c r="B138" s="487"/>
      <c r="C138" s="420"/>
      <c r="D138" s="421"/>
      <c r="E138" s="422" t="s">
        <v>202</v>
      </c>
      <c r="F138" s="422"/>
      <c r="G138" s="422" t="s">
        <v>213</v>
      </c>
      <c r="H138" s="422"/>
      <c r="I138" s="422"/>
      <c r="J138" s="422"/>
      <c r="K138" s="422"/>
      <c r="L138" s="422"/>
      <c r="M138" s="443"/>
      <c r="N138" s="444"/>
      <c r="O138" s="422"/>
      <c r="P138" s="531"/>
      <c r="Q138" s="465"/>
      <c r="R138" s="424"/>
      <c r="S138" s="473"/>
      <c r="T138" s="467"/>
      <c r="U138" s="467"/>
      <c r="V138" s="467"/>
      <c r="W138" s="467"/>
    </row>
    <row r="139" s="409" customFormat="1" ht="46.8" spans="1:23">
      <c r="A139" s="423" t="s">
        <v>206</v>
      </c>
      <c r="B139" s="424" t="s">
        <v>207</v>
      </c>
      <c r="C139" s="425" t="s">
        <v>447</v>
      </c>
      <c r="D139" s="424" t="s">
        <v>209</v>
      </c>
      <c r="E139" s="426" t="s">
        <v>210</v>
      </c>
      <c r="F139" s="427" t="s">
        <v>448</v>
      </c>
      <c r="G139" s="427">
        <v>197584.75</v>
      </c>
      <c r="H139" s="427" t="s">
        <v>396</v>
      </c>
      <c r="I139" s="427" t="s">
        <v>386</v>
      </c>
      <c r="J139" s="446" t="s">
        <v>435</v>
      </c>
      <c r="K139" s="446" t="s">
        <v>444</v>
      </c>
      <c r="L139" s="446" t="s">
        <v>449</v>
      </c>
      <c r="M139" s="447" t="s">
        <v>436</v>
      </c>
      <c r="N139" s="448" t="s">
        <v>219</v>
      </c>
      <c r="O139" s="449" t="s">
        <v>220</v>
      </c>
      <c r="P139" s="535" t="s">
        <v>0</v>
      </c>
      <c r="Q139" s="469" t="s">
        <v>222</v>
      </c>
      <c r="R139" s="426" t="s">
        <v>223</v>
      </c>
      <c r="S139" s="470" t="s">
        <v>224</v>
      </c>
      <c r="T139" s="467" t="s">
        <v>225</v>
      </c>
      <c r="U139" s="470" t="s">
        <v>226</v>
      </c>
      <c r="V139" s="467"/>
      <c r="W139" s="467"/>
    </row>
    <row r="140" s="410" customFormat="1" ht="17.4" spans="1:23">
      <c r="A140" s="432" t="s">
        <v>227</v>
      </c>
      <c r="B140" s="432" t="s">
        <v>169</v>
      </c>
      <c r="C140" s="434" t="s">
        <v>441</v>
      </c>
      <c r="D140" s="435" t="s">
        <v>49</v>
      </c>
      <c r="E140" s="436">
        <f>VLOOKUP(B140,正厂竞争者数据汇总!D:H,4,FALSE)</f>
        <v>0</v>
      </c>
      <c r="F140" s="436">
        <v>243558.25</v>
      </c>
      <c r="G140" s="436">
        <v>39089.5833333333</v>
      </c>
      <c r="H140" s="436">
        <v>201623.666666667</v>
      </c>
      <c r="I140" s="454">
        <f>(F140/G140)-1</f>
        <v>5.23077119863562</v>
      </c>
      <c r="J140" s="457">
        <f t="shared" ref="J140:J149" si="11">F140/F$152</f>
        <v>0.508312278202669</v>
      </c>
      <c r="K140" s="457">
        <v>0.543655173964074</v>
      </c>
      <c r="L140" s="457">
        <v>0.556814817795279</v>
      </c>
      <c r="M140" s="456">
        <f>J140-K144</f>
        <v>0.433425709526339</v>
      </c>
      <c r="N140" s="457" t="str">
        <f>IFERROR(O140*0.5/$F$140,"")</f>
        <v/>
      </c>
      <c r="O140" s="436" t="s">
        <v>180</v>
      </c>
      <c r="P140" s="531">
        <f t="array" ref="P140">INDEX(正厂竞争者数据汇总!I:I,MATCH($A$138&amp;B140,正厂竞争者数据汇总!A:A&amp;正厂竞争者数据汇总!D:D,0))</f>
        <v>0</v>
      </c>
      <c r="Q140" s="434" t="s">
        <v>299</v>
      </c>
      <c r="R140" s="435" t="s">
        <v>229</v>
      </c>
      <c r="S140" s="476"/>
      <c r="T140" s="477"/>
      <c r="U140" s="477"/>
      <c r="V140" s="435"/>
      <c r="W140" s="435"/>
    </row>
    <row r="141" s="408" customFormat="1" spans="1:23">
      <c r="A141" s="428" t="s">
        <v>230</v>
      </c>
      <c r="B141" s="421" t="s">
        <v>307</v>
      </c>
      <c r="C141" s="429" t="s">
        <v>233</v>
      </c>
      <c r="D141" s="421" t="s">
        <v>49</v>
      </c>
      <c r="E141" s="430"/>
      <c r="F141" s="430">
        <v>34915.6833333333</v>
      </c>
      <c r="G141" s="430"/>
      <c r="H141" s="430"/>
      <c r="I141" s="450"/>
      <c r="J141" s="451">
        <f t="shared" si="11"/>
        <v>0.0728699214260639</v>
      </c>
      <c r="K141" s="451">
        <v>0.0617108048300339</v>
      </c>
      <c r="L141" s="451">
        <v>0.0540157046625556</v>
      </c>
      <c r="M141" s="452"/>
      <c r="N141" s="451"/>
      <c r="O141" s="430"/>
      <c r="P141" s="531" t="str">
        <f t="array" ref="P141">INDEX(正厂竞争者数据汇总!I:I,MATCH($A$138&amp;B141,正厂竞争者数据汇总!A:A&amp;正厂竞争者数据汇总!D:D,0))</f>
        <v>2023年2月新增正厂</v>
      </c>
      <c r="Q141" s="429"/>
      <c r="R141" s="421"/>
      <c r="S141" s="472"/>
      <c r="T141" s="466"/>
      <c r="U141" s="466"/>
      <c r="V141" s="466"/>
      <c r="W141" s="466"/>
    </row>
    <row r="142" s="408" customFormat="1" spans="1:23">
      <c r="A142" s="428" t="s">
        <v>243</v>
      </c>
      <c r="B142" s="421" t="s">
        <v>300</v>
      </c>
      <c r="C142" s="429" t="s">
        <v>441</v>
      </c>
      <c r="D142" s="421" t="s">
        <v>302</v>
      </c>
      <c r="E142" s="430"/>
      <c r="F142" s="430">
        <v>31865.4133333333</v>
      </c>
      <c r="G142" s="430"/>
      <c r="H142" s="430"/>
      <c r="I142" s="450"/>
      <c r="J142" s="451">
        <f t="shared" si="11"/>
        <v>0.0665039301577194</v>
      </c>
      <c r="K142" s="451">
        <v>0.0623309354062496</v>
      </c>
      <c r="L142" s="451">
        <v>0.0561167222666104</v>
      </c>
      <c r="M142" s="452"/>
      <c r="N142" s="451"/>
      <c r="O142" s="430"/>
      <c r="P142" s="531" t="str">
        <f t="array" ref="P142">INDEX(正厂竞争者数据汇总!I:I,MATCH($A$138&amp;B142,正厂竞争者数据汇总!A:A&amp;正厂竞争者数据汇总!D:D,0))</f>
        <v>2023年3月新增正厂，202305因流量超过MS5%加入MS计算基准</v>
      </c>
      <c r="Q142" s="429"/>
      <c r="R142" s="421"/>
      <c r="S142" s="472"/>
      <c r="T142" s="466"/>
      <c r="U142" s="466"/>
      <c r="V142" s="466"/>
      <c r="W142" s="466"/>
    </row>
    <row r="143" s="408" customFormat="1" spans="1:23">
      <c r="A143" s="428" t="s">
        <v>230</v>
      </c>
      <c r="B143" s="421" t="s">
        <v>308</v>
      </c>
      <c r="C143" s="429" t="s">
        <v>233</v>
      </c>
      <c r="D143" s="421" t="s">
        <v>426</v>
      </c>
      <c r="E143" s="430"/>
      <c r="F143" s="430">
        <v>30680</v>
      </c>
      <c r="G143" s="430"/>
      <c r="H143" s="430"/>
      <c r="I143" s="450"/>
      <c r="J143" s="451">
        <f t="shared" si="11"/>
        <v>0.0640299423043888</v>
      </c>
      <c r="K143" s="451">
        <v>0.0786881965147043</v>
      </c>
      <c r="L143" s="451">
        <v>0.0896004624074534</v>
      </c>
      <c r="M143" s="452"/>
      <c r="N143" s="451"/>
      <c r="O143" s="430"/>
      <c r="P143" s="531">
        <f t="array" ref="P143">INDEX(正厂竞争者数据汇总!I:I,MATCH($A$138&amp;B143,正厂竞争者数据汇总!A:A&amp;正厂竞争者数据汇总!D:D,0))</f>
        <v>0</v>
      </c>
      <c r="Q143" s="429"/>
      <c r="R143" s="421"/>
      <c r="S143" s="472"/>
      <c r="T143" s="466"/>
      <c r="U143" s="466"/>
      <c r="V143" s="466"/>
      <c r="W143" s="466"/>
    </row>
    <row r="144" s="408" customFormat="1" spans="1:23">
      <c r="A144" s="428" t="s">
        <v>305</v>
      </c>
      <c r="B144" s="421" t="s">
        <v>306</v>
      </c>
      <c r="C144" s="429" t="s">
        <v>233</v>
      </c>
      <c r="D144" s="421" t="s">
        <v>49</v>
      </c>
      <c r="E144" s="430"/>
      <c r="F144" s="430">
        <v>30499.6666666666</v>
      </c>
      <c r="G144" s="430"/>
      <c r="H144" s="430"/>
      <c r="I144" s="450"/>
      <c r="J144" s="451">
        <f t="shared" si="11"/>
        <v>0.0636535820394313</v>
      </c>
      <c r="K144" s="451">
        <v>0.0748865686763307</v>
      </c>
      <c r="L144" s="451">
        <v>0.0715528266017331</v>
      </c>
      <c r="M144" s="452"/>
      <c r="N144" s="451"/>
      <c r="O144" s="430"/>
      <c r="P144" s="531">
        <f t="array" ref="P144">INDEX(正厂竞争者数据汇总!I:I,MATCH($A$138&amp;B144,正厂竞争者数据汇总!A:A&amp;正厂竞争者数据汇总!D:D,0))</f>
        <v>0</v>
      </c>
      <c r="Q144" s="429"/>
      <c r="R144" s="421"/>
      <c r="S144" s="472"/>
      <c r="T144" s="466"/>
      <c r="U144" s="466"/>
      <c r="V144" s="466"/>
      <c r="W144" s="466"/>
    </row>
    <row r="145" s="408" customFormat="1" spans="1:23">
      <c r="A145" s="428" t="s">
        <v>230</v>
      </c>
      <c r="B145" s="421" t="s">
        <v>304</v>
      </c>
      <c r="C145" s="429" t="s">
        <v>233</v>
      </c>
      <c r="D145" s="421" t="s">
        <v>49</v>
      </c>
      <c r="E145" s="430"/>
      <c r="F145" s="430">
        <v>28420.6666666667</v>
      </c>
      <c r="G145" s="430"/>
      <c r="H145" s="430"/>
      <c r="I145" s="450"/>
      <c r="J145" s="451">
        <f t="shared" si="11"/>
        <v>0.0593146560273447</v>
      </c>
      <c r="K145" s="451">
        <v>0.0699135142117321</v>
      </c>
      <c r="L145" s="451">
        <v>0.0760648632667722</v>
      </c>
      <c r="M145" s="452"/>
      <c r="N145" s="451"/>
      <c r="O145" s="430"/>
      <c r="P145" s="531">
        <f t="array" ref="P145">INDEX(正厂竞争者数据汇总!I:I,MATCH($A$138&amp;B145,正厂竞争者数据汇总!A:A&amp;正厂竞争者数据汇总!D:D,0))</f>
        <v>0</v>
      </c>
      <c r="Q145" s="429"/>
      <c r="R145" s="421"/>
      <c r="S145" s="472"/>
      <c r="T145" s="466"/>
      <c r="U145" s="466"/>
      <c r="V145" s="466"/>
      <c r="W145" s="466"/>
    </row>
    <row r="146" s="408" customFormat="1" spans="1:23">
      <c r="A146" s="428" t="s">
        <v>243</v>
      </c>
      <c r="B146" s="421" t="s">
        <v>303</v>
      </c>
      <c r="C146" s="429" t="s">
        <v>233</v>
      </c>
      <c r="D146" s="421" t="s">
        <v>49</v>
      </c>
      <c r="E146" s="430"/>
      <c r="F146" s="430">
        <v>25351.6666666667</v>
      </c>
      <c r="G146" s="430"/>
      <c r="H146" s="430"/>
      <c r="I146" s="450"/>
      <c r="J146" s="451">
        <f t="shared" si="11"/>
        <v>0.0529095747714069</v>
      </c>
      <c r="K146" s="451"/>
      <c r="L146" s="451"/>
      <c r="M146" s="452"/>
      <c r="N146" s="451"/>
      <c r="O146" s="430"/>
      <c r="P146" s="531" t="str">
        <f t="array" ref="P146">INDEX(正厂竞争者数据汇总!I:I,MATCH($A$138&amp;B146,正厂竞争者数据汇总!A:A&amp;正厂竞争者数据汇总!D:D,0))</f>
        <v>2023年3月新增正厂，202306因流量超过MS5%加入MS计算基准</v>
      </c>
      <c r="Q146" s="429"/>
      <c r="R146" s="421"/>
      <c r="S146" s="472"/>
      <c r="T146" s="466"/>
      <c r="U146" s="466"/>
      <c r="V146" s="466"/>
      <c r="W146" s="466"/>
    </row>
    <row r="147" s="408" customFormat="1" spans="1:23">
      <c r="A147" s="428" t="s">
        <v>230</v>
      </c>
      <c r="B147" s="421" t="s">
        <v>309</v>
      </c>
      <c r="C147" s="429" t="s">
        <v>233</v>
      </c>
      <c r="D147" s="421" t="s">
        <v>266</v>
      </c>
      <c r="E147" s="430"/>
      <c r="F147" s="430">
        <v>24655.4</v>
      </c>
      <c r="G147" s="430"/>
      <c r="H147" s="430"/>
      <c r="I147" s="450"/>
      <c r="J147" s="451">
        <f t="shared" si="11"/>
        <v>0.0514564484840817</v>
      </c>
      <c r="K147" s="451">
        <v>0.052852178944172</v>
      </c>
      <c r="L147" s="451">
        <v>0.0423055723298961</v>
      </c>
      <c r="M147" s="452"/>
      <c r="N147" s="451"/>
      <c r="O147" s="430"/>
      <c r="P147" s="531" t="str">
        <f t="array" ref="P147">INDEX(正厂竞争者数据汇总!I:I,MATCH($A$138&amp;B147,正厂竞争者数据汇总!A:A&amp;正厂竞争者数据汇总!D:D,0))</f>
        <v>同时经营多品牌网站零件，折算比例为：toyota：33%，lexus：42%，subaru:25%</v>
      </c>
      <c r="Q147" s="429"/>
      <c r="R147" s="421"/>
      <c r="S147" s="472"/>
      <c r="T147" s="466"/>
      <c r="U147" s="466"/>
      <c r="V147" s="466"/>
      <c r="W147" s="466"/>
    </row>
    <row r="148" s="408" customFormat="1" spans="1:23">
      <c r="A148" s="428" t="s">
        <v>243</v>
      </c>
      <c r="B148" s="421" t="s">
        <v>461</v>
      </c>
      <c r="C148" s="429" t="s">
        <v>441</v>
      </c>
      <c r="D148" s="421" t="s">
        <v>49</v>
      </c>
      <c r="E148" s="430"/>
      <c r="F148" s="430">
        <v>17099</v>
      </c>
      <c r="G148" s="430"/>
      <c r="H148" s="430"/>
      <c r="I148" s="450"/>
      <c r="J148" s="451">
        <f t="shared" si="11"/>
        <v>0.0356860490046527</v>
      </c>
      <c r="K148" s="451">
        <v>0.0272274731936779</v>
      </c>
      <c r="L148" s="451">
        <v>0.0246507699628032</v>
      </c>
      <c r="M148" s="452"/>
      <c r="N148" s="451"/>
      <c r="O148" s="430"/>
      <c r="P148" s="531" t="str">
        <f t="array" ref="P148">INDEX(正厂竞争者数据汇总!I:I,MATCH($A$138&amp;B148,正厂竞争者数据汇总!A:A&amp;正厂竞争者数据汇总!D:D,0))</f>
        <v>2023年3月新增正厂</v>
      </c>
      <c r="Q148" s="429"/>
      <c r="R148" s="421"/>
      <c r="S148" s="472"/>
      <c r="T148" s="466"/>
      <c r="U148" s="466"/>
      <c r="V148" s="466"/>
      <c r="W148" s="466"/>
    </row>
    <row r="149" s="408" customFormat="1" spans="1:23">
      <c r="A149" s="428" t="s">
        <v>243</v>
      </c>
      <c r="B149" s="421" t="s">
        <v>462</v>
      </c>
      <c r="C149" s="429" t="s">
        <v>441</v>
      </c>
      <c r="D149" s="421" t="s">
        <v>420</v>
      </c>
      <c r="E149" s="430"/>
      <c r="F149" s="430">
        <v>12105.0833333333</v>
      </c>
      <c r="G149" s="430"/>
      <c r="H149" s="430"/>
      <c r="I149" s="450"/>
      <c r="J149" s="451">
        <f t="shared" si="11"/>
        <v>0.0252636175822409</v>
      </c>
      <c r="K149" s="451">
        <v>0.0287351542590259</v>
      </c>
      <c r="L149" s="451">
        <v>0.0288782607068973</v>
      </c>
      <c r="M149" s="452"/>
      <c r="N149" s="451"/>
      <c r="O149" s="430"/>
      <c r="P149" s="531" t="str">
        <f t="array" ref="P149">INDEX(正厂竞争者数据汇总!I:I,MATCH($A$138&amp;B149,正厂竞争者数据汇总!A:A&amp;正厂竞争者数据汇总!D:D,0))</f>
        <v>2023年2月新增正厂</v>
      </c>
      <c r="Q149" s="429"/>
      <c r="R149" s="421"/>
      <c r="S149" s="472"/>
      <c r="T149" s="466"/>
      <c r="U149" s="466"/>
      <c r="V149" s="466"/>
      <c r="W149" s="466"/>
    </row>
    <row r="151" s="408" customFormat="1" spans="1:23">
      <c r="A151" s="440"/>
      <c r="B151" s="431"/>
      <c r="C151" s="429"/>
      <c r="D151" s="421"/>
      <c r="E151" s="430"/>
      <c r="F151" s="430"/>
      <c r="G151" s="430">
        <v>259436.916666667</v>
      </c>
      <c r="H151" s="430"/>
      <c r="I151" s="453"/>
      <c r="J151" s="451"/>
      <c r="K151" s="451"/>
      <c r="L151" s="451"/>
      <c r="M151" s="451"/>
      <c r="N151" s="451"/>
      <c r="O151" s="430"/>
      <c r="P151" s="531"/>
      <c r="Q151" s="429"/>
      <c r="R151" s="421"/>
      <c r="S151" s="473"/>
      <c r="T151" s="466"/>
      <c r="U151" s="466"/>
      <c r="V151" s="421"/>
      <c r="W151" s="421"/>
    </row>
    <row r="152" s="408" customFormat="1" spans="1:23">
      <c r="A152" s="428"/>
      <c r="B152" s="431"/>
      <c r="C152" s="439"/>
      <c r="D152" s="421"/>
      <c r="E152" s="430"/>
      <c r="F152" s="430">
        <v>479150.83</v>
      </c>
      <c r="G152" s="430"/>
      <c r="H152" s="430">
        <v>254943.25</v>
      </c>
      <c r="I152" s="453" t="e">
        <f>(F152/G152)-1</f>
        <v>#DIV/0!</v>
      </c>
      <c r="J152" s="430"/>
      <c r="K152" s="430"/>
      <c r="L152" s="430"/>
      <c r="M152" s="451"/>
      <c r="N152" s="451">
        <f>SUM(N140:N143)</f>
        <v>0</v>
      </c>
      <c r="O152" s="430"/>
      <c r="P152" s="531"/>
      <c r="Q152" s="429"/>
      <c r="R152" s="421"/>
      <c r="S152" s="473"/>
      <c r="T152" s="466"/>
      <c r="U152" s="466"/>
      <c r="V152" s="421"/>
      <c r="W152" s="421"/>
    </row>
    <row r="153" s="408" customFormat="1" spans="1:23">
      <c r="A153" s="428"/>
      <c r="B153" s="421"/>
      <c r="C153" s="439"/>
      <c r="D153" s="421"/>
      <c r="E153" s="430"/>
      <c r="F153" s="451"/>
      <c r="G153" s="451"/>
      <c r="H153" s="451"/>
      <c r="I153" s="453"/>
      <c r="J153" s="451"/>
      <c r="K153" s="451"/>
      <c r="L153" s="451"/>
      <c r="M153" s="451"/>
      <c r="N153" s="451"/>
      <c r="O153" s="451"/>
      <c r="P153" s="531"/>
      <c r="Q153" s="429"/>
      <c r="R153" s="421"/>
      <c r="S153" s="473"/>
      <c r="T153" s="466"/>
      <c r="U153" s="466"/>
      <c r="V153" s="421"/>
      <c r="W153" s="421"/>
    </row>
    <row r="154" s="408" customFormat="1" ht="17.4" spans="1:23">
      <c r="A154" s="418" t="s">
        <v>177</v>
      </c>
      <c r="B154" s="419"/>
      <c r="C154" s="420"/>
      <c r="D154" s="421"/>
      <c r="E154" s="422" t="s">
        <v>202</v>
      </c>
      <c r="F154" s="422"/>
      <c r="G154" s="422" t="s">
        <v>213</v>
      </c>
      <c r="H154" s="422"/>
      <c r="I154" s="422"/>
      <c r="J154" s="422"/>
      <c r="K154" s="422"/>
      <c r="L154" s="422"/>
      <c r="M154" s="443"/>
      <c r="N154" s="444"/>
      <c r="O154" s="422"/>
      <c r="P154" s="531"/>
      <c r="Q154" s="465"/>
      <c r="R154" s="424"/>
      <c r="S154" s="473"/>
      <c r="T154" s="467"/>
      <c r="U154" s="467"/>
      <c r="V154" s="467"/>
      <c r="W154" s="467"/>
    </row>
    <row r="155" s="409" customFormat="1" ht="46.8" spans="1:23">
      <c r="A155" s="423" t="s">
        <v>206</v>
      </c>
      <c r="B155" s="424" t="s">
        <v>207</v>
      </c>
      <c r="C155" s="425" t="s">
        <v>447</v>
      </c>
      <c r="D155" s="424" t="s">
        <v>209</v>
      </c>
      <c r="E155" s="426" t="s">
        <v>210</v>
      </c>
      <c r="F155" s="427" t="s">
        <v>448</v>
      </c>
      <c r="G155" s="427">
        <v>93920.4166666667</v>
      </c>
      <c r="H155" s="427" t="s">
        <v>396</v>
      </c>
      <c r="I155" s="427" t="s">
        <v>386</v>
      </c>
      <c r="J155" s="446" t="s">
        <v>435</v>
      </c>
      <c r="K155" s="446" t="s">
        <v>444</v>
      </c>
      <c r="L155" s="446" t="s">
        <v>449</v>
      </c>
      <c r="M155" s="447" t="s">
        <v>436</v>
      </c>
      <c r="N155" s="448" t="s">
        <v>219</v>
      </c>
      <c r="O155" s="449" t="s">
        <v>220</v>
      </c>
      <c r="P155" s="535" t="s">
        <v>0</v>
      </c>
      <c r="Q155" s="469" t="s">
        <v>222</v>
      </c>
      <c r="R155" s="426" t="s">
        <v>223</v>
      </c>
      <c r="S155" s="470" t="s">
        <v>224</v>
      </c>
      <c r="T155" s="467" t="s">
        <v>225</v>
      </c>
      <c r="U155" s="470" t="s">
        <v>226</v>
      </c>
      <c r="V155" s="467"/>
      <c r="W155" s="467"/>
    </row>
    <row r="156" s="410" customFormat="1" ht="17.4" spans="1:23">
      <c r="A156" s="432" t="s">
        <v>227</v>
      </c>
      <c r="B156" s="432" t="s">
        <v>178</v>
      </c>
      <c r="C156" s="434" t="s">
        <v>441</v>
      </c>
      <c r="D156" s="435" t="s">
        <v>49</v>
      </c>
      <c r="E156" s="436">
        <f>VLOOKUP(B156,正厂竞争者数据汇总!D:H,4,FALSE)</f>
        <v>0</v>
      </c>
      <c r="F156" s="436">
        <v>87294.4466666667</v>
      </c>
      <c r="G156" s="436">
        <v>19160.4166666667</v>
      </c>
      <c r="H156" s="436">
        <v>93560.5000000002</v>
      </c>
      <c r="I156" s="454">
        <f>(F156/G156)-1</f>
        <v>3.55597851473306</v>
      </c>
      <c r="J156" s="457">
        <f t="shared" ref="J156:J164" si="12">F156/F$166</f>
        <v>0.502880828265114</v>
      </c>
      <c r="K156" s="457">
        <v>0.509413657146004</v>
      </c>
      <c r="L156" s="457">
        <v>0.504260999846335</v>
      </c>
      <c r="M156" s="456">
        <f>J156-K164</f>
        <v>0.461048007248116</v>
      </c>
      <c r="N156" s="457" t="str">
        <f>IFERROR(O156*0.5/#REF!,"")</f>
        <v/>
      </c>
      <c r="O156" s="436" t="s">
        <v>180</v>
      </c>
      <c r="P156" s="531">
        <f t="array" ref="P156">INDEX(正厂竞争者数据汇总!I:I,MATCH($A$154&amp;B156,正厂竞争者数据汇总!A:A&amp;正厂竞争者数据汇总!D:D,0))</f>
        <v>0</v>
      </c>
      <c r="Q156" s="434" t="s">
        <v>324</v>
      </c>
      <c r="R156" s="435" t="s">
        <v>229</v>
      </c>
      <c r="S156" s="476"/>
      <c r="T156" s="477"/>
      <c r="U156" s="477"/>
      <c r="V156" s="435"/>
      <c r="W156" s="435"/>
    </row>
    <row r="157" s="408" customFormat="1" spans="1:23">
      <c r="A157" s="428" t="s">
        <v>230</v>
      </c>
      <c r="B157" s="421" t="s">
        <v>329</v>
      </c>
      <c r="C157" s="429" t="s">
        <v>233</v>
      </c>
      <c r="D157" s="421" t="s">
        <v>58</v>
      </c>
      <c r="E157" s="430"/>
      <c r="F157" s="430">
        <v>19652.0833333333</v>
      </c>
      <c r="G157" s="430"/>
      <c r="H157" s="430"/>
      <c r="I157" s="450"/>
      <c r="J157" s="451">
        <f t="shared" si="12"/>
        <v>0.113210591522947</v>
      </c>
      <c r="K157" s="451">
        <v>0.117282393592282</v>
      </c>
      <c r="L157" s="451">
        <v>0.0904440702419371</v>
      </c>
      <c r="M157" s="452"/>
      <c r="N157" s="451"/>
      <c r="O157" s="430"/>
      <c r="P157" s="531">
        <f t="array" ref="P157">INDEX(正厂竞争者数据汇总!I:I,MATCH($A$154&amp;B157,正厂竞争者数据汇总!A:A&amp;正厂竞争者数据汇总!D:D,0))</f>
        <v>0</v>
      </c>
      <c r="Q157" s="429"/>
      <c r="R157" s="421"/>
      <c r="S157" s="472"/>
      <c r="T157" s="466"/>
      <c r="U157" s="466"/>
      <c r="V157" s="466"/>
      <c r="W157" s="466"/>
    </row>
    <row r="158" s="408" customFormat="1" spans="1:23">
      <c r="A158" s="428" t="s">
        <v>230</v>
      </c>
      <c r="B158" s="421" t="s">
        <v>328</v>
      </c>
      <c r="C158" s="429" t="s">
        <v>233</v>
      </c>
      <c r="D158" s="421" t="s">
        <v>58</v>
      </c>
      <c r="E158" s="430"/>
      <c r="F158" s="430">
        <v>19504.5833333334</v>
      </c>
      <c r="G158" s="430"/>
      <c r="H158" s="430"/>
      <c r="I158" s="450"/>
      <c r="J158" s="451">
        <f t="shared" si="12"/>
        <v>0.112360882005316</v>
      </c>
      <c r="K158" s="451">
        <v>0.0977219282162366</v>
      </c>
      <c r="L158" s="451">
        <v>0.0909205381686556</v>
      </c>
      <c r="M158" s="452"/>
      <c r="N158" s="451"/>
      <c r="O158" s="430"/>
      <c r="P158" s="531" t="str">
        <f t="array" ref="P158">INDEX(正厂竞争者数据汇总!I:I,MATCH($A$154&amp;B158,正厂竞争者数据汇总!A:A&amp;正厂竞争者数据汇总!D:D,0))</f>
        <v>2022年1月 新加入 MarketingShare</v>
      </c>
      <c r="Q158" s="429"/>
      <c r="R158" s="421"/>
      <c r="S158" s="472"/>
      <c r="T158" s="466"/>
      <c r="U158" s="466"/>
      <c r="V158" s="466"/>
      <c r="W158" s="466"/>
    </row>
    <row r="159" s="408" customFormat="1" spans="1:23">
      <c r="A159" s="428" t="s">
        <v>230</v>
      </c>
      <c r="B159" s="421" t="s">
        <v>327</v>
      </c>
      <c r="C159" s="429" t="s">
        <v>233</v>
      </c>
      <c r="D159" s="421" t="s">
        <v>234</v>
      </c>
      <c r="E159" s="430"/>
      <c r="F159" s="430">
        <v>16113.688</v>
      </c>
      <c r="G159" s="430"/>
      <c r="H159" s="430"/>
      <c r="I159" s="450"/>
      <c r="J159" s="451">
        <f t="shared" si="12"/>
        <v>0.0928268071712271</v>
      </c>
      <c r="K159" s="451">
        <v>0.089054703820989</v>
      </c>
      <c r="L159" s="451">
        <v>0.0860075295804948</v>
      </c>
      <c r="M159" s="452"/>
      <c r="N159" s="451"/>
      <c r="O159" s="430"/>
      <c r="P159" s="531" t="str">
        <f t="array" ref="P159">INDEX(正厂竞争者数据汇总!I:I,MATCH($A$154&amp;B159,正厂竞争者数据汇总!A:A&amp;正厂竞争者数据汇总!D:D,0))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59" s="429"/>
      <c r="R159" s="421"/>
      <c r="S159" s="472"/>
      <c r="T159" s="466"/>
      <c r="U159" s="466"/>
      <c r="V159" s="466"/>
      <c r="W159" s="466"/>
    </row>
    <row r="160" s="408" customFormat="1" spans="1:23">
      <c r="A160" s="428" t="s">
        <v>230</v>
      </c>
      <c r="B160" s="421" t="s">
        <v>394</v>
      </c>
      <c r="C160" s="429" t="s">
        <v>233</v>
      </c>
      <c r="D160" s="421" t="s">
        <v>420</v>
      </c>
      <c r="E160" s="430"/>
      <c r="F160" s="430">
        <v>10083.2933333333</v>
      </c>
      <c r="G160" s="430"/>
      <c r="H160" s="430"/>
      <c r="I160" s="450"/>
      <c r="J160" s="451">
        <f t="shared" si="12"/>
        <v>0.0580872563688865</v>
      </c>
      <c r="K160" s="451"/>
      <c r="L160" s="451"/>
      <c r="M160" s="452"/>
      <c r="N160" s="451"/>
      <c r="O160" s="430"/>
      <c r="P160" s="531" t="str">
        <f t="array" ref="P160">INDEX(正厂竞争者数据汇总!I:I,MATCH($A$154&amp;B160,正厂竞争者数据汇总!A:A&amp;正厂竞争者数据汇总!D:D,0))</f>
        <v>2023/6，因流量上涨加入MS计算基准</v>
      </c>
      <c r="Q160" s="429"/>
      <c r="R160" s="421"/>
      <c r="S160" s="472"/>
      <c r="T160" s="466"/>
      <c r="U160" s="466"/>
      <c r="V160" s="466"/>
      <c r="W160" s="466"/>
    </row>
    <row r="161" s="408" customFormat="1" spans="1:23">
      <c r="A161" s="428" t="s">
        <v>325</v>
      </c>
      <c r="B161" s="421" t="s">
        <v>326</v>
      </c>
      <c r="C161" s="429" t="s">
        <v>441</v>
      </c>
      <c r="D161" s="421" t="s">
        <v>422</v>
      </c>
      <c r="E161" s="430"/>
      <c r="F161" s="430">
        <v>8959.91666666668</v>
      </c>
      <c r="G161" s="430"/>
      <c r="H161" s="430"/>
      <c r="I161" s="450"/>
      <c r="J161" s="451">
        <f t="shared" si="12"/>
        <v>0.0516157726702249</v>
      </c>
      <c r="K161" s="451">
        <v>0.0557509370401702</v>
      </c>
      <c r="L161" s="451">
        <v>0.0610012335877341</v>
      </c>
      <c r="M161" s="452"/>
      <c r="N161" s="451"/>
      <c r="O161" s="430"/>
      <c r="P161" s="531">
        <f t="array" ref="P161">INDEX(正厂竞争者数据汇总!I:I,MATCH($A$154&amp;B161,正厂竞争者数据汇总!A:A&amp;正厂竞争者数据汇总!D:D,0))</f>
        <v>0</v>
      </c>
      <c r="Q161" s="429"/>
      <c r="R161" s="421"/>
      <c r="S161" s="472"/>
      <c r="T161" s="466"/>
      <c r="U161" s="466"/>
      <c r="V161" s="466"/>
      <c r="W161" s="466"/>
    </row>
    <row r="162" s="408" customFormat="1" spans="1:23">
      <c r="A162" s="428" t="s">
        <v>230</v>
      </c>
      <c r="B162" s="421" t="s">
        <v>407</v>
      </c>
      <c r="C162" s="429" t="s">
        <v>233</v>
      </c>
      <c r="D162" s="421" t="s">
        <v>417</v>
      </c>
      <c r="E162" s="430"/>
      <c r="F162" s="430">
        <v>7254.30666666668</v>
      </c>
      <c r="G162" s="430"/>
      <c r="H162" s="430"/>
      <c r="I162" s="450"/>
      <c r="J162" s="451">
        <f t="shared" si="12"/>
        <v>0.0417901926677254</v>
      </c>
      <c r="K162" s="451">
        <v>0.0704518664502665</v>
      </c>
      <c r="L162" s="451">
        <v>0.102623614881593</v>
      </c>
      <c r="M162" s="452"/>
      <c r="N162" s="451"/>
      <c r="O162" s="430"/>
      <c r="P162" s="531" t="str">
        <f t="array" ref="P162">INDEX(正厂竞争者数据汇总!I:I,MATCH($A$154&amp;B162,正厂竞争者数据汇总!A:A&amp;正厂竞争者数据汇总!D:D,0))</f>
        <v>202112新增竞争者</v>
      </c>
      <c r="Q162" s="429"/>
      <c r="R162" s="421"/>
      <c r="S162" s="472"/>
      <c r="T162" s="466"/>
      <c r="U162" s="466"/>
      <c r="V162" s="466"/>
      <c r="W162" s="466"/>
    </row>
    <row r="163" s="408" customFormat="1" spans="1:23">
      <c r="A163" s="428" t="s">
        <v>230</v>
      </c>
      <c r="B163" s="421" t="s">
        <v>463</v>
      </c>
      <c r="C163" s="429" t="s">
        <v>233</v>
      </c>
      <c r="D163" s="421" t="s">
        <v>58</v>
      </c>
      <c r="E163" s="430"/>
      <c r="F163" s="430">
        <v>4726.41666666667</v>
      </c>
      <c r="G163" s="430"/>
      <c r="H163" s="430"/>
      <c r="I163" s="450"/>
      <c r="J163" s="451">
        <f t="shared" si="12"/>
        <v>0.0272276693285572</v>
      </c>
      <c r="K163" s="451">
        <v>0.0184916927170534</v>
      </c>
      <c r="L163" s="451">
        <v>0.0203840769007496</v>
      </c>
      <c r="M163" s="452"/>
      <c r="N163" s="451"/>
      <c r="O163" s="430"/>
      <c r="P163" s="531">
        <f t="array" ref="P163">INDEX(正厂竞争者数据汇总!I:I,MATCH($A$154&amp;B163,正厂竞争者数据汇总!A:A&amp;正厂竞争者数据汇总!D:D,0))</f>
        <v>0</v>
      </c>
      <c r="Q163" s="429"/>
      <c r="R163" s="421"/>
      <c r="S163" s="472"/>
      <c r="T163" s="466"/>
      <c r="U163" s="466"/>
      <c r="V163" s="466"/>
      <c r="W163" s="466"/>
    </row>
    <row r="164" s="408" customFormat="1" spans="1:23">
      <c r="A164" s="428" t="s">
        <v>325</v>
      </c>
      <c r="B164" s="421" t="s">
        <v>442</v>
      </c>
      <c r="C164" s="429" t="s">
        <v>441</v>
      </c>
      <c r="D164" s="421" t="s">
        <v>60</v>
      </c>
      <c r="E164" s="430"/>
      <c r="F164" s="430">
        <v>3593.08333333333</v>
      </c>
      <c r="G164" s="430"/>
      <c r="H164" s="430"/>
      <c r="I164" s="450"/>
      <c r="J164" s="451">
        <f t="shared" si="12"/>
        <v>0.0206988278371458</v>
      </c>
      <c r="K164" s="451">
        <v>0.0418328210169987</v>
      </c>
      <c r="L164" s="451">
        <v>0.0443579367925012</v>
      </c>
      <c r="M164" s="452"/>
      <c r="N164" s="451"/>
      <c r="O164" s="430"/>
      <c r="P164" s="531" t="str">
        <f t="array" ref="P164">INDEX(正厂竞争者数据汇总!I:I,MATCH($A$154&amp;B164,正厂竞争者数据汇总!A:A&amp;正厂竞争者数据汇总!D:D,0))</f>
        <v>202305流量太低，无法正常获取流量</v>
      </c>
      <c r="Q164" s="429"/>
      <c r="R164" s="421"/>
      <c r="S164" s="472"/>
      <c r="T164" s="466"/>
      <c r="U164" s="466"/>
      <c r="V164" s="466"/>
      <c r="W164" s="466"/>
    </row>
    <row r="165" s="408" customFormat="1" spans="1:23">
      <c r="A165" s="428"/>
      <c r="B165" s="431"/>
      <c r="C165" s="429"/>
      <c r="D165" s="421"/>
      <c r="E165" s="430"/>
      <c r="F165" s="430"/>
      <c r="G165" s="430">
        <v>161698.333333333</v>
      </c>
      <c r="H165" s="430"/>
      <c r="I165" s="453"/>
      <c r="J165" s="451"/>
      <c r="K165" s="451"/>
      <c r="L165" s="451"/>
      <c r="M165" s="451"/>
      <c r="N165" s="451"/>
      <c r="O165" s="430"/>
      <c r="P165" s="531"/>
      <c r="Q165" s="429"/>
      <c r="R165" s="421"/>
      <c r="S165" s="473"/>
      <c r="T165" s="466"/>
      <c r="U165" s="466"/>
      <c r="V165" s="421"/>
      <c r="W165" s="421"/>
    </row>
    <row r="166" s="408" customFormat="1" spans="1:23">
      <c r="A166" s="428"/>
      <c r="B166" s="421"/>
      <c r="C166" s="439"/>
      <c r="D166" s="421"/>
      <c r="E166" s="430"/>
      <c r="F166" s="430">
        <v>173588.734666667</v>
      </c>
      <c r="G166" s="430"/>
      <c r="H166" s="430">
        <v>167907.166666667</v>
      </c>
      <c r="I166" s="453" t="e">
        <f>(F166/G166)-1</f>
        <v>#DIV/0!</v>
      </c>
      <c r="J166" s="430"/>
      <c r="K166" s="430"/>
      <c r="L166" s="430"/>
      <c r="M166" s="451"/>
      <c r="N166" s="451">
        <f>SUM(N156:N159)</f>
        <v>0</v>
      </c>
      <c r="O166" s="430"/>
      <c r="P166" s="531"/>
      <c r="Q166" s="493"/>
      <c r="R166" s="421"/>
      <c r="S166" s="473"/>
      <c r="T166" s="466"/>
      <c r="U166" s="466"/>
      <c r="V166" s="421"/>
      <c r="W166" s="421"/>
    </row>
    <row r="167" s="408" customFormat="1" spans="1:23">
      <c r="A167" s="428"/>
      <c r="B167" s="421"/>
      <c r="C167" s="439"/>
      <c r="D167" s="421"/>
      <c r="E167" s="430"/>
      <c r="F167" s="430"/>
      <c r="G167" s="430"/>
      <c r="H167" s="430"/>
      <c r="I167" s="453"/>
      <c r="J167" s="430"/>
      <c r="K167" s="430"/>
      <c r="L167" s="430"/>
      <c r="M167" s="451"/>
      <c r="N167" s="451"/>
      <c r="O167" s="430"/>
      <c r="P167" s="531"/>
      <c r="Q167" s="493"/>
      <c r="R167" s="421"/>
      <c r="S167" s="473"/>
      <c r="T167" s="466"/>
      <c r="U167" s="466"/>
      <c r="V167" s="421"/>
      <c r="W167" s="421"/>
    </row>
    <row r="168" s="408" customFormat="1" ht="17.4" spans="1:23">
      <c r="A168" s="418" t="s">
        <v>191</v>
      </c>
      <c r="B168" s="419"/>
      <c r="C168" s="420"/>
      <c r="D168" s="421"/>
      <c r="E168" s="422" t="s">
        <v>202</v>
      </c>
      <c r="F168" s="422"/>
      <c r="G168" s="422" t="s">
        <v>213</v>
      </c>
      <c r="H168" s="422"/>
      <c r="I168" s="422"/>
      <c r="J168" s="422"/>
      <c r="K168" s="422"/>
      <c r="L168" s="422"/>
      <c r="M168" s="443"/>
      <c r="N168" s="422"/>
      <c r="O168" s="422"/>
      <c r="P168" s="531"/>
      <c r="Q168" s="465"/>
      <c r="R168" s="424"/>
      <c r="S168" s="473"/>
      <c r="T168" s="467"/>
      <c r="U168" s="467"/>
      <c r="V168" s="467"/>
      <c r="W168" s="467"/>
    </row>
    <row r="169" s="409" customFormat="1" ht="46.8" hidden="1" spans="1:23">
      <c r="A169" s="423" t="s">
        <v>206</v>
      </c>
      <c r="B169" s="424" t="s">
        <v>207</v>
      </c>
      <c r="C169" s="425" t="s">
        <v>447</v>
      </c>
      <c r="D169" s="424" t="s">
        <v>209</v>
      </c>
      <c r="E169" s="426" t="s">
        <v>210</v>
      </c>
      <c r="F169" s="427" t="s">
        <v>448</v>
      </c>
      <c r="G169" s="427">
        <v>116448.583333333</v>
      </c>
      <c r="H169" s="427" t="s">
        <v>396</v>
      </c>
      <c r="I169" s="427" t="s">
        <v>386</v>
      </c>
      <c r="J169" s="446" t="s">
        <v>435</v>
      </c>
      <c r="K169" s="446" t="s">
        <v>444</v>
      </c>
      <c r="L169" s="446" t="s">
        <v>449</v>
      </c>
      <c r="M169" s="447" t="s">
        <v>436</v>
      </c>
      <c r="N169" s="448" t="s">
        <v>219</v>
      </c>
      <c r="O169" s="449" t="s">
        <v>220</v>
      </c>
      <c r="P169" s="535" t="s">
        <v>0</v>
      </c>
      <c r="Q169" s="469" t="s">
        <v>222</v>
      </c>
      <c r="R169" s="426" t="s">
        <v>223</v>
      </c>
      <c r="S169" s="470" t="s">
        <v>224</v>
      </c>
      <c r="T169" s="467" t="s">
        <v>225</v>
      </c>
      <c r="U169" s="470" t="s">
        <v>226</v>
      </c>
      <c r="V169" s="467"/>
      <c r="W169" s="467"/>
    </row>
    <row r="170" s="408" customFormat="1" hidden="1" spans="1:23">
      <c r="A170" s="428" t="s">
        <v>325</v>
      </c>
      <c r="B170" s="421" t="s">
        <v>357</v>
      </c>
      <c r="C170" s="429" t="s">
        <v>441</v>
      </c>
      <c r="D170" s="421" t="s">
        <v>422</v>
      </c>
      <c r="E170" s="430">
        <f>VLOOKUP(B170,正厂竞争者数据汇总!D:H,4,FALSE)</f>
        <v>0</v>
      </c>
      <c r="F170" s="430">
        <v>102296.183333333</v>
      </c>
      <c r="G170" s="430">
        <v>0</v>
      </c>
      <c r="H170" s="430">
        <v>99768.6666666667</v>
      </c>
      <c r="I170" s="453" t="e">
        <f t="shared" ref="I170:I175" si="13">(F170/G170)-1</f>
        <v>#DIV/0!</v>
      </c>
      <c r="J170" s="451" t="e">
        <f>F170/F$175</f>
        <v>#N/A</v>
      </c>
      <c r="K170" s="451" t="e">
        <v>#N/A</v>
      </c>
      <c r="L170" s="451" t="e">
        <v>#N/A</v>
      </c>
      <c r="M170" s="451" t="e">
        <f>J170-K171</f>
        <v>#N/A</v>
      </c>
      <c r="N170" s="459"/>
      <c r="O170" s="430"/>
      <c r="P170" s="531">
        <f>VLOOKUP(B170,正厂竞争者数据汇总!D:M,6,FALSE)</f>
        <v>0</v>
      </c>
      <c r="Q170" s="429" t="s">
        <v>180</v>
      </c>
      <c r="R170" s="421" t="s">
        <v>180</v>
      </c>
      <c r="S170" s="473">
        <f>VLOOKUP(B170,正厂竞争者数据汇总!$D$2:$CL$243,25,FALSE)</f>
        <v>129482</v>
      </c>
      <c r="T170" s="466"/>
      <c r="U170" s="466"/>
      <c r="V170" s="421"/>
      <c r="W170" s="421"/>
    </row>
    <row r="171" s="408" customFormat="1" hidden="1" spans="1:23">
      <c r="A171" s="428" t="s">
        <v>230</v>
      </c>
      <c r="B171" s="421" t="s">
        <v>360</v>
      </c>
      <c r="C171" s="429" t="e">
        <v>#N/A</v>
      </c>
      <c r="D171" s="421" t="e">
        <v>#N/A</v>
      </c>
      <c r="E171" s="430">
        <f>VLOOKUP(B171,正厂竞争者数据汇总!D:H,4,FALSE)</f>
        <v>0</v>
      </c>
      <c r="F171" s="430" t="e">
        <v>#N/A</v>
      </c>
      <c r="G171" s="430">
        <v>207722.25</v>
      </c>
      <c r="H171" s="430">
        <v>0</v>
      </c>
      <c r="I171" s="453"/>
      <c r="J171" s="451"/>
      <c r="K171" s="451"/>
      <c r="L171" s="451"/>
      <c r="M171" s="451"/>
      <c r="N171" s="459"/>
      <c r="O171" s="430"/>
      <c r="P171" s="531" t="str">
        <f>VLOOKUP(B171,正厂竞争者数据汇总!D:M,6,FALSE)</f>
        <v>2023年12月新增</v>
      </c>
      <c r="Q171" s="429" t="s">
        <v>180</v>
      </c>
      <c r="R171" s="421" t="s">
        <v>180</v>
      </c>
      <c r="S171" s="473" t="e">
        <f>VLOOKUP(B171,正厂竞争者数据汇总!$D$2:$CL$243,25,FALSE)</f>
        <v>#N/A</v>
      </c>
      <c r="T171" s="466"/>
      <c r="U171" s="466"/>
      <c r="V171" s="421"/>
      <c r="W171" s="421"/>
    </row>
    <row r="172" s="408" customFormat="1" ht="17.4" hidden="1" spans="1:23">
      <c r="A172" s="428" t="s">
        <v>464</v>
      </c>
      <c r="B172" s="431" t="s">
        <v>465</v>
      </c>
      <c r="C172" s="429" t="s">
        <v>441</v>
      </c>
      <c r="D172" s="421" t="s">
        <v>234</v>
      </c>
      <c r="E172" s="430">
        <f>VLOOKUP(B172,正厂竞争者数据汇总!D:H,4,FALSE)</f>
        <v>0</v>
      </c>
      <c r="F172" s="430">
        <v>254724</v>
      </c>
      <c r="G172" s="430">
        <v>14627</v>
      </c>
      <c r="H172" s="430">
        <v>199184.666666667</v>
      </c>
      <c r="I172" s="453"/>
      <c r="J172" s="451"/>
      <c r="K172" s="451"/>
      <c r="L172" s="451"/>
      <c r="M172" s="451"/>
      <c r="N172" s="459"/>
      <c r="O172" s="430"/>
      <c r="P172" s="531">
        <f>VLOOKUP(B172,正厂竞争者数据汇总!D:M,6,FALSE)</f>
        <v>0</v>
      </c>
      <c r="Q172" s="429" t="s">
        <v>180</v>
      </c>
      <c r="R172" s="421" t="s">
        <v>180</v>
      </c>
      <c r="S172" s="473">
        <f>VLOOKUP(B172,正厂竞争者数据汇总!$D$2:$CL$243,25,FALSE)</f>
        <v>181727</v>
      </c>
      <c r="T172" s="466"/>
      <c r="U172" s="466"/>
      <c r="V172" s="421"/>
      <c r="W172" s="421"/>
    </row>
    <row r="173" s="408" customFormat="1" hidden="1" spans="1:23">
      <c r="A173" s="428" t="s">
        <v>325</v>
      </c>
      <c r="B173" s="438" t="s">
        <v>362</v>
      </c>
      <c r="C173" s="429" t="s">
        <v>441</v>
      </c>
      <c r="D173" s="421" t="s">
        <v>49</v>
      </c>
      <c r="E173" s="430">
        <f>VLOOKUP(B172,正厂竞争者数据汇总!D:H,4,FALSE)</f>
        <v>0</v>
      </c>
      <c r="F173" s="430">
        <v>10648.7466666667</v>
      </c>
      <c r="G173" s="430"/>
      <c r="H173" s="430">
        <v>18048.25</v>
      </c>
      <c r="I173" s="453" t="e">
        <f t="shared" si="13"/>
        <v>#DIV/0!</v>
      </c>
      <c r="J173" s="451" t="e">
        <f>F173/F$175</f>
        <v>#N/A</v>
      </c>
      <c r="K173" s="451" t="e">
        <v>#N/A</v>
      </c>
      <c r="L173" s="451" t="e">
        <v>#N/A</v>
      </c>
      <c r="M173" s="451" t="e">
        <f>J173-K174</f>
        <v>#N/A</v>
      </c>
      <c r="N173" s="459"/>
      <c r="O173" s="430"/>
      <c r="P173" s="531">
        <f>VLOOKUP(B173,正厂竞争者数据汇总!D:M,6,FALSE)</f>
        <v>0</v>
      </c>
      <c r="Q173" s="429" t="s">
        <v>180</v>
      </c>
      <c r="R173" s="421" t="s">
        <v>180</v>
      </c>
      <c r="S173" s="473">
        <f>VLOOKUP(B173,正厂竞争者数据汇总!$D$2:$CL$243,25,FALSE)</f>
        <v>23963</v>
      </c>
      <c r="T173" s="466"/>
      <c r="U173" s="466"/>
      <c r="V173" s="421"/>
      <c r="W173" s="421"/>
    </row>
    <row r="174" s="408" customFormat="1" hidden="1" spans="1:23">
      <c r="A174" s="428"/>
      <c r="B174" s="438"/>
      <c r="C174" s="429"/>
      <c r="D174" s="421"/>
      <c r="E174" s="430"/>
      <c r="F174" s="430"/>
      <c r="G174" s="430">
        <v>131075.583333333</v>
      </c>
      <c r="H174" s="430"/>
      <c r="I174" s="453"/>
      <c r="J174" s="451"/>
      <c r="K174" s="451"/>
      <c r="L174" s="451"/>
      <c r="M174" s="451"/>
      <c r="N174" s="459"/>
      <c r="O174" s="430"/>
      <c r="P174" s="531"/>
      <c r="Q174" s="429"/>
      <c r="R174" s="421"/>
      <c r="S174" s="473"/>
      <c r="T174" s="466"/>
      <c r="U174" s="466"/>
      <c r="V174" s="421"/>
      <c r="W174" s="421"/>
    </row>
    <row r="175" s="408" customFormat="1" hidden="1" spans="1:23">
      <c r="A175" s="428"/>
      <c r="B175" s="421"/>
      <c r="C175" s="439"/>
      <c r="D175" s="421"/>
      <c r="E175" s="421"/>
      <c r="F175" s="496" t="e">
        <v>#N/A</v>
      </c>
      <c r="G175" s="496"/>
      <c r="H175" s="496">
        <v>117816.916666667</v>
      </c>
      <c r="I175" s="453" t="e">
        <f t="shared" si="13"/>
        <v>#N/A</v>
      </c>
      <c r="J175" s="430"/>
      <c r="K175" s="430"/>
      <c r="L175" s="430"/>
      <c r="M175" s="451"/>
      <c r="N175" s="459"/>
      <c r="O175" s="430"/>
      <c r="P175" s="531"/>
      <c r="Q175" s="429"/>
      <c r="R175" s="421"/>
      <c r="S175" s="473"/>
      <c r="T175" s="466"/>
      <c r="U175" s="466"/>
      <c r="V175" s="421"/>
      <c r="W175" s="421"/>
    </row>
    <row r="176" s="408" customFormat="1" spans="1:23">
      <c r="A176" s="428"/>
      <c r="B176" s="438"/>
      <c r="C176" s="439"/>
      <c r="D176" s="421"/>
      <c r="E176" s="430"/>
      <c r="F176" s="430"/>
      <c r="G176" s="430"/>
      <c r="H176" s="430"/>
      <c r="I176" s="453"/>
      <c r="J176" s="430"/>
      <c r="K176" s="430"/>
      <c r="L176" s="430"/>
      <c r="M176" s="451"/>
      <c r="N176" s="459"/>
      <c r="O176" s="430"/>
      <c r="P176" s="531"/>
      <c r="Q176" s="429"/>
      <c r="R176" s="421"/>
      <c r="S176" s="473"/>
      <c r="T176" s="466"/>
      <c r="U176" s="466"/>
      <c r="V176" s="421"/>
      <c r="W176" s="421"/>
    </row>
    <row r="177" s="408" customFormat="1" ht="17.4" spans="1:23">
      <c r="A177" s="418" t="s">
        <v>189</v>
      </c>
      <c r="B177" s="419"/>
      <c r="C177" s="420"/>
      <c r="D177" s="421"/>
      <c r="E177" s="422" t="s">
        <v>202</v>
      </c>
      <c r="F177" s="422"/>
      <c r="G177" s="422" t="s">
        <v>213</v>
      </c>
      <c r="H177" s="422"/>
      <c r="I177" s="422"/>
      <c r="J177" s="422"/>
      <c r="K177" s="422"/>
      <c r="L177" s="422"/>
      <c r="M177" s="443"/>
      <c r="N177" s="422"/>
      <c r="O177" s="422"/>
      <c r="P177" s="531"/>
      <c r="Q177" s="465"/>
      <c r="R177" s="424"/>
      <c r="S177" s="473"/>
      <c r="T177" s="467"/>
      <c r="U177" s="467"/>
      <c r="V177" s="467"/>
      <c r="W177" s="467"/>
    </row>
    <row r="178" s="409" customFormat="1" ht="46.8" hidden="1" spans="1:23">
      <c r="A178" s="423" t="s">
        <v>206</v>
      </c>
      <c r="B178" s="424" t="s">
        <v>207</v>
      </c>
      <c r="C178" s="425" t="s">
        <v>447</v>
      </c>
      <c r="D178" s="424" t="s">
        <v>209</v>
      </c>
      <c r="E178" s="426" t="s">
        <v>210</v>
      </c>
      <c r="F178" s="427" t="s">
        <v>448</v>
      </c>
      <c r="G178" s="427">
        <v>530347.5</v>
      </c>
      <c r="H178" s="427" t="s">
        <v>396</v>
      </c>
      <c r="I178" s="427" t="s">
        <v>386</v>
      </c>
      <c r="J178" s="446" t="s">
        <v>435</v>
      </c>
      <c r="K178" s="446" t="s">
        <v>444</v>
      </c>
      <c r="L178" s="446" t="s">
        <v>449</v>
      </c>
      <c r="M178" s="447" t="s">
        <v>436</v>
      </c>
      <c r="N178" s="448" t="s">
        <v>219</v>
      </c>
      <c r="O178" s="449" t="s">
        <v>220</v>
      </c>
      <c r="P178" s="535" t="s">
        <v>0</v>
      </c>
      <c r="Q178" s="469" t="s">
        <v>222</v>
      </c>
      <c r="R178" s="426" t="s">
        <v>223</v>
      </c>
      <c r="S178" s="470" t="s">
        <v>224</v>
      </c>
      <c r="T178" s="467" t="s">
        <v>225</v>
      </c>
      <c r="U178" s="470" t="s">
        <v>226</v>
      </c>
      <c r="V178" s="467"/>
      <c r="W178" s="467"/>
    </row>
    <row r="179" s="408" customFormat="1" hidden="1" spans="1:23">
      <c r="A179" s="428" t="s">
        <v>325</v>
      </c>
      <c r="B179" s="421" t="s">
        <v>466</v>
      </c>
      <c r="C179" s="429" t="s">
        <v>467</v>
      </c>
      <c r="D179" s="421" t="s">
        <v>234</v>
      </c>
      <c r="E179" s="430">
        <f>VLOOKUP(B179,正厂竞争者数据汇总!D:H,4,FALSE)</f>
        <v>0</v>
      </c>
      <c r="F179" s="430">
        <v>388626.083333333</v>
      </c>
      <c r="G179" s="430">
        <v>164695.833333333</v>
      </c>
      <c r="H179" s="430">
        <v>572372.833333333</v>
      </c>
      <c r="I179" s="453">
        <f t="shared" ref="I179:I182" si="14">(F179/G179)-1</f>
        <v>1.35965947327144</v>
      </c>
      <c r="J179" s="451" t="e">
        <f t="shared" ref="J179:J183" si="15">F179/F$185</f>
        <v>#N/A</v>
      </c>
      <c r="K179" s="451">
        <v>0.733150334641316</v>
      </c>
      <c r="L179" s="451">
        <v>0.683107199248249</v>
      </c>
      <c r="M179" s="451"/>
      <c r="N179" s="459"/>
      <c r="O179" s="430"/>
      <c r="P179" s="536" t="str">
        <f>VLOOKUP(B179,正厂竞争者数据汇总!D:M,6,FALSE)</f>
        <v>官网</v>
      </c>
      <c r="Q179" s="429" t="s">
        <v>180</v>
      </c>
      <c r="R179" s="421" t="s">
        <v>180</v>
      </c>
      <c r="S179" s="473">
        <f>VLOOKUP(B179,正厂竞争者数据汇总!$D$2:$CL$243,25,FALSE)</f>
        <v>387977</v>
      </c>
      <c r="T179" s="466"/>
      <c r="U179" s="466"/>
      <c r="V179" s="421"/>
      <c r="W179" s="421"/>
    </row>
    <row r="180" s="408" customFormat="1" hidden="1" spans="1:23">
      <c r="A180" s="428" t="s">
        <v>230</v>
      </c>
      <c r="B180" s="431" t="s">
        <v>354</v>
      </c>
      <c r="C180" s="429" t="s">
        <v>233</v>
      </c>
      <c r="D180" s="421" t="s">
        <v>411</v>
      </c>
      <c r="E180" s="430">
        <f>VLOOKUP(B180,正厂竞争者数据汇总!D:H,4,FALSE)</f>
        <v>0</v>
      </c>
      <c r="F180" s="430">
        <v>123165.166666667</v>
      </c>
      <c r="G180" s="430">
        <v>23846.5</v>
      </c>
      <c r="H180" s="430">
        <v>201650.166666667</v>
      </c>
      <c r="I180" s="453">
        <f t="shared" si="14"/>
        <v>4.16491588562963</v>
      </c>
      <c r="J180" s="451" t="e">
        <f t="shared" si="15"/>
        <v>#N/A</v>
      </c>
      <c r="K180" s="451">
        <v>0.174638014073527</v>
      </c>
      <c r="L180" s="451">
        <v>0.208626348770079</v>
      </c>
      <c r="M180" s="451" t="e">
        <f t="shared" ref="M180:M182" si="16">J180-K181</f>
        <v>#N/A</v>
      </c>
      <c r="N180" s="459"/>
      <c r="O180" s="430"/>
      <c r="P180" s="531">
        <f>VLOOKUP(B180,正厂竞争者数据汇总!D:M,6,FALSE)</f>
        <v>0</v>
      </c>
      <c r="Q180" s="429" t="s">
        <v>180</v>
      </c>
      <c r="R180" s="421" t="s">
        <v>180</v>
      </c>
      <c r="S180" s="473">
        <f>VLOOKUP(B180,正厂竞争者数据汇总!$D$2:$CL$243,25,FALSE)</f>
        <v>734766</v>
      </c>
      <c r="T180" s="466"/>
      <c r="U180" s="466"/>
      <c r="V180" s="421"/>
      <c r="W180" s="421"/>
    </row>
    <row r="181" s="408" customFormat="1" hidden="1" spans="1:23">
      <c r="A181" s="428" t="s">
        <v>243</v>
      </c>
      <c r="B181" s="421" t="s">
        <v>355</v>
      </c>
      <c r="C181" s="429" t="s">
        <v>454</v>
      </c>
      <c r="D181" s="421" t="s">
        <v>420</v>
      </c>
      <c r="E181" s="430">
        <f>VLOOKUP(B181,正厂竞争者数据汇总!D:H,4,FALSE)</f>
        <v>0</v>
      </c>
      <c r="F181" s="430">
        <v>30471.9166666667</v>
      </c>
      <c r="G181" s="430">
        <v>30859.5833333333</v>
      </c>
      <c r="H181" s="430">
        <v>27170.3333333334</v>
      </c>
      <c r="I181" s="453">
        <f t="shared" si="14"/>
        <v>-0.0125622780605679</v>
      </c>
      <c r="J181" s="451" t="e">
        <f t="shared" si="15"/>
        <v>#N/A</v>
      </c>
      <c r="K181" s="451">
        <v>0.057404129213374</v>
      </c>
      <c r="L181" s="451">
        <v>0.0756198674008695</v>
      </c>
      <c r="M181" s="451" t="e">
        <f t="shared" si="16"/>
        <v>#N/A</v>
      </c>
      <c r="N181" s="459"/>
      <c r="O181" s="430"/>
      <c r="P181" s="531">
        <f>VLOOKUP(B181,正厂竞争者数据汇总!D:M,6,FALSE)</f>
        <v>0</v>
      </c>
      <c r="Q181" s="429" t="s">
        <v>180</v>
      </c>
      <c r="R181" s="421" t="s">
        <v>180</v>
      </c>
      <c r="S181" s="473">
        <f>VLOOKUP(B181,正厂竞争者数据汇总!$D$2:$CL$243,25,FALSE)</f>
        <v>33968</v>
      </c>
      <c r="T181" s="466"/>
      <c r="U181" s="466"/>
      <c r="V181" s="421"/>
      <c r="W181" s="421"/>
    </row>
    <row r="182" s="408" customFormat="1" hidden="1" spans="1:23">
      <c r="A182" s="428" t="s">
        <v>230</v>
      </c>
      <c r="B182" s="421" t="s">
        <v>356</v>
      </c>
      <c r="C182" s="429" t="s">
        <v>233</v>
      </c>
      <c r="D182" s="421" t="s">
        <v>414</v>
      </c>
      <c r="E182" s="430">
        <f>VLOOKUP(B181,正厂竞争者数据汇总!D:H,4,FALSE)</f>
        <v>0</v>
      </c>
      <c r="F182" s="430">
        <v>23152.3333333333</v>
      </c>
      <c r="G182" s="430">
        <v>127</v>
      </c>
      <c r="H182" s="430">
        <v>27910.6666666667</v>
      </c>
      <c r="I182" s="453">
        <f t="shared" si="14"/>
        <v>181.301837270341</v>
      </c>
      <c r="J182" s="451" t="e">
        <f t="shared" si="15"/>
        <v>#N/A</v>
      </c>
      <c r="K182" s="451">
        <v>0.0348075220717827</v>
      </c>
      <c r="L182" s="451">
        <v>0.0326465845808025</v>
      </c>
      <c r="M182" s="451" t="e">
        <f t="shared" si="16"/>
        <v>#N/A</v>
      </c>
      <c r="N182" s="459"/>
      <c r="O182" s="430"/>
      <c r="P182" s="531">
        <f>VLOOKUP(B182,正厂竞争者数据汇总!D:M,6,FALSE)</f>
        <v>0</v>
      </c>
      <c r="Q182" s="429" t="s">
        <v>180</v>
      </c>
      <c r="R182" s="421" t="s">
        <v>180</v>
      </c>
      <c r="S182" s="473">
        <f>VLOOKUP(B182,正厂竞争者数据汇总!$D$2:$CL$243,25,FALSE)</f>
        <v>19078</v>
      </c>
      <c r="T182" s="466"/>
      <c r="U182" s="466"/>
      <c r="V182" s="421"/>
      <c r="W182" s="421"/>
    </row>
    <row r="183" s="408" customFormat="1" hidden="1" spans="1:23">
      <c r="A183" s="428" t="s">
        <v>468</v>
      </c>
      <c r="B183" s="431" t="s">
        <v>469</v>
      </c>
      <c r="C183" s="429" t="e">
        <v>#N/A</v>
      </c>
      <c r="D183" s="421" t="e">
        <v>#N/A</v>
      </c>
      <c r="E183" s="430" t="e">
        <f>VLOOKUP(B183,正厂竞争者数据汇总!D:H,4,FALSE)</f>
        <v>#N/A</v>
      </c>
      <c r="F183" s="430" t="e">
        <v>#N/A</v>
      </c>
      <c r="G183" s="430"/>
      <c r="H183" s="430">
        <v>89.5833333333335</v>
      </c>
      <c r="I183" s="453"/>
      <c r="J183" s="451" t="e">
        <f t="shared" si="15"/>
        <v>#N/A</v>
      </c>
      <c r="K183" s="451">
        <v>0</v>
      </c>
      <c r="L183" s="451">
        <v>0</v>
      </c>
      <c r="M183" s="451"/>
      <c r="N183" s="459"/>
      <c r="O183" s="430"/>
      <c r="P183" s="531" t="e">
        <f>VLOOKUP(B183,正厂竞争者数据汇总!D:M,6,FALSE)</f>
        <v>#N/A</v>
      </c>
      <c r="Q183" s="429" t="s">
        <v>180</v>
      </c>
      <c r="R183" s="421" t="s">
        <v>180</v>
      </c>
      <c r="S183" s="473" t="e">
        <f>VLOOKUP(B183,正厂竞争者数据汇总!$D$2:$CL$243,25,FALSE)</f>
        <v>#N/A</v>
      </c>
      <c r="T183" s="466"/>
      <c r="U183" s="466"/>
      <c r="V183" s="421"/>
      <c r="W183" s="421"/>
    </row>
    <row r="184" s="410" customFormat="1" hidden="1" spans="1:23">
      <c r="A184" s="432"/>
      <c r="B184" s="433"/>
      <c r="C184" s="434"/>
      <c r="D184" s="421"/>
      <c r="E184" s="436"/>
      <c r="F184" s="436"/>
      <c r="G184" s="436">
        <v>749876.416666666</v>
      </c>
      <c r="H184" s="436"/>
      <c r="I184" s="453"/>
      <c r="J184" s="457"/>
      <c r="K184" s="457"/>
      <c r="L184" s="457"/>
      <c r="M184" s="451"/>
      <c r="N184" s="455"/>
      <c r="O184" s="436"/>
      <c r="P184" s="531"/>
      <c r="Q184" s="434"/>
      <c r="R184" s="435"/>
      <c r="S184" s="473"/>
      <c r="T184" s="466"/>
      <c r="U184" s="466"/>
      <c r="V184" s="435"/>
      <c r="W184" s="435"/>
    </row>
    <row r="185" s="408" customFormat="1" hidden="1" spans="1:23">
      <c r="A185" s="428"/>
      <c r="B185" s="421"/>
      <c r="C185" s="439"/>
      <c r="D185" s="421"/>
      <c r="E185" s="430"/>
      <c r="F185" s="430" t="e">
        <v>#N/A</v>
      </c>
      <c r="G185" s="430"/>
      <c r="H185" s="430">
        <v>829193.583333334</v>
      </c>
      <c r="I185" s="453" t="e">
        <f t="shared" ref="I185:I191" si="17">(F185/G185)-1</f>
        <v>#N/A</v>
      </c>
      <c r="J185" s="430"/>
      <c r="K185" s="430"/>
      <c r="L185" s="430"/>
      <c r="M185" s="451"/>
      <c r="N185" s="459"/>
      <c r="O185" s="430"/>
      <c r="P185" s="531"/>
      <c r="Q185" s="429"/>
      <c r="R185" s="421"/>
      <c r="S185" s="473"/>
      <c r="T185" s="466"/>
      <c r="U185" s="466"/>
      <c r="V185" s="421"/>
      <c r="W185" s="421"/>
    </row>
    <row r="186" s="408" customFormat="1" spans="1:23">
      <c r="A186" s="428"/>
      <c r="B186" s="421"/>
      <c r="C186" s="439"/>
      <c r="D186" s="421"/>
      <c r="E186" s="430"/>
      <c r="F186" s="430"/>
      <c r="G186" s="430"/>
      <c r="H186" s="430"/>
      <c r="I186" s="453"/>
      <c r="J186" s="430"/>
      <c r="K186" s="430"/>
      <c r="L186" s="430"/>
      <c r="M186" s="451"/>
      <c r="N186" s="459"/>
      <c r="O186" s="430"/>
      <c r="P186" s="531"/>
      <c r="Q186" s="429"/>
      <c r="R186" s="421"/>
      <c r="S186" s="473"/>
      <c r="T186" s="466"/>
      <c r="U186" s="466"/>
      <c r="V186" s="421"/>
      <c r="W186" s="421"/>
    </row>
    <row r="187" s="408" customFormat="1" ht="17.4" spans="1:23">
      <c r="A187" s="418" t="s">
        <v>185</v>
      </c>
      <c r="B187" s="419"/>
      <c r="C187" s="420"/>
      <c r="D187" s="421"/>
      <c r="E187" s="422" t="s">
        <v>202</v>
      </c>
      <c r="F187" s="422"/>
      <c r="G187" s="422" t="s">
        <v>213</v>
      </c>
      <c r="H187" s="422"/>
      <c r="I187" s="422"/>
      <c r="J187" s="422"/>
      <c r="K187" s="422"/>
      <c r="L187" s="422"/>
      <c r="M187" s="443"/>
      <c r="N187" s="444"/>
      <c r="O187" s="422"/>
      <c r="P187" s="531"/>
      <c r="Q187" s="465"/>
      <c r="R187" s="424"/>
      <c r="S187" s="473"/>
      <c r="T187" s="467"/>
      <c r="U187" s="467"/>
      <c r="V187" s="467"/>
      <c r="W187" s="467"/>
    </row>
    <row r="188" s="409" customFormat="1" ht="46.8" hidden="1" spans="1:23">
      <c r="A188" s="423" t="s">
        <v>206</v>
      </c>
      <c r="B188" s="424" t="s">
        <v>207</v>
      </c>
      <c r="C188" s="425" t="s">
        <v>447</v>
      </c>
      <c r="D188" s="424" t="s">
        <v>209</v>
      </c>
      <c r="E188" s="426" t="s">
        <v>210</v>
      </c>
      <c r="F188" s="427" t="s">
        <v>448</v>
      </c>
      <c r="G188" s="427">
        <v>83649.6666666667</v>
      </c>
      <c r="H188" s="427" t="s">
        <v>396</v>
      </c>
      <c r="I188" s="427" t="s">
        <v>386</v>
      </c>
      <c r="J188" s="446" t="s">
        <v>435</v>
      </c>
      <c r="K188" s="446" t="s">
        <v>444</v>
      </c>
      <c r="L188" s="446" t="s">
        <v>449</v>
      </c>
      <c r="M188" s="447" t="s">
        <v>436</v>
      </c>
      <c r="N188" s="448" t="s">
        <v>219</v>
      </c>
      <c r="O188" s="449" t="s">
        <v>220</v>
      </c>
      <c r="P188" s="535" t="s">
        <v>0</v>
      </c>
      <c r="Q188" s="469" t="s">
        <v>222</v>
      </c>
      <c r="R188" s="426" t="s">
        <v>223</v>
      </c>
      <c r="S188" s="470" t="s">
        <v>224</v>
      </c>
      <c r="T188" s="467" t="s">
        <v>225</v>
      </c>
      <c r="U188" s="470" t="s">
        <v>226</v>
      </c>
      <c r="V188" s="467"/>
      <c r="W188" s="467"/>
    </row>
    <row r="189" s="408" customFormat="1" hidden="1" spans="1:23">
      <c r="A189" s="497" t="s">
        <v>243</v>
      </c>
      <c r="B189" s="438" t="s">
        <v>331</v>
      </c>
      <c r="C189" s="429" t="s">
        <v>441</v>
      </c>
      <c r="D189" s="421" t="s">
        <v>420</v>
      </c>
      <c r="E189" s="430" t="str">
        <f>VLOOKUP(B188,正厂竞争者数据汇总!D:H,4,FALSE)</f>
        <v>Alexa Traffic Rank</v>
      </c>
      <c r="F189" s="430">
        <v>103369.48</v>
      </c>
      <c r="G189" s="430">
        <v>148204.583333333</v>
      </c>
      <c r="H189" s="430">
        <v>93790.0833333333</v>
      </c>
      <c r="I189" s="453">
        <f t="shared" si="17"/>
        <v>-0.302521705637757</v>
      </c>
      <c r="J189" s="451">
        <f t="shared" ref="J189:J191" si="18">F189/F$195</f>
        <v>0.254541060061527</v>
      </c>
      <c r="K189" s="451">
        <v>0.227844633953935</v>
      </c>
      <c r="L189" s="451">
        <v>0.21593236544335</v>
      </c>
      <c r="M189" s="451">
        <f t="shared" ref="M189:M191" si="19">J189-K190</f>
        <v>-0.143573372772899</v>
      </c>
      <c r="N189" s="459"/>
      <c r="O189" s="430"/>
      <c r="P189" s="531">
        <f>VLOOKUP(B189,正厂竞争者数据汇总!D:M,6,FALSE)</f>
        <v>0</v>
      </c>
      <c r="Q189" s="429" t="s">
        <v>180</v>
      </c>
      <c r="R189" s="421" t="s">
        <v>180</v>
      </c>
      <c r="S189" s="473">
        <f>VLOOKUP(B189,正厂竞争者数据汇总!$D$2:$CL$243,25,FALSE)</f>
        <v>67302</v>
      </c>
      <c r="T189" s="466"/>
      <c r="U189" s="466"/>
      <c r="V189" s="421"/>
      <c r="W189" s="421"/>
    </row>
    <row r="190" s="408" customFormat="1" hidden="1" spans="1:23">
      <c r="A190" s="428" t="s">
        <v>230</v>
      </c>
      <c r="B190" s="431" t="s">
        <v>330</v>
      </c>
      <c r="C190" s="429" t="s">
        <v>233</v>
      </c>
      <c r="D190" s="421" t="s">
        <v>59</v>
      </c>
      <c r="E190" s="430">
        <f>VLOOKUP(B190,正厂竞争者数据汇总!D:H,4,FALSE)</f>
        <v>0</v>
      </c>
      <c r="F190" s="430">
        <v>166802</v>
      </c>
      <c r="G190" s="430">
        <v>32696.5833333333</v>
      </c>
      <c r="H190" s="430">
        <v>153405.25</v>
      </c>
      <c r="I190" s="453">
        <f t="shared" si="17"/>
        <v>4.10151162583247</v>
      </c>
      <c r="J190" s="451">
        <f t="shared" si="18"/>
        <v>0.41073978412567</v>
      </c>
      <c r="K190" s="451">
        <v>0.398114432834426</v>
      </c>
      <c r="L190" s="451">
        <v>0.415411032688248</v>
      </c>
      <c r="M190" s="451">
        <f t="shared" si="19"/>
        <v>0.366632279030793</v>
      </c>
      <c r="N190" s="459"/>
      <c r="O190" s="430"/>
      <c r="P190" s="531">
        <f>VLOOKUP(B190,正厂竞争者数据汇总!D:M,6,FALSE)</f>
        <v>0</v>
      </c>
      <c r="Q190" s="429" t="s">
        <v>180</v>
      </c>
      <c r="R190" s="421" t="s">
        <v>180</v>
      </c>
      <c r="S190" s="473">
        <f>VLOOKUP(B190,正厂竞争者数据汇总!$D$2:$CL$243,25,FALSE)</f>
        <v>138509</v>
      </c>
      <c r="T190" s="466"/>
      <c r="U190" s="466"/>
      <c r="V190" s="421"/>
      <c r="W190" s="421"/>
    </row>
    <row r="191" s="408" customFormat="1" hidden="1" spans="1:23">
      <c r="A191" s="428"/>
      <c r="B191" s="430" t="s">
        <v>340</v>
      </c>
      <c r="C191" s="429" t="s">
        <v>233</v>
      </c>
      <c r="D191" s="421" t="s">
        <v>417</v>
      </c>
      <c r="E191" s="430">
        <f>VLOOKUP(B191,正厂竞争者数据汇总!D:H,4,FALSE)</f>
        <v>0</v>
      </c>
      <c r="F191" s="430">
        <v>19062.5833333333</v>
      </c>
      <c r="G191" s="430">
        <v>46040.75</v>
      </c>
      <c r="H191" s="430">
        <v>64506.0833333334</v>
      </c>
      <c r="I191" s="453">
        <f t="shared" si="17"/>
        <v>-0.585962797449362</v>
      </c>
      <c r="J191" s="451">
        <f t="shared" si="18"/>
        <v>0.0469404525318097</v>
      </c>
      <c r="K191" s="451">
        <v>0.0441075050948769</v>
      </c>
      <c r="L191" s="451">
        <v>0.0486827517270649</v>
      </c>
      <c r="M191" s="451">
        <f t="shared" si="19"/>
        <v>0.0469404525318097</v>
      </c>
      <c r="N191" s="459"/>
      <c r="O191" s="430"/>
      <c r="P191" s="531">
        <f>VLOOKUP(B191,正厂竞争者数据汇总!D:M,6,FALSE)</f>
        <v>0</v>
      </c>
      <c r="Q191" s="429" t="s">
        <v>180</v>
      </c>
      <c r="R191" s="421" t="s">
        <v>180</v>
      </c>
      <c r="S191" s="473">
        <f>VLOOKUP(B191,正厂竞争者数据汇总!$D$2:$CL$243,25,FALSE)</f>
        <v>10925</v>
      </c>
      <c r="T191" s="466"/>
      <c r="U191" s="466"/>
      <c r="V191" s="421"/>
      <c r="W191" s="421"/>
    </row>
    <row r="192" s="408" customFormat="1" hidden="1" spans="1:23">
      <c r="A192" s="428"/>
      <c r="B192" s="498" t="s">
        <v>337</v>
      </c>
      <c r="C192" s="429" t="s">
        <v>470</v>
      </c>
      <c r="D192" s="421" t="s">
        <v>412</v>
      </c>
      <c r="E192" s="430">
        <f>VLOOKUP(B192,正厂竞争者数据汇总!D:H,4,FALSE)</f>
        <v>0</v>
      </c>
      <c r="F192" s="430">
        <v>53886.6666666667</v>
      </c>
      <c r="G192" s="430">
        <v>106936.916666667</v>
      </c>
      <c r="H192" s="430">
        <v>49980.9166666666</v>
      </c>
      <c r="I192" s="453"/>
      <c r="J192" s="451"/>
      <c r="K192" s="451"/>
      <c r="L192" s="451"/>
      <c r="M192" s="451"/>
      <c r="N192" s="459"/>
      <c r="O192" s="430"/>
      <c r="P192" s="536" t="str">
        <f>VLOOKUP(B192,正厂竞争者数据汇总!D:M,6,FALSE)</f>
        <v>主营Acc</v>
      </c>
      <c r="Q192" s="429" t="s">
        <v>180</v>
      </c>
      <c r="R192" s="421" t="s">
        <v>180</v>
      </c>
      <c r="S192" s="473">
        <f>VLOOKUP(B192,正厂竞争者数据汇总!$D$2:$CL$243,25,FALSE)</f>
        <v>41304</v>
      </c>
      <c r="T192" s="466"/>
      <c r="U192" s="466"/>
      <c r="V192" s="421"/>
      <c r="W192" s="421"/>
    </row>
    <row r="193" s="408" customFormat="1" hidden="1" spans="1:23">
      <c r="A193" s="428" t="s">
        <v>446</v>
      </c>
      <c r="B193" s="499" t="s">
        <v>334</v>
      </c>
      <c r="C193" s="429" t="s">
        <v>233</v>
      </c>
      <c r="D193" s="421" t="s">
        <v>50</v>
      </c>
      <c r="E193" s="430">
        <f>VLOOKUP(B193,正厂竞争者数据汇总!D:H,4,FALSE)</f>
        <v>0</v>
      </c>
      <c r="F193" s="430">
        <v>62980.6666666667</v>
      </c>
      <c r="G193" s="430"/>
      <c r="H193" s="430">
        <v>122970.25</v>
      </c>
      <c r="I193" s="453" t="e">
        <f>(F193/G193)-1</f>
        <v>#DIV/0!</v>
      </c>
      <c r="J193" s="451">
        <f>F193/F$195</f>
        <v>0.155086062701631</v>
      </c>
      <c r="K193" s="451">
        <v>0.184869320148947</v>
      </c>
      <c r="L193" s="451">
        <v>0.18263605000282</v>
      </c>
      <c r="M193" s="451">
        <f>J193-K194</f>
        <v>0.155086062701631</v>
      </c>
      <c r="N193" s="459"/>
      <c r="O193" s="430"/>
      <c r="P193" s="531">
        <f>VLOOKUP(B193,正厂竞争者数据汇总!D:M,6,FALSE)</f>
        <v>0</v>
      </c>
      <c r="Q193" s="429" t="s">
        <v>180</v>
      </c>
      <c r="R193" s="421" t="s">
        <v>180</v>
      </c>
      <c r="S193" s="473">
        <f>VLOOKUP(B193,正厂竞争者数据汇总!$D$2:$CL$243,25,FALSE)</f>
        <v>121043</v>
      </c>
      <c r="T193" s="466"/>
      <c r="U193" s="466"/>
      <c r="V193" s="421"/>
      <c r="W193" s="421"/>
    </row>
    <row r="194" s="410" customFormat="1" hidden="1" spans="1:23">
      <c r="A194" s="432"/>
      <c r="B194" s="433"/>
      <c r="C194" s="434"/>
      <c r="D194" s="421"/>
      <c r="E194" s="436"/>
      <c r="F194" s="436"/>
      <c r="G194" s="436">
        <v>417528.5</v>
      </c>
      <c r="H194" s="436"/>
      <c r="I194" s="453"/>
      <c r="J194" s="457"/>
      <c r="K194" s="457"/>
      <c r="L194" s="457"/>
      <c r="M194" s="451"/>
      <c r="N194" s="455"/>
      <c r="O194" s="436"/>
      <c r="P194" s="531"/>
      <c r="Q194" s="500"/>
      <c r="R194" s="501"/>
      <c r="S194" s="473"/>
      <c r="T194" s="466"/>
      <c r="U194" s="466"/>
      <c r="V194" s="435"/>
      <c r="W194" s="435"/>
    </row>
    <row r="195" s="408" customFormat="1" hidden="1" spans="1:23">
      <c r="A195" s="428"/>
      <c r="B195" s="421"/>
      <c r="C195" s="439"/>
      <c r="D195" s="421"/>
      <c r="E195" s="430"/>
      <c r="F195" s="430">
        <v>406101.396666667</v>
      </c>
      <c r="G195" s="430"/>
      <c r="H195" s="430">
        <v>484652.583333333</v>
      </c>
      <c r="I195" s="453" t="e">
        <f>(F195/G195)-1</f>
        <v>#DIV/0!</v>
      </c>
      <c r="J195" s="430"/>
      <c r="K195" s="430"/>
      <c r="L195" s="430"/>
      <c r="M195" s="451"/>
      <c r="N195" s="459"/>
      <c r="O195" s="430"/>
      <c r="P195" s="531"/>
      <c r="Q195" s="429"/>
      <c r="R195" s="421"/>
      <c r="S195" s="473"/>
      <c r="T195" s="466"/>
      <c r="U195" s="466"/>
      <c r="V195" s="421"/>
      <c r="W195" s="421"/>
    </row>
    <row r="196" s="408" customFormat="1" spans="1:23">
      <c r="A196" s="423"/>
      <c r="B196" s="421"/>
      <c r="C196" s="425"/>
      <c r="D196" s="421"/>
      <c r="E196" s="430"/>
      <c r="F196" s="430"/>
      <c r="G196" s="430"/>
      <c r="H196" s="430"/>
      <c r="I196" s="453"/>
      <c r="J196" s="430"/>
      <c r="K196" s="430"/>
      <c r="L196" s="430"/>
      <c r="M196" s="451"/>
      <c r="N196" s="459"/>
      <c r="O196" s="430"/>
      <c r="P196" s="531"/>
      <c r="Q196" s="429"/>
      <c r="R196" s="421"/>
      <c r="S196" s="473"/>
      <c r="T196" s="466"/>
      <c r="U196" s="466"/>
      <c r="V196" s="421"/>
      <c r="W196" s="421"/>
    </row>
    <row r="197" s="408" customFormat="1" ht="17.4" spans="1:23">
      <c r="A197" s="418" t="s">
        <v>195</v>
      </c>
      <c r="B197" s="419"/>
      <c r="C197" s="420"/>
      <c r="D197" s="421"/>
      <c r="E197" s="422" t="s">
        <v>202</v>
      </c>
      <c r="F197" s="422"/>
      <c r="G197" s="422" t="s">
        <v>213</v>
      </c>
      <c r="H197" s="422"/>
      <c r="I197" s="422"/>
      <c r="J197" s="422"/>
      <c r="K197" s="422"/>
      <c r="L197" s="422"/>
      <c r="M197" s="443"/>
      <c r="N197" s="444"/>
      <c r="O197" s="422"/>
      <c r="P197" s="531"/>
      <c r="Q197" s="465"/>
      <c r="R197" s="424"/>
      <c r="S197" s="473"/>
      <c r="T197" s="467"/>
      <c r="U197" s="467"/>
      <c r="V197" s="467"/>
      <c r="W197" s="467"/>
    </row>
    <row r="198" s="409" customFormat="1" ht="46.8" hidden="1" spans="1:23">
      <c r="A198" s="423" t="s">
        <v>206</v>
      </c>
      <c r="B198" s="424" t="s">
        <v>207</v>
      </c>
      <c r="C198" s="425" t="s">
        <v>447</v>
      </c>
      <c r="D198" s="424" t="s">
        <v>209</v>
      </c>
      <c r="E198" s="426" t="s">
        <v>210</v>
      </c>
      <c r="F198" s="427" t="s">
        <v>448</v>
      </c>
      <c r="G198" s="427">
        <v>83178</v>
      </c>
      <c r="H198" s="427" t="s">
        <v>396</v>
      </c>
      <c r="I198" s="427" t="s">
        <v>386</v>
      </c>
      <c r="J198" s="446" t="s">
        <v>435</v>
      </c>
      <c r="K198" s="446" t="s">
        <v>444</v>
      </c>
      <c r="L198" s="446" t="s">
        <v>449</v>
      </c>
      <c r="M198" s="447" t="s">
        <v>436</v>
      </c>
      <c r="N198" s="448" t="s">
        <v>219</v>
      </c>
      <c r="O198" s="449" t="s">
        <v>220</v>
      </c>
      <c r="P198" s="535" t="s">
        <v>0</v>
      </c>
      <c r="Q198" s="469" t="s">
        <v>222</v>
      </c>
      <c r="R198" s="426" t="s">
        <v>223</v>
      </c>
      <c r="S198" s="470" t="s">
        <v>224</v>
      </c>
      <c r="T198" s="467" t="s">
        <v>225</v>
      </c>
      <c r="U198" s="470" t="s">
        <v>226</v>
      </c>
      <c r="V198" s="467"/>
      <c r="W198" s="467"/>
    </row>
    <row r="199" s="408" customFormat="1" hidden="1" spans="1:23">
      <c r="A199" s="428" t="s">
        <v>230</v>
      </c>
      <c r="B199" s="421" t="s">
        <v>378</v>
      </c>
      <c r="C199" s="429" t="s">
        <v>233</v>
      </c>
      <c r="D199" s="421" t="s">
        <v>266</v>
      </c>
      <c r="E199" s="430" t="str">
        <f>VLOOKUP(B198,正厂竞争者数据汇总!D:H,4,FALSE)</f>
        <v>Alexa Traffic Rank</v>
      </c>
      <c r="F199" s="430">
        <v>99649.6666666667</v>
      </c>
      <c r="G199" s="430">
        <v>0</v>
      </c>
      <c r="H199" s="430">
        <v>88546.8333333332</v>
      </c>
      <c r="I199" s="453" t="e">
        <f>(F199/G199)-1</f>
        <v>#DIV/0!</v>
      </c>
      <c r="J199" s="451" t="e">
        <f>F199/F$202</f>
        <v>#N/A</v>
      </c>
      <c r="K199" s="451" t="e">
        <v>#N/A</v>
      </c>
      <c r="L199" s="451" t="e">
        <v>#N/A</v>
      </c>
      <c r="M199" s="451" t="e">
        <f>J199-K200</f>
        <v>#N/A</v>
      </c>
      <c r="N199" s="459"/>
      <c r="O199" s="430"/>
      <c r="P199" s="531">
        <f>VLOOKUP(B199,正厂竞争者数据汇总!D:M,6,FALSE)</f>
        <v>0</v>
      </c>
      <c r="Q199" s="429" t="s">
        <v>180</v>
      </c>
      <c r="R199" s="421" t="s">
        <v>180</v>
      </c>
      <c r="S199" s="473">
        <f>VLOOKUP(B199,正厂竞争者数据汇总!$D$2:$CL$243,25,FALSE)</f>
        <v>83797</v>
      </c>
      <c r="T199" s="466"/>
      <c r="U199" s="466"/>
      <c r="V199" s="421"/>
      <c r="W199" s="421"/>
    </row>
    <row r="200" s="408" customFormat="1" hidden="1" spans="1:23">
      <c r="A200" s="428" t="s">
        <v>446</v>
      </c>
      <c r="B200" s="421" t="s">
        <v>471</v>
      </c>
      <c r="C200" s="429" t="e">
        <v>#N/A</v>
      </c>
      <c r="D200" s="421" t="e">
        <v>#N/A</v>
      </c>
      <c r="E200" s="430" t="e">
        <f>VLOOKUP(B200,正厂竞争者数据汇总!D:H,4,FALSE)</f>
        <v>#N/A</v>
      </c>
      <c r="F200" s="430" t="e">
        <v>#N/A</v>
      </c>
      <c r="G200" s="430">
        <v>0</v>
      </c>
      <c r="H200" s="430">
        <v>0</v>
      </c>
      <c r="I200" s="453"/>
      <c r="J200" s="451"/>
      <c r="K200" s="451"/>
      <c r="L200" s="451"/>
      <c r="M200" s="451"/>
      <c r="N200" s="459"/>
      <c r="O200" s="430"/>
      <c r="P200" s="531" t="e">
        <f>VLOOKUP(B200,正厂竞争者数据汇总!D:M,6,FALSE)</f>
        <v>#N/A</v>
      </c>
      <c r="Q200" s="429" t="s">
        <v>180</v>
      </c>
      <c r="R200" s="421" t="s">
        <v>180</v>
      </c>
      <c r="S200" s="473" t="e">
        <f>VLOOKUP(B200,正厂竞争者数据汇总!$D$2:$CL$243,25,FALSE)</f>
        <v>#N/A</v>
      </c>
      <c r="T200" s="466"/>
      <c r="U200" s="466"/>
      <c r="V200" s="421"/>
      <c r="W200" s="421"/>
    </row>
    <row r="201" s="408" customFormat="1" hidden="1" spans="1:23">
      <c r="A201" s="428" t="s">
        <v>446</v>
      </c>
      <c r="B201" s="421" t="s">
        <v>472</v>
      </c>
      <c r="C201" s="429" t="e">
        <v>#N/A</v>
      </c>
      <c r="D201" s="421" t="e">
        <v>#N/A</v>
      </c>
      <c r="E201" s="430" t="e">
        <f>VLOOKUP(B201,正厂竞争者数据汇总!D:H,4,FALSE)</f>
        <v>#N/A</v>
      </c>
      <c r="F201" s="430" t="e">
        <v>#N/A</v>
      </c>
      <c r="G201" s="430">
        <v>83178</v>
      </c>
      <c r="H201" s="430">
        <v>0</v>
      </c>
      <c r="I201" s="453"/>
      <c r="J201" s="451"/>
      <c r="K201" s="451"/>
      <c r="L201" s="451"/>
      <c r="M201" s="451"/>
      <c r="N201" s="459"/>
      <c r="O201" s="430"/>
      <c r="P201" s="531" t="e">
        <f>VLOOKUP(B201,正厂竞争者数据汇总!D:M,6,FALSE)</f>
        <v>#N/A</v>
      </c>
      <c r="Q201" s="429" t="s">
        <v>180</v>
      </c>
      <c r="R201" s="421" t="s">
        <v>180</v>
      </c>
      <c r="S201" s="473" t="e">
        <f>VLOOKUP(B201,正厂竞争者数据汇总!$D$2:$CL$243,25,FALSE)</f>
        <v>#N/A</v>
      </c>
      <c r="T201" s="466"/>
      <c r="U201" s="466"/>
      <c r="V201" s="421"/>
      <c r="W201" s="421"/>
    </row>
    <row r="202" s="408" customFormat="1" hidden="1" spans="1:23">
      <c r="A202" s="428"/>
      <c r="B202" s="421"/>
      <c r="C202" s="439"/>
      <c r="D202" s="421"/>
      <c r="E202" s="430"/>
      <c r="F202" s="430" t="e">
        <v>#N/A</v>
      </c>
      <c r="G202" s="430"/>
      <c r="H202" s="430">
        <v>88546.8333333332</v>
      </c>
      <c r="I202" s="453" t="e">
        <f t="shared" ref="I202:I209" si="20">(F202/G202)-1</f>
        <v>#N/A</v>
      </c>
      <c r="J202" s="430"/>
      <c r="K202" s="430"/>
      <c r="L202" s="430"/>
      <c r="M202" s="451"/>
      <c r="N202" s="459"/>
      <c r="O202" s="430"/>
      <c r="P202" s="531"/>
      <c r="Q202" s="429"/>
      <c r="R202" s="421"/>
      <c r="S202" s="473"/>
      <c r="T202" s="466"/>
      <c r="U202" s="466"/>
      <c r="V202" s="421"/>
      <c r="W202" s="421"/>
    </row>
    <row r="203" s="408" customFormat="1" spans="1:23">
      <c r="A203" s="423"/>
      <c r="B203" s="421"/>
      <c r="C203" s="425"/>
      <c r="D203" s="421"/>
      <c r="E203" s="430"/>
      <c r="F203" s="430"/>
      <c r="G203" s="430"/>
      <c r="H203" s="430"/>
      <c r="I203" s="453"/>
      <c r="J203" s="430"/>
      <c r="K203" s="430"/>
      <c r="L203" s="430"/>
      <c r="M203" s="451"/>
      <c r="N203" s="459"/>
      <c r="O203" s="430"/>
      <c r="P203" s="531"/>
      <c r="Q203" s="429"/>
      <c r="R203" s="421"/>
      <c r="S203" s="473"/>
      <c r="T203" s="466"/>
      <c r="U203" s="466"/>
      <c r="V203" s="421"/>
      <c r="W203" s="421"/>
    </row>
    <row r="204" s="408" customFormat="1" ht="17.4" spans="1:23">
      <c r="A204" s="418" t="s">
        <v>187</v>
      </c>
      <c r="B204" s="419"/>
      <c r="C204" s="420"/>
      <c r="D204" s="421"/>
      <c r="E204" s="422" t="s">
        <v>202</v>
      </c>
      <c r="F204" s="422"/>
      <c r="G204" s="422" t="s">
        <v>213</v>
      </c>
      <c r="H204" s="422"/>
      <c r="I204" s="422"/>
      <c r="J204" s="422"/>
      <c r="K204" s="422"/>
      <c r="L204" s="422"/>
      <c r="M204" s="443"/>
      <c r="N204" s="422"/>
      <c r="O204" s="422"/>
      <c r="P204" s="531"/>
      <c r="Q204" s="465"/>
      <c r="R204" s="424"/>
      <c r="S204" s="473"/>
      <c r="T204" s="467"/>
      <c r="U204" s="467"/>
      <c r="V204" s="467"/>
      <c r="W204" s="467"/>
    </row>
    <row r="205" s="409" customFormat="1" ht="46.8" hidden="1" spans="1:23">
      <c r="A205" s="423" t="s">
        <v>206</v>
      </c>
      <c r="B205" s="424" t="s">
        <v>207</v>
      </c>
      <c r="C205" s="425" t="s">
        <v>447</v>
      </c>
      <c r="D205" s="424" t="s">
        <v>209</v>
      </c>
      <c r="E205" s="426" t="s">
        <v>210</v>
      </c>
      <c r="F205" s="427" t="s">
        <v>448</v>
      </c>
      <c r="G205" s="427">
        <v>66202.5</v>
      </c>
      <c r="H205" s="427" t="s">
        <v>396</v>
      </c>
      <c r="I205" s="427" t="s">
        <v>386</v>
      </c>
      <c r="J205" s="446" t="s">
        <v>435</v>
      </c>
      <c r="K205" s="446" t="s">
        <v>444</v>
      </c>
      <c r="L205" s="446" t="s">
        <v>449</v>
      </c>
      <c r="M205" s="447" t="s">
        <v>436</v>
      </c>
      <c r="N205" s="448" t="s">
        <v>219</v>
      </c>
      <c r="O205" s="449" t="s">
        <v>220</v>
      </c>
      <c r="P205" s="535" t="s">
        <v>0</v>
      </c>
      <c r="Q205" s="469" t="s">
        <v>222</v>
      </c>
      <c r="R205" s="426" t="s">
        <v>223</v>
      </c>
      <c r="S205" s="470" t="s">
        <v>224</v>
      </c>
      <c r="T205" s="467" t="s">
        <v>225</v>
      </c>
      <c r="U205" s="470" t="s">
        <v>226</v>
      </c>
      <c r="V205" s="467"/>
      <c r="W205" s="467"/>
    </row>
    <row r="206" s="408" customFormat="1" hidden="1" spans="1:23">
      <c r="A206" s="428" t="s">
        <v>230</v>
      </c>
      <c r="B206" s="438" t="s">
        <v>341</v>
      </c>
      <c r="C206" s="429" t="s">
        <v>233</v>
      </c>
      <c r="D206" s="421" t="s">
        <v>422</v>
      </c>
      <c r="E206" s="430">
        <f>VLOOKUP(B206,正厂竞争者数据汇总!D:H,4,FALSE)</f>
        <v>0</v>
      </c>
      <c r="F206" s="430">
        <v>45370.6666666667</v>
      </c>
      <c r="G206" s="430">
        <v>1355.75</v>
      </c>
      <c r="H206" s="430">
        <v>65360.75</v>
      </c>
      <c r="I206" s="453">
        <f t="shared" si="20"/>
        <v>32.4653635748971</v>
      </c>
      <c r="J206" s="451" t="e">
        <f t="shared" ref="J206:J209" si="21">F206/F$211</f>
        <v>#N/A</v>
      </c>
      <c r="K206" s="451">
        <v>0.670421349166641</v>
      </c>
      <c r="L206" s="451">
        <v>0.641112796109397</v>
      </c>
      <c r="M206" s="451" t="e">
        <f t="shared" ref="M206:M209" si="22">J206-K207</f>
        <v>#N/A</v>
      </c>
      <c r="N206" s="459"/>
      <c r="O206" s="430"/>
      <c r="P206" s="531">
        <f>VLOOKUP(B206,正厂竞争者数据汇总!D:M,6,FALSE)</f>
        <v>0</v>
      </c>
      <c r="Q206" s="429" t="s">
        <v>180</v>
      </c>
      <c r="R206" s="421" t="s">
        <v>180</v>
      </c>
      <c r="S206" s="473">
        <f>VLOOKUP(B206,正厂竞争者数据汇总!$D$2:$CL$243,25,FALSE)</f>
        <v>44201</v>
      </c>
      <c r="T206" s="466"/>
      <c r="U206" s="466"/>
      <c r="V206" s="421"/>
      <c r="W206" s="421"/>
    </row>
    <row r="207" s="408" customFormat="1" hidden="1" spans="1:23">
      <c r="A207" s="428" t="s">
        <v>230</v>
      </c>
      <c r="B207" s="438" t="s">
        <v>473</v>
      </c>
      <c r="C207" s="429" t="e">
        <v>#N/A</v>
      </c>
      <c r="D207" s="421" t="e">
        <v>#N/A</v>
      </c>
      <c r="E207" s="430" t="e">
        <f>VLOOKUP(B207,正厂竞争者数据汇总!D:H,4,FALSE)</f>
        <v>#N/A</v>
      </c>
      <c r="F207" s="430" t="e">
        <v>#N/A</v>
      </c>
      <c r="G207" s="430">
        <v>31231.8333333333</v>
      </c>
      <c r="H207" s="430">
        <v>2194.5</v>
      </c>
      <c r="I207" s="453" t="e">
        <f t="shared" si="20"/>
        <v>#N/A</v>
      </c>
      <c r="J207" s="451" t="e">
        <f t="shared" si="21"/>
        <v>#N/A</v>
      </c>
      <c r="K207" s="451">
        <v>0.00330950601760657</v>
      </c>
      <c r="L207" s="451">
        <v>0.00163781833394342</v>
      </c>
      <c r="M207" s="451" t="e">
        <f t="shared" si="22"/>
        <v>#N/A</v>
      </c>
      <c r="N207" s="459"/>
      <c r="O207" s="430"/>
      <c r="P207" s="531" t="e">
        <f>VLOOKUP(B207,正厂竞争者数据汇总!D:M,6,FALSE)</f>
        <v>#N/A</v>
      </c>
      <c r="Q207" s="429" t="s">
        <v>180</v>
      </c>
      <c r="R207" s="421" t="s">
        <v>180</v>
      </c>
      <c r="S207" s="473" t="e">
        <f>VLOOKUP(B207,正厂竞争者数据汇总!$D$2:$CL$243,25,FALSE)</f>
        <v>#N/A</v>
      </c>
      <c r="T207" s="466"/>
      <c r="U207" s="466"/>
      <c r="V207" s="421"/>
      <c r="W207" s="421"/>
    </row>
    <row r="208" s="408" customFormat="1" hidden="1" spans="1:23">
      <c r="A208" s="428" t="s">
        <v>230</v>
      </c>
      <c r="B208" s="482" t="s">
        <v>344</v>
      </c>
      <c r="C208" s="429" t="s">
        <v>233</v>
      </c>
      <c r="D208" s="421" t="s">
        <v>234</v>
      </c>
      <c r="E208" s="430">
        <f>VLOOKUP(B208,正厂竞争者数据汇总!D:H,4,FALSE)</f>
        <v>0</v>
      </c>
      <c r="F208" s="430">
        <v>22882.5166666667</v>
      </c>
      <c r="G208" s="430">
        <v>1336.58333333333</v>
      </c>
      <c r="H208" s="430">
        <v>26757.6666666667</v>
      </c>
      <c r="I208" s="453">
        <f t="shared" si="20"/>
        <v>16.1201571170273</v>
      </c>
      <c r="J208" s="451" t="e">
        <f t="shared" si="21"/>
        <v>#N/A</v>
      </c>
      <c r="K208" s="451">
        <v>0.303314591493634</v>
      </c>
      <c r="L208" s="451">
        <v>0.343659467656749</v>
      </c>
      <c r="M208" s="451" t="e">
        <f t="shared" si="22"/>
        <v>#N/A</v>
      </c>
      <c r="N208" s="459"/>
      <c r="O208" s="430"/>
      <c r="P208" s="531">
        <f>VLOOKUP(B208,正厂竞争者数据汇总!D:M,6,FALSE)</f>
        <v>0</v>
      </c>
      <c r="Q208" s="429" t="s">
        <v>180</v>
      </c>
      <c r="R208" s="421" t="s">
        <v>180</v>
      </c>
      <c r="S208" s="473">
        <f>VLOOKUP(B208,正厂竞争者数据汇总!$D$2:$CL$243,25,FALSE)</f>
        <v>63249</v>
      </c>
      <c r="T208" s="466"/>
      <c r="U208" s="466"/>
      <c r="V208" s="421"/>
      <c r="W208" s="421"/>
    </row>
    <row r="209" s="408" customFormat="1" hidden="1" spans="1:23">
      <c r="A209" s="428" t="s">
        <v>230</v>
      </c>
      <c r="B209" s="438" t="s">
        <v>474</v>
      </c>
      <c r="C209" s="429" t="s">
        <v>233</v>
      </c>
      <c r="D209" s="421" t="s">
        <v>420</v>
      </c>
      <c r="E209" s="430">
        <f>VLOOKUP(B208,正厂竞争者数据汇总!D:H,4,FALSE)</f>
        <v>0</v>
      </c>
      <c r="F209" s="430">
        <v>1192.41666666666</v>
      </c>
      <c r="G209" s="430"/>
      <c r="H209" s="430">
        <v>2547.58333333333</v>
      </c>
      <c r="I209" s="453" t="e">
        <f t="shared" si="20"/>
        <v>#DIV/0!</v>
      </c>
      <c r="J209" s="451" t="e">
        <f t="shared" si="21"/>
        <v>#N/A</v>
      </c>
      <c r="K209" s="451">
        <v>0.0229545533221182</v>
      </c>
      <c r="L209" s="451">
        <v>0.0135899178999111</v>
      </c>
      <c r="M209" s="451" t="e">
        <f t="shared" si="22"/>
        <v>#N/A</v>
      </c>
      <c r="N209" s="459"/>
      <c r="O209" s="430"/>
      <c r="P209" s="531"/>
      <c r="Q209" s="429" t="s">
        <v>180</v>
      </c>
      <c r="R209" s="421" t="s">
        <v>180</v>
      </c>
      <c r="S209" s="473">
        <f>VLOOKUP(B209,正厂竞争者数据汇总!$D$2:$CL$243,25,FALSE)</f>
        <v>10350</v>
      </c>
      <c r="T209" s="466"/>
      <c r="U209" s="466"/>
      <c r="V209" s="421"/>
      <c r="W209" s="421"/>
    </row>
    <row r="210" s="408" customFormat="1" hidden="1" spans="1:23">
      <c r="A210" s="428"/>
      <c r="B210" s="421"/>
      <c r="C210" s="429"/>
      <c r="D210" s="421"/>
      <c r="E210" s="430"/>
      <c r="F210" s="430"/>
      <c r="G210" s="430">
        <v>100126.666666667</v>
      </c>
      <c r="H210" s="430"/>
      <c r="I210" s="453"/>
      <c r="J210" s="451"/>
      <c r="K210" s="451"/>
      <c r="L210" s="451"/>
      <c r="M210" s="451"/>
      <c r="N210" s="459"/>
      <c r="O210" s="430"/>
      <c r="P210" s="531"/>
      <c r="Q210" s="429"/>
      <c r="R210" s="421"/>
      <c r="S210" s="473"/>
      <c r="T210" s="466"/>
      <c r="U210" s="466"/>
      <c r="V210" s="421"/>
      <c r="W210" s="421"/>
    </row>
    <row r="211" s="408" customFormat="1" hidden="1" spans="1:23">
      <c r="A211" s="428"/>
      <c r="B211" s="421"/>
      <c r="C211" s="439"/>
      <c r="D211" s="421"/>
      <c r="E211" s="430"/>
      <c r="F211" s="430" t="e">
        <v>#N/A</v>
      </c>
      <c r="G211" s="430"/>
      <c r="H211" s="430">
        <v>96860.5</v>
      </c>
      <c r="I211" s="453" t="e">
        <f>(F211/G211)-1</f>
        <v>#N/A</v>
      </c>
      <c r="J211" s="430"/>
      <c r="K211" s="430"/>
      <c r="L211" s="430"/>
      <c r="M211" s="451"/>
      <c r="N211" s="459"/>
      <c r="O211" s="430"/>
      <c r="P211" s="531"/>
      <c r="Q211" s="429"/>
      <c r="R211" s="421"/>
      <c r="S211" s="473"/>
      <c r="T211" s="466"/>
      <c r="U211" s="466"/>
      <c r="V211" s="421"/>
      <c r="W211" s="421"/>
    </row>
    <row r="212" s="408" customFormat="1" spans="1:23">
      <c r="A212" s="428"/>
      <c r="B212" s="421"/>
      <c r="C212" s="439"/>
      <c r="D212" s="421"/>
      <c r="E212" s="421"/>
      <c r="F212" s="430"/>
      <c r="G212" s="430"/>
      <c r="H212" s="430"/>
      <c r="I212" s="453"/>
      <c r="J212" s="430"/>
      <c r="K212" s="430"/>
      <c r="L212" s="430"/>
      <c r="M212" s="451"/>
      <c r="N212" s="459"/>
      <c r="O212" s="430"/>
      <c r="P212" s="531"/>
      <c r="Q212" s="429"/>
      <c r="R212" s="421"/>
      <c r="S212" s="473"/>
      <c r="T212" s="466"/>
      <c r="U212" s="466"/>
      <c r="V212" s="421"/>
      <c r="W212" s="421"/>
    </row>
    <row r="213" s="408" customFormat="1" ht="17.4" spans="1:23">
      <c r="A213" s="418" t="s">
        <v>193</v>
      </c>
      <c r="B213" s="419"/>
      <c r="C213" s="420"/>
      <c r="D213" s="421"/>
      <c r="E213" s="422" t="s">
        <v>202</v>
      </c>
      <c r="F213" s="422"/>
      <c r="G213" s="422" t="s">
        <v>213</v>
      </c>
      <c r="H213" s="422"/>
      <c r="I213" s="422"/>
      <c r="J213" s="422"/>
      <c r="K213" s="422"/>
      <c r="L213" s="422"/>
      <c r="M213" s="443"/>
      <c r="N213" s="422"/>
      <c r="O213" s="422"/>
      <c r="P213" s="531"/>
      <c r="Q213" s="465"/>
      <c r="R213" s="424"/>
      <c r="S213" s="473"/>
      <c r="T213" s="467"/>
      <c r="U213" s="467"/>
      <c r="V213" s="467"/>
      <c r="W213" s="467"/>
    </row>
    <row r="214" s="409" customFormat="1" ht="46.8" hidden="1" spans="1:23">
      <c r="A214" s="423" t="s">
        <v>206</v>
      </c>
      <c r="B214" s="424" t="s">
        <v>207</v>
      </c>
      <c r="C214" s="425" t="s">
        <v>447</v>
      </c>
      <c r="D214" s="424" t="s">
        <v>209</v>
      </c>
      <c r="E214" s="426" t="s">
        <v>210</v>
      </c>
      <c r="F214" s="427" t="s">
        <v>448</v>
      </c>
      <c r="G214" s="427">
        <v>251855.833333333</v>
      </c>
      <c r="H214" s="427" t="s">
        <v>396</v>
      </c>
      <c r="I214" s="427" t="s">
        <v>386</v>
      </c>
      <c r="J214" s="446" t="s">
        <v>435</v>
      </c>
      <c r="K214" s="446" t="s">
        <v>444</v>
      </c>
      <c r="L214" s="446" t="s">
        <v>449</v>
      </c>
      <c r="M214" s="447" t="s">
        <v>436</v>
      </c>
      <c r="N214" s="448" t="s">
        <v>219</v>
      </c>
      <c r="O214" s="449" t="s">
        <v>220</v>
      </c>
      <c r="P214" s="535" t="s">
        <v>0</v>
      </c>
      <c r="Q214" s="469" t="s">
        <v>222</v>
      </c>
      <c r="R214" s="426" t="s">
        <v>223</v>
      </c>
      <c r="S214" s="470" t="s">
        <v>224</v>
      </c>
      <c r="T214" s="467" t="s">
        <v>225</v>
      </c>
      <c r="U214" s="470" t="s">
        <v>226</v>
      </c>
      <c r="V214" s="467"/>
      <c r="W214" s="467"/>
    </row>
    <row r="215" s="408" customFormat="1" ht="17.4" hidden="1" spans="1:23">
      <c r="A215" s="428" t="s">
        <v>475</v>
      </c>
      <c r="B215" s="438" t="s">
        <v>476</v>
      </c>
      <c r="C215" s="429" t="s">
        <v>233</v>
      </c>
      <c r="D215" s="421" t="s">
        <v>234</v>
      </c>
      <c r="E215" s="430">
        <f>VLOOKUP(B215,正厂竞争者数据汇总!D:H,4,FALSE)</f>
        <v>81390</v>
      </c>
      <c r="F215" s="430">
        <v>206372.25</v>
      </c>
      <c r="G215" s="430">
        <v>38319.6666666667</v>
      </c>
      <c r="H215" s="430">
        <v>273188.083333333</v>
      </c>
      <c r="I215" s="453"/>
      <c r="J215" s="430"/>
      <c r="K215" s="430"/>
      <c r="L215" s="430"/>
      <c r="M215" s="451"/>
      <c r="N215" s="459"/>
      <c r="O215" s="430"/>
      <c r="P215" s="536" t="str">
        <f>VLOOKUP(B215,正厂竞争者数据汇总!D:M,6,FALSE)</f>
        <v>官网</v>
      </c>
      <c r="Q215" s="429" t="s">
        <v>180</v>
      </c>
      <c r="R215" s="421" t="s">
        <v>180</v>
      </c>
      <c r="S215" s="473">
        <f>VLOOKUP(B215,正厂竞争者数据汇总!$D$2:$CL$243,25,FALSE)</f>
        <v>193993</v>
      </c>
      <c r="T215" s="466"/>
      <c r="U215" s="466"/>
      <c r="V215" s="421"/>
      <c r="W215" s="421"/>
    </row>
    <row r="216" s="408" customFormat="1" hidden="1" spans="1:23">
      <c r="A216" s="428" t="s">
        <v>230</v>
      </c>
      <c r="B216" s="421" t="s">
        <v>365</v>
      </c>
      <c r="C216" s="429" t="s">
        <v>233</v>
      </c>
      <c r="D216" s="421" t="s">
        <v>52</v>
      </c>
      <c r="E216" s="430">
        <f>VLOOKUP(B216,正厂竞争者数据汇总!D:H,4,FALSE)</f>
        <v>0</v>
      </c>
      <c r="F216" s="430">
        <v>42822.5</v>
      </c>
      <c r="G216" s="430">
        <v>39781.5833333333</v>
      </c>
      <c r="H216" s="430">
        <v>52163.4166666667</v>
      </c>
      <c r="I216" s="453">
        <f t="shared" ref="I216:I218" si="23">(F216/G216)-1</f>
        <v>0.0764403126237234</v>
      </c>
      <c r="J216" s="451">
        <f t="shared" ref="J216:J218" si="24">F216/F$220</f>
        <v>0.15651560511174</v>
      </c>
      <c r="K216" s="451">
        <v>0.161033514125674</v>
      </c>
      <c r="L216" s="451">
        <v>0.143694274568911</v>
      </c>
      <c r="M216" s="451">
        <f t="shared" ref="M216:M218" si="25">J216-K217</f>
        <v>0.0700175731020586</v>
      </c>
      <c r="N216" s="459"/>
      <c r="O216" s="430"/>
      <c r="P216" s="531">
        <f>VLOOKUP(B216,正厂竞争者数据汇总!D:M,6,FALSE)</f>
        <v>0</v>
      </c>
      <c r="Q216" s="429" t="s">
        <v>180</v>
      </c>
      <c r="R216" s="421" t="s">
        <v>180</v>
      </c>
      <c r="S216" s="473">
        <f>VLOOKUP(B216,正厂竞争者数据汇总!$D$2:$CL$243,25,FALSE)</f>
        <v>110722</v>
      </c>
      <c r="T216" s="466"/>
      <c r="U216" s="466"/>
      <c r="V216" s="421"/>
      <c r="W216" s="421"/>
    </row>
    <row r="217" s="408" customFormat="1" hidden="1" spans="1:23">
      <c r="A217" s="428" t="s">
        <v>367</v>
      </c>
      <c r="B217" s="438" t="s">
        <v>368</v>
      </c>
      <c r="C217" s="429" t="s">
        <v>233</v>
      </c>
      <c r="D217" s="421" t="s">
        <v>234</v>
      </c>
      <c r="E217" s="430">
        <f>VLOOKUP(B216,正厂竞争者数据汇总!D:H,4,FALSE)</f>
        <v>0</v>
      </c>
      <c r="F217" s="430">
        <v>21219.6666666667</v>
      </c>
      <c r="G217" s="430">
        <v>5272.25</v>
      </c>
      <c r="H217" s="430">
        <v>46192.6666666667</v>
      </c>
      <c r="I217" s="453">
        <f t="shared" si="23"/>
        <v>3.02478385256137</v>
      </c>
      <c r="J217" s="451">
        <f t="shared" si="24"/>
        <v>0.0775575683017751</v>
      </c>
      <c r="K217" s="451">
        <v>0.0864980320096817</v>
      </c>
      <c r="L217" s="451">
        <v>0.0883718592586661</v>
      </c>
      <c r="M217" s="451">
        <f t="shared" si="25"/>
        <v>0.0652449992555703</v>
      </c>
      <c r="N217" s="459"/>
      <c r="O217" s="430"/>
      <c r="P217" s="531">
        <f>VLOOKUP(B217,正厂竞争者数据汇总!D:M,6,FALSE)</f>
        <v>0</v>
      </c>
      <c r="Q217" s="429" t="s">
        <v>180</v>
      </c>
      <c r="R217" s="421" t="s">
        <v>180</v>
      </c>
      <c r="S217" s="473">
        <f>VLOOKUP(B217,正厂竞争者数据汇总!$D$2:$CL$243,25,FALSE)</f>
        <v>52681</v>
      </c>
      <c r="T217" s="466"/>
      <c r="U217" s="466"/>
      <c r="V217" s="421"/>
      <c r="W217" s="421"/>
    </row>
    <row r="218" s="408" customFormat="1" hidden="1" spans="1:23">
      <c r="A218" s="428" t="s">
        <v>230</v>
      </c>
      <c r="B218" s="421" t="s">
        <v>373</v>
      </c>
      <c r="C218" s="429" t="s">
        <v>477</v>
      </c>
      <c r="D218" s="421" t="s">
        <v>250</v>
      </c>
      <c r="E218" s="430">
        <f>VLOOKUP(B218,正厂竞争者数据汇总!D:H,4,FALSE)</f>
        <v>3939</v>
      </c>
      <c r="F218" s="430">
        <v>3184.5</v>
      </c>
      <c r="G218" s="430"/>
      <c r="H218" s="430">
        <v>5718</v>
      </c>
      <c r="I218" s="453" t="e">
        <f t="shared" si="23"/>
        <v>#DIV/0!</v>
      </c>
      <c r="J218" s="451">
        <f t="shared" si="24"/>
        <v>0.0116393004723764</v>
      </c>
      <c r="K218" s="451">
        <v>0.0123125690462048</v>
      </c>
      <c r="L218" s="451">
        <v>0.0147050365280923</v>
      </c>
      <c r="M218" s="451">
        <f t="shared" si="25"/>
        <v>0.0116393004723764</v>
      </c>
      <c r="N218" s="459"/>
      <c r="O218" s="430"/>
      <c r="P218" s="531">
        <f>VLOOKUP(B218,正厂竞争者数据汇总!D:M,6,FALSE)</f>
        <v>0</v>
      </c>
      <c r="Q218" s="429" t="s">
        <v>180</v>
      </c>
      <c r="R218" s="421" t="s">
        <v>180</v>
      </c>
      <c r="S218" s="473">
        <f>VLOOKUP(B218,正厂竞争者数据汇总!$D$2:$CL$243,25,FALSE)</f>
        <v>5939</v>
      </c>
      <c r="T218" s="466"/>
      <c r="U218" s="466"/>
      <c r="V218" s="421"/>
      <c r="W218" s="421"/>
    </row>
    <row r="219" s="410" customFormat="1" hidden="1" spans="1:23">
      <c r="A219" s="432"/>
      <c r="B219" s="435"/>
      <c r="C219" s="429"/>
      <c r="D219" s="421"/>
      <c r="E219" s="430"/>
      <c r="F219" s="436"/>
      <c r="G219" s="436">
        <v>335229.333333333</v>
      </c>
      <c r="H219" s="436"/>
      <c r="I219" s="453"/>
      <c r="J219" s="457"/>
      <c r="K219" s="457"/>
      <c r="L219" s="457"/>
      <c r="M219" s="451"/>
      <c r="N219" s="455"/>
      <c r="O219" s="436"/>
      <c r="P219" s="531"/>
      <c r="Q219" s="434"/>
      <c r="R219" s="435"/>
      <c r="S219" s="473"/>
      <c r="T219" s="466"/>
      <c r="U219" s="466"/>
      <c r="V219" s="435"/>
      <c r="W219" s="435"/>
    </row>
    <row r="220" s="408" customFormat="1" hidden="1" spans="1:23">
      <c r="A220" s="428"/>
      <c r="B220" s="421"/>
      <c r="C220" s="439"/>
      <c r="D220" s="421"/>
      <c r="E220" s="421"/>
      <c r="F220" s="496">
        <v>273598.916666667</v>
      </c>
      <c r="G220" s="496"/>
      <c r="H220" s="496">
        <v>377262.166666666</v>
      </c>
      <c r="I220" s="453" t="e">
        <f>(F220/G220)-1</f>
        <v>#DIV/0!</v>
      </c>
      <c r="J220" s="430"/>
      <c r="K220" s="430"/>
      <c r="L220" s="430"/>
      <c r="M220" s="451"/>
      <c r="N220" s="459"/>
      <c r="O220" s="430"/>
      <c r="P220" s="531"/>
      <c r="Q220" s="429"/>
      <c r="R220" s="421"/>
      <c r="S220" s="473"/>
      <c r="T220" s="466"/>
      <c r="U220" s="466"/>
      <c r="V220" s="421"/>
      <c r="W220" s="421"/>
    </row>
    <row r="221" s="408" customFormat="1" spans="3:21">
      <c r="C221" s="411"/>
      <c r="F221" s="502"/>
      <c r="G221" s="502"/>
      <c r="H221" s="502"/>
      <c r="I221" s="502"/>
      <c r="J221" s="412"/>
      <c r="K221" s="412"/>
      <c r="L221" s="412"/>
      <c r="M221" s="413"/>
      <c r="N221" s="414"/>
      <c r="O221" s="412"/>
      <c r="P221" s="528"/>
      <c r="T221" s="416"/>
      <c r="U221" s="416"/>
    </row>
    <row r="222" s="408" customFormat="1" spans="3:21">
      <c r="C222" s="411"/>
      <c r="E222" s="412"/>
      <c r="F222" s="412"/>
      <c r="G222" s="412"/>
      <c r="H222" s="412"/>
      <c r="I222" s="412"/>
      <c r="J222" s="412"/>
      <c r="K222" s="412"/>
      <c r="L222" s="412"/>
      <c r="M222" s="413"/>
      <c r="N222" s="414"/>
      <c r="O222" s="412"/>
      <c r="T222" s="416"/>
      <c r="U222" s="416"/>
    </row>
    <row r="223" s="408" customFormat="1" spans="3:21">
      <c r="C223" s="411"/>
      <c r="F223" s="412"/>
      <c r="G223" s="412"/>
      <c r="H223" s="412"/>
      <c r="I223" s="412"/>
      <c r="J223" s="412"/>
      <c r="K223" s="412"/>
      <c r="L223" s="412"/>
      <c r="M223" s="413"/>
      <c r="N223" s="414"/>
      <c r="O223" s="412"/>
      <c r="P223" s="528"/>
      <c r="T223" s="416"/>
      <c r="U223" s="416"/>
    </row>
    <row r="224" s="408" customFormat="1" spans="3:21">
      <c r="C224" s="411"/>
      <c r="F224" s="412"/>
      <c r="G224" s="412"/>
      <c r="H224" s="412"/>
      <c r="I224" s="412"/>
      <c r="J224" s="412"/>
      <c r="K224" s="412"/>
      <c r="L224" s="412"/>
      <c r="M224" s="413"/>
      <c r="N224" s="414"/>
      <c r="O224" s="412"/>
      <c r="P224" s="528"/>
      <c r="T224" s="416"/>
      <c r="U224" s="416"/>
    </row>
    <row r="225" s="408" customFormat="1" spans="3:21">
      <c r="C225" s="411"/>
      <c r="F225" s="412"/>
      <c r="G225" s="412"/>
      <c r="H225" s="412"/>
      <c r="I225" s="412"/>
      <c r="J225" s="412"/>
      <c r="K225" s="412"/>
      <c r="L225" s="412"/>
      <c r="M225" s="413"/>
      <c r="N225" s="414"/>
      <c r="O225" s="412"/>
      <c r="P225" s="528"/>
      <c r="T225" s="416"/>
      <c r="U225" s="416"/>
    </row>
    <row r="226" s="408" customFormat="1" spans="3:21">
      <c r="C226" s="411"/>
      <c r="F226" s="412"/>
      <c r="G226" s="412"/>
      <c r="H226" s="412"/>
      <c r="I226" s="412"/>
      <c r="J226" s="412"/>
      <c r="K226" s="412"/>
      <c r="L226" s="412"/>
      <c r="M226" s="413"/>
      <c r="N226" s="414"/>
      <c r="O226" s="412"/>
      <c r="P226" s="528"/>
      <c r="T226" s="416"/>
      <c r="U226" s="416"/>
    </row>
    <row r="227" s="408" customFormat="1" spans="3:21">
      <c r="C227" s="411"/>
      <c r="F227" s="412"/>
      <c r="G227" s="412"/>
      <c r="H227" s="412"/>
      <c r="I227" s="412"/>
      <c r="J227" s="412"/>
      <c r="K227" s="412"/>
      <c r="L227" s="412"/>
      <c r="M227" s="413"/>
      <c r="N227" s="414"/>
      <c r="O227" s="412"/>
      <c r="P227" s="528"/>
      <c r="T227" s="416"/>
      <c r="U227" s="416"/>
    </row>
    <row r="228" s="408" customFormat="1" spans="3:21">
      <c r="C228" s="411"/>
      <c r="F228" s="412"/>
      <c r="G228" s="412"/>
      <c r="H228" s="412"/>
      <c r="I228" s="412"/>
      <c r="J228" s="412"/>
      <c r="K228" s="412"/>
      <c r="L228" s="412"/>
      <c r="M228" s="413"/>
      <c r="N228" s="414"/>
      <c r="O228" s="412"/>
      <c r="P228" s="528"/>
      <c r="T228" s="416"/>
      <c r="U228" s="416"/>
    </row>
    <row r="229" s="408" customFormat="1" spans="3:21">
      <c r="C229" s="411"/>
      <c r="F229" s="412"/>
      <c r="G229" s="412"/>
      <c r="H229" s="412"/>
      <c r="I229" s="412"/>
      <c r="J229" s="412"/>
      <c r="K229" s="412"/>
      <c r="L229" s="412"/>
      <c r="M229" s="413"/>
      <c r="N229" s="414"/>
      <c r="O229" s="412"/>
      <c r="P229" s="528"/>
      <c r="T229" s="416"/>
      <c r="U229" s="416"/>
    </row>
    <row r="230" s="408" customFormat="1" spans="3:21">
      <c r="C230" s="411"/>
      <c r="F230" s="412"/>
      <c r="G230" s="412"/>
      <c r="H230" s="412"/>
      <c r="I230" s="412"/>
      <c r="J230" s="412"/>
      <c r="K230" s="412"/>
      <c r="L230" s="412"/>
      <c r="M230" s="413"/>
      <c r="N230" s="414"/>
      <c r="O230" s="412"/>
      <c r="P230" s="528"/>
      <c r="T230" s="416"/>
      <c r="U230" s="416"/>
    </row>
    <row r="231" s="408" customFormat="1" spans="3:21">
      <c r="C231" s="411"/>
      <c r="F231" s="412"/>
      <c r="G231" s="412"/>
      <c r="H231" s="412"/>
      <c r="I231" s="412"/>
      <c r="J231" s="412"/>
      <c r="K231" s="412"/>
      <c r="L231" s="412"/>
      <c r="M231" s="413"/>
      <c r="N231" s="414"/>
      <c r="O231" s="412"/>
      <c r="P231" s="528"/>
      <c r="T231" s="416"/>
      <c r="U231" s="416"/>
    </row>
    <row r="232" s="408" customFormat="1" spans="3:21">
      <c r="C232" s="411"/>
      <c r="F232" s="412"/>
      <c r="G232" s="412"/>
      <c r="H232" s="412"/>
      <c r="I232" s="412"/>
      <c r="J232" s="412"/>
      <c r="K232" s="412"/>
      <c r="L232" s="412"/>
      <c r="M232" s="413"/>
      <c r="N232" s="414"/>
      <c r="O232" s="412"/>
      <c r="P232" s="528"/>
      <c r="T232" s="416"/>
      <c r="U232" s="416"/>
    </row>
    <row r="233" s="411" customFormat="1" spans="1:23">
      <c r="A233" s="408"/>
      <c r="B233" s="503"/>
      <c r="D233" s="408"/>
      <c r="E233" s="408"/>
      <c r="F233" s="412"/>
      <c r="G233" s="412"/>
      <c r="H233" s="412"/>
      <c r="I233" s="412"/>
      <c r="J233" s="412"/>
      <c r="K233" s="412"/>
      <c r="L233" s="412"/>
      <c r="M233" s="413"/>
      <c r="N233" s="414"/>
      <c r="O233" s="412"/>
      <c r="P233" s="528"/>
      <c r="Q233" s="408"/>
      <c r="R233" s="408"/>
      <c r="S233" s="408"/>
      <c r="T233" s="416"/>
      <c r="U233" s="416"/>
      <c r="V233" s="408"/>
      <c r="W233" s="408"/>
    </row>
  </sheetData>
  <autoFilter ref="C1:C233">
    <extLst/>
  </autoFilter>
  <mergeCells count="19">
    <mergeCell ref="U1:W1"/>
    <mergeCell ref="U14:W14"/>
    <mergeCell ref="U26:W26"/>
    <mergeCell ref="U38:W38"/>
    <mergeCell ref="U51:W51"/>
    <mergeCell ref="U63:W63"/>
    <mergeCell ref="U75:W75"/>
    <mergeCell ref="U85:W85"/>
    <mergeCell ref="U98:W98"/>
    <mergeCell ref="U111:W111"/>
    <mergeCell ref="U126:W126"/>
    <mergeCell ref="U138:W138"/>
    <mergeCell ref="U154:W154"/>
    <mergeCell ref="U168:W168"/>
    <mergeCell ref="U177:W177"/>
    <mergeCell ref="U187:W187"/>
    <mergeCell ref="U197:W197"/>
    <mergeCell ref="U204:W204"/>
    <mergeCell ref="U213:W213"/>
  </mergeCells>
  <conditionalFormatting sqref="I4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{af393d73-013f-4807-878c-cbd346ad1186}</x14:id>
        </ext>
      </extLst>
    </cfRule>
  </conditionalFormatting>
  <conditionalFormatting sqref="M4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{480c5211-fc5a-4d4d-9ec7-55a99f3073b6}</x14:id>
        </ext>
      </extLst>
    </cfRule>
  </conditionalFormatting>
  <conditionalFormatting sqref="M11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{1d3a976c-5c7d-414d-b065-70f814e13758}</x14:id>
        </ext>
      </extLst>
    </cfRule>
  </conditionalFormatting>
  <conditionalFormatting sqref="M16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{c701ba4d-a2d8-4375-b898-dbbf29af0941}</x14:id>
        </ext>
      </extLst>
    </cfRule>
  </conditionalFormatting>
  <conditionalFormatting sqref="M28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{e388a62c-4155-4fec-9ae4-b75442bea897}</x14:id>
        </ext>
      </extLst>
    </cfRule>
  </conditionalFormatting>
  <conditionalFormatting sqref="M40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{461803b2-4833-4d47-8a49-9d9f51c46048}</x14:id>
        </ext>
      </extLst>
    </cfRule>
  </conditionalFormatting>
  <conditionalFormatting sqref="M53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{a16e668e-97f6-4724-9679-341b108e47e2}</x14:id>
        </ext>
      </extLst>
    </cfRule>
  </conditionalFormatting>
  <conditionalFormatting sqref="M65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{a0923ab3-f87e-4013-8e6d-251d69bcdd82}</x14:id>
        </ext>
      </extLst>
    </cfRule>
  </conditionalFormatting>
  <conditionalFormatting sqref="M77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{0452060b-62ea-4688-9496-6e30af98ab50}</x14:id>
        </ext>
      </extLst>
    </cfRule>
  </conditionalFormatting>
  <conditionalFormatting sqref="I87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{5bb525da-2642-497a-894b-c0a341efd22c}</x14:id>
        </ext>
      </extLst>
    </cfRule>
  </conditionalFormatting>
  <conditionalFormatting sqref="M87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{e462d1ea-7d01-47d6-93bb-375f7576195c}</x14:id>
        </ext>
      </extLst>
    </cfRule>
  </conditionalFormatting>
  <conditionalFormatting sqref="M88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{9bf6a0a7-185c-4d84-9816-7adfed62b57e}</x14:id>
        </ext>
      </extLst>
    </cfRule>
  </conditionalFormatting>
  <conditionalFormatting sqref="I10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{a3f0ea8a-6a40-45a0-afa0-c15ae30489a7}</x14:id>
        </ext>
      </extLst>
    </cfRule>
  </conditionalFormatting>
  <conditionalFormatting sqref="M100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{b762fc98-bc8f-4e78-a2fd-0746f51c6582}</x14:id>
        </ext>
      </extLst>
    </cfRule>
  </conditionalFormatting>
  <conditionalFormatting sqref="M101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{651ace41-e4f8-4e4a-9393-74faeb7097e9}</x14:id>
        </ext>
      </extLst>
    </cfRule>
  </conditionalFormatting>
  <conditionalFormatting sqref="M113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{23555049-f5a1-41f6-b784-479000a4cafa}</x14:id>
        </ext>
      </extLst>
    </cfRule>
  </conditionalFormatting>
  <conditionalFormatting sqref="I12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{93cc8a26-102f-4dd3-87a0-b9ccd5d50bbb}</x14:id>
        </ext>
      </extLst>
    </cfRule>
  </conditionalFormatting>
  <conditionalFormatting sqref="M12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{b48ea305-6605-42e9-85a6-62703e72c727}</x14:id>
        </ext>
      </extLst>
    </cfRule>
  </conditionalFormatting>
  <conditionalFormatting sqref="M128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{26ba1e1a-ecde-4049-b733-47c2dc397aa5}</x14:id>
        </ext>
      </extLst>
    </cfRule>
  </conditionalFormatting>
  <conditionalFormatting sqref="M140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{3d527ccb-a91b-4e5c-adee-e5611905978c}</x14:id>
        </ext>
      </extLst>
    </cfRule>
  </conditionalFormatting>
  <conditionalFormatting sqref="M156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{b5cd8831-9dd9-4912-85db-d87e5e01d96f}</x14:id>
        </ext>
      </extLst>
    </cfRule>
  </conditionalFormatting>
  <conditionalFormatting sqref="I6:I10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{9caf955c-a6f1-4378-ae9c-fb9c12046b09}</x14:id>
        </ext>
      </extLst>
    </cfRule>
  </conditionalFormatting>
  <conditionalFormatting sqref="I11:I12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{b61a37c8-a8ac-49b1-a9b8-0c4df367191b}</x14:id>
        </ext>
      </extLst>
    </cfRule>
  </conditionalFormatting>
  <conditionalFormatting sqref="I17:I22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{82eb9a93-2e02-479f-b021-c9f5904f8c9b}</x14:id>
        </ext>
      </extLst>
    </cfRule>
  </conditionalFormatting>
  <conditionalFormatting sqref="I29:I34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{87d6dcd9-4ec2-4695-877c-aa865952bbb1}</x14:id>
        </ext>
      </extLst>
    </cfRule>
  </conditionalFormatting>
  <conditionalFormatting sqref="I41:I47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{8cf23a7d-08fa-4f3d-b9d3-ff073e663fe5}</x14:id>
        </ext>
      </extLst>
    </cfRule>
  </conditionalFormatting>
  <conditionalFormatting sqref="I54:I59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{c255f845-8bae-4bb1-aee6-8e5c5ed1274a}</x14:id>
        </ext>
      </extLst>
    </cfRule>
  </conditionalFormatting>
  <conditionalFormatting sqref="I66:I71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{044a49bd-9c24-422e-9cdd-f82d7146ce29}</x14:id>
        </ext>
      </extLst>
    </cfRule>
  </conditionalFormatting>
  <conditionalFormatting sqref="I78:I81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{c0170fe8-8b72-44b2-a74c-ef40596e375e}</x14:id>
        </ext>
      </extLst>
    </cfRule>
  </conditionalFormatting>
  <conditionalFormatting sqref="I89:I94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{304504e6-aaa0-400f-8ceb-9060346952e3}</x14:id>
        </ext>
      </extLst>
    </cfRule>
  </conditionalFormatting>
  <conditionalFormatting sqref="I102:I107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{73112c50-1729-49f6-8954-bfe3a040e820}</x14:id>
        </ext>
      </extLst>
    </cfRule>
  </conditionalFormatting>
  <conditionalFormatting sqref="I114:I121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{3068595d-002d-41e0-8290-148b030e763b}</x14:id>
        </ext>
      </extLst>
    </cfRule>
  </conditionalFormatting>
  <conditionalFormatting sqref="I129:I134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{d5eb1503-3a97-4fee-ba1d-d7e77cb42d24}</x14:id>
        </ext>
      </extLst>
    </cfRule>
  </conditionalFormatting>
  <conditionalFormatting sqref="I135:I136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{f4c7a995-645b-4c4a-86f5-0bc9384c6d00}</x14:id>
        </ext>
      </extLst>
    </cfRule>
  </conditionalFormatting>
  <conditionalFormatting sqref="I141:I14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{7bee1536-6fec-455f-a85f-feb54d44cd4b}</x14:id>
        </ext>
      </extLst>
    </cfRule>
  </conditionalFormatting>
  <conditionalFormatting sqref="I157:I16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{5c46dbd8-39e5-4d76-9494-1ef481a0969b}</x14:id>
        </ext>
      </extLst>
    </cfRule>
  </conditionalFormatting>
  <conditionalFormatting sqref="M6:M1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{9e34c4e0-0f1a-4081-8ce4-2fe012281de9}</x14:id>
        </ext>
      </extLst>
    </cfRule>
  </conditionalFormatting>
  <conditionalFormatting sqref="M17:M2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{c6df9ae2-b95a-4e91-9582-7774b35e2809}</x14:id>
        </ext>
      </extLst>
    </cfRule>
  </conditionalFormatting>
  <conditionalFormatting sqref="M29:M34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{5fb533e9-abca-41ef-a447-8de6f050ffe6}</x14:id>
        </ext>
      </extLst>
    </cfRule>
  </conditionalFormatting>
  <conditionalFormatting sqref="M41:M47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{e69ce4d1-3a18-4c91-8d66-431f36b20a33}</x14:id>
        </ext>
      </extLst>
    </cfRule>
  </conditionalFormatting>
  <conditionalFormatting sqref="M54:M59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{059f14b6-9841-4a1b-8a64-16cbd5e01f5c}</x14:id>
        </ext>
      </extLst>
    </cfRule>
  </conditionalFormatting>
  <conditionalFormatting sqref="M66:M71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{0b470c52-ecba-455e-8662-b2dbb6006914}</x14:id>
        </ext>
      </extLst>
    </cfRule>
  </conditionalFormatting>
  <conditionalFormatting sqref="M78:M81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{55e5d4b8-a5e5-4e49-8a99-5f182bb4b876}</x14:id>
        </ext>
      </extLst>
    </cfRule>
  </conditionalFormatting>
  <conditionalFormatting sqref="M89:M94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{debebccb-9d62-4402-a7a8-4f4c6fc39876}</x14:id>
        </ext>
      </extLst>
    </cfRule>
  </conditionalFormatting>
  <conditionalFormatting sqref="M102:M10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{f6c21078-50ae-4fc9-9157-5eaa6747b413}</x14:id>
        </ext>
      </extLst>
    </cfRule>
  </conditionalFormatting>
  <conditionalFormatting sqref="M114:M121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{0146a5c5-f01d-4257-b466-3ada732e9c78}</x14:id>
        </ext>
      </extLst>
    </cfRule>
  </conditionalFormatting>
  <conditionalFormatting sqref="M129:M13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{d176d7c0-2a71-4c43-9627-304e1e6459f2}</x14:id>
        </ext>
      </extLst>
    </cfRule>
  </conditionalFormatting>
  <conditionalFormatting sqref="M141:M149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{82c52d86-c633-42eb-8add-f53f59f5ca35}</x14:id>
        </ext>
      </extLst>
    </cfRule>
  </conditionalFormatting>
  <conditionalFormatting sqref="M157:M16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{8260080b-3ada-4e37-a1c4-77a5f4367f02}</x14:id>
        </ext>
      </extLst>
    </cfRule>
  </conditionalFormatting>
  <conditionalFormatting sqref="I3 I5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{3fd0dd91-d497-4225-872f-1ad315faa830}</x14:id>
        </ext>
      </extLst>
    </cfRule>
  </conditionalFormatting>
  <conditionalFormatting sqref="M3 M5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{53f9189d-304b-4773-a9b6-d8392bdafbcb}</x14:id>
        </ext>
      </extLst>
    </cfRule>
  </conditionalFormatting>
  <conditionalFormatting sqref="I23:I24 I16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{9fff396d-26c9-447d-aa36-9a3108582fa8}</x14:id>
        </ext>
      </extLst>
    </cfRule>
  </conditionalFormatting>
  <conditionalFormatting sqref="I35:I36 I28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{7d8369f3-89e9-40b1-85c6-fc32269e79f4}</x14:id>
        </ext>
      </extLst>
    </cfRule>
  </conditionalFormatting>
  <conditionalFormatting sqref="I48:I49 I40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{23dee5a3-d0cd-4494-992c-8ee47c6b4ab3}</x14:id>
        </ext>
      </extLst>
    </cfRule>
  </conditionalFormatting>
  <conditionalFormatting sqref="I60:I61 I53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{1ca49a4b-ffe0-4301-8885-f0775fdf45d1}</x14:id>
        </ext>
      </extLst>
    </cfRule>
  </conditionalFormatting>
  <conditionalFormatting sqref="I72:I73 I65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{f281d386-3004-4347-8f9a-28f5e9760f51}</x14:id>
        </ext>
      </extLst>
    </cfRule>
  </conditionalFormatting>
  <conditionalFormatting sqref="I82:I83 I77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{e2b9f66c-d986-4761-b5fa-41defa00b40d}</x14:id>
        </ext>
      </extLst>
    </cfRule>
  </conditionalFormatting>
  <conditionalFormatting sqref="I95:I96 I88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{4d6f8b36-b378-4bb5-aadd-109ccfe78b50}</x14:id>
        </ext>
      </extLst>
    </cfRule>
  </conditionalFormatting>
  <conditionalFormatting sqref="I108:I109 I101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{2402e356-de7d-41e1-be7c-6297d0e93800}</x14:id>
        </ext>
      </extLst>
    </cfRule>
  </conditionalFormatting>
  <conditionalFormatting sqref="I123:I124 I113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{3b94be2f-a34d-42dd-970d-789a2139f7f8}</x14:id>
        </ext>
      </extLst>
    </cfRule>
  </conditionalFormatting>
  <conditionalFormatting sqref="I151:I152 I140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{5cdb6cb7-21ef-4caf-b96f-710f55bc7243}</x14:id>
        </ext>
      </extLst>
    </cfRule>
  </conditionalFormatting>
  <conditionalFormatting sqref="I165:I166 I156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{82a39ca2-e20c-456e-b83a-0d57fbef486b}</x14:id>
        </ext>
      </extLst>
    </cfRule>
  </conditionalFormatting>
  <hyperlinks>
    <hyperlink ref="B47" r:id="rId1" display="moparpartsinc.com" tooltip="http://www.moparpartsinc.com"/>
    <hyperlink ref="B70" r:id="rId2" display="partsfornissans.com"/>
    <hyperlink ref="B91" r:id="rId3" display="subarupartsplus.com" tooltip="http://www.subarupartsplus.com"/>
    <hyperlink ref="B42" r:id="rId4" display="moparfactoryparts.com" tooltip="http://www.moparfactoryparts.com"/>
    <hyperlink ref="B87" r:id="rId5" display="subaruparts.com" tooltip="http://www.subaruparts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f393d73-013f-4807-878c-cbd346ad11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</xm:sqref>
        </x14:conditionalFormatting>
        <x14:conditionalFormatting xmlns:xm="http://schemas.microsoft.com/office/excel/2006/main">
          <x14:cfRule type="dataBar" id="{480c5211-fc5a-4d4d-9ec7-55a99f3073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</xm:sqref>
        </x14:conditionalFormatting>
        <x14:conditionalFormatting xmlns:xm="http://schemas.microsoft.com/office/excel/2006/main">
          <x14:cfRule type="dataBar" id="{1d3a976c-5c7d-414d-b065-70f814e1375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</xm:sqref>
        </x14:conditionalFormatting>
        <x14:conditionalFormatting xmlns:xm="http://schemas.microsoft.com/office/excel/2006/main">
          <x14:cfRule type="dataBar" id="{c701ba4d-a2d8-4375-b898-dbbf29af094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M16</xm:sqref>
        </x14:conditionalFormatting>
        <x14:conditionalFormatting xmlns:xm="http://schemas.microsoft.com/office/excel/2006/main">
          <x14:cfRule type="dataBar" id="{e388a62c-4155-4fec-9ae4-b75442bea8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M28</xm:sqref>
        </x14:conditionalFormatting>
        <x14:conditionalFormatting xmlns:xm="http://schemas.microsoft.com/office/excel/2006/main">
          <x14:cfRule type="dataBar" id="{461803b2-4833-4d47-8a49-9d9f51c460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M40</xm:sqref>
        </x14:conditionalFormatting>
        <x14:conditionalFormatting xmlns:xm="http://schemas.microsoft.com/office/excel/2006/main">
          <x14:cfRule type="dataBar" id="{a16e668e-97f6-4724-9679-341b108e47e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a0923ab3-f87e-4013-8e6d-251d69bcdd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M65</xm:sqref>
        </x14:conditionalFormatting>
        <x14:conditionalFormatting xmlns:xm="http://schemas.microsoft.com/office/excel/2006/main">
          <x14:cfRule type="dataBar" id="{0452060b-62ea-4688-9496-6e30af98ab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M77</xm:sqref>
        </x14:conditionalFormatting>
        <x14:conditionalFormatting xmlns:xm="http://schemas.microsoft.com/office/excel/2006/main">
          <x14:cfRule type="dataBar" id="{5bb525da-2642-497a-894b-c0a341efd2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I87</xm:sqref>
        </x14:conditionalFormatting>
        <x14:conditionalFormatting xmlns:xm="http://schemas.microsoft.com/office/excel/2006/main">
          <x14:cfRule type="dataBar" id="{e462d1ea-7d01-47d6-93bb-375f757619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M87</xm:sqref>
        </x14:conditionalFormatting>
        <x14:conditionalFormatting xmlns:xm="http://schemas.microsoft.com/office/excel/2006/main">
          <x14:cfRule type="dataBar" id="{9bf6a0a7-185c-4d84-9816-7adfed62b5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M88</xm:sqref>
        </x14:conditionalFormatting>
        <x14:conditionalFormatting xmlns:xm="http://schemas.microsoft.com/office/excel/2006/main">
          <x14:cfRule type="dataBar" id="{a3f0ea8a-6a40-45a0-afa0-c15ae30489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I100</xm:sqref>
        </x14:conditionalFormatting>
        <x14:conditionalFormatting xmlns:xm="http://schemas.microsoft.com/office/excel/2006/main">
          <x14:cfRule type="dataBar" id="{b762fc98-bc8f-4e78-a2fd-0746f51c65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M100</xm:sqref>
        </x14:conditionalFormatting>
        <x14:conditionalFormatting xmlns:xm="http://schemas.microsoft.com/office/excel/2006/main">
          <x14:cfRule type="dataBar" id="{651ace41-e4f8-4e4a-9393-74faeb7097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M101</xm:sqref>
        </x14:conditionalFormatting>
        <x14:conditionalFormatting xmlns:xm="http://schemas.microsoft.com/office/excel/2006/main">
          <x14:cfRule type="dataBar" id="{23555049-f5a1-41f6-b784-479000a4ca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M113</xm:sqref>
        </x14:conditionalFormatting>
        <x14:conditionalFormatting xmlns:xm="http://schemas.microsoft.com/office/excel/2006/main">
          <x14:cfRule type="dataBar" id="{93cc8a26-102f-4dd3-87a0-b9ccd5d50b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I122</xm:sqref>
        </x14:conditionalFormatting>
        <x14:conditionalFormatting xmlns:xm="http://schemas.microsoft.com/office/excel/2006/main">
          <x14:cfRule type="dataBar" id="{b48ea305-6605-42e9-85a6-62703e72c7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M122</xm:sqref>
        </x14:conditionalFormatting>
        <x14:conditionalFormatting xmlns:xm="http://schemas.microsoft.com/office/excel/2006/main">
          <x14:cfRule type="dataBar" id="{26ba1e1a-ecde-4049-b733-47c2dc397aa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M128</xm:sqref>
        </x14:conditionalFormatting>
        <x14:conditionalFormatting xmlns:xm="http://schemas.microsoft.com/office/excel/2006/main">
          <x14:cfRule type="dataBar" id="{3d527ccb-a91b-4e5c-adee-e5611905978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M140</xm:sqref>
        </x14:conditionalFormatting>
        <x14:conditionalFormatting xmlns:xm="http://schemas.microsoft.com/office/excel/2006/main">
          <x14:cfRule type="dataBar" id="{b5cd8831-9dd9-4912-85db-d87e5e01d9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M156</xm:sqref>
        </x14:conditionalFormatting>
        <x14:conditionalFormatting xmlns:xm="http://schemas.microsoft.com/office/excel/2006/main">
          <x14:cfRule type="dataBar" id="{9caf955c-a6f1-4378-ae9c-fb9c12046b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I6:I10</xm:sqref>
        </x14:conditionalFormatting>
        <x14:conditionalFormatting xmlns:xm="http://schemas.microsoft.com/office/excel/2006/main">
          <x14:cfRule type="dataBar" id="{b61a37c8-a8ac-49b1-a9b8-0c4df36719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I11:I12</xm:sqref>
        </x14:conditionalFormatting>
        <x14:conditionalFormatting xmlns:xm="http://schemas.microsoft.com/office/excel/2006/main">
          <x14:cfRule type="dataBar" id="{82eb9a93-2e02-479f-b021-c9f5904f8c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I17:I22</xm:sqref>
        </x14:conditionalFormatting>
        <x14:conditionalFormatting xmlns:xm="http://schemas.microsoft.com/office/excel/2006/main">
          <x14:cfRule type="dataBar" id="{87d6dcd9-4ec2-4695-877c-aa865952bbb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I29:I34</xm:sqref>
        </x14:conditionalFormatting>
        <x14:conditionalFormatting xmlns:xm="http://schemas.microsoft.com/office/excel/2006/main">
          <x14:cfRule type="dataBar" id="{8cf23a7d-08fa-4f3d-b9d3-ff073e663f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I41:I47</xm:sqref>
        </x14:conditionalFormatting>
        <x14:conditionalFormatting xmlns:xm="http://schemas.microsoft.com/office/excel/2006/main">
          <x14:cfRule type="dataBar" id="{c255f845-8bae-4bb1-aee6-8e5c5ed127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I54:I59</xm:sqref>
        </x14:conditionalFormatting>
        <x14:conditionalFormatting xmlns:xm="http://schemas.microsoft.com/office/excel/2006/main">
          <x14:cfRule type="dataBar" id="{044a49bd-9c24-422e-9cdd-f82d7146ce2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I66:I71</xm:sqref>
        </x14:conditionalFormatting>
        <x14:conditionalFormatting xmlns:xm="http://schemas.microsoft.com/office/excel/2006/main">
          <x14:cfRule type="dataBar" id="{c0170fe8-8b72-44b2-a74c-ef40596e37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I78:I81</xm:sqref>
        </x14:conditionalFormatting>
        <x14:conditionalFormatting xmlns:xm="http://schemas.microsoft.com/office/excel/2006/main">
          <x14:cfRule type="dataBar" id="{304504e6-aaa0-400f-8ceb-9060346952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I89:I94</xm:sqref>
        </x14:conditionalFormatting>
        <x14:conditionalFormatting xmlns:xm="http://schemas.microsoft.com/office/excel/2006/main">
          <x14:cfRule type="dataBar" id="{73112c50-1729-49f6-8954-bfe3a040e8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I102:I107</xm:sqref>
        </x14:conditionalFormatting>
        <x14:conditionalFormatting xmlns:xm="http://schemas.microsoft.com/office/excel/2006/main">
          <x14:cfRule type="dataBar" id="{3068595d-002d-41e0-8290-148b030e76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I114:I121</xm:sqref>
        </x14:conditionalFormatting>
        <x14:conditionalFormatting xmlns:xm="http://schemas.microsoft.com/office/excel/2006/main">
          <x14:cfRule type="dataBar" id="{d5eb1503-3a97-4fee-ba1d-d7e77cb42d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I129:I134</xm:sqref>
        </x14:conditionalFormatting>
        <x14:conditionalFormatting xmlns:xm="http://schemas.microsoft.com/office/excel/2006/main">
          <x14:cfRule type="dataBar" id="{f4c7a995-645b-4c4a-86f5-0bc9384c6d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I135:I136</xm:sqref>
        </x14:conditionalFormatting>
        <x14:conditionalFormatting xmlns:xm="http://schemas.microsoft.com/office/excel/2006/main">
          <x14:cfRule type="dataBar" id="{7bee1536-6fec-455f-a85f-feb54d44cd4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I141:I149</xm:sqref>
        </x14:conditionalFormatting>
        <x14:conditionalFormatting xmlns:xm="http://schemas.microsoft.com/office/excel/2006/main">
          <x14:cfRule type="dataBar" id="{5c46dbd8-39e5-4d76-9494-1ef481a096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I157:I164</xm:sqref>
        </x14:conditionalFormatting>
        <x14:conditionalFormatting xmlns:xm="http://schemas.microsoft.com/office/excel/2006/main">
          <x14:cfRule type="dataBar" id="{9e34c4e0-0f1a-4081-8ce4-2fe012281d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M6:M10</xm:sqref>
        </x14:conditionalFormatting>
        <x14:conditionalFormatting xmlns:xm="http://schemas.microsoft.com/office/excel/2006/main">
          <x14:cfRule type="dataBar" id="{c6df9ae2-b95a-4e91-9582-7774b35e28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M17:M22</xm:sqref>
        </x14:conditionalFormatting>
        <x14:conditionalFormatting xmlns:xm="http://schemas.microsoft.com/office/excel/2006/main">
          <x14:cfRule type="dataBar" id="{5fb533e9-abca-41ef-a447-8de6f050ffe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M29:M34</xm:sqref>
        </x14:conditionalFormatting>
        <x14:conditionalFormatting xmlns:xm="http://schemas.microsoft.com/office/excel/2006/main">
          <x14:cfRule type="dataBar" id="{e69ce4d1-3a18-4c91-8d66-431f36b20a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M41:M47</xm:sqref>
        </x14:conditionalFormatting>
        <x14:conditionalFormatting xmlns:xm="http://schemas.microsoft.com/office/excel/2006/main">
          <x14:cfRule type="dataBar" id="{059f14b6-9841-4a1b-8a64-16cbd5e01f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M54:M59</xm:sqref>
        </x14:conditionalFormatting>
        <x14:conditionalFormatting xmlns:xm="http://schemas.microsoft.com/office/excel/2006/main">
          <x14:cfRule type="dataBar" id="{0b470c52-ecba-455e-8662-b2dbb600691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M66:M71</xm:sqref>
        </x14:conditionalFormatting>
        <x14:conditionalFormatting xmlns:xm="http://schemas.microsoft.com/office/excel/2006/main">
          <x14:cfRule type="dataBar" id="{55e5d4b8-a5e5-4e49-8a99-5f182bb4b8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M78:M81</xm:sqref>
        </x14:conditionalFormatting>
        <x14:conditionalFormatting xmlns:xm="http://schemas.microsoft.com/office/excel/2006/main">
          <x14:cfRule type="dataBar" id="{debebccb-9d62-4402-a7a8-4f4c6fc398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M89:M94</xm:sqref>
        </x14:conditionalFormatting>
        <x14:conditionalFormatting xmlns:xm="http://schemas.microsoft.com/office/excel/2006/main">
          <x14:cfRule type="dataBar" id="{f6c21078-50ae-4fc9-9157-5eaa6747b4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M102:M107</xm:sqref>
        </x14:conditionalFormatting>
        <x14:conditionalFormatting xmlns:xm="http://schemas.microsoft.com/office/excel/2006/main">
          <x14:cfRule type="dataBar" id="{0146a5c5-f01d-4257-b466-3ada732e9c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M114:M121</xm:sqref>
        </x14:conditionalFormatting>
        <x14:conditionalFormatting xmlns:xm="http://schemas.microsoft.com/office/excel/2006/main">
          <x14:cfRule type="dataBar" id="{d176d7c0-2a71-4c43-9627-304e1e6459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M129:M134</xm:sqref>
        </x14:conditionalFormatting>
        <x14:conditionalFormatting xmlns:xm="http://schemas.microsoft.com/office/excel/2006/main">
          <x14:cfRule type="dataBar" id="{82c52d86-c633-42eb-8add-f53f59f5ca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M141:M149</xm:sqref>
        </x14:conditionalFormatting>
        <x14:conditionalFormatting xmlns:xm="http://schemas.microsoft.com/office/excel/2006/main">
          <x14:cfRule type="dataBar" id="{8260080b-3ada-4e37-a1c4-77a5f4367f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M157:M164</xm:sqref>
        </x14:conditionalFormatting>
        <x14:conditionalFormatting xmlns:xm="http://schemas.microsoft.com/office/excel/2006/main">
          <x14:cfRule type="dataBar" id="{3fd0dd91-d497-4225-872f-1ad315faa8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 I5</xm:sqref>
        </x14:conditionalFormatting>
        <x14:conditionalFormatting xmlns:xm="http://schemas.microsoft.com/office/excel/2006/main">
          <x14:cfRule type="dataBar" id="{53f9189d-304b-4773-a9b6-d8392bdafb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 M5</xm:sqref>
        </x14:conditionalFormatting>
        <x14:conditionalFormatting xmlns:xm="http://schemas.microsoft.com/office/excel/2006/main">
          <x14:cfRule type="dataBar" id="{9fff396d-26c9-447d-aa36-9a3108582f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I23:I24 I16</xm:sqref>
        </x14:conditionalFormatting>
        <x14:conditionalFormatting xmlns:xm="http://schemas.microsoft.com/office/excel/2006/main">
          <x14:cfRule type="dataBar" id="{7d8369f3-89e9-40b1-85c6-fc32269e79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I35:I36 I28</xm:sqref>
        </x14:conditionalFormatting>
        <x14:conditionalFormatting xmlns:xm="http://schemas.microsoft.com/office/excel/2006/main">
          <x14:cfRule type="dataBar" id="{23dee5a3-d0cd-4494-992c-8ee47c6b4a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I48:I49 I40</xm:sqref>
        </x14:conditionalFormatting>
        <x14:conditionalFormatting xmlns:xm="http://schemas.microsoft.com/office/excel/2006/main">
          <x14:cfRule type="dataBar" id="{1ca49a4b-ffe0-4301-8885-f0775fdf45d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I60:I61 I53</xm:sqref>
        </x14:conditionalFormatting>
        <x14:conditionalFormatting xmlns:xm="http://schemas.microsoft.com/office/excel/2006/main">
          <x14:cfRule type="dataBar" id="{f281d386-3004-4347-8f9a-28f5e9760f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I72:I73 I65</xm:sqref>
        </x14:conditionalFormatting>
        <x14:conditionalFormatting xmlns:xm="http://schemas.microsoft.com/office/excel/2006/main">
          <x14:cfRule type="dataBar" id="{e2b9f66c-d986-4761-b5fa-41defa00b4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I82:I83 I77</xm:sqref>
        </x14:conditionalFormatting>
        <x14:conditionalFormatting xmlns:xm="http://schemas.microsoft.com/office/excel/2006/main">
          <x14:cfRule type="dataBar" id="{4d6f8b36-b378-4bb5-aadd-109ccfe78b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I95:I96 I88</xm:sqref>
        </x14:conditionalFormatting>
        <x14:conditionalFormatting xmlns:xm="http://schemas.microsoft.com/office/excel/2006/main">
          <x14:cfRule type="dataBar" id="{2402e356-de7d-41e1-be7c-6297d0e938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I108:I109 I101</xm:sqref>
        </x14:conditionalFormatting>
        <x14:conditionalFormatting xmlns:xm="http://schemas.microsoft.com/office/excel/2006/main">
          <x14:cfRule type="dataBar" id="{3b94be2f-a34d-42dd-970d-789a2139f7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I123:I124 I113</xm:sqref>
        </x14:conditionalFormatting>
        <x14:conditionalFormatting xmlns:xm="http://schemas.microsoft.com/office/excel/2006/main">
          <x14:cfRule type="dataBar" id="{5cdb6cb7-21ef-4caf-b96f-710f55bc72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I151:I152 I140</xm:sqref>
        </x14:conditionalFormatting>
        <x14:conditionalFormatting xmlns:xm="http://schemas.microsoft.com/office/excel/2006/main">
          <x14:cfRule type="dataBar" id="{82a39ca2-e20c-456e-b83a-0d57fbef48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I165:I166 I156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33"/>
  <sheetViews>
    <sheetView workbookViewId="0">
      <selection activeCell="A1" sqref="A1"/>
    </sheetView>
  </sheetViews>
  <sheetFormatPr defaultColWidth="9" defaultRowHeight="15.6"/>
  <cols>
    <col min="1" max="1" width="13.4444444444444" style="408" customWidth="1"/>
    <col min="2" max="2" width="39.8888888888889" style="408" customWidth="1"/>
    <col min="3" max="3" width="11.3333333333333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19.2222222222222" style="413" hidden="1" customWidth="1"/>
    <col min="14" max="14" width="7.33333333333333" style="414" hidden="1" customWidth="1"/>
    <col min="15" max="15" width="16.3333333333333" style="412" hidden="1" customWidth="1"/>
    <col min="16" max="16" width="96.4444444444444" style="528" customWidth="1"/>
    <col min="17" max="17" width="31.6666666666667" style="408" customWidth="1"/>
    <col min="18" max="18" width="14.8888888888889" style="408" customWidth="1"/>
    <col min="19" max="19" width="10.1111111111111" style="408" customWidth="1"/>
    <col min="20" max="20" width="17.1111111111111" style="416" customWidth="1"/>
    <col min="21" max="21" width="16.8888888888889" style="416" customWidth="1"/>
    <col min="22" max="22" width="10.8888888888889" style="408" hidden="1" customWidth="1"/>
    <col min="23" max="23" width="11.1111111111111" style="408" hidden="1" customWidth="1"/>
    <col min="24" max="16383" width="9" style="417"/>
  </cols>
  <sheetData>
    <row r="1" s="408" customFormat="1" ht="17.4" spans="1:23">
      <c r="A1" s="418" t="s">
        <v>145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43"/>
      <c r="N1" s="444"/>
      <c r="O1" s="422"/>
      <c r="P1" s="529"/>
      <c r="Q1" s="465"/>
      <c r="R1" s="424"/>
      <c r="S1" s="421"/>
      <c r="T1" s="466"/>
      <c r="U1" s="467"/>
      <c r="V1" s="467"/>
      <c r="W1" s="467"/>
    </row>
    <row r="2" s="409" customFormat="1" ht="46.8" spans="1:23">
      <c r="A2" s="423" t="s">
        <v>206</v>
      </c>
      <c r="B2" s="424" t="s">
        <v>207</v>
      </c>
      <c r="C2" s="425" t="s">
        <v>447</v>
      </c>
      <c r="D2" s="424" t="s">
        <v>209</v>
      </c>
      <c r="E2" s="426" t="s">
        <v>210</v>
      </c>
      <c r="F2" s="427" t="s">
        <v>478</v>
      </c>
      <c r="G2" s="427" t="s">
        <v>213</v>
      </c>
      <c r="H2" s="427" t="s">
        <v>396</v>
      </c>
      <c r="I2" s="445" t="s">
        <v>386</v>
      </c>
      <c r="J2" s="446" t="s">
        <v>444</v>
      </c>
      <c r="K2" s="446" t="s">
        <v>449</v>
      </c>
      <c r="L2" s="446" t="s">
        <v>479</v>
      </c>
      <c r="M2" s="447" t="s">
        <v>436</v>
      </c>
      <c r="N2" s="448" t="s">
        <v>219</v>
      </c>
      <c r="O2" s="449" t="s">
        <v>220</v>
      </c>
      <c r="P2" s="535" t="s">
        <v>0</v>
      </c>
      <c r="Q2" s="469" t="s">
        <v>222</v>
      </c>
      <c r="R2" s="426" t="s">
        <v>223</v>
      </c>
      <c r="S2" s="470" t="s">
        <v>224</v>
      </c>
      <c r="T2" s="467" t="s">
        <v>225</v>
      </c>
      <c r="U2" s="470" t="s">
        <v>226</v>
      </c>
      <c r="V2" s="467"/>
      <c r="W2" s="467"/>
    </row>
    <row r="3" s="408" customFormat="1" spans="1:23">
      <c r="A3" s="428" t="s">
        <v>230</v>
      </c>
      <c r="B3" s="421" t="s">
        <v>251</v>
      </c>
      <c r="C3" s="429" t="s">
        <v>233</v>
      </c>
      <c r="D3" s="421" t="s">
        <v>417</v>
      </c>
      <c r="E3" s="430"/>
      <c r="F3" s="430">
        <v>574379.083333333</v>
      </c>
      <c r="G3" s="430"/>
      <c r="H3" s="430"/>
      <c r="I3" s="450"/>
      <c r="J3" s="451">
        <v>0.235301891847012</v>
      </c>
      <c r="K3" s="451">
        <v>0.257695251669707</v>
      </c>
      <c r="L3" s="451">
        <v>0.240632934970351</v>
      </c>
      <c r="M3" s="452"/>
      <c r="N3" s="451"/>
      <c r="O3" s="430"/>
      <c r="P3" s="531">
        <f t="array" ref="P3">INDEX(正厂竞争者数据汇总!I:I,MATCH($A$1&amp;B3,正厂竞争者数据汇总!A:A&amp;正厂竞争者数据汇总!D:D,0))</f>
        <v>0</v>
      </c>
      <c r="Q3" s="429" t="s">
        <v>180</v>
      </c>
      <c r="R3" s="421" t="s">
        <v>180</v>
      </c>
      <c r="S3" s="472"/>
      <c r="T3" s="466"/>
      <c r="U3" s="466"/>
      <c r="V3" s="466"/>
      <c r="W3" s="466"/>
    </row>
    <row r="4" s="408" customFormat="1" ht="17.4" spans="1:23">
      <c r="A4" s="428" t="s">
        <v>230</v>
      </c>
      <c r="B4" s="421" t="s">
        <v>450</v>
      </c>
      <c r="C4" s="429" t="s">
        <v>233</v>
      </c>
      <c r="D4" s="421" t="s">
        <v>60</v>
      </c>
      <c r="E4" s="430"/>
      <c r="F4" s="430">
        <v>558664</v>
      </c>
      <c r="G4" s="430"/>
      <c r="H4" s="430"/>
      <c r="I4" s="450"/>
      <c r="J4" s="451">
        <v>0.228864002748741</v>
      </c>
      <c r="K4" s="451">
        <v>0.217595593660659</v>
      </c>
      <c r="L4" s="451">
        <v>0.21949939806389</v>
      </c>
      <c r="M4" s="452"/>
      <c r="N4" s="451"/>
      <c r="O4" s="430"/>
      <c r="P4" s="531" t="str">
        <f t="array" ref="P4">INDEX(正厂竞争者数据汇总!I:I,MATCH($A$1&amp;B4,正厂竞争者数据汇总!A:A&amp;正厂竞争者数据汇总!D:D,0))</f>
        <v>原gmpartsonline.net，202305网站导流到autopartspress.net。自2023年7月报告更新，将此竞品更名为autopartsexpress.net</v>
      </c>
      <c r="Q4" s="429" t="s">
        <v>254</v>
      </c>
      <c r="R4" s="421" t="s">
        <v>229</v>
      </c>
      <c r="S4" s="472"/>
      <c r="T4" s="466"/>
      <c r="U4" s="466"/>
      <c r="V4" s="466"/>
      <c r="W4" s="466"/>
    </row>
    <row r="5" s="410" customFormat="1" spans="1:23">
      <c r="A5" s="432" t="s">
        <v>227</v>
      </c>
      <c r="B5" s="435" t="s">
        <v>146</v>
      </c>
      <c r="C5" s="505" t="s">
        <v>441</v>
      </c>
      <c r="D5" s="435" t="s">
        <v>58</v>
      </c>
      <c r="E5" s="436"/>
      <c r="F5" s="436">
        <v>502550.333333333</v>
      </c>
      <c r="G5" s="436"/>
      <c r="H5" s="436"/>
      <c r="I5" s="510"/>
      <c r="J5" s="457">
        <v>0.205876306455008</v>
      </c>
      <c r="K5" s="457">
        <v>0.189721031094218</v>
      </c>
      <c r="L5" s="457">
        <v>0.185589177035631</v>
      </c>
      <c r="M5" s="461"/>
      <c r="N5" s="457"/>
      <c r="O5" s="436"/>
      <c r="P5" s="531">
        <f t="array" ref="P5">INDEX(正厂竞争者数据汇总!I:I,MATCH($A$1&amp;B5,正厂竞争者数据汇总!A:A&amp;正厂竞争者数据汇总!D:D,0))</f>
        <v>0</v>
      </c>
      <c r="Q5" s="434"/>
      <c r="R5" s="435"/>
      <c r="S5" s="476"/>
      <c r="T5" s="477"/>
      <c r="U5" s="477"/>
      <c r="V5" s="477"/>
      <c r="W5" s="477"/>
    </row>
    <row r="6" s="408" customFormat="1" spans="1:23">
      <c r="A6" s="428" t="s">
        <v>230</v>
      </c>
      <c r="B6" s="421" t="s">
        <v>252</v>
      </c>
      <c r="C6" s="429" t="s">
        <v>233</v>
      </c>
      <c r="D6" s="421" t="s">
        <v>58</v>
      </c>
      <c r="E6" s="430"/>
      <c r="F6" s="430">
        <v>236448.666666667</v>
      </c>
      <c r="G6" s="430"/>
      <c r="H6" s="430"/>
      <c r="I6" s="450"/>
      <c r="J6" s="451">
        <v>0.0968642838950356</v>
      </c>
      <c r="K6" s="451">
        <v>0.103689611741843</v>
      </c>
      <c r="L6" s="451">
        <v>0.10462913047845</v>
      </c>
      <c r="M6" s="452"/>
      <c r="N6" s="451"/>
      <c r="O6" s="430"/>
      <c r="P6" s="531">
        <f t="array" ref="P6">INDEX(正厂竞争者数据汇总!I:I,MATCH($A$1&amp;B6,正厂竞争者数据汇总!A:A&amp;正厂竞争者数据汇总!D:D,0))</f>
        <v>0</v>
      </c>
      <c r="Q6" s="429" t="s">
        <v>180</v>
      </c>
      <c r="R6" s="421" t="s">
        <v>180</v>
      </c>
      <c r="S6" s="472"/>
      <c r="T6" s="466"/>
      <c r="U6" s="466"/>
      <c r="V6" s="466"/>
      <c r="W6" s="466"/>
    </row>
    <row r="7" s="408" customFormat="1" spans="1:23">
      <c r="A7" s="428" t="s">
        <v>230</v>
      </c>
      <c r="B7" s="421" t="s">
        <v>258</v>
      </c>
      <c r="C7" s="429" t="s">
        <v>233</v>
      </c>
      <c r="D7" s="421" t="s">
        <v>59</v>
      </c>
      <c r="E7" s="430"/>
      <c r="F7" s="430">
        <v>172354.5</v>
      </c>
      <c r="G7" s="430"/>
      <c r="H7" s="430"/>
      <c r="I7" s="450"/>
      <c r="J7" s="451">
        <v>0.0706072715653019</v>
      </c>
      <c r="K7" s="451">
        <v>0.0635032412675029</v>
      </c>
      <c r="L7" s="451">
        <v>0.072428237276366</v>
      </c>
      <c r="M7" s="452"/>
      <c r="N7" s="451"/>
      <c r="O7" s="430"/>
      <c r="P7" s="531">
        <f t="array" ref="P7">INDEX(正厂竞争者数据汇总!I:I,MATCH($A$1&amp;B7,正厂竞争者数据汇总!A:A&amp;正厂竞争者数据汇总!D:D,0))</f>
        <v>0</v>
      </c>
      <c r="Q7" s="429" t="s">
        <v>180</v>
      </c>
      <c r="R7" s="421"/>
      <c r="S7" s="472"/>
      <c r="T7" s="466"/>
      <c r="U7" s="466"/>
      <c r="V7" s="466"/>
      <c r="W7" s="466"/>
    </row>
    <row r="8" s="408" customFormat="1" spans="1:23">
      <c r="A8" s="428" t="s">
        <v>391</v>
      </c>
      <c r="B8" s="421" t="s">
        <v>256</v>
      </c>
      <c r="C8" s="429" t="s">
        <v>441</v>
      </c>
      <c r="D8" s="421" t="s">
        <v>418</v>
      </c>
      <c r="E8" s="430"/>
      <c r="F8" s="430">
        <v>150049</v>
      </c>
      <c r="G8" s="430"/>
      <c r="H8" s="430"/>
      <c r="I8" s="450"/>
      <c r="J8" s="451">
        <v>0.0614695322205222</v>
      </c>
      <c r="K8" s="451">
        <v>0.0591363957799695</v>
      </c>
      <c r="L8" s="451">
        <v>0.0514132677012436</v>
      </c>
      <c r="M8" s="452"/>
      <c r="N8" s="451"/>
      <c r="O8" s="430"/>
      <c r="P8" s="531">
        <f t="array" ref="P8">INDEX(正厂竞争者数据汇总!I:I,MATCH($A$1&amp;B8,正厂竞争者数据汇总!A:A&amp;正厂竞争者数据汇总!D:D,0))</f>
        <v>0</v>
      </c>
      <c r="Q8" s="429" t="s">
        <v>257</v>
      </c>
      <c r="R8" s="421" t="s">
        <v>229</v>
      </c>
      <c r="S8" s="472"/>
      <c r="T8" s="466"/>
      <c r="U8" s="466"/>
      <c r="V8" s="466"/>
      <c r="W8" s="466"/>
    </row>
    <row r="9" s="408" customFormat="1" spans="1:23">
      <c r="A9" s="428" t="s">
        <v>230</v>
      </c>
      <c r="B9" s="421" t="s">
        <v>255</v>
      </c>
      <c r="C9" s="429" t="s">
        <v>233</v>
      </c>
      <c r="D9" s="421" t="s">
        <v>419</v>
      </c>
      <c r="E9" s="430"/>
      <c r="F9" s="430">
        <v>135387.951666667</v>
      </c>
      <c r="G9" s="430"/>
      <c r="H9" s="430"/>
      <c r="I9" s="450"/>
      <c r="J9" s="451">
        <v>0.0554634423238055</v>
      </c>
      <c r="K9" s="451">
        <v>0.0588421153956928</v>
      </c>
      <c r="L9" s="451">
        <v>0.0654793454651066</v>
      </c>
      <c r="M9" s="452"/>
      <c r="N9" s="451"/>
      <c r="O9" s="430"/>
      <c r="P9" s="531" t="str">
        <f t="array" ref="P9">INDEX(正厂竞争者数据汇总!I:I,MATCH($A$1&amp;B9,正厂竞争者数据汇总!A:A&amp;正厂竞争者数据汇总!D:D,0))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9" s="429" t="s">
        <v>180</v>
      </c>
      <c r="R9" s="421" t="s">
        <v>180</v>
      </c>
      <c r="S9" s="472"/>
      <c r="T9" s="466"/>
      <c r="U9" s="466"/>
      <c r="V9" s="466"/>
      <c r="W9" s="466"/>
    </row>
    <row r="10" s="408" customFormat="1" spans="1:23">
      <c r="A10" s="428" t="s">
        <v>230</v>
      </c>
      <c r="B10" s="421" t="s">
        <v>437</v>
      </c>
      <c r="C10" s="429" t="s">
        <v>233</v>
      </c>
      <c r="D10" s="421" t="s">
        <v>451</v>
      </c>
      <c r="E10" s="430"/>
      <c r="F10" s="430">
        <v>111196.916666667</v>
      </c>
      <c r="G10" s="430"/>
      <c r="H10" s="430"/>
      <c r="I10" s="450"/>
      <c r="J10" s="451">
        <v>0.0455532689445742</v>
      </c>
      <c r="K10" s="451">
        <v>0.0498167593904073</v>
      </c>
      <c r="L10" s="451">
        <v>0.0603285090089615</v>
      </c>
      <c r="M10" s="452"/>
      <c r="N10" s="451"/>
      <c r="O10" s="430"/>
      <c r="P10" s="531">
        <f t="array" ref="P10">INDEX(正厂竞争者数据汇总!I:I,MATCH($A$1&amp;B10,正厂竞争者数据汇总!A:A&amp;正厂竞争者数据汇总!D:D,0))</f>
        <v>0</v>
      </c>
      <c r="Q10" s="429" t="s">
        <v>180</v>
      </c>
      <c r="R10" s="421" t="s">
        <v>180</v>
      </c>
      <c r="S10" s="472"/>
      <c r="T10" s="466"/>
      <c r="U10" s="466"/>
      <c r="V10" s="466"/>
      <c r="W10" s="466"/>
    </row>
    <row r="11" s="410" customFormat="1" spans="1:23">
      <c r="A11" s="428"/>
      <c r="B11" s="431"/>
      <c r="C11" s="429"/>
      <c r="D11" s="421"/>
      <c r="E11" s="430"/>
      <c r="F11" s="430"/>
      <c r="G11" s="430"/>
      <c r="H11" s="430"/>
      <c r="I11" s="450"/>
      <c r="J11" s="455"/>
      <c r="K11" s="455"/>
      <c r="L11" s="455"/>
      <c r="M11" s="452"/>
      <c r="N11" s="457"/>
      <c r="O11" s="436"/>
      <c r="P11" s="531"/>
      <c r="Q11" s="434"/>
      <c r="R11" s="435"/>
      <c r="S11" s="473"/>
      <c r="T11" s="477"/>
      <c r="U11" s="466"/>
      <c r="V11" s="435"/>
      <c r="W11" s="435"/>
    </row>
    <row r="12" s="408" customFormat="1" spans="1:23">
      <c r="A12" s="428"/>
      <c r="B12" s="421"/>
      <c r="C12" s="439"/>
      <c r="D12" s="421"/>
      <c r="E12" s="430"/>
      <c r="F12" s="430">
        <v>2441030.45166667</v>
      </c>
      <c r="G12" s="430"/>
      <c r="H12" s="430"/>
      <c r="I12" s="453"/>
      <c r="J12" s="430"/>
      <c r="K12" s="430"/>
      <c r="L12" s="430"/>
      <c r="M12" s="451"/>
      <c r="N12" s="451"/>
      <c r="O12" s="430"/>
      <c r="P12" s="531"/>
      <c r="Q12" s="429"/>
      <c r="R12" s="421"/>
      <c r="S12" s="473"/>
      <c r="T12" s="466"/>
      <c r="U12" s="466"/>
      <c r="V12" s="421"/>
      <c r="W12" s="421"/>
    </row>
    <row r="13" s="408" customFormat="1" spans="1:23">
      <c r="A13" s="428"/>
      <c r="B13" s="421"/>
      <c r="C13" s="439"/>
      <c r="D13" s="421"/>
      <c r="E13" s="430"/>
      <c r="F13" s="430"/>
      <c r="G13" s="430"/>
      <c r="H13" s="430"/>
      <c r="I13" s="453"/>
      <c r="J13" s="430"/>
      <c r="K13" s="430"/>
      <c r="L13" s="430"/>
      <c r="M13" s="451"/>
      <c r="N13" s="451"/>
      <c r="O13" s="430"/>
      <c r="P13" s="531"/>
      <c r="Q13" s="429"/>
      <c r="R13" s="421"/>
      <c r="S13" s="473"/>
      <c r="T13" s="466"/>
      <c r="U13" s="466"/>
      <c r="V13" s="421"/>
      <c r="W13" s="421"/>
    </row>
    <row r="14" s="408" customFormat="1" ht="17.4" spans="1:23">
      <c r="A14" s="418" t="s">
        <v>138</v>
      </c>
      <c r="B14" s="419"/>
      <c r="C14" s="420"/>
      <c r="D14" s="421"/>
      <c r="E14" s="422" t="s">
        <v>202</v>
      </c>
      <c r="F14" s="422"/>
      <c r="G14" s="422"/>
      <c r="H14" s="422"/>
      <c r="I14" s="422"/>
      <c r="J14" s="422"/>
      <c r="K14" s="422"/>
      <c r="L14" s="422"/>
      <c r="M14" s="443"/>
      <c r="N14" s="444"/>
      <c r="O14" s="422"/>
      <c r="P14" s="531"/>
      <c r="Q14" s="465"/>
      <c r="R14" s="424"/>
      <c r="S14" s="473"/>
      <c r="T14" s="467"/>
      <c r="U14" s="467"/>
      <c r="V14" s="467"/>
      <c r="W14" s="467"/>
    </row>
    <row r="15" s="409" customFormat="1" ht="46.8" spans="1:23">
      <c r="A15" s="423" t="s">
        <v>206</v>
      </c>
      <c r="B15" s="424" t="s">
        <v>207</v>
      </c>
      <c r="C15" s="425" t="s">
        <v>447</v>
      </c>
      <c r="D15" s="424" t="s">
        <v>209</v>
      </c>
      <c r="E15" s="426" t="s">
        <v>210</v>
      </c>
      <c r="F15" s="427" t="s">
        <v>478</v>
      </c>
      <c r="G15" s="427" t="s">
        <v>213</v>
      </c>
      <c r="H15" s="427" t="s">
        <v>396</v>
      </c>
      <c r="I15" s="427" t="s">
        <v>386</v>
      </c>
      <c r="J15" s="446" t="s">
        <v>444</v>
      </c>
      <c r="K15" s="446" t="s">
        <v>449</v>
      </c>
      <c r="L15" s="446" t="s">
        <v>479</v>
      </c>
      <c r="M15" s="447" t="s">
        <v>436</v>
      </c>
      <c r="N15" s="448" t="s">
        <v>219</v>
      </c>
      <c r="O15" s="449" t="s">
        <v>220</v>
      </c>
      <c r="P15" s="535" t="s">
        <v>0</v>
      </c>
      <c r="Q15" s="469" t="s">
        <v>222</v>
      </c>
      <c r="R15" s="426" t="s">
        <v>223</v>
      </c>
      <c r="S15" s="470" t="s">
        <v>224</v>
      </c>
      <c r="T15" s="467" t="s">
        <v>225</v>
      </c>
      <c r="U15" s="470" t="s">
        <v>226</v>
      </c>
      <c r="V15" s="467"/>
      <c r="W15" s="467"/>
    </row>
    <row r="16" s="410" customFormat="1" ht="17.4" spans="1:23">
      <c r="A16" s="432" t="s">
        <v>227</v>
      </c>
      <c r="B16" s="435" t="s">
        <v>139</v>
      </c>
      <c r="C16" s="434" t="s">
        <v>441</v>
      </c>
      <c r="D16" s="435" t="s">
        <v>49</v>
      </c>
      <c r="E16" s="436">
        <f>VLOOKUP(B16,正厂竞争者数据汇总!D:H,4,FALSE)</f>
        <v>0</v>
      </c>
      <c r="F16" s="436">
        <v>1312041.66666667</v>
      </c>
      <c r="G16" s="436">
        <v>1150833.33333333</v>
      </c>
      <c r="H16" s="436">
        <v>1200750</v>
      </c>
      <c r="I16" s="454">
        <f>(F16/G16)-1</f>
        <v>0.140079652425785</v>
      </c>
      <c r="J16" s="455">
        <v>0.53525393620801</v>
      </c>
      <c r="K16" s="455">
        <v>0.523149843909333</v>
      </c>
      <c r="L16" s="455">
        <v>0.526115937370734</v>
      </c>
      <c r="M16" s="456">
        <f>J16-K16</f>
        <v>0.012104092298677</v>
      </c>
      <c r="N16" s="455" t="str">
        <f>IFERROR(O16*0.5/$F$16,"")</f>
        <v/>
      </c>
      <c r="O16" s="436" t="s">
        <v>180</v>
      </c>
      <c r="P16" s="531">
        <f t="array" ref="P16">INDEX(正厂竞争者数据汇总!I:I,MATCH($A$14&amp;B16,正厂竞争者数据汇总!A:A&amp;正厂竞争者数据汇总!D:D,0))</f>
        <v>0</v>
      </c>
      <c r="Q16" s="434" t="s">
        <v>228</v>
      </c>
      <c r="R16" s="435" t="s">
        <v>229</v>
      </c>
      <c r="S16" s="476"/>
      <c r="T16" s="435" t="s">
        <v>480</v>
      </c>
      <c r="U16" s="477"/>
      <c r="V16" s="477"/>
      <c r="W16" s="477"/>
    </row>
    <row r="17" s="408" customFormat="1" spans="1:23">
      <c r="A17" s="428" t="s">
        <v>230</v>
      </c>
      <c r="B17" s="421" t="s">
        <v>231</v>
      </c>
      <c r="C17" s="429" t="s">
        <v>441</v>
      </c>
      <c r="D17" s="421" t="s">
        <v>60</v>
      </c>
      <c r="E17" s="430"/>
      <c r="F17" s="430">
        <v>395095.015133333</v>
      </c>
      <c r="G17" s="430"/>
      <c r="H17" s="430"/>
      <c r="I17" s="450"/>
      <c r="J17" s="451">
        <v>0.161180980298857</v>
      </c>
      <c r="K17" s="451">
        <v>0.169569333682563</v>
      </c>
      <c r="L17" s="451">
        <v>0.168730988987532</v>
      </c>
      <c r="M17" s="452"/>
      <c r="N17" s="451"/>
      <c r="O17" s="430"/>
      <c r="P17" s="531">
        <f t="array" ref="P17">INDEX(正厂竞争者数据汇总!I:I,MATCH($A$14&amp;B17,正厂竞争者数据汇总!A:A&amp;正厂竞争者数据汇总!D:D,0))</f>
        <v>0</v>
      </c>
      <c r="Q17" s="429"/>
      <c r="R17" s="421"/>
      <c r="S17" s="472"/>
      <c r="T17" s="466"/>
      <c r="U17" s="466"/>
      <c r="V17" s="466"/>
      <c r="W17" s="466"/>
    </row>
    <row r="18" s="408" customFormat="1" spans="1:23">
      <c r="A18" s="428" t="s">
        <v>230</v>
      </c>
      <c r="B18" s="421" t="s">
        <v>236</v>
      </c>
      <c r="C18" s="429" t="s">
        <v>441</v>
      </c>
      <c r="D18" s="421" t="s">
        <v>412</v>
      </c>
      <c r="E18" s="430"/>
      <c r="F18" s="430">
        <v>198987.585933333</v>
      </c>
      <c r="G18" s="430"/>
      <c r="H18" s="430"/>
      <c r="I18" s="450"/>
      <c r="J18" s="451">
        <v>0.0811779772954461</v>
      </c>
      <c r="K18" s="451">
        <v>0.0949487204094577</v>
      </c>
      <c r="L18" s="451">
        <v>0.0930789658194296</v>
      </c>
      <c r="M18" s="452"/>
      <c r="N18" s="451"/>
      <c r="O18" s="430"/>
      <c r="P18" s="531" t="str">
        <f t="array" ref="P18">INDEX(正厂竞争者数据汇总!I:I,MATCH($A$14&amp;B18,正厂竞争者数据汇总!A:A&amp;正厂竞争者数据汇总!D:D,0))</f>
        <v>2022年1月 新加入 CompetitorSites
2022年1月 新加入 MarketingShare</v>
      </c>
      <c r="Q18" s="429"/>
      <c r="R18" s="421"/>
      <c r="S18" s="472"/>
      <c r="T18" s="466"/>
      <c r="U18" s="466"/>
      <c r="V18" s="466"/>
      <c r="W18" s="466"/>
    </row>
    <row r="19" s="408" customFormat="1" spans="1:23">
      <c r="A19" s="428" t="s">
        <v>230</v>
      </c>
      <c r="B19" s="421" t="s">
        <v>235</v>
      </c>
      <c r="C19" s="429" t="s">
        <v>441</v>
      </c>
      <c r="D19" s="421" t="s">
        <v>411</v>
      </c>
      <c r="E19" s="430"/>
      <c r="F19" s="430">
        <v>184027.583333333</v>
      </c>
      <c r="G19" s="430"/>
      <c r="H19" s="430"/>
      <c r="I19" s="450"/>
      <c r="J19" s="451">
        <v>0.0750749696846623</v>
      </c>
      <c r="K19" s="451">
        <v>0.0799410336679879</v>
      </c>
      <c r="L19" s="451">
        <v>0.0869496966412298</v>
      </c>
      <c r="M19" s="452"/>
      <c r="N19" s="451"/>
      <c r="O19" s="430"/>
      <c r="P19" s="531" t="str">
        <f t="array" ref="P19">INDEX(正厂竞争者数据汇总!I:I,MATCH($A$14&amp;B19,正厂竞争者数据汇总!A:A&amp;正厂竞争者数据汇总!D:D,0))</f>
        <v>2021年06月新加竞争者</v>
      </c>
      <c r="Q19" s="429"/>
      <c r="R19" s="421"/>
      <c r="S19" s="472"/>
      <c r="T19" s="466"/>
      <c r="U19" s="466"/>
      <c r="V19" s="466"/>
      <c r="W19" s="466"/>
    </row>
    <row r="20" s="408" customFormat="1" spans="1:23">
      <c r="A20" s="428" t="s">
        <v>230</v>
      </c>
      <c r="B20" s="421" t="s">
        <v>237</v>
      </c>
      <c r="C20" s="429" t="s">
        <v>441</v>
      </c>
      <c r="D20" s="421" t="s">
        <v>250</v>
      </c>
      <c r="E20" s="430"/>
      <c r="F20" s="430">
        <v>159337.333333333</v>
      </c>
      <c r="G20" s="430"/>
      <c r="H20" s="430"/>
      <c r="I20" s="450"/>
      <c r="J20" s="451">
        <v>0.0650024591583505</v>
      </c>
      <c r="K20" s="451">
        <v>0.0633243166929287</v>
      </c>
      <c r="L20" s="451">
        <v>0.0609091786810765</v>
      </c>
      <c r="M20" s="452"/>
      <c r="N20" s="451"/>
      <c r="O20" s="430"/>
      <c r="P20" s="531">
        <f t="array" ref="P20">INDEX(正厂竞争者数据汇总!I:I,MATCH($A$14&amp;B20,正厂竞争者数据汇总!A:A&amp;正厂竞争者数据汇总!D:D,0))</f>
        <v>0</v>
      </c>
      <c r="Q20" s="429"/>
      <c r="R20" s="421"/>
      <c r="S20" s="472"/>
      <c r="T20" s="466"/>
      <c r="U20" s="466"/>
      <c r="V20" s="466"/>
      <c r="W20" s="466"/>
    </row>
    <row r="21" s="408" customFormat="1" spans="1:23">
      <c r="A21" s="428" t="s">
        <v>238</v>
      </c>
      <c r="B21" s="421" t="s">
        <v>239</v>
      </c>
      <c r="C21" s="429" t="s">
        <v>441</v>
      </c>
      <c r="D21" s="421" t="s">
        <v>250</v>
      </c>
      <c r="E21" s="430"/>
      <c r="F21" s="430">
        <v>109252.583333334</v>
      </c>
      <c r="G21" s="430"/>
      <c r="H21" s="430"/>
      <c r="I21" s="450"/>
      <c r="J21" s="451">
        <v>0.0445701358087412</v>
      </c>
      <c r="K21" s="451">
        <v>0.0381997171810157</v>
      </c>
      <c r="L21" s="451">
        <v>0.0352384163342712</v>
      </c>
      <c r="M21" s="452"/>
      <c r="N21" s="451"/>
      <c r="O21" s="430"/>
      <c r="P21" s="531" t="str">
        <f t="array" ref="P21">INDEX(正厂竞争者数据汇总!I:I,MATCH($A$14&amp;B21,正厂竞争者数据汇总!A:A&amp;正厂竞争者数据汇总!D:D,0))</f>
        <v>2023年10月，Semrush中仅能获取acura子域名流量</v>
      </c>
      <c r="Q21" s="429"/>
      <c r="R21" s="421"/>
      <c r="S21" s="472"/>
      <c r="T21" s="466"/>
      <c r="U21" s="466"/>
      <c r="V21" s="466"/>
      <c r="W21" s="466"/>
    </row>
    <row r="22" s="408" customFormat="1" spans="1:23">
      <c r="A22" s="428" t="s">
        <v>230</v>
      </c>
      <c r="B22" s="421" t="s">
        <v>232</v>
      </c>
      <c r="C22" s="429" t="s">
        <v>233</v>
      </c>
      <c r="D22" s="421" t="s">
        <v>234</v>
      </c>
      <c r="E22" s="430"/>
      <c r="F22" s="430">
        <v>92509.0833333333</v>
      </c>
      <c r="G22" s="430"/>
      <c r="H22" s="430"/>
      <c r="I22" s="450"/>
      <c r="J22" s="451">
        <v>0.0377395415459326</v>
      </c>
      <c r="K22" s="451">
        <v>0.0308670344567142</v>
      </c>
      <c r="L22" s="451">
        <v>0.0289768161657265</v>
      </c>
      <c r="M22" s="452"/>
      <c r="N22" s="451"/>
      <c r="O22" s="430"/>
      <c r="P22" s="531" t="str">
        <f t="array" ref="P22">INDEX(正厂竞争者数据汇总!I:I,MATCH($A$14&amp;B22,正厂竞争者数据汇总!A:A&amp;正厂竞争者数据汇总!D:D,0))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流量折算比例：Acura:8%,BMW:0%,Ford:20%,GM:5%,Honda:17%,Hyundai:8%,Infiniti:2%,Kia:5%,Lexus:2%,Mopar:9%,Nissan:14%,Subaru:5%,Toyota:6%，折算比例为0的网站按照除0外最低折算比例计。2024年1月因为市场份额超过5%加入MS监控</v>
      </c>
      <c r="Q22" s="429"/>
      <c r="R22" s="421"/>
      <c r="S22" s="472"/>
      <c r="T22" s="466"/>
      <c r="U22" s="466"/>
      <c r="V22" s="466"/>
      <c r="W22" s="466"/>
    </row>
    <row r="23" s="410" customFormat="1" spans="1:23">
      <c r="A23" s="432"/>
      <c r="B23" s="435"/>
      <c r="C23" s="434"/>
      <c r="D23" s="435"/>
      <c r="E23" s="430"/>
      <c r="F23" s="430"/>
      <c r="G23" s="430"/>
      <c r="H23" s="430"/>
      <c r="I23" s="453"/>
      <c r="J23" s="436"/>
      <c r="K23" s="436"/>
      <c r="L23" s="436"/>
      <c r="M23" s="451"/>
      <c r="N23" s="455"/>
      <c r="O23" s="436"/>
      <c r="P23" s="531"/>
      <c r="Q23" s="434"/>
      <c r="R23" s="435"/>
      <c r="S23" s="473"/>
      <c r="T23" s="477"/>
      <c r="U23" s="466"/>
      <c r="V23" s="435"/>
      <c r="W23" s="435"/>
    </row>
    <row r="24" s="408" customFormat="1" spans="1:23">
      <c r="A24" s="428"/>
      <c r="B24" s="421"/>
      <c r="C24" s="439"/>
      <c r="D24" s="421"/>
      <c r="E24" s="430"/>
      <c r="F24" s="430">
        <v>2451250.85106667</v>
      </c>
      <c r="G24" s="430">
        <v>2122774.16666666</v>
      </c>
      <c r="H24" s="430">
        <v>2262821.16666667</v>
      </c>
      <c r="I24" s="453">
        <f>(F24/G24)-1</f>
        <v>0.154739345125821</v>
      </c>
      <c r="J24" s="451"/>
      <c r="K24" s="451"/>
      <c r="L24" s="451"/>
      <c r="M24" s="451"/>
      <c r="N24" s="451">
        <f>SUM(N16:N17)</f>
        <v>0</v>
      </c>
      <c r="O24" s="451"/>
      <c r="P24" s="531"/>
      <c r="Q24" s="429"/>
      <c r="R24" s="421"/>
      <c r="S24" s="473"/>
      <c r="T24" s="466"/>
      <c r="U24" s="466"/>
      <c r="V24" s="421"/>
      <c r="W24" s="421"/>
    </row>
    <row r="25" s="408" customFormat="1" spans="1:23">
      <c r="A25" s="428"/>
      <c r="B25" s="421"/>
      <c r="C25" s="439"/>
      <c r="D25" s="421"/>
      <c r="E25" s="430"/>
      <c r="F25" s="430"/>
      <c r="G25" s="430"/>
      <c r="H25" s="430"/>
      <c r="I25" s="453"/>
      <c r="J25" s="430"/>
      <c r="K25" s="430"/>
      <c r="L25" s="430"/>
      <c r="M25" s="451"/>
      <c r="N25" s="451"/>
      <c r="O25" s="430"/>
      <c r="P25" s="531"/>
      <c r="Q25" s="429"/>
      <c r="R25" s="421"/>
      <c r="S25" s="473"/>
      <c r="T25" s="466"/>
      <c r="U25" s="466"/>
      <c r="V25" s="421"/>
      <c r="W25" s="421"/>
    </row>
    <row r="26" s="408" customFormat="1" ht="17.4" spans="1:23">
      <c r="A26" s="418" t="s">
        <v>141</v>
      </c>
      <c r="B26" s="441"/>
      <c r="C26" s="420"/>
      <c r="D26" s="421"/>
      <c r="E26" s="422" t="s">
        <v>202</v>
      </c>
      <c r="F26" s="422"/>
      <c r="G26" s="422"/>
      <c r="H26" s="422"/>
      <c r="I26" s="422"/>
      <c r="J26" s="422"/>
      <c r="K26" s="422"/>
      <c r="L26" s="422"/>
      <c r="M26" s="443"/>
      <c r="N26" s="444"/>
      <c r="O26" s="422"/>
      <c r="P26" s="531"/>
      <c r="Q26" s="465"/>
      <c r="R26" s="424"/>
      <c r="S26" s="473"/>
      <c r="T26" s="467"/>
      <c r="U26" s="467"/>
      <c r="V26" s="467"/>
      <c r="W26" s="467"/>
    </row>
    <row r="27" s="409" customFormat="1" ht="46.8" spans="1:23">
      <c r="A27" s="423" t="s">
        <v>206</v>
      </c>
      <c r="B27" s="424" t="s">
        <v>207</v>
      </c>
      <c r="C27" s="425" t="s">
        <v>447</v>
      </c>
      <c r="D27" s="424" t="s">
        <v>209</v>
      </c>
      <c r="E27" s="426" t="s">
        <v>210</v>
      </c>
      <c r="F27" s="427" t="s">
        <v>478</v>
      </c>
      <c r="G27" s="427" t="s">
        <v>213</v>
      </c>
      <c r="H27" s="427" t="s">
        <v>396</v>
      </c>
      <c r="I27" s="427" t="s">
        <v>386</v>
      </c>
      <c r="J27" s="446" t="s">
        <v>444</v>
      </c>
      <c r="K27" s="446" t="s">
        <v>449</v>
      </c>
      <c r="L27" s="446" t="s">
        <v>479</v>
      </c>
      <c r="M27" s="447" t="s">
        <v>436</v>
      </c>
      <c r="N27" s="448" t="s">
        <v>219</v>
      </c>
      <c r="O27" s="449" t="s">
        <v>220</v>
      </c>
      <c r="P27" s="535" t="s">
        <v>0</v>
      </c>
      <c r="Q27" s="469" t="s">
        <v>222</v>
      </c>
      <c r="R27" s="426" t="s">
        <v>223</v>
      </c>
      <c r="S27" s="470" t="s">
        <v>224</v>
      </c>
      <c r="T27" s="467" t="s">
        <v>225</v>
      </c>
      <c r="U27" s="470" t="s">
        <v>226</v>
      </c>
      <c r="V27" s="467"/>
      <c r="W27" s="467"/>
    </row>
    <row r="28" s="410" customFormat="1" ht="17.4" spans="1:23">
      <c r="A28" s="432" t="s">
        <v>227</v>
      </c>
      <c r="B28" s="433" t="s">
        <v>142</v>
      </c>
      <c r="C28" s="434" t="s">
        <v>441</v>
      </c>
      <c r="D28" s="435" t="s">
        <v>49</v>
      </c>
      <c r="E28" s="436">
        <f>VLOOKUP(B28,正厂竞争者数据汇总!D:H,4,FALSE)</f>
        <v>0</v>
      </c>
      <c r="F28" s="436">
        <v>599643.5</v>
      </c>
      <c r="G28" s="436">
        <v>506654</v>
      </c>
      <c r="H28" s="436">
        <v>541471.75</v>
      </c>
      <c r="I28" s="454">
        <f>(F28/G28)-1</f>
        <v>0.183536496307144</v>
      </c>
      <c r="J28" s="455">
        <v>0.315627214435687</v>
      </c>
      <c r="K28" s="455">
        <v>0.343691060224751</v>
      </c>
      <c r="L28" s="455">
        <v>0.323485474711538</v>
      </c>
      <c r="M28" s="456">
        <f>J28-K28</f>
        <v>-0.028063845789064</v>
      </c>
      <c r="N28" s="455" t="str">
        <f>IFERROR(O28*0.5/#REF!,"")</f>
        <v/>
      </c>
      <c r="O28" s="436" t="s">
        <v>180</v>
      </c>
      <c r="P28" s="531">
        <f t="array" ref="P28">INDEX(正厂竞争者数据汇总!I:I,MATCH($A$26&amp;B28,正厂竞争者数据汇总!A:A&amp;正厂竞争者数据汇总!D:D,0))</f>
        <v>0</v>
      </c>
      <c r="Q28" s="434" t="s">
        <v>241</v>
      </c>
      <c r="R28" s="435" t="s">
        <v>229</v>
      </c>
      <c r="S28" s="476"/>
      <c r="T28" s="477"/>
      <c r="U28" s="477"/>
      <c r="V28" s="435"/>
      <c r="W28" s="435"/>
    </row>
    <row r="29" s="408" customFormat="1" spans="1:23">
      <c r="A29" s="428" t="s">
        <v>230</v>
      </c>
      <c r="B29" s="421" t="s">
        <v>242</v>
      </c>
      <c r="C29" s="429" t="s">
        <v>233</v>
      </c>
      <c r="D29" s="421" t="s">
        <v>414</v>
      </c>
      <c r="E29" s="430"/>
      <c r="F29" s="430">
        <v>346300.333333333</v>
      </c>
      <c r="G29" s="430"/>
      <c r="H29" s="430"/>
      <c r="I29" s="450"/>
      <c r="J29" s="451">
        <v>0.182277986117001</v>
      </c>
      <c r="K29" s="451">
        <v>0.178703492981499</v>
      </c>
      <c r="L29" s="451">
        <v>0.177400763253243</v>
      </c>
      <c r="M29" s="452"/>
      <c r="N29" s="451"/>
      <c r="O29" s="430"/>
      <c r="P29" s="531">
        <f t="array" ref="P29">INDEX(正厂竞争者数据汇总!I:I,MATCH($A$26&amp;B29,正厂竞争者数据汇总!A:A&amp;正厂竞争者数据汇总!D:D,0))</f>
        <v>0</v>
      </c>
      <c r="Q29" s="429"/>
      <c r="R29" s="421"/>
      <c r="S29" s="472"/>
      <c r="T29" s="466"/>
      <c r="U29" s="466"/>
      <c r="V29" s="466"/>
      <c r="W29" s="466"/>
    </row>
    <row r="30" s="408" customFormat="1" spans="1:23">
      <c r="A30" s="428" t="s">
        <v>243</v>
      </c>
      <c r="B30" s="421" t="s">
        <v>244</v>
      </c>
      <c r="C30" s="429" t="s">
        <v>454</v>
      </c>
      <c r="D30" s="421" t="s">
        <v>266</v>
      </c>
      <c r="E30" s="430"/>
      <c r="F30" s="430">
        <v>335966.219666667</v>
      </c>
      <c r="G30" s="430"/>
      <c r="H30" s="430"/>
      <c r="I30" s="450"/>
      <c r="J30" s="451">
        <v>0.176838541663302</v>
      </c>
      <c r="K30" s="451">
        <v>0.137909707073184</v>
      </c>
      <c r="L30" s="451">
        <v>0.142197215958888</v>
      </c>
      <c r="M30" s="452"/>
      <c r="N30" s="451"/>
      <c r="O30" s="430"/>
      <c r="P30" s="531">
        <f t="array" ref="P30">INDEX(正厂竞争者数据汇总!I:I,MATCH($A$26&amp;B30,正厂竞争者数据汇总!A:A&amp;正厂竞争者数据汇总!D:D,0))</f>
        <v>0</v>
      </c>
      <c r="Q30" s="429"/>
      <c r="R30" s="421"/>
      <c r="S30" s="472"/>
      <c r="T30" s="466"/>
      <c r="U30" s="466"/>
      <c r="V30" s="466"/>
      <c r="W30" s="466"/>
    </row>
    <row r="31" s="408" customFormat="1" spans="1:23">
      <c r="A31" s="428" t="s">
        <v>230</v>
      </c>
      <c r="B31" s="421" t="s">
        <v>245</v>
      </c>
      <c r="C31" s="429" t="s">
        <v>233</v>
      </c>
      <c r="D31" s="421" t="s">
        <v>415</v>
      </c>
      <c r="E31" s="430"/>
      <c r="F31" s="430">
        <v>180303.596666667</v>
      </c>
      <c r="G31" s="430"/>
      <c r="H31" s="430"/>
      <c r="I31" s="450"/>
      <c r="J31" s="451">
        <v>0.0949042588948863</v>
      </c>
      <c r="K31" s="451">
        <v>0.0891234488256366</v>
      </c>
      <c r="L31" s="451">
        <v>0.0921947585624697</v>
      </c>
      <c r="M31" s="452"/>
      <c r="N31" s="451"/>
      <c r="O31" s="430"/>
      <c r="P31" s="531" t="str">
        <f t="array" ref="P31">INDEX(正厂竞争者数据汇总!I:I,MATCH($A$26&amp;B31,正厂竞争者数据汇总!A:A&amp;正厂竞争者数据汇总!D:D,0))</f>
        <v>2021年02新加竞争者</v>
      </c>
      <c r="Q31" s="429"/>
      <c r="R31" s="421"/>
      <c r="S31" s="472"/>
      <c r="T31" s="466"/>
      <c r="U31" s="466"/>
      <c r="V31" s="466"/>
      <c r="W31" s="466"/>
    </row>
    <row r="32" s="408" customFormat="1" spans="1:23">
      <c r="A32" s="428" t="s">
        <v>230</v>
      </c>
      <c r="B32" s="421" t="s">
        <v>416</v>
      </c>
      <c r="C32" s="429" t="s">
        <v>233</v>
      </c>
      <c r="D32" s="421" t="s">
        <v>291</v>
      </c>
      <c r="E32" s="430"/>
      <c r="F32" s="430">
        <v>167121.083333333</v>
      </c>
      <c r="G32" s="430"/>
      <c r="H32" s="430"/>
      <c r="I32" s="450"/>
      <c r="J32" s="451">
        <v>0.0879655361993822</v>
      </c>
      <c r="K32" s="451">
        <v>0.0809364594514144</v>
      </c>
      <c r="L32" s="451">
        <v>0.0823275984446721</v>
      </c>
      <c r="M32" s="452"/>
      <c r="N32" s="451"/>
      <c r="O32" s="430"/>
      <c r="P32" s="531" t="str">
        <f t="array" ref="P32">INDEX(正厂竞争者数据汇总!I:I,MATCH($A$26&amp;B32,正厂竞争者数据汇总!A:A&amp;正厂竞争者数据汇总!D:D,0))</f>
        <v>2023年11月导流至toyotaparts.ourismantoyotaofrichmond.com，原网站流量大幅下跌</v>
      </c>
      <c r="Q32" s="429"/>
      <c r="R32" s="421"/>
      <c r="S32" s="472"/>
      <c r="T32" s="466"/>
      <c r="U32" s="466"/>
      <c r="V32" s="466"/>
      <c r="W32" s="466"/>
    </row>
    <row r="33" s="408" customFormat="1" spans="1:23">
      <c r="A33" s="428" t="s">
        <v>230</v>
      </c>
      <c r="B33" s="421" t="s">
        <v>249</v>
      </c>
      <c r="C33" s="429" t="s">
        <v>233</v>
      </c>
      <c r="D33" s="421" t="s">
        <v>250</v>
      </c>
      <c r="E33" s="430"/>
      <c r="F33" s="430">
        <v>150429.6</v>
      </c>
      <c r="G33" s="430"/>
      <c r="H33" s="430"/>
      <c r="I33" s="450"/>
      <c r="J33" s="451">
        <v>0.0791798387152944</v>
      </c>
      <c r="K33" s="451">
        <v>0.0944549479243745</v>
      </c>
      <c r="L33" s="451">
        <v>0.0941669859799418</v>
      </c>
      <c r="M33" s="452"/>
      <c r="N33" s="451"/>
      <c r="O33" s="430"/>
      <c r="P33" s="531" t="str">
        <f t="array" ref="P33">INDEX(正厂竞争者数据汇总!I:I,MATCH($A$26&amp;B33,正厂竞争者数据汇总!A:A&amp;正厂竞争者数据汇总!D:D,0))</f>
        <v>2023年2月新增正厂</v>
      </c>
      <c r="Q33" s="429"/>
      <c r="R33" s="421"/>
      <c r="S33" s="472"/>
      <c r="T33" s="466"/>
      <c r="U33" s="466"/>
      <c r="V33" s="466"/>
      <c r="W33" s="466"/>
    </row>
    <row r="34" s="408" customFormat="1" spans="1:23">
      <c r="A34" s="428" t="s">
        <v>230</v>
      </c>
      <c r="B34" s="421" t="s">
        <v>246</v>
      </c>
      <c r="C34" s="429" t="s">
        <v>233</v>
      </c>
      <c r="D34" s="421" t="s">
        <v>49</v>
      </c>
      <c r="E34" s="430"/>
      <c r="F34" s="430">
        <v>120082.931666667</v>
      </c>
      <c r="G34" s="430"/>
      <c r="H34" s="430"/>
      <c r="I34" s="450"/>
      <c r="J34" s="451">
        <v>0.0632066239744466</v>
      </c>
      <c r="K34" s="451">
        <v>0.0751808835191409</v>
      </c>
      <c r="L34" s="451">
        <v>0.0882272030892475</v>
      </c>
      <c r="M34" s="452"/>
      <c r="N34" s="451"/>
      <c r="O34" s="430"/>
      <c r="P34" s="531" t="str">
        <f t="array" ref="P34">INDEX(正厂竞争者数据汇总!I:I,MATCH($A$26&amp;B34,正厂竞争者数据汇总!A:A&amp;正厂竞争者数据汇总!D:D,0))</f>
        <v>2023年2月新增正厂</v>
      </c>
      <c r="Q34" s="429"/>
      <c r="R34" s="421"/>
      <c r="S34" s="472"/>
      <c r="T34" s="466"/>
      <c r="U34" s="466"/>
      <c r="V34" s="466"/>
      <c r="W34" s="466"/>
    </row>
    <row r="35" s="410" customFormat="1" spans="1:23">
      <c r="A35" s="428"/>
      <c r="B35" s="438"/>
      <c r="C35" s="429"/>
      <c r="D35" s="421"/>
      <c r="E35" s="430"/>
      <c r="F35" s="430"/>
      <c r="G35" s="430"/>
      <c r="H35" s="430"/>
      <c r="I35" s="453"/>
      <c r="J35" s="463"/>
      <c r="K35" s="463"/>
      <c r="L35" s="463"/>
      <c r="M35" s="451"/>
      <c r="N35" s="459"/>
      <c r="O35" s="430"/>
      <c r="P35" s="531"/>
      <c r="Q35" s="429"/>
      <c r="R35" s="435"/>
      <c r="S35" s="473"/>
      <c r="T35" s="466"/>
      <c r="U35" s="466"/>
      <c r="V35" s="421"/>
      <c r="W35" s="421"/>
    </row>
    <row r="36" s="408" customFormat="1" spans="1:23">
      <c r="A36" s="428"/>
      <c r="B36" s="421"/>
      <c r="C36" s="439"/>
      <c r="D36" s="421"/>
      <c r="E36" s="430"/>
      <c r="F36" s="430">
        <v>1899847.26466667</v>
      </c>
      <c r="G36" s="430">
        <v>1471722.72</v>
      </c>
      <c r="H36" s="430">
        <v>1511577.56416667</v>
      </c>
      <c r="I36" s="453">
        <f>(F36/G36)-1</f>
        <v>0.290900275472183</v>
      </c>
      <c r="J36" s="430"/>
      <c r="K36" s="513"/>
      <c r="L36" s="430"/>
      <c r="M36" s="451"/>
      <c r="N36" s="459"/>
      <c r="O36" s="430"/>
      <c r="P36" s="531"/>
      <c r="Q36" s="429" t="s">
        <v>180</v>
      </c>
      <c r="R36" s="421"/>
      <c r="S36" s="473"/>
      <c r="T36" s="466"/>
      <c r="U36" s="466"/>
      <c r="V36" s="421"/>
      <c r="W36" s="421"/>
    </row>
    <row r="37" s="408" customFormat="1" spans="1:23">
      <c r="A37" s="428"/>
      <c r="B37" s="421"/>
      <c r="C37" s="439"/>
      <c r="D37" s="421"/>
      <c r="E37" s="430"/>
      <c r="F37" s="430"/>
      <c r="G37" s="430"/>
      <c r="H37" s="430"/>
      <c r="I37" s="453"/>
      <c r="J37" s="430"/>
      <c r="K37" s="430"/>
      <c r="L37" s="430"/>
      <c r="M37" s="451"/>
      <c r="N37" s="451"/>
      <c r="O37" s="430"/>
      <c r="P37" s="531"/>
      <c r="Q37" s="429"/>
      <c r="R37" s="421"/>
      <c r="S37" s="473"/>
      <c r="T37" s="466"/>
      <c r="U37" s="466"/>
      <c r="V37" s="421"/>
      <c r="W37" s="421"/>
    </row>
    <row r="38" s="408" customFormat="1" ht="17.4" spans="1:23">
      <c r="A38" s="418" t="s">
        <v>149</v>
      </c>
      <c r="B38" s="419"/>
      <c r="C38" s="420"/>
      <c r="D38" s="421"/>
      <c r="E38" s="422" t="s">
        <v>202</v>
      </c>
      <c r="F38" s="422"/>
      <c r="G38" s="422"/>
      <c r="H38" s="422"/>
      <c r="I38" s="422"/>
      <c r="J38" s="422"/>
      <c r="K38" s="422"/>
      <c r="L38" s="422"/>
      <c r="M38" s="443"/>
      <c r="N38" s="444"/>
      <c r="O38" s="422"/>
      <c r="P38" s="531"/>
      <c r="Q38" s="465"/>
      <c r="R38" s="424"/>
      <c r="S38" s="473"/>
      <c r="T38" s="467"/>
      <c r="U38" s="467"/>
      <c r="V38" s="467"/>
      <c r="W38" s="467"/>
    </row>
    <row r="39" s="409" customFormat="1" ht="46.8" spans="1:23">
      <c r="A39" s="423" t="s">
        <v>206</v>
      </c>
      <c r="B39" s="424" t="s">
        <v>207</v>
      </c>
      <c r="C39" s="425" t="s">
        <v>447</v>
      </c>
      <c r="D39" s="424" t="s">
        <v>209</v>
      </c>
      <c r="E39" s="426" t="s">
        <v>210</v>
      </c>
      <c r="F39" s="427" t="s">
        <v>478</v>
      </c>
      <c r="G39" s="427" t="s">
        <v>213</v>
      </c>
      <c r="H39" s="427" t="s">
        <v>396</v>
      </c>
      <c r="I39" s="427" t="s">
        <v>386</v>
      </c>
      <c r="J39" s="446" t="s">
        <v>444</v>
      </c>
      <c r="K39" s="446" t="s">
        <v>449</v>
      </c>
      <c r="L39" s="446" t="s">
        <v>479</v>
      </c>
      <c r="M39" s="447" t="s">
        <v>436</v>
      </c>
      <c r="N39" s="448" t="s">
        <v>219</v>
      </c>
      <c r="O39" s="449" t="s">
        <v>220</v>
      </c>
      <c r="P39" s="535" t="s">
        <v>0</v>
      </c>
      <c r="Q39" s="469" t="s">
        <v>222</v>
      </c>
      <c r="R39" s="426" t="s">
        <v>223</v>
      </c>
      <c r="S39" s="470" t="s">
        <v>224</v>
      </c>
      <c r="T39" s="467" t="s">
        <v>225</v>
      </c>
      <c r="U39" s="470" t="s">
        <v>226</v>
      </c>
      <c r="V39" s="467"/>
      <c r="W39" s="467"/>
    </row>
    <row r="40" s="410" customFormat="1" ht="17.4" spans="1:23">
      <c r="A40" s="432" t="s">
        <v>227</v>
      </c>
      <c r="B40" s="433" t="s">
        <v>150</v>
      </c>
      <c r="C40" s="434" t="s">
        <v>441</v>
      </c>
      <c r="D40" s="435" t="s">
        <v>58</v>
      </c>
      <c r="E40" s="436">
        <f>VLOOKUP(B40,正厂竞争者数据汇总!D:H,4,FALSE)</f>
        <v>0</v>
      </c>
      <c r="F40" s="436">
        <v>523866.333333333</v>
      </c>
      <c r="G40" s="436">
        <v>521458.083333333</v>
      </c>
      <c r="H40" s="436">
        <v>566477.333333333</v>
      </c>
      <c r="I40" s="454">
        <f>(F40/G40)-1</f>
        <v>0.00461830025647636</v>
      </c>
      <c r="J40" s="455">
        <v>0.35047649250744</v>
      </c>
      <c r="K40" s="455">
        <v>0.355857391512726</v>
      </c>
      <c r="L40" s="455">
        <v>0.351679812161569</v>
      </c>
      <c r="M40" s="456">
        <f>J40-K40</f>
        <v>-0.00538089900528599</v>
      </c>
      <c r="N40" s="457" t="str">
        <f>IFERROR(O40*0.5/F$47,"")</f>
        <v/>
      </c>
      <c r="O40" s="436" t="s">
        <v>180</v>
      </c>
      <c r="P40" s="531">
        <f t="array" ref="P40">INDEX(正厂竞争者数据汇总!I:I,MATCH($A$38&amp;B40,正厂竞争者数据汇总!A:A&amp;正厂竞争者数据汇总!D:D,0))</f>
        <v>0</v>
      </c>
      <c r="Q40" s="434" t="s">
        <v>259</v>
      </c>
      <c r="R40" s="435" t="s">
        <v>229</v>
      </c>
      <c r="S40" s="476"/>
      <c r="T40" s="435" t="s">
        <v>481</v>
      </c>
      <c r="U40" s="477"/>
      <c r="V40" s="477"/>
      <c r="W40" s="477"/>
    </row>
    <row r="41" s="408" customFormat="1" spans="1:23">
      <c r="A41" s="428" t="s">
        <v>230</v>
      </c>
      <c r="B41" s="421" t="s">
        <v>255</v>
      </c>
      <c r="C41" s="429" t="s">
        <v>233</v>
      </c>
      <c r="D41" s="421" t="s">
        <v>419</v>
      </c>
      <c r="E41" s="430"/>
      <c r="F41" s="430">
        <v>206644.768333333</v>
      </c>
      <c r="G41" s="430"/>
      <c r="H41" s="430"/>
      <c r="I41" s="450"/>
      <c r="J41" s="451">
        <v>0.138249261294667</v>
      </c>
      <c r="K41" s="451">
        <v>0.13232050792573</v>
      </c>
      <c r="L41" s="451">
        <v>0.134295450670252</v>
      </c>
      <c r="M41" s="452"/>
      <c r="N41" s="451"/>
      <c r="O41" s="430"/>
      <c r="P41" s="531" t="str">
        <f t="array" ref="P41">INDEX(正厂竞争者数据汇总!I:I,MATCH($A$38&amp;B41,正厂竞争者数据汇总!A:A&amp;正厂竞争者数据汇总!D:D,0))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41" s="429"/>
      <c r="R41" s="421"/>
      <c r="S41" s="472"/>
      <c r="T41" s="466"/>
      <c r="U41" s="466"/>
      <c r="V41" s="466"/>
      <c r="W41" s="466"/>
    </row>
    <row r="42" s="408" customFormat="1" spans="1:23">
      <c r="A42" s="428" t="s">
        <v>230</v>
      </c>
      <c r="B42" s="421" t="s">
        <v>260</v>
      </c>
      <c r="C42" s="429" t="s">
        <v>233</v>
      </c>
      <c r="D42" s="421" t="s">
        <v>60</v>
      </c>
      <c r="E42" s="430"/>
      <c r="F42" s="430">
        <v>175364.833333333</v>
      </c>
      <c r="G42" s="430"/>
      <c r="H42" s="430"/>
      <c r="I42" s="450"/>
      <c r="J42" s="451">
        <v>0.11732239272706</v>
      </c>
      <c r="K42" s="451">
        <v>0.17613387519977</v>
      </c>
      <c r="L42" s="451">
        <v>0.16952937361584</v>
      </c>
      <c r="M42" s="452"/>
      <c r="N42" s="451"/>
      <c r="O42" s="430"/>
      <c r="P42" s="531">
        <f t="array" ref="P42">INDEX(正厂竞争者数据汇总!I:I,MATCH($A$38&amp;B42,正厂竞争者数据汇总!A:A&amp;正厂竞争者数据汇总!D:D,0))</f>
        <v>0</v>
      </c>
      <c r="Q42" s="429"/>
      <c r="R42" s="421"/>
      <c r="S42" s="472"/>
      <c r="T42" s="466"/>
      <c r="U42" s="466"/>
      <c r="V42" s="466"/>
      <c r="W42" s="466"/>
    </row>
    <row r="43" s="408" customFormat="1" spans="1:23">
      <c r="A43" s="428" t="s">
        <v>230</v>
      </c>
      <c r="B43" s="421" t="s">
        <v>261</v>
      </c>
      <c r="C43" s="429" t="s">
        <v>233</v>
      </c>
      <c r="D43" s="421" t="s">
        <v>272</v>
      </c>
      <c r="E43" s="430"/>
      <c r="F43" s="430">
        <v>136771.583333333</v>
      </c>
      <c r="G43" s="430"/>
      <c r="H43" s="430"/>
      <c r="I43" s="450"/>
      <c r="J43" s="451">
        <v>0.0915027780013012</v>
      </c>
      <c r="K43" s="451">
        <v>0.0982582724794922</v>
      </c>
      <c r="L43" s="451">
        <v>0.0926331291240977</v>
      </c>
      <c r="M43" s="452"/>
      <c r="N43" s="451"/>
      <c r="O43" s="430"/>
      <c r="P43" s="531" t="str">
        <f t="array" ref="P43">INDEX(正厂竞争者数据汇总!I:I,MATCH($A$38&amp;B43,正厂竞争者数据汇总!A:A&amp;正厂竞争者数据汇总!D:D,0))</f>
        <v>2022年1月 新加入 CompetitorSites
2022年1月 新加入 MarketingShare</v>
      </c>
      <c r="Q43" s="429"/>
      <c r="R43" s="421"/>
      <c r="S43" s="472"/>
      <c r="T43" s="466"/>
      <c r="U43" s="466"/>
      <c r="V43" s="466"/>
      <c r="W43" s="466"/>
    </row>
    <row r="44" s="408" customFormat="1" spans="1:23">
      <c r="A44" s="428" t="s">
        <v>243</v>
      </c>
      <c r="B44" s="421" t="s">
        <v>262</v>
      </c>
      <c r="C44" s="429" t="s">
        <v>441</v>
      </c>
      <c r="D44" s="421" t="s">
        <v>266</v>
      </c>
      <c r="E44" s="430"/>
      <c r="F44" s="430">
        <v>141052.083333333</v>
      </c>
      <c r="G44" s="430"/>
      <c r="H44" s="430"/>
      <c r="I44" s="450"/>
      <c r="J44" s="451">
        <v>0.094366513520689</v>
      </c>
      <c r="K44" s="451">
        <v>0.085616603125229</v>
      </c>
      <c r="L44" s="451">
        <v>0.0723312029729417</v>
      </c>
      <c r="M44" s="452"/>
      <c r="N44" s="451"/>
      <c r="O44" s="430"/>
      <c r="P44" s="531" t="str">
        <f t="array" ref="P44">INDEX(正厂竞争者数据汇总!I:I,MATCH($A$38&amp;B44,正厂竞争者数据汇总!A:A&amp;正厂竞争者数据汇总!D:D,0))</f>
        <v>变为精确运费</v>
      </c>
      <c r="Q44" s="429"/>
      <c r="R44" s="421"/>
      <c r="S44" s="472"/>
      <c r="T44" s="466"/>
      <c r="U44" s="466"/>
      <c r="V44" s="466"/>
      <c r="W44" s="466"/>
    </row>
    <row r="45" s="408" customFormat="1" spans="1:23">
      <c r="A45" s="428" t="s">
        <v>230</v>
      </c>
      <c r="B45" s="421" t="s">
        <v>267</v>
      </c>
      <c r="C45" s="429" t="s">
        <v>441</v>
      </c>
      <c r="D45" s="421" t="s">
        <v>58</v>
      </c>
      <c r="E45" s="430"/>
      <c r="F45" s="430">
        <v>107368.5</v>
      </c>
      <c r="G45" s="430"/>
      <c r="H45" s="430"/>
      <c r="I45" s="450"/>
      <c r="J45" s="451">
        <v>0.0718315587229029</v>
      </c>
      <c r="K45" s="451">
        <v>0.0835175009509335</v>
      </c>
      <c r="L45" s="451">
        <v>0.0919628502289579</v>
      </c>
      <c r="M45" s="452"/>
      <c r="N45" s="451"/>
      <c r="O45" s="430"/>
      <c r="P45" s="531" t="str">
        <f t="array" ref="P45">INDEX(正厂竞争者数据汇总!I:I,MATCH($A$38&amp;B45,正厂竞争者数据汇总!A:A&amp;正厂竞争者数据汇总!D:D,0))</f>
        <v>2022年1月 新加入 CompetitorSites</v>
      </c>
      <c r="Q45" s="429"/>
      <c r="R45" s="421"/>
      <c r="S45" s="472"/>
      <c r="T45" s="466"/>
      <c r="U45" s="466"/>
      <c r="V45" s="466"/>
      <c r="W45" s="466"/>
    </row>
    <row r="46" s="408" customFormat="1" spans="1:23">
      <c r="A46" s="428" t="s">
        <v>243</v>
      </c>
      <c r="B46" s="421" t="s">
        <v>265</v>
      </c>
      <c r="C46" s="429" t="s">
        <v>441</v>
      </c>
      <c r="D46" s="421" t="s">
        <v>266</v>
      </c>
      <c r="E46" s="430"/>
      <c r="F46" s="430">
        <v>85524.8366666667</v>
      </c>
      <c r="G46" s="430"/>
      <c r="H46" s="430"/>
      <c r="I46" s="450"/>
      <c r="J46" s="451">
        <v>0.057217734505822</v>
      </c>
      <c r="K46" s="451"/>
      <c r="L46" s="451"/>
      <c r="M46" s="452"/>
      <c r="N46" s="451"/>
      <c r="O46" s="430"/>
      <c r="P46" s="531" t="str">
        <f t="array" ref="P46">INDEX(正厂竞争者数据汇总!I:I,MATCH($A$38&amp;B46,正厂竞争者数据汇总!A:A&amp;正厂竞争者数据汇总!D:D,0))</f>
        <v>因MS大于5%，202305重新加入MS计算基准</v>
      </c>
      <c r="Q46" s="429"/>
      <c r="R46" s="421"/>
      <c r="S46" s="472"/>
      <c r="T46" s="466"/>
      <c r="U46" s="466"/>
      <c r="V46" s="466"/>
      <c r="W46" s="466"/>
    </row>
    <row r="47" s="408" customFormat="1" spans="1:23">
      <c r="A47" s="428" t="s">
        <v>243</v>
      </c>
      <c r="B47" s="421" t="s">
        <v>438</v>
      </c>
      <c r="C47" s="429" t="s">
        <v>441</v>
      </c>
      <c r="D47" s="421" t="s">
        <v>455</v>
      </c>
      <c r="E47" s="430"/>
      <c r="F47" s="430">
        <v>61765.0833333333</v>
      </c>
      <c r="G47" s="430"/>
      <c r="H47" s="430"/>
      <c r="I47" s="450"/>
      <c r="J47" s="451">
        <v>0.0413220098118472</v>
      </c>
      <c r="K47" s="451">
        <v>0.039083565009338</v>
      </c>
      <c r="L47" s="451">
        <v>0.0560206990497104</v>
      </c>
      <c r="M47" s="452"/>
      <c r="N47" s="451"/>
      <c r="O47" s="430"/>
      <c r="P47" s="531" t="str">
        <f t="array" ref="P47">INDEX(正厂竞争者数据汇总!I:I,MATCH($A$38&amp;B47,正厂竞争者数据汇总!A:A&amp;正厂竞争者数据汇总!D:D,0))</f>
        <v>2022年1月 新加入 CompetitorSites
2022年1月 新加入 MarketingShare</v>
      </c>
      <c r="Q47" s="429"/>
      <c r="R47" s="421"/>
      <c r="S47" s="472"/>
      <c r="T47" s="466"/>
      <c r="U47" s="466"/>
      <c r="V47" s="466"/>
      <c r="W47" s="466"/>
    </row>
    <row r="48" s="408" customFormat="1" spans="1:23">
      <c r="A48" s="428" t="s">
        <v>230</v>
      </c>
      <c r="B48" s="421" t="s">
        <v>482</v>
      </c>
      <c r="C48" s="429" t="s">
        <v>441</v>
      </c>
      <c r="D48" s="421" t="s">
        <v>426</v>
      </c>
      <c r="E48" s="430"/>
      <c r="F48" s="430">
        <v>56368</v>
      </c>
      <c r="G48" s="430"/>
      <c r="H48" s="430"/>
      <c r="I48" s="450"/>
      <c r="J48" s="451">
        <v>0.03771125890827</v>
      </c>
      <c r="K48" s="451">
        <v>0.0292122837967803</v>
      </c>
      <c r="L48" s="451">
        <v>0.0315474821766316</v>
      </c>
      <c r="M48" s="452"/>
      <c r="N48" s="451"/>
      <c r="O48" s="430"/>
      <c r="P48" s="531" t="str">
        <f t="array" ref="P48">INDEX(正厂竞争者数据汇总!I:I,MATCH($A$38&amp;B48,正厂竞争者数据汇总!A:A&amp;正厂竞争者数据汇总!D:D,0))</f>
        <v>同时经营多品牌零件，折算比例为：mopar：21%，toyota：6%，</v>
      </c>
      <c r="Q48" s="429"/>
      <c r="R48" s="421"/>
      <c r="S48" s="472"/>
      <c r="T48" s="466"/>
      <c r="U48" s="466"/>
      <c r="V48" s="466"/>
      <c r="W48" s="466"/>
    </row>
    <row r="49" s="410" customFormat="1" spans="1:23">
      <c r="A49" s="428"/>
      <c r="B49" s="431"/>
      <c r="C49" s="429"/>
      <c r="D49" s="421"/>
      <c r="E49" s="430"/>
      <c r="F49" s="430"/>
      <c r="G49" s="430"/>
      <c r="H49" s="430"/>
      <c r="I49" s="453"/>
      <c r="J49" s="451"/>
      <c r="K49" s="451"/>
      <c r="L49" s="451"/>
      <c r="M49" s="451"/>
      <c r="N49" s="455"/>
      <c r="O49" s="436"/>
      <c r="P49" s="531"/>
      <c r="Q49" s="434"/>
      <c r="R49" s="435"/>
      <c r="S49" s="473"/>
      <c r="T49" s="477"/>
      <c r="U49" s="466"/>
      <c r="V49" s="435"/>
      <c r="W49" s="435"/>
    </row>
    <row r="50" s="408" customFormat="1" spans="1:23">
      <c r="A50" s="428"/>
      <c r="B50" s="421"/>
      <c r="C50" s="439"/>
      <c r="D50" s="421"/>
      <c r="E50" s="430"/>
      <c r="F50" s="430">
        <v>1494726.02166666</v>
      </c>
      <c r="G50" s="430">
        <v>1468579.74166667</v>
      </c>
      <c r="H50" s="430">
        <v>1519526.8275</v>
      </c>
      <c r="I50" s="453">
        <f>(F50/G50)-1</f>
        <v>0.017803786378203</v>
      </c>
      <c r="J50" s="512"/>
      <c r="K50" s="430"/>
      <c r="L50" s="430"/>
      <c r="M50" s="451"/>
      <c r="N50" s="451"/>
      <c r="O50" s="430"/>
      <c r="P50" s="531"/>
      <c r="Q50" s="429"/>
      <c r="R50" s="421"/>
      <c r="S50" s="473"/>
      <c r="T50" s="466"/>
      <c r="U50" s="466"/>
      <c r="V50" s="421"/>
      <c r="W50" s="421"/>
    </row>
    <row r="51" s="408" customFormat="1" spans="1:23">
      <c r="A51" s="428"/>
      <c r="B51" s="421"/>
      <c r="C51" s="439"/>
      <c r="D51" s="421"/>
      <c r="E51" s="430"/>
      <c r="F51" s="430"/>
      <c r="G51" s="430"/>
      <c r="H51" s="430"/>
      <c r="I51" s="453"/>
      <c r="J51" s="430"/>
      <c r="K51" s="430"/>
      <c r="L51" s="430"/>
      <c r="M51" s="451"/>
      <c r="N51" s="451"/>
      <c r="O51" s="430"/>
      <c r="P51" s="531"/>
      <c r="Q51" s="429"/>
      <c r="R51" s="421"/>
      <c r="S51" s="473"/>
      <c r="T51" s="466"/>
      <c r="U51" s="466"/>
      <c r="V51" s="421"/>
      <c r="W51" s="421"/>
    </row>
    <row r="52" s="408" customFormat="1" ht="17.4" spans="1:23">
      <c r="A52" s="418" t="s">
        <v>152</v>
      </c>
      <c r="B52" s="419"/>
      <c r="C52" s="420"/>
      <c r="D52" s="421"/>
      <c r="E52" s="422" t="s">
        <v>202</v>
      </c>
      <c r="F52" s="422"/>
      <c r="G52" s="422"/>
      <c r="H52" s="422"/>
      <c r="I52" s="422"/>
      <c r="J52" s="422"/>
      <c r="K52" s="422"/>
      <c r="L52" s="422"/>
      <c r="M52" s="443"/>
      <c r="N52" s="444"/>
      <c r="O52" s="422"/>
      <c r="P52" s="531"/>
      <c r="Q52" s="465"/>
      <c r="R52" s="424"/>
      <c r="S52" s="473"/>
      <c r="T52" s="467"/>
      <c r="U52" s="467"/>
      <c r="V52" s="467"/>
      <c r="W52" s="467"/>
    </row>
    <row r="53" s="409" customFormat="1" ht="46.8" spans="1:23">
      <c r="A53" s="423" t="s">
        <v>206</v>
      </c>
      <c r="B53" s="424" t="s">
        <v>207</v>
      </c>
      <c r="C53" s="425" t="s">
        <v>447</v>
      </c>
      <c r="D53" s="424" t="s">
        <v>209</v>
      </c>
      <c r="E53" s="426" t="s">
        <v>210</v>
      </c>
      <c r="F53" s="427" t="s">
        <v>478</v>
      </c>
      <c r="G53" s="427" t="s">
        <v>213</v>
      </c>
      <c r="H53" s="427" t="s">
        <v>396</v>
      </c>
      <c r="I53" s="427" t="s">
        <v>386</v>
      </c>
      <c r="J53" s="446" t="s">
        <v>444</v>
      </c>
      <c r="K53" s="446" t="s">
        <v>449</v>
      </c>
      <c r="L53" s="446" t="s">
        <v>479</v>
      </c>
      <c r="M53" s="447" t="s">
        <v>436</v>
      </c>
      <c r="N53" s="448" t="s">
        <v>219</v>
      </c>
      <c r="O53" s="449" t="s">
        <v>220</v>
      </c>
      <c r="P53" s="535" t="s">
        <v>0</v>
      </c>
      <c r="Q53" s="469" t="s">
        <v>222</v>
      </c>
      <c r="R53" s="426" t="s">
        <v>223</v>
      </c>
      <c r="S53" s="470" t="s">
        <v>224</v>
      </c>
      <c r="T53" s="467" t="s">
        <v>225</v>
      </c>
      <c r="U53" s="470" t="s">
        <v>226</v>
      </c>
      <c r="V53" s="467"/>
      <c r="W53" s="467"/>
    </row>
    <row r="54" s="410" customFormat="1" ht="17.4" spans="1:23">
      <c r="A54" s="432" t="s">
        <v>227</v>
      </c>
      <c r="B54" s="435" t="s">
        <v>153</v>
      </c>
      <c r="C54" s="434" t="s">
        <v>441</v>
      </c>
      <c r="D54" s="435" t="s">
        <v>49</v>
      </c>
      <c r="E54" s="436">
        <f>VLOOKUP(B54,正厂竞争者数据汇总!D:H,4,FALSE)</f>
        <v>0</v>
      </c>
      <c r="F54" s="436">
        <v>422460.5</v>
      </c>
      <c r="G54" s="436">
        <v>436555.583333333</v>
      </c>
      <c r="H54" s="436">
        <v>490593.833333333</v>
      </c>
      <c r="I54" s="454">
        <f>(F54/G54)-1</f>
        <v>-0.0322870302693408</v>
      </c>
      <c r="J54" s="457">
        <v>0.301837639150851</v>
      </c>
      <c r="K54" s="457">
        <v>0.314975117651462</v>
      </c>
      <c r="L54" s="457">
        <v>0.30919224805022</v>
      </c>
      <c r="M54" s="456">
        <f>J54-K54</f>
        <v>-0.013137478500611</v>
      </c>
      <c r="N54" s="457" t="str">
        <f>IFERROR(O54*0.5/#REF!,"")</f>
        <v/>
      </c>
      <c r="O54" s="436" t="s">
        <v>180</v>
      </c>
      <c r="P54" s="531">
        <f t="array" ref="P54">INDEX(正厂竞争者数据汇总!I:I,MATCH($A$52&amp;B54,正厂竞争者数据汇总!A:A&amp;正厂竞争者数据汇总!D:D,0))</f>
        <v>0</v>
      </c>
      <c r="Q54" s="434" t="s">
        <v>268</v>
      </c>
      <c r="R54" s="435" t="s">
        <v>229</v>
      </c>
      <c r="S54" s="476"/>
      <c r="T54" s="477"/>
      <c r="U54" s="477"/>
      <c r="V54" s="477"/>
      <c r="W54" s="477"/>
    </row>
    <row r="55" s="408" customFormat="1" spans="1:23">
      <c r="A55" s="428" t="s">
        <v>243</v>
      </c>
      <c r="B55" s="421" t="s">
        <v>270</v>
      </c>
      <c r="C55" s="429" t="s">
        <v>233</v>
      </c>
      <c r="D55" s="421" t="s">
        <v>266</v>
      </c>
      <c r="E55" s="430"/>
      <c r="F55" s="430">
        <v>226976.916666667</v>
      </c>
      <c r="G55" s="430"/>
      <c r="H55" s="430"/>
      <c r="I55" s="450"/>
      <c r="J55" s="451">
        <v>0.16216942570585</v>
      </c>
      <c r="K55" s="451">
        <v>0.177656555687563</v>
      </c>
      <c r="L55" s="451">
        <v>0.176836182189985</v>
      </c>
      <c r="M55" s="452"/>
      <c r="N55" s="451"/>
      <c r="O55" s="430"/>
      <c r="P55" s="531">
        <f t="array" ref="P55">INDEX(正厂竞争者数据汇总!I:I,MATCH($A$52&amp;B55,正厂竞争者数据汇总!A:A&amp;正厂竞争者数据汇总!D:D,0))</f>
        <v>0</v>
      </c>
      <c r="Q55" s="429"/>
      <c r="R55" s="421"/>
      <c r="S55" s="472"/>
      <c r="T55" s="466"/>
      <c r="U55" s="466"/>
      <c r="V55" s="466"/>
      <c r="W55" s="466"/>
    </row>
    <row r="56" s="408" customFormat="1" spans="1:23">
      <c r="A56" s="428" t="s">
        <v>230</v>
      </c>
      <c r="B56" s="421" t="s">
        <v>255</v>
      </c>
      <c r="C56" s="429" t="s">
        <v>233</v>
      </c>
      <c r="D56" s="421" t="s">
        <v>419</v>
      </c>
      <c r="E56" s="430"/>
      <c r="F56" s="430">
        <v>228021.813333333</v>
      </c>
      <c r="G56" s="430"/>
      <c r="H56" s="430"/>
      <c r="I56" s="450"/>
      <c r="J56" s="451">
        <v>0.16291597868068</v>
      </c>
      <c r="K56" s="451">
        <v>0.169153406170112</v>
      </c>
      <c r="L56" s="451">
        <v>0.174273316578202</v>
      </c>
      <c r="M56" s="452"/>
      <c r="N56" s="451"/>
      <c r="O56" s="430"/>
      <c r="P56" s="531" t="str">
        <f t="array" ref="P56">INDEX(正厂竞争者数据汇总!I:I,MATCH($A$52&amp;B56,正厂竞争者数据汇总!A:A&amp;正厂竞争者数据汇总!D:D,0))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56" s="429"/>
      <c r="R56" s="421"/>
      <c r="S56" s="472"/>
      <c r="T56" s="466"/>
      <c r="U56" s="466"/>
      <c r="V56" s="466"/>
      <c r="W56" s="466"/>
    </row>
    <row r="57" s="408" customFormat="1" spans="1:23">
      <c r="A57" s="428" t="s">
        <v>230</v>
      </c>
      <c r="B57" s="421" t="s">
        <v>269</v>
      </c>
      <c r="C57" s="429" t="s">
        <v>233</v>
      </c>
      <c r="D57" s="421" t="s">
        <v>234</v>
      </c>
      <c r="E57" s="430"/>
      <c r="F57" s="430">
        <v>168023.833333333</v>
      </c>
      <c r="G57" s="430"/>
      <c r="H57" s="430"/>
      <c r="I57" s="450"/>
      <c r="J57" s="451">
        <v>0.120048897291958</v>
      </c>
      <c r="K57" s="451">
        <v>0.10305160504263</v>
      </c>
      <c r="L57" s="451">
        <v>0.086712664677731</v>
      </c>
      <c r="M57" s="452"/>
      <c r="N57" s="451"/>
      <c r="O57" s="430"/>
      <c r="P57" s="531" t="str">
        <f t="array" ref="P57">INDEX(正厂竞争者数据汇总!I:I,MATCH($A$52&amp;B57,正厂竞争者数据汇总!A:A&amp;正厂竞争者数据汇总!D:D,0))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57" s="429"/>
      <c r="R57" s="421"/>
      <c r="S57" s="472"/>
      <c r="T57" s="466"/>
      <c r="U57" s="466"/>
      <c r="V57" s="466"/>
      <c r="W57" s="466"/>
    </row>
    <row r="58" s="408" customFormat="1" spans="1:23">
      <c r="A58" s="428" t="s">
        <v>230</v>
      </c>
      <c r="B58" s="421" t="s">
        <v>273</v>
      </c>
      <c r="C58" s="429" t="s">
        <v>233</v>
      </c>
      <c r="D58" s="421" t="s">
        <v>420</v>
      </c>
      <c r="E58" s="430"/>
      <c r="F58" s="430">
        <v>126680.25</v>
      </c>
      <c r="G58" s="430"/>
      <c r="H58" s="430"/>
      <c r="I58" s="450"/>
      <c r="J58" s="451">
        <v>0.0905099236189884</v>
      </c>
      <c r="K58" s="451">
        <v>0.0864356560835629</v>
      </c>
      <c r="L58" s="451">
        <v>0.0795750650540091</v>
      </c>
      <c r="M58" s="452"/>
      <c r="N58" s="451"/>
      <c r="O58" s="430"/>
      <c r="P58" s="531">
        <f t="array" ref="P58">INDEX(正厂竞争者数据汇总!I:I,MATCH($A$52&amp;B58,正厂竞争者数据汇总!A:A&amp;正厂竞争者数据汇总!D:D,0))</f>
        <v>0</v>
      </c>
      <c r="Q58" s="429"/>
      <c r="R58" s="421"/>
      <c r="S58" s="472"/>
      <c r="T58" s="466"/>
      <c r="U58" s="466"/>
      <c r="V58" s="466"/>
      <c r="W58" s="466"/>
    </row>
    <row r="59" s="408" customFormat="1" spans="1:23">
      <c r="A59" s="428" t="s">
        <v>230</v>
      </c>
      <c r="B59" s="421" t="s">
        <v>400</v>
      </c>
      <c r="C59" s="429" t="s">
        <v>233</v>
      </c>
      <c r="D59" s="421" t="s">
        <v>272</v>
      </c>
      <c r="E59" s="430"/>
      <c r="F59" s="430">
        <v>82319.3333333333</v>
      </c>
      <c r="G59" s="430"/>
      <c r="H59" s="430"/>
      <c r="I59" s="450"/>
      <c r="J59" s="451">
        <v>0.0588151394741173</v>
      </c>
      <c r="K59" s="451">
        <v>0.053970767662581</v>
      </c>
      <c r="L59" s="451">
        <v>0.0504055844309302</v>
      </c>
      <c r="M59" s="452"/>
      <c r="N59" s="451"/>
      <c r="O59" s="430"/>
      <c r="P59" s="531">
        <f t="array" ref="P59">INDEX(正厂竞争者数据汇总!I:I,MATCH($A$52&amp;B59,正厂竞争者数据汇总!A:A&amp;正厂竞争者数据汇总!D:D,0))</f>
        <v>0</v>
      </c>
      <c r="Q59" s="429"/>
      <c r="R59" s="421"/>
      <c r="S59" s="472"/>
      <c r="T59" s="466"/>
      <c r="U59" s="466"/>
      <c r="V59" s="466"/>
      <c r="W59" s="466"/>
    </row>
    <row r="60" s="408" customFormat="1" spans="1:23">
      <c r="A60" s="428" t="s">
        <v>230</v>
      </c>
      <c r="B60" s="421" t="s">
        <v>292</v>
      </c>
      <c r="C60" s="429" t="s">
        <v>233</v>
      </c>
      <c r="D60" s="421" t="s">
        <v>250</v>
      </c>
      <c r="E60" s="430"/>
      <c r="F60" s="430">
        <v>67099.0016666667</v>
      </c>
      <c r="G60" s="430"/>
      <c r="H60" s="430"/>
      <c r="I60" s="450"/>
      <c r="J60" s="451">
        <v>0.0479405867588703</v>
      </c>
      <c r="K60" s="451">
        <v>0.0351548817700994</v>
      </c>
      <c r="L60" s="451">
        <v>0.0555481962729915</v>
      </c>
      <c r="M60" s="452"/>
      <c r="N60" s="451"/>
      <c r="O60" s="430"/>
      <c r="P60" s="531" t="str">
        <f t="array" ref="P60">INDEX(正厂竞争者数据汇总!I:I,MATCH($A$52&amp;B60,正厂竞争者数据汇总!A:A&amp;正厂竞争者数据汇总!D:D,0))</f>
        <v>同时经营多品牌，流量折算比例为Ford:23%,GM:23%,Infiniti:0%,Kia:13%,Mopar:31%,Nissan:10%</v>
      </c>
      <c r="Q60" s="429"/>
      <c r="R60" s="421"/>
      <c r="S60" s="472"/>
      <c r="T60" s="466"/>
      <c r="U60" s="466"/>
      <c r="V60" s="466"/>
      <c r="W60" s="466"/>
    </row>
    <row r="61" s="408" customFormat="1" spans="1:23">
      <c r="A61" s="428" t="s">
        <v>230</v>
      </c>
      <c r="B61" s="421" t="s">
        <v>483</v>
      </c>
      <c r="C61" s="429" t="s">
        <v>233</v>
      </c>
      <c r="D61" s="421" t="s">
        <v>423</v>
      </c>
      <c r="E61" s="430"/>
      <c r="F61" s="430">
        <v>49415.9166666667</v>
      </c>
      <c r="G61" s="430"/>
      <c r="H61" s="430"/>
      <c r="I61" s="450"/>
      <c r="J61" s="451">
        <v>0.0353064573448687</v>
      </c>
      <c r="K61" s="451">
        <v>0.039226086927898</v>
      </c>
      <c r="L61" s="451">
        <v>0.0467278537219352</v>
      </c>
      <c r="M61" s="452"/>
      <c r="N61" s="451"/>
      <c r="O61" s="430"/>
      <c r="P61" s="531">
        <f t="array" ref="P61">INDEX(正厂竞争者数据汇总!I:I,MATCH($A$52&amp;B61,正厂竞争者数据汇总!A:A&amp;正厂竞争者数据汇总!D:D,0))</f>
        <v>0</v>
      </c>
      <c r="Q61" s="429"/>
      <c r="R61" s="421"/>
      <c r="S61" s="472"/>
      <c r="T61" s="466"/>
      <c r="U61" s="466"/>
      <c r="V61" s="466"/>
      <c r="W61" s="466"/>
    </row>
    <row r="62" s="408" customFormat="1" spans="1:23">
      <c r="A62" s="428" t="s">
        <v>230</v>
      </c>
      <c r="B62" s="421" t="s">
        <v>459</v>
      </c>
      <c r="C62" s="429" t="s">
        <v>233</v>
      </c>
      <c r="D62" s="421" t="s">
        <v>419</v>
      </c>
      <c r="E62" s="430"/>
      <c r="F62" s="430">
        <v>28630.7291666667</v>
      </c>
      <c r="G62" s="430"/>
      <c r="H62" s="430"/>
      <c r="I62" s="450"/>
      <c r="J62" s="451">
        <v>0.0204559519738155</v>
      </c>
      <c r="K62" s="451">
        <v>0.0203759230040918</v>
      </c>
      <c r="L62" s="451">
        <v>0.0207288890239956</v>
      </c>
      <c r="M62" s="452"/>
      <c r="N62" s="451"/>
      <c r="O62" s="430"/>
      <c r="P62" s="531" t="str">
        <f t="array" ref="P62">INDEX(正厂竞争者数据汇总!I:I,MATCH($A$52&amp;B62,正厂竞争者数据汇总!A:A&amp;正厂竞争者数据汇总!D:D,0))</f>
        <v>经营多品牌零件，折算比例为：Ford:33%,GM:17%,Hyundai:0%,Infiniti:0%,Kia:17%,Mopar:33%,Subaru:0%</v>
      </c>
      <c r="Q62" s="429"/>
      <c r="R62" s="421"/>
      <c r="S62" s="472"/>
      <c r="T62" s="466"/>
      <c r="U62" s="466"/>
      <c r="V62" s="466"/>
      <c r="W62" s="466"/>
    </row>
    <row r="63" s="408" customFormat="1" spans="1:23">
      <c r="A63" s="428"/>
      <c r="B63" s="421"/>
      <c r="C63" s="429"/>
      <c r="D63" s="421"/>
      <c r="E63" s="430"/>
      <c r="F63" s="430"/>
      <c r="G63" s="430"/>
      <c r="H63" s="430"/>
      <c r="I63" s="450"/>
      <c r="J63" s="451"/>
      <c r="K63" s="451"/>
      <c r="L63" s="451"/>
      <c r="M63" s="452"/>
      <c r="N63" s="451"/>
      <c r="O63" s="430"/>
      <c r="P63" s="531"/>
      <c r="Q63" s="429"/>
      <c r="R63" s="421"/>
      <c r="S63" s="472"/>
      <c r="T63" s="466"/>
      <c r="U63" s="466"/>
      <c r="V63" s="421"/>
      <c r="W63" s="421"/>
    </row>
    <row r="64" s="408" customFormat="1" spans="1:23">
      <c r="A64" s="428"/>
      <c r="B64" s="421"/>
      <c r="C64" s="439"/>
      <c r="D64" s="421"/>
      <c r="E64" s="430"/>
      <c r="F64" s="430">
        <v>1399628.29416667</v>
      </c>
      <c r="G64" s="430">
        <v>1270419.34583333</v>
      </c>
      <c r="H64" s="430">
        <v>1259631.94083333</v>
      </c>
      <c r="I64" s="453">
        <f>(F64/G64)-1</f>
        <v>0.101705746812747</v>
      </c>
      <c r="J64" s="430"/>
      <c r="K64" s="451"/>
      <c r="L64" s="430"/>
      <c r="M64" s="451"/>
      <c r="N64" s="459">
        <f>SUM(N54:N62)</f>
        <v>0</v>
      </c>
      <c r="O64" s="430" t="s">
        <v>180</v>
      </c>
      <c r="P64" s="531"/>
      <c r="Q64" s="429"/>
      <c r="R64" s="421"/>
      <c r="S64" s="473"/>
      <c r="T64" s="466"/>
      <c r="U64" s="466"/>
      <c r="V64" s="421"/>
      <c r="W64" s="421"/>
    </row>
    <row r="65" s="408" customFormat="1" spans="1:23">
      <c r="A65" s="428"/>
      <c r="B65" s="421"/>
      <c r="C65" s="439"/>
      <c r="D65" s="421"/>
      <c r="E65" s="430"/>
      <c r="F65" s="430"/>
      <c r="G65" s="430"/>
      <c r="H65" s="430"/>
      <c r="I65" s="453"/>
      <c r="J65" s="430"/>
      <c r="K65" s="430"/>
      <c r="L65" s="430"/>
      <c r="M65" s="451"/>
      <c r="N65" s="459"/>
      <c r="O65" s="430"/>
      <c r="P65" s="531"/>
      <c r="Q65" s="429"/>
      <c r="R65" s="421"/>
      <c r="S65" s="473"/>
      <c r="T65" s="466"/>
      <c r="U65" s="466"/>
      <c r="V65" s="421"/>
      <c r="W65" s="421"/>
    </row>
    <row r="66" s="408" customFormat="1" ht="17.4" spans="1:23">
      <c r="A66" s="418" t="s">
        <v>159</v>
      </c>
      <c r="B66" s="419"/>
      <c r="C66" s="420"/>
      <c r="D66" s="421"/>
      <c r="E66" s="422" t="s">
        <v>202</v>
      </c>
      <c r="F66" s="422"/>
      <c r="G66" s="422"/>
      <c r="H66" s="422"/>
      <c r="I66" s="422"/>
      <c r="J66" s="422"/>
      <c r="K66" s="422"/>
      <c r="L66" s="422"/>
      <c r="M66" s="443"/>
      <c r="N66" s="444"/>
      <c r="O66" s="422"/>
      <c r="P66" s="531"/>
      <c r="Q66" s="465"/>
      <c r="R66" s="424"/>
      <c r="S66" s="473"/>
      <c r="T66" s="467"/>
      <c r="U66" s="467"/>
      <c r="V66" s="467"/>
      <c r="W66" s="467"/>
    </row>
    <row r="67" s="409" customFormat="1" ht="46.8" spans="1:23">
      <c r="A67" s="423" t="s">
        <v>206</v>
      </c>
      <c r="B67" s="424" t="s">
        <v>207</v>
      </c>
      <c r="C67" s="425" t="s">
        <v>447</v>
      </c>
      <c r="D67" s="424" t="s">
        <v>209</v>
      </c>
      <c r="E67" s="426" t="s">
        <v>210</v>
      </c>
      <c r="F67" s="427" t="s">
        <v>478</v>
      </c>
      <c r="G67" s="427" t="s">
        <v>213</v>
      </c>
      <c r="H67" s="427" t="s">
        <v>396</v>
      </c>
      <c r="I67" s="427" t="s">
        <v>386</v>
      </c>
      <c r="J67" s="446" t="s">
        <v>444</v>
      </c>
      <c r="K67" s="446" t="s">
        <v>449</v>
      </c>
      <c r="L67" s="446" t="s">
        <v>479</v>
      </c>
      <c r="M67" s="447" t="s">
        <v>436</v>
      </c>
      <c r="N67" s="448" t="s">
        <v>219</v>
      </c>
      <c r="O67" s="449" t="s">
        <v>220</v>
      </c>
      <c r="P67" s="535" t="s">
        <v>0</v>
      </c>
      <c r="Q67" s="469" t="s">
        <v>222</v>
      </c>
      <c r="R67" s="426" t="s">
        <v>223</v>
      </c>
      <c r="S67" s="470" t="s">
        <v>224</v>
      </c>
      <c r="T67" s="467" t="s">
        <v>225</v>
      </c>
      <c r="U67" s="470" t="s">
        <v>226</v>
      </c>
      <c r="V67" s="467"/>
      <c r="W67" s="467"/>
    </row>
    <row r="68" s="410" customFormat="1" ht="17.4" spans="1:23">
      <c r="A68" s="432" t="s">
        <v>227</v>
      </c>
      <c r="B68" s="479" t="s">
        <v>160</v>
      </c>
      <c r="C68" s="434" t="s">
        <v>441</v>
      </c>
      <c r="D68" s="435" t="s">
        <v>49</v>
      </c>
      <c r="E68" s="436">
        <f>VLOOKUP(B68,正厂竞争者数据汇总!D:H,4,FALSE)</f>
        <v>0</v>
      </c>
      <c r="F68" s="436">
        <v>376657.166666667</v>
      </c>
      <c r="G68" s="436">
        <v>369856.833333333</v>
      </c>
      <c r="H68" s="436">
        <v>370810.25</v>
      </c>
      <c r="I68" s="454">
        <f>(F68/G68)-1</f>
        <v>0.0183863936541229</v>
      </c>
      <c r="J68" s="455">
        <v>0.49972152426268</v>
      </c>
      <c r="K68" s="455">
        <v>0.545583392749921</v>
      </c>
      <c r="L68" s="455">
        <v>0.585736321211315</v>
      </c>
      <c r="M68" s="456">
        <f>J68-K68</f>
        <v>-0.0458618684872409</v>
      </c>
      <c r="N68" s="455" t="str">
        <f>IFERROR(O68*0.5/$F$68,"")</f>
        <v/>
      </c>
      <c r="O68" s="436" t="s">
        <v>180</v>
      </c>
      <c r="P68" s="531">
        <f t="array" ref="P68">INDEX(正厂竞争者数据汇总!I:I,MATCH($A$66&amp;B68,正厂竞争者数据汇总!A:A&amp;正厂竞争者数据汇总!D:D,0))</f>
        <v>0</v>
      </c>
      <c r="Q68" s="434" t="s">
        <v>280</v>
      </c>
      <c r="R68" s="435" t="s">
        <v>229</v>
      </c>
      <c r="S68" s="476"/>
      <c r="T68" s="477"/>
      <c r="U68" s="477"/>
      <c r="V68" s="435"/>
      <c r="W68" s="435"/>
    </row>
    <row r="69" s="408" customFormat="1" spans="1:23">
      <c r="A69" s="428" t="s">
        <v>230</v>
      </c>
      <c r="B69" s="421" t="s">
        <v>282</v>
      </c>
      <c r="C69" s="429" t="s">
        <v>441</v>
      </c>
      <c r="D69" s="421" t="s">
        <v>250</v>
      </c>
      <c r="E69" s="430"/>
      <c r="F69" s="430">
        <v>116207.916666667</v>
      </c>
      <c r="G69" s="430"/>
      <c r="H69" s="430"/>
      <c r="I69" s="450"/>
      <c r="J69" s="451">
        <v>0.154176270591048</v>
      </c>
      <c r="K69" s="451">
        <v>0.129997742564635</v>
      </c>
      <c r="L69" s="451">
        <v>0.134777036219263</v>
      </c>
      <c r="M69" s="452"/>
      <c r="N69" s="451"/>
      <c r="O69" s="430"/>
      <c r="P69" s="531" t="str">
        <f t="array" ref="P69">INDEX(正厂竞争者数据汇总!I:I,MATCH($A$66&amp;B69,正厂竞争者数据汇总!A:A&amp;正厂竞争者数据汇总!D:D,0))</f>
        <v>2021年08月新增竞争者</v>
      </c>
      <c r="Q69" s="429"/>
      <c r="R69" s="421"/>
      <c r="S69" s="472"/>
      <c r="T69" s="466"/>
      <c r="U69" s="466"/>
      <c r="V69" s="466"/>
      <c r="W69" s="466"/>
    </row>
    <row r="70" s="408" customFormat="1" spans="1:23">
      <c r="A70" s="428" t="s">
        <v>230</v>
      </c>
      <c r="B70" s="421" t="s">
        <v>255</v>
      </c>
      <c r="C70" s="429" t="s">
        <v>233</v>
      </c>
      <c r="D70" s="421" t="s">
        <v>419</v>
      </c>
      <c r="E70" s="430"/>
      <c r="F70" s="430">
        <v>99759.5433333333</v>
      </c>
      <c r="G70" s="430"/>
      <c r="H70" s="430"/>
      <c r="I70" s="450"/>
      <c r="J70" s="451">
        <v>0.132353756853909</v>
      </c>
      <c r="K70" s="451">
        <v>0.128881802979068</v>
      </c>
      <c r="L70" s="451">
        <v>0.144005882220736</v>
      </c>
      <c r="M70" s="452"/>
      <c r="N70" s="451"/>
      <c r="O70" s="430"/>
      <c r="P70" s="531" t="str">
        <f t="array" ref="P70">INDEX(正厂竞争者数据汇总!I:I,MATCH($A$66&amp;B70,正厂竞争者数据汇总!A:A&amp;正厂竞争者数据汇总!D:D,0))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70" s="429"/>
      <c r="R70" s="421"/>
      <c r="S70" s="472"/>
      <c r="T70" s="466"/>
      <c r="U70" s="466"/>
      <c r="V70" s="466"/>
      <c r="W70" s="466"/>
    </row>
    <row r="71" s="408" customFormat="1" spans="1:23">
      <c r="A71" s="428" t="s">
        <v>230</v>
      </c>
      <c r="B71" s="421" t="s">
        <v>281</v>
      </c>
      <c r="C71" s="429" t="s">
        <v>233</v>
      </c>
      <c r="D71" s="421" t="s">
        <v>234</v>
      </c>
      <c r="E71" s="430"/>
      <c r="F71" s="430">
        <v>55468.5</v>
      </c>
      <c r="G71" s="430"/>
      <c r="H71" s="430"/>
      <c r="I71" s="450"/>
      <c r="J71" s="451">
        <v>0.0735915995276813</v>
      </c>
      <c r="K71" s="451">
        <v>0.0674709513963987</v>
      </c>
      <c r="L71" s="451">
        <v>0.045717963887992</v>
      </c>
      <c r="M71" s="452"/>
      <c r="N71" s="451"/>
      <c r="O71" s="430"/>
      <c r="P71" s="531" t="str">
        <f t="array" ref="P71">INDEX(正厂竞争者数据汇总!I:I,MATCH($A$66&amp;B71,正厂竞争者数据汇总!A:A&amp;正厂竞争者数据汇总!D:D,0))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71" s="429"/>
      <c r="R71" s="421"/>
      <c r="S71" s="472"/>
      <c r="T71" s="466"/>
      <c r="U71" s="466"/>
      <c r="V71" s="466"/>
      <c r="W71" s="466"/>
    </row>
    <row r="72" s="408" customFormat="1" spans="1:23">
      <c r="A72" s="428" t="s">
        <v>243</v>
      </c>
      <c r="B72" s="421" t="s">
        <v>401</v>
      </c>
      <c r="C72" s="429" t="s">
        <v>233</v>
      </c>
      <c r="D72" s="421" t="s">
        <v>266</v>
      </c>
      <c r="E72" s="430"/>
      <c r="F72" s="430">
        <v>40636</v>
      </c>
      <c r="G72" s="430"/>
      <c r="H72" s="430"/>
      <c r="I72" s="450"/>
      <c r="J72" s="451">
        <v>0.053912909821013</v>
      </c>
      <c r="K72" s="451">
        <v>0.0476340002533797</v>
      </c>
      <c r="L72" s="451">
        <v>0.0364009251905286</v>
      </c>
      <c r="M72" s="452"/>
      <c r="N72" s="451"/>
      <c r="O72" s="430"/>
      <c r="P72" s="531" t="str">
        <f t="array" ref="P72">INDEX(正厂竞争者数据汇总!I:I,MATCH($A$66&amp;B72,正厂竞争者数据汇总!A:A&amp;正厂竞争者数据汇总!D:D,0))</f>
        <v>2023年1月新增</v>
      </c>
      <c r="Q72" s="429"/>
      <c r="R72" s="421"/>
      <c r="S72" s="472"/>
      <c r="T72" s="466"/>
      <c r="U72" s="466"/>
      <c r="V72" s="466"/>
      <c r="W72" s="466"/>
    </row>
    <row r="73" s="408" customFormat="1" spans="1:23">
      <c r="A73" s="428" t="s">
        <v>230</v>
      </c>
      <c r="B73" s="421" t="s">
        <v>457</v>
      </c>
      <c r="C73" s="429" t="s">
        <v>233</v>
      </c>
      <c r="D73" s="421" t="s">
        <v>58</v>
      </c>
      <c r="E73" s="430"/>
      <c r="F73" s="430">
        <v>37162.5</v>
      </c>
      <c r="G73" s="430"/>
      <c r="H73" s="430"/>
      <c r="I73" s="450"/>
      <c r="J73" s="451">
        <v>0.0493045208983019</v>
      </c>
      <c r="K73" s="451">
        <v>0.0467470349572757</v>
      </c>
      <c r="L73" s="451">
        <v>0.0434813626460962</v>
      </c>
      <c r="M73" s="452"/>
      <c r="N73" s="451"/>
      <c r="O73" s="430"/>
      <c r="P73" s="531">
        <f t="array" ref="P73">INDEX(正厂竞争者数据汇总!I:I,MATCH($A$66&amp;B73,正厂竞争者数据汇总!A:A&amp;正厂竞争者数据汇总!D:D,0))</f>
        <v>0</v>
      </c>
      <c r="Q73" s="429"/>
      <c r="R73" s="421"/>
      <c r="S73" s="472"/>
      <c r="T73" s="466"/>
      <c r="U73" s="466"/>
      <c r="V73" s="466"/>
      <c r="W73" s="466"/>
    </row>
    <row r="74" s="408" customFormat="1" spans="1:23">
      <c r="A74" s="428" t="s">
        <v>230</v>
      </c>
      <c r="B74" s="421" t="s">
        <v>283</v>
      </c>
      <c r="C74" s="429" t="s">
        <v>233</v>
      </c>
      <c r="D74" s="421" t="s">
        <v>50</v>
      </c>
      <c r="E74" s="430"/>
      <c r="F74" s="430">
        <v>27842.5</v>
      </c>
      <c r="G74" s="430"/>
      <c r="H74" s="430"/>
      <c r="I74" s="450"/>
      <c r="J74" s="451">
        <v>0.0369394180453675</v>
      </c>
      <c r="K74" s="451">
        <v>0.0336850750993218</v>
      </c>
      <c r="L74" s="451">
        <v>0.0462814338145984</v>
      </c>
      <c r="M74" s="452"/>
      <c r="N74" s="451"/>
      <c r="O74" s="430"/>
      <c r="P74" s="531" t="str">
        <f t="array" ref="P74">INDEX(正厂竞争者数据汇总!I:I,MATCH($A$66&amp;B74,正厂竞争者数据汇总!A:A&amp;正厂竞争者数据汇总!D:D,0))</f>
        <v>2020年10月起加入MarketingShare.2023年8月，因为连续半年市场份额低于5%移除；2024年2月因市场份额大于5%重新加入监控</v>
      </c>
      <c r="Q74" s="429"/>
      <c r="R74" s="421"/>
      <c r="S74" s="472"/>
      <c r="T74" s="466"/>
      <c r="U74" s="466"/>
      <c r="V74" s="466"/>
      <c r="W74" s="466"/>
    </row>
    <row r="75" s="408" customFormat="1" spans="1:23">
      <c r="A75" s="428"/>
      <c r="B75" s="421"/>
      <c r="C75" s="429"/>
      <c r="D75" s="421"/>
      <c r="E75" s="430"/>
      <c r="F75" s="430"/>
      <c r="G75" s="430"/>
      <c r="H75" s="430"/>
      <c r="I75" s="453"/>
      <c r="J75" s="451"/>
      <c r="K75" s="451"/>
      <c r="L75" s="451"/>
      <c r="M75" s="451"/>
      <c r="N75" s="451"/>
      <c r="O75" s="430"/>
      <c r="P75" s="531"/>
      <c r="Q75" s="429"/>
      <c r="R75" s="421"/>
      <c r="S75" s="473"/>
      <c r="T75" s="466"/>
      <c r="U75" s="466"/>
      <c r="V75" s="421"/>
      <c r="W75" s="421"/>
    </row>
    <row r="76" s="408" customFormat="1" spans="1:23">
      <c r="A76" s="428"/>
      <c r="B76" s="421"/>
      <c r="C76" s="429"/>
      <c r="D76" s="421"/>
      <c r="E76" s="430"/>
      <c r="F76" s="430">
        <v>753734.126666667</v>
      </c>
      <c r="G76" s="430">
        <v>675366.255</v>
      </c>
      <c r="H76" s="430">
        <v>656929.13</v>
      </c>
      <c r="I76" s="453">
        <f>(F76/G76)-1</f>
        <v>0.116037588621698</v>
      </c>
      <c r="J76" s="451"/>
      <c r="K76" s="451"/>
      <c r="L76" s="451"/>
      <c r="M76" s="451"/>
      <c r="N76" s="451">
        <f>SUM(N68:N71)</f>
        <v>0</v>
      </c>
      <c r="O76" s="430"/>
      <c r="P76" s="531"/>
      <c r="Q76" s="429"/>
      <c r="R76" s="421"/>
      <c r="S76" s="473"/>
      <c r="T76" s="466"/>
      <c r="U76" s="466"/>
      <c r="V76" s="421"/>
      <c r="W76" s="421"/>
    </row>
    <row r="77" s="408" customFormat="1" spans="1:23">
      <c r="A77" s="428"/>
      <c r="B77" s="421"/>
      <c r="C77" s="429"/>
      <c r="D77" s="421"/>
      <c r="E77" s="430"/>
      <c r="F77" s="430"/>
      <c r="G77" s="430"/>
      <c r="H77" s="430"/>
      <c r="I77" s="453"/>
      <c r="J77" s="451"/>
      <c r="K77" s="451"/>
      <c r="L77" s="451"/>
      <c r="M77" s="451"/>
      <c r="N77" s="451"/>
      <c r="O77" s="430"/>
      <c r="P77" s="531"/>
      <c r="Q77" s="429"/>
      <c r="R77" s="421"/>
      <c r="S77" s="473"/>
      <c r="T77" s="466"/>
      <c r="U77" s="466"/>
      <c r="V77" s="421"/>
      <c r="W77" s="421"/>
    </row>
    <row r="78" s="408" customFormat="1" ht="17.4" spans="1:23">
      <c r="A78" s="418" t="s">
        <v>274</v>
      </c>
      <c r="B78" s="419"/>
      <c r="C78" s="420"/>
      <c r="D78" s="421"/>
      <c r="E78" s="422" t="s">
        <v>202</v>
      </c>
      <c r="F78" s="422"/>
      <c r="G78" s="422"/>
      <c r="H78" s="422"/>
      <c r="I78" s="422"/>
      <c r="J78" s="422"/>
      <c r="K78" s="422"/>
      <c r="L78" s="422"/>
      <c r="M78" s="443"/>
      <c r="N78" s="444"/>
      <c r="O78" s="422"/>
      <c r="P78" s="531"/>
      <c r="Q78" s="465"/>
      <c r="R78" s="424"/>
      <c r="S78" s="473"/>
      <c r="T78" s="467"/>
      <c r="U78" s="467"/>
      <c r="V78" s="467"/>
      <c r="W78" s="467"/>
    </row>
    <row r="79" s="409" customFormat="1" ht="46.8" spans="1:23">
      <c r="A79" s="423" t="s">
        <v>206</v>
      </c>
      <c r="B79" s="424" t="s">
        <v>207</v>
      </c>
      <c r="C79" s="425" t="s">
        <v>447</v>
      </c>
      <c r="D79" s="424" t="s">
        <v>209</v>
      </c>
      <c r="E79" s="426" t="s">
        <v>210</v>
      </c>
      <c r="F79" s="427" t="s">
        <v>478</v>
      </c>
      <c r="G79" s="427" t="s">
        <v>213</v>
      </c>
      <c r="H79" s="427" t="s">
        <v>396</v>
      </c>
      <c r="I79" s="427" t="s">
        <v>386</v>
      </c>
      <c r="J79" s="446" t="s">
        <v>444</v>
      </c>
      <c r="K79" s="446" t="s">
        <v>449</v>
      </c>
      <c r="L79" s="446" t="s">
        <v>479</v>
      </c>
      <c r="M79" s="447" t="s">
        <v>436</v>
      </c>
      <c r="N79" s="448" t="s">
        <v>219</v>
      </c>
      <c r="O79" s="449" t="s">
        <v>220</v>
      </c>
      <c r="P79" s="535" t="s">
        <v>0</v>
      </c>
      <c r="Q79" s="469" t="s">
        <v>222</v>
      </c>
      <c r="R79" s="426" t="s">
        <v>223</v>
      </c>
      <c r="S79" s="470" t="s">
        <v>224</v>
      </c>
      <c r="T79" s="467" t="s">
        <v>225</v>
      </c>
      <c r="U79" s="470" t="s">
        <v>226</v>
      </c>
      <c r="V79" s="467"/>
      <c r="W79" s="467"/>
    </row>
    <row r="80" s="410" customFormat="1" ht="17.4" spans="1:23">
      <c r="A80" s="432" t="s">
        <v>227</v>
      </c>
      <c r="B80" s="435" t="s">
        <v>157</v>
      </c>
      <c r="C80" s="434" t="s">
        <v>441</v>
      </c>
      <c r="D80" s="435" t="s">
        <v>49</v>
      </c>
      <c r="E80" s="436">
        <f>VLOOKUP(B80,正厂竞争者数据汇总!D:H,4,FALSE)</f>
        <v>0</v>
      </c>
      <c r="F80" s="436">
        <v>292341.605833334</v>
      </c>
      <c r="G80" s="436">
        <v>278909.416666667</v>
      </c>
      <c r="H80" s="436">
        <v>329867.416666667</v>
      </c>
      <c r="I80" s="454">
        <f>(F80/G80)-1</f>
        <v>0.0481596832663425</v>
      </c>
      <c r="J80" s="457">
        <v>0.40765605340742</v>
      </c>
      <c r="K80" s="457">
        <v>0.387913938967853</v>
      </c>
      <c r="L80" s="457">
        <v>0.340964303771138</v>
      </c>
      <c r="M80" s="456">
        <f>J80-K80</f>
        <v>0.019742114439567</v>
      </c>
      <c r="N80" s="457" t="str">
        <f>IFERROR(O80*0.5/$F$80,"")</f>
        <v/>
      </c>
      <c r="O80" s="436" t="s">
        <v>180</v>
      </c>
      <c r="P80" s="531">
        <f t="array" ref="P80">INDEX(正厂竞争者数据汇总!I:I,MATCH($A$78&amp;B80,正厂竞争者数据汇总!A:A&amp;正厂竞争者数据汇总!D:D,0))</f>
        <v>0</v>
      </c>
      <c r="Q80" s="434" t="s">
        <v>275</v>
      </c>
      <c r="R80" s="435" t="s">
        <v>229</v>
      </c>
      <c r="S80" s="476"/>
      <c r="T80" s="477"/>
      <c r="U80" s="477"/>
      <c r="V80" s="435"/>
      <c r="W80" s="435"/>
    </row>
    <row r="81" s="408" customFormat="1" spans="1:23">
      <c r="A81" s="428" t="s">
        <v>230</v>
      </c>
      <c r="B81" s="421" t="s">
        <v>276</v>
      </c>
      <c r="C81" s="429" t="s">
        <v>233</v>
      </c>
      <c r="D81" s="421" t="s">
        <v>234</v>
      </c>
      <c r="E81" s="430"/>
      <c r="F81" s="430">
        <v>176404.58</v>
      </c>
      <c r="G81" s="430"/>
      <c r="H81" s="430"/>
      <c r="I81" s="450"/>
      <c r="J81" s="451">
        <v>0.245987548302622</v>
      </c>
      <c r="K81" s="451">
        <v>0.250597237965808</v>
      </c>
      <c r="L81" s="451">
        <v>0.260164350422659</v>
      </c>
      <c r="M81" s="452"/>
      <c r="N81" s="451"/>
      <c r="O81" s="430"/>
      <c r="P81" s="531" t="str">
        <f t="array" ref="P81">INDEX(正厂竞争者数据汇总!I:I,MATCH($A$78&amp;B81,正厂竞争者数据汇总!A:A&amp;正厂竞争者数据汇总!D:D,0))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81" s="429"/>
      <c r="R81" s="421"/>
      <c r="S81" s="472"/>
      <c r="T81" s="466"/>
      <c r="U81" s="466"/>
      <c r="V81" s="466"/>
      <c r="W81" s="466"/>
    </row>
    <row r="82" s="408" customFormat="1" spans="1:23">
      <c r="A82" s="428" t="s">
        <v>230</v>
      </c>
      <c r="B82" s="421" t="s">
        <v>278</v>
      </c>
      <c r="C82" s="429" t="s">
        <v>65</v>
      </c>
      <c r="D82" s="421" t="s">
        <v>59</v>
      </c>
      <c r="E82" s="430"/>
      <c r="F82" s="430">
        <v>99579.75</v>
      </c>
      <c r="G82" s="430"/>
      <c r="H82" s="430"/>
      <c r="I82" s="450"/>
      <c r="J82" s="451">
        <v>0.138859084968701</v>
      </c>
      <c r="K82" s="451">
        <v>0.149667384182201</v>
      </c>
      <c r="L82" s="451">
        <v>0.150655075126382</v>
      </c>
      <c r="M82" s="452"/>
      <c r="N82" s="451"/>
      <c r="O82" s="430"/>
      <c r="P82" s="531" t="str">
        <f t="array" ref="P82">INDEX(正厂竞争者数据汇总!I:I,MATCH($A$78&amp;B82,正厂竞争者数据汇总!A:A&amp;正厂竞争者数据汇总!D:D,0))</f>
        <v>2020年11月新增竞争者</v>
      </c>
      <c r="Q82" s="429"/>
      <c r="R82" s="421"/>
      <c r="S82" s="472"/>
      <c r="T82" s="466"/>
      <c r="U82" s="466"/>
      <c r="V82" s="466"/>
      <c r="W82" s="466"/>
    </row>
    <row r="83" s="408" customFormat="1" spans="1:23">
      <c r="A83" s="428" t="s">
        <v>243</v>
      </c>
      <c r="B83" s="421" t="s">
        <v>277</v>
      </c>
      <c r="C83" s="429" t="s">
        <v>233</v>
      </c>
      <c r="D83" s="421" t="s">
        <v>266</v>
      </c>
      <c r="E83" s="430"/>
      <c r="F83" s="430">
        <v>97869.8116666667</v>
      </c>
      <c r="G83" s="430"/>
      <c r="H83" s="430"/>
      <c r="I83" s="450"/>
      <c r="J83" s="451">
        <v>0.136474659698307</v>
      </c>
      <c r="K83" s="451">
        <v>0.139136788703395</v>
      </c>
      <c r="L83" s="451">
        <v>0.181645031222252</v>
      </c>
      <c r="M83" s="452"/>
      <c r="N83" s="451"/>
      <c r="O83" s="430"/>
      <c r="P83" s="531">
        <f t="array" ref="P83">INDEX(正厂竞争者数据汇总!I:I,MATCH($A$78&amp;B83,正厂竞争者数据汇总!A:A&amp;正厂竞争者数据汇总!D:D,0))</f>
        <v>0</v>
      </c>
      <c r="Q83" s="429"/>
      <c r="R83" s="421"/>
      <c r="S83" s="472"/>
      <c r="T83" s="466"/>
      <c r="U83" s="466"/>
      <c r="V83" s="466"/>
      <c r="W83" s="466"/>
    </row>
    <row r="84" s="408" customFormat="1" spans="1:23">
      <c r="A84" s="428" t="s">
        <v>230</v>
      </c>
      <c r="B84" s="421" t="s">
        <v>279</v>
      </c>
      <c r="C84" s="429" t="s">
        <v>233</v>
      </c>
      <c r="D84" s="421" t="s">
        <v>234</v>
      </c>
      <c r="E84" s="430"/>
      <c r="F84" s="430">
        <v>50932.3397435897</v>
      </c>
      <c r="G84" s="430"/>
      <c r="H84" s="430"/>
      <c r="I84" s="450"/>
      <c r="J84" s="451">
        <v>0.0710226536229493</v>
      </c>
      <c r="K84" s="451">
        <v>0.0726846501807422</v>
      </c>
      <c r="L84" s="451">
        <v>0.0665712394575678</v>
      </c>
      <c r="M84" s="452"/>
      <c r="N84" s="451"/>
      <c r="O84" s="430"/>
      <c r="P84" s="531" t="str">
        <f t="array" ref="P84">INDEX(正厂竞争者数据汇总!I:I,MATCH($A$78&amp;B84,正厂竞争者数据汇总!A:A&amp;正厂竞争者数据汇总!D:D,0))</f>
        <v>同时经营多品牌零件，semrush流量折算比例：Ford:0%, GM:36%, Honda:25%, Hyundai:0%, Infiniti:1%, Kia:1%, Lexus:4%, Mopar:0%, Nissan:25%, Subaru:5%, Toyota:2%</v>
      </c>
      <c r="Q84" s="429"/>
      <c r="R84" s="421"/>
      <c r="S84" s="472"/>
      <c r="T84" s="466"/>
      <c r="U84" s="466"/>
      <c r="V84" s="466"/>
      <c r="W84" s="466"/>
    </row>
    <row r="85" s="408" customFormat="1" spans="1:23">
      <c r="A85" s="428"/>
      <c r="B85" s="431"/>
      <c r="C85" s="429"/>
      <c r="D85" s="421"/>
      <c r="E85" s="430"/>
      <c r="F85" s="430"/>
      <c r="G85" s="430"/>
      <c r="H85" s="430"/>
      <c r="I85" s="453"/>
      <c r="J85" s="451"/>
      <c r="K85" s="451"/>
      <c r="L85" s="451"/>
      <c r="M85" s="451"/>
      <c r="N85" s="451"/>
      <c r="O85" s="430"/>
      <c r="P85" s="531"/>
      <c r="Q85" s="429"/>
      <c r="R85" s="435"/>
      <c r="S85" s="473"/>
      <c r="T85" s="466"/>
      <c r="U85" s="466"/>
      <c r="V85" s="421"/>
      <c r="W85" s="421"/>
    </row>
    <row r="86" s="408" customFormat="1" spans="1:23">
      <c r="A86" s="428"/>
      <c r="B86" s="421"/>
      <c r="C86" s="439"/>
      <c r="D86" s="421"/>
      <c r="E86" s="430"/>
      <c r="F86" s="430">
        <v>717128.087243591</v>
      </c>
      <c r="G86" s="430">
        <v>704838.916666666</v>
      </c>
      <c r="H86" s="430">
        <v>764789.250000002</v>
      </c>
      <c r="I86" s="453">
        <f>(F86/G86)-1</f>
        <v>0.0174354313962162</v>
      </c>
      <c r="J86" s="490"/>
      <c r="K86" s="480"/>
      <c r="L86" s="480"/>
      <c r="M86" s="451"/>
      <c r="N86" s="451">
        <f>SUM(N80:N84)</f>
        <v>0</v>
      </c>
      <c r="O86" s="430"/>
      <c r="P86" s="531"/>
      <c r="Q86" s="429"/>
      <c r="R86" s="421"/>
      <c r="S86" s="473"/>
      <c r="T86" s="466"/>
      <c r="U86" s="466"/>
      <c r="V86" s="421"/>
      <c r="W86" s="421"/>
    </row>
    <row r="87" s="408" customFormat="1" spans="1:23">
      <c r="A87" s="428"/>
      <c r="B87" s="421"/>
      <c r="C87" s="439"/>
      <c r="D87" s="421"/>
      <c r="E87" s="430"/>
      <c r="F87" s="430"/>
      <c r="G87" s="430"/>
      <c r="H87" s="430"/>
      <c r="I87" s="453"/>
      <c r="J87" s="430"/>
      <c r="K87" s="430"/>
      <c r="L87" s="430"/>
      <c r="M87" s="451"/>
      <c r="N87" s="459"/>
      <c r="O87" s="430"/>
      <c r="P87" s="531"/>
      <c r="Q87" s="429"/>
      <c r="R87" s="421"/>
      <c r="S87" s="473"/>
      <c r="T87" s="466"/>
      <c r="U87" s="466"/>
      <c r="V87" s="421"/>
      <c r="W87" s="421"/>
    </row>
    <row r="88" s="408" customFormat="1" ht="17.4" spans="1:23">
      <c r="A88" s="418" t="s">
        <v>165</v>
      </c>
      <c r="B88" s="419"/>
      <c r="C88" s="420"/>
      <c r="D88" s="421"/>
      <c r="E88" s="422" t="s">
        <v>202</v>
      </c>
      <c r="F88" s="422"/>
      <c r="G88" s="422"/>
      <c r="H88" s="422"/>
      <c r="I88" s="422"/>
      <c r="J88" s="422"/>
      <c r="K88" s="422"/>
      <c r="L88" s="422"/>
      <c r="M88" s="443"/>
      <c r="N88" s="444"/>
      <c r="O88" s="422"/>
      <c r="P88" s="531"/>
      <c r="Q88" s="465"/>
      <c r="R88" s="424"/>
      <c r="S88" s="473"/>
      <c r="T88" s="467"/>
      <c r="U88" s="467"/>
      <c r="V88" s="467"/>
      <c r="W88" s="467"/>
    </row>
    <row r="89" s="409" customFormat="1" ht="46.8" spans="1:23">
      <c r="A89" s="423" t="s">
        <v>206</v>
      </c>
      <c r="B89" s="424" t="s">
        <v>207</v>
      </c>
      <c r="C89" s="425" t="s">
        <v>447</v>
      </c>
      <c r="D89" s="424" t="s">
        <v>209</v>
      </c>
      <c r="E89" s="426" t="s">
        <v>210</v>
      </c>
      <c r="F89" s="427" t="s">
        <v>478</v>
      </c>
      <c r="G89" s="427" t="s">
        <v>213</v>
      </c>
      <c r="H89" s="427" t="s">
        <v>396</v>
      </c>
      <c r="I89" s="427" t="s">
        <v>386</v>
      </c>
      <c r="J89" s="446" t="s">
        <v>444</v>
      </c>
      <c r="K89" s="446" t="s">
        <v>449</v>
      </c>
      <c r="L89" s="446" t="s">
        <v>479</v>
      </c>
      <c r="M89" s="447" t="s">
        <v>436</v>
      </c>
      <c r="N89" s="448" t="s">
        <v>219</v>
      </c>
      <c r="O89" s="449" t="s">
        <v>220</v>
      </c>
      <c r="P89" s="535" t="s">
        <v>0</v>
      </c>
      <c r="Q89" s="469" t="s">
        <v>222</v>
      </c>
      <c r="R89" s="426" t="s">
        <v>223</v>
      </c>
      <c r="S89" s="470" t="s">
        <v>224</v>
      </c>
      <c r="T89" s="467" t="s">
        <v>225</v>
      </c>
      <c r="U89" s="470" t="s">
        <v>226</v>
      </c>
      <c r="V89" s="467"/>
      <c r="W89" s="467"/>
    </row>
    <row r="90" s="408" customFormat="1" spans="1:23">
      <c r="A90" s="428" t="s">
        <v>230</v>
      </c>
      <c r="B90" s="421" t="s">
        <v>293</v>
      </c>
      <c r="C90" s="429" t="s">
        <v>233</v>
      </c>
      <c r="D90" s="421" t="s">
        <v>50</v>
      </c>
      <c r="E90" s="430"/>
      <c r="F90" s="430">
        <v>184873.716666667</v>
      </c>
      <c r="G90" s="430"/>
      <c r="H90" s="430"/>
      <c r="I90" s="450"/>
      <c r="J90" s="451">
        <v>0.389615115899931</v>
      </c>
      <c r="K90" s="451">
        <v>0.377312023750511</v>
      </c>
      <c r="L90" s="451">
        <v>0.351580903196127</v>
      </c>
      <c r="M90" s="452"/>
      <c r="N90" s="451"/>
      <c r="O90" s="430"/>
      <c r="P90" s="531">
        <f t="array" ref="P90">INDEX(正厂竞争者数据汇总!I:I,MATCH($A$88&amp;B90,正厂竞争者数据汇总!A:A&amp;正厂竞争者数据汇总!D:D,0))</f>
        <v>0</v>
      </c>
      <c r="Q90" s="429"/>
      <c r="R90" s="421"/>
      <c r="S90" s="472"/>
      <c r="T90" s="466"/>
      <c r="U90" s="466"/>
      <c r="V90" s="466"/>
      <c r="W90" s="466"/>
    </row>
    <row r="91" s="410" customFormat="1" spans="1:23">
      <c r="A91" s="432" t="s">
        <v>227</v>
      </c>
      <c r="B91" s="435" t="s">
        <v>166</v>
      </c>
      <c r="C91" s="505" t="s">
        <v>441</v>
      </c>
      <c r="D91" s="435" t="s">
        <v>58</v>
      </c>
      <c r="E91" s="462"/>
      <c r="F91" s="436">
        <v>108080.323333333</v>
      </c>
      <c r="G91" s="462"/>
      <c r="H91" s="462"/>
      <c r="I91" s="510"/>
      <c r="J91" s="461">
        <v>0.227775632260067</v>
      </c>
      <c r="K91" s="457">
        <v>0.227901723755255</v>
      </c>
      <c r="L91" s="457">
        <v>0.233498382304451</v>
      </c>
      <c r="M91" s="461"/>
      <c r="N91" s="461"/>
      <c r="O91" s="462"/>
      <c r="P91" s="531">
        <f t="array" ref="P91">INDEX(正厂竞争者数据汇总!I:I,MATCH($A$88&amp;B91,正厂竞争者数据汇总!A:A&amp;正厂竞争者数据汇总!D:D,0))</f>
        <v>0</v>
      </c>
      <c r="Q91" s="434"/>
      <c r="R91" s="435"/>
      <c r="S91" s="476"/>
      <c r="T91" s="477"/>
      <c r="U91" s="477"/>
      <c r="V91" s="435"/>
      <c r="W91" s="435"/>
    </row>
    <row r="92" s="408" customFormat="1" spans="1:23">
      <c r="A92" s="428" t="s">
        <v>243</v>
      </c>
      <c r="B92" s="421" t="s">
        <v>298</v>
      </c>
      <c r="C92" s="429" t="s">
        <v>441</v>
      </c>
      <c r="D92" s="421" t="s">
        <v>422</v>
      </c>
      <c r="E92" s="430"/>
      <c r="F92" s="430">
        <v>49702.3916666667</v>
      </c>
      <c r="G92" s="430"/>
      <c r="H92" s="430"/>
      <c r="I92" s="450"/>
      <c r="J92" s="451">
        <v>0.104746112313128</v>
      </c>
      <c r="K92" s="451">
        <v>0.118357365419499</v>
      </c>
      <c r="L92" s="451">
        <v>0.121439205464855</v>
      </c>
      <c r="M92" s="452"/>
      <c r="N92" s="451"/>
      <c r="O92" s="430"/>
      <c r="P92" s="531">
        <f t="array" ref="P92">INDEX(正厂竞争者数据汇总!I:I,MATCH($A$88&amp;B92,正厂竞争者数据汇总!A:A&amp;正厂竞争者数据汇总!D:D,0))</f>
        <v>0</v>
      </c>
      <c r="Q92" s="429"/>
      <c r="R92" s="421"/>
      <c r="S92" s="472"/>
      <c r="T92" s="466"/>
      <c r="U92" s="466"/>
      <c r="V92" s="466"/>
      <c r="W92" s="466"/>
    </row>
    <row r="93" s="408" customFormat="1" spans="1:23">
      <c r="A93" s="428" t="s">
        <v>230</v>
      </c>
      <c r="B93" s="421" t="s">
        <v>295</v>
      </c>
      <c r="C93" s="429" t="s">
        <v>233</v>
      </c>
      <c r="D93" s="421" t="s">
        <v>423</v>
      </c>
      <c r="E93" s="430"/>
      <c r="F93" s="430">
        <v>44048.6116666667</v>
      </c>
      <c r="G93" s="430"/>
      <c r="H93" s="430"/>
      <c r="I93" s="450"/>
      <c r="J93" s="451">
        <v>0.0928309618542641</v>
      </c>
      <c r="K93" s="451">
        <v>0.0719655594329005</v>
      </c>
      <c r="L93" s="451">
        <v>0.103331617255299</v>
      </c>
      <c r="M93" s="452"/>
      <c r="N93" s="451"/>
      <c r="O93" s="430"/>
      <c r="P93" s="531" t="str">
        <f t="array" ref="P93">INDEX(正厂竞争者数据汇总!I:I,MATCH($A$88&amp;B93,正厂竞争者数据汇总!A:A&amp;正厂竞争者数据汇总!D:D,0))</f>
        <v>2023年4月，流量更新为子站parts.subaruonlineparts.com，子站主营parts，此前监控域名为subaruonlineparts.com,该子域名的实际成单效率较高，流量不能完全反应其竞争力</v>
      </c>
      <c r="Q93" s="429"/>
      <c r="R93" s="421"/>
      <c r="S93" s="472"/>
      <c r="T93" s="466"/>
      <c r="U93" s="466"/>
      <c r="V93" s="466"/>
      <c r="W93" s="466"/>
    </row>
    <row r="94" s="408" customFormat="1" spans="1:23">
      <c r="A94" s="428" t="s">
        <v>230</v>
      </c>
      <c r="B94" s="421" t="s">
        <v>294</v>
      </c>
      <c r="C94" s="429" t="s">
        <v>233</v>
      </c>
      <c r="D94" s="421" t="s">
        <v>250</v>
      </c>
      <c r="E94" s="430"/>
      <c r="F94" s="430">
        <v>42475.3233333333</v>
      </c>
      <c r="G94" s="430"/>
      <c r="H94" s="430"/>
      <c r="I94" s="450"/>
      <c r="J94" s="451">
        <v>0.0895153098114108</v>
      </c>
      <c r="K94" s="451">
        <v>0.0943367313272572</v>
      </c>
      <c r="L94" s="451">
        <v>0.0823047197536755</v>
      </c>
      <c r="M94" s="452"/>
      <c r="N94" s="451"/>
      <c r="O94" s="430"/>
      <c r="P94" s="531" t="str">
        <f t="array" ref="P94">INDEX(正厂竞争者数据汇总!I:I,MATCH($A$88&amp;B94,正厂竞争者数据汇总!A:A&amp;正厂竞争者数据汇总!D:D,0))</f>
        <v>2022年1月 新加入 CompetitorSites</v>
      </c>
      <c r="Q94" s="429"/>
      <c r="R94" s="421"/>
      <c r="S94" s="472"/>
      <c r="T94" s="466"/>
      <c r="U94" s="466"/>
      <c r="V94" s="466"/>
      <c r="W94" s="466"/>
    </row>
    <row r="95" s="408" customFormat="1" spans="1:23">
      <c r="A95" s="428" t="s">
        <v>230</v>
      </c>
      <c r="B95" s="421" t="s">
        <v>406</v>
      </c>
      <c r="C95" s="429" t="s">
        <v>233</v>
      </c>
      <c r="D95" s="421" t="s">
        <v>60</v>
      </c>
      <c r="E95" s="430"/>
      <c r="F95" s="430">
        <v>26350.5</v>
      </c>
      <c r="G95" s="430"/>
      <c r="H95" s="430"/>
      <c r="I95" s="450"/>
      <c r="J95" s="451">
        <v>0.055532789066128</v>
      </c>
      <c r="K95" s="451">
        <v>0.0646571367234018</v>
      </c>
      <c r="L95" s="451">
        <v>0.0577017312621799</v>
      </c>
      <c r="M95" s="452"/>
      <c r="N95" s="451"/>
      <c r="O95" s="430"/>
      <c r="P95" s="531"/>
      <c r="Q95" s="429"/>
      <c r="R95" s="421"/>
      <c r="S95" s="472"/>
      <c r="T95" s="466"/>
      <c r="U95" s="466"/>
      <c r="V95" s="466"/>
      <c r="W95" s="466"/>
    </row>
    <row r="96" s="408" customFormat="1" spans="1:23">
      <c r="A96" s="428" t="s">
        <v>230</v>
      </c>
      <c r="B96" s="421" t="s">
        <v>440</v>
      </c>
      <c r="C96" s="429" t="s">
        <v>233</v>
      </c>
      <c r="D96" s="421" t="s">
        <v>417</v>
      </c>
      <c r="E96" s="430"/>
      <c r="F96" s="430">
        <v>18972.5833333333</v>
      </c>
      <c r="G96" s="430"/>
      <c r="H96" s="430"/>
      <c r="I96" s="450"/>
      <c r="J96" s="451">
        <v>0.0399840787950716</v>
      </c>
      <c r="K96" s="451">
        <v>0.0454694595911756</v>
      </c>
      <c r="L96" s="451">
        <v>0.0501434407634121</v>
      </c>
      <c r="M96" s="452"/>
      <c r="N96" s="451"/>
      <c r="O96" s="430"/>
      <c r="P96" s="531" t="str">
        <f t="array" ref="P96">INDEX(正厂竞争者数据汇总!I:I,MATCH($A$88&amp;B96,正厂竞争者数据汇总!A:A&amp;正厂竞争者数据汇总!D:D,0))</f>
        <v>202307，Semrush无法正常获取流量</v>
      </c>
      <c r="Q96" s="429"/>
      <c r="R96" s="421"/>
      <c r="S96" s="472"/>
      <c r="T96" s="466"/>
      <c r="U96" s="466"/>
      <c r="V96" s="466"/>
      <c r="W96" s="466"/>
    </row>
    <row r="97" s="408" customFormat="1" spans="1:23">
      <c r="A97" s="428"/>
      <c r="B97" s="421"/>
      <c r="C97" s="429"/>
      <c r="D97" s="421"/>
      <c r="E97" s="430"/>
      <c r="F97" s="481"/>
      <c r="G97" s="481"/>
      <c r="H97" s="481"/>
      <c r="I97" s="453"/>
      <c r="J97" s="451"/>
      <c r="K97" s="451"/>
      <c r="L97" s="451"/>
      <c r="M97" s="451"/>
      <c r="N97" s="451"/>
      <c r="O97" s="430"/>
      <c r="P97" s="531"/>
      <c r="Q97" s="429"/>
      <c r="R97" s="421"/>
      <c r="S97" s="473"/>
      <c r="T97" s="466"/>
      <c r="U97" s="466"/>
      <c r="V97" s="421"/>
      <c r="W97" s="421"/>
    </row>
    <row r="98" s="408" customFormat="1" spans="1:23">
      <c r="A98" s="428"/>
      <c r="B98" s="421"/>
      <c r="C98" s="439"/>
      <c r="D98" s="421"/>
      <c r="E98" s="421"/>
      <c r="F98" s="481">
        <v>474503.45</v>
      </c>
      <c r="G98" s="481">
        <v>427571.166666666</v>
      </c>
      <c r="H98" s="481">
        <v>496054.5</v>
      </c>
      <c r="I98" s="453">
        <f>(F98/G98)-1</f>
        <v>0.109764846164013</v>
      </c>
      <c r="J98" s="430"/>
      <c r="K98" s="430"/>
      <c r="L98" s="430"/>
      <c r="M98" s="451"/>
      <c r="N98" s="451">
        <f>SUM(N90:N92)</f>
        <v>0</v>
      </c>
      <c r="O98" s="430"/>
      <c r="P98" s="531"/>
      <c r="Q98" s="429"/>
      <c r="R98" s="421"/>
      <c r="S98" s="473"/>
      <c r="T98" s="466"/>
      <c r="U98" s="466"/>
      <c r="V98" s="421"/>
      <c r="W98" s="421"/>
    </row>
    <row r="99" s="408" customFormat="1" spans="1:23">
      <c r="A99" s="428"/>
      <c r="B99" s="421"/>
      <c r="C99" s="429"/>
      <c r="D99" s="421"/>
      <c r="E99" s="430"/>
      <c r="F99" s="451"/>
      <c r="G99" s="451"/>
      <c r="H99" s="451"/>
      <c r="I99" s="453"/>
      <c r="J99" s="451"/>
      <c r="K99" s="451"/>
      <c r="L99" s="451"/>
      <c r="M99" s="451"/>
      <c r="N99" s="451"/>
      <c r="O99" s="451"/>
      <c r="P99" s="531"/>
      <c r="Q99" s="429"/>
      <c r="R99" s="421"/>
      <c r="S99" s="473"/>
      <c r="T99" s="466"/>
      <c r="U99" s="466"/>
      <c r="V99" s="421"/>
      <c r="W99" s="421"/>
    </row>
    <row r="100" s="408" customFormat="1" ht="17.4" spans="1:23">
      <c r="A100" s="418" t="s">
        <v>171</v>
      </c>
      <c r="B100" s="419"/>
      <c r="C100" s="420"/>
      <c r="D100" s="421"/>
      <c r="E100" s="422" t="s">
        <v>202</v>
      </c>
      <c r="F100" s="422"/>
      <c r="G100" s="422"/>
      <c r="H100" s="422"/>
      <c r="I100" s="422"/>
      <c r="J100" s="422"/>
      <c r="K100" s="422"/>
      <c r="L100" s="422"/>
      <c r="M100" s="443"/>
      <c r="N100" s="422"/>
      <c r="O100" s="422"/>
      <c r="P100" s="531"/>
      <c r="Q100" s="465"/>
      <c r="R100" s="424"/>
      <c r="S100" s="473"/>
      <c r="T100" s="467"/>
      <c r="U100" s="467"/>
      <c r="V100" s="467"/>
      <c r="W100" s="467"/>
    </row>
    <row r="101" s="409" customFormat="1" ht="46.8" spans="1:23">
      <c r="A101" s="423" t="s">
        <v>206</v>
      </c>
      <c r="B101" s="424" t="s">
        <v>207</v>
      </c>
      <c r="C101" s="425" t="s">
        <v>447</v>
      </c>
      <c r="D101" s="424" t="s">
        <v>209</v>
      </c>
      <c r="E101" s="426" t="s">
        <v>210</v>
      </c>
      <c r="F101" s="427" t="s">
        <v>478</v>
      </c>
      <c r="G101" s="427" t="s">
        <v>213</v>
      </c>
      <c r="H101" s="427" t="s">
        <v>396</v>
      </c>
      <c r="I101" s="427" t="s">
        <v>386</v>
      </c>
      <c r="J101" s="446" t="s">
        <v>444</v>
      </c>
      <c r="K101" s="446" t="s">
        <v>449</v>
      </c>
      <c r="L101" s="446" t="s">
        <v>479</v>
      </c>
      <c r="M101" s="447" t="s">
        <v>436</v>
      </c>
      <c r="N101" s="448" t="s">
        <v>219</v>
      </c>
      <c r="O101" s="449" t="s">
        <v>220</v>
      </c>
      <c r="P101" s="535" t="s">
        <v>0</v>
      </c>
      <c r="Q101" s="469" t="s">
        <v>222</v>
      </c>
      <c r="R101" s="426" t="s">
        <v>223</v>
      </c>
      <c r="S101" s="470" t="s">
        <v>224</v>
      </c>
      <c r="T101" s="467" t="s">
        <v>225</v>
      </c>
      <c r="U101" s="470" t="s">
        <v>226</v>
      </c>
      <c r="V101" s="467"/>
      <c r="W101" s="467"/>
    </row>
    <row r="102" s="408" customFormat="1" spans="1:23">
      <c r="A102" s="428" t="s">
        <v>230</v>
      </c>
      <c r="B102" s="421" t="s">
        <v>310</v>
      </c>
      <c r="C102" s="429" t="s">
        <v>233</v>
      </c>
      <c r="D102" s="421" t="s">
        <v>371</v>
      </c>
      <c r="E102" s="430"/>
      <c r="F102" s="430">
        <v>117497.833333333</v>
      </c>
      <c r="G102" s="430"/>
      <c r="H102" s="430"/>
      <c r="I102" s="450"/>
      <c r="J102" s="451">
        <v>0.23134044901548</v>
      </c>
      <c r="K102" s="451">
        <v>0.244654696865642</v>
      </c>
      <c r="L102" s="451">
        <v>0.255655593804084</v>
      </c>
      <c r="M102" s="452"/>
      <c r="N102" s="451"/>
      <c r="O102" s="430"/>
      <c r="P102" s="531">
        <f t="array" ref="P102">INDEX(正厂竞争者数据汇总!I:I,MATCH($A$100&amp;B102,正厂竞争者数据汇总!A:A&amp;正厂竞争者数据汇总!D:D,0))</f>
        <v>0</v>
      </c>
      <c r="Q102" s="429"/>
      <c r="R102" s="421"/>
      <c r="S102" s="472"/>
      <c r="T102" s="466"/>
      <c r="U102" s="466"/>
      <c r="V102" s="466"/>
      <c r="W102" s="466"/>
    </row>
    <row r="103" s="410" customFormat="1" spans="1:23">
      <c r="A103" s="432" t="s">
        <v>227</v>
      </c>
      <c r="B103" s="433" t="s">
        <v>172</v>
      </c>
      <c r="C103" s="434" t="s">
        <v>441</v>
      </c>
      <c r="D103" s="477" t="s">
        <v>49</v>
      </c>
      <c r="E103" s="436">
        <f>VLOOKUP(B103,正厂竞争者数据汇总!D:H,4,FALSE)</f>
        <v>0</v>
      </c>
      <c r="F103" s="436">
        <v>110549.75</v>
      </c>
      <c r="G103" s="436">
        <v>132262.583333333</v>
      </c>
      <c r="H103" s="436">
        <v>137115.416666667</v>
      </c>
      <c r="I103" s="454">
        <f>(F103/G103)-1</f>
        <v>-0.164164594295059</v>
      </c>
      <c r="J103" s="457">
        <v>0.217660428945916</v>
      </c>
      <c r="K103" s="457">
        <v>0.237076933784312</v>
      </c>
      <c r="L103" s="457">
        <v>0.230352042359655</v>
      </c>
      <c r="M103" s="456">
        <f>J103-K103</f>
        <v>-0.019416504838396</v>
      </c>
      <c r="N103" s="455"/>
      <c r="O103" s="436"/>
      <c r="P103" s="531">
        <f t="array" ref="P103">INDEX(正厂竞争者数据汇总!I:I,MATCH($A$100&amp;B103,正厂竞争者数据汇总!A:A&amp;正厂竞争者数据汇总!D:D,0))</f>
        <v>0</v>
      </c>
      <c r="Q103" s="491" t="s">
        <v>313</v>
      </c>
      <c r="R103" s="435" t="s">
        <v>180</v>
      </c>
      <c r="S103" s="476"/>
      <c r="T103" s="477"/>
      <c r="U103" s="477"/>
      <c r="V103" s="435"/>
      <c r="W103" s="435"/>
    </row>
    <row r="104" s="408" customFormat="1" spans="1:23">
      <c r="A104" s="428" t="s">
        <v>243</v>
      </c>
      <c r="B104" s="421" t="s">
        <v>314</v>
      </c>
      <c r="C104" s="429" t="s">
        <v>441</v>
      </c>
      <c r="D104" s="421" t="s">
        <v>50</v>
      </c>
      <c r="E104" s="430"/>
      <c r="F104" s="430">
        <v>75545.25</v>
      </c>
      <c r="G104" s="430"/>
      <c r="H104" s="430"/>
      <c r="I104" s="450"/>
      <c r="J104" s="451">
        <v>0.148740377249397</v>
      </c>
      <c r="K104" s="451">
        <v>0.14325816005067</v>
      </c>
      <c r="L104" s="451">
        <v>0.130972474758569</v>
      </c>
      <c r="M104" s="452"/>
      <c r="N104" s="451"/>
      <c r="O104" s="430"/>
      <c r="P104" s="531">
        <f t="array" ref="P104">INDEX(正厂竞争者数据汇总!I:I,MATCH($A$100&amp;B104,正厂竞争者数据汇总!A:A&amp;正厂竞争者数据汇总!D:D,0))</f>
        <v>0</v>
      </c>
      <c r="Q104" s="429"/>
      <c r="R104" s="421"/>
      <c r="S104" s="472"/>
      <c r="T104" s="466"/>
      <c r="U104" s="466"/>
      <c r="V104" s="466"/>
      <c r="W104" s="466"/>
    </row>
    <row r="105" s="408" customFormat="1" spans="1:23">
      <c r="A105" s="428" t="s">
        <v>230</v>
      </c>
      <c r="B105" s="421" t="s">
        <v>311</v>
      </c>
      <c r="C105" s="429" t="s">
        <v>441</v>
      </c>
      <c r="D105" s="421" t="s">
        <v>420</v>
      </c>
      <c r="E105" s="430"/>
      <c r="F105" s="430">
        <v>71836.5</v>
      </c>
      <c r="G105" s="430"/>
      <c r="H105" s="430"/>
      <c r="I105" s="450"/>
      <c r="J105" s="451">
        <v>0.141438252044653</v>
      </c>
      <c r="K105" s="451">
        <v>0.14059071244543</v>
      </c>
      <c r="L105" s="451">
        <v>0.127909915502087</v>
      </c>
      <c r="M105" s="452"/>
      <c r="N105" s="451"/>
      <c r="O105" s="430"/>
      <c r="P105" s="531">
        <f t="array" ref="P105">INDEX(正厂竞争者数据汇总!I:I,MATCH($A$100&amp;B105,正厂竞争者数据汇总!A:A&amp;正厂竞争者数据汇总!D:D,0))</f>
        <v>0</v>
      </c>
      <c r="Q105" s="429"/>
      <c r="R105" s="421"/>
      <c r="S105" s="472"/>
      <c r="T105" s="466"/>
      <c r="U105" s="466"/>
      <c r="V105" s="466"/>
      <c r="W105" s="466"/>
    </row>
    <row r="106" s="408" customFormat="1" spans="1:23">
      <c r="A106" s="428" t="s">
        <v>230</v>
      </c>
      <c r="B106" s="421" t="s">
        <v>315</v>
      </c>
      <c r="C106" s="429" t="s">
        <v>233</v>
      </c>
      <c r="D106" s="421" t="s">
        <v>422</v>
      </c>
      <c r="E106" s="430"/>
      <c r="F106" s="430">
        <v>50965.1666666667</v>
      </c>
      <c r="G106" s="430"/>
      <c r="H106" s="430"/>
      <c r="I106" s="450"/>
      <c r="J106" s="451">
        <v>0.100344867699536</v>
      </c>
      <c r="K106" s="451">
        <v>0.115564501956213</v>
      </c>
      <c r="L106" s="451">
        <v>0.125873090781916</v>
      </c>
      <c r="M106" s="452"/>
      <c r="N106" s="451"/>
      <c r="O106" s="430"/>
      <c r="P106" s="531">
        <f t="array" ref="P106">INDEX(正厂竞争者数据汇总!I:I,MATCH($A$100&amp;B106,正厂竞争者数据汇总!A:A&amp;正厂竞争者数据汇总!D:D,0))</f>
        <v>0</v>
      </c>
      <c r="Q106" s="429"/>
      <c r="R106" s="421"/>
      <c r="S106" s="472"/>
      <c r="T106" s="466"/>
      <c r="U106" s="466"/>
      <c r="V106" s="466"/>
      <c r="W106" s="466"/>
    </row>
    <row r="107" s="408" customFormat="1" spans="1:23">
      <c r="A107" s="428" t="s">
        <v>230</v>
      </c>
      <c r="B107" s="421" t="s">
        <v>392</v>
      </c>
      <c r="C107" s="429" t="s">
        <v>233</v>
      </c>
      <c r="D107" s="421" t="s">
        <v>425</v>
      </c>
      <c r="E107" s="430"/>
      <c r="F107" s="430">
        <v>28668.25</v>
      </c>
      <c r="G107" s="430"/>
      <c r="H107" s="430"/>
      <c r="I107" s="450"/>
      <c r="J107" s="451">
        <v>0.056444664887336</v>
      </c>
      <c r="K107" s="451">
        <v>0.0564954820076392</v>
      </c>
      <c r="L107" s="451">
        <v>0.0595214194125221</v>
      </c>
      <c r="M107" s="452"/>
      <c r="N107" s="451"/>
      <c r="O107" s="430"/>
      <c r="P107" s="531">
        <f t="array" ref="P107">INDEX(正厂竞争者数据汇总!I:I,MATCH($A$100&amp;B107,正厂竞争者数据汇总!A:A&amp;正厂竞争者数据汇总!D:D,0))</f>
        <v>0</v>
      </c>
      <c r="Q107" s="429"/>
      <c r="R107" s="421"/>
      <c r="S107" s="472"/>
      <c r="T107" s="466"/>
      <c r="U107" s="466"/>
      <c r="V107" s="466"/>
      <c r="W107" s="466"/>
    </row>
    <row r="108" s="408" customFormat="1" spans="1:23">
      <c r="A108" s="428" t="s">
        <v>230</v>
      </c>
      <c r="B108" s="421" t="s">
        <v>317</v>
      </c>
      <c r="C108" s="429" t="s">
        <v>233</v>
      </c>
      <c r="D108" s="421" t="s">
        <v>424</v>
      </c>
      <c r="E108" s="430"/>
      <c r="F108" s="430">
        <v>26893.1666666667</v>
      </c>
      <c r="G108" s="430"/>
      <c r="H108" s="430"/>
      <c r="I108" s="450"/>
      <c r="J108" s="451">
        <v>0.0529497189489863</v>
      </c>
      <c r="K108" s="451">
        <v>0.0623595128900944</v>
      </c>
      <c r="L108" s="451">
        <v>0.069715463381167</v>
      </c>
      <c r="M108" s="452"/>
      <c r="N108" s="451"/>
      <c r="O108" s="430"/>
      <c r="P108" s="531">
        <f t="array" ref="P108">INDEX(正厂竞争者数据汇总!I:I,MATCH($A$100&amp;B108,正厂竞争者数据汇总!A:A&amp;正厂竞争者数据汇总!D:D,0))</f>
        <v>0</v>
      </c>
      <c r="Q108" s="429"/>
      <c r="R108" s="421"/>
      <c r="S108" s="472"/>
      <c r="T108" s="466"/>
      <c r="U108" s="466"/>
      <c r="V108" s="466"/>
      <c r="W108" s="466"/>
    </row>
    <row r="109" s="408" customFormat="1" spans="1:23">
      <c r="A109" s="428" t="s">
        <v>230</v>
      </c>
      <c r="B109" s="421" t="s">
        <v>393</v>
      </c>
      <c r="C109" s="429" t="s">
        <v>233</v>
      </c>
      <c r="D109" s="421" t="s">
        <v>60</v>
      </c>
      <c r="E109" s="430"/>
      <c r="F109" s="430">
        <v>25944.1666666667</v>
      </c>
      <c r="G109" s="430"/>
      <c r="H109" s="430"/>
      <c r="I109" s="450"/>
      <c r="J109" s="451">
        <v>0.0510812412086958</v>
      </c>
      <c r="K109" s="451"/>
      <c r="L109" s="451"/>
      <c r="M109" s="452"/>
      <c r="N109" s="451"/>
      <c r="O109" s="430"/>
      <c r="P109" s="531" t="str">
        <f t="array" ref="P109">INDEX(正厂竞争者数据汇总!I:I,MATCH($A$100&amp;B109,正厂竞争者数据汇总!A:A&amp;正厂竞争者数据汇总!D:D,0))</f>
        <v>2022年1月加入CompetitorSites，202305因流量大于MS5%，加入MS计算基准</v>
      </c>
      <c r="Q109" s="429"/>
      <c r="R109" s="421"/>
      <c r="S109" s="472"/>
      <c r="T109" s="466"/>
      <c r="U109" s="466"/>
      <c r="V109" s="466"/>
      <c r="W109" s="466"/>
    </row>
    <row r="110" s="408" customFormat="1" spans="1:23">
      <c r="A110" s="428"/>
      <c r="B110" s="438"/>
      <c r="C110" s="429"/>
      <c r="D110" s="466"/>
      <c r="E110" s="430"/>
      <c r="F110" s="430"/>
      <c r="G110" s="430"/>
      <c r="H110" s="430"/>
      <c r="I110" s="453"/>
      <c r="J110" s="451"/>
      <c r="K110" s="451"/>
      <c r="L110" s="451"/>
      <c r="M110" s="451"/>
      <c r="N110" s="459"/>
      <c r="O110" s="430"/>
      <c r="P110" s="531"/>
      <c r="Q110" s="492"/>
      <c r="R110" s="421"/>
      <c r="S110" s="473"/>
      <c r="T110" s="466"/>
      <c r="U110" s="466"/>
      <c r="V110" s="421"/>
      <c r="W110" s="421"/>
    </row>
    <row r="111" s="408" customFormat="1" spans="1:23">
      <c r="A111" s="428"/>
      <c r="B111" s="421"/>
      <c r="C111" s="439"/>
      <c r="D111" s="421"/>
      <c r="E111" s="430"/>
      <c r="F111" s="430">
        <v>507900.083333333</v>
      </c>
      <c r="G111" s="430">
        <v>451480.499999999</v>
      </c>
      <c r="H111" s="430">
        <v>457440.166666667</v>
      </c>
      <c r="I111" s="453">
        <f>(F111/G111)-1</f>
        <v>0.124965714650653</v>
      </c>
      <c r="J111" s="430"/>
      <c r="K111" s="430"/>
      <c r="L111" s="430"/>
      <c r="M111" s="451"/>
      <c r="N111" s="451"/>
      <c r="O111" s="430"/>
      <c r="P111" s="531"/>
      <c r="Q111" s="493"/>
      <c r="R111" s="421"/>
      <c r="S111" s="473"/>
      <c r="T111" s="466"/>
      <c r="U111" s="466"/>
      <c r="V111" s="421"/>
      <c r="W111" s="421"/>
    </row>
    <row r="112" s="408" customFormat="1" spans="1:23">
      <c r="A112" s="428"/>
      <c r="B112" s="421"/>
      <c r="C112" s="439"/>
      <c r="D112" s="421"/>
      <c r="E112" s="430"/>
      <c r="F112" s="430"/>
      <c r="G112" s="430"/>
      <c r="H112" s="430"/>
      <c r="I112" s="453"/>
      <c r="J112" s="430"/>
      <c r="K112" s="430"/>
      <c r="L112" s="430"/>
      <c r="M112" s="451"/>
      <c r="N112" s="451"/>
      <c r="O112" s="430"/>
      <c r="P112" s="531"/>
      <c r="Q112" s="493"/>
      <c r="R112" s="421"/>
      <c r="S112" s="473"/>
      <c r="T112" s="466"/>
      <c r="U112" s="466"/>
      <c r="V112" s="421"/>
      <c r="W112" s="421"/>
    </row>
    <row r="113" s="408" customFormat="1" ht="17.4" spans="1:23">
      <c r="A113" s="418" t="s">
        <v>162</v>
      </c>
      <c r="B113" s="419"/>
      <c r="C113" s="420"/>
      <c r="D113" s="421"/>
      <c r="E113" s="422" t="s">
        <v>202</v>
      </c>
      <c r="F113" s="422"/>
      <c r="G113" s="422"/>
      <c r="H113" s="422"/>
      <c r="I113" s="422"/>
      <c r="J113" s="422"/>
      <c r="K113" s="422"/>
      <c r="L113" s="422"/>
      <c r="M113" s="443"/>
      <c r="N113" s="444"/>
      <c r="O113" s="422"/>
      <c r="P113" s="531"/>
      <c r="Q113" s="465"/>
      <c r="R113" s="424"/>
      <c r="S113" s="473"/>
      <c r="T113" s="467"/>
      <c r="U113" s="467"/>
      <c r="V113" s="467"/>
      <c r="W113" s="467"/>
    </row>
    <row r="114" s="409" customFormat="1" ht="46.8" spans="1:23">
      <c r="A114" s="423" t="s">
        <v>206</v>
      </c>
      <c r="B114" s="424" t="s">
        <v>207</v>
      </c>
      <c r="C114" s="425" t="s">
        <v>447</v>
      </c>
      <c r="D114" s="424" t="s">
        <v>209</v>
      </c>
      <c r="E114" s="426" t="s">
        <v>210</v>
      </c>
      <c r="F114" s="427" t="s">
        <v>478</v>
      </c>
      <c r="G114" s="427" t="s">
        <v>213</v>
      </c>
      <c r="H114" s="427" t="s">
        <v>396</v>
      </c>
      <c r="I114" s="427" t="s">
        <v>386</v>
      </c>
      <c r="J114" s="446" t="s">
        <v>444</v>
      </c>
      <c r="K114" s="446" t="s">
        <v>449</v>
      </c>
      <c r="L114" s="446" t="s">
        <v>479</v>
      </c>
      <c r="M114" s="447" t="s">
        <v>436</v>
      </c>
      <c r="N114" s="448" t="s">
        <v>219</v>
      </c>
      <c r="O114" s="449" t="s">
        <v>220</v>
      </c>
      <c r="P114" s="535" t="s">
        <v>0</v>
      </c>
      <c r="Q114" s="469" t="s">
        <v>222</v>
      </c>
      <c r="R114" s="426" t="s">
        <v>223</v>
      </c>
      <c r="S114" s="470" t="s">
        <v>224</v>
      </c>
      <c r="T114" s="467" t="s">
        <v>225</v>
      </c>
      <c r="U114" s="470" t="s">
        <v>226</v>
      </c>
      <c r="V114" s="467"/>
      <c r="W114" s="467"/>
    </row>
    <row r="115" s="410" customFormat="1" ht="17.4" spans="1:23">
      <c r="A115" s="432" t="s">
        <v>227</v>
      </c>
      <c r="B115" s="435" t="s">
        <v>163</v>
      </c>
      <c r="C115" s="434" t="s">
        <v>441</v>
      </c>
      <c r="D115" s="435" t="s">
        <v>49</v>
      </c>
      <c r="E115" s="436">
        <f>VLOOKUP(B115,正厂竞争者数据汇总!D:H,4,FALSE)</f>
        <v>0</v>
      </c>
      <c r="F115" s="436">
        <v>259910.916666667</v>
      </c>
      <c r="G115" s="436">
        <v>213503.583333333</v>
      </c>
      <c r="H115" s="436">
        <v>235149.083333333</v>
      </c>
      <c r="I115" s="454">
        <f>(F115/G115)-1</f>
        <v>0.217360910804389</v>
      </c>
      <c r="J115" s="457">
        <v>0.404951423772567</v>
      </c>
      <c r="K115" s="457">
        <v>0.369901319802563</v>
      </c>
      <c r="L115" s="457">
        <v>0.390469153922742</v>
      </c>
      <c r="M115" s="456">
        <f>J115-K115</f>
        <v>0.035050103970004</v>
      </c>
      <c r="N115" s="457" t="str">
        <f>IFERROR(O115*0.5/$F$115,"")</f>
        <v/>
      </c>
      <c r="O115" s="436" t="s">
        <v>180</v>
      </c>
      <c r="P115" s="531">
        <f t="array" ref="P115">INDEX(正厂竞争者数据汇总!I:I,MATCH($A$113&amp;B115,正厂竞争者数据汇总!A:A&amp;正厂竞争者数据汇总!D:D,0))</f>
        <v>0</v>
      </c>
      <c r="Q115" s="434" t="s">
        <v>284</v>
      </c>
      <c r="R115" s="435" t="s">
        <v>229</v>
      </c>
      <c r="S115" s="476"/>
      <c r="T115" s="477"/>
      <c r="U115" s="477"/>
      <c r="V115" s="435"/>
      <c r="W115" s="435"/>
    </row>
    <row r="116" s="408" customFormat="1" spans="1:23">
      <c r="A116" s="428" t="s">
        <v>230</v>
      </c>
      <c r="B116" s="421" t="s">
        <v>285</v>
      </c>
      <c r="C116" s="429" t="s">
        <v>233</v>
      </c>
      <c r="D116" s="421" t="s">
        <v>58</v>
      </c>
      <c r="E116" s="430"/>
      <c r="F116" s="430">
        <v>114190.75</v>
      </c>
      <c r="G116" s="430"/>
      <c r="H116" s="430"/>
      <c r="I116" s="450"/>
      <c r="J116" s="451">
        <v>0.177913676682776</v>
      </c>
      <c r="K116" s="451">
        <v>0.190490707114579</v>
      </c>
      <c r="L116" s="451">
        <v>0.184074114723409</v>
      </c>
      <c r="M116" s="452"/>
      <c r="N116" s="451"/>
      <c r="O116" s="430"/>
      <c r="P116" s="531">
        <f t="array" ref="P116">INDEX(正厂竞争者数据汇总!I:I,MATCH($A$113&amp;B116,正厂竞争者数据汇总!A:A&amp;正厂竞争者数据汇总!D:D,0))</f>
        <v>0</v>
      </c>
      <c r="Q116" s="429"/>
      <c r="R116" s="421"/>
      <c r="S116" s="472"/>
      <c r="T116" s="466"/>
      <c r="U116" s="466"/>
      <c r="V116" s="466"/>
      <c r="W116" s="466"/>
    </row>
    <row r="117" s="408" customFormat="1" spans="1:23">
      <c r="A117" s="428" t="s">
        <v>230</v>
      </c>
      <c r="B117" s="421" t="s">
        <v>255</v>
      </c>
      <c r="C117" s="429" t="s">
        <v>233</v>
      </c>
      <c r="D117" s="421" t="s">
        <v>419</v>
      </c>
      <c r="E117" s="430"/>
      <c r="F117" s="430">
        <v>42754.09</v>
      </c>
      <c r="G117" s="430"/>
      <c r="H117" s="430"/>
      <c r="I117" s="450"/>
      <c r="J117" s="451">
        <v>0.0666125526378125</v>
      </c>
      <c r="K117" s="451">
        <v>0.0757230569065191</v>
      </c>
      <c r="L117" s="451">
        <v>0.0851603152871423</v>
      </c>
      <c r="M117" s="452"/>
      <c r="N117" s="451"/>
      <c r="O117" s="430"/>
      <c r="P117" s="531" t="str">
        <f t="array" ref="P117">INDEX(正厂竞争者数据汇总!I:I,MATCH($A$113&amp;B117,正厂竞争者数据汇总!A:A&amp;正厂竞争者数据汇总!D:D,0))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117" s="429"/>
      <c r="R117" s="421"/>
      <c r="S117" s="472"/>
      <c r="T117" s="466"/>
      <c r="U117" s="466"/>
      <c r="V117" s="466"/>
      <c r="W117" s="466"/>
    </row>
    <row r="118" s="408" customFormat="1" spans="1:23">
      <c r="A118" s="428" t="s">
        <v>243</v>
      </c>
      <c r="B118" s="421" t="s">
        <v>290</v>
      </c>
      <c r="C118" s="429" t="s">
        <v>233</v>
      </c>
      <c r="D118" s="421" t="s">
        <v>291</v>
      </c>
      <c r="E118" s="430"/>
      <c r="F118" s="430">
        <v>42062</v>
      </c>
      <c r="G118" s="430"/>
      <c r="H118" s="430"/>
      <c r="I118" s="450"/>
      <c r="J118" s="451">
        <v>0.0655342492157281</v>
      </c>
      <c r="K118" s="451">
        <v>0.0668719122809799</v>
      </c>
      <c r="L118" s="451">
        <v>0.0629411040318721</v>
      </c>
      <c r="M118" s="452"/>
      <c r="N118" s="451"/>
      <c r="O118" s="430"/>
      <c r="P118" s="531" t="str">
        <f t="array" ref="P118">INDEX(正厂竞争者数据汇总!I:I,MATCH($A$113&amp;B118,正厂竞争者数据汇总!A:A&amp;正厂竞争者数据汇总!D:D,0))</f>
        <v>2023年2月新增正厂</v>
      </c>
      <c r="Q118" s="429"/>
      <c r="R118" s="421"/>
      <c r="S118" s="472"/>
      <c r="T118" s="466"/>
      <c r="U118" s="466"/>
      <c r="V118" s="466"/>
      <c r="W118" s="466"/>
    </row>
    <row r="119" s="408" customFormat="1" spans="1:23">
      <c r="A119" s="428" t="s">
        <v>230</v>
      </c>
      <c r="B119" s="421" t="s">
        <v>292</v>
      </c>
      <c r="C119" s="429" t="s">
        <v>233</v>
      </c>
      <c r="D119" s="421" t="s">
        <v>250</v>
      </c>
      <c r="E119" s="430"/>
      <c r="F119" s="430">
        <v>38224.96</v>
      </c>
      <c r="G119" s="430"/>
      <c r="H119" s="430"/>
      <c r="I119" s="450"/>
      <c r="J119" s="451">
        <v>0.0595559900837155</v>
      </c>
      <c r="K119" s="451">
        <v>0.0631164322339021</v>
      </c>
      <c r="L119" s="451">
        <v>0.0573435464030696</v>
      </c>
      <c r="M119" s="452"/>
      <c r="N119" s="451"/>
      <c r="O119" s="430"/>
      <c r="P119" s="531" t="str">
        <f t="array" ref="P119">INDEX(正厂竞争者数据汇总!I:I,MATCH($A$113&amp;B119,正厂竞争者数据汇总!A:A&amp;正厂竞争者数据汇总!D:D,0))</f>
        <v>同时经营多品牌，流量折算比例为Ford:23%,GM:23%,Infiniti:0%,Kia:13%,Mopar:31%,Nissan:10%</v>
      </c>
      <c r="Q119" s="429"/>
      <c r="R119" s="421"/>
      <c r="S119" s="472"/>
      <c r="T119" s="466"/>
      <c r="U119" s="466"/>
      <c r="V119" s="466"/>
      <c r="W119" s="466"/>
    </row>
    <row r="120" s="408" customFormat="1" spans="1:23">
      <c r="A120" s="428" t="s">
        <v>230</v>
      </c>
      <c r="B120" s="421" t="s">
        <v>287</v>
      </c>
      <c r="C120" s="429" t="s">
        <v>233</v>
      </c>
      <c r="D120" s="421" t="s">
        <v>49</v>
      </c>
      <c r="E120" s="430"/>
      <c r="F120" s="430">
        <v>36393.75</v>
      </c>
      <c r="G120" s="430"/>
      <c r="H120" s="430"/>
      <c r="I120" s="450"/>
      <c r="J120" s="451">
        <v>0.0567028929293639</v>
      </c>
      <c r="K120" s="451">
        <v>0.0557364539020091</v>
      </c>
      <c r="L120" s="451">
        <v>0.0472226497352145</v>
      </c>
      <c r="M120" s="452"/>
      <c r="N120" s="451"/>
      <c r="O120" s="430"/>
      <c r="P120" s="531">
        <f t="array" ref="P120">INDEX(正厂竞争者数据汇总!I:I,MATCH($A$113&amp;B120,正厂竞争者数据汇总!A:A&amp;正厂竞争者数据汇总!D:D,0))</f>
        <v>0</v>
      </c>
      <c r="Q120" s="429"/>
      <c r="R120" s="421"/>
      <c r="S120" s="472"/>
      <c r="T120" s="466"/>
      <c r="U120" s="466"/>
      <c r="V120" s="466"/>
      <c r="W120" s="466"/>
    </row>
    <row r="121" s="408" customFormat="1" spans="1:23">
      <c r="A121" s="428" t="s">
        <v>230</v>
      </c>
      <c r="B121" s="421" t="s">
        <v>288</v>
      </c>
      <c r="C121" s="429" t="s">
        <v>441</v>
      </c>
      <c r="D121" s="421" t="s">
        <v>421</v>
      </c>
      <c r="E121" s="430"/>
      <c r="F121" s="430">
        <v>35283.6666666667</v>
      </c>
      <c r="G121" s="430"/>
      <c r="H121" s="430"/>
      <c r="I121" s="450"/>
      <c r="J121" s="451">
        <v>0.0549733394650282</v>
      </c>
      <c r="K121" s="451">
        <v>0.0541475522925422</v>
      </c>
      <c r="L121" s="451">
        <v>0.0581436638165541</v>
      </c>
      <c r="M121" s="452"/>
      <c r="N121" s="451"/>
      <c r="O121" s="430"/>
      <c r="P121" s="531" t="str">
        <f t="array" ref="P121">INDEX(正厂竞争者数据汇总!I:I,MATCH($A$113&amp;B121,正厂竞争者数据汇总!A:A&amp;正厂竞争者数据汇总!D:D,0))</f>
        <v>2022年1月 新加入 CompetitorSites
2022年1月 新加入 MarketingShare</v>
      </c>
      <c r="Q121" s="429"/>
      <c r="R121" s="421"/>
      <c r="S121" s="472"/>
      <c r="T121" s="466"/>
      <c r="U121" s="466"/>
      <c r="V121" s="466"/>
      <c r="W121" s="466"/>
    </row>
    <row r="122" s="408" customFormat="1" spans="1:23">
      <c r="A122" s="428" t="s">
        <v>230</v>
      </c>
      <c r="B122" s="421" t="s">
        <v>286</v>
      </c>
      <c r="C122" s="429" t="s">
        <v>233</v>
      </c>
      <c r="D122" s="421" t="s">
        <v>234</v>
      </c>
      <c r="E122" s="430"/>
      <c r="F122" s="430">
        <v>34868.407</v>
      </c>
      <c r="G122" s="430"/>
      <c r="H122" s="430"/>
      <c r="I122" s="450"/>
      <c r="J122" s="451">
        <v>0.0543263485828881</v>
      </c>
      <c r="K122" s="451">
        <v>0.0581843002079611</v>
      </c>
      <c r="L122" s="451">
        <v>0.041285748298117</v>
      </c>
      <c r="M122" s="452"/>
      <c r="N122" s="451"/>
      <c r="O122" s="430"/>
      <c r="P122" s="531" t="str">
        <f t="array" ref="P122">INDEX(正厂竞争者数据汇总!I:I,MATCH($A$113&amp;B122,正厂竞争者数据汇总!A:A&amp;正厂竞争者数据汇总!D:D,0))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22" s="429"/>
      <c r="R122" s="421"/>
      <c r="S122" s="472"/>
      <c r="T122" s="466"/>
      <c r="U122" s="466"/>
      <c r="V122" s="466"/>
      <c r="W122" s="466"/>
    </row>
    <row r="123" s="408" customFormat="1" spans="1:23">
      <c r="A123" s="428" t="s">
        <v>230</v>
      </c>
      <c r="B123" s="421" t="s">
        <v>289</v>
      </c>
      <c r="C123" s="429" t="s">
        <v>233</v>
      </c>
      <c r="D123" s="421" t="s">
        <v>50</v>
      </c>
      <c r="E123" s="430"/>
      <c r="F123" s="430">
        <v>26752.6666666667</v>
      </c>
      <c r="G123" s="430"/>
      <c r="H123" s="430"/>
      <c r="I123" s="450"/>
      <c r="J123" s="451">
        <v>0.0416817061603975</v>
      </c>
      <c r="K123" s="451">
        <v>0.0465299691143791</v>
      </c>
      <c r="L123" s="451">
        <v>0.0517503833175719</v>
      </c>
      <c r="M123" s="452"/>
      <c r="N123" s="451"/>
      <c r="O123" s="430"/>
      <c r="P123" s="531" t="str">
        <f t="array" ref="P123">INDEX(正厂竞争者数据汇总!I:I,MATCH($A$113&amp;B123,正厂竞争者数据汇总!A:A&amp;正厂竞争者数据汇总!D:D,0))</f>
        <v>2021年11月重开
2021年10月临时关站
2020年10月从PartSites变成Revolution，加入MarketingShare</v>
      </c>
      <c r="Q123" s="429"/>
      <c r="R123" s="421"/>
      <c r="S123" s="472"/>
      <c r="T123" s="466"/>
      <c r="U123" s="466"/>
      <c r="V123" s="466"/>
      <c r="W123" s="466"/>
    </row>
    <row r="124" s="408" customFormat="1" spans="1:23">
      <c r="A124" s="428" t="s">
        <v>230</v>
      </c>
      <c r="B124" s="421" t="s">
        <v>459</v>
      </c>
      <c r="C124" s="429" t="s">
        <v>233</v>
      </c>
      <c r="D124" s="421" t="s">
        <v>419</v>
      </c>
      <c r="E124" s="430"/>
      <c r="F124" s="430">
        <v>11391.125</v>
      </c>
      <c r="G124" s="430"/>
      <c r="H124" s="430"/>
      <c r="I124" s="450"/>
      <c r="J124" s="451">
        <v>0.0177478204697235</v>
      </c>
      <c r="K124" s="451">
        <v>0.0192982961445655</v>
      </c>
      <c r="L124" s="451">
        <v>0.0216093204643072</v>
      </c>
      <c r="M124" s="452"/>
      <c r="N124" s="451"/>
      <c r="O124" s="430"/>
      <c r="P124" s="531" t="str">
        <f t="array" ref="P124">INDEX(正厂竞争者数据汇总!I:I,MATCH($A$113&amp;B124,正厂竞争者数据汇总!A:A&amp;正厂竞争者数据汇总!D:D,0))</f>
        <v>经营多品牌零件，折算比例为：Ford:33%,GM:17%,Hyundai:0%,Infiniti:0%,Kia:17%,Mopar:33%,Subaru:0%</v>
      </c>
      <c r="Q124" s="429"/>
      <c r="R124" s="421"/>
      <c r="S124" s="472"/>
      <c r="T124" s="466"/>
      <c r="U124" s="466"/>
      <c r="V124" s="466"/>
      <c r="W124" s="466"/>
    </row>
    <row r="125" s="408" customFormat="1" spans="1:23">
      <c r="A125" s="428"/>
      <c r="B125" s="421"/>
      <c r="C125" s="439"/>
      <c r="D125" s="421"/>
      <c r="E125" s="421"/>
      <c r="F125" s="430"/>
      <c r="G125" s="430"/>
      <c r="H125" s="430"/>
      <c r="I125" s="453"/>
      <c r="J125" s="430"/>
      <c r="K125" s="430"/>
      <c r="L125" s="430"/>
      <c r="M125" s="451"/>
      <c r="N125" s="451"/>
      <c r="O125" s="430"/>
      <c r="P125" s="531"/>
      <c r="Q125" s="429"/>
      <c r="R125" s="421"/>
      <c r="S125" s="473"/>
      <c r="T125" s="466"/>
      <c r="U125" s="466"/>
      <c r="V125" s="421"/>
      <c r="W125" s="421"/>
    </row>
    <row r="126" s="408" customFormat="1" spans="1:23">
      <c r="A126" s="428"/>
      <c r="B126" s="421"/>
      <c r="C126" s="439"/>
      <c r="D126" s="421"/>
      <c r="E126" s="421"/>
      <c r="F126" s="430">
        <v>641832.332000001</v>
      </c>
      <c r="G126" s="430">
        <v>445410.310833333</v>
      </c>
      <c r="H126" s="430">
        <v>428652.916666666</v>
      </c>
      <c r="I126" s="453">
        <f>(F126/G126)-1</f>
        <v>0.440991185855522</v>
      </c>
      <c r="J126" s="430"/>
      <c r="K126" s="430"/>
      <c r="L126" s="430"/>
      <c r="M126" s="451"/>
      <c r="N126" s="451">
        <f>SUM(N115:N116)</f>
        <v>0</v>
      </c>
      <c r="O126" s="430"/>
      <c r="P126" s="531"/>
      <c r="Q126" s="429"/>
      <c r="R126" s="421"/>
      <c r="S126" s="473"/>
      <c r="T126" s="466"/>
      <c r="U126" s="466"/>
      <c r="V126" s="421"/>
      <c r="W126" s="421"/>
    </row>
    <row r="127" s="408" customFormat="1" spans="1:23">
      <c r="A127" s="428"/>
      <c r="B127" s="421"/>
      <c r="C127" s="485"/>
      <c r="D127" s="421"/>
      <c r="E127" s="430"/>
      <c r="F127" s="451"/>
      <c r="G127" s="451"/>
      <c r="H127" s="451"/>
      <c r="I127" s="453"/>
      <c r="J127" s="451"/>
      <c r="K127" s="451"/>
      <c r="L127" s="451"/>
      <c r="M127" s="451"/>
      <c r="N127" s="451"/>
      <c r="O127" s="451"/>
      <c r="P127" s="531"/>
      <c r="Q127" s="429"/>
      <c r="R127" s="421"/>
      <c r="S127" s="473"/>
      <c r="T127" s="466"/>
      <c r="U127" s="466"/>
      <c r="V127" s="421"/>
      <c r="W127" s="421"/>
    </row>
    <row r="128" s="408" customFormat="1" ht="17.4" spans="1:23">
      <c r="A128" s="418" t="s">
        <v>174</v>
      </c>
      <c r="B128" s="419"/>
      <c r="C128" s="420"/>
      <c r="D128" s="421"/>
      <c r="E128" s="422" t="s">
        <v>202</v>
      </c>
      <c r="F128" s="422"/>
      <c r="G128" s="422"/>
      <c r="H128" s="422"/>
      <c r="I128" s="422"/>
      <c r="J128" s="422"/>
      <c r="K128" s="422"/>
      <c r="L128" s="422"/>
      <c r="M128" s="443"/>
      <c r="N128" s="444"/>
      <c r="O128" s="422"/>
      <c r="P128" s="531"/>
      <c r="Q128" s="465"/>
      <c r="R128" s="424"/>
      <c r="S128" s="473"/>
      <c r="T128" s="467"/>
      <c r="U128" s="467"/>
      <c r="V128" s="467"/>
      <c r="W128" s="467"/>
    </row>
    <row r="129" s="409" customFormat="1" ht="46.8" spans="1:23">
      <c r="A129" s="423" t="s">
        <v>206</v>
      </c>
      <c r="B129" s="424" t="s">
        <v>207</v>
      </c>
      <c r="C129" s="425" t="s">
        <v>447</v>
      </c>
      <c r="D129" s="424" t="s">
        <v>209</v>
      </c>
      <c r="E129" s="426" t="s">
        <v>210</v>
      </c>
      <c r="F129" s="427" t="s">
        <v>478</v>
      </c>
      <c r="G129" s="427" t="s">
        <v>213</v>
      </c>
      <c r="H129" s="427" t="s">
        <v>396</v>
      </c>
      <c r="I129" s="427" t="s">
        <v>386</v>
      </c>
      <c r="J129" s="446" t="s">
        <v>444</v>
      </c>
      <c r="K129" s="446" t="s">
        <v>449</v>
      </c>
      <c r="L129" s="446" t="s">
        <v>479</v>
      </c>
      <c r="M129" s="447" t="s">
        <v>436</v>
      </c>
      <c r="N129" s="448" t="s">
        <v>219</v>
      </c>
      <c r="O129" s="449" t="s">
        <v>220</v>
      </c>
      <c r="P129" s="535" t="s">
        <v>0</v>
      </c>
      <c r="Q129" s="469" t="s">
        <v>222</v>
      </c>
      <c r="R129" s="426" t="s">
        <v>223</v>
      </c>
      <c r="S129" s="470" t="s">
        <v>224</v>
      </c>
      <c r="T129" s="467" t="s">
        <v>225</v>
      </c>
      <c r="U129" s="470" t="s">
        <v>226</v>
      </c>
      <c r="V129" s="467"/>
      <c r="W129" s="467"/>
    </row>
    <row r="130" s="410" customFormat="1" ht="17.4" spans="1:23">
      <c r="A130" s="435" t="s">
        <v>227</v>
      </c>
      <c r="B130" s="435" t="s">
        <v>175</v>
      </c>
      <c r="C130" s="435" t="s">
        <v>441</v>
      </c>
      <c r="D130" s="435" t="s">
        <v>49</v>
      </c>
      <c r="E130" s="436">
        <f>VLOOKUP(B130,正厂竞争者数据汇总!D:H,4,FALSE)</f>
        <v>325311</v>
      </c>
      <c r="F130" s="436">
        <v>240569.833333333</v>
      </c>
      <c r="G130" s="436">
        <f t="array" ref="G130">INDEX(正厂竞争者数据汇总!$H$2:$H$448,MATCH($A$128&amp;$B130,正厂竞争者数据汇总!$A$2:$A$448&amp;正厂竞争者数据汇总!$D$2:$D$448,0))</f>
        <v>209547.25</v>
      </c>
      <c r="H130" s="436">
        <f t="array" ref="H130">INDEX(正厂竞争者数据汇总!$H$2:$H$448,MATCH($A$128&amp;$B130,正厂竞争者数据汇总!$A$2:$A$448&amp;正厂竞争者数据汇总!$D$2:$D$448,0))</f>
        <v>209547.25</v>
      </c>
      <c r="I130" s="436">
        <f t="array" ref="I130">INDEX(正厂竞争者数据汇总!$H$2:$H$448,MATCH($A$128&amp;$B130,正厂竞争者数据汇总!$A$2:$A$448&amp;正厂竞争者数据汇总!$D$2:$D$448,0))</f>
        <v>209547.25</v>
      </c>
      <c r="J130" s="457">
        <v>0.441663039372345</v>
      </c>
      <c r="K130" s="457">
        <v>0.390268077636924</v>
      </c>
      <c r="L130" s="457">
        <v>0.403016104546461</v>
      </c>
      <c r="M130" s="456">
        <f>J130-K130</f>
        <v>0.051394961735421</v>
      </c>
      <c r="N130" s="457" t="str">
        <f>IFERROR(O130*0.5/$F$130,"")</f>
        <v/>
      </c>
      <c r="O130" s="436" t="s">
        <v>180</v>
      </c>
      <c r="P130" s="531">
        <f t="array" ref="P130">INDEX(正厂竞争者数据汇总!I:I,MATCH($A$128&amp;B130,正厂竞争者数据汇总!A:A&amp;正厂竞争者数据汇总!D:D,0))</f>
        <v>0</v>
      </c>
      <c r="Q130" s="434" t="s">
        <v>318</v>
      </c>
      <c r="R130" s="435" t="s">
        <v>229</v>
      </c>
      <c r="S130" s="476"/>
      <c r="T130" s="477"/>
      <c r="U130" s="477"/>
      <c r="V130" s="435"/>
      <c r="W130" s="435"/>
    </row>
    <row r="131" s="408" customFormat="1" spans="1:23">
      <c r="A131" s="428" t="s">
        <v>230</v>
      </c>
      <c r="B131" s="421" t="s">
        <v>319</v>
      </c>
      <c r="C131" s="429" t="s">
        <v>233</v>
      </c>
      <c r="D131" s="421" t="s">
        <v>234</v>
      </c>
      <c r="E131" s="430"/>
      <c r="F131" s="430">
        <v>82452.1376666667</v>
      </c>
      <c r="G131" s="430"/>
      <c r="H131" s="430"/>
      <c r="I131" s="450"/>
      <c r="J131" s="451">
        <v>0.151374181958006</v>
      </c>
      <c r="K131" s="451">
        <v>0.145585340035424</v>
      </c>
      <c r="L131" s="451">
        <v>0.090665569332748</v>
      </c>
      <c r="M131" s="452"/>
      <c r="N131" s="451"/>
      <c r="O131" s="430"/>
      <c r="P131" s="531" t="str">
        <f t="array" ref="P131">INDEX(正厂竞争者数据汇总!I:I,MATCH($A$128&amp;B131,正厂竞争者数据汇总!A:A&amp;正厂竞争者数据汇总!D:D,0))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31" s="429"/>
      <c r="R131" s="421"/>
      <c r="S131" s="472"/>
      <c r="T131" s="466"/>
      <c r="U131" s="466"/>
      <c r="V131" s="466"/>
      <c r="W131" s="466"/>
    </row>
    <row r="132" s="408" customFormat="1" spans="1:23">
      <c r="A132" s="428" t="s">
        <v>230</v>
      </c>
      <c r="B132" s="421" t="s">
        <v>320</v>
      </c>
      <c r="C132" s="429" t="s">
        <v>441</v>
      </c>
      <c r="D132" s="421" t="s">
        <v>58</v>
      </c>
      <c r="E132" s="430"/>
      <c r="F132" s="430">
        <v>80657.1666666667</v>
      </c>
      <c r="G132" s="430"/>
      <c r="H132" s="430"/>
      <c r="I132" s="450"/>
      <c r="J132" s="451">
        <v>0.148078788115558</v>
      </c>
      <c r="K132" s="451">
        <v>0.135016154423793</v>
      </c>
      <c r="L132" s="451">
        <v>0.133716181365205</v>
      </c>
      <c r="M132" s="452"/>
      <c r="N132" s="451"/>
      <c r="O132" s="430"/>
      <c r="P132" s="531">
        <f t="array" ref="P132">INDEX(正厂竞争者数据汇总!I:I,MATCH($A$128&amp;B132,正厂竞争者数据汇总!A:A&amp;正厂竞争者数据汇总!D:D,0))</f>
        <v>0</v>
      </c>
      <c r="Q132" s="429"/>
      <c r="R132" s="421"/>
      <c r="S132" s="472"/>
      <c r="T132" s="466"/>
      <c r="U132" s="466"/>
      <c r="V132" s="466"/>
      <c r="W132" s="466"/>
    </row>
    <row r="133" s="408" customFormat="1" spans="1:23">
      <c r="A133" s="428" t="s">
        <v>230</v>
      </c>
      <c r="B133" s="421" t="s">
        <v>323</v>
      </c>
      <c r="C133" s="429" t="s">
        <v>441</v>
      </c>
      <c r="D133" s="421" t="s">
        <v>411</v>
      </c>
      <c r="E133" s="430"/>
      <c r="F133" s="430">
        <v>43021.25</v>
      </c>
      <c r="G133" s="430"/>
      <c r="H133" s="430"/>
      <c r="I133" s="450"/>
      <c r="J133" s="451">
        <v>0.0789828706672042</v>
      </c>
      <c r="K133" s="451">
        <v>0.0798440222145012</v>
      </c>
      <c r="L133" s="451">
        <v>0.104645127522225</v>
      </c>
      <c r="M133" s="452"/>
      <c r="N133" s="451"/>
      <c r="O133" s="430"/>
      <c r="P133" s="531" t="str">
        <f t="array" ref="P133">INDEX(正厂竞争者数据汇总!I:I,MATCH($A$128&amp;B133,正厂竞争者数据汇总!A:A&amp;正厂竞争者数据汇总!D:D,0))</f>
        <v>2022年1月 新加入 CompetitorSites
2022年1月 新加入 MarketingShare</v>
      </c>
      <c r="Q133" s="429"/>
      <c r="R133" s="421"/>
      <c r="S133" s="472"/>
      <c r="T133" s="466"/>
      <c r="U133" s="466"/>
      <c r="V133" s="466"/>
      <c r="W133" s="466"/>
    </row>
    <row r="134" s="408" customFormat="1" spans="1:23">
      <c r="A134" s="428" t="s">
        <v>230</v>
      </c>
      <c r="B134" s="421" t="s">
        <v>321</v>
      </c>
      <c r="C134" s="429" t="s">
        <v>441</v>
      </c>
      <c r="D134" s="421" t="s">
        <v>57</v>
      </c>
      <c r="E134" s="430"/>
      <c r="F134" s="430">
        <v>40255.7008333333</v>
      </c>
      <c r="G134" s="430"/>
      <c r="H134" s="430"/>
      <c r="I134" s="450"/>
      <c r="J134" s="451">
        <v>0.0739055888087126</v>
      </c>
      <c r="K134" s="451">
        <v>0.108944381177888</v>
      </c>
      <c r="L134" s="451">
        <v>0.126844455411571</v>
      </c>
      <c r="M134" s="452"/>
      <c r="N134" s="451"/>
      <c r="O134" s="430"/>
      <c r="P134" s="531" t="str">
        <f t="array" ref="P134">INDEX(正厂竞争者数据汇总!I:I,MATCH($A$128&amp;B134,正厂竞争者数据汇总!A:A&amp;正厂竞争者数据汇总!D:D,0))</f>
        <v>同时经营honda/acura，折算比例：acura75%，honda25%</v>
      </c>
      <c r="Q134" s="429"/>
      <c r="R134" s="421"/>
      <c r="S134" s="472"/>
      <c r="T134" s="466"/>
      <c r="U134" s="466"/>
      <c r="V134" s="466"/>
      <c r="W134" s="466"/>
    </row>
    <row r="135" s="408" customFormat="1" spans="1:23">
      <c r="A135" s="428" t="s">
        <v>238</v>
      </c>
      <c r="B135" s="421" t="s">
        <v>322</v>
      </c>
      <c r="C135" s="429" t="s">
        <v>441</v>
      </c>
      <c r="D135" s="421" t="s">
        <v>250</v>
      </c>
      <c r="E135" s="430"/>
      <c r="F135" s="430">
        <v>40241.3333333333</v>
      </c>
      <c r="G135" s="430"/>
      <c r="H135" s="430"/>
      <c r="I135" s="450"/>
      <c r="J135" s="451">
        <v>0.0738792114627659</v>
      </c>
      <c r="K135" s="451">
        <v>0.0904548520171655</v>
      </c>
      <c r="L135" s="451">
        <v>0.0708185804452499</v>
      </c>
      <c r="M135" s="452"/>
      <c r="N135" s="451"/>
      <c r="O135" s="430"/>
      <c r="P135" s="531">
        <f t="array" ref="P135">INDEX(正厂竞争者数据汇总!I:I,MATCH($A$128&amp;B135,正厂竞争者数据汇总!A:A&amp;正厂竞争者数据汇总!D:D,0))</f>
        <v>0</v>
      </c>
      <c r="Q135" s="429"/>
      <c r="R135" s="421"/>
      <c r="S135" s="472"/>
      <c r="T135" s="466"/>
      <c r="U135" s="466"/>
      <c r="V135" s="466"/>
      <c r="W135" s="466"/>
    </row>
    <row r="136" s="408" customFormat="1" spans="1:23">
      <c r="A136" s="428" t="s">
        <v>230</v>
      </c>
      <c r="B136" s="421" t="s">
        <v>439</v>
      </c>
      <c r="C136" s="429" t="s">
        <v>441</v>
      </c>
      <c r="D136" s="421" t="s">
        <v>460</v>
      </c>
      <c r="E136" s="430"/>
      <c r="F136" s="430">
        <v>17493.4666666667</v>
      </c>
      <c r="G136" s="430"/>
      <c r="H136" s="430"/>
      <c r="I136" s="450"/>
      <c r="J136" s="451">
        <v>0.0321163196154083</v>
      </c>
      <c r="K136" s="451">
        <v>0.0498871724943046</v>
      </c>
      <c r="L136" s="451">
        <v>0.0702939813765396</v>
      </c>
      <c r="M136" s="452"/>
      <c r="N136" s="451"/>
      <c r="O136" s="430"/>
      <c r="P136" s="531" t="str">
        <f t="array" ref="P136">INDEX(正厂竞争者数据汇总!I:I,MATCH($A$128&amp;B136,正厂竞争者数据汇总!A:A&amp;正厂竞争者数据汇总!D:D,0))</f>
        <v>同时经营honda/acura，折算比例：acura:80%,honda:20%</v>
      </c>
      <c r="Q136" s="429"/>
      <c r="R136" s="421"/>
      <c r="S136" s="472"/>
      <c r="T136" s="466"/>
      <c r="U136" s="466"/>
      <c r="V136" s="466"/>
      <c r="W136" s="466"/>
    </row>
    <row r="137" s="408" customFormat="1" spans="1:23">
      <c r="A137" s="428"/>
      <c r="B137" s="438"/>
      <c r="C137" s="429"/>
      <c r="D137" s="421"/>
      <c r="E137" s="430"/>
      <c r="F137" s="486"/>
      <c r="G137" s="486">
        <v>409170.916666667</v>
      </c>
      <c r="H137" s="486"/>
      <c r="I137" s="453"/>
      <c r="J137" s="451"/>
      <c r="K137" s="430"/>
      <c r="L137" s="430"/>
      <c r="M137" s="451"/>
      <c r="N137" s="451"/>
      <c r="O137" s="430"/>
      <c r="P137" s="531"/>
      <c r="Q137" s="429"/>
      <c r="R137" s="421"/>
      <c r="S137" s="473"/>
      <c r="T137" s="466"/>
      <c r="U137" s="466"/>
      <c r="V137" s="421"/>
      <c r="W137" s="421"/>
    </row>
    <row r="138" s="408" customFormat="1" spans="1:23">
      <c r="A138" s="428"/>
      <c r="B138" s="421"/>
      <c r="C138" s="439"/>
      <c r="D138" s="421"/>
      <c r="E138" s="421"/>
      <c r="F138" s="430">
        <v>544690.8885</v>
      </c>
      <c r="G138" s="430"/>
      <c r="H138" s="430">
        <v>444921.666666667</v>
      </c>
      <c r="I138" s="453" t="e">
        <f>(F138/G138)-1</f>
        <v>#DIV/0!</v>
      </c>
      <c r="J138" s="430"/>
      <c r="K138" s="430"/>
      <c r="L138" s="430"/>
      <c r="M138" s="451"/>
      <c r="N138" s="451">
        <f>SUM(N130:N137)</f>
        <v>0</v>
      </c>
      <c r="O138" s="430"/>
      <c r="P138" s="531"/>
      <c r="Q138" s="429" t="s">
        <v>180</v>
      </c>
      <c r="R138" s="421" t="s">
        <v>180</v>
      </c>
      <c r="S138" s="473"/>
      <c r="T138" s="466"/>
      <c r="U138" s="466"/>
      <c r="V138" s="421"/>
      <c r="W138" s="421"/>
    </row>
    <row r="139" s="408" customFormat="1" spans="1:23">
      <c r="A139" s="428"/>
      <c r="B139" s="421"/>
      <c r="C139" s="439"/>
      <c r="D139" s="421"/>
      <c r="E139" s="430"/>
      <c r="F139" s="430"/>
      <c r="G139" s="430"/>
      <c r="H139" s="430"/>
      <c r="I139" s="453"/>
      <c r="J139" s="430"/>
      <c r="K139" s="430"/>
      <c r="L139" s="430"/>
      <c r="M139" s="451"/>
      <c r="N139" s="459"/>
      <c r="O139" s="430"/>
      <c r="P139" s="531"/>
      <c r="Q139" s="429"/>
      <c r="R139" s="421" t="s">
        <v>180</v>
      </c>
      <c r="S139" s="473"/>
      <c r="T139" s="466"/>
      <c r="U139" s="466"/>
      <c r="V139" s="421"/>
      <c r="W139" s="421"/>
    </row>
    <row r="140" s="408" customFormat="1" ht="17.4" spans="1:23">
      <c r="A140" s="418" t="s">
        <v>168</v>
      </c>
      <c r="B140" s="487"/>
      <c r="C140" s="420"/>
      <c r="D140" s="421"/>
      <c r="E140" s="422" t="s">
        <v>202</v>
      </c>
      <c r="F140" s="422"/>
      <c r="G140" s="422" t="s">
        <v>213</v>
      </c>
      <c r="H140" s="422"/>
      <c r="I140" s="422"/>
      <c r="J140" s="422"/>
      <c r="K140" s="422"/>
      <c r="L140" s="422"/>
      <c r="M140" s="443"/>
      <c r="N140" s="444"/>
      <c r="O140" s="422"/>
      <c r="P140" s="531"/>
      <c r="Q140" s="465"/>
      <c r="R140" s="424"/>
      <c r="S140" s="473"/>
      <c r="T140" s="467"/>
      <c r="U140" s="467"/>
      <c r="V140" s="467"/>
      <c r="W140" s="467"/>
    </row>
    <row r="141" s="409" customFormat="1" ht="46.8" spans="1:23">
      <c r="A141" s="423" t="s">
        <v>206</v>
      </c>
      <c r="B141" s="424" t="s">
        <v>207</v>
      </c>
      <c r="C141" s="425" t="s">
        <v>447</v>
      </c>
      <c r="D141" s="424" t="s">
        <v>209</v>
      </c>
      <c r="E141" s="426" t="s">
        <v>210</v>
      </c>
      <c r="F141" s="427" t="s">
        <v>478</v>
      </c>
      <c r="G141" s="427">
        <v>197584.75</v>
      </c>
      <c r="H141" s="427" t="s">
        <v>396</v>
      </c>
      <c r="I141" s="427" t="s">
        <v>386</v>
      </c>
      <c r="J141" s="446" t="s">
        <v>444</v>
      </c>
      <c r="K141" s="446" t="s">
        <v>449</v>
      </c>
      <c r="L141" s="446" t="s">
        <v>479</v>
      </c>
      <c r="M141" s="447" t="s">
        <v>436</v>
      </c>
      <c r="N141" s="448" t="s">
        <v>219</v>
      </c>
      <c r="O141" s="449" t="s">
        <v>220</v>
      </c>
      <c r="P141" s="535" t="s">
        <v>0</v>
      </c>
      <c r="Q141" s="469" t="s">
        <v>222</v>
      </c>
      <c r="R141" s="426" t="s">
        <v>223</v>
      </c>
      <c r="S141" s="470" t="s">
        <v>224</v>
      </c>
      <c r="T141" s="467" t="s">
        <v>225</v>
      </c>
      <c r="U141" s="470" t="s">
        <v>226</v>
      </c>
      <c r="V141" s="467"/>
      <c r="W141" s="467"/>
    </row>
    <row r="142" s="410" customFormat="1" ht="17.4" spans="1:23">
      <c r="A142" s="432" t="s">
        <v>227</v>
      </c>
      <c r="B142" s="488" t="s">
        <v>169</v>
      </c>
      <c r="C142" s="434" t="s">
        <v>441</v>
      </c>
      <c r="D142" s="435" t="s">
        <v>49</v>
      </c>
      <c r="E142" s="436">
        <f>VLOOKUP(B142,正厂竞争者数据汇总!D:H,4,FALSE)</f>
        <v>0</v>
      </c>
      <c r="F142" s="436">
        <v>252894</v>
      </c>
      <c r="G142" s="436">
        <v>39089.5833333333</v>
      </c>
      <c r="H142" s="436">
        <v>201623.666666667</v>
      </c>
      <c r="I142" s="454">
        <f>(F142/G142)-1</f>
        <v>5.469600810105</v>
      </c>
      <c r="J142" s="457">
        <v>0.543655173964074</v>
      </c>
      <c r="K142" s="457">
        <v>0.556814817795279</v>
      </c>
      <c r="L142" s="457">
        <v>0.623986484056396</v>
      </c>
      <c r="M142" s="456">
        <f>J142-K144</f>
        <v>0.472102347362341</v>
      </c>
      <c r="N142" s="457" t="str">
        <f>IFERROR(O142*0.5/$F$142,"")</f>
        <v/>
      </c>
      <c r="O142" s="436" t="s">
        <v>180</v>
      </c>
      <c r="P142" s="531">
        <f t="array" ref="P142">INDEX(正厂竞争者数据汇总!I:I,MATCH($A$140&amp;B142,正厂竞争者数据汇总!A:A&amp;正厂竞争者数据汇总!D:D,0))</f>
        <v>0</v>
      </c>
      <c r="Q142" s="434" t="s">
        <v>299</v>
      </c>
      <c r="R142" s="435" t="s">
        <v>229</v>
      </c>
      <c r="S142" s="476"/>
      <c r="T142" s="435" t="s">
        <v>484</v>
      </c>
      <c r="U142" s="477"/>
      <c r="V142" s="435"/>
      <c r="W142" s="435"/>
    </row>
    <row r="143" s="408" customFormat="1" spans="1:23">
      <c r="A143" s="428" t="s">
        <v>230</v>
      </c>
      <c r="B143" s="421" t="s">
        <v>308</v>
      </c>
      <c r="C143" s="429" t="s">
        <v>233</v>
      </c>
      <c r="D143" s="421" t="s">
        <v>426</v>
      </c>
      <c r="E143" s="430"/>
      <c r="F143" s="430">
        <v>36603.6666666666</v>
      </c>
      <c r="G143" s="430"/>
      <c r="H143" s="430"/>
      <c r="I143" s="450"/>
      <c r="J143" s="451">
        <v>0.0786881965147041</v>
      </c>
      <c r="K143" s="451">
        <v>0.0896004624074534</v>
      </c>
      <c r="L143" s="451">
        <v>0.0944859186865694</v>
      </c>
      <c r="M143" s="452"/>
      <c r="N143" s="451"/>
      <c r="O143" s="430"/>
      <c r="P143" s="531">
        <f t="array" ref="P143">INDEX(正厂竞争者数据汇总!I:I,MATCH($A$140&amp;B143,正厂竞争者数据汇总!A:A&amp;正厂竞争者数据汇总!D:D,0))</f>
        <v>0</v>
      </c>
      <c r="Q143" s="429"/>
      <c r="R143" s="421"/>
      <c r="S143" s="472"/>
      <c r="T143" s="466"/>
      <c r="U143" s="466"/>
      <c r="V143" s="466"/>
      <c r="W143" s="466"/>
    </row>
    <row r="144" s="408" customFormat="1" spans="1:23">
      <c r="A144" s="428" t="s">
        <v>305</v>
      </c>
      <c r="B144" s="421" t="s">
        <v>306</v>
      </c>
      <c r="C144" s="429" t="s">
        <v>233</v>
      </c>
      <c r="D144" s="421" t="s">
        <v>49</v>
      </c>
      <c r="E144" s="430"/>
      <c r="F144" s="430">
        <v>34835.25</v>
      </c>
      <c r="G144" s="430"/>
      <c r="H144" s="430"/>
      <c r="I144" s="450"/>
      <c r="J144" s="451">
        <v>0.0748865686763308</v>
      </c>
      <c r="K144" s="451">
        <v>0.0715528266017331</v>
      </c>
      <c r="L144" s="451">
        <v>0.0644268814257521</v>
      </c>
      <c r="M144" s="452"/>
      <c r="N144" s="451"/>
      <c r="O144" s="430"/>
      <c r="P144" s="531">
        <f t="array" ref="P144">INDEX(正厂竞争者数据汇总!I:I,MATCH($A$140&amp;B144,正厂竞争者数据汇总!A:A&amp;正厂竞争者数据汇总!D:D,0))</f>
        <v>0</v>
      </c>
      <c r="Q144" s="429"/>
      <c r="R144" s="421"/>
      <c r="S144" s="472"/>
      <c r="T144" s="466"/>
      <c r="U144" s="466"/>
      <c r="V144" s="466"/>
      <c r="W144" s="466"/>
    </row>
    <row r="145" s="408" customFormat="1" spans="1:23">
      <c r="A145" s="428" t="s">
        <v>230</v>
      </c>
      <c r="B145" s="421" t="s">
        <v>304</v>
      </c>
      <c r="C145" s="429" t="s">
        <v>233</v>
      </c>
      <c r="D145" s="421" t="s">
        <v>49</v>
      </c>
      <c r="E145" s="430"/>
      <c r="F145" s="430">
        <v>32521.9166666667</v>
      </c>
      <c r="G145" s="430"/>
      <c r="H145" s="430"/>
      <c r="I145" s="450"/>
      <c r="J145" s="451">
        <v>0.0699135142117321</v>
      </c>
      <c r="K145" s="451">
        <v>0.0760648632667722</v>
      </c>
      <c r="L145" s="451">
        <v>0.0752933592093509</v>
      </c>
      <c r="M145" s="452"/>
      <c r="N145" s="451"/>
      <c r="O145" s="430"/>
      <c r="P145" s="531">
        <f t="array" ref="P145">INDEX(正厂竞争者数据汇总!I:I,MATCH($A$140&amp;B145,正厂竞争者数据汇总!A:A&amp;正厂竞争者数据汇总!D:D,0))</f>
        <v>0</v>
      </c>
      <c r="Q145" s="429"/>
      <c r="R145" s="421"/>
      <c r="S145" s="472"/>
      <c r="T145" s="466"/>
      <c r="U145" s="466"/>
      <c r="V145" s="466"/>
      <c r="W145" s="466"/>
    </row>
    <row r="146" s="408" customFormat="1" spans="1:23">
      <c r="A146" s="428" t="s">
        <v>243</v>
      </c>
      <c r="B146" s="421" t="s">
        <v>300</v>
      </c>
      <c r="C146" s="429" t="s">
        <v>441</v>
      </c>
      <c r="D146" s="421" t="s">
        <v>302</v>
      </c>
      <c r="E146" s="430"/>
      <c r="F146" s="430">
        <v>28994.7016666667</v>
      </c>
      <c r="G146" s="430"/>
      <c r="H146" s="430"/>
      <c r="I146" s="450"/>
      <c r="J146" s="451">
        <v>0.0623309354062496</v>
      </c>
      <c r="K146" s="451">
        <v>0.0561167222666104</v>
      </c>
      <c r="L146" s="451"/>
      <c r="M146" s="452"/>
      <c r="N146" s="451"/>
      <c r="O146" s="430"/>
      <c r="P146" s="531" t="str">
        <f t="array" ref="P146">INDEX(正厂竞争者数据汇总!I:I,MATCH($A$140&amp;B146,正厂竞争者数据汇总!A:A&amp;正厂竞争者数据汇总!D:D,0))</f>
        <v>2023年3月新增正厂，202305因流量超过MS5%加入MS计算基准</v>
      </c>
      <c r="Q146" s="429"/>
      <c r="R146" s="421"/>
      <c r="S146" s="472"/>
      <c r="T146" s="466"/>
      <c r="U146" s="466"/>
      <c r="V146" s="466"/>
      <c r="W146" s="466"/>
    </row>
    <row r="147" s="408" customFormat="1" spans="1:23">
      <c r="A147" s="428" t="s">
        <v>230</v>
      </c>
      <c r="B147" s="421" t="s">
        <v>307</v>
      </c>
      <c r="C147" s="429" t="s">
        <v>233</v>
      </c>
      <c r="D147" s="421" t="s">
        <v>49</v>
      </c>
      <c r="E147" s="430"/>
      <c r="F147" s="430">
        <v>28706.2333333333</v>
      </c>
      <c r="G147" s="430"/>
      <c r="H147" s="430"/>
      <c r="I147" s="450"/>
      <c r="J147" s="451">
        <v>0.0617108048300339</v>
      </c>
      <c r="K147" s="451">
        <v>0.0540157046625556</v>
      </c>
      <c r="L147" s="451">
        <v>0.0432702294254444</v>
      </c>
      <c r="M147" s="452"/>
      <c r="N147" s="451"/>
      <c r="O147" s="430"/>
      <c r="P147" s="531" t="str">
        <f t="array" ref="P147">INDEX(正厂竞争者数据汇总!I:I,MATCH($A$140&amp;B147,正厂竞争者数据汇总!A:A&amp;正厂竞争者数据汇总!D:D,0))</f>
        <v>2023年2月新增正厂</v>
      </c>
      <c r="Q147" s="429"/>
      <c r="R147" s="421"/>
      <c r="S147" s="472"/>
      <c r="T147" s="466"/>
      <c r="U147" s="466"/>
      <c r="V147" s="466"/>
      <c r="W147" s="466"/>
    </row>
    <row r="148" s="408" customFormat="1" spans="1:23">
      <c r="A148" s="428" t="s">
        <v>230</v>
      </c>
      <c r="B148" s="421" t="s">
        <v>309</v>
      </c>
      <c r="C148" s="429" t="s">
        <v>233</v>
      </c>
      <c r="D148" s="421" t="s">
        <v>266</v>
      </c>
      <c r="E148" s="430"/>
      <c r="F148" s="430">
        <v>24585.435</v>
      </c>
      <c r="G148" s="430"/>
      <c r="H148" s="430"/>
      <c r="I148" s="450"/>
      <c r="J148" s="451">
        <v>0.052852178944172</v>
      </c>
      <c r="K148" s="451">
        <v>0.0423055723298961</v>
      </c>
      <c r="L148" s="451">
        <v>0.0402736018771826</v>
      </c>
      <c r="M148" s="452"/>
      <c r="N148" s="451"/>
      <c r="O148" s="430"/>
      <c r="P148" s="531" t="str">
        <f t="array" ref="P148">INDEX(正厂竞争者数据汇总!I:I,MATCH($A$140&amp;B148,正厂竞争者数据汇总!A:A&amp;正厂竞争者数据汇总!D:D,0))</f>
        <v>同时经营多品牌网站零件，折算比例为：toyota：33%，lexus：42%，subaru:25%</v>
      </c>
      <c r="Q148" s="429"/>
      <c r="R148" s="421"/>
      <c r="S148" s="472"/>
      <c r="T148" s="466"/>
      <c r="U148" s="466"/>
      <c r="V148" s="466"/>
      <c r="W148" s="466"/>
    </row>
    <row r="149" s="408" customFormat="1" spans="1:23">
      <c r="A149" s="428" t="s">
        <v>243</v>
      </c>
      <c r="B149" s="421" t="s">
        <v>461</v>
      </c>
      <c r="C149" s="429" t="s">
        <v>441</v>
      </c>
      <c r="D149" s="421" t="s">
        <v>49</v>
      </c>
      <c r="E149" s="430"/>
      <c r="F149" s="430">
        <v>12665.5</v>
      </c>
      <c r="G149" s="430"/>
      <c r="H149" s="430"/>
      <c r="I149" s="450"/>
      <c r="J149" s="451">
        <v>0.0272274731936779</v>
      </c>
      <c r="K149" s="451">
        <v>0.0246507699628032</v>
      </c>
      <c r="L149" s="451">
        <v>0.0293982425737178</v>
      </c>
      <c r="M149" s="452"/>
      <c r="N149" s="451"/>
      <c r="O149" s="430"/>
      <c r="P149" s="531" t="str">
        <f t="array" ref="P149">INDEX(正厂竞争者数据汇总!I:I,MATCH($A$140&amp;B149,正厂竞争者数据汇总!A:A&amp;正厂竞争者数据汇总!D:D,0))</f>
        <v>2023年3月新增正厂</v>
      </c>
      <c r="Q149" s="429"/>
      <c r="R149" s="421"/>
      <c r="S149" s="472"/>
      <c r="T149" s="466"/>
      <c r="U149" s="466"/>
      <c r="V149" s="466"/>
      <c r="W149" s="466"/>
    </row>
    <row r="150" s="408" customFormat="1" spans="1:23">
      <c r="A150" s="428" t="s">
        <v>243</v>
      </c>
      <c r="B150" s="421" t="s">
        <v>462</v>
      </c>
      <c r="C150" s="429" t="s">
        <v>441</v>
      </c>
      <c r="D150" s="421" t="s">
        <v>420</v>
      </c>
      <c r="E150" s="430"/>
      <c r="F150" s="430">
        <v>13366.8333333333</v>
      </c>
      <c r="G150" s="430"/>
      <c r="H150" s="430"/>
      <c r="I150" s="450"/>
      <c r="J150" s="451">
        <v>0.0287351542590259</v>
      </c>
      <c r="K150" s="451">
        <v>0.0288782607068973</v>
      </c>
      <c r="L150" s="451">
        <v>0.0288652827455872</v>
      </c>
      <c r="M150" s="452"/>
      <c r="N150" s="451"/>
      <c r="O150" s="430"/>
      <c r="P150" s="531" t="str">
        <f t="array" ref="P150">INDEX(正厂竞争者数据汇总!I:I,MATCH($A$140&amp;B150,正厂竞争者数据汇总!A:A&amp;正厂竞争者数据汇总!D:D,0))</f>
        <v>2023年2月新增正厂</v>
      </c>
      <c r="Q150" s="429"/>
      <c r="R150" s="421"/>
      <c r="S150" s="472"/>
      <c r="T150" s="466"/>
      <c r="U150" s="466"/>
      <c r="V150" s="466"/>
      <c r="W150" s="466"/>
    </row>
    <row r="152" s="408" customFormat="1" spans="1:23">
      <c r="A152" s="440"/>
      <c r="B152" s="431"/>
      <c r="C152" s="429"/>
      <c r="D152" s="421"/>
      <c r="E152" s="430"/>
      <c r="F152" s="430"/>
      <c r="G152" s="430">
        <v>259436.916666667</v>
      </c>
      <c r="H152" s="430"/>
      <c r="I152" s="453"/>
      <c r="J152" s="451"/>
      <c r="K152" s="451"/>
      <c r="L152" s="451"/>
      <c r="M152" s="451"/>
      <c r="N152" s="451"/>
      <c r="O152" s="430"/>
      <c r="P152" s="531"/>
      <c r="Q152" s="429"/>
      <c r="R152" s="421"/>
      <c r="S152" s="473"/>
      <c r="T152" s="466"/>
      <c r="U152" s="466"/>
      <c r="V152" s="421"/>
      <c r="W152" s="421"/>
    </row>
    <row r="153" s="408" customFormat="1" spans="1:23">
      <c r="A153" s="428"/>
      <c r="B153" s="431"/>
      <c r="C153" s="439"/>
      <c r="D153" s="421"/>
      <c r="E153" s="430"/>
      <c r="F153" s="430">
        <v>465173.536666667</v>
      </c>
      <c r="G153" s="430"/>
      <c r="H153" s="430">
        <v>254943.25</v>
      </c>
      <c r="I153" s="453" t="e">
        <f>(F153/G153)-1</f>
        <v>#DIV/0!</v>
      </c>
      <c r="J153" s="430"/>
      <c r="K153" s="430"/>
      <c r="L153" s="430"/>
      <c r="M153" s="451"/>
      <c r="N153" s="451">
        <f>SUM(N142:N143)</f>
        <v>0</v>
      </c>
      <c r="O153" s="430"/>
      <c r="P153" s="531"/>
      <c r="Q153" s="429"/>
      <c r="R153" s="421"/>
      <c r="S153" s="473"/>
      <c r="T153" s="466"/>
      <c r="U153" s="466"/>
      <c r="V153" s="421"/>
      <c r="W153" s="421"/>
    </row>
    <row r="154" s="408" customFormat="1" spans="1:23">
      <c r="A154" s="428"/>
      <c r="B154" s="421"/>
      <c r="C154" s="439"/>
      <c r="D154" s="421"/>
      <c r="E154" s="430"/>
      <c r="F154" s="451"/>
      <c r="G154" s="451"/>
      <c r="H154" s="451"/>
      <c r="I154" s="453"/>
      <c r="J154" s="451"/>
      <c r="K154" s="451"/>
      <c r="L154" s="451"/>
      <c r="M154" s="451"/>
      <c r="N154" s="451"/>
      <c r="O154" s="451"/>
      <c r="P154" s="531"/>
      <c r="Q154" s="429"/>
      <c r="R154" s="421"/>
      <c r="S154" s="473"/>
      <c r="T154" s="466"/>
      <c r="U154" s="466"/>
      <c r="V154" s="421"/>
      <c r="W154" s="421"/>
    </row>
    <row r="155" s="408" customFormat="1" ht="17.4" spans="1:23">
      <c r="A155" s="418" t="s">
        <v>177</v>
      </c>
      <c r="B155" s="419"/>
      <c r="C155" s="420"/>
      <c r="D155" s="421"/>
      <c r="E155" s="422" t="s">
        <v>202</v>
      </c>
      <c r="F155" s="422"/>
      <c r="G155" s="422" t="s">
        <v>213</v>
      </c>
      <c r="H155" s="422"/>
      <c r="I155" s="422"/>
      <c r="J155" s="422"/>
      <c r="K155" s="422"/>
      <c r="L155" s="422"/>
      <c r="M155" s="443"/>
      <c r="N155" s="444"/>
      <c r="O155" s="422"/>
      <c r="P155" s="531"/>
      <c r="Q155" s="465"/>
      <c r="R155" s="424"/>
      <c r="S155" s="473"/>
      <c r="T155" s="467"/>
      <c r="U155" s="467"/>
      <c r="V155" s="467"/>
      <c r="W155" s="467"/>
    </row>
    <row r="156" s="409" customFormat="1" ht="46.8" spans="1:23">
      <c r="A156" s="423" t="s">
        <v>206</v>
      </c>
      <c r="B156" s="424" t="s">
        <v>207</v>
      </c>
      <c r="C156" s="425" t="s">
        <v>447</v>
      </c>
      <c r="D156" s="424" t="s">
        <v>209</v>
      </c>
      <c r="E156" s="426" t="s">
        <v>210</v>
      </c>
      <c r="F156" s="427" t="s">
        <v>478</v>
      </c>
      <c r="G156" s="427">
        <v>93920.4166666667</v>
      </c>
      <c r="H156" s="427" t="s">
        <v>396</v>
      </c>
      <c r="I156" s="427" t="s">
        <v>386</v>
      </c>
      <c r="J156" s="446" t="s">
        <v>444</v>
      </c>
      <c r="K156" s="446" t="s">
        <v>449</v>
      </c>
      <c r="L156" s="446" t="s">
        <v>479</v>
      </c>
      <c r="M156" s="447" t="s">
        <v>436</v>
      </c>
      <c r="N156" s="448" t="s">
        <v>219</v>
      </c>
      <c r="O156" s="449" t="s">
        <v>220</v>
      </c>
      <c r="P156" s="535" t="s">
        <v>0</v>
      </c>
      <c r="Q156" s="469" t="s">
        <v>222</v>
      </c>
      <c r="R156" s="426" t="s">
        <v>223</v>
      </c>
      <c r="S156" s="470" t="s">
        <v>224</v>
      </c>
      <c r="T156" s="467" t="s">
        <v>225</v>
      </c>
      <c r="U156" s="470" t="s">
        <v>226</v>
      </c>
      <c r="V156" s="467"/>
      <c r="W156" s="467"/>
    </row>
    <row r="157" s="410" customFormat="1" ht="17.4" spans="1:23">
      <c r="A157" s="432" t="s">
        <v>227</v>
      </c>
      <c r="B157" s="435" t="s">
        <v>178</v>
      </c>
      <c r="C157" s="434" t="s">
        <v>441</v>
      </c>
      <c r="D157" s="435" t="s">
        <v>49</v>
      </c>
      <c r="E157" s="436">
        <f>VLOOKUP(B157,正厂竞争者数据汇总!D:H,4,FALSE)</f>
        <v>0</v>
      </c>
      <c r="F157" s="436">
        <v>88177.3366666667</v>
      </c>
      <c r="G157" s="436">
        <v>19160.4166666667</v>
      </c>
      <c r="H157" s="436">
        <v>93560.5000000002</v>
      </c>
      <c r="I157" s="454">
        <f>(F157/G157)-1</f>
        <v>3.60205736653256</v>
      </c>
      <c r="J157" s="457">
        <v>0.509413657146004</v>
      </c>
      <c r="K157" s="457">
        <v>0.504260999846335</v>
      </c>
      <c r="L157" s="457">
        <v>0.448741554444412</v>
      </c>
      <c r="M157" s="456">
        <f>J157-K163</f>
        <v>0.465055720353503</v>
      </c>
      <c r="N157" s="457" t="str">
        <f>IFERROR(O157*0.5/#REF!,"")</f>
        <v/>
      </c>
      <c r="O157" s="436" t="s">
        <v>180</v>
      </c>
      <c r="P157" s="531">
        <f t="array" ref="P157">INDEX(正厂竞争者数据汇总!I:I,MATCH($A$155&amp;B157,正厂竞争者数据汇总!A:A&amp;正厂竞争者数据汇总!D:D,0))</f>
        <v>0</v>
      </c>
      <c r="Q157" s="434" t="s">
        <v>324</v>
      </c>
      <c r="R157" s="435" t="s">
        <v>229</v>
      </c>
      <c r="S157" s="476"/>
      <c r="T157" s="477"/>
      <c r="U157" s="477"/>
      <c r="V157" s="435"/>
      <c r="W157" s="435"/>
    </row>
    <row r="158" s="408" customFormat="1" spans="1:23">
      <c r="A158" s="428" t="s">
        <v>230</v>
      </c>
      <c r="B158" s="421" t="s">
        <v>329</v>
      </c>
      <c r="C158" s="429" t="s">
        <v>233</v>
      </c>
      <c r="D158" s="421" t="s">
        <v>58</v>
      </c>
      <c r="E158" s="430"/>
      <c r="F158" s="430">
        <v>20301.0833333334</v>
      </c>
      <c r="G158" s="430"/>
      <c r="H158" s="430"/>
      <c r="I158" s="450"/>
      <c r="J158" s="451">
        <v>0.117282393592282</v>
      </c>
      <c r="K158" s="451">
        <v>0.0904440702419371</v>
      </c>
      <c r="L158" s="451">
        <v>0.110265105283789</v>
      </c>
      <c r="M158" s="452"/>
      <c r="N158" s="451"/>
      <c r="O158" s="430"/>
      <c r="P158" s="531">
        <f t="array" ref="P158">INDEX(正厂竞争者数据汇总!I:I,MATCH($A$155&amp;B158,正厂竞争者数据汇总!A:A&amp;正厂竞争者数据汇总!D:D,0))</f>
        <v>0</v>
      </c>
      <c r="Q158" s="429"/>
      <c r="R158" s="421"/>
      <c r="S158" s="472"/>
      <c r="T158" s="466"/>
      <c r="U158" s="466"/>
      <c r="V158" s="466"/>
      <c r="W158" s="466"/>
    </row>
    <row r="159" s="408" customFormat="1" spans="1:23">
      <c r="A159" s="428" t="s">
        <v>230</v>
      </c>
      <c r="B159" s="421" t="s">
        <v>328</v>
      </c>
      <c r="C159" s="429" t="s">
        <v>233</v>
      </c>
      <c r="D159" s="421" t="s">
        <v>58</v>
      </c>
      <c r="E159" s="430"/>
      <c r="F159" s="430">
        <v>16915.25</v>
      </c>
      <c r="G159" s="430"/>
      <c r="H159" s="430"/>
      <c r="I159" s="450"/>
      <c r="J159" s="451">
        <v>0.0977219282162367</v>
      </c>
      <c r="K159" s="451">
        <v>0.0909205381686556</v>
      </c>
      <c r="L159" s="451">
        <v>0.0772109296230802</v>
      </c>
      <c r="M159" s="452"/>
      <c r="N159" s="451"/>
      <c r="O159" s="430"/>
      <c r="P159" s="531" t="str">
        <f t="array" ref="P159">INDEX(正厂竞争者数据汇总!I:I,MATCH($A$155&amp;B159,正厂竞争者数据汇总!A:A&amp;正厂竞争者数据汇总!D:D,0))</f>
        <v>2022年1月 新加入 MarketingShare</v>
      </c>
      <c r="Q159" s="429"/>
      <c r="R159" s="421"/>
      <c r="S159" s="472"/>
      <c r="T159" s="466"/>
      <c r="U159" s="466"/>
      <c r="V159" s="466"/>
      <c r="W159" s="466"/>
    </row>
    <row r="160" s="408" customFormat="1" spans="1:23">
      <c r="A160" s="428" t="s">
        <v>230</v>
      </c>
      <c r="B160" s="421" t="s">
        <v>327</v>
      </c>
      <c r="C160" s="429" t="s">
        <v>233</v>
      </c>
      <c r="D160" s="421" t="s">
        <v>234</v>
      </c>
      <c r="E160" s="430"/>
      <c r="F160" s="430">
        <v>15414.9903333334</v>
      </c>
      <c r="G160" s="430"/>
      <c r="H160" s="430"/>
      <c r="I160" s="450"/>
      <c r="J160" s="451">
        <v>0.0890547038209893</v>
      </c>
      <c r="K160" s="451">
        <v>0.0860075295804948</v>
      </c>
      <c r="L160" s="451">
        <v>0.0449621522707782</v>
      </c>
      <c r="M160" s="452"/>
      <c r="N160" s="451"/>
      <c r="O160" s="430"/>
      <c r="P160" s="531" t="str">
        <f t="array" ref="P160">INDEX(正厂竞争者数据汇总!I:I,MATCH($A$155&amp;B160,正厂竞争者数据汇总!A:A&amp;正厂竞争者数据汇总!D:D,0))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60" s="429"/>
      <c r="R160" s="421"/>
      <c r="S160" s="472"/>
      <c r="T160" s="466"/>
      <c r="U160" s="466"/>
      <c r="V160" s="466"/>
      <c r="W160" s="466"/>
    </row>
    <row r="161" s="408" customFormat="1" spans="1:23">
      <c r="A161" s="428" t="s">
        <v>230</v>
      </c>
      <c r="B161" s="421" t="s">
        <v>407</v>
      </c>
      <c r="C161" s="429" t="s">
        <v>233</v>
      </c>
      <c r="D161" s="421" t="s">
        <v>417</v>
      </c>
      <c r="E161" s="430"/>
      <c r="F161" s="430">
        <v>12194.9183333333</v>
      </c>
      <c r="G161" s="430"/>
      <c r="H161" s="430"/>
      <c r="I161" s="450"/>
      <c r="J161" s="451">
        <v>0.0704518664502662</v>
      </c>
      <c r="K161" s="451">
        <v>0.102623614881593</v>
      </c>
      <c r="L161" s="451">
        <v>0.134794554959661</v>
      </c>
      <c r="M161" s="452"/>
      <c r="N161" s="451"/>
      <c r="O161" s="430"/>
      <c r="P161" s="531" t="str">
        <f t="array" ref="P161">INDEX(正厂竞争者数据汇总!I:I,MATCH($A$155&amp;B161,正厂竞争者数据汇总!A:A&amp;正厂竞争者数据汇总!D:D,0))</f>
        <v>202112新增竞争者</v>
      </c>
      <c r="Q161" s="429"/>
      <c r="R161" s="421"/>
      <c r="S161" s="472"/>
      <c r="T161" s="466"/>
      <c r="U161" s="466"/>
      <c r="V161" s="466"/>
      <c r="W161" s="466"/>
    </row>
    <row r="162" s="408" customFormat="1" spans="1:23">
      <c r="A162" s="428" t="s">
        <v>325</v>
      </c>
      <c r="B162" s="421" t="s">
        <v>326</v>
      </c>
      <c r="C162" s="429" t="s">
        <v>441</v>
      </c>
      <c r="D162" s="421" t="s">
        <v>422</v>
      </c>
      <c r="E162" s="430"/>
      <c r="F162" s="430">
        <v>9650.25</v>
      </c>
      <c r="G162" s="430"/>
      <c r="H162" s="430"/>
      <c r="I162" s="450"/>
      <c r="J162" s="451">
        <v>0.0557509370401701</v>
      </c>
      <c r="K162" s="451">
        <v>0.0610012335877341</v>
      </c>
      <c r="L162" s="451">
        <v>0.0747068983520575</v>
      </c>
      <c r="M162" s="452"/>
      <c r="N162" s="451"/>
      <c r="O162" s="430"/>
      <c r="P162" s="531">
        <f t="array" ref="P162">INDEX(正厂竞争者数据汇总!I:I,MATCH($A$155&amp;B162,正厂竞争者数据汇总!A:A&amp;正厂竞争者数据汇总!D:D,0))</f>
        <v>0</v>
      </c>
      <c r="Q162" s="429"/>
      <c r="R162" s="421"/>
      <c r="S162" s="472"/>
      <c r="T162" s="466"/>
      <c r="U162" s="466"/>
      <c r="V162" s="466"/>
      <c r="W162" s="466"/>
    </row>
    <row r="163" s="408" customFormat="1" spans="1:23">
      <c r="A163" s="428" t="s">
        <v>325</v>
      </c>
      <c r="B163" s="421" t="s">
        <v>442</v>
      </c>
      <c r="C163" s="429" t="s">
        <v>441</v>
      </c>
      <c r="D163" s="421" t="s">
        <v>60</v>
      </c>
      <c r="E163" s="430"/>
      <c r="F163" s="430">
        <v>7241.08333333333</v>
      </c>
      <c r="G163" s="430"/>
      <c r="H163" s="430"/>
      <c r="I163" s="450"/>
      <c r="J163" s="451">
        <v>0.0418328210169987</v>
      </c>
      <c r="K163" s="451">
        <v>0.0443579367925012</v>
      </c>
      <c r="L163" s="451">
        <v>0.077564521733772</v>
      </c>
      <c r="M163" s="452"/>
      <c r="N163" s="451"/>
      <c r="O163" s="430"/>
      <c r="P163" s="531" t="str">
        <f t="array" ref="P163">INDEX(正厂竞争者数据汇总!I:I,MATCH($A$155&amp;B163,正厂竞争者数据汇总!A:A&amp;正厂竞争者数据汇总!D:D,0))</f>
        <v>202305流量太低，无法正常获取流量</v>
      </c>
      <c r="Q163" s="429"/>
      <c r="R163" s="421"/>
      <c r="S163" s="472"/>
      <c r="T163" s="466"/>
      <c r="U163" s="466"/>
      <c r="V163" s="466"/>
      <c r="W163" s="466"/>
    </row>
    <row r="164" s="408" customFormat="1" spans="1:23">
      <c r="A164" s="428" t="s">
        <v>230</v>
      </c>
      <c r="B164" s="421" t="s">
        <v>463</v>
      </c>
      <c r="C164" s="429" t="s">
        <v>233</v>
      </c>
      <c r="D164" s="421" t="s">
        <v>58</v>
      </c>
      <c r="E164" s="430"/>
      <c r="F164" s="430">
        <v>3200.83333333333</v>
      </c>
      <c r="G164" s="430"/>
      <c r="H164" s="430"/>
      <c r="I164" s="450"/>
      <c r="J164" s="451">
        <v>0.0184916927170534</v>
      </c>
      <c r="K164" s="451">
        <v>0.0203840769007496</v>
      </c>
      <c r="L164" s="451">
        <v>0.0317542833324489</v>
      </c>
      <c r="M164" s="452"/>
      <c r="N164" s="451"/>
      <c r="O164" s="430"/>
      <c r="P164" s="531">
        <f t="array" ref="P164">INDEX(正厂竞争者数据汇总!I:I,MATCH($A$155&amp;B164,正厂竞争者数据汇总!A:A&amp;正厂竞争者数据汇总!D:D,0))</f>
        <v>0</v>
      </c>
      <c r="Q164" s="429"/>
      <c r="R164" s="421"/>
      <c r="S164" s="472"/>
      <c r="T164" s="466"/>
      <c r="U164" s="466"/>
      <c r="V164" s="466"/>
      <c r="W164" s="466"/>
    </row>
    <row r="165" s="408" customFormat="1" spans="1:23">
      <c r="A165" s="428"/>
      <c r="B165" s="431"/>
      <c r="C165" s="429"/>
      <c r="D165" s="421"/>
      <c r="E165" s="430"/>
      <c r="F165" s="430"/>
      <c r="G165" s="430">
        <v>161698.333333333</v>
      </c>
      <c r="H165" s="430"/>
      <c r="I165" s="453"/>
      <c r="J165" s="451"/>
      <c r="K165" s="451"/>
      <c r="L165" s="451"/>
      <c r="M165" s="451"/>
      <c r="N165" s="451"/>
      <c r="O165" s="430"/>
      <c r="P165" s="531"/>
      <c r="Q165" s="429"/>
      <c r="R165" s="421"/>
      <c r="S165" s="473"/>
      <c r="T165" s="466"/>
      <c r="U165" s="466"/>
      <c r="V165" s="421"/>
      <c r="W165" s="421"/>
    </row>
    <row r="166" s="408" customFormat="1" spans="1:23">
      <c r="A166" s="428"/>
      <c r="B166" s="421"/>
      <c r="C166" s="439"/>
      <c r="D166" s="421"/>
      <c r="E166" s="430"/>
      <c r="F166" s="430">
        <v>173095.745333333</v>
      </c>
      <c r="G166" s="430"/>
      <c r="H166" s="430">
        <v>167907.166666667</v>
      </c>
      <c r="I166" s="453" t="e">
        <f>(F166/G166)-1</f>
        <v>#DIV/0!</v>
      </c>
      <c r="J166" s="430"/>
      <c r="K166" s="430"/>
      <c r="L166" s="430"/>
      <c r="M166" s="451"/>
      <c r="N166" s="451">
        <f>SUM(N157:N160)</f>
        <v>0</v>
      </c>
      <c r="O166" s="430"/>
      <c r="P166" s="531"/>
      <c r="Q166" s="493"/>
      <c r="R166" s="421"/>
      <c r="S166" s="473"/>
      <c r="T166" s="466"/>
      <c r="U166" s="466"/>
      <c r="V166" s="421"/>
      <c r="W166" s="421"/>
    </row>
    <row r="167" s="408" customFormat="1" spans="1:23">
      <c r="A167" s="428"/>
      <c r="B167" s="421"/>
      <c r="C167" s="439"/>
      <c r="D167" s="421"/>
      <c r="E167" s="430"/>
      <c r="F167" s="430"/>
      <c r="G167" s="430"/>
      <c r="H167" s="430"/>
      <c r="I167" s="453"/>
      <c r="J167" s="430"/>
      <c r="K167" s="430"/>
      <c r="L167" s="430"/>
      <c r="M167" s="451"/>
      <c r="N167" s="451"/>
      <c r="O167" s="430"/>
      <c r="P167" s="531"/>
      <c r="Q167" s="493"/>
      <c r="R167" s="421"/>
      <c r="S167" s="473"/>
      <c r="T167" s="466"/>
      <c r="U167" s="466"/>
      <c r="V167" s="421"/>
      <c r="W167" s="421"/>
    </row>
    <row r="168" s="408" customFormat="1" ht="17.4" spans="1:23">
      <c r="A168" s="418" t="s">
        <v>191</v>
      </c>
      <c r="B168" s="419"/>
      <c r="C168" s="420"/>
      <c r="D168" s="421"/>
      <c r="E168" s="422" t="s">
        <v>202</v>
      </c>
      <c r="F168" s="422"/>
      <c r="G168" s="422" t="s">
        <v>213</v>
      </c>
      <c r="H168" s="422"/>
      <c r="I168" s="422"/>
      <c r="J168" s="422"/>
      <c r="K168" s="422"/>
      <c r="L168" s="422"/>
      <c r="M168" s="443"/>
      <c r="N168" s="422"/>
      <c r="O168" s="422"/>
      <c r="P168" s="531"/>
      <c r="Q168" s="465"/>
      <c r="R168" s="424"/>
      <c r="S168" s="473"/>
      <c r="T168" s="467"/>
      <c r="U168" s="467"/>
      <c r="V168" s="467"/>
      <c r="W168" s="467"/>
    </row>
    <row r="169" s="409" customFormat="1" ht="46.8" hidden="1" spans="1:23">
      <c r="A169" s="423" t="s">
        <v>206</v>
      </c>
      <c r="B169" s="424" t="s">
        <v>207</v>
      </c>
      <c r="C169" s="425" t="s">
        <v>447</v>
      </c>
      <c r="D169" s="424" t="s">
        <v>209</v>
      </c>
      <c r="E169" s="426" t="s">
        <v>210</v>
      </c>
      <c r="F169" s="427" t="s">
        <v>478</v>
      </c>
      <c r="G169" s="427">
        <v>116448.583333333</v>
      </c>
      <c r="H169" s="427" t="s">
        <v>396</v>
      </c>
      <c r="I169" s="427" t="s">
        <v>386</v>
      </c>
      <c r="J169" s="446" t="s">
        <v>444</v>
      </c>
      <c r="K169" s="446" t="s">
        <v>449</v>
      </c>
      <c r="L169" s="446" t="s">
        <v>479</v>
      </c>
      <c r="M169" s="447" t="s">
        <v>436</v>
      </c>
      <c r="N169" s="448" t="s">
        <v>219</v>
      </c>
      <c r="O169" s="449" t="s">
        <v>220</v>
      </c>
      <c r="P169" s="535" t="s">
        <v>0</v>
      </c>
      <c r="Q169" s="469" t="s">
        <v>222</v>
      </c>
      <c r="R169" s="426" t="s">
        <v>223</v>
      </c>
      <c r="S169" s="470" t="s">
        <v>224</v>
      </c>
      <c r="T169" s="467" t="s">
        <v>225</v>
      </c>
      <c r="U169" s="470" t="s">
        <v>226</v>
      </c>
      <c r="V169" s="467"/>
      <c r="W169" s="467"/>
    </row>
    <row r="170" s="408" customFormat="1" hidden="1" spans="1:23">
      <c r="A170" s="428" t="s">
        <v>325</v>
      </c>
      <c r="B170" s="421" t="s">
        <v>357</v>
      </c>
      <c r="C170" s="429" t="s">
        <v>441</v>
      </c>
      <c r="D170" s="421" t="s">
        <v>422</v>
      </c>
      <c r="E170" s="430">
        <f>VLOOKUP(B170,正厂竞争者数据汇总!D:H,4,FALSE)</f>
        <v>0</v>
      </c>
      <c r="F170" s="430">
        <v>85750.2333333333</v>
      </c>
      <c r="G170" s="430">
        <v>0</v>
      </c>
      <c r="H170" s="430">
        <v>99768.6666666667</v>
      </c>
      <c r="I170" s="453" t="e">
        <f t="shared" ref="I170:I175" si="0">(F170/G170)-1</f>
        <v>#DIV/0!</v>
      </c>
      <c r="J170" s="451" t="e">
        <v>#N/A</v>
      </c>
      <c r="K170" s="451" t="e">
        <v>#N/A</v>
      </c>
      <c r="L170" s="451" t="e">
        <v>#N/A</v>
      </c>
      <c r="M170" s="451" t="e">
        <f>J170-K171</f>
        <v>#N/A</v>
      </c>
      <c r="N170" s="459"/>
      <c r="O170" s="430"/>
      <c r="P170" s="531">
        <f>VLOOKUP(B170,正厂竞争者数据汇总!D:M,6,FALSE)</f>
        <v>0</v>
      </c>
      <c r="Q170" s="429" t="s">
        <v>180</v>
      </c>
      <c r="R170" s="421" t="s">
        <v>180</v>
      </c>
      <c r="S170" s="473">
        <f>VLOOKUP(B170,正厂竞争者数据汇总!$D$2:$CL$243,25,FALSE)</f>
        <v>129482</v>
      </c>
      <c r="T170" s="466"/>
      <c r="U170" s="466"/>
      <c r="V170" s="421"/>
      <c r="W170" s="421"/>
    </row>
    <row r="171" s="408" customFormat="1" hidden="1" spans="1:23">
      <c r="A171" s="428" t="s">
        <v>230</v>
      </c>
      <c r="B171" s="421" t="s">
        <v>360</v>
      </c>
      <c r="C171" s="429" t="e">
        <v>#N/A</v>
      </c>
      <c r="D171" s="421" t="e">
        <v>#N/A</v>
      </c>
      <c r="E171" s="430">
        <f>VLOOKUP(B171,正厂竞争者数据汇总!D:H,4,FALSE)</f>
        <v>0</v>
      </c>
      <c r="F171" s="430" t="e">
        <v>#N/A</v>
      </c>
      <c r="G171" s="430">
        <v>207722.25</v>
      </c>
      <c r="H171" s="430">
        <v>0</v>
      </c>
      <c r="I171" s="453"/>
      <c r="J171" s="451"/>
      <c r="K171" s="451"/>
      <c r="L171" s="451"/>
      <c r="M171" s="451"/>
      <c r="N171" s="459"/>
      <c r="O171" s="430"/>
      <c r="P171" s="531" t="str">
        <f>VLOOKUP(B171,正厂竞争者数据汇总!D:M,6,FALSE)</f>
        <v>2023年12月新增</v>
      </c>
      <c r="Q171" s="429" t="s">
        <v>180</v>
      </c>
      <c r="R171" s="421" t="s">
        <v>180</v>
      </c>
      <c r="S171" s="473" t="e">
        <f>VLOOKUP(B171,正厂竞争者数据汇总!$D$2:$CL$243,25,FALSE)</f>
        <v>#N/A</v>
      </c>
      <c r="T171" s="466"/>
      <c r="U171" s="466"/>
      <c r="V171" s="421"/>
      <c r="W171" s="421"/>
    </row>
    <row r="172" s="408" customFormat="1" ht="17.4" hidden="1" spans="1:23">
      <c r="A172" s="428" t="s">
        <v>464</v>
      </c>
      <c r="B172" s="431" t="s">
        <v>465</v>
      </c>
      <c r="C172" s="429" t="s">
        <v>441</v>
      </c>
      <c r="D172" s="421" t="s">
        <v>234</v>
      </c>
      <c r="E172" s="430">
        <f>VLOOKUP(B172,正厂竞争者数据汇总!D:H,4,FALSE)</f>
        <v>0</v>
      </c>
      <c r="F172" s="430">
        <v>151969.75</v>
      </c>
      <c r="G172" s="430">
        <v>14627</v>
      </c>
      <c r="H172" s="430">
        <v>199184.666666667</v>
      </c>
      <c r="I172" s="453"/>
      <c r="J172" s="451"/>
      <c r="K172" s="451"/>
      <c r="L172" s="451"/>
      <c r="M172" s="451"/>
      <c r="N172" s="459"/>
      <c r="O172" s="430"/>
      <c r="P172" s="531">
        <f>VLOOKUP(B172,正厂竞争者数据汇总!D:M,6,FALSE)</f>
        <v>0</v>
      </c>
      <c r="Q172" s="429" t="s">
        <v>180</v>
      </c>
      <c r="R172" s="421" t="s">
        <v>180</v>
      </c>
      <c r="S172" s="473">
        <f>VLOOKUP(B172,正厂竞争者数据汇总!$D$2:$CL$243,25,FALSE)</f>
        <v>181727</v>
      </c>
      <c r="T172" s="466"/>
      <c r="U172" s="466"/>
      <c r="V172" s="421"/>
      <c r="W172" s="421"/>
    </row>
    <row r="173" s="408" customFormat="1" hidden="1" spans="1:23">
      <c r="A173" s="428" t="s">
        <v>325</v>
      </c>
      <c r="B173" s="438" t="s">
        <v>362</v>
      </c>
      <c r="C173" s="429" t="s">
        <v>441</v>
      </c>
      <c r="D173" s="421" t="s">
        <v>49</v>
      </c>
      <c r="E173" s="430">
        <f>VLOOKUP(B172,正厂竞争者数据汇总!D:H,4,FALSE)</f>
        <v>0</v>
      </c>
      <c r="F173" s="430">
        <v>13208.1616666667</v>
      </c>
      <c r="G173" s="430"/>
      <c r="H173" s="430">
        <v>18048.25</v>
      </c>
      <c r="I173" s="453" t="e">
        <f t="shared" si="0"/>
        <v>#DIV/0!</v>
      </c>
      <c r="J173" s="451" t="e">
        <v>#N/A</v>
      </c>
      <c r="K173" s="451" t="e">
        <v>#N/A</v>
      </c>
      <c r="L173" s="451" t="e">
        <v>#N/A</v>
      </c>
      <c r="M173" s="451" t="e">
        <f>J173-K174</f>
        <v>#N/A</v>
      </c>
      <c r="N173" s="459"/>
      <c r="O173" s="430"/>
      <c r="P173" s="531">
        <f>VLOOKUP(B173,正厂竞争者数据汇总!D:M,6,FALSE)</f>
        <v>0</v>
      </c>
      <c r="Q173" s="429" t="s">
        <v>180</v>
      </c>
      <c r="R173" s="421" t="s">
        <v>180</v>
      </c>
      <c r="S173" s="473">
        <f>VLOOKUP(B173,正厂竞争者数据汇总!$D$2:$CL$243,25,FALSE)</f>
        <v>23963</v>
      </c>
      <c r="T173" s="466"/>
      <c r="U173" s="466"/>
      <c r="V173" s="421"/>
      <c r="W173" s="421"/>
    </row>
    <row r="174" s="408" customFormat="1" hidden="1" spans="1:23">
      <c r="A174" s="428"/>
      <c r="B174" s="438"/>
      <c r="C174" s="429"/>
      <c r="D174" s="421"/>
      <c r="E174" s="430"/>
      <c r="F174" s="430"/>
      <c r="G174" s="430">
        <v>131075.583333333</v>
      </c>
      <c r="H174" s="430"/>
      <c r="I174" s="453"/>
      <c r="J174" s="451"/>
      <c r="K174" s="451"/>
      <c r="L174" s="451"/>
      <c r="M174" s="451"/>
      <c r="N174" s="459"/>
      <c r="O174" s="430"/>
      <c r="P174" s="531"/>
      <c r="Q174" s="429"/>
      <c r="R174" s="421"/>
      <c r="S174" s="473"/>
      <c r="T174" s="466"/>
      <c r="U174" s="466"/>
      <c r="V174" s="421"/>
      <c r="W174" s="421"/>
    </row>
    <row r="175" s="408" customFormat="1" hidden="1" spans="1:23">
      <c r="A175" s="428"/>
      <c r="B175" s="421"/>
      <c r="C175" s="439"/>
      <c r="D175" s="421"/>
      <c r="E175" s="421"/>
      <c r="F175" s="496" t="e">
        <v>#N/A</v>
      </c>
      <c r="G175" s="496"/>
      <c r="H175" s="496">
        <v>117816.916666667</v>
      </c>
      <c r="I175" s="453" t="e">
        <f t="shared" si="0"/>
        <v>#N/A</v>
      </c>
      <c r="J175" s="430"/>
      <c r="K175" s="430"/>
      <c r="L175" s="430"/>
      <c r="M175" s="451"/>
      <c r="N175" s="459"/>
      <c r="O175" s="430"/>
      <c r="P175" s="531"/>
      <c r="Q175" s="429"/>
      <c r="R175" s="421"/>
      <c r="S175" s="473"/>
      <c r="T175" s="466"/>
      <c r="U175" s="466"/>
      <c r="V175" s="421"/>
      <c r="W175" s="421"/>
    </row>
    <row r="176" s="408" customFormat="1" spans="1:23">
      <c r="A176" s="428"/>
      <c r="B176" s="438"/>
      <c r="C176" s="439"/>
      <c r="D176" s="421"/>
      <c r="E176" s="430"/>
      <c r="F176" s="430"/>
      <c r="G176" s="430"/>
      <c r="H176" s="430"/>
      <c r="I176" s="453"/>
      <c r="J176" s="430"/>
      <c r="K176" s="430"/>
      <c r="L176" s="430"/>
      <c r="M176" s="451"/>
      <c r="N176" s="459"/>
      <c r="O176" s="430"/>
      <c r="P176" s="531"/>
      <c r="Q176" s="429"/>
      <c r="R176" s="421"/>
      <c r="S176" s="473"/>
      <c r="T176" s="466"/>
      <c r="U176" s="466"/>
      <c r="V176" s="421"/>
      <c r="W176" s="421"/>
    </row>
    <row r="177" s="408" customFormat="1" ht="17.4" spans="1:23">
      <c r="A177" s="418" t="s">
        <v>189</v>
      </c>
      <c r="B177" s="419"/>
      <c r="C177" s="420"/>
      <c r="D177" s="421"/>
      <c r="E177" s="422" t="s">
        <v>202</v>
      </c>
      <c r="F177" s="422"/>
      <c r="G177" s="422" t="s">
        <v>213</v>
      </c>
      <c r="H177" s="422"/>
      <c r="I177" s="422"/>
      <c r="J177" s="422"/>
      <c r="K177" s="422"/>
      <c r="L177" s="422"/>
      <c r="M177" s="443"/>
      <c r="N177" s="422"/>
      <c r="O177" s="422"/>
      <c r="P177" s="531"/>
      <c r="Q177" s="465"/>
      <c r="R177" s="424"/>
      <c r="S177" s="473"/>
      <c r="T177" s="467"/>
      <c r="U177" s="467"/>
      <c r="V177" s="467"/>
      <c r="W177" s="467"/>
    </row>
    <row r="178" s="409" customFormat="1" ht="46.8" hidden="1" spans="1:23">
      <c r="A178" s="423" t="s">
        <v>206</v>
      </c>
      <c r="B178" s="424" t="s">
        <v>207</v>
      </c>
      <c r="C178" s="425" t="s">
        <v>447</v>
      </c>
      <c r="D178" s="424" t="s">
        <v>209</v>
      </c>
      <c r="E178" s="426" t="s">
        <v>210</v>
      </c>
      <c r="F178" s="427" t="s">
        <v>478</v>
      </c>
      <c r="G178" s="427">
        <v>530347.5</v>
      </c>
      <c r="H178" s="427" t="s">
        <v>396</v>
      </c>
      <c r="I178" s="427" t="s">
        <v>386</v>
      </c>
      <c r="J178" s="446" t="s">
        <v>444</v>
      </c>
      <c r="K178" s="446" t="s">
        <v>449</v>
      </c>
      <c r="L178" s="446" t="s">
        <v>479</v>
      </c>
      <c r="M178" s="447" t="s">
        <v>436</v>
      </c>
      <c r="N178" s="448" t="s">
        <v>219</v>
      </c>
      <c r="O178" s="449" t="s">
        <v>220</v>
      </c>
      <c r="P178" s="535" t="s">
        <v>0</v>
      </c>
      <c r="Q178" s="469" t="s">
        <v>222</v>
      </c>
      <c r="R178" s="426" t="s">
        <v>223</v>
      </c>
      <c r="S178" s="470" t="s">
        <v>224</v>
      </c>
      <c r="T178" s="467" t="s">
        <v>225</v>
      </c>
      <c r="U178" s="470" t="s">
        <v>226</v>
      </c>
      <c r="V178" s="467"/>
      <c r="W178" s="467"/>
    </row>
    <row r="179" s="408" customFormat="1" hidden="1" spans="1:23">
      <c r="A179" s="428" t="s">
        <v>325</v>
      </c>
      <c r="B179" s="421" t="s">
        <v>466</v>
      </c>
      <c r="C179" s="429" t="s">
        <v>467</v>
      </c>
      <c r="D179" s="421" t="s">
        <v>234</v>
      </c>
      <c r="E179" s="430">
        <f>VLOOKUP(B179,正厂竞争者数据汇总!D:H,4,FALSE)</f>
        <v>0</v>
      </c>
      <c r="F179" s="430">
        <v>534331.083333333</v>
      </c>
      <c r="G179" s="430">
        <v>164695.833333333</v>
      </c>
      <c r="H179" s="430">
        <v>572372.833333333</v>
      </c>
      <c r="I179" s="453">
        <f t="shared" ref="I179:I182" si="1">(F179/G179)-1</f>
        <v>2.24435094998356</v>
      </c>
      <c r="J179" s="451">
        <v>0.733150334641316</v>
      </c>
      <c r="K179" s="451">
        <v>0.683107199248249</v>
      </c>
      <c r="L179" s="451">
        <v>0.637494137522268</v>
      </c>
      <c r="M179" s="451"/>
      <c r="N179" s="459"/>
      <c r="O179" s="430"/>
      <c r="P179" s="536" t="str">
        <f>VLOOKUP(B179,正厂竞争者数据汇总!D:M,6,FALSE)</f>
        <v>官网</v>
      </c>
      <c r="Q179" s="429" t="s">
        <v>180</v>
      </c>
      <c r="R179" s="421" t="s">
        <v>180</v>
      </c>
      <c r="S179" s="473">
        <f>VLOOKUP(B179,正厂竞争者数据汇总!$D$2:$CL$243,25,FALSE)</f>
        <v>387977</v>
      </c>
      <c r="T179" s="466"/>
      <c r="U179" s="466"/>
      <c r="V179" s="421"/>
      <c r="W179" s="421"/>
    </row>
    <row r="180" s="408" customFormat="1" hidden="1" spans="1:23">
      <c r="A180" s="428" t="s">
        <v>230</v>
      </c>
      <c r="B180" s="431" t="s">
        <v>354</v>
      </c>
      <c r="C180" s="429" t="s">
        <v>233</v>
      </c>
      <c r="D180" s="421" t="s">
        <v>411</v>
      </c>
      <c r="E180" s="430">
        <f>VLOOKUP(B180,正厂竞争者数据汇总!D:H,4,FALSE)</f>
        <v>0</v>
      </c>
      <c r="F180" s="430">
        <v>127278.833333333</v>
      </c>
      <c r="G180" s="430">
        <v>23846.5</v>
      </c>
      <c r="H180" s="430">
        <v>201650.166666667</v>
      </c>
      <c r="I180" s="453">
        <f t="shared" si="1"/>
        <v>4.33742198365936</v>
      </c>
      <c r="J180" s="451">
        <v>0.174638014073527</v>
      </c>
      <c r="K180" s="451">
        <v>0.208626348770079</v>
      </c>
      <c r="L180" s="451">
        <v>0.240499962093474</v>
      </c>
      <c r="M180" s="451">
        <f t="shared" ref="M180:M182" si="2">J180-K181</f>
        <v>0.0990181466726575</v>
      </c>
      <c r="N180" s="459"/>
      <c r="O180" s="430"/>
      <c r="P180" s="531">
        <f>VLOOKUP(B180,正厂竞争者数据汇总!D:M,6,FALSE)</f>
        <v>0</v>
      </c>
      <c r="Q180" s="429" t="s">
        <v>180</v>
      </c>
      <c r="R180" s="421" t="s">
        <v>180</v>
      </c>
      <c r="S180" s="473">
        <f>VLOOKUP(B180,正厂竞争者数据汇总!$D$2:$CL$243,25,FALSE)</f>
        <v>734766</v>
      </c>
      <c r="T180" s="466"/>
      <c r="U180" s="466"/>
      <c r="V180" s="421"/>
      <c r="W180" s="421"/>
    </row>
    <row r="181" s="408" customFormat="1" hidden="1" spans="1:23">
      <c r="A181" s="428" t="s">
        <v>243</v>
      </c>
      <c r="B181" s="421" t="s">
        <v>355</v>
      </c>
      <c r="C181" s="429" t="s">
        <v>454</v>
      </c>
      <c r="D181" s="421" t="s">
        <v>420</v>
      </c>
      <c r="E181" s="430">
        <f>VLOOKUP(B181,正厂竞争者数据汇总!D:H,4,FALSE)</f>
        <v>0</v>
      </c>
      <c r="F181" s="430">
        <v>41837</v>
      </c>
      <c r="G181" s="430">
        <v>30859.5833333333</v>
      </c>
      <c r="H181" s="430">
        <v>27170.3333333334</v>
      </c>
      <c r="I181" s="453">
        <f t="shared" si="1"/>
        <v>0.355721480361316</v>
      </c>
      <c r="J181" s="451">
        <v>0.057404129213374</v>
      </c>
      <c r="K181" s="451">
        <v>0.0756198674008695</v>
      </c>
      <c r="L181" s="451">
        <v>0.0835593423945499</v>
      </c>
      <c r="M181" s="451">
        <f t="shared" si="2"/>
        <v>0.0247575446325715</v>
      </c>
      <c r="N181" s="459"/>
      <c r="O181" s="430"/>
      <c r="P181" s="531">
        <f>VLOOKUP(B181,正厂竞争者数据汇总!D:M,6,FALSE)</f>
        <v>0</v>
      </c>
      <c r="Q181" s="429" t="s">
        <v>180</v>
      </c>
      <c r="R181" s="421" t="s">
        <v>180</v>
      </c>
      <c r="S181" s="473">
        <f>VLOOKUP(B181,正厂竞争者数据汇总!$D$2:$CL$243,25,FALSE)</f>
        <v>33968</v>
      </c>
      <c r="T181" s="466"/>
      <c r="U181" s="466"/>
      <c r="V181" s="421"/>
      <c r="W181" s="421"/>
    </row>
    <row r="182" s="408" customFormat="1" hidden="1" spans="1:23">
      <c r="A182" s="428" t="s">
        <v>230</v>
      </c>
      <c r="B182" s="421" t="s">
        <v>356</v>
      </c>
      <c r="C182" s="429" t="s">
        <v>233</v>
      </c>
      <c r="D182" s="421" t="s">
        <v>414</v>
      </c>
      <c r="E182" s="430">
        <f>VLOOKUP(B181,正厂竞争者数据汇总!D:H,4,FALSE)</f>
        <v>0</v>
      </c>
      <c r="F182" s="430">
        <v>25368.25</v>
      </c>
      <c r="G182" s="430">
        <v>127</v>
      </c>
      <c r="H182" s="430">
        <v>27910.6666666667</v>
      </c>
      <c r="I182" s="453">
        <f t="shared" si="1"/>
        <v>198.75</v>
      </c>
      <c r="J182" s="451">
        <v>0.0348075220717827</v>
      </c>
      <c r="K182" s="451">
        <v>0.0326465845808025</v>
      </c>
      <c r="L182" s="451">
        <v>0.0384465579897073</v>
      </c>
      <c r="M182" s="451">
        <f t="shared" si="2"/>
        <v>0.0348075220717827</v>
      </c>
      <c r="N182" s="459"/>
      <c r="O182" s="430"/>
      <c r="P182" s="531">
        <f>VLOOKUP(B182,正厂竞争者数据汇总!D:M,6,FALSE)</f>
        <v>0</v>
      </c>
      <c r="Q182" s="429" t="s">
        <v>180</v>
      </c>
      <c r="R182" s="421" t="s">
        <v>180</v>
      </c>
      <c r="S182" s="473">
        <f>VLOOKUP(B182,正厂竞争者数据汇总!$D$2:$CL$243,25,FALSE)</f>
        <v>19078</v>
      </c>
      <c r="T182" s="466"/>
      <c r="U182" s="466"/>
      <c r="V182" s="421"/>
      <c r="W182" s="421"/>
    </row>
    <row r="183" s="408" customFormat="1" hidden="1" spans="1:23">
      <c r="A183" s="428" t="s">
        <v>468</v>
      </c>
      <c r="B183" s="431" t="s">
        <v>469</v>
      </c>
      <c r="C183" s="429" t="s">
        <v>233</v>
      </c>
      <c r="D183" s="421" t="s">
        <v>49</v>
      </c>
      <c r="E183" s="430" t="e">
        <f>VLOOKUP(B183,正厂竞争者数据汇总!D:H,4,FALSE)</f>
        <v>#N/A</v>
      </c>
      <c r="F183" s="430">
        <v>0</v>
      </c>
      <c r="G183" s="430"/>
      <c r="H183" s="430">
        <v>89.5833333333335</v>
      </c>
      <c r="I183" s="453"/>
      <c r="J183" s="451">
        <v>0</v>
      </c>
      <c r="K183" s="451">
        <v>0</v>
      </c>
      <c r="L183" s="451">
        <v>0</v>
      </c>
      <c r="M183" s="451"/>
      <c r="N183" s="459"/>
      <c r="O183" s="430"/>
      <c r="P183" s="531" t="e">
        <f>VLOOKUP(B183,正厂竞争者数据汇总!D:M,6,FALSE)</f>
        <v>#N/A</v>
      </c>
      <c r="Q183" s="429" t="s">
        <v>180</v>
      </c>
      <c r="R183" s="421" t="s">
        <v>180</v>
      </c>
      <c r="S183" s="473" t="e">
        <f>VLOOKUP(B183,正厂竞争者数据汇总!$D$2:$CL$243,25,FALSE)</f>
        <v>#N/A</v>
      </c>
      <c r="T183" s="466"/>
      <c r="U183" s="466"/>
      <c r="V183" s="421"/>
      <c r="W183" s="421"/>
    </row>
    <row r="184" s="410" customFormat="1" hidden="1" spans="1:23">
      <c r="A184" s="432"/>
      <c r="B184" s="433"/>
      <c r="C184" s="434"/>
      <c r="D184" s="421"/>
      <c r="E184" s="436"/>
      <c r="F184" s="436"/>
      <c r="G184" s="436">
        <v>749876.416666666</v>
      </c>
      <c r="H184" s="436"/>
      <c r="I184" s="453"/>
      <c r="J184" s="457"/>
      <c r="K184" s="457"/>
      <c r="L184" s="457"/>
      <c r="M184" s="451"/>
      <c r="N184" s="455"/>
      <c r="O184" s="436"/>
      <c r="P184" s="531"/>
      <c r="Q184" s="434"/>
      <c r="R184" s="435"/>
      <c r="S184" s="473"/>
      <c r="T184" s="466"/>
      <c r="U184" s="466"/>
      <c r="V184" s="435"/>
      <c r="W184" s="435"/>
    </row>
    <row r="185" s="408" customFormat="1" hidden="1" spans="1:23">
      <c r="A185" s="428"/>
      <c r="B185" s="421"/>
      <c r="C185" s="439"/>
      <c r="D185" s="421"/>
      <c r="E185" s="430"/>
      <c r="F185" s="430">
        <v>728815.166666666</v>
      </c>
      <c r="G185" s="430"/>
      <c r="H185" s="430">
        <v>829193.583333334</v>
      </c>
      <c r="I185" s="453" t="e">
        <f t="shared" ref="I185:I191" si="3">(F185/G185)-1</f>
        <v>#DIV/0!</v>
      </c>
      <c r="J185" s="430"/>
      <c r="K185" s="430"/>
      <c r="L185" s="430"/>
      <c r="M185" s="451"/>
      <c r="N185" s="459"/>
      <c r="O185" s="430"/>
      <c r="P185" s="531"/>
      <c r="Q185" s="429"/>
      <c r="R185" s="421"/>
      <c r="S185" s="473"/>
      <c r="T185" s="466"/>
      <c r="U185" s="466"/>
      <c r="V185" s="421"/>
      <c r="W185" s="421"/>
    </row>
    <row r="186" s="408" customFormat="1" spans="1:23">
      <c r="A186" s="428"/>
      <c r="B186" s="421"/>
      <c r="C186" s="439"/>
      <c r="D186" s="421"/>
      <c r="E186" s="430"/>
      <c r="F186" s="430"/>
      <c r="G186" s="430"/>
      <c r="H186" s="430"/>
      <c r="I186" s="453"/>
      <c r="J186" s="430"/>
      <c r="K186" s="430"/>
      <c r="L186" s="430"/>
      <c r="M186" s="451"/>
      <c r="N186" s="459"/>
      <c r="O186" s="430"/>
      <c r="P186" s="531"/>
      <c r="Q186" s="429"/>
      <c r="R186" s="421"/>
      <c r="S186" s="473"/>
      <c r="T186" s="466"/>
      <c r="U186" s="466"/>
      <c r="V186" s="421"/>
      <c r="W186" s="421"/>
    </row>
    <row r="187" s="408" customFormat="1" ht="17.4" spans="1:23">
      <c r="A187" s="418" t="s">
        <v>185</v>
      </c>
      <c r="B187" s="419"/>
      <c r="C187" s="420"/>
      <c r="D187" s="421"/>
      <c r="E187" s="422" t="s">
        <v>202</v>
      </c>
      <c r="F187" s="422"/>
      <c r="G187" s="422" t="s">
        <v>213</v>
      </c>
      <c r="H187" s="422"/>
      <c r="I187" s="422"/>
      <c r="J187" s="422"/>
      <c r="K187" s="422"/>
      <c r="L187" s="422"/>
      <c r="M187" s="443"/>
      <c r="N187" s="444"/>
      <c r="O187" s="422"/>
      <c r="P187" s="531"/>
      <c r="Q187" s="465"/>
      <c r="R187" s="424"/>
      <c r="S187" s="473"/>
      <c r="T187" s="467"/>
      <c r="U187" s="467"/>
      <c r="V187" s="467"/>
      <c r="W187" s="467"/>
    </row>
    <row r="188" s="409" customFormat="1" ht="46.8" hidden="1" spans="1:23">
      <c r="A188" s="423" t="s">
        <v>206</v>
      </c>
      <c r="B188" s="424" t="s">
        <v>207</v>
      </c>
      <c r="C188" s="425" t="s">
        <v>447</v>
      </c>
      <c r="D188" s="424" t="s">
        <v>209</v>
      </c>
      <c r="E188" s="426" t="s">
        <v>210</v>
      </c>
      <c r="F188" s="427" t="s">
        <v>478</v>
      </c>
      <c r="G188" s="427">
        <v>83649.6666666667</v>
      </c>
      <c r="H188" s="427" t="s">
        <v>396</v>
      </c>
      <c r="I188" s="427" t="s">
        <v>386</v>
      </c>
      <c r="J188" s="446" t="s">
        <v>444</v>
      </c>
      <c r="K188" s="446" t="s">
        <v>449</v>
      </c>
      <c r="L188" s="446" t="s">
        <v>479</v>
      </c>
      <c r="M188" s="447" t="s">
        <v>436</v>
      </c>
      <c r="N188" s="448" t="s">
        <v>219</v>
      </c>
      <c r="O188" s="449" t="s">
        <v>220</v>
      </c>
      <c r="P188" s="535" t="s">
        <v>0</v>
      </c>
      <c r="Q188" s="469" t="s">
        <v>222</v>
      </c>
      <c r="R188" s="426" t="s">
        <v>223</v>
      </c>
      <c r="S188" s="470" t="s">
        <v>224</v>
      </c>
      <c r="T188" s="467" t="s">
        <v>225</v>
      </c>
      <c r="U188" s="470" t="s">
        <v>226</v>
      </c>
      <c r="V188" s="467"/>
      <c r="W188" s="467"/>
    </row>
    <row r="189" s="408" customFormat="1" hidden="1" spans="1:23">
      <c r="A189" s="497" t="s">
        <v>243</v>
      </c>
      <c r="B189" s="438" t="s">
        <v>331</v>
      </c>
      <c r="C189" s="429" t="s">
        <v>441</v>
      </c>
      <c r="D189" s="421" t="s">
        <v>420</v>
      </c>
      <c r="E189" s="430" t="str">
        <f>VLOOKUP(B188,正厂竞争者数据汇总!D:H,4,FALSE)</f>
        <v>Alexa Traffic Rank</v>
      </c>
      <c r="F189" s="430">
        <v>93851.97</v>
      </c>
      <c r="G189" s="430">
        <v>148204.583333333</v>
      </c>
      <c r="H189" s="430">
        <v>93790.0833333333</v>
      </c>
      <c r="I189" s="453">
        <f t="shared" si="3"/>
        <v>-0.366740434815611</v>
      </c>
      <c r="J189" s="451">
        <v>0.227844633953935</v>
      </c>
      <c r="K189" s="451">
        <v>0.21593236544335</v>
      </c>
      <c r="L189" s="451">
        <v>0.216348183659306</v>
      </c>
      <c r="M189" s="451">
        <f t="shared" ref="M189:M191" si="4">J189-K190</f>
        <v>-0.187566398734313</v>
      </c>
      <c r="N189" s="459"/>
      <c r="O189" s="430"/>
      <c r="P189" s="531">
        <f>VLOOKUP(B189,正厂竞争者数据汇总!D:M,6,FALSE)</f>
        <v>0</v>
      </c>
      <c r="Q189" s="429" t="s">
        <v>180</v>
      </c>
      <c r="R189" s="421" t="s">
        <v>180</v>
      </c>
      <c r="S189" s="473">
        <f>VLOOKUP(B189,正厂竞争者数据汇总!$D$2:$CL$243,25,FALSE)</f>
        <v>67302</v>
      </c>
      <c r="T189" s="466"/>
      <c r="U189" s="466"/>
      <c r="V189" s="421"/>
      <c r="W189" s="421"/>
    </row>
    <row r="190" s="408" customFormat="1" hidden="1" spans="1:23">
      <c r="A190" s="428" t="s">
        <v>230</v>
      </c>
      <c r="B190" s="431" t="s">
        <v>330</v>
      </c>
      <c r="C190" s="429" t="s">
        <v>233</v>
      </c>
      <c r="D190" s="421" t="s">
        <v>59</v>
      </c>
      <c r="E190" s="430">
        <f>VLOOKUP(B190,正厂竞争者数据汇总!D:H,4,FALSE)</f>
        <v>0</v>
      </c>
      <c r="F190" s="430">
        <v>163988.166666667</v>
      </c>
      <c r="G190" s="430">
        <v>32696.5833333333</v>
      </c>
      <c r="H190" s="430">
        <v>153405.25</v>
      </c>
      <c r="I190" s="453">
        <f t="shared" si="3"/>
        <v>4.01545268491358</v>
      </c>
      <c r="J190" s="451">
        <v>0.398114432834427</v>
      </c>
      <c r="K190" s="451">
        <v>0.415411032688248</v>
      </c>
      <c r="L190" s="451">
        <v>0.430310991302898</v>
      </c>
      <c r="M190" s="451">
        <f t="shared" si="4"/>
        <v>0.349431681107362</v>
      </c>
      <c r="N190" s="459"/>
      <c r="O190" s="430"/>
      <c r="P190" s="531">
        <f>VLOOKUP(B190,正厂竞争者数据汇总!D:M,6,FALSE)</f>
        <v>0</v>
      </c>
      <c r="Q190" s="429" t="s">
        <v>180</v>
      </c>
      <c r="R190" s="421" t="s">
        <v>180</v>
      </c>
      <c r="S190" s="473">
        <f>VLOOKUP(B190,正厂竞争者数据汇总!$D$2:$CL$243,25,FALSE)</f>
        <v>138509</v>
      </c>
      <c r="T190" s="466"/>
      <c r="U190" s="466"/>
      <c r="V190" s="421"/>
      <c r="W190" s="421"/>
    </row>
    <row r="191" s="408" customFormat="1" hidden="1" spans="1:23">
      <c r="A191" s="428"/>
      <c r="B191" s="430" t="s">
        <v>340</v>
      </c>
      <c r="C191" s="429" t="s">
        <v>233</v>
      </c>
      <c r="D191" s="421" t="s">
        <v>417</v>
      </c>
      <c r="E191" s="430">
        <f>VLOOKUP(B191,正厂竞争者数据汇总!D:H,4,FALSE)</f>
        <v>0</v>
      </c>
      <c r="F191" s="430">
        <v>18168.4166666666</v>
      </c>
      <c r="G191" s="430">
        <v>46040.75</v>
      </c>
      <c r="H191" s="430">
        <v>64506.0833333334</v>
      </c>
      <c r="I191" s="453">
        <f t="shared" si="3"/>
        <v>-0.605383998595449</v>
      </c>
      <c r="J191" s="451">
        <v>0.0441075050948768</v>
      </c>
      <c r="K191" s="451">
        <v>0.0486827517270649</v>
      </c>
      <c r="L191" s="451">
        <v>0.0409331249105314</v>
      </c>
      <c r="M191" s="451">
        <f t="shared" si="4"/>
        <v>0.0441075050948768</v>
      </c>
      <c r="N191" s="459"/>
      <c r="O191" s="430"/>
      <c r="P191" s="531">
        <f>VLOOKUP(B191,正厂竞争者数据汇总!D:M,6,FALSE)</f>
        <v>0</v>
      </c>
      <c r="Q191" s="429" t="s">
        <v>180</v>
      </c>
      <c r="R191" s="421" t="s">
        <v>180</v>
      </c>
      <c r="S191" s="473">
        <f>VLOOKUP(B191,正厂竞争者数据汇总!$D$2:$CL$243,25,FALSE)</f>
        <v>10925</v>
      </c>
      <c r="T191" s="466"/>
      <c r="U191" s="466"/>
      <c r="V191" s="421"/>
      <c r="W191" s="421"/>
    </row>
    <row r="192" s="408" customFormat="1" hidden="1" spans="1:23">
      <c r="A192" s="428"/>
      <c r="B192" s="498" t="s">
        <v>337</v>
      </c>
      <c r="C192" s="429" t="s">
        <v>470</v>
      </c>
      <c r="D192" s="421" t="s">
        <v>412</v>
      </c>
      <c r="E192" s="430">
        <f>VLOOKUP(B192,正厂竞争者数据汇总!D:H,4,FALSE)</f>
        <v>0</v>
      </c>
      <c r="F192" s="430">
        <v>59753.6666666666</v>
      </c>
      <c r="G192" s="430">
        <v>106936.916666667</v>
      </c>
      <c r="H192" s="430">
        <v>49980.9166666666</v>
      </c>
      <c r="I192" s="453"/>
      <c r="J192" s="451"/>
      <c r="K192" s="451"/>
      <c r="L192" s="451"/>
      <c r="M192" s="451"/>
      <c r="N192" s="459"/>
      <c r="O192" s="430"/>
      <c r="P192" s="536" t="str">
        <f>VLOOKUP(B192,正厂竞争者数据汇总!D:M,6,FALSE)</f>
        <v>主营Acc</v>
      </c>
      <c r="Q192" s="429" t="s">
        <v>180</v>
      </c>
      <c r="R192" s="421" t="s">
        <v>180</v>
      </c>
      <c r="S192" s="473">
        <f>VLOOKUP(B192,正厂竞争者数据汇总!$D$2:$CL$243,25,FALSE)</f>
        <v>41304</v>
      </c>
      <c r="T192" s="466"/>
      <c r="U192" s="466"/>
      <c r="V192" s="421"/>
      <c r="W192" s="421"/>
    </row>
    <row r="193" s="408" customFormat="1" hidden="1" spans="1:23">
      <c r="A193" s="428" t="s">
        <v>446</v>
      </c>
      <c r="B193" s="499" t="s">
        <v>334</v>
      </c>
      <c r="C193" s="429" t="s">
        <v>233</v>
      </c>
      <c r="D193" s="421" t="s">
        <v>50</v>
      </c>
      <c r="E193" s="430">
        <f>VLOOKUP(B193,正厂竞争者数据汇总!D:H,4,FALSE)</f>
        <v>0</v>
      </c>
      <c r="F193" s="430">
        <v>76149.9166666667</v>
      </c>
      <c r="G193" s="430"/>
      <c r="H193" s="430">
        <v>122970.25</v>
      </c>
      <c r="I193" s="453" t="e">
        <f>(F193/G193)-1</f>
        <v>#DIV/0!</v>
      </c>
      <c r="J193" s="451">
        <v>0.184869320148947</v>
      </c>
      <c r="K193" s="451">
        <v>0.18263605000282</v>
      </c>
      <c r="L193" s="451">
        <v>0.182868811416222</v>
      </c>
      <c r="M193" s="451">
        <f>J193-K194</f>
        <v>0.184869320148947</v>
      </c>
      <c r="N193" s="459"/>
      <c r="O193" s="430"/>
      <c r="P193" s="531">
        <f>VLOOKUP(B193,正厂竞争者数据汇总!D:M,6,FALSE)</f>
        <v>0</v>
      </c>
      <c r="Q193" s="429" t="s">
        <v>180</v>
      </c>
      <c r="R193" s="421" t="s">
        <v>180</v>
      </c>
      <c r="S193" s="473">
        <f>VLOOKUP(B193,正厂竞争者数据汇总!$D$2:$CL$243,25,FALSE)</f>
        <v>121043</v>
      </c>
      <c r="T193" s="466"/>
      <c r="U193" s="466"/>
      <c r="V193" s="421"/>
      <c r="W193" s="421"/>
    </row>
    <row r="194" s="410" customFormat="1" hidden="1" spans="1:23">
      <c r="A194" s="432"/>
      <c r="B194" s="433"/>
      <c r="C194" s="434"/>
      <c r="D194" s="421"/>
      <c r="E194" s="436"/>
      <c r="F194" s="436"/>
      <c r="G194" s="436">
        <v>417528.5</v>
      </c>
      <c r="H194" s="436"/>
      <c r="I194" s="453"/>
      <c r="J194" s="457"/>
      <c r="K194" s="457"/>
      <c r="L194" s="457"/>
      <c r="M194" s="451"/>
      <c r="N194" s="455"/>
      <c r="O194" s="436"/>
      <c r="P194" s="531"/>
      <c r="Q194" s="500"/>
      <c r="R194" s="501"/>
      <c r="S194" s="473"/>
      <c r="T194" s="466"/>
      <c r="U194" s="466"/>
      <c r="V194" s="435"/>
      <c r="W194" s="435"/>
    </row>
    <row r="195" s="408" customFormat="1" hidden="1" spans="1:23">
      <c r="A195" s="428"/>
      <c r="B195" s="421"/>
      <c r="C195" s="439"/>
      <c r="D195" s="421"/>
      <c r="E195" s="430"/>
      <c r="F195" s="430">
        <v>411912.136666667</v>
      </c>
      <c r="G195" s="430"/>
      <c r="H195" s="430">
        <v>484652.583333333</v>
      </c>
      <c r="I195" s="453" t="e">
        <f>(F195/G195)-1</f>
        <v>#DIV/0!</v>
      </c>
      <c r="J195" s="430"/>
      <c r="K195" s="430"/>
      <c r="L195" s="430"/>
      <c r="M195" s="451"/>
      <c r="N195" s="459"/>
      <c r="O195" s="430"/>
      <c r="P195" s="531"/>
      <c r="Q195" s="429"/>
      <c r="R195" s="421"/>
      <c r="S195" s="473"/>
      <c r="T195" s="466"/>
      <c r="U195" s="466"/>
      <c r="V195" s="421"/>
      <c r="W195" s="421"/>
    </row>
    <row r="196" s="408" customFormat="1" spans="1:23">
      <c r="A196" s="423"/>
      <c r="B196" s="421"/>
      <c r="C196" s="425"/>
      <c r="D196" s="421"/>
      <c r="E196" s="430"/>
      <c r="F196" s="430"/>
      <c r="G196" s="430"/>
      <c r="H196" s="430"/>
      <c r="I196" s="453"/>
      <c r="J196" s="430"/>
      <c r="K196" s="430"/>
      <c r="L196" s="430"/>
      <c r="M196" s="451"/>
      <c r="N196" s="459"/>
      <c r="O196" s="430"/>
      <c r="P196" s="531"/>
      <c r="Q196" s="429"/>
      <c r="R196" s="421"/>
      <c r="S196" s="473"/>
      <c r="T196" s="466"/>
      <c r="U196" s="466"/>
      <c r="V196" s="421"/>
      <c r="W196" s="421"/>
    </row>
    <row r="197" s="408" customFormat="1" ht="17.4" spans="1:23">
      <c r="A197" s="418" t="s">
        <v>195</v>
      </c>
      <c r="B197" s="419"/>
      <c r="C197" s="420"/>
      <c r="D197" s="421"/>
      <c r="E197" s="422" t="s">
        <v>202</v>
      </c>
      <c r="F197" s="422"/>
      <c r="G197" s="422" t="s">
        <v>213</v>
      </c>
      <c r="H197" s="422"/>
      <c r="I197" s="422"/>
      <c r="J197" s="422"/>
      <c r="K197" s="422"/>
      <c r="L197" s="422"/>
      <c r="M197" s="443"/>
      <c r="N197" s="444"/>
      <c r="O197" s="422"/>
      <c r="P197" s="531"/>
      <c r="Q197" s="465"/>
      <c r="R197" s="424"/>
      <c r="S197" s="473"/>
      <c r="T197" s="467"/>
      <c r="U197" s="467"/>
      <c r="V197" s="467"/>
      <c r="W197" s="467"/>
    </row>
    <row r="198" s="409" customFormat="1" ht="46.8" hidden="1" spans="1:23">
      <c r="A198" s="423" t="s">
        <v>206</v>
      </c>
      <c r="B198" s="424" t="s">
        <v>207</v>
      </c>
      <c r="C198" s="425" t="s">
        <v>447</v>
      </c>
      <c r="D198" s="424" t="s">
        <v>209</v>
      </c>
      <c r="E198" s="426" t="s">
        <v>210</v>
      </c>
      <c r="F198" s="427" t="s">
        <v>478</v>
      </c>
      <c r="G198" s="427">
        <v>83178</v>
      </c>
      <c r="H198" s="427" t="s">
        <v>396</v>
      </c>
      <c r="I198" s="427" t="s">
        <v>386</v>
      </c>
      <c r="J198" s="446" t="s">
        <v>444</v>
      </c>
      <c r="K198" s="446" t="s">
        <v>449</v>
      </c>
      <c r="L198" s="446" t="s">
        <v>479</v>
      </c>
      <c r="M198" s="447" t="s">
        <v>436</v>
      </c>
      <c r="N198" s="448" t="s">
        <v>219</v>
      </c>
      <c r="O198" s="449" t="s">
        <v>220</v>
      </c>
      <c r="P198" s="535" t="s">
        <v>0</v>
      </c>
      <c r="Q198" s="469" t="s">
        <v>222</v>
      </c>
      <c r="R198" s="426" t="s">
        <v>223</v>
      </c>
      <c r="S198" s="470" t="s">
        <v>224</v>
      </c>
      <c r="T198" s="467" t="s">
        <v>225</v>
      </c>
      <c r="U198" s="470" t="s">
        <v>226</v>
      </c>
      <c r="V198" s="467"/>
      <c r="W198" s="467"/>
    </row>
    <row r="199" s="408" customFormat="1" hidden="1" spans="1:23">
      <c r="A199" s="428" t="s">
        <v>230</v>
      </c>
      <c r="B199" s="421" t="s">
        <v>378</v>
      </c>
      <c r="C199" s="429" t="s">
        <v>233</v>
      </c>
      <c r="D199" s="421" t="s">
        <v>266</v>
      </c>
      <c r="E199" s="430" t="str">
        <f>VLOOKUP(B198,正厂竞争者数据汇总!D:H,4,FALSE)</f>
        <v>Alexa Traffic Rank</v>
      </c>
      <c r="F199" s="430">
        <v>124724.333333333</v>
      </c>
      <c r="G199" s="430">
        <v>0</v>
      </c>
      <c r="H199" s="430">
        <v>88546.8333333332</v>
      </c>
      <c r="I199" s="453" t="e">
        <f>(F199/G199)-1</f>
        <v>#DIV/0!</v>
      </c>
      <c r="J199" s="451" t="e">
        <v>#N/A</v>
      </c>
      <c r="K199" s="451" t="e">
        <v>#N/A</v>
      </c>
      <c r="L199" s="451" t="e">
        <v>#N/A</v>
      </c>
      <c r="M199" s="451" t="e">
        <f>J199-K200</f>
        <v>#N/A</v>
      </c>
      <c r="N199" s="459"/>
      <c r="O199" s="430"/>
      <c r="P199" s="531">
        <f>VLOOKUP(B199,正厂竞争者数据汇总!D:M,6,FALSE)</f>
        <v>0</v>
      </c>
      <c r="Q199" s="429" t="s">
        <v>180</v>
      </c>
      <c r="R199" s="421" t="s">
        <v>180</v>
      </c>
      <c r="S199" s="473">
        <f>VLOOKUP(B199,正厂竞争者数据汇总!$D$2:$CL$243,25,FALSE)</f>
        <v>83797</v>
      </c>
      <c r="T199" s="466"/>
      <c r="U199" s="466"/>
      <c r="V199" s="421"/>
      <c r="W199" s="421"/>
    </row>
    <row r="200" s="408" customFormat="1" hidden="1" spans="1:23">
      <c r="A200" s="428" t="s">
        <v>446</v>
      </c>
      <c r="B200" s="421" t="s">
        <v>471</v>
      </c>
      <c r="C200" s="429" t="e">
        <v>#N/A</v>
      </c>
      <c r="D200" s="421" t="e">
        <v>#N/A</v>
      </c>
      <c r="E200" s="430" t="e">
        <f>VLOOKUP(B200,正厂竞争者数据汇总!D:H,4,FALSE)</f>
        <v>#N/A</v>
      </c>
      <c r="F200" s="430" t="e">
        <v>#N/A</v>
      </c>
      <c r="G200" s="430">
        <v>0</v>
      </c>
      <c r="H200" s="430">
        <v>0</v>
      </c>
      <c r="I200" s="453"/>
      <c r="J200" s="451"/>
      <c r="K200" s="451"/>
      <c r="L200" s="451"/>
      <c r="M200" s="451"/>
      <c r="N200" s="459"/>
      <c r="O200" s="430"/>
      <c r="P200" s="531" t="e">
        <f>VLOOKUP(B200,正厂竞争者数据汇总!D:M,6,FALSE)</f>
        <v>#N/A</v>
      </c>
      <c r="Q200" s="429" t="s">
        <v>180</v>
      </c>
      <c r="R200" s="421" t="s">
        <v>180</v>
      </c>
      <c r="S200" s="473" t="e">
        <f>VLOOKUP(B200,正厂竞争者数据汇总!$D$2:$CL$243,25,FALSE)</f>
        <v>#N/A</v>
      </c>
      <c r="T200" s="466"/>
      <c r="U200" s="466"/>
      <c r="V200" s="421"/>
      <c r="W200" s="421"/>
    </row>
    <row r="201" s="408" customFormat="1" hidden="1" spans="1:23">
      <c r="A201" s="428" t="s">
        <v>446</v>
      </c>
      <c r="B201" s="421" t="s">
        <v>472</v>
      </c>
      <c r="C201" s="429" t="e">
        <v>#N/A</v>
      </c>
      <c r="D201" s="421" t="e">
        <v>#N/A</v>
      </c>
      <c r="E201" s="430" t="e">
        <f>VLOOKUP(B201,正厂竞争者数据汇总!D:H,4,FALSE)</f>
        <v>#N/A</v>
      </c>
      <c r="F201" s="430" t="e">
        <v>#N/A</v>
      </c>
      <c r="G201" s="430">
        <v>83178</v>
      </c>
      <c r="H201" s="430">
        <v>0</v>
      </c>
      <c r="I201" s="453"/>
      <c r="J201" s="451"/>
      <c r="K201" s="451"/>
      <c r="L201" s="451"/>
      <c r="M201" s="451"/>
      <c r="N201" s="459"/>
      <c r="O201" s="430"/>
      <c r="P201" s="531" t="e">
        <f>VLOOKUP(B201,正厂竞争者数据汇总!D:M,6,FALSE)</f>
        <v>#N/A</v>
      </c>
      <c r="Q201" s="429" t="s">
        <v>180</v>
      </c>
      <c r="R201" s="421" t="s">
        <v>180</v>
      </c>
      <c r="S201" s="473" t="e">
        <f>VLOOKUP(B201,正厂竞争者数据汇总!$D$2:$CL$243,25,FALSE)</f>
        <v>#N/A</v>
      </c>
      <c r="T201" s="466"/>
      <c r="U201" s="466"/>
      <c r="V201" s="421"/>
      <c r="W201" s="421"/>
    </row>
    <row r="202" s="408" customFormat="1" hidden="1" spans="1:23">
      <c r="A202" s="428"/>
      <c r="B202" s="421"/>
      <c r="C202" s="439"/>
      <c r="D202" s="421"/>
      <c r="E202" s="430"/>
      <c r="F202" s="430" t="e">
        <v>#N/A</v>
      </c>
      <c r="G202" s="430"/>
      <c r="H202" s="430">
        <v>88546.8333333332</v>
      </c>
      <c r="I202" s="453" t="e">
        <f t="shared" ref="I202:I209" si="5">(F202/G202)-1</f>
        <v>#N/A</v>
      </c>
      <c r="J202" s="430"/>
      <c r="K202" s="430"/>
      <c r="L202" s="430"/>
      <c r="M202" s="451"/>
      <c r="N202" s="459"/>
      <c r="O202" s="430"/>
      <c r="P202" s="531"/>
      <c r="Q202" s="429"/>
      <c r="R202" s="421"/>
      <c r="S202" s="473"/>
      <c r="T202" s="466"/>
      <c r="U202" s="466"/>
      <c r="V202" s="421"/>
      <c r="W202" s="421"/>
    </row>
    <row r="203" s="408" customFormat="1" spans="1:23">
      <c r="A203" s="423"/>
      <c r="B203" s="421"/>
      <c r="C203" s="425"/>
      <c r="D203" s="421"/>
      <c r="E203" s="430"/>
      <c r="F203" s="430"/>
      <c r="G203" s="430"/>
      <c r="H203" s="430"/>
      <c r="I203" s="453"/>
      <c r="J203" s="430"/>
      <c r="K203" s="430"/>
      <c r="L203" s="430"/>
      <c r="M203" s="451"/>
      <c r="N203" s="459"/>
      <c r="O203" s="430"/>
      <c r="P203" s="531"/>
      <c r="Q203" s="429"/>
      <c r="R203" s="421"/>
      <c r="S203" s="473"/>
      <c r="T203" s="466"/>
      <c r="U203" s="466"/>
      <c r="V203" s="421"/>
      <c r="W203" s="421"/>
    </row>
    <row r="204" s="408" customFormat="1" ht="17.4" spans="1:23">
      <c r="A204" s="418" t="s">
        <v>187</v>
      </c>
      <c r="B204" s="419"/>
      <c r="C204" s="420"/>
      <c r="D204" s="421"/>
      <c r="E204" s="422" t="s">
        <v>202</v>
      </c>
      <c r="F204" s="422"/>
      <c r="G204" s="422" t="s">
        <v>213</v>
      </c>
      <c r="H204" s="422"/>
      <c r="I204" s="422"/>
      <c r="J204" s="422"/>
      <c r="K204" s="422"/>
      <c r="L204" s="422"/>
      <c r="M204" s="443"/>
      <c r="N204" s="422"/>
      <c r="O204" s="422"/>
      <c r="P204" s="531"/>
      <c r="Q204" s="465"/>
      <c r="R204" s="424"/>
      <c r="S204" s="473"/>
      <c r="T204" s="467"/>
      <c r="U204" s="467"/>
      <c r="V204" s="467"/>
      <c r="W204" s="467"/>
    </row>
    <row r="205" s="409" customFormat="1" ht="46.8" hidden="1" spans="1:23">
      <c r="A205" s="423" t="s">
        <v>206</v>
      </c>
      <c r="B205" s="424" t="s">
        <v>207</v>
      </c>
      <c r="C205" s="425" t="s">
        <v>447</v>
      </c>
      <c r="D205" s="424" t="s">
        <v>209</v>
      </c>
      <c r="E205" s="426" t="s">
        <v>210</v>
      </c>
      <c r="F205" s="427" t="s">
        <v>478</v>
      </c>
      <c r="G205" s="427">
        <v>66202.5</v>
      </c>
      <c r="H205" s="427" t="s">
        <v>396</v>
      </c>
      <c r="I205" s="427" t="s">
        <v>386</v>
      </c>
      <c r="J205" s="446" t="s">
        <v>444</v>
      </c>
      <c r="K205" s="446" t="s">
        <v>449</v>
      </c>
      <c r="L205" s="446" t="s">
        <v>479</v>
      </c>
      <c r="M205" s="447" t="s">
        <v>436</v>
      </c>
      <c r="N205" s="448" t="s">
        <v>219</v>
      </c>
      <c r="O205" s="449" t="s">
        <v>220</v>
      </c>
      <c r="P205" s="535" t="s">
        <v>0</v>
      </c>
      <c r="Q205" s="469" t="s">
        <v>222</v>
      </c>
      <c r="R205" s="426" t="s">
        <v>223</v>
      </c>
      <c r="S205" s="470" t="s">
        <v>224</v>
      </c>
      <c r="T205" s="467" t="s">
        <v>225</v>
      </c>
      <c r="U205" s="470" t="s">
        <v>226</v>
      </c>
      <c r="V205" s="467"/>
      <c r="W205" s="467"/>
    </row>
    <row r="206" s="408" customFormat="1" hidden="1" spans="1:23">
      <c r="A206" s="428" t="s">
        <v>230</v>
      </c>
      <c r="B206" s="438" t="s">
        <v>341</v>
      </c>
      <c r="C206" s="429" t="s">
        <v>233</v>
      </c>
      <c r="D206" s="421" t="s">
        <v>422</v>
      </c>
      <c r="E206" s="430">
        <f>VLOOKUP(B206,正厂竞争者数据汇总!D:H,4,FALSE)</f>
        <v>0</v>
      </c>
      <c r="F206" s="430">
        <v>49546.3333333334</v>
      </c>
      <c r="G206" s="430">
        <v>1355.75</v>
      </c>
      <c r="H206" s="430">
        <v>65360.75</v>
      </c>
      <c r="I206" s="453">
        <f t="shared" si="5"/>
        <v>35.5453316122688</v>
      </c>
      <c r="J206" s="451">
        <v>0.670421349166642</v>
      </c>
      <c r="K206" s="451">
        <v>0.641112796109397</v>
      </c>
      <c r="L206" s="451">
        <v>0.611540775840996</v>
      </c>
      <c r="M206" s="451">
        <f t="shared" ref="M206:M209" si="6">J206-K207</f>
        <v>0.668783530832699</v>
      </c>
      <c r="N206" s="459"/>
      <c r="O206" s="430"/>
      <c r="P206" s="531">
        <f>VLOOKUP(B206,正厂竞争者数据汇总!D:M,6,FALSE)</f>
        <v>0</v>
      </c>
      <c r="Q206" s="429" t="s">
        <v>180</v>
      </c>
      <c r="R206" s="421" t="s">
        <v>180</v>
      </c>
      <c r="S206" s="473">
        <f>VLOOKUP(B206,正厂竞争者数据汇总!$D$2:$CL$243,25,FALSE)</f>
        <v>44201</v>
      </c>
      <c r="T206" s="466"/>
      <c r="U206" s="466"/>
      <c r="V206" s="421"/>
      <c r="W206" s="421"/>
    </row>
    <row r="207" s="408" customFormat="1" hidden="1" spans="1:23">
      <c r="A207" s="428" t="s">
        <v>230</v>
      </c>
      <c r="B207" s="438" t="s">
        <v>473</v>
      </c>
      <c r="C207" s="429" t="s">
        <v>233</v>
      </c>
      <c r="D207" s="421" t="s">
        <v>420</v>
      </c>
      <c r="E207" s="430" t="e">
        <f>VLOOKUP(B207,正厂竞争者数据汇总!D:H,4,FALSE)</f>
        <v>#N/A</v>
      </c>
      <c r="F207" s="430">
        <v>244.583333333334</v>
      </c>
      <c r="G207" s="430">
        <v>31231.8333333333</v>
      </c>
      <c r="H207" s="430">
        <v>2194.5</v>
      </c>
      <c r="I207" s="453">
        <f t="shared" si="5"/>
        <v>-0.992168780784563</v>
      </c>
      <c r="J207" s="451">
        <v>0.00330950601760658</v>
      </c>
      <c r="K207" s="451">
        <v>0.00163781833394342</v>
      </c>
      <c r="L207" s="451">
        <v>0.00058103458001918</v>
      </c>
      <c r="M207" s="451">
        <f t="shared" si="6"/>
        <v>-0.340349961639142</v>
      </c>
      <c r="N207" s="459"/>
      <c r="O207" s="430"/>
      <c r="P207" s="531" t="e">
        <f>VLOOKUP(B207,正厂竞争者数据汇总!D:M,6,FALSE)</f>
        <v>#N/A</v>
      </c>
      <c r="Q207" s="429" t="s">
        <v>180</v>
      </c>
      <c r="R207" s="421" t="s">
        <v>180</v>
      </c>
      <c r="S207" s="473" t="e">
        <f>VLOOKUP(B207,正厂竞争者数据汇总!$D$2:$CL$243,25,FALSE)</f>
        <v>#N/A</v>
      </c>
      <c r="T207" s="466"/>
      <c r="U207" s="466"/>
      <c r="V207" s="421"/>
      <c r="W207" s="421"/>
    </row>
    <row r="208" s="408" customFormat="1" hidden="1" spans="1:23">
      <c r="A208" s="428" t="s">
        <v>230</v>
      </c>
      <c r="B208" s="482" t="s">
        <v>344</v>
      </c>
      <c r="C208" s="429" t="s">
        <v>233</v>
      </c>
      <c r="D208" s="421" t="s">
        <v>234</v>
      </c>
      <c r="E208" s="430">
        <f>VLOOKUP(B208,正厂竞争者数据汇总!D:H,4,FALSE)</f>
        <v>0</v>
      </c>
      <c r="F208" s="430">
        <v>22415.9416666667</v>
      </c>
      <c r="G208" s="430">
        <v>1336.58333333333</v>
      </c>
      <c r="H208" s="430">
        <v>26757.6666666667</v>
      </c>
      <c r="I208" s="453">
        <f t="shared" si="5"/>
        <v>15.7710767504209</v>
      </c>
      <c r="J208" s="451">
        <v>0.303314591493634</v>
      </c>
      <c r="K208" s="451">
        <v>0.343659467656749</v>
      </c>
      <c r="L208" s="451">
        <v>0.373168048739211</v>
      </c>
      <c r="M208" s="451">
        <f t="shared" si="6"/>
        <v>0.289724673593723</v>
      </c>
      <c r="N208" s="459"/>
      <c r="O208" s="430"/>
      <c r="P208" s="531">
        <f>VLOOKUP(B208,正厂竞争者数据汇总!D:M,6,FALSE)</f>
        <v>0</v>
      </c>
      <c r="Q208" s="429" t="s">
        <v>180</v>
      </c>
      <c r="R208" s="421" t="s">
        <v>180</v>
      </c>
      <c r="S208" s="473">
        <f>VLOOKUP(B208,正厂竞争者数据汇总!$D$2:$CL$243,25,FALSE)</f>
        <v>63249</v>
      </c>
      <c r="T208" s="466"/>
      <c r="U208" s="466"/>
      <c r="V208" s="421"/>
      <c r="W208" s="421"/>
    </row>
    <row r="209" s="408" customFormat="1" hidden="1" spans="1:23">
      <c r="A209" s="428" t="s">
        <v>230</v>
      </c>
      <c r="B209" s="438" t="s">
        <v>474</v>
      </c>
      <c r="C209" s="429" t="s">
        <v>233</v>
      </c>
      <c r="D209" s="421" t="s">
        <v>420</v>
      </c>
      <c r="E209" s="430">
        <f>VLOOKUP(B208,正厂竞争者数据汇总!D:H,4,FALSE)</f>
        <v>0</v>
      </c>
      <c r="F209" s="430">
        <v>1696.41666666667</v>
      </c>
      <c r="G209" s="430"/>
      <c r="H209" s="430">
        <v>2547.58333333333</v>
      </c>
      <c r="I209" s="453" t="e">
        <f t="shared" si="5"/>
        <v>#DIV/0!</v>
      </c>
      <c r="J209" s="451">
        <v>0.0229545533221182</v>
      </c>
      <c r="K209" s="451">
        <v>0.0135899178999111</v>
      </c>
      <c r="L209" s="451">
        <v>0.0147101408397736</v>
      </c>
      <c r="M209" s="451">
        <f t="shared" si="6"/>
        <v>0.0229545533221182</v>
      </c>
      <c r="N209" s="459"/>
      <c r="O209" s="430"/>
      <c r="P209" s="531"/>
      <c r="Q209" s="429" t="s">
        <v>180</v>
      </c>
      <c r="R209" s="421" t="s">
        <v>180</v>
      </c>
      <c r="S209" s="473">
        <f>VLOOKUP(B209,正厂竞争者数据汇总!$D$2:$CL$243,25,FALSE)</f>
        <v>10350</v>
      </c>
      <c r="T209" s="466"/>
      <c r="U209" s="466"/>
      <c r="V209" s="421"/>
      <c r="W209" s="421"/>
    </row>
    <row r="210" s="408" customFormat="1" hidden="1" spans="1:23">
      <c r="A210" s="428"/>
      <c r="B210" s="421"/>
      <c r="C210" s="429"/>
      <c r="D210" s="421"/>
      <c r="E210" s="430"/>
      <c r="F210" s="430"/>
      <c r="G210" s="430">
        <v>100126.666666667</v>
      </c>
      <c r="H210" s="430"/>
      <c r="I210" s="453"/>
      <c r="J210" s="451"/>
      <c r="K210" s="451"/>
      <c r="L210" s="451"/>
      <c r="M210" s="451"/>
      <c r="N210" s="459"/>
      <c r="O210" s="430"/>
      <c r="P210" s="531"/>
      <c r="Q210" s="429"/>
      <c r="R210" s="421"/>
      <c r="S210" s="473"/>
      <c r="T210" s="466"/>
      <c r="U210" s="466"/>
      <c r="V210" s="421"/>
      <c r="W210" s="421"/>
    </row>
    <row r="211" s="408" customFormat="1" hidden="1" spans="1:23">
      <c r="A211" s="428"/>
      <c r="B211" s="421"/>
      <c r="C211" s="439"/>
      <c r="D211" s="421"/>
      <c r="E211" s="430"/>
      <c r="F211" s="430">
        <v>73903.2750000001</v>
      </c>
      <c r="G211" s="430"/>
      <c r="H211" s="430">
        <v>96860.5</v>
      </c>
      <c r="I211" s="453" t="e">
        <f>(F211/G211)-1</f>
        <v>#DIV/0!</v>
      </c>
      <c r="J211" s="430"/>
      <c r="K211" s="430"/>
      <c r="L211" s="430"/>
      <c r="M211" s="451"/>
      <c r="N211" s="459"/>
      <c r="O211" s="430"/>
      <c r="P211" s="531"/>
      <c r="Q211" s="429"/>
      <c r="R211" s="421"/>
      <c r="S211" s="473"/>
      <c r="T211" s="466"/>
      <c r="U211" s="466"/>
      <c r="V211" s="421"/>
      <c r="W211" s="421"/>
    </row>
    <row r="212" s="408" customFormat="1" spans="1:23">
      <c r="A212" s="428"/>
      <c r="B212" s="421"/>
      <c r="C212" s="439"/>
      <c r="D212" s="421"/>
      <c r="E212" s="421"/>
      <c r="F212" s="430"/>
      <c r="G212" s="430"/>
      <c r="H212" s="430"/>
      <c r="I212" s="453"/>
      <c r="J212" s="430"/>
      <c r="K212" s="430"/>
      <c r="L212" s="430"/>
      <c r="M212" s="451"/>
      <c r="N212" s="459"/>
      <c r="O212" s="430"/>
      <c r="P212" s="531"/>
      <c r="Q212" s="429"/>
      <c r="R212" s="421"/>
      <c r="S212" s="473"/>
      <c r="T212" s="466"/>
      <c r="U212" s="466"/>
      <c r="V212" s="421"/>
      <c r="W212" s="421"/>
    </row>
    <row r="213" s="408" customFormat="1" ht="17.4" spans="1:23">
      <c r="A213" s="418" t="s">
        <v>193</v>
      </c>
      <c r="B213" s="419"/>
      <c r="C213" s="420"/>
      <c r="D213" s="421"/>
      <c r="E213" s="422" t="s">
        <v>202</v>
      </c>
      <c r="F213" s="422"/>
      <c r="G213" s="422" t="s">
        <v>213</v>
      </c>
      <c r="H213" s="422"/>
      <c r="I213" s="422"/>
      <c r="J213" s="422"/>
      <c r="K213" s="422"/>
      <c r="L213" s="422"/>
      <c r="M213" s="443"/>
      <c r="N213" s="422"/>
      <c r="O213" s="422"/>
      <c r="P213" s="531"/>
      <c r="Q213" s="465"/>
      <c r="R213" s="424"/>
      <c r="S213" s="473"/>
      <c r="T213" s="467"/>
      <c r="U213" s="467"/>
      <c r="V213" s="467"/>
      <c r="W213" s="467"/>
    </row>
    <row r="214" s="409" customFormat="1" ht="46.8" hidden="1" spans="1:23">
      <c r="A214" s="423" t="s">
        <v>206</v>
      </c>
      <c r="B214" s="424" t="s">
        <v>207</v>
      </c>
      <c r="C214" s="425" t="s">
        <v>447</v>
      </c>
      <c r="D214" s="424" t="s">
        <v>209</v>
      </c>
      <c r="E214" s="426" t="s">
        <v>210</v>
      </c>
      <c r="F214" s="427" t="s">
        <v>478</v>
      </c>
      <c r="G214" s="427">
        <v>251855.833333333</v>
      </c>
      <c r="H214" s="427" t="s">
        <v>396</v>
      </c>
      <c r="I214" s="427" t="s">
        <v>386</v>
      </c>
      <c r="J214" s="446" t="s">
        <v>444</v>
      </c>
      <c r="K214" s="446" t="s">
        <v>449</v>
      </c>
      <c r="L214" s="446" t="s">
        <v>479</v>
      </c>
      <c r="M214" s="447" t="s">
        <v>436</v>
      </c>
      <c r="N214" s="448" t="s">
        <v>219</v>
      </c>
      <c r="O214" s="449" t="s">
        <v>220</v>
      </c>
      <c r="P214" s="535" t="s">
        <v>0</v>
      </c>
      <c r="Q214" s="469" t="s">
        <v>222</v>
      </c>
      <c r="R214" s="426" t="s">
        <v>223</v>
      </c>
      <c r="S214" s="470" t="s">
        <v>224</v>
      </c>
      <c r="T214" s="467" t="s">
        <v>225</v>
      </c>
      <c r="U214" s="470" t="s">
        <v>226</v>
      </c>
      <c r="V214" s="467"/>
      <c r="W214" s="467"/>
    </row>
    <row r="215" s="408" customFormat="1" ht="17.4" hidden="1" spans="1:23">
      <c r="A215" s="428" t="s">
        <v>475</v>
      </c>
      <c r="B215" s="438" t="s">
        <v>476</v>
      </c>
      <c r="C215" s="429" t="s">
        <v>233</v>
      </c>
      <c r="D215" s="421" t="s">
        <v>234</v>
      </c>
      <c r="E215" s="430">
        <f>VLOOKUP(B215,正厂竞争者数据汇总!D:H,4,FALSE)</f>
        <v>81390</v>
      </c>
      <c r="F215" s="430">
        <v>222210.833333333</v>
      </c>
      <c r="G215" s="430">
        <v>38319.6666666667</v>
      </c>
      <c r="H215" s="430">
        <v>273188.083333333</v>
      </c>
      <c r="I215" s="453"/>
      <c r="J215" s="430"/>
      <c r="K215" s="430"/>
      <c r="L215" s="430"/>
      <c r="M215" s="451"/>
      <c r="N215" s="459"/>
      <c r="O215" s="430"/>
      <c r="P215" s="536" t="str">
        <f>VLOOKUP(B215,正厂竞争者数据汇总!D:M,6,FALSE)</f>
        <v>官网</v>
      </c>
      <c r="Q215" s="429" t="s">
        <v>180</v>
      </c>
      <c r="R215" s="421" t="s">
        <v>180</v>
      </c>
      <c r="S215" s="473">
        <f>VLOOKUP(B215,正厂竞争者数据汇总!$D$2:$CL$243,25,FALSE)</f>
        <v>193993</v>
      </c>
      <c r="T215" s="466"/>
      <c r="U215" s="466"/>
      <c r="V215" s="421"/>
      <c r="W215" s="421"/>
    </row>
    <row r="216" s="408" customFormat="1" hidden="1" spans="1:23">
      <c r="A216" s="428" t="s">
        <v>230</v>
      </c>
      <c r="B216" s="421" t="s">
        <v>365</v>
      </c>
      <c r="C216" s="429" t="s">
        <v>233</v>
      </c>
      <c r="D216" s="421" t="s">
        <v>52</v>
      </c>
      <c r="E216" s="430">
        <f>VLOOKUP(B216,正厂竞争者数据汇总!D:H,4,FALSE)</f>
        <v>0</v>
      </c>
      <c r="F216" s="430">
        <v>48345.75</v>
      </c>
      <c r="G216" s="430">
        <v>39781.5833333333</v>
      </c>
      <c r="H216" s="430">
        <v>52163.4166666667</v>
      </c>
      <c r="I216" s="453">
        <f t="shared" ref="I216:I218" si="7">(F216/G216)-1</f>
        <v>0.215279683438108</v>
      </c>
      <c r="J216" s="451">
        <v>0.161033514125674</v>
      </c>
      <c r="K216" s="451">
        <v>0.143694274568911</v>
      </c>
      <c r="L216" s="451">
        <v>0.152870351635303</v>
      </c>
      <c r="M216" s="451">
        <f t="shared" ref="M216:M218" si="8">J216-K217</f>
        <v>0.0726616548670079</v>
      </c>
      <c r="N216" s="459"/>
      <c r="O216" s="430"/>
      <c r="P216" s="531">
        <f>VLOOKUP(B216,正厂竞争者数据汇总!D:M,6,FALSE)</f>
        <v>0</v>
      </c>
      <c r="Q216" s="429" t="s">
        <v>180</v>
      </c>
      <c r="R216" s="421" t="s">
        <v>180</v>
      </c>
      <c r="S216" s="473">
        <f>VLOOKUP(B216,正厂竞争者数据汇总!$D$2:$CL$243,25,FALSE)</f>
        <v>110722</v>
      </c>
      <c r="T216" s="466"/>
      <c r="U216" s="466"/>
      <c r="V216" s="421"/>
      <c r="W216" s="421"/>
    </row>
    <row r="217" s="408" customFormat="1" hidden="1" spans="1:23">
      <c r="A217" s="428" t="s">
        <v>367</v>
      </c>
      <c r="B217" s="438" t="s">
        <v>368</v>
      </c>
      <c r="C217" s="429" t="s">
        <v>233</v>
      </c>
      <c r="D217" s="421" t="s">
        <v>234</v>
      </c>
      <c r="E217" s="430">
        <f>VLOOKUP(B216,正厂竞争者数据汇总!D:H,4,FALSE)</f>
        <v>0</v>
      </c>
      <c r="F217" s="430">
        <v>25968.5833333333</v>
      </c>
      <c r="G217" s="430">
        <v>5272.25</v>
      </c>
      <c r="H217" s="430">
        <v>46192.6666666667</v>
      </c>
      <c r="I217" s="453">
        <f t="shared" si="7"/>
        <v>3.92552199408854</v>
      </c>
      <c r="J217" s="451">
        <v>0.0864980320096817</v>
      </c>
      <c r="K217" s="451">
        <v>0.0883718592586661</v>
      </c>
      <c r="L217" s="451">
        <v>0.0873479464753564</v>
      </c>
      <c r="M217" s="451">
        <f t="shared" si="8"/>
        <v>0.0717929954815894</v>
      </c>
      <c r="N217" s="459"/>
      <c r="O217" s="430"/>
      <c r="P217" s="531">
        <f>VLOOKUP(B217,正厂竞争者数据汇总!D:M,6,FALSE)</f>
        <v>0</v>
      </c>
      <c r="Q217" s="429" t="s">
        <v>180</v>
      </c>
      <c r="R217" s="421" t="s">
        <v>180</v>
      </c>
      <c r="S217" s="473">
        <f>VLOOKUP(B217,正厂竞争者数据汇总!$D$2:$CL$243,25,FALSE)</f>
        <v>52681</v>
      </c>
      <c r="T217" s="466"/>
      <c r="U217" s="466"/>
      <c r="V217" s="421"/>
      <c r="W217" s="421"/>
    </row>
    <row r="218" s="408" customFormat="1" hidden="1" spans="1:23">
      <c r="A218" s="428" t="s">
        <v>230</v>
      </c>
      <c r="B218" s="421" t="s">
        <v>373</v>
      </c>
      <c r="C218" s="429" t="s">
        <v>477</v>
      </c>
      <c r="D218" s="421" t="s">
        <v>250</v>
      </c>
      <c r="E218" s="430">
        <f>VLOOKUP(B218,正厂竞争者数据汇总!D:H,4,FALSE)</f>
        <v>3939</v>
      </c>
      <c r="F218" s="430">
        <v>3696.5</v>
      </c>
      <c r="G218" s="430"/>
      <c r="H218" s="430">
        <v>5718</v>
      </c>
      <c r="I218" s="453" t="e">
        <f t="shared" si="7"/>
        <v>#DIV/0!</v>
      </c>
      <c r="J218" s="451">
        <v>0.0123125690462048</v>
      </c>
      <c r="K218" s="451">
        <v>0.0147050365280923</v>
      </c>
      <c r="L218" s="451">
        <v>0.0127250425373894</v>
      </c>
      <c r="M218" s="451">
        <f t="shared" si="8"/>
        <v>0.0123125690462048</v>
      </c>
      <c r="N218" s="459"/>
      <c r="O218" s="430"/>
      <c r="P218" s="531">
        <f>VLOOKUP(B218,正厂竞争者数据汇总!D:M,6,FALSE)</f>
        <v>0</v>
      </c>
      <c r="Q218" s="429" t="s">
        <v>180</v>
      </c>
      <c r="R218" s="421" t="s">
        <v>180</v>
      </c>
      <c r="S218" s="473">
        <f>VLOOKUP(B218,正厂竞争者数据汇总!$D$2:$CL$243,25,FALSE)</f>
        <v>5939</v>
      </c>
      <c r="T218" s="466"/>
      <c r="U218" s="466"/>
      <c r="V218" s="421"/>
      <c r="W218" s="421"/>
    </row>
    <row r="219" s="410" customFormat="1" hidden="1" spans="1:23">
      <c r="A219" s="432"/>
      <c r="B219" s="435"/>
      <c r="C219" s="429"/>
      <c r="D219" s="421"/>
      <c r="E219" s="430"/>
      <c r="F219" s="436"/>
      <c r="G219" s="436">
        <v>335229.333333333</v>
      </c>
      <c r="H219" s="436"/>
      <c r="I219" s="453"/>
      <c r="J219" s="457"/>
      <c r="K219" s="457"/>
      <c r="L219" s="457"/>
      <c r="M219" s="451"/>
      <c r="N219" s="455"/>
      <c r="O219" s="436"/>
      <c r="P219" s="531"/>
      <c r="Q219" s="434"/>
      <c r="R219" s="435"/>
      <c r="S219" s="473"/>
      <c r="T219" s="466"/>
      <c r="U219" s="466"/>
      <c r="V219" s="435"/>
      <c r="W219" s="435"/>
    </row>
    <row r="220" s="408" customFormat="1" hidden="1" spans="1:23">
      <c r="A220" s="428"/>
      <c r="B220" s="421"/>
      <c r="C220" s="439"/>
      <c r="D220" s="421"/>
      <c r="E220" s="421"/>
      <c r="F220" s="496">
        <v>300221.666666666</v>
      </c>
      <c r="G220" s="496"/>
      <c r="H220" s="496">
        <v>377262.166666666</v>
      </c>
      <c r="I220" s="453" t="e">
        <f>(F220/G220)-1</f>
        <v>#DIV/0!</v>
      </c>
      <c r="J220" s="430"/>
      <c r="K220" s="430"/>
      <c r="L220" s="430"/>
      <c r="M220" s="451"/>
      <c r="N220" s="459"/>
      <c r="O220" s="430"/>
      <c r="P220" s="531"/>
      <c r="Q220" s="429"/>
      <c r="R220" s="421"/>
      <c r="S220" s="473"/>
      <c r="T220" s="466"/>
      <c r="U220" s="466"/>
      <c r="V220" s="421"/>
      <c r="W220" s="421"/>
    </row>
    <row r="221" s="408" customFormat="1" spans="3:21">
      <c r="C221" s="411"/>
      <c r="F221" s="502"/>
      <c r="G221" s="502"/>
      <c r="H221" s="502"/>
      <c r="I221" s="502"/>
      <c r="J221" s="412"/>
      <c r="K221" s="412"/>
      <c r="L221" s="412"/>
      <c r="M221" s="413"/>
      <c r="N221" s="414"/>
      <c r="O221" s="412"/>
      <c r="P221" s="528"/>
      <c r="T221" s="416"/>
      <c r="U221" s="416"/>
    </row>
    <row r="222" s="408" customFormat="1" spans="3:21">
      <c r="C222" s="411"/>
      <c r="E222" s="412"/>
      <c r="F222" s="412"/>
      <c r="G222" s="412"/>
      <c r="H222" s="412"/>
      <c r="I222" s="412"/>
      <c r="J222" s="412"/>
      <c r="K222" s="412"/>
      <c r="L222" s="412"/>
      <c r="M222" s="413"/>
      <c r="N222" s="414"/>
      <c r="O222" s="412"/>
      <c r="T222" s="416"/>
      <c r="U222" s="416"/>
    </row>
    <row r="223" s="408" customFormat="1" spans="3:21">
      <c r="C223" s="411"/>
      <c r="F223" s="412"/>
      <c r="G223" s="412"/>
      <c r="H223" s="412"/>
      <c r="I223" s="412"/>
      <c r="J223" s="412"/>
      <c r="K223" s="412"/>
      <c r="L223" s="412"/>
      <c r="M223" s="413"/>
      <c r="N223" s="414"/>
      <c r="O223" s="412"/>
      <c r="P223" s="528"/>
      <c r="T223" s="416"/>
      <c r="U223" s="416"/>
    </row>
    <row r="224" s="408" customFormat="1" spans="3:21">
      <c r="C224" s="411"/>
      <c r="F224" s="412"/>
      <c r="G224" s="412"/>
      <c r="H224" s="412"/>
      <c r="I224" s="412"/>
      <c r="J224" s="412"/>
      <c r="K224" s="412"/>
      <c r="L224" s="412"/>
      <c r="M224" s="413"/>
      <c r="N224" s="414"/>
      <c r="O224" s="412"/>
      <c r="P224" s="528"/>
      <c r="T224" s="416"/>
      <c r="U224" s="416"/>
    </row>
    <row r="225" s="408" customFormat="1" spans="3:21">
      <c r="C225" s="411"/>
      <c r="F225" s="412"/>
      <c r="G225" s="412"/>
      <c r="H225" s="412"/>
      <c r="I225" s="412"/>
      <c r="J225" s="412"/>
      <c r="K225" s="412"/>
      <c r="L225" s="412"/>
      <c r="M225" s="413"/>
      <c r="N225" s="414"/>
      <c r="O225" s="412"/>
      <c r="P225" s="528"/>
      <c r="T225" s="416"/>
      <c r="U225" s="416"/>
    </row>
    <row r="226" s="408" customFormat="1" spans="3:21">
      <c r="C226" s="411"/>
      <c r="F226" s="412"/>
      <c r="G226" s="412"/>
      <c r="H226" s="412"/>
      <c r="I226" s="412"/>
      <c r="J226" s="412"/>
      <c r="K226" s="412"/>
      <c r="L226" s="412"/>
      <c r="M226" s="413"/>
      <c r="N226" s="414"/>
      <c r="O226" s="412"/>
      <c r="P226" s="528"/>
      <c r="T226" s="416"/>
      <c r="U226" s="416"/>
    </row>
    <row r="227" s="408" customFormat="1" spans="3:21">
      <c r="C227" s="411"/>
      <c r="F227" s="412"/>
      <c r="G227" s="412"/>
      <c r="H227" s="412"/>
      <c r="I227" s="412"/>
      <c r="J227" s="412"/>
      <c r="K227" s="412"/>
      <c r="L227" s="412"/>
      <c r="M227" s="413"/>
      <c r="N227" s="414"/>
      <c r="O227" s="412"/>
      <c r="P227" s="528"/>
      <c r="T227" s="416"/>
      <c r="U227" s="416"/>
    </row>
    <row r="228" s="408" customFormat="1" spans="3:21">
      <c r="C228" s="411"/>
      <c r="F228" s="412"/>
      <c r="G228" s="412"/>
      <c r="H228" s="412"/>
      <c r="I228" s="412"/>
      <c r="J228" s="412"/>
      <c r="K228" s="412"/>
      <c r="L228" s="412"/>
      <c r="M228" s="413"/>
      <c r="N228" s="414"/>
      <c r="O228" s="412"/>
      <c r="P228" s="528"/>
      <c r="T228" s="416"/>
      <c r="U228" s="416"/>
    </row>
    <row r="229" s="408" customFormat="1" spans="3:21">
      <c r="C229" s="411"/>
      <c r="F229" s="412"/>
      <c r="G229" s="412"/>
      <c r="H229" s="412"/>
      <c r="I229" s="412"/>
      <c r="J229" s="412"/>
      <c r="K229" s="412"/>
      <c r="L229" s="412"/>
      <c r="M229" s="413"/>
      <c r="N229" s="414"/>
      <c r="O229" s="412"/>
      <c r="P229" s="528"/>
      <c r="T229" s="416"/>
      <c r="U229" s="416"/>
    </row>
    <row r="230" s="408" customFormat="1" spans="3:21">
      <c r="C230" s="411"/>
      <c r="F230" s="412"/>
      <c r="G230" s="412"/>
      <c r="H230" s="412"/>
      <c r="I230" s="412"/>
      <c r="J230" s="412"/>
      <c r="K230" s="412"/>
      <c r="L230" s="412"/>
      <c r="M230" s="413"/>
      <c r="N230" s="414"/>
      <c r="O230" s="412"/>
      <c r="P230" s="528"/>
      <c r="T230" s="416"/>
      <c r="U230" s="416"/>
    </row>
    <row r="231" s="408" customFormat="1" spans="3:21">
      <c r="C231" s="411"/>
      <c r="F231" s="412"/>
      <c r="G231" s="412"/>
      <c r="H231" s="412"/>
      <c r="I231" s="412"/>
      <c r="J231" s="412"/>
      <c r="K231" s="412"/>
      <c r="L231" s="412"/>
      <c r="M231" s="413"/>
      <c r="N231" s="414"/>
      <c r="O231" s="412"/>
      <c r="P231" s="528"/>
      <c r="T231" s="416"/>
      <c r="U231" s="416"/>
    </row>
    <row r="232" s="408" customFormat="1" spans="3:21">
      <c r="C232" s="411"/>
      <c r="F232" s="412"/>
      <c r="G232" s="412"/>
      <c r="H232" s="412"/>
      <c r="I232" s="412"/>
      <c r="J232" s="412"/>
      <c r="K232" s="412"/>
      <c r="L232" s="412"/>
      <c r="M232" s="413"/>
      <c r="N232" s="414"/>
      <c r="O232" s="412"/>
      <c r="P232" s="528"/>
      <c r="T232" s="416"/>
      <c r="U232" s="416"/>
    </row>
    <row r="233" s="411" customFormat="1" spans="1:23">
      <c r="A233" s="408"/>
      <c r="B233" s="503"/>
      <c r="D233" s="408"/>
      <c r="E233" s="408"/>
      <c r="F233" s="412"/>
      <c r="G233" s="412"/>
      <c r="H233" s="412"/>
      <c r="I233" s="412"/>
      <c r="J233" s="412"/>
      <c r="K233" s="412"/>
      <c r="L233" s="412"/>
      <c r="M233" s="413"/>
      <c r="N233" s="414"/>
      <c r="O233" s="412"/>
      <c r="P233" s="528"/>
      <c r="Q233" s="408"/>
      <c r="R233" s="408"/>
      <c r="S233" s="408"/>
      <c r="T233" s="416"/>
      <c r="U233" s="416"/>
      <c r="V233" s="408"/>
      <c r="W233" s="408"/>
    </row>
  </sheetData>
  <autoFilter ref="C1:C233">
    <extLst/>
  </autoFilter>
  <mergeCells count="19">
    <mergeCell ref="U1:W1"/>
    <mergeCell ref="U14:W14"/>
    <mergeCell ref="U26:W26"/>
    <mergeCell ref="U38:W38"/>
    <mergeCell ref="U52:W52"/>
    <mergeCell ref="U66:W66"/>
    <mergeCell ref="U78:W78"/>
    <mergeCell ref="U88:W88"/>
    <mergeCell ref="U100:W100"/>
    <mergeCell ref="U113:W113"/>
    <mergeCell ref="U128:W128"/>
    <mergeCell ref="U140:W140"/>
    <mergeCell ref="U155:W155"/>
    <mergeCell ref="U168:W168"/>
    <mergeCell ref="U177:W177"/>
    <mergeCell ref="U187:W187"/>
    <mergeCell ref="U197:W197"/>
    <mergeCell ref="U204:W204"/>
    <mergeCell ref="U213:W213"/>
  </mergeCells>
  <conditionalFormatting sqref="I5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{eb8c3f53-2ac2-411d-957e-86ac46fb7d67}</x14:id>
        </ext>
      </extLst>
    </cfRule>
  </conditionalFormatting>
  <conditionalFormatting sqref="M5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{f4d447a3-d377-4f50-9dce-4e89ab93bf6a}</x14:id>
        </ext>
      </extLst>
    </cfRule>
  </conditionalFormatting>
  <conditionalFormatting sqref="M11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{4e8e119d-a0bd-41ad-ab9e-f7e5ba510819}</x14:id>
        </ext>
      </extLst>
    </cfRule>
  </conditionalFormatting>
  <conditionalFormatting sqref="B16">
    <cfRule type="duplicateValues" dxfId="0" priority="55"/>
  </conditionalFormatting>
  <conditionalFormatting sqref="M16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{b825af00-2d29-4500-8e91-2d424bdfd360}</x14:id>
        </ext>
      </extLst>
    </cfRule>
  </conditionalFormatting>
  <conditionalFormatting sqref="M28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{1a971b38-6a0e-4727-8731-9162da81061d}</x14:id>
        </ext>
      </extLst>
    </cfRule>
  </conditionalFormatting>
  <conditionalFormatting sqref="M40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{2a73b511-f4e6-4c5f-88ad-ef9bd0813e4e}</x14:id>
        </ext>
      </extLst>
    </cfRule>
  </conditionalFormatting>
  <conditionalFormatting sqref="M54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{09d07fcd-afd5-4211-8d6e-292a2b83ed27}</x14:id>
        </ext>
      </extLst>
    </cfRule>
  </conditionalFormatting>
  <conditionalFormatting sqref="M6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{c9bd78d7-2aca-4488-83af-603f80669e6a}</x14:id>
        </ext>
      </extLst>
    </cfRule>
  </conditionalFormatting>
  <conditionalFormatting sqref="M80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{2a4b399b-4d9e-425c-9a6a-ec9032708b5b}</x14:id>
        </ext>
      </extLst>
    </cfRule>
  </conditionalFormatting>
  <conditionalFormatting sqref="I90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{98fb7e96-c28b-43ae-a1d6-e75815a8bbb1}</x14:id>
        </ext>
      </extLst>
    </cfRule>
  </conditionalFormatting>
  <conditionalFormatting sqref="M90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{d19c907d-6190-4811-a820-40416eb0d8a8}</x14:id>
        </ext>
      </extLst>
    </cfRule>
  </conditionalFormatting>
  <conditionalFormatting sqref="M91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{d9d0c464-ee84-40f1-b94f-7001c9fdb950}</x14:id>
        </ext>
      </extLst>
    </cfRule>
  </conditionalFormatting>
  <conditionalFormatting sqref="I10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{4092410a-d546-4eef-8f44-c87aed7d4234}</x14:id>
        </ext>
      </extLst>
    </cfRule>
  </conditionalFormatting>
  <conditionalFormatting sqref="M10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{399558ef-4775-4ee5-929c-3e7fd604ed6a}</x14:id>
        </ext>
      </extLst>
    </cfRule>
  </conditionalFormatting>
  <conditionalFormatting sqref="M103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{5f5a7b97-a99b-4b16-a53c-e39f04f93c6f}</x14:id>
        </ext>
      </extLst>
    </cfRule>
  </conditionalFormatting>
  <conditionalFormatting sqref="M115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{e7270781-5e91-4550-bdc5-ddf88dad3055}</x14:id>
        </ext>
      </extLst>
    </cfRule>
  </conditionalFormatting>
  <conditionalFormatting sqref="I124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{58006ec9-0b37-46da-b951-4d12f926800b}</x14:id>
        </ext>
      </extLst>
    </cfRule>
  </conditionalFormatting>
  <conditionalFormatting sqref="M1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{fb29bb53-1974-4188-9a21-c7c3121860a9}</x14:id>
        </ext>
      </extLst>
    </cfRule>
  </conditionalFormatting>
  <conditionalFormatting sqref="M130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{bf0d6bfa-bb97-46c3-8425-ed1bfc97f396}</x14:id>
        </ext>
      </extLst>
    </cfRule>
  </conditionalFormatting>
  <conditionalFormatting sqref="M142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{1da31ad9-9377-4de2-8bac-9281b27b3055}</x14:id>
        </ext>
      </extLst>
    </cfRule>
  </conditionalFormatting>
  <conditionalFormatting sqref="M157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{2953ecb2-e04c-4398-9ff6-35c030817a94}</x14:id>
        </ext>
      </extLst>
    </cfRule>
  </conditionalFormatting>
  <conditionalFormatting sqref="I3:I4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{f90995ab-6f4a-41f6-8bff-42c33f4ab3e0}</x14:id>
        </ext>
      </extLst>
    </cfRule>
  </conditionalFormatting>
  <conditionalFormatting sqref="I6:I10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{47236e06-9d30-4cf2-b2ce-fcf060b974ee}</x14:id>
        </ext>
      </extLst>
    </cfRule>
  </conditionalFormatting>
  <conditionalFormatting sqref="I11:I12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{cf09e903-fb3a-40fc-a838-7efd04c7cde7}</x14:id>
        </ext>
      </extLst>
    </cfRule>
  </conditionalFormatting>
  <conditionalFormatting sqref="I17:I22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{903169ab-59f7-4014-974e-2bb78163234d}</x14:id>
        </ext>
      </extLst>
    </cfRule>
  </conditionalFormatting>
  <conditionalFormatting sqref="I29:I34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{8b4eac34-ca9c-4919-a8d3-deffbc2dbefd}</x14:id>
        </ext>
      </extLst>
    </cfRule>
  </conditionalFormatting>
  <conditionalFormatting sqref="I41:I48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{dd1e1f07-ab30-44b3-a787-12ad472008b3}</x14:id>
        </ext>
      </extLst>
    </cfRule>
  </conditionalFormatting>
  <conditionalFormatting sqref="I55:I62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{8bf9523c-08ab-4da5-ade6-38c256ebfe9b}</x14:id>
        </ext>
      </extLst>
    </cfRule>
  </conditionalFormatting>
  <conditionalFormatting sqref="I69:I74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{114dbabf-6da0-44bf-9f45-f6172e6fbb2f}</x14:id>
        </ext>
      </extLst>
    </cfRule>
  </conditionalFormatting>
  <conditionalFormatting sqref="I81:I84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{9310fba7-21f3-4871-ab99-7d5e9a8fc5a6}</x14:id>
        </ext>
      </extLst>
    </cfRule>
  </conditionalFormatting>
  <conditionalFormatting sqref="I92:I96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{4b8ae098-f599-49d6-87e4-bb6e591acac5}</x14:id>
        </ext>
      </extLst>
    </cfRule>
  </conditionalFormatting>
  <conditionalFormatting sqref="I104:I10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{5827d2c9-0aca-4ced-9ab7-1c9f15a0c78d}</x14:id>
        </ext>
      </extLst>
    </cfRule>
  </conditionalFormatting>
  <conditionalFormatting sqref="I116:I123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{0b50939e-f4b0-440e-b1e2-58628cbd8b4c}</x14:id>
        </ext>
      </extLst>
    </cfRule>
  </conditionalFormatting>
  <conditionalFormatting sqref="I131:I13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{078857a1-520c-436a-9ed7-ac8e15950f1e}</x14:id>
        </ext>
      </extLst>
    </cfRule>
  </conditionalFormatting>
  <conditionalFormatting sqref="I137:I138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{81827ff0-bf85-4c41-9446-57973bd9143a}</x14:id>
        </ext>
      </extLst>
    </cfRule>
  </conditionalFormatting>
  <conditionalFormatting sqref="I143:I150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{b9b2df63-deab-4619-9c16-a30459ac79dd}</x14:id>
        </ext>
      </extLst>
    </cfRule>
  </conditionalFormatting>
  <conditionalFormatting sqref="I158:I16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{85ab2c0d-a011-42c5-98ee-1299e17ce7fb}</x14:id>
        </ext>
      </extLst>
    </cfRule>
  </conditionalFormatting>
  <conditionalFormatting sqref="M3:M4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{b48c2fc9-88cf-4abf-af0f-fd1f0e71630b}</x14:id>
        </ext>
      </extLst>
    </cfRule>
  </conditionalFormatting>
  <conditionalFormatting sqref="M6:M1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{5abb232a-b183-41f6-b6fe-d156fed75a42}</x14:id>
        </ext>
      </extLst>
    </cfRule>
  </conditionalFormatting>
  <conditionalFormatting sqref="M17:M2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{c24092d9-dd42-41d6-a131-b68e20a51276}</x14:id>
        </ext>
      </extLst>
    </cfRule>
  </conditionalFormatting>
  <conditionalFormatting sqref="M29:M34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{e9d22b74-91cf-4b05-886f-549f510ab602}</x14:id>
        </ext>
      </extLst>
    </cfRule>
  </conditionalFormatting>
  <conditionalFormatting sqref="M41:M48">
    <cfRule type="dataBar" priority="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{dcac1138-dbd9-437f-ad54-4404cfef7dee}</x14:id>
        </ext>
      </extLst>
    </cfRule>
  </conditionalFormatting>
  <conditionalFormatting sqref="M55:M6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{2bc43212-279c-444b-b23e-9337d6109a39}</x14:id>
        </ext>
      </extLst>
    </cfRule>
  </conditionalFormatting>
  <conditionalFormatting sqref="M69:M74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{e9f1d13a-1692-4b42-b6bf-967141e9d041}</x14:id>
        </ext>
      </extLst>
    </cfRule>
  </conditionalFormatting>
  <conditionalFormatting sqref="M81:M84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{774a2a37-5026-48d2-9bdf-aacd3583b4da}</x14:id>
        </ext>
      </extLst>
    </cfRule>
  </conditionalFormatting>
  <conditionalFormatting sqref="M92:M96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{c3ac8ed2-295f-46c7-addf-58792abfb719}</x14:id>
        </ext>
      </extLst>
    </cfRule>
  </conditionalFormatting>
  <conditionalFormatting sqref="M104:M109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{c54dc4ab-e505-48c5-ac82-1edde3f93a1a}</x14:id>
        </ext>
      </extLst>
    </cfRule>
  </conditionalFormatting>
  <conditionalFormatting sqref="M116:M123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{8ddb04ea-6122-4fad-853f-829be61a82df}</x14:id>
        </ext>
      </extLst>
    </cfRule>
  </conditionalFormatting>
  <conditionalFormatting sqref="M131:M13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{7f52eba2-493a-4c43-ab6c-2bded918d1db}</x14:id>
        </ext>
      </extLst>
    </cfRule>
  </conditionalFormatting>
  <conditionalFormatting sqref="M143:M15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{4cb2e9c2-b9e8-4f99-bed8-c8b1bdef3402}</x14:id>
        </ext>
      </extLst>
    </cfRule>
  </conditionalFormatting>
  <conditionalFormatting sqref="M158:M16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{77b841f8-20b1-47d9-ab93-596201ef8b80}</x14:id>
        </ext>
      </extLst>
    </cfRule>
  </conditionalFormatting>
  <conditionalFormatting sqref="I23:I24 I16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{3290beca-a39f-4f0e-bddc-e2761ff3190e}</x14:id>
        </ext>
      </extLst>
    </cfRule>
  </conditionalFormatting>
  <conditionalFormatting sqref="I35:I36 I28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{b03bab34-e04f-4394-a700-8678da298d7c}</x14:id>
        </ext>
      </extLst>
    </cfRule>
  </conditionalFormatting>
  <conditionalFormatting sqref="I49:I50 I40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{bcff88d4-7bb7-4d2b-aebd-d396e1e831df}</x14:id>
        </ext>
      </extLst>
    </cfRule>
  </conditionalFormatting>
  <conditionalFormatting sqref="I63:I64 I54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{b7e9b4fe-a09d-40b2-bf76-6ac1d127bbac}</x14:id>
        </ext>
      </extLst>
    </cfRule>
  </conditionalFormatting>
  <conditionalFormatting sqref="I75:I76 I68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{a04f593a-0c0d-4c47-9ca4-f71e0f942b20}</x14:id>
        </ext>
      </extLst>
    </cfRule>
  </conditionalFormatting>
  <conditionalFormatting sqref="I85:I86 I80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{d64c7626-edd7-445f-8339-d38f830ac1e3}</x14:id>
        </ext>
      </extLst>
    </cfRule>
  </conditionalFormatting>
  <conditionalFormatting sqref="I97:I98 I91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{c45af8a3-9900-4fa5-9efa-abc0c5ef7ac1}</x14:id>
        </ext>
      </extLst>
    </cfRule>
  </conditionalFormatting>
  <conditionalFormatting sqref="I110:I111 I103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{86c46f22-278d-4d9f-857e-8e2c81a28adc}</x14:id>
        </ext>
      </extLst>
    </cfRule>
  </conditionalFormatting>
  <conditionalFormatting sqref="I125:I126 I115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{cf3f4fb9-e175-4e2c-baa0-82617de8e281}</x14:id>
        </ext>
      </extLst>
    </cfRule>
  </conditionalFormatting>
  <conditionalFormatting sqref="I152:I153 I142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{a478854c-2d08-4096-acf0-7cf6103037c9}</x14:id>
        </ext>
      </extLst>
    </cfRule>
  </conditionalFormatting>
  <conditionalFormatting sqref="I165:I166 I157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{6a972ec8-26b1-47a0-9bb1-8140e67e66d3}</x14:id>
        </ext>
      </extLst>
    </cfRule>
  </conditionalFormatting>
  <hyperlinks>
    <hyperlink ref="B115" r:id="rId1" display="kiapartsnow.com"/>
    <hyperlink ref="B47" r:id="rId2" display="moparpartsinc.com"/>
    <hyperlink ref="B73" r:id="rId3" display="partsfornissans.com"/>
    <hyperlink ref="B94" r:id="rId4" display="subarupartsplus.com"/>
    <hyperlink ref="B43" r:id="rId5" display="moparfactoryparts.com"/>
    <hyperlink ref="B90" r:id="rId6" display="subaruparts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b8c3f53-2ac2-411d-957e-86ac46fb7d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</xm:sqref>
        </x14:conditionalFormatting>
        <x14:conditionalFormatting xmlns:xm="http://schemas.microsoft.com/office/excel/2006/main">
          <x14:cfRule type="dataBar" id="{f4d447a3-d377-4f50-9dce-4e89ab93bf6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</xm:sqref>
        </x14:conditionalFormatting>
        <x14:conditionalFormatting xmlns:xm="http://schemas.microsoft.com/office/excel/2006/main">
          <x14:cfRule type="dataBar" id="{4e8e119d-a0bd-41ad-ab9e-f7e5ba5108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</xm:sqref>
        </x14:conditionalFormatting>
        <x14:conditionalFormatting xmlns:xm="http://schemas.microsoft.com/office/excel/2006/main">
          <x14:cfRule type="dataBar" id="{b825af00-2d29-4500-8e91-2d424bdfd36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M16</xm:sqref>
        </x14:conditionalFormatting>
        <x14:conditionalFormatting xmlns:xm="http://schemas.microsoft.com/office/excel/2006/main">
          <x14:cfRule type="dataBar" id="{1a971b38-6a0e-4727-8731-9162da81061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M28</xm:sqref>
        </x14:conditionalFormatting>
        <x14:conditionalFormatting xmlns:xm="http://schemas.microsoft.com/office/excel/2006/main">
          <x14:cfRule type="dataBar" id="{2a73b511-f4e6-4c5f-88ad-ef9bd0813e4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M40</xm:sqref>
        </x14:conditionalFormatting>
        <x14:conditionalFormatting xmlns:xm="http://schemas.microsoft.com/office/excel/2006/main">
          <x14:cfRule type="dataBar" id="{09d07fcd-afd5-4211-8d6e-292a2b83ed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M54</xm:sqref>
        </x14:conditionalFormatting>
        <x14:conditionalFormatting xmlns:xm="http://schemas.microsoft.com/office/excel/2006/main">
          <x14:cfRule type="dataBar" id="{c9bd78d7-2aca-4488-83af-603f80669e6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M68</xm:sqref>
        </x14:conditionalFormatting>
        <x14:conditionalFormatting xmlns:xm="http://schemas.microsoft.com/office/excel/2006/main">
          <x14:cfRule type="dataBar" id="{2a4b399b-4d9e-425c-9a6a-ec9032708b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M80</xm:sqref>
        </x14:conditionalFormatting>
        <x14:conditionalFormatting xmlns:xm="http://schemas.microsoft.com/office/excel/2006/main">
          <x14:cfRule type="dataBar" id="{98fb7e96-c28b-43ae-a1d6-e75815a8bbb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I90</xm:sqref>
        </x14:conditionalFormatting>
        <x14:conditionalFormatting xmlns:xm="http://schemas.microsoft.com/office/excel/2006/main">
          <x14:cfRule type="dataBar" id="{d19c907d-6190-4811-a820-40416eb0d8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M90</xm:sqref>
        </x14:conditionalFormatting>
        <x14:conditionalFormatting xmlns:xm="http://schemas.microsoft.com/office/excel/2006/main">
          <x14:cfRule type="dataBar" id="{d9d0c464-ee84-40f1-b94f-7001c9fdb9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M91</xm:sqref>
        </x14:conditionalFormatting>
        <x14:conditionalFormatting xmlns:xm="http://schemas.microsoft.com/office/excel/2006/main">
          <x14:cfRule type="dataBar" id="{4092410a-d546-4eef-8f44-c87aed7d42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I102</xm:sqref>
        </x14:conditionalFormatting>
        <x14:conditionalFormatting xmlns:xm="http://schemas.microsoft.com/office/excel/2006/main">
          <x14:cfRule type="dataBar" id="{399558ef-4775-4ee5-929c-3e7fd604ed6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M102</xm:sqref>
        </x14:conditionalFormatting>
        <x14:conditionalFormatting xmlns:xm="http://schemas.microsoft.com/office/excel/2006/main">
          <x14:cfRule type="dataBar" id="{5f5a7b97-a99b-4b16-a53c-e39f04f93c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M103</xm:sqref>
        </x14:conditionalFormatting>
        <x14:conditionalFormatting xmlns:xm="http://schemas.microsoft.com/office/excel/2006/main">
          <x14:cfRule type="dataBar" id="{e7270781-5e91-4550-bdc5-ddf88dad30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M115</xm:sqref>
        </x14:conditionalFormatting>
        <x14:conditionalFormatting xmlns:xm="http://schemas.microsoft.com/office/excel/2006/main">
          <x14:cfRule type="dataBar" id="{58006ec9-0b37-46da-b951-4d12f92680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I124</xm:sqref>
        </x14:conditionalFormatting>
        <x14:conditionalFormatting xmlns:xm="http://schemas.microsoft.com/office/excel/2006/main">
          <x14:cfRule type="dataBar" id="{fb29bb53-1974-4188-9a21-c7c3121860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M124</xm:sqref>
        </x14:conditionalFormatting>
        <x14:conditionalFormatting xmlns:xm="http://schemas.microsoft.com/office/excel/2006/main">
          <x14:cfRule type="dataBar" id="{bf0d6bfa-bb97-46c3-8425-ed1bfc97f3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M130</xm:sqref>
        </x14:conditionalFormatting>
        <x14:conditionalFormatting xmlns:xm="http://schemas.microsoft.com/office/excel/2006/main">
          <x14:cfRule type="dataBar" id="{1da31ad9-9377-4de2-8bac-9281b27b30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M142</xm:sqref>
        </x14:conditionalFormatting>
        <x14:conditionalFormatting xmlns:xm="http://schemas.microsoft.com/office/excel/2006/main">
          <x14:cfRule type="dataBar" id="{2953ecb2-e04c-4398-9ff6-35c030817a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M157</xm:sqref>
        </x14:conditionalFormatting>
        <x14:conditionalFormatting xmlns:xm="http://schemas.microsoft.com/office/excel/2006/main">
          <x14:cfRule type="dataBar" id="{f90995ab-6f4a-41f6-8bff-42c33f4ab3e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I3:I4</xm:sqref>
        </x14:conditionalFormatting>
        <x14:conditionalFormatting xmlns:xm="http://schemas.microsoft.com/office/excel/2006/main">
          <x14:cfRule type="dataBar" id="{47236e06-9d30-4cf2-b2ce-fcf060b974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I6:I10</xm:sqref>
        </x14:conditionalFormatting>
        <x14:conditionalFormatting xmlns:xm="http://schemas.microsoft.com/office/excel/2006/main">
          <x14:cfRule type="dataBar" id="{cf09e903-fb3a-40fc-a838-7efd04c7cd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I11:I12</xm:sqref>
        </x14:conditionalFormatting>
        <x14:conditionalFormatting xmlns:xm="http://schemas.microsoft.com/office/excel/2006/main">
          <x14:cfRule type="dataBar" id="{903169ab-59f7-4014-974e-2bb7816323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I17:I22</xm:sqref>
        </x14:conditionalFormatting>
        <x14:conditionalFormatting xmlns:xm="http://schemas.microsoft.com/office/excel/2006/main">
          <x14:cfRule type="dataBar" id="{8b4eac34-ca9c-4919-a8d3-deffbc2dbef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I29:I34</xm:sqref>
        </x14:conditionalFormatting>
        <x14:conditionalFormatting xmlns:xm="http://schemas.microsoft.com/office/excel/2006/main">
          <x14:cfRule type="dataBar" id="{dd1e1f07-ab30-44b3-a787-12ad472008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I41:I48</xm:sqref>
        </x14:conditionalFormatting>
        <x14:conditionalFormatting xmlns:xm="http://schemas.microsoft.com/office/excel/2006/main">
          <x14:cfRule type="dataBar" id="{8bf9523c-08ab-4da5-ade6-38c256ebfe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I55:I62</xm:sqref>
        </x14:conditionalFormatting>
        <x14:conditionalFormatting xmlns:xm="http://schemas.microsoft.com/office/excel/2006/main">
          <x14:cfRule type="dataBar" id="{114dbabf-6da0-44bf-9f45-f6172e6fbb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I69:I74</xm:sqref>
        </x14:conditionalFormatting>
        <x14:conditionalFormatting xmlns:xm="http://schemas.microsoft.com/office/excel/2006/main">
          <x14:cfRule type="dataBar" id="{9310fba7-21f3-4871-ab99-7d5e9a8fc5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I81:I84</xm:sqref>
        </x14:conditionalFormatting>
        <x14:conditionalFormatting xmlns:xm="http://schemas.microsoft.com/office/excel/2006/main">
          <x14:cfRule type="dataBar" id="{4b8ae098-f599-49d6-87e4-bb6e591acac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I92:I96</xm:sqref>
        </x14:conditionalFormatting>
        <x14:conditionalFormatting xmlns:xm="http://schemas.microsoft.com/office/excel/2006/main">
          <x14:cfRule type="dataBar" id="{5827d2c9-0aca-4ced-9ab7-1c9f15a0c7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I104:I109</xm:sqref>
        </x14:conditionalFormatting>
        <x14:conditionalFormatting xmlns:xm="http://schemas.microsoft.com/office/excel/2006/main">
          <x14:cfRule type="dataBar" id="{0b50939e-f4b0-440e-b1e2-58628cbd8b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I116:I123</xm:sqref>
        </x14:conditionalFormatting>
        <x14:conditionalFormatting xmlns:xm="http://schemas.microsoft.com/office/excel/2006/main">
          <x14:cfRule type="dataBar" id="{078857a1-520c-436a-9ed7-ac8e15950f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I131:I136</xm:sqref>
        </x14:conditionalFormatting>
        <x14:conditionalFormatting xmlns:xm="http://schemas.microsoft.com/office/excel/2006/main">
          <x14:cfRule type="dataBar" id="{81827ff0-bf85-4c41-9446-57973bd914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I137:I138</xm:sqref>
        </x14:conditionalFormatting>
        <x14:conditionalFormatting xmlns:xm="http://schemas.microsoft.com/office/excel/2006/main">
          <x14:cfRule type="dataBar" id="{b9b2df63-deab-4619-9c16-a30459ac79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I143:I150</xm:sqref>
        </x14:conditionalFormatting>
        <x14:conditionalFormatting xmlns:xm="http://schemas.microsoft.com/office/excel/2006/main">
          <x14:cfRule type="dataBar" id="{85ab2c0d-a011-42c5-98ee-1299e17ce7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I158:I164</xm:sqref>
        </x14:conditionalFormatting>
        <x14:conditionalFormatting xmlns:xm="http://schemas.microsoft.com/office/excel/2006/main">
          <x14:cfRule type="dataBar" id="{b48c2fc9-88cf-4abf-af0f-fd1f0e7163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M3:M4</xm:sqref>
        </x14:conditionalFormatting>
        <x14:conditionalFormatting xmlns:xm="http://schemas.microsoft.com/office/excel/2006/main">
          <x14:cfRule type="dataBar" id="{5abb232a-b183-41f6-b6fe-d156fed75a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M6:M10</xm:sqref>
        </x14:conditionalFormatting>
        <x14:conditionalFormatting xmlns:xm="http://schemas.microsoft.com/office/excel/2006/main">
          <x14:cfRule type="dataBar" id="{c24092d9-dd42-41d6-a131-b68e20a512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M17:M22</xm:sqref>
        </x14:conditionalFormatting>
        <x14:conditionalFormatting xmlns:xm="http://schemas.microsoft.com/office/excel/2006/main">
          <x14:cfRule type="dataBar" id="{e9d22b74-91cf-4b05-886f-549f510ab6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M29:M34</xm:sqref>
        </x14:conditionalFormatting>
        <x14:conditionalFormatting xmlns:xm="http://schemas.microsoft.com/office/excel/2006/main">
          <x14:cfRule type="dataBar" id="{dcac1138-dbd9-437f-ad54-4404cfef7d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M41:M48</xm:sqref>
        </x14:conditionalFormatting>
        <x14:conditionalFormatting xmlns:xm="http://schemas.microsoft.com/office/excel/2006/main">
          <x14:cfRule type="dataBar" id="{2bc43212-279c-444b-b23e-9337d6109a3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M55:M62</xm:sqref>
        </x14:conditionalFormatting>
        <x14:conditionalFormatting xmlns:xm="http://schemas.microsoft.com/office/excel/2006/main">
          <x14:cfRule type="dataBar" id="{e9f1d13a-1692-4b42-b6bf-967141e9d04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M69:M74</xm:sqref>
        </x14:conditionalFormatting>
        <x14:conditionalFormatting xmlns:xm="http://schemas.microsoft.com/office/excel/2006/main">
          <x14:cfRule type="dataBar" id="{774a2a37-5026-48d2-9bdf-aacd3583b4d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M81:M84</xm:sqref>
        </x14:conditionalFormatting>
        <x14:conditionalFormatting xmlns:xm="http://schemas.microsoft.com/office/excel/2006/main">
          <x14:cfRule type="dataBar" id="{c3ac8ed2-295f-46c7-addf-58792abfb7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M92:M96</xm:sqref>
        </x14:conditionalFormatting>
        <x14:conditionalFormatting xmlns:xm="http://schemas.microsoft.com/office/excel/2006/main">
          <x14:cfRule type="dataBar" id="{c54dc4ab-e505-48c5-ac82-1edde3f93a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M104:M109</xm:sqref>
        </x14:conditionalFormatting>
        <x14:conditionalFormatting xmlns:xm="http://schemas.microsoft.com/office/excel/2006/main">
          <x14:cfRule type="dataBar" id="{8ddb04ea-6122-4fad-853f-829be61a82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M116:M123</xm:sqref>
        </x14:conditionalFormatting>
        <x14:conditionalFormatting xmlns:xm="http://schemas.microsoft.com/office/excel/2006/main">
          <x14:cfRule type="dataBar" id="{7f52eba2-493a-4c43-ab6c-2bded918d1d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M131:M136</xm:sqref>
        </x14:conditionalFormatting>
        <x14:conditionalFormatting xmlns:xm="http://schemas.microsoft.com/office/excel/2006/main">
          <x14:cfRule type="dataBar" id="{4cb2e9c2-b9e8-4f99-bed8-c8b1bdef34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M143:M150</xm:sqref>
        </x14:conditionalFormatting>
        <x14:conditionalFormatting xmlns:xm="http://schemas.microsoft.com/office/excel/2006/main">
          <x14:cfRule type="dataBar" id="{77b841f8-20b1-47d9-ab93-596201ef8b8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M158:M164</xm:sqref>
        </x14:conditionalFormatting>
        <x14:conditionalFormatting xmlns:xm="http://schemas.microsoft.com/office/excel/2006/main">
          <x14:cfRule type="dataBar" id="{3290beca-a39f-4f0e-bddc-e2761ff319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I23:I24 I16</xm:sqref>
        </x14:conditionalFormatting>
        <x14:conditionalFormatting xmlns:xm="http://schemas.microsoft.com/office/excel/2006/main">
          <x14:cfRule type="dataBar" id="{b03bab34-e04f-4394-a700-8678da298d7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I35:I36 I28</xm:sqref>
        </x14:conditionalFormatting>
        <x14:conditionalFormatting xmlns:xm="http://schemas.microsoft.com/office/excel/2006/main">
          <x14:cfRule type="dataBar" id="{bcff88d4-7bb7-4d2b-aebd-d396e1e831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I49:I50 I40</xm:sqref>
        </x14:conditionalFormatting>
        <x14:conditionalFormatting xmlns:xm="http://schemas.microsoft.com/office/excel/2006/main">
          <x14:cfRule type="dataBar" id="{b7e9b4fe-a09d-40b2-bf76-6ac1d127bb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I63:I64 I54</xm:sqref>
        </x14:conditionalFormatting>
        <x14:conditionalFormatting xmlns:xm="http://schemas.microsoft.com/office/excel/2006/main">
          <x14:cfRule type="dataBar" id="{a04f593a-0c0d-4c47-9ca4-f71e0f942b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I75:I76 I68</xm:sqref>
        </x14:conditionalFormatting>
        <x14:conditionalFormatting xmlns:xm="http://schemas.microsoft.com/office/excel/2006/main">
          <x14:cfRule type="dataBar" id="{d64c7626-edd7-445f-8339-d38f830ac1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I85:I86 I80</xm:sqref>
        </x14:conditionalFormatting>
        <x14:conditionalFormatting xmlns:xm="http://schemas.microsoft.com/office/excel/2006/main">
          <x14:cfRule type="dataBar" id="{c45af8a3-9900-4fa5-9efa-abc0c5ef7a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I97:I98 I91</xm:sqref>
        </x14:conditionalFormatting>
        <x14:conditionalFormatting xmlns:xm="http://schemas.microsoft.com/office/excel/2006/main">
          <x14:cfRule type="dataBar" id="{86c46f22-278d-4d9f-857e-8e2c81a28a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I110:I111 I103</xm:sqref>
        </x14:conditionalFormatting>
        <x14:conditionalFormatting xmlns:xm="http://schemas.microsoft.com/office/excel/2006/main">
          <x14:cfRule type="dataBar" id="{cf3f4fb9-e175-4e2c-baa0-82617de8e28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I125:I126 I115</xm:sqref>
        </x14:conditionalFormatting>
        <x14:conditionalFormatting xmlns:xm="http://schemas.microsoft.com/office/excel/2006/main">
          <x14:cfRule type="dataBar" id="{a478854c-2d08-4096-acf0-7cf6103037c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I152:I153 I142</xm:sqref>
        </x14:conditionalFormatting>
        <x14:conditionalFormatting xmlns:xm="http://schemas.microsoft.com/office/excel/2006/main">
          <x14:cfRule type="dataBar" id="{6a972ec8-26b1-47a0-9bb1-8140e67e66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I165:I166 I157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31"/>
  <sheetViews>
    <sheetView workbookViewId="0">
      <selection activeCell="A1" sqref="A1"/>
    </sheetView>
  </sheetViews>
  <sheetFormatPr defaultColWidth="9" defaultRowHeight="15.6"/>
  <cols>
    <col min="1" max="1" width="13.4444444444444" style="408" customWidth="1"/>
    <col min="2" max="2" width="39.8888888888889" style="408" customWidth="1"/>
    <col min="3" max="3" width="11.3333333333333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19.2222222222222" style="413" hidden="1" customWidth="1"/>
    <col min="14" max="14" width="7.33333333333333" style="414" hidden="1" customWidth="1"/>
    <col min="15" max="15" width="16.3333333333333" style="412" hidden="1" customWidth="1"/>
    <col min="16" max="16" width="96.4444444444444" style="528" customWidth="1"/>
    <col min="17" max="17" width="31.6666666666667" style="408" customWidth="1"/>
    <col min="18" max="18" width="14.8888888888889" style="408" customWidth="1"/>
    <col min="19" max="19" width="10.1111111111111" style="408" customWidth="1"/>
    <col min="20" max="20" width="17.1111111111111" style="416" customWidth="1"/>
    <col min="21" max="21" width="16.8888888888889" style="416" customWidth="1"/>
    <col min="22" max="22" width="10.8888888888889" style="408" hidden="1" customWidth="1"/>
    <col min="23" max="23" width="11.1111111111111" style="408" hidden="1" customWidth="1"/>
    <col min="24" max="16383" width="9" style="417"/>
  </cols>
  <sheetData>
    <row r="1" s="408" customFormat="1" ht="17.4" spans="1:23">
      <c r="A1" s="418" t="s">
        <v>145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43"/>
      <c r="N1" s="444"/>
      <c r="O1" s="422"/>
      <c r="P1" s="529"/>
      <c r="Q1" s="465"/>
      <c r="R1" s="424"/>
      <c r="S1" s="421"/>
      <c r="T1" s="466"/>
      <c r="U1" s="467"/>
      <c r="V1" s="467"/>
      <c r="W1" s="467"/>
    </row>
    <row r="2" s="409" customFormat="1" ht="46.8" spans="1:23">
      <c r="A2" s="423" t="s">
        <v>206</v>
      </c>
      <c r="B2" s="424" t="s">
        <v>207</v>
      </c>
      <c r="C2" s="425" t="s">
        <v>447</v>
      </c>
      <c r="D2" s="424" t="s">
        <v>209</v>
      </c>
      <c r="E2" s="426" t="s">
        <v>210</v>
      </c>
      <c r="F2" s="427" t="s">
        <v>485</v>
      </c>
      <c r="G2" s="427" t="s">
        <v>213</v>
      </c>
      <c r="H2" s="427" t="s">
        <v>396</v>
      </c>
      <c r="I2" s="445" t="s">
        <v>386</v>
      </c>
      <c r="J2" s="446" t="s">
        <v>449</v>
      </c>
      <c r="K2" s="446" t="s">
        <v>479</v>
      </c>
      <c r="L2" s="446" t="s">
        <v>215</v>
      </c>
      <c r="M2" s="447" t="s">
        <v>436</v>
      </c>
      <c r="N2" s="448" t="s">
        <v>219</v>
      </c>
      <c r="O2" s="449" t="s">
        <v>220</v>
      </c>
      <c r="P2" s="530" t="s">
        <v>221</v>
      </c>
      <c r="Q2" s="469" t="s">
        <v>222</v>
      </c>
      <c r="R2" s="426" t="s">
        <v>223</v>
      </c>
      <c r="S2" s="470" t="s">
        <v>224</v>
      </c>
      <c r="T2" s="467" t="s">
        <v>225</v>
      </c>
      <c r="U2" s="470" t="s">
        <v>226</v>
      </c>
      <c r="V2" s="467"/>
      <c r="W2" s="467"/>
    </row>
    <row r="3" s="408" customFormat="1" spans="1:23">
      <c r="A3" s="428" t="s">
        <v>230</v>
      </c>
      <c r="B3" s="421" t="s">
        <v>251</v>
      </c>
      <c r="C3" s="429" t="s">
        <v>233</v>
      </c>
      <c r="D3" s="421" t="s">
        <v>417</v>
      </c>
      <c r="E3" s="430"/>
      <c r="F3" s="430">
        <v>599072.666666667</v>
      </c>
      <c r="G3" s="430"/>
      <c r="H3" s="430"/>
      <c r="I3" s="450"/>
      <c r="J3" s="451">
        <v>0.257695251669707</v>
      </c>
      <c r="K3" s="451">
        <v>0.240632934970351</v>
      </c>
      <c r="L3" s="451">
        <v>0.239933683001215</v>
      </c>
      <c r="M3" s="452"/>
      <c r="N3" s="451"/>
      <c r="O3" s="430"/>
      <c r="P3" s="531">
        <f t="array" ref="P3">INDEX(正厂竞争者数据汇总!I:I,MATCH($A$1&amp;B3,正厂竞争者数据汇总!A:A&amp;正厂竞争者数据汇总!D:D,0))</f>
        <v>0</v>
      </c>
      <c r="Q3" s="429" t="s">
        <v>180</v>
      </c>
      <c r="R3" s="421" t="s">
        <v>180</v>
      </c>
      <c r="S3" s="472"/>
      <c r="T3" s="466"/>
      <c r="U3" s="466"/>
      <c r="V3" s="466"/>
      <c r="W3" s="466"/>
    </row>
    <row r="4" s="408" customFormat="1" ht="17.4" spans="1:23">
      <c r="A4" s="428" t="s">
        <v>230</v>
      </c>
      <c r="B4" s="421" t="s">
        <v>450</v>
      </c>
      <c r="C4" s="429" t="s">
        <v>233</v>
      </c>
      <c r="D4" s="421" t="s">
        <v>60</v>
      </c>
      <c r="E4" s="430"/>
      <c r="F4" s="430">
        <v>505851.666666667</v>
      </c>
      <c r="G4" s="430"/>
      <c r="H4" s="430"/>
      <c r="I4" s="450"/>
      <c r="J4" s="451">
        <v>0.217595593660659</v>
      </c>
      <c r="K4" s="451">
        <v>0.21949939806389</v>
      </c>
      <c r="L4" s="451">
        <v>0.207084022724113</v>
      </c>
      <c r="M4" s="452"/>
      <c r="N4" s="451"/>
      <c r="O4" s="430"/>
      <c r="P4" s="531" t="str">
        <f t="array" ref="P4">INDEX(正厂竞争者数据汇总!I:I,MATCH($A$1&amp;B4,正厂竞争者数据汇总!A:A&amp;正厂竞争者数据汇总!D:D,0))</f>
        <v>原gmpartsonline.net，202305网站导流到autopartspress.net。自2023年7月报告更新，将此竞品更名为autopartsexpress.net</v>
      </c>
      <c r="Q4" s="429" t="s">
        <v>254</v>
      </c>
      <c r="R4" s="421" t="s">
        <v>229</v>
      </c>
      <c r="S4" s="472"/>
      <c r="T4" s="466"/>
      <c r="U4" s="466"/>
      <c r="V4" s="466"/>
      <c r="W4" s="466"/>
    </row>
    <row r="5" s="410" customFormat="1" spans="1:23">
      <c r="A5" s="432" t="s">
        <v>227</v>
      </c>
      <c r="B5" s="435" t="s">
        <v>146</v>
      </c>
      <c r="C5" s="505" t="s">
        <v>441</v>
      </c>
      <c r="D5" s="435" t="s">
        <v>58</v>
      </c>
      <c r="E5" s="436"/>
      <c r="F5" s="436">
        <v>441050.75</v>
      </c>
      <c r="G5" s="436"/>
      <c r="H5" s="436"/>
      <c r="I5" s="510"/>
      <c r="J5" s="457">
        <v>0.189721031094218</v>
      </c>
      <c r="K5" s="457">
        <v>0.185589177035631</v>
      </c>
      <c r="L5" s="457">
        <v>0.189757318069908</v>
      </c>
      <c r="M5" s="461"/>
      <c r="N5" s="457"/>
      <c r="O5" s="436"/>
      <c r="P5" s="531">
        <f t="array" ref="P5">INDEX(正厂竞争者数据汇总!I:I,MATCH($A$1&amp;B5,正厂竞争者数据汇总!A:A&amp;正厂竞争者数据汇总!D:D,0))</f>
        <v>0</v>
      </c>
      <c r="Q5" s="434"/>
      <c r="R5" s="435"/>
      <c r="S5" s="476"/>
      <c r="T5" s="533" t="s">
        <v>486</v>
      </c>
      <c r="U5" s="477"/>
      <c r="V5" s="477"/>
      <c r="W5" s="477"/>
    </row>
    <row r="6" s="408" customFormat="1" spans="1:23">
      <c r="A6" s="428" t="s">
        <v>230</v>
      </c>
      <c r="B6" s="421" t="s">
        <v>252</v>
      </c>
      <c r="C6" s="429" t="s">
        <v>233</v>
      </c>
      <c r="D6" s="421" t="s">
        <v>58</v>
      </c>
      <c r="E6" s="430"/>
      <c r="F6" s="430">
        <v>241050.666666667</v>
      </c>
      <c r="G6" s="430"/>
      <c r="H6" s="430"/>
      <c r="I6" s="450"/>
      <c r="J6" s="451">
        <v>0.103689611741843</v>
      </c>
      <c r="K6" s="451">
        <v>0.10462913047845</v>
      </c>
      <c r="L6" s="451">
        <v>0.0969824061422108</v>
      </c>
      <c r="M6" s="452"/>
      <c r="N6" s="451"/>
      <c r="O6" s="430"/>
      <c r="P6" s="531">
        <f t="array" ref="P6">INDEX(正厂竞争者数据汇总!I:I,MATCH($A$1&amp;B6,正厂竞争者数据汇总!A:A&amp;正厂竞争者数据汇总!D:D,0))</f>
        <v>0</v>
      </c>
      <c r="Q6" s="429" t="s">
        <v>180</v>
      </c>
      <c r="R6" s="421" t="s">
        <v>180</v>
      </c>
      <c r="S6" s="472"/>
      <c r="T6" s="466"/>
      <c r="U6" s="466"/>
      <c r="V6" s="466"/>
      <c r="W6" s="466"/>
    </row>
    <row r="7" s="408" customFormat="1" spans="1:23">
      <c r="A7" s="428" t="s">
        <v>230</v>
      </c>
      <c r="B7" s="421" t="s">
        <v>258</v>
      </c>
      <c r="C7" s="429" t="s">
        <v>233</v>
      </c>
      <c r="D7" s="421" t="s">
        <v>59</v>
      </c>
      <c r="E7" s="430"/>
      <c r="F7" s="430">
        <v>147628.083333333</v>
      </c>
      <c r="G7" s="430"/>
      <c r="H7" s="430"/>
      <c r="I7" s="450"/>
      <c r="J7" s="451">
        <v>0.0635032412675029</v>
      </c>
      <c r="K7" s="451">
        <v>0.072428237276366</v>
      </c>
      <c r="L7" s="451">
        <v>0.0834911936641362</v>
      </c>
      <c r="M7" s="452"/>
      <c r="N7" s="451"/>
      <c r="O7" s="430"/>
      <c r="P7" s="531">
        <f t="array" ref="P7">INDEX(正厂竞争者数据汇总!I:I,MATCH($A$1&amp;B7,正厂竞争者数据汇总!A:A&amp;正厂竞争者数据汇总!D:D,0))</f>
        <v>0</v>
      </c>
      <c r="Q7" s="429" t="s">
        <v>180</v>
      </c>
      <c r="R7" s="421"/>
      <c r="S7" s="472"/>
      <c r="T7" s="466"/>
      <c r="U7" s="466"/>
      <c r="V7" s="466"/>
      <c r="W7" s="466"/>
    </row>
    <row r="8" s="408" customFormat="1" spans="1:23">
      <c r="A8" s="428" t="s">
        <v>487</v>
      </c>
      <c r="B8" s="421" t="s">
        <v>256</v>
      </c>
      <c r="C8" s="429" t="s">
        <v>441</v>
      </c>
      <c r="D8" s="421" t="s">
        <v>418</v>
      </c>
      <c r="E8" s="430"/>
      <c r="F8" s="430">
        <v>137476.333333333</v>
      </c>
      <c r="G8" s="430"/>
      <c r="H8" s="430"/>
      <c r="I8" s="450"/>
      <c r="J8" s="451">
        <v>0.0591363957799695</v>
      </c>
      <c r="K8" s="451">
        <v>0.0514132677012436</v>
      </c>
      <c r="L8" s="451">
        <v>0.0511214860664873</v>
      </c>
      <c r="M8" s="452"/>
      <c r="N8" s="451"/>
      <c r="O8" s="430"/>
      <c r="P8" s="531">
        <f t="array" ref="P8">INDEX(正厂竞争者数据汇总!I:I,MATCH($A$1&amp;B8,正厂竞争者数据汇总!A:A&amp;正厂竞争者数据汇总!D:D,0))</f>
        <v>0</v>
      </c>
      <c r="Q8" s="429" t="s">
        <v>257</v>
      </c>
      <c r="R8" s="421" t="s">
        <v>229</v>
      </c>
      <c r="S8" s="472"/>
      <c r="T8" s="466"/>
      <c r="U8" s="466"/>
      <c r="V8" s="466"/>
      <c r="W8" s="466"/>
    </row>
    <row r="9" s="408" customFormat="1" spans="1:23">
      <c r="A9" s="428" t="s">
        <v>230</v>
      </c>
      <c r="B9" s="421" t="s">
        <v>255</v>
      </c>
      <c r="C9" s="429" t="s">
        <v>233</v>
      </c>
      <c r="D9" s="421" t="s">
        <v>419</v>
      </c>
      <c r="E9" s="430"/>
      <c r="F9" s="430">
        <v>136792.21</v>
      </c>
      <c r="G9" s="430"/>
      <c r="H9" s="430"/>
      <c r="I9" s="450"/>
      <c r="J9" s="451">
        <v>0.0588421153956928</v>
      </c>
      <c r="K9" s="451">
        <v>0.0654793454651066</v>
      </c>
      <c r="L9" s="451">
        <v>0.0646490245989127</v>
      </c>
      <c r="M9" s="452"/>
      <c r="N9" s="451"/>
      <c r="O9" s="430"/>
      <c r="P9" s="531" t="str">
        <f t="array" ref="P9">INDEX(正厂竞争者数据汇总!I:I,MATCH($A$1&amp;B9,正厂竞争者数据汇总!A:A&amp;正厂竞争者数据汇总!D:D,0))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9" s="429" t="s">
        <v>180</v>
      </c>
      <c r="R9" s="421" t="s">
        <v>180</v>
      </c>
      <c r="S9" s="472"/>
      <c r="T9" s="466"/>
      <c r="U9" s="466"/>
      <c r="V9" s="466"/>
      <c r="W9" s="466"/>
    </row>
    <row r="10" s="408" customFormat="1" spans="1:23">
      <c r="A10" s="428" t="s">
        <v>230</v>
      </c>
      <c r="B10" s="421" t="s">
        <v>437</v>
      </c>
      <c r="C10" s="429" t="s">
        <v>233</v>
      </c>
      <c r="D10" s="421" t="s">
        <v>451</v>
      </c>
      <c r="E10" s="430"/>
      <c r="F10" s="430">
        <v>115810.666666666</v>
      </c>
      <c r="G10" s="430"/>
      <c r="H10" s="430"/>
      <c r="I10" s="450"/>
      <c r="J10" s="451">
        <v>0.0498167593904073</v>
      </c>
      <c r="K10" s="451">
        <v>0.0603285090089615</v>
      </c>
      <c r="L10" s="451">
        <v>0.066980865733017</v>
      </c>
      <c r="M10" s="452"/>
      <c r="N10" s="451"/>
      <c r="O10" s="430"/>
      <c r="P10" s="531">
        <f t="array" ref="P10">INDEX(正厂竞争者数据汇总!I:I,MATCH($A$1&amp;B10,正厂竞争者数据汇总!A:A&amp;正厂竞争者数据汇总!D:D,0))</f>
        <v>0</v>
      </c>
      <c r="Q10" s="429" t="s">
        <v>180</v>
      </c>
      <c r="R10" s="421" t="s">
        <v>180</v>
      </c>
      <c r="S10" s="472"/>
      <c r="T10" s="466"/>
      <c r="U10" s="466"/>
      <c r="V10" s="466"/>
      <c r="W10" s="466"/>
    </row>
    <row r="11" s="410" customFormat="1" spans="1:23">
      <c r="A11" s="428"/>
      <c r="B11" s="431"/>
      <c r="C11" s="429"/>
      <c r="D11" s="421"/>
      <c r="E11" s="430"/>
      <c r="F11" s="430"/>
      <c r="G11" s="430"/>
      <c r="H11" s="430"/>
      <c r="I11" s="450"/>
      <c r="J11" s="455"/>
      <c r="K11" s="455"/>
      <c r="L11" s="455"/>
      <c r="M11" s="452"/>
      <c r="N11" s="457"/>
      <c r="O11" s="436"/>
      <c r="P11" s="531"/>
      <c r="Q11" s="434"/>
      <c r="R11" s="435"/>
      <c r="S11" s="473"/>
      <c r="T11" s="477"/>
      <c r="U11" s="466"/>
      <c r="V11" s="435"/>
      <c r="W11" s="435"/>
    </row>
    <row r="12" s="408" customFormat="1" spans="1:23">
      <c r="A12" s="428"/>
      <c r="B12" s="421"/>
      <c r="C12" s="439"/>
      <c r="D12" s="421"/>
      <c r="E12" s="430"/>
      <c r="F12" s="430">
        <v>2324733.04333333</v>
      </c>
      <c r="G12" s="430"/>
      <c r="H12" s="430"/>
      <c r="I12" s="453"/>
      <c r="J12" s="430"/>
      <c r="K12" s="430"/>
      <c r="L12" s="430"/>
      <c r="M12" s="451"/>
      <c r="N12" s="451"/>
      <c r="O12" s="430"/>
      <c r="P12" s="531"/>
      <c r="Q12" s="429"/>
      <c r="R12" s="421"/>
      <c r="S12" s="473"/>
      <c r="T12" s="466"/>
      <c r="U12" s="466"/>
      <c r="V12" s="421"/>
      <c r="W12" s="421"/>
    </row>
    <row r="13" s="408" customFormat="1" spans="1:23">
      <c r="A13" s="428"/>
      <c r="B13" s="421"/>
      <c r="C13" s="439"/>
      <c r="D13" s="421"/>
      <c r="E13" s="430"/>
      <c r="F13" s="430"/>
      <c r="G13" s="430"/>
      <c r="H13" s="430"/>
      <c r="I13" s="453"/>
      <c r="J13" s="430"/>
      <c r="K13" s="430"/>
      <c r="L13" s="430"/>
      <c r="M13" s="451"/>
      <c r="N13" s="451"/>
      <c r="O13" s="430"/>
      <c r="P13" s="531"/>
      <c r="Q13" s="429"/>
      <c r="R13" s="421"/>
      <c r="S13" s="473"/>
      <c r="T13" s="466"/>
      <c r="U13" s="466"/>
      <c r="V13" s="421"/>
      <c r="W13" s="421"/>
    </row>
    <row r="14" s="408" customFormat="1" ht="17.4" spans="1:23">
      <c r="A14" s="418" t="s">
        <v>138</v>
      </c>
      <c r="B14" s="419"/>
      <c r="C14" s="420"/>
      <c r="D14" s="421"/>
      <c r="E14" s="422" t="s">
        <v>202</v>
      </c>
      <c r="F14" s="422"/>
      <c r="G14" s="422"/>
      <c r="H14" s="422"/>
      <c r="I14" s="422"/>
      <c r="J14" s="422"/>
      <c r="K14" s="422"/>
      <c r="L14" s="422"/>
      <c r="M14" s="443"/>
      <c r="N14" s="444"/>
      <c r="O14" s="422"/>
      <c r="P14" s="531"/>
      <c r="Q14" s="465"/>
      <c r="R14" s="424"/>
      <c r="S14" s="473"/>
      <c r="T14" s="467"/>
      <c r="U14" s="467"/>
      <c r="V14" s="467"/>
      <c r="W14" s="467"/>
    </row>
    <row r="15" s="409" customFormat="1" ht="46.8" spans="1:23">
      <c r="A15" s="423" t="s">
        <v>206</v>
      </c>
      <c r="B15" s="424" t="s">
        <v>207</v>
      </c>
      <c r="C15" s="425" t="s">
        <v>447</v>
      </c>
      <c r="D15" s="424" t="s">
        <v>209</v>
      </c>
      <c r="E15" s="426" t="s">
        <v>210</v>
      </c>
      <c r="F15" s="427" t="s">
        <v>485</v>
      </c>
      <c r="G15" s="427" t="s">
        <v>213</v>
      </c>
      <c r="H15" s="427" t="s">
        <v>396</v>
      </c>
      <c r="I15" s="427" t="s">
        <v>386</v>
      </c>
      <c r="J15" s="446" t="s">
        <v>449</v>
      </c>
      <c r="K15" s="446" t="s">
        <v>479</v>
      </c>
      <c r="L15" s="446" t="s">
        <v>215</v>
      </c>
      <c r="M15" s="447" t="s">
        <v>436</v>
      </c>
      <c r="N15" s="448" t="s">
        <v>219</v>
      </c>
      <c r="O15" s="449" t="s">
        <v>220</v>
      </c>
      <c r="P15" s="530" t="s">
        <v>221</v>
      </c>
      <c r="Q15" s="469" t="s">
        <v>222</v>
      </c>
      <c r="R15" s="426" t="s">
        <v>223</v>
      </c>
      <c r="S15" s="470" t="s">
        <v>224</v>
      </c>
      <c r="T15" s="467" t="s">
        <v>225</v>
      </c>
      <c r="U15" s="470" t="s">
        <v>226</v>
      </c>
      <c r="V15" s="467"/>
      <c r="W15" s="467"/>
    </row>
    <row r="16" s="410" customFormat="1" ht="17.4" spans="1:23">
      <c r="A16" s="432" t="s">
        <v>227</v>
      </c>
      <c r="B16" s="435" t="s">
        <v>139</v>
      </c>
      <c r="C16" s="434" t="s">
        <v>441</v>
      </c>
      <c r="D16" s="435" t="s">
        <v>49</v>
      </c>
      <c r="E16" s="436">
        <f>VLOOKUP(B16,正厂竞争者数据汇总!D:H,4,FALSE)</f>
        <v>0</v>
      </c>
      <c r="F16" s="436">
        <v>1378729.16666667</v>
      </c>
      <c r="G16" s="436">
        <v>1150833.33333333</v>
      </c>
      <c r="H16" s="436">
        <v>1200750</v>
      </c>
      <c r="I16" s="454">
        <f>(F16/G16)-1</f>
        <v>0.198026792179586</v>
      </c>
      <c r="J16" s="455">
        <v>0.523149843909333</v>
      </c>
      <c r="K16" s="455">
        <v>0.526115937370734</v>
      </c>
      <c r="L16" s="455">
        <v>0.525844767628636</v>
      </c>
      <c r="M16" s="456">
        <f>J16-K16</f>
        <v>-0.00296609346140109</v>
      </c>
      <c r="N16" s="455" t="str">
        <f>IFERROR(O16*0.5/$F$16,"")</f>
        <v/>
      </c>
      <c r="O16" s="436" t="s">
        <v>180</v>
      </c>
      <c r="P16" s="531">
        <f t="array" ref="P16">INDEX(正厂竞争者数据汇总!I:I,MATCH($A$14&amp;B16,正厂竞争者数据汇总!A:A&amp;正厂竞争者数据汇总!D:D,0))</f>
        <v>0</v>
      </c>
      <c r="Q16" s="434" t="s">
        <v>228</v>
      </c>
      <c r="R16" s="435" t="s">
        <v>229</v>
      </c>
      <c r="S16" s="476"/>
      <c r="T16" s="477"/>
      <c r="U16" s="477"/>
      <c r="V16" s="477"/>
      <c r="W16" s="477"/>
    </row>
    <row r="17" s="408" customFormat="1" spans="1:23">
      <c r="A17" s="428" t="s">
        <v>230</v>
      </c>
      <c r="B17" s="421" t="s">
        <v>231</v>
      </c>
      <c r="C17" s="429" t="s">
        <v>441</v>
      </c>
      <c r="D17" s="421" t="s">
        <v>60</v>
      </c>
      <c r="E17" s="430"/>
      <c r="F17" s="430">
        <v>446889.526666667</v>
      </c>
      <c r="G17" s="430"/>
      <c r="H17" s="430"/>
      <c r="I17" s="450"/>
      <c r="J17" s="451">
        <v>0.169569333682563</v>
      </c>
      <c r="K17" s="451">
        <v>0.168730988987532</v>
      </c>
      <c r="L17" s="451">
        <v>0.189389440445972</v>
      </c>
      <c r="M17" s="452"/>
      <c r="N17" s="451"/>
      <c r="O17" s="430"/>
      <c r="P17" s="531">
        <f t="array" ref="P17">INDEX(正厂竞争者数据汇总!I:I,MATCH($A$14&amp;B17,正厂竞争者数据汇总!A:A&amp;正厂竞争者数据汇总!D:D,0))</f>
        <v>0</v>
      </c>
      <c r="Q17" s="429"/>
      <c r="R17" s="421"/>
      <c r="S17" s="472"/>
      <c r="T17" s="466"/>
      <c r="U17" s="466"/>
      <c r="V17" s="466"/>
      <c r="W17" s="466"/>
    </row>
    <row r="18" s="408" customFormat="1" spans="1:23">
      <c r="A18" s="428" t="s">
        <v>230</v>
      </c>
      <c r="B18" s="421" t="s">
        <v>236</v>
      </c>
      <c r="C18" s="429" t="s">
        <v>441</v>
      </c>
      <c r="D18" s="421" t="s">
        <v>412</v>
      </c>
      <c r="E18" s="430"/>
      <c r="F18" s="430">
        <v>250231.5</v>
      </c>
      <c r="G18" s="430"/>
      <c r="H18" s="430"/>
      <c r="I18" s="450"/>
      <c r="J18" s="451">
        <v>0.0949487204094577</v>
      </c>
      <c r="K18" s="451">
        <v>0.0930789658194296</v>
      </c>
      <c r="L18" s="451">
        <v>0.0909731690963064</v>
      </c>
      <c r="M18" s="452"/>
      <c r="N18" s="451"/>
      <c r="O18" s="430"/>
      <c r="P18" s="531" t="str">
        <f t="array" ref="P18">INDEX(正厂竞争者数据汇总!I:I,MATCH($A$14&amp;B18,正厂竞争者数据汇总!A:A&amp;正厂竞争者数据汇总!D:D,0))</f>
        <v>2022年1月 新加入 CompetitorSites
2022年1月 新加入 MarketingShare</v>
      </c>
      <c r="Q18" s="429"/>
      <c r="R18" s="421"/>
      <c r="S18" s="472"/>
      <c r="T18" s="466"/>
      <c r="U18" s="466"/>
      <c r="V18" s="466"/>
      <c r="W18" s="466"/>
    </row>
    <row r="19" s="408" customFormat="1" spans="1:23">
      <c r="A19" s="428" t="s">
        <v>230</v>
      </c>
      <c r="B19" s="421" t="s">
        <v>235</v>
      </c>
      <c r="C19" s="429" t="s">
        <v>441</v>
      </c>
      <c r="D19" s="421" t="s">
        <v>411</v>
      </c>
      <c r="E19" s="430"/>
      <c r="F19" s="430">
        <v>210679.666666667</v>
      </c>
      <c r="G19" s="430"/>
      <c r="H19" s="430"/>
      <c r="I19" s="450"/>
      <c r="J19" s="451">
        <v>0.0799410336679879</v>
      </c>
      <c r="K19" s="451">
        <v>0.0869496966412298</v>
      </c>
      <c r="L19" s="451">
        <v>0.0886237030416339</v>
      </c>
      <c r="M19" s="452"/>
      <c r="N19" s="451"/>
      <c r="O19" s="430"/>
      <c r="P19" s="531" t="str">
        <f t="array" ref="P19">INDEX(正厂竞争者数据汇总!I:I,MATCH($A$14&amp;B19,正厂竞争者数据汇总!A:A&amp;正厂竞争者数据汇总!D:D,0))</f>
        <v>2021年06月新加竞争者</v>
      </c>
      <c r="Q19" s="429"/>
      <c r="R19" s="421"/>
      <c r="S19" s="472"/>
      <c r="T19" s="466"/>
      <c r="U19" s="466"/>
      <c r="V19" s="466"/>
      <c r="W19" s="466"/>
    </row>
    <row r="20" s="408" customFormat="1" spans="1:23">
      <c r="A20" s="428" t="s">
        <v>230</v>
      </c>
      <c r="B20" t="s">
        <v>237</v>
      </c>
      <c r="C20" s="429" t="s">
        <v>441</v>
      </c>
      <c r="D20" s="421" t="s">
        <v>250</v>
      </c>
      <c r="E20" s="430"/>
      <c r="F20" s="430">
        <v>166887.333333333</v>
      </c>
      <c r="G20" s="430"/>
      <c r="H20" s="430"/>
      <c r="I20" s="450"/>
      <c r="J20" s="451">
        <v>0.0633243166929287</v>
      </c>
      <c r="K20" s="451">
        <v>0.0609091786810765</v>
      </c>
      <c r="L20" s="451">
        <v>0.0586408346633525</v>
      </c>
      <c r="M20" s="452"/>
      <c r="N20" s="451"/>
      <c r="O20" s="430"/>
      <c r="P20" s="525">
        <f t="array" ref="P20">INDEX(正厂竞争者数据汇总!I:I,MATCH($A$14&amp;B20,正厂竞争者数据汇总!A:A&amp;正厂竞争者数据汇总!D:D,0))</f>
        <v>0</v>
      </c>
      <c r="Q20" s="429"/>
      <c r="R20" s="421"/>
      <c r="S20" s="472"/>
      <c r="T20" s="466"/>
      <c r="U20" s="466"/>
      <c r="V20" s="466"/>
      <c r="W20" s="466"/>
    </row>
    <row r="21" s="408" customFormat="1" spans="1:23">
      <c r="A21" s="428" t="s">
        <v>238</v>
      </c>
      <c r="B21" s="421" t="s">
        <v>239</v>
      </c>
      <c r="C21" s="429" t="s">
        <v>441</v>
      </c>
      <c r="D21" s="421" t="s">
        <v>250</v>
      </c>
      <c r="E21" s="430"/>
      <c r="F21" s="430">
        <v>100673</v>
      </c>
      <c r="G21" s="430"/>
      <c r="H21" s="430"/>
      <c r="I21" s="450"/>
      <c r="J21" s="451">
        <v>0.0381997171810157</v>
      </c>
      <c r="K21" s="451">
        <v>0.0352384163342712</v>
      </c>
      <c r="L21" s="451">
        <v>0.0465280851240991</v>
      </c>
      <c r="M21" s="452"/>
      <c r="N21" s="451"/>
      <c r="O21" s="430"/>
      <c r="P21" s="531" t="str">
        <f t="array" ref="P21">INDEX(正厂竞争者数据汇总!I:I,MATCH($A$14&amp;B21,正厂竞争者数据汇总!A:A&amp;正厂竞争者数据汇总!D:D,0))</f>
        <v>2023年10月，Semrush中仅能获取acura子域名流量</v>
      </c>
      <c r="Q21" s="429"/>
      <c r="R21" s="421"/>
      <c r="S21" s="472"/>
      <c r="T21" s="466"/>
      <c r="U21" s="466"/>
      <c r="V21" s="466"/>
      <c r="W21" s="466"/>
    </row>
    <row r="22" s="408" customFormat="1" spans="1:23">
      <c r="A22" s="428" t="s">
        <v>230</v>
      </c>
      <c r="B22" s="421" t="s">
        <v>232</v>
      </c>
      <c r="C22" s="429" t="s">
        <v>233</v>
      </c>
      <c r="D22" s="421" t="s">
        <v>234</v>
      </c>
      <c r="E22" s="430"/>
      <c r="F22" s="430">
        <v>81348.1666666665</v>
      </c>
      <c r="G22" s="430"/>
      <c r="H22" s="430"/>
      <c r="I22" s="450"/>
      <c r="J22" s="451">
        <v>0.0308670344567142</v>
      </c>
      <c r="K22" s="451">
        <v>0.0289768161657265</v>
      </c>
      <c r="L22" s="451">
        <v>0.0324559514757223</v>
      </c>
      <c r="M22" s="452"/>
      <c r="N22" s="451"/>
      <c r="O22" s="430"/>
      <c r="P22" s="531" t="str">
        <f t="array" ref="P22">INDEX(正厂竞争者数据汇总!I:I,MATCH($A$14&amp;B22,正厂竞争者数据汇总!A:A&amp;正厂竞争者数据汇总!D:D,0))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流量折算比例：Acura:8%,BMW:0%,Ford:20%,GM:5%,Honda:17%,Hyundai:8%,Infiniti:2%,Kia:5%,Lexus:2%,Mopar:9%,Nissan:14%,Subaru:5%,Toyota:6%，折算比例为0的网站按照除0外最低折算比例计。2024年1月因为市场份额超过5%加入MS监控</v>
      </c>
      <c r="Q22" s="429"/>
      <c r="R22" s="421"/>
      <c r="S22" s="472"/>
      <c r="T22" s="466"/>
      <c r="U22" s="466"/>
      <c r="V22" s="466"/>
      <c r="W22" s="466"/>
    </row>
    <row r="23" s="410" customFormat="1" spans="1:23">
      <c r="A23" s="432"/>
      <c r="B23" s="435"/>
      <c r="C23" s="434"/>
      <c r="D23" s="435"/>
      <c r="E23" s="430"/>
      <c r="F23" s="430"/>
      <c r="G23" s="430"/>
      <c r="H23" s="430"/>
      <c r="I23" s="453"/>
      <c r="J23" s="436"/>
      <c r="K23" s="436"/>
      <c r="L23" s="436"/>
      <c r="M23" s="451"/>
      <c r="N23" s="455"/>
      <c r="O23" s="436"/>
      <c r="P23" s="531"/>
      <c r="Q23" s="434"/>
      <c r="R23" s="435"/>
      <c r="S23" s="473"/>
      <c r="T23" s="477"/>
      <c r="U23" s="466"/>
      <c r="V23" s="435"/>
      <c r="W23" s="435"/>
    </row>
    <row r="24" s="408" customFormat="1" spans="1:23">
      <c r="A24" s="428"/>
      <c r="B24" s="421"/>
      <c r="C24" s="439"/>
      <c r="D24" s="421"/>
      <c r="E24" s="430"/>
      <c r="F24" s="430">
        <v>2635438.36</v>
      </c>
      <c r="G24" s="430">
        <v>2122774.16666666</v>
      </c>
      <c r="H24" s="430">
        <v>2262821.16666667</v>
      </c>
      <c r="I24" s="453">
        <f>(F24/G24)-1</f>
        <v>0.241506704473592</v>
      </c>
      <c r="J24" s="451"/>
      <c r="K24" s="451"/>
      <c r="L24" s="451"/>
      <c r="M24" s="451"/>
      <c r="N24" s="451">
        <f>SUM(N16:N17)</f>
        <v>0</v>
      </c>
      <c r="O24" s="451"/>
      <c r="P24" s="531"/>
      <c r="Q24" s="429"/>
      <c r="R24" s="421"/>
      <c r="S24" s="473"/>
      <c r="T24" s="466"/>
      <c r="U24" s="466"/>
      <c r="V24" s="421"/>
      <c r="W24" s="421"/>
    </row>
    <row r="25" s="408" customFormat="1" spans="1:23">
      <c r="A25" s="428"/>
      <c r="B25" s="421"/>
      <c r="C25" s="439"/>
      <c r="D25" s="421"/>
      <c r="E25" s="430"/>
      <c r="F25" s="430"/>
      <c r="G25" s="430"/>
      <c r="H25" s="430"/>
      <c r="I25" s="453"/>
      <c r="J25" s="430"/>
      <c r="K25" s="430"/>
      <c r="L25" s="430"/>
      <c r="M25" s="451"/>
      <c r="N25" s="451"/>
      <c r="O25" s="430"/>
      <c r="P25" s="531"/>
      <c r="Q25" s="429"/>
      <c r="R25" s="421"/>
      <c r="S25" s="473"/>
      <c r="T25" s="466"/>
      <c r="U25" s="466"/>
      <c r="V25" s="421"/>
      <c r="W25" s="421"/>
    </row>
    <row r="26" s="408" customFormat="1" ht="17.4" spans="1:23">
      <c r="A26" s="418" t="s">
        <v>141</v>
      </c>
      <c r="B26" s="441"/>
      <c r="C26" s="420"/>
      <c r="D26" s="421"/>
      <c r="E26" s="422" t="s">
        <v>202</v>
      </c>
      <c r="F26" s="422"/>
      <c r="G26" s="422"/>
      <c r="H26" s="422"/>
      <c r="I26" s="422"/>
      <c r="J26" s="422"/>
      <c r="K26" s="422"/>
      <c r="L26" s="422"/>
      <c r="M26" s="443"/>
      <c r="N26" s="444"/>
      <c r="O26" s="422"/>
      <c r="P26" s="531"/>
      <c r="Q26" s="465"/>
      <c r="R26" s="424"/>
      <c r="S26" s="473"/>
      <c r="T26" s="467"/>
      <c r="U26" s="467"/>
      <c r="V26" s="467"/>
      <c r="W26" s="467"/>
    </row>
    <row r="27" s="409" customFormat="1" ht="46.8" spans="1:23">
      <c r="A27" s="423" t="s">
        <v>206</v>
      </c>
      <c r="B27" s="424" t="s">
        <v>207</v>
      </c>
      <c r="C27" s="425" t="s">
        <v>447</v>
      </c>
      <c r="D27" s="424" t="s">
        <v>209</v>
      </c>
      <c r="E27" s="426" t="s">
        <v>210</v>
      </c>
      <c r="F27" s="427" t="s">
        <v>485</v>
      </c>
      <c r="G27" s="427" t="s">
        <v>213</v>
      </c>
      <c r="H27" s="427" t="s">
        <v>396</v>
      </c>
      <c r="I27" s="427" t="s">
        <v>386</v>
      </c>
      <c r="J27" s="446" t="s">
        <v>449</v>
      </c>
      <c r="K27" s="446" t="s">
        <v>479</v>
      </c>
      <c r="L27" s="446" t="s">
        <v>215</v>
      </c>
      <c r="M27" s="447" t="s">
        <v>436</v>
      </c>
      <c r="N27" s="448" t="s">
        <v>219</v>
      </c>
      <c r="O27" s="449" t="s">
        <v>220</v>
      </c>
      <c r="P27" s="530" t="s">
        <v>221</v>
      </c>
      <c r="Q27" s="469" t="s">
        <v>222</v>
      </c>
      <c r="R27" s="426" t="s">
        <v>223</v>
      </c>
      <c r="S27" s="470" t="s">
        <v>224</v>
      </c>
      <c r="T27" s="467" t="s">
        <v>225</v>
      </c>
      <c r="U27" s="470" t="s">
        <v>226</v>
      </c>
      <c r="V27" s="467"/>
      <c r="W27" s="467"/>
    </row>
    <row r="28" s="410" customFormat="1" ht="17.4" spans="1:23">
      <c r="A28" s="432" t="s">
        <v>227</v>
      </c>
      <c r="B28" s="433" t="s">
        <v>142</v>
      </c>
      <c r="C28" s="434" t="s">
        <v>441</v>
      </c>
      <c r="D28" s="435" t="s">
        <v>49</v>
      </c>
      <c r="E28" s="436">
        <f>VLOOKUP(B28,正厂竞争者数据汇总!D:H,4,FALSE)</f>
        <v>0</v>
      </c>
      <c r="F28" s="436">
        <v>578657.916666667</v>
      </c>
      <c r="G28" s="436">
        <v>506654</v>
      </c>
      <c r="H28" s="436">
        <v>541471.75</v>
      </c>
      <c r="I28" s="454">
        <f>(F28/G28)-1</f>
        <v>0.142116546334712</v>
      </c>
      <c r="J28" s="455">
        <v>0.343691060224751</v>
      </c>
      <c r="K28" s="455">
        <v>0.323485474711538</v>
      </c>
      <c r="L28" s="455">
        <v>0.309889369452836</v>
      </c>
      <c r="M28" s="456">
        <f>J28-K28</f>
        <v>0.020205585513213</v>
      </c>
      <c r="N28" s="455" t="str">
        <f>IFERROR(O28*0.5/#REF!,"")</f>
        <v/>
      </c>
      <c r="O28" s="436" t="s">
        <v>180</v>
      </c>
      <c r="P28" s="531">
        <f t="array" ref="P28">INDEX(正厂竞争者数据汇总!I:I,MATCH($A$26&amp;B28,正厂竞争者数据汇总!A:A&amp;正厂竞争者数据汇总!D:D,0))</f>
        <v>0</v>
      </c>
      <c r="Q28" s="434" t="s">
        <v>241</v>
      </c>
      <c r="R28" s="435" t="s">
        <v>229</v>
      </c>
      <c r="S28" s="476"/>
      <c r="T28" s="477"/>
      <c r="U28" s="477"/>
      <c r="V28" s="435"/>
      <c r="W28" s="435"/>
    </row>
    <row r="29" s="408" customFormat="1" spans="1:23">
      <c r="A29" s="428" t="s">
        <v>230</v>
      </c>
      <c r="B29" s="421" t="s">
        <v>242</v>
      </c>
      <c r="C29" s="429" t="s">
        <v>233</v>
      </c>
      <c r="D29" s="421" t="s">
        <v>414</v>
      </c>
      <c r="E29" s="430"/>
      <c r="F29" s="430">
        <v>300875.416666667</v>
      </c>
      <c r="G29" s="430"/>
      <c r="H29" s="430"/>
      <c r="I29" s="450"/>
      <c r="J29" s="512">
        <v>0.178703492981499</v>
      </c>
      <c r="K29" s="451">
        <v>0.177400763253243</v>
      </c>
      <c r="L29" s="451">
        <v>0.201475275022021</v>
      </c>
      <c r="M29" s="452"/>
      <c r="N29" s="451"/>
      <c r="O29" s="430"/>
      <c r="P29" s="531">
        <f t="array" ref="P29">INDEX(正厂竞争者数据汇总!I:I,MATCH($A$26&amp;B29,正厂竞争者数据汇总!A:A&amp;正厂竞争者数据汇总!D:D,0))</f>
        <v>0</v>
      </c>
      <c r="Q29" s="429"/>
      <c r="R29" s="421"/>
      <c r="S29" s="472"/>
      <c r="T29" s="466"/>
      <c r="U29" s="466"/>
      <c r="V29" s="466"/>
      <c r="W29" s="466"/>
    </row>
    <row r="30" s="408" customFormat="1" spans="1:23">
      <c r="A30" s="428" t="s">
        <v>243</v>
      </c>
      <c r="B30" s="421" t="s">
        <v>244</v>
      </c>
      <c r="C30" s="429" t="s">
        <v>454</v>
      </c>
      <c r="D30" s="421" t="s">
        <v>266</v>
      </c>
      <c r="E30" s="430"/>
      <c r="F30" s="430">
        <v>232192.666666667</v>
      </c>
      <c r="G30" s="430"/>
      <c r="H30" s="430"/>
      <c r="I30" s="450"/>
      <c r="J30" s="512">
        <v>0.137909707073184</v>
      </c>
      <c r="K30" s="451">
        <v>0.142197215958888</v>
      </c>
      <c r="L30" s="451">
        <v>0.129756441678851</v>
      </c>
      <c r="M30" s="452"/>
      <c r="N30" s="451"/>
      <c r="O30" s="430"/>
      <c r="P30" s="531">
        <f t="array" ref="P30">INDEX(正厂竞争者数据汇总!I:I,MATCH($A$26&amp;B30,正厂竞争者数据汇总!A:A&amp;正厂竞争者数据汇总!D:D,0))</f>
        <v>0</v>
      </c>
      <c r="Q30" s="429"/>
      <c r="R30" s="421"/>
      <c r="S30" s="472"/>
      <c r="T30" s="466"/>
      <c r="U30" s="466"/>
      <c r="V30" s="466"/>
      <c r="W30" s="466"/>
    </row>
    <row r="31" s="408" customFormat="1" spans="1:23">
      <c r="A31" s="428" t="s">
        <v>230</v>
      </c>
      <c r="B31" s="421" t="s">
        <v>249</v>
      </c>
      <c r="C31" s="429" t="s">
        <v>233</v>
      </c>
      <c r="D31" s="421" t="s">
        <v>250</v>
      </c>
      <c r="E31" s="430"/>
      <c r="F31" s="430">
        <v>159029.75</v>
      </c>
      <c r="G31" s="430"/>
      <c r="H31" s="430"/>
      <c r="I31" s="450"/>
      <c r="J31" s="512">
        <v>0.0944549479243745</v>
      </c>
      <c r="K31" s="451">
        <v>0.0941669859799418</v>
      </c>
      <c r="L31" s="451">
        <v>0.0886320333979571</v>
      </c>
      <c r="M31" s="452"/>
      <c r="N31" s="451"/>
      <c r="O31" s="430"/>
      <c r="P31" s="531" t="str">
        <f t="array" ref="P31">INDEX(正厂竞争者数据汇总!I:I,MATCH($A$26&amp;B31,正厂竞争者数据汇总!A:A&amp;正厂竞争者数据汇总!D:D,0))</f>
        <v>2023年2月新增正厂</v>
      </c>
      <c r="Q31" s="429"/>
      <c r="R31" s="421"/>
      <c r="S31" s="472"/>
      <c r="T31" s="466"/>
      <c r="U31" s="466"/>
      <c r="V31" s="466"/>
      <c r="W31" s="466"/>
    </row>
    <row r="32" s="408" customFormat="1" spans="1:23">
      <c r="A32" s="428" t="s">
        <v>230</v>
      </c>
      <c r="B32" s="421" t="s">
        <v>245</v>
      </c>
      <c r="C32" s="429" t="s">
        <v>233</v>
      </c>
      <c r="D32" s="421" t="s">
        <v>415</v>
      </c>
      <c r="E32" s="430"/>
      <c r="F32" s="430">
        <v>150053.333333333</v>
      </c>
      <c r="G32" s="430"/>
      <c r="H32" s="430"/>
      <c r="I32" s="450"/>
      <c r="J32" s="512">
        <v>0.0891234488256366</v>
      </c>
      <c r="K32" s="451">
        <v>0.0921947585624697</v>
      </c>
      <c r="L32" s="451">
        <v>0.0942103303679171</v>
      </c>
      <c r="M32" s="452"/>
      <c r="N32" s="451"/>
      <c r="O32" s="430"/>
      <c r="P32" s="531" t="str">
        <f t="array" ref="P32">INDEX(正厂竞争者数据汇总!I:I,MATCH($A$26&amp;B32,正厂竞争者数据汇总!A:A&amp;正厂竞争者数据汇总!D:D,0))</f>
        <v>2021年02新加竞争者</v>
      </c>
      <c r="Q32" s="429"/>
      <c r="R32" s="421"/>
      <c r="S32" s="472"/>
      <c r="T32" s="466"/>
      <c r="U32" s="466"/>
      <c r="V32" s="466"/>
      <c r="W32" s="466"/>
    </row>
    <row r="33" s="408" customFormat="1" spans="1:23">
      <c r="A33" s="428" t="s">
        <v>230</v>
      </c>
      <c r="B33" s="421" t="s">
        <v>416</v>
      </c>
      <c r="C33" s="429" t="s">
        <v>233</v>
      </c>
      <c r="D33" s="421" t="s">
        <v>291</v>
      </c>
      <c r="E33" s="430"/>
      <c r="F33" s="430">
        <v>136269.25</v>
      </c>
      <c r="G33" s="430"/>
      <c r="H33" s="430"/>
      <c r="I33" s="450"/>
      <c r="J33" s="512">
        <v>0.0809364594514144</v>
      </c>
      <c r="K33" s="451">
        <v>0.0823275984446721</v>
      </c>
      <c r="L33" s="451">
        <v>0.0898315254651255</v>
      </c>
      <c r="M33" s="452"/>
      <c r="N33" s="451"/>
      <c r="O33" s="430"/>
      <c r="P33" s="531" t="str">
        <f t="array" ref="P33">INDEX(正厂竞争者数据汇总!I:I,MATCH($A$26&amp;B33,正厂竞争者数据汇总!A:A&amp;正厂竞争者数据汇总!D:D,0))</f>
        <v>2023年11月导流至toyotaparts.ourismantoyotaofrichmond.com，原网站流量大幅下跌</v>
      </c>
      <c r="Q33" s="429"/>
      <c r="R33" s="421"/>
      <c r="S33" s="472"/>
      <c r="T33" s="466"/>
      <c r="U33" s="466"/>
      <c r="V33" s="466"/>
      <c r="W33" s="466"/>
    </row>
    <row r="34" s="408" customFormat="1" spans="1:23">
      <c r="A34" s="428" t="s">
        <v>230</v>
      </c>
      <c r="B34" s="421" t="s">
        <v>246</v>
      </c>
      <c r="C34" s="429" t="s">
        <v>233</v>
      </c>
      <c r="D34" s="421" t="s">
        <v>49</v>
      </c>
      <c r="E34" s="430"/>
      <c r="F34" s="430">
        <v>126578.833333334</v>
      </c>
      <c r="G34" s="430"/>
      <c r="H34" s="430"/>
      <c r="I34" s="450"/>
      <c r="J34" s="512">
        <v>0.0751808835191409</v>
      </c>
      <c r="K34" s="451">
        <v>0.0882272030892475</v>
      </c>
      <c r="L34" s="451">
        <v>0.0862050246152922</v>
      </c>
      <c r="M34" s="452"/>
      <c r="N34" s="451"/>
      <c r="O34" s="430"/>
      <c r="P34" s="531" t="str">
        <f t="array" ref="P34">INDEX(正厂竞争者数据汇总!I:I,MATCH($A$26&amp;B34,正厂竞争者数据汇总!A:A&amp;正厂竞争者数据汇总!D:D,0))</f>
        <v>2023年2月新增正厂</v>
      </c>
      <c r="Q34" s="429"/>
      <c r="R34" s="421"/>
      <c r="S34" s="472"/>
      <c r="T34" s="466"/>
      <c r="U34" s="466"/>
      <c r="V34" s="466"/>
      <c r="W34" s="466"/>
    </row>
    <row r="35" s="410" customFormat="1" spans="1:23">
      <c r="A35" s="428"/>
      <c r="B35" s="438"/>
      <c r="C35" s="429"/>
      <c r="D35" s="421"/>
      <c r="E35" s="430"/>
      <c r="F35" s="430"/>
      <c r="G35" s="430"/>
      <c r="H35" s="430"/>
      <c r="I35" s="453"/>
      <c r="J35" s="463"/>
      <c r="K35" s="463"/>
      <c r="L35" s="463"/>
      <c r="M35" s="451"/>
      <c r="N35" s="459"/>
      <c r="O35" s="430"/>
      <c r="P35" s="531"/>
      <c r="Q35" s="429"/>
      <c r="R35" s="435"/>
      <c r="S35" s="473"/>
      <c r="T35" s="466"/>
      <c r="U35" s="466"/>
      <c r="V35" s="421"/>
      <c r="W35" s="421"/>
    </row>
    <row r="36" s="408" customFormat="1" spans="1:23">
      <c r="A36" s="428"/>
      <c r="B36" s="421"/>
      <c r="C36" s="439"/>
      <c r="D36" s="421"/>
      <c r="E36" s="430"/>
      <c r="F36" s="430">
        <v>1683657.16666667</v>
      </c>
      <c r="G36" s="430">
        <v>1471722.72</v>
      </c>
      <c r="H36" s="430">
        <v>1511577.56416667</v>
      </c>
      <c r="I36" s="453">
        <f>(F36/G36)-1</f>
        <v>0.144004331649286</v>
      </c>
      <c r="J36" s="430"/>
      <c r="K36" s="513"/>
      <c r="L36" s="430"/>
      <c r="M36" s="451"/>
      <c r="N36" s="459"/>
      <c r="O36" s="430"/>
      <c r="P36" s="531"/>
      <c r="Q36" s="429" t="s">
        <v>180</v>
      </c>
      <c r="R36" s="421"/>
      <c r="S36" s="473"/>
      <c r="T36" s="466"/>
      <c r="U36" s="466"/>
      <c r="V36" s="421"/>
      <c r="W36" s="421"/>
    </row>
    <row r="37" s="408" customFormat="1" spans="1:23">
      <c r="A37" s="428"/>
      <c r="B37" s="421"/>
      <c r="C37" s="439"/>
      <c r="D37" s="421"/>
      <c r="E37" s="430"/>
      <c r="F37" s="430"/>
      <c r="G37" s="430"/>
      <c r="H37" s="430"/>
      <c r="I37" s="453"/>
      <c r="J37" s="430"/>
      <c r="K37" s="430"/>
      <c r="L37" s="430"/>
      <c r="M37" s="451"/>
      <c r="N37" s="451"/>
      <c r="O37" s="430"/>
      <c r="P37" s="531"/>
      <c r="Q37" s="429"/>
      <c r="R37" s="421"/>
      <c r="S37" s="473"/>
      <c r="T37" s="466"/>
      <c r="U37" s="466"/>
      <c r="V37" s="421"/>
      <c r="W37" s="421"/>
    </row>
    <row r="38" s="408" customFormat="1" ht="17.4" spans="1:23">
      <c r="A38" s="418" t="s">
        <v>149</v>
      </c>
      <c r="B38" s="419"/>
      <c r="C38" s="420"/>
      <c r="D38" s="421"/>
      <c r="E38" s="422" t="s">
        <v>202</v>
      </c>
      <c r="F38" s="422"/>
      <c r="G38" s="422"/>
      <c r="H38" s="422"/>
      <c r="I38" s="422"/>
      <c r="J38" s="422"/>
      <c r="K38" s="422"/>
      <c r="L38" s="422"/>
      <c r="M38" s="443"/>
      <c r="N38" s="444"/>
      <c r="O38" s="422"/>
      <c r="P38" s="531"/>
      <c r="Q38" s="465"/>
      <c r="R38" s="424"/>
      <c r="S38" s="473"/>
      <c r="T38" s="467"/>
      <c r="U38" s="467"/>
      <c r="V38" s="467"/>
      <c r="W38" s="467"/>
    </row>
    <row r="39" s="409" customFormat="1" ht="46.8" spans="1:23">
      <c r="A39" s="423" t="s">
        <v>206</v>
      </c>
      <c r="B39" s="424" t="s">
        <v>207</v>
      </c>
      <c r="C39" s="425" t="s">
        <v>447</v>
      </c>
      <c r="D39" s="424" t="s">
        <v>209</v>
      </c>
      <c r="E39" s="426" t="s">
        <v>210</v>
      </c>
      <c r="F39" s="427" t="s">
        <v>485</v>
      </c>
      <c r="G39" s="427" t="s">
        <v>213</v>
      </c>
      <c r="H39" s="427" t="s">
        <v>396</v>
      </c>
      <c r="I39" s="427" t="s">
        <v>386</v>
      </c>
      <c r="J39" s="446" t="s">
        <v>449</v>
      </c>
      <c r="K39" s="446" t="s">
        <v>479</v>
      </c>
      <c r="L39" s="446" t="s">
        <v>215</v>
      </c>
      <c r="M39" s="447" t="s">
        <v>436</v>
      </c>
      <c r="N39" s="448" t="s">
        <v>219</v>
      </c>
      <c r="O39" s="449" t="s">
        <v>220</v>
      </c>
      <c r="P39" s="530" t="s">
        <v>221</v>
      </c>
      <c r="Q39" s="469" t="s">
        <v>222</v>
      </c>
      <c r="R39" s="426" t="s">
        <v>223</v>
      </c>
      <c r="S39" s="470" t="s">
        <v>224</v>
      </c>
      <c r="T39" s="467" t="s">
        <v>225</v>
      </c>
      <c r="U39" s="470" t="s">
        <v>226</v>
      </c>
      <c r="V39" s="467"/>
      <c r="W39" s="467"/>
    </row>
    <row r="40" s="410" customFormat="1" ht="17.4" spans="1:23">
      <c r="A40" s="432" t="s">
        <v>227</v>
      </c>
      <c r="B40" s="433" t="s">
        <v>150</v>
      </c>
      <c r="C40" s="434" t="s">
        <v>441</v>
      </c>
      <c r="D40" s="435" t="s">
        <v>58</v>
      </c>
      <c r="E40" s="436">
        <f>VLOOKUP(B40,正厂竞争者数据汇总!D:H,4,FALSE)</f>
        <v>0</v>
      </c>
      <c r="F40" s="436">
        <v>561506.25</v>
      </c>
      <c r="G40" s="436">
        <v>521458.083333333</v>
      </c>
      <c r="H40" s="436">
        <v>566477.333333333</v>
      </c>
      <c r="I40" s="454">
        <f>(F40/G40)-1</f>
        <v>0.0768003564364479</v>
      </c>
      <c r="J40" s="455">
        <v>0.355857391512726</v>
      </c>
      <c r="K40" s="455">
        <v>0.351679812161569</v>
      </c>
      <c r="L40" s="455">
        <v>0.336990300277897</v>
      </c>
      <c r="M40" s="456">
        <f>J40-K40</f>
        <v>0.00417757935115698</v>
      </c>
      <c r="N40" s="457" t="str">
        <f>IFERROR(O40*0.5/F$46,"")</f>
        <v/>
      </c>
      <c r="O40" s="436" t="s">
        <v>180</v>
      </c>
      <c r="P40" s="531">
        <f t="array" ref="P40">INDEX(正厂竞争者数据汇总!I:I,MATCH($A$38&amp;B40,正厂竞争者数据汇总!A:A&amp;正厂竞争者数据汇总!D:D,0))</f>
        <v>0</v>
      </c>
      <c r="Q40" s="434" t="s">
        <v>259</v>
      </c>
      <c r="R40" s="435" t="s">
        <v>229</v>
      </c>
      <c r="S40" s="476"/>
      <c r="T40" s="534" t="s">
        <v>488</v>
      </c>
      <c r="U40" s="477"/>
      <c r="V40" s="477"/>
      <c r="W40" s="477"/>
    </row>
    <row r="41" s="410" customFormat="1" spans="1:23">
      <c r="A41" s="428" t="s">
        <v>230</v>
      </c>
      <c r="B41" s="438" t="s">
        <v>260</v>
      </c>
      <c r="C41" s="494" t="s">
        <v>233</v>
      </c>
      <c r="D41" s="431" t="s">
        <v>60</v>
      </c>
      <c r="E41" s="430"/>
      <c r="F41" s="430">
        <v>277921.083333333</v>
      </c>
      <c r="G41" s="430"/>
      <c r="H41" s="430"/>
      <c r="I41" s="453"/>
      <c r="J41" s="512">
        <v>0.17613387519977</v>
      </c>
      <c r="K41" s="451">
        <v>0.16952937361584</v>
      </c>
      <c r="L41" s="451">
        <v>0.16690764566156</v>
      </c>
      <c r="M41" s="451"/>
      <c r="N41" s="459"/>
      <c r="O41" s="430"/>
      <c r="P41" s="531">
        <f t="array" ref="P41">INDEX(正厂竞争者数据汇总!I:I,MATCH($A$38&amp;B41,正厂竞争者数据汇总!A:A&amp;正厂竞争者数据汇总!D:D,0))</f>
        <v>0</v>
      </c>
      <c r="Q41" s="429"/>
      <c r="R41" s="435"/>
      <c r="S41" s="473"/>
      <c r="T41" s="466"/>
      <c r="U41" s="466"/>
      <c r="V41" s="421"/>
      <c r="W41" s="421"/>
    </row>
    <row r="42" s="410" customFormat="1" spans="1:23">
      <c r="A42" s="428" t="s">
        <v>230</v>
      </c>
      <c r="B42" s="438" t="s">
        <v>255</v>
      </c>
      <c r="C42" s="494" t="s">
        <v>233</v>
      </c>
      <c r="D42" s="431" t="s">
        <v>419</v>
      </c>
      <c r="E42" s="430"/>
      <c r="F42" s="430">
        <v>208788.11</v>
      </c>
      <c r="G42" s="430"/>
      <c r="H42" s="430"/>
      <c r="I42" s="453"/>
      <c r="J42" s="512">
        <v>0.13232050792573</v>
      </c>
      <c r="K42" s="451">
        <v>0.134295450670252</v>
      </c>
      <c r="L42" s="451">
        <v>0.134294478631379</v>
      </c>
      <c r="M42" s="451"/>
      <c r="N42" s="459"/>
      <c r="O42" s="430"/>
      <c r="P42" s="531" t="str">
        <f t="array" ref="P42">INDEX(正厂竞争者数据汇总!I:I,MATCH($A$38&amp;B42,正厂竞争者数据汇总!A:A&amp;正厂竞争者数据汇总!D:D,0))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42" s="429"/>
      <c r="R42" s="435"/>
      <c r="S42" s="473"/>
      <c r="T42" s="466"/>
      <c r="U42" s="466"/>
      <c r="V42" s="421"/>
      <c r="W42" s="421"/>
    </row>
    <row r="43" s="410" customFormat="1" spans="1:23">
      <c r="A43" s="428" t="s">
        <v>230</v>
      </c>
      <c r="B43" s="438" t="s">
        <v>261</v>
      </c>
      <c r="C43" s="494" t="s">
        <v>233</v>
      </c>
      <c r="D43" s="431" t="s">
        <v>272</v>
      </c>
      <c r="E43" s="430"/>
      <c r="F43" s="430">
        <v>155041.416666667</v>
      </c>
      <c r="G43" s="430"/>
      <c r="H43" s="430"/>
      <c r="I43" s="453"/>
      <c r="J43" s="512">
        <v>0.0982582724794922</v>
      </c>
      <c r="K43" s="451">
        <v>0.0926331291240977</v>
      </c>
      <c r="L43" s="451">
        <v>0.0896002720676993</v>
      </c>
      <c r="M43" s="451"/>
      <c r="N43" s="459"/>
      <c r="O43" s="430"/>
      <c r="P43" s="531" t="str">
        <f t="array" ref="P43">INDEX(正厂竞争者数据汇总!I:I,MATCH($A$38&amp;B43,正厂竞争者数据汇总!A:A&amp;正厂竞争者数据汇总!D:D,0))</f>
        <v>2022年1月 新加入 CompetitorSites
2022年1月 新加入 MarketingShare</v>
      </c>
      <c r="Q43" s="429"/>
      <c r="R43" s="435"/>
      <c r="S43" s="473"/>
      <c r="T43" s="466"/>
      <c r="U43" s="466"/>
      <c r="V43" s="421"/>
      <c r="W43" s="421"/>
    </row>
    <row r="44" s="410" customFormat="1" spans="1:23">
      <c r="A44" s="428" t="s">
        <v>243</v>
      </c>
      <c r="B44" s="438" t="s">
        <v>262</v>
      </c>
      <c r="C44" s="506" t="s">
        <v>441</v>
      </c>
      <c r="D44" s="431" t="s">
        <v>266</v>
      </c>
      <c r="E44" s="430"/>
      <c r="F44" s="430">
        <v>135094.166666667</v>
      </c>
      <c r="G44" s="430"/>
      <c r="H44" s="430"/>
      <c r="I44" s="453"/>
      <c r="J44" s="512">
        <v>0.085616603125229</v>
      </c>
      <c r="K44" s="451">
        <v>0.0723312029729417</v>
      </c>
      <c r="L44" s="451">
        <v>0.0753746503667281</v>
      </c>
      <c r="M44" s="451"/>
      <c r="N44" s="459"/>
      <c r="O44" s="430"/>
      <c r="P44" s="531" t="str">
        <f t="array" ref="P44">INDEX(正厂竞争者数据汇总!I:I,MATCH($A$38&amp;B44,正厂竞争者数据汇总!A:A&amp;正厂竞争者数据汇总!D:D,0))</f>
        <v>变为精确运费</v>
      </c>
      <c r="Q44" s="429"/>
      <c r="R44" s="435"/>
      <c r="S44" s="473"/>
      <c r="T44" s="466"/>
      <c r="U44" s="466"/>
      <c r="V44" s="421"/>
      <c r="W44" s="421"/>
    </row>
    <row r="45" s="410" customFormat="1" spans="1:23">
      <c r="A45" s="428" t="s">
        <v>230</v>
      </c>
      <c r="B45" s="438" t="s">
        <v>267</v>
      </c>
      <c r="C45" s="494" t="s">
        <v>441</v>
      </c>
      <c r="D45" s="431" t="s">
        <v>58</v>
      </c>
      <c r="E45" s="430"/>
      <c r="F45" s="430">
        <v>131782</v>
      </c>
      <c r="G45" s="430"/>
      <c r="H45" s="430"/>
      <c r="I45" s="453"/>
      <c r="J45" s="512">
        <v>0.0835175009509335</v>
      </c>
      <c r="K45" s="451">
        <v>0.0919628502289579</v>
      </c>
      <c r="L45" s="451">
        <v>0.0897370549618572</v>
      </c>
      <c r="M45" s="451"/>
      <c r="N45" s="459"/>
      <c r="O45" s="430"/>
      <c r="P45" s="531" t="str">
        <f t="array" ref="P45">INDEX(正厂竞争者数据汇总!I:I,MATCH($A$38&amp;B45,正厂竞争者数据汇总!A:A&amp;正厂竞争者数据汇总!D:D,0))</f>
        <v>2022年1月 新加入 CompetitorSites</v>
      </c>
      <c r="Q45" s="429"/>
      <c r="R45" s="435"/>
      <c r="S45" s="473"/>
      <c r="T45" s="466"/>
      <c r="U45" s="466"/>
      <c r="V45" s="421"/>
      <c r="W45" s="421"/>
    </row>
    <row r="46" s="410" customFormat="1" spans="1:23">
      <c r="A46" s="428" t="s">
        <v>243</v>
      </c>
      <c r="B46" s="438" t="s">
        <v>438</v>
      </c>
      <c r="C46" s="494" t="s">
        <v>441</v>
      </c>
      <c r="D46" s="431" t="s">
        <v>455</v>
      </c>
      <c r="E46" s="430"/>
      <c r="F46" s="430">
        <v>61669.8333333333</v>
      </c>
      <c r="G46" s="430"/>
      <c r="H46" s="430"/>
      <c r="I46" s="453"/>
      <c r="J46" s="512">
        <v>0.039083565009338</v>
      </c>
      <c r="K46" s="451">
        <v>0.0560206990497104</v>
      </c>
      <c r="L46" s="451">
        <v>0.077174504516924</v>
      </c>
      <c r="M46" s="451"/>
      <c r="N46" s="459"/>
      <c r="O46" s="430"/>
      <c r="P46" s="531" t="str">
        <f t="array" ref="P46">INDEX(正厂竞争者数据汇总!I:I,MATCH($A$38&amp;B46,正厂竞争者数据汇总!A:A&amp;正厂竞争者数据汇总!D:D,0))</f>
        <v>2022年1月 新加入 CompetitorSites
2022年1月 新加入 MarketingShare</v>
      </c>
      <c r="Q46" s="429"/>
      <c r="R46" s="435"/>
      <c r="S46" s="473"/>
      <c r="T46" s="466"/>
      <c r="U46" s="466"/>
      <c r="V46" s="421"/>
      <c r="W46" s="421"/>
    </row>
    <row r="47" s="410" customFormat="1" spans="1:23">
      <c r="A47" s="428" t="s">
        <v>230</v>
      </c>
      <c r="B47" s="438" t="s">
        <v>482</v>
      </c>
      <c r="C47" s="494" t="s">
        <v>441</v>
      </c>
      <c r="D47" s="431" t="s">
        <v>426</v>
      </c>
      <c r="E47" s="430"/>
      <c r="F47" s="430">
        <v>46093.97</v>
      </c>
      <c r="G47" s="430"/>
      <c r="H47" s="430"/>
      <c r="I47" s="453"/>
      <c r="J47" s="512">
        <v>0.0292122837967803</v>
      </c>
      <c r="K47" s="451">
        <v>0.0315474821766316</v>
      </c>
      <c r="L47" s="451">
        <v>0.0299210935159554</v>
      </c>
      <c r="M47" s="451"/>
      <c r="N47" s="459"/>
      <c r="O47" s="430"/>
      <c r="P47" s="531" t="str">
        <f t="array" ref="P47">INDEX(正厂竞争者数据汇总!I:I,MATCH($A$38&amp;B47,正厂竞争者数据汇总!A:A&amp;正厂竞争者数据汇总!D:D,0))</f>
        <v>同时经营多品牌零件，折算比例为：mopar：21%，toyota：6%，</v>
      </c>
      <c r="Q47" s="429"/>
      <c r="R47" s="435"/>
      <c r="S47" s="473"/>
      <c r="T47" s="466"/>
      <c r="U47" s="466"/>
      <c r="V47" s="421"/>
      <c r="W47" s="421"/>
    </row>
    <row r="48" s="410" customFormat="1" spans="1:23">
      <c r="A48" s="428"/>
      <c r="B48" s="431"/>
      <c r="C48" s="429"/>
      <c r="D48" s="421"/>
      <c r="E48" s="430"/>
      <c r="F48" s="430"/>
      <c r="G48" s="430"/>
      <c r="H48" s="430"/>
      <c r="I48" s="453"/>
      <c r="J48" s="451"/>
      <c r="K48" s="451"/>
      <c r="L48" s="451"/>
      <c r="M48" s="451"/>
      <c r="N48" s="455"/>
      <c r="O48" s="436"/>
      <c r="P48" s="531"/>
      <c r="Q48" s="434"/>
      <c r="R48" s="435"/>
      <c r="S48" s="473"/>
      <c r="T48" s="477"/>
      <c r="U48" s="466"/>
      <c r="V48" s="435"/>
      <c r="W48" s="435"/>
    </row>
    <row r="49" s="408" customFormat="1" spans="1:23">
      <c r="A49" s="428"/>
      <c r="B49" s="421"/>
      <c r="C49" s="439"/>
      <c r="D49" s="421"/>
      <c r="E49" s="430"/>
      <c r="F49" s="430">
        <v>1577896.83</v>
      </c>
      <c r="G49" s="430">
        <v>1468579.74166667</v>
      </c>
      <c r="H49" s="430">
        <v>1519526.8275</v>
      </c>
      <c r="I49" s="453">
        <f>(F49/G49)-1</f>
        <v>0.0744372846987986</v>
      </c>
      <c r="J49" s="512"/>
      <c r="K49" s="430"/>
      <c r="L49" s="430"/>
      <c r="M49" s="451"/>
      <c r="N49" s="451"/>
      <c r="O49" s="430"/>
      <c r="P49" s="531"/>
      <c r="Q49" s="429"/>
      <c r="R49" s="421"/>
      <c r="S49" s="473"/>
      <c r="T49" s="466"/>
      <c r="U49" s="466"/>
      <c r="V49" s="421"/>
      <c r="W49" s="421"/>
    </row>
    <row r="50" s="408" customFormat="1" spans="1:23">
      <c r="A50" s="428"/>
      <c r="B50" s="421"/>
      <c r="C50" s="439"/>
      <c r="D50" s="421"/>
      <c r="E50" s="430"/>
      <c r="F50" s="430"/>
      <c r="G50" s="430"/>
      <c r="H50" s="430"/>
      <c r="I50" s="453"/>
      <c r="J50" s="430"/>
      <c r="K50" s="430"/>
      <c r="L50" s="430"/>
      <c r="M50" s="451"/>
      <c r="N50" s="451"/>
      <c r="O50" s="430"/>
      <c r="P50" s="531"/>
      <c r="Q50" s="429"/>
      <c r="R50" s="421"/>
      <c r="S50" s="473"/>
      <c r="T50" s="466"/>
      <c r="U50" s="466"/>
      <c r="V50" s="421"/>
      <c r="W50" s="421"/>
    </row>
    <row r="51" s="408" customFormat="1" ht="17.4" spans="1:23">
      <c r="A51" s="418" t="s">
        <v>152</v>
      </c>
      <c r="B51" s="419"/>
      <c r="C51" s="420"/>
      <c r="D51" s="421"/>
      <c r="E51" s="422" t="s">
        <v>202</v>
      </c>
      <c r="F51" s="422"/>
      <c r="G51" s="422"/>
      <c r="H51" s="422"/>
      <c r="I51" s="422"/>
      <c r="J51" s="422"/>
      <c r="K51" s="422"/>
      <c r="L51" s="422"/>
      <c r="M51" s="443"/>
      <c r="N51" s="444"/>
      <c r="O51" s="422"/>
      <c r="P51" s="531"/>
      <c r="Q51" s="465"/>
      <c r="R51" s="424"/>
      <c r="S51" s="473"/>
      <c r="T51" s="467"/>
      <c r="U51" s="467"/>
      <c r="V51" s="467"/>
      <c r="W51" s="467"/>
    </row>
    <row r="52" s="409" customFormat="1" ht="46.8" spans="1:23">
      <c r="A52" s="423" t="s">
        <v>206</v>
      </c>
      <c r="B52" s="424" t="s">
        <v>207</v>
      </c>
      <c r="C52" s="425" t="s">
        <v>447</v>
      </c>
      <c r="D52" s="424" t="s">
        <v>209</v>
      </c>
      <c r="E52" s="426" t="s">
        <v>210</v>
      </c>
      <c r="F52" s="427" t="s">
        <v>485</v>
      </c>
      <c r="G52" s="427" t="s">
        <v>213</v>
      </c>
      <c r="H52" s="427" t="s">
        <v>396</v>
      </c>
      <c r="I52" s="427" t="s">
        <v>386</v>
      </c>
      <c r="J52" s="446" t="s">
        <v>449</v>
      </c>
      <c r="K52" s="446" t="s">
        <v>479</v>
      </c>
      <c r="L52" s="446" t="s">
        <v>215</v>
      </c>
      <c r="M52" s="447" t="s">
        <v>436</v>
      </c>
      <c r="N52" s="448" t="s">
        <v>219</v>
      </c>
      <c r="O52" s="449" t="s">
        <v>220</v>
      </c>
      <c r="P52" s="530" t="s">
        <v>221</v>
      </c>
      <c r="Q52" s="469" t="s">
        <v>222</v>
      </c>
      <c r="R52" s="426" t="s">
        <v>223</v>
      </c>
      <c r="S52" s="470" t="s">
        <v>224</v>
      </c>
      <c r="T52" s="467" t="s">
        <v>225</v>
      </c>
      <c r="U52" s="470" t="s">
        <v>226</v>
      </c>
      <c r="V52" s="467"/>
      <c r="W52" s="467"/>
    </row>
    <row r="53" s="410" customFormat="1" ht="17.4" spans="1:23">
      <c r="A53" s="432" t="s">
        <v>227</v>
      </c>
      <c r="B53" s="435" t="s">
        <v>153</v>
      </c>
      <c r="C53" s="434" t="s">
        <v>441</v>
      </c>
      <c r="D53" s="435" t="s">
        <v>49</v>
      </c>
      <c r="E53" s="436">
        <f>VLOOKUP(B53,正厂竞争者数据汇总!D:H,4,FALSE)</f>
        <v>0</v>
      </c>
      <c r="F53" s="436">
        <v>428996</v>
      </c>
      <c r="G53" s="436">
        <v>436555.583333333</v>
      </c>
      <c r="H53" s="436">
        <v>490593.833333333</v>
      </c>
      <c r="I53" s="454">
        <f>(F53/G53)-1</f>
        <v>-0.0173164280149886</v>
      </c>
      <c r="J53" s="457">
        <v>0.314975117651462</v>
      </c>
      <c r="K53" s="457">
        <v>0.30919224805022</v>
      </c>
      <c r="L53" s="457">
        <v>0.298924449748403</v>
      </c>
      <c r="M53" s="456">
        <f>J53-K53</f>
        <v>0.00578286960124202</v>
      </c>
      <c r="N53" s="457" t="str">
        <f>IFERROR(O53*0.5/#REF!,"")</f>
        <v/>
      </c>
      <c r="O53" s="436" t="s">
        <v>180</v>
      </c>
      <c r="P53" s="531">
        <f t="array" ref="P53">INDEX(正厂竞争者数据汇总!I:I,MATCH($A$51&amp;B53,正厂竞争者数据汇总!A:A&amp;正厂竞争者数据汇总!D:D,0))</f>
        <v>0</v>
      </c>
      <c r="Q53" s="434" t="s">
        <v>268</v>
      </c>
      <c r="R53" s="435" t="s">
        <v>229</v>
      </c>
      <c r="S53" s="476"/>
      <c r="T53" s="477"/>
      <c r="U53" s="477"/>
      <c r="V53" s="477"/>
      <c r="W53" s="477"/>
    </row>
    <row r="54" s="408" customFormat="1" spans="1:23">
      <c r="A54" s="428" t="s">
        <v>243</v>
      </c>
      <c r="B54" s="438" t="s">
        <v>270</v>
      </c>
      <c r="C54" s="429" t="s">
        <v>233</v>
      </c>
      <c r="D54" s="431" t="s">
        <v>266</v>
      </c>
      <c r="E54" s="430"/>
      <c r="F54" s="430">
        <v>241968.166666667</v>
      </c>
      <c r="G54" s="430"/>
      <c r="H54" s="430"/>
      <c r="I54" s="453"/>
      <c r="J54" s="490">
        <v>0.177656555687563</v>
      </c>
      <c r="K54" s="451">
        <v>0.176836182189985</v>
      </c>
      <c r="L54" s="451">
        <v>0.170954585318562</v>
      </c>
      <c r="M54" s="451"/>
      <c r="N54" s="451"/>
      <c r="O54" s="430"/>
      <c r="P54" s="531">
        <f t="array" ref="P54">INDEX(正厂竞争者数据汇总!I:I,MATCH($A$51&amp;B54,正厂竞争者数据汇总!A:A&amp;正厂竞争者数据汇总!D:D,0))</f>
        <v>0</v>
      </c>
      <c r="Q54" s="429"/>
      <c r="R54" s="421"/>
      <c r="S54" s="473"/>
      <c r="T54" s="466"/>
      <c r="U54" s="466"/>
      <c r="V54" s="421"/>
      <c r="W54" s="421"/>
    </row>
    <row r="55" s="408" customFormat="1" spans="1:23">
      <c r="A55" s="428" t="s">
        <v>230</v>
      </c>
      <c r="B55" s="428" t="s">
        <v>255</v>
      </c>
      <c r="C55" s="429" t="s">
        <v>233</v>
      </c>
      <c r="D55" s="431" t="s">
        <v>419</v>
      </c>
      <c r="E55" s="430"/>
      <c r="F55" s="430">
        <v>230386.88</v>
      </c>
      <c r="G55" s="430"/>
      <c r="H55" s="430"/>
      <c r="I55" s="453"/>
      <c r="J55" s="490">
        <v>0.169153406170112</v>
      </c>
      <c r="K55" s="451">
        <v>0.174273316578202</v>
      </c>
      <c r="L55" s="451">
        <v>0.176144062326459</v>
      </c>
      <c r="M55" s="451"/>
      <c r="N55" s="451"/>
      <c r="O55" s="430"/>
      <c r="P55" s="531" t="str">
        <f t="array" ref="P55">INDEX(正厂竞争者数据汇总!I:I,MATCH($A$51&amp;B55,正厂竞争者数据汇总!A:A&amp;正厂竞争者数据汇总!D:D,0))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55" s="429"/>
      <c r="R55" s="421"/>
      <c r="S55" s="473"/>
      <c r="T55" s="466"/>
      <c r="U55" s="466"/>
      <c r="V55" s="421"/>
      <c r="W55" s="421"/>
    </row>
    <row r="56" s="408" customFormat="1" spans="1:23">
      <c r="A56" s="428" t="s">
        <v>230</v>
      </c>
      <c r="B56" s="431" t="s">
        <v>269</v>
      </c>
      <c r="C56" s="494" t="s">
        <v>233</v>
      </c>
      <c r="D56" s="431" t="s">
        <v>234</v>
      </c>
      <c r="E56" s="430"/>
      <c r="F56" s="430">
        <v>140356.25</v>
      </c>
      <c r="G56" s="430"/>
      <c r="H56" s="430"/>
      <c r="I56" s="453"/>
      <c r="J56" s="490">
        <v>0.10305160504263</v>
      </c>
      <c r="K56" s="451">
        <v>0.086712664677731</v>
      </c>
      <c r="L56" s="451">
        <v>0.0833073095905763</v>
      </c>
      <c r="M56" s="451"/>
      <c r="N56" s="451"/>
      <c r="O56" s="430"/>
      <c r="P56" s="531" t="str">
        <f t="array" ref="P56">INDEX(正厂竞争者数据汇总!I:I,MATCH($A$51&amp;B56,正厂竞争者数据汇总!A:A&amp;正厂竞争者数据汇总!D:D,0))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56" s="429"/>
      <c r="R56" s="421"/>
      <c r="S56" s="473"/>
      <c r="T56" s="466"/>
      <c r="U56" s="466"/>
      <c r="V56" s="421"/>
      <c r="W56" s="421"/>
    </row>
    <row r="57" s="408" customFormat="1" spans="1:23">
      <c r="A57" s="428" t="s">
        <v>230</v>
      </c>
      <c r="B57" s="431" t="s">
        <v>273</v>
      </c>
      <c r="C57" s="429" t="s">
        <v>233</v>
      </c>
      <c r="D57" s="431" t="s">
        <v>420</v>
      </c>
      <c r="E57" s="430"/>
      <c r="F57" s="430">
        <v>117725.333333333</v>
      </c>
      <c r="G57" s="430"/>
      <c r="H57" s="430"/>
      <c r="I57" s="453"/>
      <c r="J57" s="490">
        <v>0.0864356560835629</v>
      </c>
      <c r="K57" s="451">
        <v>0.0795750650540091</v>
      </c>
      <c r="L57" s="451">
        <v>0.0870859102186707</v>
      </c>
      <c r="M57" s="451"/>
      <c r="N57" s="451"/>
      <c r="O57" s="430"/>
      <c r="P57" s="531">
        <f t="array" ref="P57">INDEX(正厂竞争者数据汇总!I:I,MATCH($A$51&amp;B57,正厂竞争者数据汇总!A:A&amp;正厂竞争者数据汇总!D:D,0))</f>
        <v>0</v>
      </c>
      <c r="Q57" s="429"/>
      <c r="R57" s="421"/>
      <c r="S57" s="473"/>
      <c r="T57" s="466"/>
      <c r="U57" s="466"/>
      <c r="V57" s="421"/>
      <c r="W57" s="421"/>
    </row>
    <row r="58" s="408" customFormat="1" spans="1:23">
      <c r="A58" s="428" t="s">
        <v>230</v>
      </c>
      <c r="B58" s="438" t="s">
        <v>400</v>
      </c>
      <c r="C58" s="429" t="s">
        <v>233</v>
      </c>
      <c r="D58" s="431" t="s">
        <v>272</v>
      </c>
      <c r="E58" s="430"/>
      <c r="F58" s="430">
        <v>73508.1666666667</v>
      </c>
      <c r="G58" s="430"/>
      <c r="H58" s="430"/>
      <c r="I58" s="453"/>
      <c r="J58" s="490">
        <v>0.053970767662581</v>
      </c>
      <c r="K58" s="451">
        <v>0.0504055844309302</v>
      </c>
      <c r="L58" s="451">
        <v>0.0561593347844958</v>
      </c>
      <c r="M58" s="451"/>
      <c r="N58" s="451"/>
      <c r="O58" s="430"/>
      <c r="P58" s="531">
        <f t="array" ref="P58">INDEX(正厂竞争者数据汇总!I:I,MATCH($A$51&amp;B58,正厂竞争者数据汇总!A:A&amp;正厂竞争者数据汇总!D:D,0))</f>
        <v>0</v>
      </c>
      <c r="Q58" s="429"/>
      <c r="R58" s="421"/>
      <c r="S58" s="473"/>
      <c r="T58" s="466"/>
      <c r="U58" s="466"/>
      <c r="V58" s="421"/>
      <c r="W58" s="421"/>
    </row>
    <row r="59" s="408" customFormat="1" spans="1:23">
      <c r="A59" s="428" t="s">
        <v>230</v>
      </c>
      <c r="B59" s="431" t="s">
        <v>483</v>
      </c>
      <c r="C59" s="494" t="s">
        <v>233</v>
      </c>
      <c r="D59" s="431" t="s">
        <v>423</v>
      </c>
      <c r="E59" s="430"/>
      <c r="F59" s="430">
        <v>53425.9166666667</v>
      </c>
      <c r="G59" s="430"/>
      <c r="H59" s="430"/>
      <c r="I59" s="453"/>
      <c r="J59" s="490">
        <v>0.039226086927898</v>
      </c>
      <c r="K59" s="451">
        <v>0.0467278537219352</v>
      </c>
      <c r="L59" s="451">
        <v>0.0385335790915826</v>
      </c>
      <c r="M59" s="451"/>
      <c r="N59" s="451"/>
      <c r="O59" s="430"/>
      <c r="P59" s="531">
        <f t="array" ref="P59">INDEX(正厂竞争者数据汇总!I:I,MATCH($A$51&amp;B59,正厂竞争者数据汇总!A:A&amp;正厂竞争者数据汇总!D:D,0))</f>
        <v>0</v>
      </c>
      <c r="Q59" s="429"/>
      <c r="R59" s="421"/>
      <c r="S59" s="473"/>
      <c r="T59" s="466"/>
      <c r="U59" s="466"/>
      <c r="V59" s="421"/>
      <c r="W59" s="421"/>
    </row>
    <row r="60" s="408" customFormat="1" spans="1:23">
      <c r="A60" s="428" t="s">
        <v>230</v>
      </c>
      <c r="B60" s="438" t="s">
        <v>292</v>
      </c>
      <c r="C60" s="429" t="s">
        <v>233</v>
      </c>
      <c r="D60" s="431" t="s">
        <v>250</v>
      </c>
      <c r="E60" s="430"/>
      <c r="F60" s="430">
        <v>47880.9366666667</v>
      </c>
      <c r="G60" s="430"/>
      <c r="H60" s="430"/>
      <c r="I60" s="453"/>
      <c r="J60" s="490">
        <v>0.0351548817700994</v>
      </c>
      <c r="K60" s="451">
        <v>0.0555481962729915</v>
      </c>
      <c r="L60" s="451">
        <v>0.0559520637514156</v>
      </c>
      <c r="M60" s="451"/>
      <c r="N60" s="451"/>
      <c r="O60" s="430"/>
      <c r="P60" s="531" t="str">
        <f t="array" ref="P60">INDEX(正厂竞争者数据汇总!I:I,MATCH($A$51&amp;B60,正厂竞争者数据汇总!A:A&amp;正厂竞争者数据汇总!D:D,0))</f>
        <v>同时经营多品牌，流量折算比例为Ford:23%,GM:23%,Infiniti:0%,Kia:13%,Mopar:31%,Nissan:10%</v>
      </c>
      <c r="Q60" s="429"/>
      <c r="R60" s="421"/>
      <c r="S60" s="473"/>
      <c r="T60" s="466"/>
      <c r="U60" s="466"/>
      <c r="V60" s="421"/>
      <c r="W60" s="421"/>
    </row>
    <row r="61" s="408" customFormat="1" spans="1:23">
      <c r="A61" s="428" t="s">
        <v>230</v>
      </c>
      <c r="B61" s="438" t="s">
        <v>459</v>
      </c>
      <c r="C61" s="494" t="s">
        <v>233</v>
      </c>
      <c r="D61" s="431" t="s">
        <v>419</v>
      </c>
      <c r="E61" s="430"/>
      <c r="F61" s="430">
        <v>27752</v>
      </c>
      <c r="G61" s="430"/>
      <c r="H61" s="430"/>
      <c r="I61" s="453"/>
      <c r="J61" s="490">
        <v>0.0203759230040918</v>
      </c>
      <c r="K61" s="451">
        <v>0.0207288890239956</v>
      </c>
      <c r="L61" s="451">
        <v>0.0329387051698355</v>
      </c>
      <c r="M61" s="451"/>
      <c r="N61" s="451"/>
      <c r="O61" s="430"/>
      <c r="P61" s="531" t="str">
        <f t="array" ref="P61">INDEX(正厂竞争者数据汇总!I:I,MATCH($A$51&amp;B61,正厂竞争者数据汇总!A:A&amp;正厂竞争者数据汇总!D:D,0))</f>
        <v>经营多品牌零件，折算比例为：Ford:33%,GM:17%,Hyundai:0%,Infiniti:0%,Kia:17%,Mopar:33%,Subaru:0%</v>
      </c>
      <c r="Q61" s="429"/>
      <c r="R61" s="421"/>
      <c r="S61" s="473"/>
      <c r="T61" s="466"/>
      <c r="U61" s="466"/>
      <c r="V61" s="421"/>
      <c r="W61" s="421"/>
    </row>
    <row r="62" s="408" customFormat="1" spans="1:23">
      <c r="A62" s="428"/>
      <c r="B62" s="421"/>
      <c r="C62" s="429"/>
      <c r="D62" s="421"/>
      <c r="E62" s="430"/>
      <c r="F62" s="430"/>
      <c r="G62" s="430"/>
      <c r="H62" s="430"/>
      <c r="I62" s="450"/>
      <c r="J62" s="451"/>
      <c r="K62" s="451"/>
      <c r="L62" s="451"/>
      <c r="M62" s="452"/>
      <c r="N62" s="451"/>
      <c r="O62" s="430"/>
      <c r="P62" s="531"/>
      <c r="Q62" s="429"/>
      <c r="R62" s="421"/>
      <c r="S62" s="472"/>
      <c r="T62" s="466"/>
      <c r="U62" s="466"/>
      <c r="V62" s="421"/>
      <c r="W62" s="421"/>
    </row>
    <row r="63" s="408" customFormat="1" spans="1:23">
      <c r="A63" s="428"/>
      <c r="B63" s="421"/>
      <c r="C63" s="439"/>
      <c r="D63" s="421"/>
      <c r="E63" s="430"/>
      <c r="F63" s="430">
        <v>1361999.65</v>
      </c>
      <c r="G63" s="430">
        <v>1270419.34583333</v>
      </c>
      <c r="H63" s="430">
        <v>1259631.94083333</v>
      </c>
      <c r="I63" s="453">
        <f>(F63/G63)-1</f>
        <v>0.0720866731658576</v>
      </c>
      <c r="J63" s="430"/>
      <c r="K63" s="451"/>
      <c r="L63" s="430"/>
      <c r="M63" s="451"/>
      <c r="N63" s="459">
        <f>SUM(N53:N61)</f>
        <v>0</v>
      </c>
      <c r="O63" s="430" t="s">
        <v>180</v>
      </c>
      <c r="P63" s="531"/>
      <c r="Q63" s="429"/>
      <c r="R63" s="421"/>
      <c r="S63" s="473"/>
      <c r="T63" s="466"/>
      <c r="U63" s="466"/>
      <c r="V63" s="421"/>
      <c r="W63" s="421"/>
    </row>
    <row r="64" s="408" customFormat="1" spans="1:23">
      <c r="A64" s="428"/>
      <c r="B64" s="421"/>
      <c r="C64" s="439"/>
      <c r="D64" s="421"/>
      <c r="E64" s="430"/>
      <c r="F64" s="430"/>
      <c r="G64" s="430"/>
      <c r="H64" s="430"/>
      <c r="I64" s="453"/>
      <c r="J64" s="430"/>
      <c r="K64" s="430"/>
      <c r="L64" s="430"/>
      <c r="M64" s="451"/>
      <c r="N64" s="459"/>
      <c r="O64" s="430"/>
      <c r="P64" s="531"/>
      <c r="Q64" s="429"/>
      <c r="R64" s="421"/>
      <c r="S64" s="473"/>
      <c r="T64" s="466"/>
      <c r="U64" s="466"/>
      <c r="V64" s="421"/>
      <c r="W64" s="421"/>
    </row>
    <row r="65" s="408" customFormat="1" ht="17.4" spans="1:23">
      <c r="A65" s="418" t="s">
        <v>159</v>
      </c>
      <c r="B65" s="419"/>
      <c r="C65" s="420"/>
      <c r="D65" s="421"/>
      <c r="E65" s="422" t="s">
        <v>202</v>
      </c>
      <c r="F65" s="422"/>
      <c r="G65" s="422"/>
      <c r="H65" s="422"/>
      <c r="I65" s="422"/>
      <c r="J65" s="422"/>
      <c r="K65" s="422"/>
      <c r="L65" s="422"/>
      <c r="M65" s="443"/>
      <c r="N65" s="444"/>
      <c r="O65" s="422"/>
      <c r="P65" s="531"/>
      <c r="Q65" s="465"/>
      <c r="R65" s="424"/>
      <c r="S65" s="473"/>
      <c r="T65" s="467"/>
      <c r="U65" s="467"/>
      <c r="V65" s="467"/>
      <c r="W65" s="467"/>
    </row>
    <row r="66" s="409" customFormat="1" ht="46.8" spans="1:23">
      <c r="A66" s="423" t="s">
        <v>206</v>
      </c>
      <c r="B66" s="424" t="s">
        <v>207</v>
      </c>
      <c r="C66" s="425" t="s">
        <v>447</v>
      </c>
      <c r="D66" s="424" t="s">
        <v>209</v>
      </c>
      <c r="E66" s="426" t="s">
        <v>210</v>
      </c>
      <c r="F66" s="427" t="s">
        <v>485</v>
      </c>
      <c r="G66" s="427" t="s">
        <v>213</v>
      </c>
      <c r="H66" s="427" t="s">
        <v>396</v>
      </c>
      <c r="I66" s="427" t="s">
        <v>386</v>
      </c>
      <c r="J66" s="446" t="s">
        <v>449</v>
      </c>
      <c r="K66" s="446" t="s">
        <v>479</v>
      </c>
      <c r="L66" s="446" t="s">
        <v>215</v>
      </c>
      <c r="M66" s="447" t="s">
        <v>436</v>
      </c>
      <c r="N66" s="448" t="s">
        <v>219</v>
      </c>
      <c r="O66" s="449" t="s">
        <v>220</v>
      </c>
      <c r="P66" s="530" t="s">
        <v>221</v>
      </c>
      <c r="Q66" s="469" t="s">
        <v>222</v>
      </c>
      <c r="R66" s="426" t="s">
        <v>223</v>
      </c>
      <c r="S66" s="470" t="s">
        <v>224</v>
      </c>
      <c r="T66" s="467" t="s">
        <v>225</v>
      </c>
      <c r="U66" s="470" t="s">
        <v>226</v>
      </c>
      <c r="V66" s="467"/>
      <c r="W66" s="467"/>
    </row>
    <row r="67" s="410" customFormat="1" ht="17.4" spans="1:23">
      <c r="A67" s="432" t="s">
        <v>227</v>
      </c>
      <c r="B67" s="479" t="s">
        <v>160</v>
      </c>
      <c r="C67" s="434" t="s">
        <v>441</v>
      </c>
      <c r="D67" s="435" t="s">
        <v>49</v>
      </c>
      <c r="E67" s="436">
        <f>VLOOKUP(B67,正厂竞争者数据汇总!D:H,4,FALSE)</f>
        <v>0</v>
      </c>
      <c r="F67" s="436">
        <v>426683</v>
      </c>
      <c r="G67" s="436">
        <v>369856.833333333</v>
      </c>
      <c r="H67" s="436">
        <v>370810.25</v>
      </c>
      <c r="I67" s="454">
        <f>(F67/G67)-1</f>
        <v>0.153643684650954</v>
      </c>
      <c r="J67" s="455">
        <v>0.545583392749921</v>
      </c>
      <c r="K67" s="455">
        <v>0.585736321211315</v>
      </c>
      <c r="L67" s="455">
        <v>0.539885336095221</v>
      </c>
      <c r="M67" s="456">
        <f>J67-K67</f>
        <v>-0.0401529284613941</v>
      </c>
      <c r="N67" s="455" t="str">
        <f>IFERROR(O67*0.5/$F$67,"")</f>
        <v/>
      </c>
      <c r="O67" s="436" t="s">
        <v>180</v>
      </c>
      <c r="P67" s="531">
        <f t="array" ref="P67">INDEX(正厂竞争者数据汇总!I:I,MATCH($A$65&amp;B67,正厂竞争者数据汇总!A:A&amp;正厂竞争者数据汇总!D:D,0))</f>
        <v>0</v>
      </c>
      <c r="Q67" s="434" t="s">
        <v>280</v>
      </c>
      <c r="R67" s="435" t="s">
        <v>229</v>
      </c>
      <c r="S67" s="476"/>
      <c r="T67" s="477"/>
      <c r="U67" s="477"/>
      <c r="V67" s="435"/>
      <c r="W67" s="435"/>
    </row>
    <row r="68" s="408" customFormat="1" spans="1:23">
      <c r="A68" s="428" t="s">
        <v>230</v>
      </c>
      <c r="B68" s="421" t="s">
        <v>282</v>
      </c>
      <c r="C68" s="494" t="s">
        <v>441</v>
      </c>
      <c r="D68" s="431" t="s">
        <v>250</v>
      </c>
      <c r="E68" s="486"/>
      <c r="F68" s="430">
        <v>101667</v>
      </c>
      <c r="G68" s="430"/>
      <c r="H68" s="430"/>
      <c r="I68" s="453"/>
      <c r="J68" s="512">
        <v>0.129997742564635</v>
      </c>
      <c r="K68" s="451">
        <v>0.134777036219263</v>
      </c>
      <c r="L68" s="451">
        <v>0.140005799766522</v>
      </c>
      <c r="M68" s="451"/>
      <c r="N68" s="459"/>
      <c r="O68" s="430"/>
      <c r="P68" s="531" t="str">
        <f t="array" ref="P68">INDEX(正厂竞争者数据汇总!I:I,MATCH($A$65&amp;B68,正厂竞争者数据汇总!A:A&amp;正厂竞争者数据汇总!D:D,0))</f>
        <v>2021年08月新增竞争者</v>
      </c>
      <c r="Q68" s="429"/>
      <c r="R68" s="421"/>
      <c r="S68" s="473"/>
      <c r="T68" s="466"/>
      <c r="U68" s="466"/>
      <c r="V68" s="421"/>
      <c r="W68" s="421"/>
    </row>
    <row r="69" s="408" customFormat="1" spans="1:23">
      <c r="A69" s="428" t="s">
        <v>230</v>
      </c>
      <c r="B69" s="438" t="s">
        <v>255</v>
      </c>
      <c r="C69" s="494" t="s">
        <v>233</v>
      </c>
      <c r="D69" s="431" t="s">
        <v>419</v>
      </c>
      <c r="E69" s="486"/>
      <c r="F69" s="430">
        <v>100794.26</v>
      </c>
      <c r="G69" s="430"/>
      <c r="H69" s="430"/>
      <c r="I69" s="453"/>
      <c r="J69" s="512">
        <v>0.128881802979068</v>
      </c>
      <c r="K69" s="451">
        <v>0.144005882220736</v>
      </c>
      <c r="L69" s="451">
        <v>0.143018204014902</v>
      </c>
      <c r="M69" s="451"/>
      <c r="N69" s="459"/>
      <c r="O69" s="430"/>
      <c r="P69" s="531" t="str">
        <f t="array" ref="P69">INDEX(正厂竞争者数据汇总!I:I,MATCH($A$65&amp;B69,正厂竞争者数据汇总!A:A&amp;正厂竞争者数据汇总!D:D,0))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69" s="429"/>
      <c r="R69" s="421"/>
      <c r="S69" s="473"/>
      <c r="T69" s="466"/>
      <c r="U69" s="466"/>
      <c r="V69" s="421"/>
      <c r="W69" s="421"/>
    </row>
    <row r="70" s="408" customFormat="1" spans="1:23">
      <c r="A70" s="428" t="s">
        <v>230</v>
      </c>
      <c r="B70" s="421" t="s">
        <v>281</v>
      </c>
      <c r="C70" s="494" t="s">
        <v>233</v>
      </c>
      <c r="D70" s="431" t="s">
        <v>234</v>
      </c>
      <c r="E70" s="486"/>
      <c r="F70" s="430">
        <v>52766.8333333333</v>
      </c>
      <c r="G70" s="430"/>
      <c r="H70" s="430"/>
      <c r="I70" s="453"/>
      <c r="J70" s="512">
        <v>0.0674709513963987</v>
      </c>
      <c r="K70" s="451">
        <v>0.045717963887992</v>
      </c>
      <c r="L70" s="451">
        <v>0.0248813795967865</v>
      </c>
      <c r="M70" s="451"/>
      <c r="N70" s="459"/>
      <c r="O70" s="430"/>
      <c r="P70" s="531" t="str">
        <f t="array" ref="P70">INDEX(正厂竞争者数据汇总!I:I,MATCH($A$65&amp;B70,正厂竞争者数据汇总!A:A&amp;正厂竞争者数据汇总!D:D,0))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70" s="429"/>
      <c r="R70" s="421"/>
      <c r="S70" s="473"/>
      <c r="T70" s="466"/>
      <c r="U70" s="466"/>
      <c r="V70" s="421"/>
      <c r="W70" s="421"/>
    </row>
    <row r="71" s="408" customFormat="1" spans="1:23">
      <c r="A71" s="428" t="s">
        <v>243</v>
      </c>
      <c r="B71" s="431" t="s">
        <v>401</v>
      </c>
      <c r="C71" s="494" t="s">
        <v>233</v>
      </c>
      <c r="D71" s="431" t="s">
        <v>266</v>
      </c>
      <c r="E71" s="486"/>
      <c r="F71" s="430">
        <v>37253</v>
      </c>
      <c r="G71" s="430"/>
      <c r="H71" s="430"/>
      <c r="I71" s="453"/>
      <c r="J71" s="512">
        <v>0.0476340002533797</v>
      </c>
      <c r="K71" s="451">
        <v>0.0364009251905286</v>
      </c>
      <c r="L71" s="451">
        <v>0.0336661943981931</v>
      </c>
      <c r="M71" s="451"/>
      <c r="N71" s="459"/>
      <c r="O71" s="430"/>
      <c r="P71" s="531" t="str">
        <f t="array" ref="P71">INDEX(正厂竞争者数据汇总!I:I,MATCH($A$65&amp;B71,正厂竞争者数据汇总!A:A&amp;正厂竞争者数据汇总!D:D,0))</f>
        <v>2023年1月新增</v>
      </c>
      <c r="Q71" s="429"/>
      <c r="R71" s="421"/>
      <c r="S71" s="473"/>
      <c r="T71" s="466"/>
      <c r="U71" s="466"/>
      <c r="V71" s="421"/>
      <c r="W71" s="435"/>
    </row>
    <row r="72" s="408" customFormat="1" spans="1:23">
      <c r="A72" s="428" t="s">
        <v>230</v>
      </c>
      <c r="B72" s="431" t="s">
        <v>457</v>
      </c>
      <c r="C72" s="494" t="s">
        <v>233</v>
      </c>
      <c r="D72" s="431" t="s">
        <v>58</v>
      </c>
      <c r="E72" s="486"/>
      <c r="F72" s="430">
        <v>36559.3333333333</v>
      </c>
      <c r="G72" s="430"/>
      <c r="H72" s="430"/>
      <c r="I72" s="453"/>
      <c r="J72" s="512">
        <v>0.0467470349572757</v>
      </c>
      <c r="K72" s="451">
        <v>0.0434813626460962</v>
      </c>
      <c r="L72" s="451">
        <v>0.0494169630966073</v>
      </c>
      <c r="M72" s="451"/>
      <c r="N72" s="459"/>
      <c r="O72" s="430"/>
      <c r="P72" s="531">
        <f t="array" ref="P72">INDEX(正厂竞争者数据汇总!I:I,MATCH($A$65&amp;B72,正厂竞争者数据汇总!A:A&amp;正厂竞争者数据汇总!D:D,0))</f>
        <v>0</v>
      </c>
      <c r="Q72" s="429"/>
      <c r="R72" s="421"/>
      <c r="S72" s="473"/>
      <c r="T72" s="466"/>
      <c r="U72" s="466"/>
      <c r="V72" s="421"/>
      <c r="W72" s="435"/>
    </row>
    <row r="73" s="408" customFormat="1" spans="1:23">
      <c r="A73" s="428" t="s">
        <v>230</v>
      </c>
      <c r="B73" s="431" t="s">
        <v>283</v>
      </c>
      <c r="C73" s="494" t="s">
        <v>233</v>
      </c>
      <c r="D73" s="431" t="s">
        <v>50</v>
      </c>
      <c r="E73" s="486"/>
      <c r="F73" s="430">
        <v>26344</v>
      </c>
      <c r="G73" s="430"/>
      <c r="H73" s="430"/>
      <c r="I73" s="453"/>
      <c r="J73" s="512">
        <v>0.0336850750993218</v>
      </c>
      <c r="K73" s="451">
        <v>0.0462814338145984</v>
      </c>
      <c r="L73" s="451">
        <v>0.0691261230317674</v>
      </c>
      <c r="M73" s="451"/>
      <c r="N73" s="459"/>
      <c r="O73" s="430"/>
      <c r="P73" s="531" t="str">
        <f t="array" ref="P73">INDEX(正厂竞争者数据汇总!I:I,MATCH($A$65&amp;B73,正厂竞争者数据汇总!A:A&amp;正厂竞争者数据汇总!D:D,0))</f>
        <v>2020年10月起加入MarketingShare.2023年8月，因为连续半年市场份额低于5%移除；2024年2月因市场份额大于5%重新加入监控</v>
      </c>
      <c r="Q73" s="429"/>
      <c r="R73" s="421"/>
      <c r="S73" s="473"/>
      <c r="T73" s="466"/>
      <c r="U73" s="466"/>
      <c r="V73" s="421"/>
      <c r="W73" s="421"/>
    </row>
    <row r="74" s="408" customFormat="1" spans="1:23">
      <c r="A74" s="428"/>
      <c r="B74" s="421"/>
      <c r="C74" s="429"/>
      <c r="D74" s="421"/>
      <c r="E74" s="430"/>
      <c r="F74" s="430"/>
      <c r="G74" s="430"/>
      <c r="H74" s="430"/>
      <c r="I74" s="453"/>
      <c r="J74" s="451"/>
      <c r="K74" s="451"/>
      <c r="L74" s="451"/>
      <c r="M74" s="451"/>
      <c r="N74" s="451"/>
      <c r="O74" s="430"/>
      <c r="P74" s="531"/>
      <c r="Q74" s="429"/>
      <c r="R74" s="421"/>
      <c r="S74" s="473"/>
      <c r="T74" s="466"/>
      <c r="U74" s="466"/>
      <c r="V74" s="421"/>
      <c r="W74" s="421"/>
    </row>
    <row r="75" s="408" customFormat="1" spans="1:23">
      <c r="A75" s="428"/>
      <c r="B75" s="421"/>
      <c r="C75" s="429"/>
      <c r="D75" s="421"/>
      <c r="E75" s="430"/>
      <c r="F75" s="430">
        <v>782067.426666667</v>
      </c>
      <c r="G75" s="430">
        <v>675366.255</v>
      </c>
      <c r="H75" s="430">
        <v>656929.13</v>
      </c>
      <c r="I75" s="453">
        <f>(F75/G75)-1</f>
        <v>0.157990084456717</v>
      </c>
      <c r="J75" s="451"/>
      <c r="K75" s="451"/>
      <c r="L75" s="451"/>
      <c r="M75" s="451"/>
      <c r="N75" s="451">
        <f>SUM(N67:N70)</f>
        <v>0</v>
      </c>
      <c r="O75" s="430"/>
      <c r="P75" s="531"/>
      <c r="Q75" s="429"/>
      <c r="R75" s="421"/>
      <c r="S75" s="473"/>
      <c r="T75" s="466"/>
      <c r="U75" s="466"/>
      <c r="V75" s="421"/>
      <c r="W75" s="421"/>
    </row>
    <row r="76" s="408" customFormat="1" spans="1:23">
      <c r="A76" s="428"/>
      <c r="B76" s="421"/>
      <c r="C76" s="429"/>
      <c r="D76" s="421"/>
      <c r="E76" s="430"/>
      <c r="F76" s="430"/>
      <c r="G76" s="430"/>
      <c r="H76" s="430"/>
      <c r="I76" s="453"/>
      <c r="J76" s="451"/>
      <c r="K76" s="451"/>
      <c r="L76" s="451"/>
      <c r="M76" s="451"/>
      <c r="N76" s="451"/>
      <c r="O76" s="430"/>
      <c r="P76" s="531"/>
      <c r="Q76" s="429"/>
      <c r="R76" s="421"/>
      <c r="S76" s="473"/>
      <c r="T76" s="466"/>
      <c r="U76" s="466"/>
      <c r="V76" s="421"/>
      <c r="W76" s="421"/>
    </row>
    <row r="77" s="408" customFormat="1" ht="17.4" spans="1:23">
      <c r="A77" s="418" t="s">
        <v>274</v>
      </c>
      <c r="B77" s="419"/>
      <c r="C77" s="420"/>
      <c r="D77" s="421"/>
      <c r="E77" s="422" t="s">
        <v>202</v>
      </c>
      <c r="F77" s="422"/>
      <c r="G77" s="422"/>
      <c r="H77" s="422"/>
      <c r="I77" s="422"/>
      <c r="J77" s="422"/>
      <c r="K77" s="422"/>
      <c r="L77" s="422"/>
      <c r="M77" s="443"/>
      <c r="N77" s="444"/>
      <c r="O77" s="422"/>
      <c r="P77" s="531"/>
      <c r="Q77" s="465"/>
      <c r="R77" s="424"/>
      <c r="S77" s="473"/>
      <c r="T77" s="467"/>
      <c r="U77" s="467"/>
      <c r="V77" s="467"/>
      <c r="W77" s="467"/>
    </row>
    <row r="78" s="409" customFormat="1" ht="46.8" spans="1:23">
      <c r="A78" s="423" t="s">
        <v>206</v>
      </c>
      <c r="B78" s="424" t="s">
        <v>207</v>
      </c>
      <c r="C78" s="425" t="s">
        <v>447</v>
      </c>
      <c r="D78" s="424" t="s">
        <v>209</v>
      </c>
      <c r="E78" s="426" t="s">
        <v>210</v>
      </c>
      <c r="F78" s="427" t="s">
        <v>485</v>
      </c>
      <c r="G78" s="427" t="s">
        <v>213</v>
      </c>
      <c r="H78" s="427" t="s">
        <v>396</v>
      </c>
      <c r="I78" s="427" t="s">
        <v>386</v>
      </c>
      <c r="J78" s="446" t="s">
        <v>449</v>
      </c>
      <c r="K78" s="446" t="s">
        <v>479</v>
      </c>
      <c r="L78" s="446" t="s">
        <v>215</v>
      </c>
      <c r="M78" s="447" t="s">
        <v>436</v>
      </c>
      <c r="N78" s="448" t="s">
        <v>219</v>
      </c>
      <c r="O78" s="449" t="s">
        <v>220</v>
      </c>
      <c r="P78" s="530" t="s">
        <v>221</v>
      </c>
      <c r="Q78" s="469" t="s">
        <v>222</v>
      </c>
      <c r="R78" s="426" t="s">
        <v>223</v>
      </c>
      <c r="S78" s="470" t="s">
        <v>224</v>
      </c>
      <c r="T78" s="467" t="s">
        <v>225</v>
      </c>
      <c r="U78" s="470" t="s">
        <v>226</v>
      </c>
      <c r="V78" s="467"/>
      <c r="W78" s="467"/>
    </row>
    <row r="79" s="410" customFormat="1" ht="17.4" spans="1:23">
      <c r="A79" s="432" t="s">
        <v>227</v>
      </c>
      <c r="B79" s="435" t="s">
        <v>157</v>
      </c>
      <c r="C79" s="434" t="s">
        <v>441</v>
      </c>
      <c r="D79" s="435" t="s">
        <v>49</v>
      </c>
      <c r="E79" s="436">
        <f>VLOOKUP(B79,正厂竞争者数据汇总!D:H,4,FALSE)</f>
        <v>0</v>
      </c>
      <c r="F79" s="436">
        <v>288417.166666667</v>
      </c>
      <c r="G79" s="436">
        <v>278909.416666667</v>
      </c>
      <c r="H79" s="436">
        <v>329867.416666667</v>
      </c>
      <c r="I79" s="454">
        <f>(F79/G79)-1</f>
        <v>0.0340890247221843</v>
      </c>
      <c r="J79" s="457">
        <v>0.387913938967853</v>
      </c>
      <c r="K79" s="457">
        <v>0.340964303771138</v>
      </c>
      <c r="L79" s="457">
        <v>0.372062722978586</v>
      </c>
      <c r="M79" s="456">
        <f>J79-K79</f>
        <v>0.046949635196715</v>
      </c>
      <c r="N79" s="457" t="str">
        <f>IFERROR(O79*0.5/$F$79,"")</f>
        <v/>
      </c>
      <c r="O79" s="436" t="s">
        <v>180</v>
      </c>
      <c r="P79" s="531">
        <f t="array" ref="P79">INDEX(正厂竞争者数据汇总!I:I,MATCH($A$77&amp;B79,正厂竞争者数据汇总!A:A&amp;正厂竞争者数据汇总!D:D,0))</f>
        <v>0</v>
      </c>
      <c r="Q79" s="434" t="s">
        <v>275</v>
      </c>
      <c r="R79" s="435" t="s">
        <v>229</v>
      </c>
      <c r="S79" s="476"/>
      <c r="T79" s="477"/>
      <c r="U79" s="477"/>
      <c r="V79" s="435"/>
      <c r="W79" s="435"/>
    </row>
    <row r="80" s="408" customFormat="1" spans="1:23">
      <c r="A80" s="428" t="s">
        <v>230</v>
      </c>
      <c r="B80" s="431" t="s">
        <v>276</v>
      </c>
      <c r="C80" s="494" t="s">
        <v>233</v>
      </c>
      <c r="D80" s="431" t="s">
        <v>234</v>
      </c>
      <c r="E80" s="486"/>
      <c r="F80" s="430">
        <v>186321.083333333</v>
      </c>
      <c r="G80" s="486"/>
      <c r="H80" s="486"/>
      <c r="I80" s="518"/>
      <c r="J80" s="490">
        <v>0.250597237965808</v>
      </c>
      <c r="K80" s="451">
        <v>0.260164350422659</v>
      </c>
      <c r="L80" s="451">
        <v>0.253976470958231</v>
      </c>
      <c r="M80" s="451"/>
      <c r="N80" s="457"/>
      <c r="O80" s="430"/>
      <c r="P80" s="531" t="str">
        <f t="array" ref="P80">INDEX(正厂竞争者数据汇总!I:I,MATCH($A$77&amp;B80,正厂竞争者数据汇总!A:A&amp;正厂竞争者数据汇总!D:D,0))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80" s="429"/>
      <c r="R80" s="435"/>
      <c r="S80" s="473"/>
      <c r="T80" s="466"/>
      <c r="U80" s="466"/>
      <c r="V80" s="421"/>
      <c r="W80" s="421"/>
    </row>
    <row r="81" s="408" customFormat="1" spans="1:23">
      <c r="A81" s="428" t="s">
        <v>230</v>
      </c>
      <c r="B81" s="431" t="s">
        <v>278</v>
      </c>
      <c r="C81" s="494" t="s">
        <v>65</v>
      </c>
      <c r="D81" s="431" t="s">
        <v>59</v>
      </c>
      <c r="E81" s="486"/>
      <c r="F81" s="430">
        <v>111278.916666666</v>
      </c>
      <c r="G81" s="486"/>
      <c r="H81" s="486"/>
      <c r="I81" s="518"/>
      <c r="J81" s="490">
        <v>0.149667384182201</v>
      </c>
      <c r="K81" s="451">
        <v>0.150655075126382</v>
      </c>
      <c r="L81" s="451">
        <v>0.169410373699849</v>
      </c>
      <c r="M81" s="451"/>
      <c r="N81" s="457"/>
      <c r="O81" s="430"/>
      <c r="P81" s="531" t="str">
        <f t="array" ref="P81">INDEX(正厂竞争者数据汇总!I:I,MATCH($A$77&amp;B81,正厂竞争者数据汇总!A:A&amp;正厂竞争者数据汇总!D:D,0))</f>
        <v>2020年11月新增竞争者</v>
      </c>
      <c r="Q81" s="429"/>
      <c r="R81" s="435"/>
      <c r="S81" s="473"/>
      <c r="T81" s="466"/>
      <c r="U81" s="466"/>
      <c r="V81" s="474"/>
      <c r="W81" s="474"/>
    </row>
    <row r="82" s="408" customFormat="1" spans="1:23">
      <c r="A82" s="428" t="s">
        <v>243</v>
      </c>
      <c r="B82" s="431" t="s">
        <v>277</v>
      </c>
      <c r="C82" s="506" t="s">
        <v>233</v>
      </c>
      <c r="D82" s="431" t="s">
        <v>266</v>
      </c>
      <c r="E82" s="486"/>
      <c r="F82" s="430">
        <v>103449.333333334</v>
      </c>
      <c r="G82" s="486"/>
      <c r="H82" s="486"/>
      <c r="I82" s="518"/>
      <c r="J82" s="490">
        <v>0.139136788703395</v>
      </c>
      <c r="K82" s="451">
        <v>0.181645031222252</v>
      </c>
      <c r="L82" s="451">
        <v>0.173699874239048</v>
      </c>
      <c r="M82" s="451"/>
      <c r="N82" s="457"/>
      <c r="O82" s="430"/>
      <c r="P82" s="531">
        <f t="array" ref="P82">INDEX(正厂竞争者数据汇总!I:I,MATCH($A$77&amp;B82,正厂竞争者数据汇总!A:A&amp;正厂竞争者数据汇总!D:D,0))</f>
        <v>0</v>
      </c>
      <c r="Q82" s="429"/>
      <c r="R82" s="435"/>
      <c r="S82" s="473"/>
      <c r="T82" s="466"/>
      <c r="U82" s="466"/>
      <c r="V82" s="421"/>
      <c r="W82" s="421"/>
    </row>
    <row r="83" s="408" customFormat="1" spans="1:23">
      <c r="A83" s="428" t="s">
        <v>230</v>
      </c>
      <c r="B83" s="431" t="s">
        <v>279</v>
      </c>
      <c r="C83" s="494" t="s">
        <v>233</v>
      </c>
      <c r="D83" s="431" t="s">
        <v>234</v>
      </c>
      <c r="E83" s="486"/>
      <c r="F83" s="430">
        <v>54041.6282051282</v>
      </c>
      <c r="G83" s="486"/>
      <c r="H83" s="486"/>
      <c r="I83" s="518"/>
      <c r="J83" s="490">
        <v>0.0726846501807422</v>
      </c>
      <c r="K83" s="451">
        <v>0.0665712394575678</v>
      </c>
      <c r="L83" s="457">
        <v>0.0308505581242861</v>
      </c>
      <c r="M83" s="451"/>
      <c r="N83" s="457"/>
      <c r="O83" s="430"/>
      <c r="P83" s="531" t="str">
        <f t="array" ref="P83">INDEX(正厂竞争者数据汇总!I:I,MATCH($A$77&amp;B83,正厂竞争者数据汇总!A:A&amp;正厂竞争者数据汇总!D:D,0))</f>
        <v>同时经营多品牌零件，semrush流量折算比例：Ford:0%, GM:36%, Honda:25%, Hyundai:0%, Infiniti:1%, Kia:1%, Lexus:4%, Mopar:0%, Nissan:25%, Subaru:5%, Toyota:2%</v>
      </c>
      <c r="Q83" s="429"/>
      <c r="R83" s="435"/>
      <c r="S83" s="473"/>
      <c r="T83" s="466"/>
      <c r="U83" s="466"/>
      <c r="V83" s="421"/>
      <c r="W83" s="421"/>
    </row>
    <row r="84" s="408" customFormat="1" spans="1:23">
      <c r="A84" s="428"/>
      <c r="B84" s="431"/>
      <c r="C84" s="429"/>
      <c r="D84" s="421"/>
      <c r="E84" s="430"/>
      <c r="F84" s="430"/>
      <c r="G84" s="430"/>
      <c r="H84" s="430"/>
      <c r="I84" s="453"/>
      <c r="J84" s="451"/>
      <c r="K84" s="451"/>
      <c r="L84" s="451"/>
      <c r="M84" s="451"/>
      <c r="N84" s="451"/>
      <c r="O84" s="430"/>
      <c r="P84" s="531"/>
      <c r="Q84" s="429"/>
      <c r="R84" s="435"/>
      <c r="S84" s="473"/>
      <c r="T84" s="466"/>
      <c r="U84" s="466"/>
      <c r="V84" s="421"/>
      <c r="W84" s="421"/>
    </row>
    <row r="85" s="408" customFormat="1" spans="1:23">
      <c r="A85" s="428"/>
      <c r="B85" s="421"/>
      <c r="C85" s="439"/>
      <c r="D85" s="421"/>
      <c r="E85" s="430"/>
      <c r="F85" s="430">
        <v>743508.128205128</v>
      </c>
      <c r="G85" s="430">
        <v>704838.916666666</v>
      </c>
      <c r="H85" s="430">
        <v>764789.250000002</v>
      </c>
      <c r="I85" s="453">
        <f>(F85/G85)-1</f>
        <v>0.0548624808081497</v>
      </c>
      <c r="J85" s="490"/>
      <c r="K85" s="480"/>
      <c r="L85" s="480"/>
      <c r="M85" s="451"/>
      <c r="N85" s="451">
        <f>SUM(N79:N83)</f>
        <v>0</v>
      </c>
      <c r="O85" s="430"/>
      <c r="P85" s="531"/>
      <c r="Q85" s="429"/>
      <c r="R85" s="421"/>
      <c r="S85" s="473"/>
      <c r="T85" s="466"/>
      <c r="U85" s="466"/>
      <c r="V85" s="421"/>
      <c r="W85" s="421"/>
    </row>
    <row r="86" s="408" customFormat="1" spans="1:23">
      <c r="A86" s="428"/>
      <c r="B86" s="421"/>
      <c r="C86" s="439"/>
      <c r="D86" s="421"/>
      <c r="E86" s="430"/>
      <c r="F86" s="430"/>
      <c r="G86" s="430"/>
      <c r="H86" s="430"/>
      <c r="I86" s="453"/>
      <c r="J86" s="430"/>
      <c r="K86" s="430"/>
      <c r="L86" s="430"/>
      <c r="M86" s="451"/>
      <c r="N86" s="459"/>
      <c r="O86" s="430"/>
      <c r="P86" s="531"/>
      <c r="Q86" s="429"/>
      <c r="R86" s="421"/>
      <c r="S86" s="473"/>
      <c r="T86" s="466"/>
      <c r="U86" s="466"/>
      <c r="V86" s="421"/>
      <c r="W86" s="421"/>
    </row>
    <row r="87" s="408" customFormat="1" ht="17.4" spans="1:23">
      <c r="A87" s="418" t="s">
        <v>165</v>
      </c>
      <c r="B87" s="419"/>
      <c r="C87" s="420"/>
      <c r="D87" s="421"/>
      <c r="E87" s="422" t="s">
        <v>202</v>
      </c>
      <c r="F87" s="422"/>
      <c r="G87" s="422"/>
      <c r="H87" s="422"/>
      <c r="I87" s="422"/>
      <c r="J87" s="422"/>
      <c r="K87" s="422"/>
      <c r="L87" s="422"/>
      <c r="M87" s="443"/>
      <c r="N87" s="444"/>
      <c r="O87" s="422"/>
      <c r="P87" s="531"/>
      <c r="Q87" s="465"/>
      <c r="R87" s="424"/>
      <c r="S87" s="473"/>
      <c r="T87" s="467"/>
      <c r="U87" s="467"/>
      <c r="V87" s="467"/>
      <c r="W87" s="467"/>
    </row>
    <row r="88" s="409" customFormat="1" ht="46.8" spans="1:23">
      <c r="A88" s="423" t="s">
        <v>206</v>
      </c>
      <c r="B88" s="424" t="s">
        <v>207</v>
      </c>
      <c r="C88" s="425" t="s">
        <v>447</v>
      </c>
      <c r="D88" s="424" t="s">
        <v>209</v>
      </c>
      <c r="E88" s="426" t="s">
        <v>210</v>
      </c>
      <c r="F88" s="427" t="s">
        <v>485</v>
      </c>
      <c r="G88" s="427" t="s">
        <v>213</v>
      </c>
      <c r="H88" s="427" t="s">
        <v>396</v>
      </c>
      <c r="I88" s="427" t="s">
        <v>386</v>
      </c>
      <c r="J88" s="446" t="s">
        <v>449</v>
      </c>
      <c r="K88" s="446" t="s">
        <v>479</v>
      </c>
      <c r="L88" s="446" t="s">
        <v>215</v>
      </c>
      <c r="M88" s="447" t="s">
        <v>436</v>
      </c>
      <c r="N88" s="448" t="s">
        <v>219</v>
      </c>
      <c r="O88" s="449" t="s">
        <v>220</v>
      </c>
      <c r="P88" s="530" t="s">
        <v>221</v>
      </c>
      <c r="Q88" s="469" t="s">
        <v>222</v>
      </c>
      <c r="R88" s="426" t="s">
        <v>223</v>
      </c>
      <c r="S88" s="470" t="s">
        <v>224</v>
      </c>
      <c r="T88" s="467" t="s">
        <v>225</v>
      </c>
      <c r="U88" s="470" t="s">
        <v>226</v>
      </c>
      <c r="V88" s="467"/>
      <c r="W88" s="467"/>
    </row>
    <row r="89" spans="1:23">
      <c r="A89" s="428" t="s">
        <v>230</v>
      </c>
      <c r="B89" s="431" t="s">
        <v>293</v>
      </c>
      <c r="C89" s="429" t="s">
        <v>233</v>
      </c>
      <c r="D89" s="421" t="s">
        <v>50</v>
      </c>
      <c r="E89" s="486"/>
      <c r="F89" s="430">
        <v>172972</v>
      </c>
      <c r="G89" s="486"/>
      <c r="H89" s="486"/>
      <c r="I89" s="514"/>
      <c r="J89" s="451">
        <v>0.377312023750511</v>
      </c>
      <c r="K89" s="451">
        <v>0.351580903196127</v>
      </c>
      <c r="L89" s="451">
        <v>0.393913462095028</v>
      </c>
      <c r="M89" s="515"/>
      <c r="N89" s="490"/>
      <c r="O89" s="486"/>
      <c r="P89" s="531">
        <f t="array" ref="P89">INDEX(正厂竞争者数据汇总!I:I,MATCH($A$87&amp;B89,正厂竞争者数据汇总!A:A&amp;正厂竞争者数据汇总!D:D,0))</f>
        <v>0</v>
      </c>
      <c r="Q89" s="494"/>
      <c r="R89" s="431"/>
      <c r="S89" s="473"/>
      <c r="T89" s="495"/>
      <c r="U89" s="495"/>
      <c r="V89" s="431"/>
      <c r="W89" s="431"/>
    </row>
    <row r="90" s="410" customFormat="1" spans="1:23">
      <c r="A90" s="432" t="s">
        <v>227</v>
      </c>
      <c r="B90" s="435" t="s">
        <v>166</v>
      </c>
      <c r="C90" s="505" t="s">
        <v>441</v>
      </c>
      <c r="D90" s="435" t="s">
        <v>58</v>
      </c>
      <c r="E90" s="462"/>
      <c r="F90" s="436">
        <v>104477.5</v>
      </c>
      <c r="G90" s="462"/>
      <c r="H90" s="462"/>
      <c r="I90" s="510"/>
      <c r="J90" s="461">
        <v>0.227901723755255</v>
      </c>
      <c r="K90" s="457">
        <v>0.233498382304451</v>
      </c>
      <c r="L90" s="457">
        <v>0.252398071389645</v>
      </c>
      <c r="M90" s="461"/>
      <c r="N90" s="461"/>
      <c r="O90" s="462"/>
      <c r="P90" s="531">
        <f t="array" ref="P90">INDEX(正厂竞争者数据汇总!I:I,MATCH($A$87&amp;B90,正厂竞争者数据汇总!A:A&amp;正厂竞争者数据汇总!D:D,0))</f>
        <v>0</v>
      </c>
      <c r="Q90" s="434"/>
      <c r="R90" s="435"/>
      <c r="S90" s="476"/>
      <c r="T90" s="477"/>
      <c r="U90" s="477"/>
      <c r="V90" s="435"/>
      <c r="W90" s="435"/>
    </row>
    <row r="91" s="408" customFormat="1" spans="1:23">
      <c r="A91" s="421" t="s">
        <v>243</v>
      </c>
      <c r="B91" s="421" t="s">
        <v>298</v>
      </c>
      <c r="C91" s="429" t="s">
        <v>441</v>
      </c>
      <c r="D91" s="421" t="s">
        <v>422</v>
      </c>
      <c r="E91" s="430"/>
      <c r="F91" s="430">
        <v>54258.8333333333</v>
      </c>
      <c r="G91" s="430"/>
      <c r="H91" s="430"/>
      <c r="I91" s="453"/>
      <c r="J91" s="451">
        <v>0.118357365419499</v>
      </c>
      <c r="K91" s="451">
        <v>0.121439205464855</v>
      </c>
      <c r="L91" s="451">
        <v>0.140581632243162</v>
      </c>
      <c r="M91" s="451"/>
      <c r="N91" s="451"/>
      <c r="O91" s="430"/>
      <c r="P91" s="531">
        <f t="array" ref="P91">INDEX(正厂竞争者数据汇总!I:I,MATCH($A$87&amp;B91,正厂竞争者数据汇总!A:A&amp;正厂竞争者数据汇总!D:D,0))</f>
        <v>0</v>
      </c>
      <c r="Q91" s="429"/>
      <c r="R91" s="421"/>
      <c r="S91" s="473"/>
      <c r="T91" s="466"/>
      <c r="U91" s="477"/>
      <c r="V91" s="421"/>
      <c r="W91" s="421"/>
    </row>
    <row r="92" s="408" customFormat="1" spans="1:23">
      <c r="A92" s="428" t="s">
        <v>230</v>
      </c>
      <c r="B92" s="421" t="s">
        <v>294</v>
      </c>
      <c r="C92" s="429" t="s">
        <v>233</v>
      </c>
      <c r="D92" s="421" t="s">
        <v>250</v>
      </c>
      <c r="E92" s="430"/>
      <c r="F92" s="430">
        <v>43247</v>
      </c>
      <c r="G92" s="430"/>
      <c r="H92" s="430"/>
      <c r="I92" s="453"/>
      <c r="J92" s="451">
        <v>0.0943367313272572</v>
      </c>
      <c r="K92" s="451">
        <v>0.0823047197536755</v>
      </c>
      <c r="L92" s="451">
        <v>0.0896709795287187</v>
      </c>
      <c r="M92" s="451"/>
      <c r="N92" s="451"/>
      <c r="O92" s="430"/>
      <c r="P92" s="531" t="str">
        <f t="array" ref="P92">INDEX(正厂竞争者数据汇总!I:I,MATCH($A$87&amp;B92,正厂竞争者数据汇总!A:A&amp;正厂竞争者数据汇总!D:D,0))</f>
        <v>2022年1月 新加入 CompetitorSites</v>
      </c>
      <c r="Q92" s="429"/>
      <c r="R92" s="421"/>
      <c r="S92" s="473"/>
      <c r="T92" s="466"/>
      <c r="U92" s="466"/>
      <c r="V92" s="421"/>
      <c r="W92" s="421"/>
    </row>
    <row r="93" s="408" customFormat="1" spans="1:23">
      <c r="A93" s="421" t="s">
        <v>230</v>
      </c>
      <c r="B93" t="s">
        <v>295</v>
      </c>
      <c r="C93" s="429" t="s">
        <v>233</v>
      </c>
      <c r="D93" s="421" t="s">
        <v>423</v>
      </c>
      <c r="E93" s="430"/>
      <c r="F93" s="430">
        <v>32991.3333333333</v>
      </c>
      <c r="G93" s="430"/>
      <c r="H93" s="430"/>
      <c r="I93" s="453"/>
      <c r="J93" s="451">
        <v>0.0719655594329005</v>
      </c>
      <c r="K93" s="451">
        <v>0.103331617255299</v>
      </c>
      <c r="L93" s="451">
        <v>0.0750675854983835</v>
      </c>
      <c r="M93" s="451"/>
      <c r="N93" s="451"/>
      <c r="O93" s="430"/>
      <c r="P93" s="531" t="str">
        <f t="array" ref="P93">INDEX(正厂竞争者数据汇总!I:I,MATCH($A$87&amp;B93,正厂竞争者数据汇总!A:A&amp;正厂竞争者数据汇总!D:D,0))</f>
        <v>2023年4月，流量更新为子站parts.subaruonlineparts.com，子站主营parts，此前监控域名为subaruonlineparts.com,该子域名的实际成单效率较高，流量不能完全反应其竞争力</v>
      </c>
      <c r="Q93" s="429"/>
      <c r="R93" s="421"/>
      <c r="S93" s="473"/>
      <c r="T93" s="466"/>
      <c r="U93" s="477"/>
      <c r="V93" s="421"/>
      <c r="W93" s="421"/>
    </row>
    <row r="94" s="408" customFormat="1" spans="1:23">
      <c r="A94" s="428" t="s">
        <v>230</v>
      </c>
      <c r="B94" s="421" t="s">
        <v>406</v>
      </c>
      <c r="C94" s="429" t="s">
        <v>233</v>
      </c>
      <c r="D94" s="421" t="s">
        <v>60</v>
      </c>
      <c r="E94" s="430"/>
      <c r="F94" s="430">
        <v>29640.9166666667</v>
      </c>
      <c r="G94" s="430"/>
      <c r="H94" s="430"/>
      <c r="I94" s="453"/>
      <c r="J94" s="451">
        <v>0.0646571367234018</v>
      </c>
      <c r="K94" s="451">
        <v>0.0577017312621799</v>
      </c>
      <c r="L94" s="451"/>
      <c r="M94" s="451"/>
      <c r="N94" s="451"/>
      <c r="O94" s="430"/>
      <c r="P94" s="531"/>
      <c r="Q94" s="429"/>
      <c r="R94" s="421"/>
      <c r="S94" s="473"/>
      <c r="T94" s="466"/>
      <c r="U94" s="477"/>
      <c r="V94" s="421"/>
      <c r="W94" s="421"/>
    </row>
    <row r="95" s="408" customFormat="1" spans="1:23">
      <c r="A95" s="428" t="s">
        <v>230</v>
      </c>
      <c r="B95" s="421" t="s">
        <v>440</v>
      </c>
      <c r="C95" s="429" t="s">
        <v>233</v>
      </c>
      <c r="D95" s="421" t="s">
        <v>417</v>
      </c>
      <c r="E95" s="430"/>
      <c r="F95" s="430">
        <v>20844.6666666667</v>
      </c>
      <c r="G95" s="430"/>
      <c r="H95" s="430"/>
      <c r="I95" s="453"/>
      <c r="J95" s="451">
        <v>0.0454694595911756</v>
      </c>
      <c r="K95" s="451">
        <v>0.0501434407634121</v>
      </c>
      <c r="L95" s="451">
        <v>0.0483682692450637</v>
      </c>
      <c r="M95" s="451"/>
      <c r="N95" s="451"/>
      <c r="O95" s="430"/>
      <c r="P95" s="531" t="str">
        <f t="array" ref="P95">INDEX(正厂竞争者数据汇总!I:I,MATCH($A$87&amp;B95,正厂竞争者数据汇总!A:A&amp;正厂竞争者数据汇总!D:D,0))</f>
        <v>202307，Semrush无法正常获取流量</v>
      </c>
      <c r="Q95" s="429"/>
      <c r="R95" s="421"/>
      <c r="S95" s="473"/>
      <c r="T95" s="466"/>
      <c r="U95" s="466"/>
      <c r="V95" s="421"/>
      <c r="W95" s="421"/>
    </row>
    <row r="96" s="408" customFormat="1" spans="1:23">
      <c r="A96" s="428"/>
      <c r="B96" s="421"/>
      <c r="C96" s="429"/>
      <c r="D96" s="421"/>
      <c r="E96" s="430"/>
      <c r="F96" s="481"/>
      <c r="G96" s="481"/>
      <c r="H96" s="481"/>
      <c r="I96" s="453"/>
      <c r="J96" s="451"/>
      <c r="K96" s="451"/>
      <c r="L96" s="451"/>
      <c r="M96" s="451"/>
      <c r="N96" s="451"/>
      <c r="O96" s="430"/>
      <c r="P96" s="531"/>
      <c r="Q96" s="429"/>
      <c r="R96" s="421"/>
      <c r="S96" s="473"/>
      <c r="T96" s="466"/>
      <c r="U96" s="466"/>
      <c r="V96" s="421"/>
      <c r="W96" s="421"/>
    </row>
    <row r="97" s="408" customFormat="1" spans="1:23">
      <c r="A97" s="428"/>
      <c r="B97" s="421"/>
      <c r="C97" s="439"/>
      <c r="D97" s="421"/>
      <c r="E97" s="421"/>
      <c r="F97" s="481">
        <v>458432.25</v>
      </c>
      <c r="G97" s="481">
        <v>427571.166666666</v>
      </c>
      <c r="H97" s="481">
        <v>496054.5</v>
      </c>
      <c r="I97" s="453">
        <f>(F97/G97)-1</f>
        <v>0.0721776530768579</v>
      </c>
      <c r="J97" s="430"/>
      <c r="K97" s="430"/>
      <c r="L97" s="430"/>
      <c r="M97" s="451"/>
      <c r="N97" s="451">
        <f>SUM(N89:N91)</f>
        <v>0</v>
      </c>
      <c r="O97" s="430"/>
      <c r="P97" s="531"/>
      <c r="Q97" s="429"/>
      <c r="R97" s="421"/>
      <c r="S97" s="473"/>
      <c r="T97" s="466"/>
      <c r="U97" s="466"/>
      <c r="V97" s="421"/>
      <c r="W97" s="421"/>
    </row>
    <row r="98" s="408" customFormat="1" spans="1:23">
      <c r="A98" s="428"/>
      <c r="B98" s="421"/>
      <c r="C98" s="429"/>
      <c r="D98" s="421"/>
      <c r="E98" s="430"/>
      <c r="F98" s="451"/>
      <c r="G98" s="451"/>
      <c r="H98" s="451"/>
      <c r="I98" s="453"/>
      <c r="J98" s="451"/>
      <c r="K98" s="451"/>
      <c r="L98" s="451"/>
      <c r="M98" s="451"/>
      <c r="N98" s="451"/>
      <c r="O98" s="451"/>
      <c r="P98" s="531"/>
      <c r="Q98" s="429"/>
      <c r="R98" s="421"/>
      <c r="S98" s="473"/>
      <c r="T98" s="466"/>
      <c r="U98" s="466"/>
      <c r="V98" s="421"/>
      <c r="W98" s="421"/>
    </row>
    <row r="99" s="408" customFormat="1" ht="17.4" spans="1:23">
      <c r="A99" s="418" t="s">
        <v>171</v>
      </c>
      <c r="B99" s="419"/>
      <c r="C99" s="420"/>
      <c r="D99" s="421"/>
      <c r="E99" s="422" t="s">
        <v>202</v>
      </c>
      <c r="F99" s="422"/>
      <c r="G99" s="422"/>
      <c r="H99" s="422"/>
      <c r="I99" s="422"/>
      <c r="J99" s="422"/>
      <c r="K99" s="422"/>
      <c r="L99" s="422"/>
      <c r="M99" s="443"/>
      <c r="N99" s="422"/>
      <c r="O99" s="422"/>
      <c r="P99" s="531"/>
      <c r="Q99" s="465"/>
      <c r="R99" s="424"/>
      <c r="S99" s="473"/>
      <c r="T99" s="467"/>
      <c r="U99" s="467"/>
      <c r="V99" s="467"/>
      <c r="W99" s="467"/>
    </row>
    <row r="100" s="409" customFormat="1" ht="46.8" spans="1:23">
      <c r="A100" s="423" t="s">
        <v>206</v>
      </c>
      <c r="B100" s="424" t="s">
        <v>207</v>
      </c>
      <c r="C100" s="425" t="s">
        <v>447</v>
      </c>
      <c r="D100" s="424" t="s">
        <v>209</v>
      </c>
      <c r="E100" s="426" t="s">
        <v>210</v>
      </c>
      <c r="F100" s="427" t="s">
        <v>485</v>
      </c>
      <c r="G100" s="427" t="s">
        <v>213</v>
      </c>
      <c r="H100" s="427" t="s">
        <v>396</v>
      </c>
      <c r="I100" s="427" t="s">
        <v>386</v>
      </c>
      <c r="J100" s="446" t="s">
        <v>449</v>
      </c>
      <c r="K100" s="446" t="s">
        <v>479</v>
      </c>
      <c r="L100" s="446" t="s">
        <v>215</v>
      </c>
      <c r="M100" s="447" t="s">
        <v>436</v>
      </c>
      <c r="N100" s="448" t="s">
        <v>219</v>
      </c>
      <c r="O100" s="449" t="s">
        <v>220</v>
      </c>
      <c r="P100" s="530" t="s">
        <v>221</v>
      </c>
      <c r="Q100" s="469" t="s">
        <v>222</v>
      </c>
      <c r="R100" s="426" t="s">
        <v>223</v>
      </c>
      <c r="S100" s="470" t="s">
        <v>224</v>
      </c>
      <c r="T100" s="467" t="s">
        <v>225</v>
      </c>
      <c r="U100" s="470" t="s">
        <v>226</v>
      </c>
      <c r="V100" s="467"/>
      <c r="W100" s="467"/>
    </row>
    <row r="101" spans="1:23">
      <c r="A101" s="440" t="s">
        <v>230</v>
      </c>
      <c r="B101" s="442" t="s">
        <v>310</v>
      </c>
      <c r="C101" s="494" t="s">
        <v>233</v>
      </c>
      <c r="D101" s="495" t="s">
        <v>371</v>
      </c>
      <c r="E101" s="486"/>
      <c r="F101" s="430">
        <v>128306.75</v>
      </c>
      <c r="G101" s="486"/>
      <c r="H101" s="486"/>
      <c r="I101" s="518"/>
      <c r="J101" s="490">
        <v>0.244654696865642</v>
      </c>
      <c r="K101" s="451">
        <v>0.255655593804084</v>
      </c>
      <c r="L101" s="451">
        <v>0.238178687260656</v>
      </c>
      <c r="M101" s="490"/>
      <c r="N101" s="512"/>
      <c r="O101" s="486"/>
      <c r="P101" s="531">
        <f t="array" ref="P101">INDEX(正厂竞争者数据汇总!I:I,MATCH($A$99&amp;B101,正厂竞争者数据汇总!A:A&amp;正厂竞争者数据汇总!D:D,0))</f>
        <v>0</v>
      </c>
      <c r="Q101" s="494"/>
      <c r="R101" s="431"/>
      <c r="S101" s="473"/>
      <c r="T101" s="495"/>
      <c r="U101" s="495"/>
      <c r="V101" s="431"/>
      <c r="W101" s="431"/>
    </row>
    <row r="102" s="410" customFormat="1" spans="1:23">
      <c r="A102" s="432" t="s">
        <v>227</v>
      </c>
      <c r="B102" s="433" t="s">
        <v>172</v>
      </c>
      <c r="C102" s="434" t="s">
        <v>441</v>
      </c>
      <c r="D102" s="477" t="s">
        <v>49</v>
      </c>
      <c r="E102" s="436">
        <f>VLOOKUP(B102,正厂竞争者数据汇总!D:H,4,FALSE)</f>
        <v>0</v>
      </c>
      <c r="F102" s="436">
        <v>124332.666666667</v>
      </c>
      <c r="G102" s="436">
        <v>132262.583333333</v>
      </c>
      <c r="H102" s="436">
        <v>137115.416666667</v>
      </c>
      <c r="I102" s="454">
        <f>(F102/G102)-1</f>
        <v>-0.0599558580122447</v>
      </c>
      <c r="J102" s="457">
        <v>0.237076933784312</v>
      </c>
      <c r="K102" s="457">
        <v>0.230352042359655</v>
      </c>
      <c r="L102" s="457">
        <v>0.237661766673676</v>
      </c>
      <c r="M102" s="456">
        <f>J102-K102</f>
        <v>0.00672489142465699</v>
      </c>
      <c r="N102" s="455"/>
      <c r="O102" s="436"/>
      <c r="P102" s="531">
        <f t="array" ref="P102">INDEX(正厂竞争者数据汇总!I:I,MATCH($A$99&amp;B102,正厂竞争者数据汇总!A:A&amp;正厂竞争者数据汇总!D:D,0))</f>
        <v>0</v>
      </c>
      <c r="Q102" s="491" t="s">
        <v>313</v>
      </c>
      <c r="R102" s="435" t="s">
        <v>180</v>
      </c>
      <c r="S102" s="476"/>
      <c r="T102" s="477"/>
      <c r="U102" s="477"/>
      <c r="V102" s="435"/>
      <c r="W102" s="435"/>
    </row>
    <row r="103" spans="1:23">
      <c r="A103" s="440" t="s">
        <v>243</v>
      </c>
      <c r="B103" s="431" t="s">
        <v>314</v>
      </c>
      <c r="C103" s="506" t="s">
        <v>441</v>
      </c>
      <c r="D103" s="495" t="s">
        <v>50</v>
      </c>
      <c r="E103" s="516"/>
      <c r="F103" s="430">
        <v>75130.3333333333</v>
      </c>
      <c r="G103" s="516"/>
      <c r="H103" s="516"/>
      <c r="I103" s="519"/>
      <c r="J103" s="490">
        <v>0.14325816005067</v>
      </c>
      <c r="K103" s="451">
        <v>0.130972474758569</v>
      </c>
      <c r="L103" s="451">
        <v>0.146403538954626</v>
      </c>
      <c r="M103" s="520"/>
      <c r="N103" s="521"/>
      <c r="O103" s="516"/>
      <c r="P103" s="531">
        <f t="array" ref="P103">INDEX(正厂竞争者数据汇总!I:I,MATCH($A$99&amp;B103,正厂竞争者数据汇总!A:A&amp;正厂竞争者数据汇总!D:D,0))</f>
        <v>0</v>
      </c>
      <c r="Q103" s="494"/>
      <c r="R103" s="431"/>
      <c r="S103" s="473"/>
      <c r="T103" s="495"/>
      <c r="U103" s="495"/>
      <c r="V103" s="431"/>
      <c r="W103" s="431"/>
    </row>
    <row r="104" spans="1:23">
      <c r="A104" s="440" t="s">
        <v>230</v>
      </c>
      <c r="B104" s="431" t="s">
        <v>311</v>
      </c>
      <c r="C104" s="506" t="s">
        <v>441</v>
      </c>
      <c r="D104" s="495" t="s">
        <v>420</v>
      </c>
      <c r="E104" s="486"/>
      <c r="F104" s="430">
        <v>73731.4166666667</v>
      </c>
      <c r="G104" s="486"/>
      <c r="H104" s="486"/>
      <c r="I104" s="518"/>
      <c r="J104" s="490">
        <v>0.14059071244543</v>
      </c>
      <c r="K104" s="451">
        <v>0.127909915502087</v>
      </c>
      <c r="L104" s="451">
        <v>0.126484493975366</v>
      </c>
      <c r="M104" s="490"/>
      <c r="N104" s="512"/>
      <c r="O104" s="486"/>
      <c r="P104" s="531">
        <f t="array" ref="P104">INDEX(正厂竞争者数据汇总!I:I,MATCH($A$99&amp;B104,正厂竞争者数据汇总!A:A&amp;正厂竞争者数据汇总!D:D,0))</f>
        <v>0</v>
      </c>
      <c r="Q104" s="494"/>
      <c r="R104" s="431"/>
      <c r="S104" s="473"/>
      <c r="T104" s="495"/>
      <c r="U104" s="495"/>
      <c r="V104" s="431"/>
      <c r="W104" s="431"/>
    </row>
    <row r="105" spans="1:23">
      <c r="A105" s="440" t="s">
        <v>230</v>
      </c>
      <c r="B105" s="431" t="s">
        <v>315</v>
      </c>
      <c r="C105" s="494" t="s">
        <v>233</v>
      </c>
      <c r="D105" s="495" t="s">
        <v>422</v>
      </c>
      <c r="E105" s="486"/>
      <c r="F105" s="430">
        <v>60606.6666666667</v>
      </c>
      <c r="G105" s="486"/>
      <c r="H105" s="486"/>
      <c r="I105" s="518"/>
      <c r="J105" s="490">
        <v>0.115564501956213</v>
      </c>
      <c r="K105" s="451">
        <v>0.125873090781916</v>
      </c>
      <c r="L105" s="451">
        <v>0.095239551672943</v>
      </c>
      <c r="M105" s="490"/>
      <c r="N105" s="512"/>
      <c r="O105" s="486"/>
      <c r="P105" s="531">
        <f t="array" ref="P105">INDEX(正厂竞争者数据汇总!I:I,MATCH($A$99&amp;B105,正厂竞争者数据汇总!A:A&amp;正厂竞争者数据汇总!D:D,0))</f>
        <v>0</v>
      </c>
      <c r="Q105" s="494"/>
      <c r="R105" s="431"/>
      <c r="S105" s="473"/>
      <c r="T105" s="495"/>
      <c r="U105" s="495"/>
      <c r="V105" s="431"/>
      <c r="W105" s="431"/>
    </row>
    <row r="106" spans="1:23">
      <c r="A106" s="440" t="s">
        <v>230</v>
      </c>
      <c r="B106" s="431" t="s">
        <v>317</v>
      </c>
      <c r="C106" s="494" t="s">
        <v>233</v>
      </c>
      <c r="D106" s="495" t="s">
        <v>424</v>
      </c>
      <c r="E106" s="486"/>
      <c r="F106" s="430">
        <v>32703.8333333333</v>
      </c>
      <c r="G106" s="486"/>
      <c r="H106" s="486"/>
      <c r="I106" s="518"/>
      <c r="J106" s="490">
        <v>0.0623595128900944</v>
      </c>
      <c r="K106" s="451">
        <v>0.069715463381167</v>
      </c>
      <c r="L106" s="451">
        <v>0.0512066790281574</v>
      </c>
      <c r="M106" s="490"/>
      <c r="N106" s="512"/>
      <c r="O106" s="486"/>
      <c r="P106" s="531">
        <f t="array" ref="P106">INDEX(正厂竞争者数据汇总!I:I,MATCH($A$99&amp;B106,正厂竞争者数据汇总!A:A&amp;正厂竞争者数据汇总!D:D,0))</f>
        <v>0</v>
      </c>
      <c r="Q106" s="494"/>
      <c r="R106" s="431"/>
      <c r="S106" s="473"/>
      <c r="T106" s="495"/>
      <c r="U106" s="495"/>
      <c r="V106" s="431"/>
      <c r="W106" s="431"/>
    </row>
    <row r="107" spans="1:23">
      <c r="A107" s="440" t="s">
        <v>230</v>
      </c>
      <c r="B107" s="431" t="s">
        <v>392</v>
      </c>
      <c r="C107" s="494" t="s">
        <v>233</v>
      </c>
      <c r="D107" s="495" t="s">
        <v>425</v>
      </c>
      <c r="E107" s="486"/>
      <c r="F107" s="430">
        <v>29628.5</v>
      </c>
      <c r="G107" s="486"/>
      <c r="H107" s="486"/>
      <c r="I107" s="518"/>
      <c r="J107" s="490">
        <v>0.0564954820076392</v>
      </c>
      <c r="K107" s="451">
        <v>0.0595214194125221</v>
      </c>
      <c r="L107" s="451">
        <v>0.0659957053377426</v>
      </c>
      <c r="M107" s="490"/>
      <c r="N107" s="512"/>
      <c r="O107" s="486"/>
      <c r="P107" s="531">
        <f t="array" ref="P107">INDEX(正厂竞争者数据汇总!I:I,MATCH($A$99&amp;B107,正厂竞争者数据汇总!A:A&amp;正厂竞争者数据汇总!D:D,0))</f>
        <v>0</v>
      </c>
      <c r="Q107" s="494"/>
      <c r="R107" s="431"/>
      <c r="S107" s="473"/>
      <c r="T107" s="495"/>
      <c r="U107" s="495"/>
      <c r="V107" s="431"/>
      <c r="W107" s="431"/>
    </row>
    <row r="108" s="408" customFormat="1" spans="1:23">
      <c r="A108" s="428"/>
      <c r="B108" s="438"/>
      <c r="C108" s="429"/>
      <c r="D108" s="466"/>
      <c r="E108" s="430"/>
      <c r="F108" s="430"/>
      <c r="G108" s="430"/>
      <c r="H108" s="430"/>
      <c r="I108" s="453"/>
      <c r="J108" s="451"/>
      <c r="K108" s="451"/>
      <c r="L108" s="451"/>
      <c r="M108" s="451"/>
      <c r="N108" s="459"/>
      <c r="O108" s="430"/>
      <c r="P108" s="531"/>
      <c r="Q108" s="492"/>
      <c r="R108" s="421"/>
      <c r="S108" s="473"/>
      <c r="T108" s="466"/>
      <c r="U108" s="466"/>
      <c r="V108" s="421"/>
      <c r="W108" s="421"/>
    </row>
    <row r="109" s="408" customFormat="1" spans="1:23">
      <c r="A109" s="428"/>
      <c r="B109" s="421"/>
      <c r="C109" s="439"/>
      <c r="D109" s="421"/>
      <c r="E109" s="430"/>
      <c r="F109" s="430">
        <v>524440.166666667</v>
      </c>
      <c r="G109" s="430">
        <v>451480.499999999</v>
      </c>
      <c r="H109" s="430">
        <v>457440.166666667</v>
      </c>
      <c r="I109" s="453">
        <f>(F109/G109)-1</f>
        <v>0.161600925547544</v>
      </c>
      <c r="J109" s="430"/>
      <c r="K109" s="430"/>
      <c r="L109" s="430"/>
      <c r="M109" s="451"/>
      <c r="N109" s="451"/>
      <c r="O109" s="430"/>
      <c r="P109" s="531"/>
      <c r="Q109" s="493"/>
      <c r="R109" s="421"/>
      <c r="S109" s="473"/>
      <c r="T109" s="466"/>
      <c r="U109" s="466"/>
      <c r="V109" s="421"/>
      <c r="W109" s="421"/>
    </row>
    <row r="110" s="408" customFormat="1" spans="1:23">
      <c r="A110" s="428"/>
      <c r="B110" s="421"/>
      <c r="C110" s="439"/>
      <c r="D110" s="421"/>
      <c r="E110" s="430"/>
      <c r="F110" s="430"/>
      <c r="G110" s="430"/>
      <c r="H110" s="430"/>
      <c r="I110" s="453"/>
      <c r="J110" s="430"/>
      <c r="K110" s="430"/>
      <c r="L110" s="430"/>
      <c r="M110" s="451"/>
      <c r="N110" s="451"/>
      <c r="O110" s="430"/>
      <c r="P110" s="531"/>
      <c r="Q110" s="493"/>
      <c r="R110" s="421"/>
      <c r="S110" s="473"/>
      <c r="T110" s="466"/>
      <c r="U110" s="466"/>
      <c r="V110" s="421"/>
      <c r="W110" s="421"/>
    </row>
    <row r="111" s="408" customFormat="1" ht="17.4" spans="1:23">
      <c r="A111" s="418" t="s">
        <v>162</v>
      </c>
      <c r="B111" s="419"/>
      <c r="C111" s="420"/>
      <c r="D111" s="421"/>
      <c r="E111" s="422" t="s">
        <v>202</v>
      </c>
      <c r="F111" s="422"/>
      <c r="G111" s="422"/>
      <c r="H111" s="422"/>
      <c r="I111" s="422"/>
      <c r="J111" s="422"/>
      <c r="K111" s="422"/>
      <c r="L111" s="422"/>
      <c r="M111" s="443"/>
      <c r="N111" s="444"/>
      <c r="O111" s="422"/>
      <c r="P111" s="531"/>
      <c r="Q111" s="465"/>
      <c r="R111" s="424"/>
      <c r="S111" s="473"/>
      <c r="T111" s="467"/>
      <c r="U111" s="467"/>
      <c r="V111" s="467"/>
      <c r="W111" s="467"/>
    </row>
    <row r="112" s="409" customFormat="1" ht="46.8" spans="1:23">
      <c r="A112" s="423" t="s">
        <v>206</v>
      </c>
      <c r="B112" s="424" t="s">
        <v>207</v>
      </c>
      <c r="C112" s="425" t="s">
        <v>447</v>
      </c>
      <c r="D112" s="424" t="s">
        <v>209</v>
      </c>
      <c r="E112" s="426" t="s">
        <v>210</v>
      </c>
      <c r="F112" s="427" t="s">
        <v>485</v>
      </c>
      <c r="G112" s="427" t="s">
        <v>213</v>
      </c>
      <c r="H112" s="427" t="s">
        <v>396</v>
      </c>
      <c r="I112" s="427" t="s">
        <v>386</v>
      </c>
      <c r="J112" s="446" t="s">
        <v>449</v>
      </c>
      <c r="K112" s="446" t="s">
        <v>479</v>
      </c>
      <c r="L112" s="446" t="s">
        <v>215</v>
      </c>
      <c r="M112" s="447" t="s">
        <v>436</v>
      </c>
      <c r="N112" s="448" t="s">
        <v>219</v>
      </c>
      <c r="O112" s="449" t="s">
        <v>220</v>
      </c>
      <c r="P112" s="530" t="s">
        <v>221</v>
      </c>
      <c r="Q112" s="469" t="s">
        <v>222</v>
      </c>
      <c r="R112" s="426" t="s">
        <v>223</v>
      </c>
      <c r="S112" s="470" t="s">
        <v>224</v>
      </c>
      <c r="T112" s="467" t="s">
        <v>225</v>
      </c>
      <c r="U112" s="470" t="s">
        <v>226</v>
      </c>
      <c r="V112" s="467"/>
      <c r="W112" s="467"/>
    </row>
    <row r="113" s="410" customFormat="1" ht="17.4" spans="1:23">
      <c r="A113" s="432" t="s">
        <v>227</v>
      </c>
      <c r="B113" s="435" t="s">
        <v>163</v>
      </c>
      <c r="C113" s="434" t="s">
        <v>441</v>
      </c>
      <c r="D113" s="435" t="s">
        <v>49</v>
      </c>
      <c r="E113" s="436">
        <f>VLOOKUP(B113,正厂竞争者数据汇总!D:H,4,FALSE)</f>
        <v>0</v>
      </c>
      <c r="F113" s="436">
        <v>211016.666666667</v>
      </c>
      <c r="G113" s="436">
        <v>213503.583333333</v>
      </c>
      <c r="H113" s="436">
        <v>235149.083333333</v>
      </c>
      <c r="I113" s="454">
        <f>(F113/G113)-1</f>
        <v>-0.0116481261243437</v>
      </c>
      <c r="J113" s="457">
        <v>0.369901319802563</v>
      </c>
      <c r="K113" s="457">
        <v>0.390469153922742</v>
      </c>
      <c r="L113" s="457">
        <v>0.379245723805486</v>
      </c>
      <c r="M113" s="456">
        <f>J113-K113</f>
        <v>-0.020567834120179</v>
      </c>
      <c r="N113" s="457" t="str">
        <f>IFERROR(O113*0.5/$F$113,"")</f>
        <v/>
      </c>
      <c r="O113" s="436" t="s">
        <v>180</v>
      </c>
      <c r="P113" s="531">
        <f t="array" ref="P113">INDEX(正厂竞争者数据汇总!I:I,MATCH($A$111&amp;B113,正厂竞争者数据汇总!A:A&amp;正厂竞争者数据汇总!D:D,0))</f>
        <v>0</v>
      </c>
      <c r="Q113" s="434" t="s">
        <v>284</v>
      </c>
      <c r="R113" s="435" t="s">
        <v>229</v>
      </c>
      <c r="S113" s="476"/>
      <c r="T113" s="477"/>
      <c r="U113" s="477"/>
      <c r="V113" s="435"/>
      <c r="W113" s="435"/>
    </row>
    <row r="114" spans="1:23">
      <c r="A114" s="440" t="s">
        <v>230</v>
      </c>
      <c r="B114" s="440" t="s">
        <v>285</v>
      </c>
      <c r="C114" s="494" t="s">
        <v>233</v>
      </c>
      <c r="D114" s="431" t="s">
        <v>58</v>
      </c>
      <c r="E114" s="486"/>
      <c r="F114" s="430">
        <v>108668.75</v>
      </c>
      <c r="G114" s="486"/>
      <c r="H114" s="486"/>
      <c r="I114" s="518"/>
      <c r="J114" s="490">
        <v>0.190490707114579</v>
      </c>
      <c r="K114" s="451">
        <v>0.184074114723409</v>
      </c>
      <c r="L114" s="451">
        <v>0.194619025931158</v>
      </c>
      <c r="M114" s="452"/>
      <c r="N114" s="490"/>
      <c r="O114" s="486"/>
      <c r="P114" s="531">
        <f t="array" ref="P114">INDEX(正厂竞争者数据汇总!I:I,MATCH($A$111&amp;B114,正厂竞争者数据汇总!A:A&amp;正厂竞争者数据汇总!D:D,0))</f>
        <v>0</v>
      </c>
      <c r="Q114" s="494"/>
      <c r="R114" s="431"/>
      <c r="S114" s="473"/>
      <c r="T114" s="495"/>
      <c r="U114" s="466"/>
      <c r="V114" s="431"/>
      <c r="W114" s="431"/>
    </row>
    <row r="115" spans="1:23">
      <c r="A115" s="440" t="s">
        <v>230</v>
      </c>
      <c r="B115" s="440" t="s">
        <v>255</v>
      </c>
      <c r="C115" s="494" t="s">
        <v>233</v>
      </c>
      <c r="D115" s="431" t="s">
        <v>419</v>
      </c>
      <c r="E115" s="486"/>
      <c r="F115" s="430">
        <v>43197.54</v>
      </c>
      <c r="G115" s="486"/>
      <c r="H115" s="486"/>
      <c r="I115" s="518"/>
      <c r="J115" s="490">
        <v>0.0757230569065191</v>
      </c>
      <c r="K115" s="451">
        <v>0.0851603152871423</v>
      </c>
      <c r="L115" s="451">
        <v>0.0865378930282298</v>
      </c>
      <c r="M115" s="452"/>
      <c r="N115" s="490"/>
      <c r="O115" s="486"/>
      <c r="P115" s="531" t="str">
        <f t="array" ref="P115">INDEX(正厂竞争者数据汇总!I:I,MATCH($A$111&amp;B115,正厂竞争者数据汇总!A:A&amp;正厂竞争者数据汇总!D:D,0))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115" s="494"/>
      <c r="R115" s="431"/>
      <c r="S115" s="473"/>
      <c r="T115" s="495"/>
      <c r="U115" s="466"/>
      <c r="V115" s="431"/>
      <c r="W115" s="431"/>
    </row>
    <row r="116" spans="1:23">
      <c r="A116" s="440" t="s">
        <v>243</v>
      </c>
      <c r="B116" s="431" t="s">
        <v>290</v>
      </c>
      <c r="C116" s="494" t="s">
        <v>233</v>
      </c>
      <c r="D116" s="431" t="s">
        <v>291</v>
      </c>
      <c r="E116" s="486"/>
      <c r="F116" s="430">
        <v>38148.25</v>
      </c>
      <c r="G116" s="486"/>
      <c r="H116" s="486"/>
      <c r="I116" s="518"/>
      <c r="J116" s="490">
        <v>0.0668719122809799</v>
      </c>
      <c r="K116" s="451">
        <v>0.0629411040318721</v>
      </c>
      <c r="L116" s="451">
        <v>0.0623937973283476</v>
      </c>
      <c r="M116" s="451"/>
      <c r="N116" s="490"/>
      <c r="O116" s="486"/>
      <c r="P116" s="531" t="str">
        <f t="array" ref="P116">INDEX(正厂竞争者数据汇总!I:I,MATCH($A$111&amp;B116,正厂竞争者数据汇总!A:A&amp;正厂竞争者数据汇总!D:D,0))</f>
        <v>2023年2月新增正厂</v>
      </c>
      <c r="Q116" s="494"/>
      <c r="R116" s="431"/>
      <c r="S116" s="473"/>
      <c r="T116" s="495"/>
      <c r="U116" s="466"/>
      <c r="V116" s="431"/>
      <c r="W116" s="431"/>
    </row>
    <row r="117" spans="1:23">
      <c r="A117" s="440" t="s">
        <v>230</v>
      </c>
      <c r="B117" s="440" t="s">
        <v>292</v>
      </c>
      <c r="C117" s="494" t="s">
        <v>233</v>
      </c>
      <c r="D117" s="431" t="s">
        <v>250</v>
      </c>
      <c r="E117" s="486"/>
      <c r="F117" s="430">
        <v>36005.8708333333</v>
      </c>
      <c r="G117" s="486"/>
      <c r="H117" s="486"/>
      <c r="I117" s="518"/>
      <c r="J117" s="490">
        <v>0.0631164322339021</v>
      </c>
      <c r="K117" s="451">
        <v>0.0573435464030696</v>
      </c>
      <c r="L117" s="451">
        <v>0.0567603553444327</v>
      </c>
      <c r="M117" s="452"/>
      <c r="N117" s="490"/>
      <c r="O117" s="486"/>
      <c r="P117" s="531" t="str">
        <f t="array" ref="P117">INDEX(正厂竞争者数据汇总!I:I,MATCH($A$111&amp;B117,正厂竞争者数据汇总!A:A&amp;正厂竞争者数据汇总!D:D,0))</f>
        <v>同时经营多品牌，流量折算比例为Ford:23%,GM:23%,Infiniti:0%,Kia:13%,Mopar:31%,Nissan:10%</v>
      </c>
      <c r="Q117" s="494"/>
      <c r="R117" s="431"/>
      <c r="S117" s="473"/>
      <c r="T117" s="495"/>
      <c r="U117" s="466"/>
      <c r="V117" s="431"/>
      <c r="W117" s="431"/>
    </row>
    <row r="118" spans="1:23">
      <c r="A118" s="440" t="s">
        <v>230</v>
      </c>
      <c r="B118" s="440" t="s">
        <v>286</v>
      </c>
      <c r="C118" s="494" t="s">
        <v>233</v>
      </c>
      <c r="D118" s="431" t="s">
        <v>234</v>
      </c>
      <c r="E118" s="486"/>
      <c r="F118" s="430">
        <v>33192.25</v>
      </c>
      <c r="G118" s="486"/>
      <c r="H118" s="486"/>
      <c r="I118" s="518"/>
      <c r="J118" s="490">
        <v>0.0581843002079611</v>
      </c>
      <c r="K118" s="451">
        <v>0.041285748298117</v>
      </c>
      <c r="L118" s="451">
        <v>0.0323225768729876</v>
      </c>
      <c r="M118" s="451"/>
      <c r="N118" s="490"/>
      <c r="O118" s="486"/>
      <c r="P118" s="531" t="str">
        <f t="array" ref="P118">INDEX(正厂竞争者数据汇总!I:I,MATCH($A$111&amp;B118,正厂竞争者数据汇总!A:A&amp;正厂竞争者数据汇总!D:D,0))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18" s="494"/>
      <c r="R118" s="431"/>
      <c r="S118" s="473"/>
      <c r="T118" s="495"/>
      <c r="U118" s="466"/>
      <c r="V118" s="431"/>
      <c r="W118" s="431"/>
    </row>
    <row r="119" spans="1:23">
      <c r="A119" s="440" t="s">
        <v>230</v>
      </c>
      <c r="B119" s="440" t="s">
        <v>287</v>
      </c>
      <c r="C119" s="494" t="s">
        <v>233</v>
      </c>
      <c r="D119" s="431" t="s">
        <v>49</v>
      </c>
      <c r="E119" s="486"/>
      <c r="F119" s="430">
        <v>31795.8333333333</v>
      </c>
      <c r="G119" s="486"/>
      <c r="H119" s="486"/>
      <c r="I119" s="518"/>
      <c r="J119" s="490">
        <v>0.0557364539020091</v>
      </c>
      <c r="K119" s="451">
        <v>0.0472226497352145</v>
      </c>
      <c r="L119" s="451">
        <v>0.040052140139395</v>
      </c>
      <c r="M119" s="452"/>
      <c r="N119" s="490"/>
      <c r="O119" s="486"/>
      <c r="P119" s="531">
        <f t="array" ref="P119">INDEX(正厂竞争者数据汇总!I:I,MATCH($A$111&amp;B119,正厂竞争者数据汇总!A:A&amp;正厂竞争者数据汇总!D:D,0))</f>
        <v>0</v>
      </c>
      <c r="Q119" s="494"/>
      <c r="R119" s="431"/>
      <c r="S119" s="473"/>
      <c r="T119" s="495"/>
      <c r="U119" s="466"/>
      <c r="V119" s="431"/>
      <c r="W119" s="431"/>
    </row>
    <row r="120" spans="1:23">
      <c r="A120" s="440" t="s">
        <v>230</v>
      </c>
      <c r="B120" s="440" t="s">
        <v>288</v>
      </c>
      <c r="C120" s="494" t="s">
        <v>441</v>
      </c>
      <c r="D120" s="431" t="s">
        <v>421</v>
      </c>
      <c r="E120" s="486"/>
      <c r="F120" s="430">
        <v>30889.4166666667</v>
      </c>
      <c r="G120" s="486"/>
      <c r="H120" s="486"/>
      <c r="I120" s="518"/>
      <c r="J120" s="490">
        <v>0.0541475522925422</v>
      </c>
      <c r="K120" s="451">
        <v>0.0581436638165541</v>
      </c>
      <c r="L120" s="451">
        <v>0.0642780541884987</v>
      </c>
      <c r="M120" s="452"/>
      <c r="N120" s="490"/>
      <c r="O120" s="486"/>
      <c r="P120" s="531" t="str">
        <f t="array" ref="P120">INDEX(正厂竞争者数据汇总!I:I,MATCH($A$111&amp;B120,正厂竞争者数据汇总!A:A&amp;正厂竞争者数据汇总!D:D,0))</f>
        <v>2022年1月 新加入 CompetitorSites
2022年1月 新加入 MarketingShare</v>
      </c>
      <c r="Q120" s="494"/>
      <c r="R120" s="431"/>
      <c r="S120" s="473"/>
      <c r="T120" s="495"/>
      <c r="U120" s="466"/>
      <c r="V120" s="431"/>
      <c r="W120" s="431"/>
    </row>
    <row r="121" spans="1:23">
      <c r="A121" s="440" t="s">
        <v>230</v>
      </c>
      <c r="B121" s="440" t="s">
        <v>289</v>
      </c>
      <c r="C121" s="494" t="s">
        <v>233</v>
      </c>
      <c r="D121" s="431" t="s">
        <v>50</v>
      </c>
      <c r="E121" s="486"/>
      <c r="F121" s="430">
        <v>26543.8333333333</v>
      </c>
      <c r="G121" s="486"/>
      <c r="H121" s="486"/>
      <c r="I121" s="518"/>
      <c r="J121" s="490">
        <v>0.0465299691143791</v>
      </c>
      <c r="K121" s="451">
        <v>0.0517503833175719</v>
      </c>
      <c r="L121" s="451">
        <v>0.0576977672718924</v>
      </c>
      <c r="M121" s="451"/>
      <c r="N121" s="490"/>
      <c r="O121" s="486"/>
      <c r="P121" s="531" t="str">
        <f t="array" ref="P121">INDEX(正厂竞争者数据汇总!I:I,MATCH($A$111&amp;B121,正厂竞争者数据汇总!A:A&amp;正厂竞争者数据汇总!D:D,0))</f>
        <v>2021年11月重开
2021年10月临时关站
2020年10月从PartSites变成Revolution，加入MarketingShare</v>
      </c>
      <c r="Q121" s="494"/>
      <c r="R121" s="431"/>
      <c r="S121" s="473"/>
      <c r="T121" s="495"/>
      <c r="U121" s="466"/>
      <c r="V121" s="431"/>
      <c r="W121" s="431"/>
    </row>
    <row r="122" spans="1:23">
      <c r="A122" s="440" t="s">
        <v>230</v>
      </c>
      <c r="B122" s="431" t="s">
        <v>459</v>
      </c>
      <c r="C122" s="494" t="s">
        <v>233</v>
      </c>
      <c r="D122" s="431" t="s">
        <v>419</v>
      </c>
      <c r="E122" s="486"/>
      <c r="F122" s="430">
        <v>11009.05</v>
      </c>
      <c r="G122" s="486"/>
      <c r="H122" s="486"/>
      <c r="I122" s="518"/>
      <c r="J122" s="490">
        <v>0.0192982961445655</v>
      </c>
      <c r="K122" s="451">
        <v>0.0216093204643072</v>
      </c>
      <c r="L122" s="451">
        <v>0.0260926660895729</v>
      </c>
      <c r="M122" s="451"/>
      <c r="N122" s="490"/>
      <c r="O122" s="486"/>
      <c r="P122" s="531" t="str">
        <f t="array" ref="P122">INDEX(正厂竞争者数据汇总!I:I,MATCH($A$111&amp;B122,正厂竞争者数据汇总!A:A&amp;正厂竞争者数据汇总!D:D,0))</f>
        <v>经营多品牌零件，折算比例为：Ford:33%,GM:17%,Hyundai:0%,Infiniti:0%,Kia:17%,Mopar:33%,Subaru:0%</v>
      </c>
      <c r="Q122" s="494"/>
      <c r="R122" s="431"/>
      <c r="S122" s="473"/>
      <c r="T122" s="495"/>
      <c r="U122" s="466"/>
      <c r="V122" s="431"/>
      <c r="W122" s="431"/>
    </row>
    <row r="123" s="408" customFormat="1" spans="1:23">
      <c r="A123" s="428"/>
      <c r="B123" s="421"/>
      <c r="C123" s="439"/>
      <c r="D123" s="421"/>
      <c r="E123" s="421"/>
      <c r="F123" s="430"/>
      <c r="G123" s="430"/>
      <c r="H123" s="430"/>
      <c r="I123" s="453"/>
      <c r="J123" s="430"/>
      <c r="K123" s="430"/>
      <c r="L123" s="430"/>
      <c r="M123" s="451"/>
      <c r="N123" s="451"/>
      <c r="O123" s="430"/>
      <c r="P123" s="531"/>
      <c r="Q123" s="429"/>
      <c r="R123" s="421"/>
      <c r="S123" s="473"/>
      <c r="T123" s="466"/>
      <c r="U123" s="466"/>
      <c r="V123" s="421"/>
      <c r="W123" s="421"/>
    </row>
    <row r="124" s="408" customFormat="1" spans="1:23">
      <c r="A124" s="428"/>
      <c r="B124" s="421"/>
      <c r="C124" s="439"/>
      <c r="D124" s="421"/>
      <c r="E124" s="421"/>
      <c r="F124" s="430">
        <v>570467.460833334</v>
      </c>
      <c r="G124" s="430">
        <v>445410.310833333</v>
      </c>
      <c r="H124" s="430">
        <v>428652.916666666</v>
      </c>
      <c r="I124" s="453">
        <f>(F124/G124)-1</f>
        <v>0.280768421741354</v>
      </c>
      <c r="J124" s="430"/>
      <c r="K124" s="430"/>
      <c r="L124" s="430"/>
      <c r="M124" s="451"/>
      <c r="N124" s="451">
        <f>SUM(N113:N114)</f>
        <v>0</v>
      </c>
      <c r="O124" s="430"/>
      <c r="P124" s="531"/>
      <c r="Q124" s="429"/>
      <c r="R124" s="421"/>
      <c r="S124" s="473"/>
      <c r="T124" s="466"/>
      <c r="U124" s="466"/>
      <c r="V124" s="421"/>
      <c r="W124" s="421"/>
    </row>
    <row r="125" s="408" customFormat="1" spans="1:23">
      <c r="A125" s="428"/>
      <c r="B125" s="421"/>
      <c r="C125" s="485"/>
      <c r="D125" s="421"/>
      <c r="E125" s="430"/>
      <c r="F125" s="451"/>
      <c r="G125" s="451"/>
      <c r="H125" s="451"/>
      <c r="I125" s="453"/>
      <c r="J125" s="451"/>
      <c r="K125" s="451"/>
      <c r="L125" s="451"/>
      <c r="M125" s="451"/>
      <c r="N125" s="451"/>
      <c r="O125" s="451"/>
      <c r="P125" s="531"/>
      <c r="Q125" s="429"/>
      <c r="R125" s="421"/>
      <c r="S125" s="473"/>
      <c r="T125" s="466"/>
      <c r="U125" s="466"/>
      <c r="V125" s="421"/>
      <c r="W125" s="421"/>
    </row>
    <row r="126" s="408" customFormat="1" ht="17.4" spans="1:23">
      <c r="A126" s="418" t="s">
        <v>174</v>
      </c>
      <c r="B126" s="419"/>
      <c r="C126" s="420"/>
      <c r="D126" s="421"/>
      <c r="E126" s="422" t="s">
        <v>202</v>
      </c>
      <c r="F126" s="422"/>
      <c r="G126" s="422"/>
      <c r="H126" s="422"/>
      <c r="I126" s="422"/>
      <c r="J126" s="422"/>
      <c r="K126" s="422"/>
      <c r="L126" s="422"/>
      <c r="M126" s="443"/>
      <c r="N126" s="444"/>
      <c r="O126" s="422"/>
      <c r="P126" s="531"/>
      <c r="Q126" s="465"/>
      <c r="R126" s="424"/>
      <c r="S126" s="473"/>
      <c r="T126" s="467"/>
      <c r="U126" s="467"/>
      <c r="V126" s="467"/>
      <c r="W126" s="467"/>
    </row>
    <row r="127" s="409" customFormat="1" ht="46.8" spans="1:23">
      <c r="A127" s="423" t="s">
        <v>206</v>
      </c>
      <c r="B127" s="424" t="s">
        <v>207</v>
      </c>
      <c r="C127" s="425" t="s">
        <v>447</v>
      </c>
      <c r="D127" s="424" t="s">
        <v>209</v>
      </c>
      <c r="E127" s="426" t="s">
        <v>210</v>
      </c>
      <c r="F127" s="427" t="s">
        <v>485</v>
      </c>
      <c r="G127" s="427" t="s">
        <v>213</v>
      </c>
      <c r="H127" s="427" t="s">
        <v>396</v>
      </c>
      <c r="I127" s="427" t="s">
        <v>386</v>
      </c>
      <c r="J127" s="446" t="s">
        <v>449</v>
      </c>
      <c r="K127" s="446" t="s">
        <v>479</v>
      </c>
      <c r="L127" s="446" t="s">
        <v>215</v>
      </c>
      <c r="M127" s="447" t="s">
        <v>436</v>
      </c>
      <c r="N127" s="448" t="s">
        <v>219</v>
      </c>
      <c r="O127" s="449" t="s">
        <v>220</v>
      </c>
      <c r="P127" s="530" t="s">
        <v>221</v>
      </c>
      <c r="Q127" s="469" t="s">
        <v>222</v>
      </c>
      <c r="R127" s="426" t="s">
        <v>223</v>
      </c>
      <c r="S127" s="470" t="s">
        <v>224</v>
      </c>
      <c r="T127" s="467" t="s">
        <v>225</v>
      </c>
      <c r="U127" s="470" t="s">
        <v>226</v>
      </c>
      <c r="V127" s="467"/>
      <c r="W127" s="467"/>
    </row>
    <row r="128" s="410" customFormat="1" ht="17.4" spans="1:23">
      <c r="A128" s="435" t="s">
        <v>227</v>
      </c>
      <c r="B128" s="435" t="s">
        <v>175</v>
      </c>
      <c r="C128" s="435" t="s">
        <v>441</v>
      </c>
      <c r="D128" s="435" t="s">
        <v>49</v>
      </c>
      <c r="E128" s="436">
        <f>VLOOKUP(B128,正厂竞争者数据汇总!D:H,4,FALSE)</f>
        <v>325311</v>
      </c>
      <c r="F128" s="436">
        <v>177277.333333333</v>
      </c>
      <c r="G128" s="436">
        <f t="array" ref="G128">INDEX(正厂竞争者数据汇总!$H$2:$H$448,MATCH($A$126&amp;$B128,正厂竞争者数据汇总!$A$2:$A$448&amp;正厂竞争者数据汇总!$D$2:$D$448,0))</f>
        <v>209547.25</v>
      </c>
      <c r="H128" s="436">
        <f t="array" ref="H128">INDEX(正厂竞争者数据汇总!$H$2:$H$448,MATCH($A$126&amp;$B128,正厂竞争者数据汇总!$A$2:$A$448&amp;正厂竞争者数据汇总!$D$2:$D$448,0))</f>
        <v>209547.25</v>
      </c>
      <c r="I128" s="436">
        <f t="array" ref="I128">INDEX(正厂竞争者数据汇总!$H$2:$H$448,MATCH($A$126&amp;$B128,正厂竞争者数据汇总!$A$2:$A$448&amp;正厂竞争者数据汇总!$D$2:$D$448,0))</f>
        <v>209547.25</v>
      </c>
      <c r="J128" s="457">
        <v>0.390268077636924</v>
      </c>
      <c r="K128" s="457">
        <v>0.403016104546461</v>
      </c>
      <c r="L128" s="457">
        <v>0.406491384482529</v>
      </c>
      <c r="M128" s="456">
        <f>J128-K128</f>
        <v>-0.012748026909537</v>
      </c>
      <c r="N128" s="457" t="str">
        <f>IFERROR(O128*0.5/$F$128,"")</f>
        <v/>
      </c>
      <c r="O128" s="436" t="s">
        <v>180</v>
      </c>
      <c r="P128" s="531">
        <f t="array" ref="P128">INDEX(正厂竞争者数据汇总!I:I,MATCH($A$126&amp;B128,正厂竞争者数据汇总!A:A&amp;正厂竞争者数据汇总!D:D,0))</f>
        <v>0</v>
      </c>
      <c r="Q128" s="434" t="s">
        <v>318</v>
      </c>
      <c r="R128" s="435" t="s">
        <v>229</v>
      </c>
      <c r="S128" s="476"/>
      <c r="T128" s="477"/>
      <c r="U128" s="477"/>
      <c r="V128" s="435"/>
      <c r="W128" s="435"/>
    </row>
    <row r="129" spans="1:23">
      <c r="A129" s="431" t="s">
        <v>230</v>
      </c>
      <c r="B129" s="431" t="s">
        <v>319</v>
      </c>
      <c r="C129" s="431" t="s">
        <v>233</v>
      </c>
      <c r="D129" s="431" t="s">
        <v>234</v>
      </c>
      <c r="E129" s="486"/>
      <c r="F129" s="430">
        <v>66131.4166666667</v>
      </c>
      <c r="G129" s="486"/>
      <c r="H129" s="486"/>
      <c r="I129" s="518"/>
      <c r="J129" s="490">
        <v>0.145585340035424</v>
      </c>
      <c r="K129" s="451">
        <v>0.090665569332748</v>
      </c>
      <c r="L129" s="451">
        <v>0.124365036481418</v>
      </c>
      <c r="M129" s="490"/>
      <c r="N129" s="490"/>
      <c r="O129" s="486"/>
      <c r="P129" s="531" t="str">
        <f t="array" ref="P129">INDEX(正厂竞争者数据汇总!I:I,MATCH($A$126&amp;B129,正厂竞争者数据汇总!A:A&amp;正厂竞争者数据汇总!D:D,0))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29" s="494"/>
      <c r="R129" s="431"/>
      <c r="S129" s="473"/>
      <c r="T129" s="495"/>
      <c r="U129" s="495"/>
      <c r="V129" s="431"/>
      <c r="W129" s="431"/>
    </row>
    <row r="130" spans="1:23">
      <c r="A130" s="431" t="s">
        <v>230</v>
      </c>
      <c r="B130" s="431" t="s">
        <v>320</v>
      </c>
      <c r="C130" s="523" t="s">
        <v>441</v>
      </c>
      <c r="D130" s="431" t="s">
        <v>58</v>
      </c>
      <c r="E130" s="486"/>
      <c r="F130" s="430">
        <v>61330.4166666667</v>
      </c>
      <c r="G130" s="486"/>
      <c r="H130" s="486"/>
      <c r="I130" s="518"/>
      <c r="J130" s="490">
        <v>0.135016154423793</v>
      </c>
      <c r="K130" s="451">
        <v>0.133716181365205</v>
      </c>
      <c r="L130" s="451">
        <v>0.138568240189895</v>
      </c>
      <c r="M130" s="490"/>
      <c r="N130" s="490"/>
      <c r="O130" s="486"/>
      <c r="P130" s="531">
        <f t="array" ref="P130">INDEX(正厂竞争者数据汇总!I:I,MATCH($A$126&amp;B130,正厂竞争者数据汇总!A:A&amp;正厂竞争者数据汇总!D:D,0))</f>
        <v>0</v>
      </c>
      <c r="Q130" s="494"/>
      <c r="R130" s="431"/>
      <c r="S130" s="473"/>
      <c r="T130" s="495"/>
      <c r="U130" s="495"/>
      <c r="V130" s="431"/>
      <c r="W130" s="431"/>
    </row>
    <row r="131" spans="1:23">
      <c r="A131" s="431" t="s">
        <v>230</v>
      </c>
      <c r="B131" s="431" t="s">
        <v>321</v>
      </c>
      <c r="C131" s="431" t="s">
        <v>441</v>
      </c>
      <c r="D131" s="431" t="s">
        <v>57</v>
      </c>
      <c r="E131" s="486"/>
      <c r="F131" s="430">
        <v>49487.4433333333</v>
      </c>
      <c r="G131" s="486"/>
      <c r="H131" s="486"/>
      <c r="I131" s="518"/>
      <c r="J131" s="490">
        <v>0.108944381177888</v>
      </c>
      <c r="K131" s="451">
        <v>0.126844455411571</v>
      </c>
      <c r="L131" s="451">
        <v>0.089522639876528</v>
      </c>
      <c r="M131" s="490"/>
      <c r="N131" s="490"/>
      <c r="O131" s="486"/>
      <c r="P131" s="531" t="str">
        <f t="array" ref="P131">INDEX(正厂竞争者数据汇总!I:I,MATCH($A$126&amp;B131,正厂竞争者数据汇总!A:A&amp;正厂竞争者数据汇总!D:D,0))</f>
        <v>同时经营honda/acura，折算比例：acura75%，honda25%</v>
      </c>
      <c r="Q131" s="494"/>
      <c r="R131" s="431"/>
      <c r="S131" s="473"/>
      <c r="T131" s="495"/>
      <c r="U131" s="495"/>
      <c r="V131" s="431"/>
      <c r="W131" s="431"/>
    </row>
    <row r="132" spans="1:23">
      <c r="A132" s="431" t="s">
        <v>238</v>
      </c>
      <c r="B132" s="431" t="s">
        <v>322</v>
      </c>
      <c r="C132" s="523" t="s">
        <v>441</v>
      </c>
      <c r="D132" s="431" t="s">
        <v>250</v>
      </c>
      <c r="E132" s="486"/>
      <c r="F132" s="430">
        <v>41088.6666666667</v>
      </c>
      <c r="G132" s="486"/>
      <c r="H132" s="486"/>
      <c r="I132" s="518"/>
      <c r="J132" s="490">
        <v>0.0904548520171655</v>
      </c>
      <c r="K132" s="451">
        <v>0.0708185804452499</v>
      </c>
      <c r="L132" s="451">
        <v>0.0736563227266659</v>
      </c>
      <c r="M132" s="490"/>
      <c r="N132" s="490"/>
      <c r="O132" s="486"/>
      <c r="P132" s="531">
        <f t="array" ref="P132">INDEX(正厂竞争者数据汇总!I:I,MATCH($A$126&amp;B132,正厂竞争者数据汇总!A:A&amp;正厂竞争者数据汇总!D:D,0))</f>
        <v>0</v>
      </c>
      <c r="Q132" s="494"/>
      <c r="R132" s="431"/>
      <c r="S132" s="473"/>
      <c r="T132" s="495"/>
      <c r="U132" s="495"/>
      <c r="V132" s="431"/>
      <c r="W132" s="431"/>
    </row>
    <row r="133" spans="1:23">
      <c r="A133" s="431" t="s">
        <v>230</v>
      </c>
      <c r="B133" s="431" t="s">
        <v>323</v>
      </c>
      <c r="C133" s="431" t="s">
        <v>441</v>
      </c>
      <c r="D133" s="431" t="s">
        <v>411</v>
      </c>
      <c r="E133" s="486"/>
      <c r="F133" s="430">
        <v>36268.75</v>
      </c>
      <c r="G133" s="486"/>
      <c r="H133" s="486"/>
      <c r="I133" s="518"/>
      <c r="J133" s="490">
        <v>0.0798440222145012</v>
      </c>
      <c r="K133" s="451">
        <v>0.104645127522225</v>
      </c>
      <c r="L133" s="451">
        <v>0.11081077193923</v>
      </c>
      <c r="M133" s="490"/>
      <c r="N133" s="490"/>
      <c r="O133" s="486"/>
      <c r="P133" s="531" t="str">
        <f t="array" ref="P133">INDEX(正厂竞争者数据汇总!I:I,MATCH($A$126&amp;B133,正厂竞争者数据汇总!A:A&amp;正厂竞争者数据汇总!D:D,0))</f>
        <v>2022年1月 新加入 CompetitorSites
2022年1月 新加入 MarketingShare</v>
      </c>
      <c r="Q133" s="494"/>
      <c r="R133" s="431"/>
      <c r="S133" s="473"/>
      <c r="T133" s="495"/>
      <c r="U133" s="495"/>
      <c r="V133" s="431"/>
      <c r="W133" s="431"/>
    </row>
    <row r="134" spans="1:23">
      <c r="A134" s="431" t="s">
        <v>230</v>
      </c>
      <c r="B134" s="431" t="s">
        <v>439</v>
      </c>
      <c r="C134" s="431" t="s">
        <v>441</v>
      </c>
      <c r="D134" s="431" t="s">
        <v>460</v>
      </c>
      <c r="E134" s="486"/>
      <c r="F134" s="430">
        <v>22661</v>
      </c>
      <c r="G134" s="486"/>
      <c r="H134" s="486"/>
      <c r="I134" s="518"/>
      <c r="J134" s="490">
        <v>0.0498871724943046</v>
      </c>
      <c r="K134" s="451">
        <v>0.0702939813765396</v>
      </c>
      <c r="L134" s="451">
        <v>0.056585604303734</v>
      </c>
      <c r="M134" s="490"/>
      <c r="N134" s="490"/>
      <c r="O134" s="486"/>
      <c r="P134" s="531" t="str">
        <f t="array" ref="P134">INDEX(正厂竞争者数据汇总!I:I,MATCH($A$126&amp;B134,正厂竞争者数据汇总!A:A&amp;正厂竞争者数据汇总!D:D,0))</f>
        <v>同时经营honda/acura，折算比例：acura:80%,honda:20%</v>
      </c>
      <c r="Q134" s="494"/>
      <c r="R134" s="431"/>
      <c r="S134" s="473"/>
      <c r="T134" s="495"/>
      <c r="U134" s="495"/>
      <c r="V134" s="431"/>
      <c r="W134" s="431"/>
    </row>
    <row r="135" s="408" customFormat="1" spans="1:23">
      <c r="A135" s="428"/>
      <c r="B135" s="438"/>
      <c r="C135" s="429"/>
      <c r="D135" s="421"/>
      <c r="E135" s="430"/>
      <c r="F135" s="486"/>
      <c r="G135" s="486">
        <v>409170.916666667</v>
      </c>
      <c r="H135" s="486"/>
      <c r="I135" s="453"/>
      <c r="J135" s="451"/>
      <c r="K135" s="430"/>
      <c r="L135" s="430"/>
      <c r="M135" s="451"/>
      <c r="N135" s="451"/>
      <c r="O135" s="430"/>
      <c r="P135" s="531"/>
      <c r="Q135" s="429"/>
      <c r="R135" s="421"/>
      <c r="S135" s="473"/>
      <c r="T135" s="466"/>
      <c r="U135" s="466"/>
      <c r="V135" s="421"/>
      <c r="W135" s="421"/>
    </row>
    <row r="136" s="408" customFormat="1" spans="1:23">
      <c r="A136" s="428"/>
      <c r="B136" s="421"/>
      <c r="C136" s="439"/>
      <c r="D136" s="421"/>
      <c r="E136" s="421"/>
      <c r="F136" s="430">
        <v>454245.026666666</v>
      </c>
      <c r="G136" s="430"/>
      <c r="H136" s="430">
        <v>444921.666666667</v>
      </c>
      <c r="I136" s="453" t="e">
        <f>(F136/G136)-1</f>
        <v>#DIV/0!</v>
      </c>
      <c r="J136" s="430"/>
      <c r="K136" s="430"/>
      <c r="L136" s="430"/>
      <c r="M136" s="451"/>
      <c r="N136" s="451">
        <f>SUM(N128:N135)</f>
        <v>0</v>
      </c>
      <c r="O136" s="430"/>
      <c r="P136" s="531"/>
      <c r="Q136" s="429" t="s">
        <v>180</v>
      </c>
      <c r="R136" s="421" t="s">
        <v>180</v>
      </c>
      <c r="S136" s="473"/>
      <c r="T136" s="466"/>
      <c r="U136" s="466"/>
      <c r="V136" s="421"/>
      <c r="W136" s="421"/>
    </row>
    <row r="137" s="408" customFormat="1" spans="1:23">
      <c r="A137" s="428"/>
      <c r="B137" s="421"/>
      <c r="C137" s="439"/>
      <c r="D137" s="421"/>
      <c r="E137" s="430"/>
      <c r="F137" s="430"/>
      <c r="G137" s="430"/>
      <c r="H137" s="430"/>
      <c r="I137" s="453"/>
      <c r="J137" s="430"/>
      <c r="K137" s="430"/>
      <c r="L137" s="430"/>
      <c r="M137" s="451"/>
      <c r="N137" s="459"/>
      <c r="O137" s="430"/>
      <c r="P137" s="531"/>
      <c r="Q137" s="429"/>
      <c r="R137" s="421" t="s">
        <v>180</v>
      </c>
      <c r="S137" s="473"/>
      <c r="T137" s="466"/>
      <c r="U137" s="466"/>
      <c r="V137" s="421"/>
      <c r="W137" s="421"/>
    </row>
    <row r="138" s="408" customFormat="1" ht="17.4" spans="1:23">
      <c r="A138" s="418" t="s">
        <v>168</v>
      </c>
      <c r="B138" s="487"/>
      <c r="C138" s="420"/>
      <c r="D138" s="421"/>
      <c r="E138" s="422" t="s">
        <v>202</v>
      </c>
      <c r="F138" s="422"/>
      <c r="G138" s="422" t="s">
        <v>213</v>
      </c>
      <c r="H138" s="422"/>
      <c r="I138" s="422"/>
      <c r="J138" s="422"/>
      <c r="K138" s="422"/>
      <c r="L138" s="422"/>
      <c r="M138" s="443"/>
      <c r="N138" s="444"/>
      <c r="O138" s="422"/>
      <c r="P138" s="531"/>
      <c r="Q138" s="465"/>
      <c r="R138" s="424"/>
      <c r="S138" s="473"/>
      <c r="T138" s="467"/>
      <c r="U138" s="467"/>
      <c r="V138" s="467"/>
      <c r="W138" s="467"/>
    </row>
    <row r="139" s="409" customFormat="1" ht="46.8" spans="1:23">
      <c r="A139" s="423" t="s">
        <v>206</v>
      </c>
      <c r="B139" s="424" t="s">
        <v>207</v>
      </c>
      <c r="C139" s="425" t="s">
        <v>447</v>
      </c>
      <c r="D139" s="424" t="s">
        <v>209</v>
      </c>
      <c r="E139" s="426" t="s">
        <v>210</v>
      </c>
      <c r="F139" s="427" t="s">
        <v>485</v>
      </c>
      <c r="G139" s="427">
        <v>197584.75</v>
      </c>
      <c r="H139" s="427" t="s">
        <v>396</v>
      </c>
      <c r="I139" s="427" t="s">
        <v>386</v>
      </c>
      <c r="J139" s="446" t="s">
        <v>449</v>
      </c>
      <c r="K139" s="446" t="s">
        <v>479</v>
      </c>
      <c r="L139" s="446" t="s">
        <v>215</v>
      </c>
      <c r="M139" s="447" t="s">
        <v>436</v>
      </c>
      <c r="N139" s="448" t="s">
        <v>219</v>
      </c>
      <c r="O139" s="449" t="s">
        <v>220</v>
      </c>
      <c r="P139" s="530" t="s">
        <v>221</v>
      </c>
      <c r="Q139" s="469" t="s">
        <v>222</v>
      </c>
      <c r="R139" s="426" t="s">
        <v>223</v>
      </c>
      <c r="S139" s="470" t="s">
        <v>224</v>
      </c>
      <c r="T139" s="467" t="s">
        <v>225</v>
      </c>
      <c r="U139" s="470" t="s">
        <v>226</v>
      </c>
      <c r="V139" s="467"/>
      <c r="W139" s="467"/>
    </row>
    <row r="140" s="410" customFormat="1" ht="17.4" spans="1:23">
      <c r="A140" s="432" t="s">
        <v>227</v>
      </c>
      <c r="B140" s="488" t="s">
        <v>169</v>
      </c>
      <c r="C140" s="434" t="s">
        <v>441</v>
      </c>
      <c r="D140" s="435" t="s">
        <v>49</v>
      </c>
      <c r="E140" s="436">
        <f>VLOOKUP(B140,正厂竞争者数据汇总!D:H,4,FALSE)</f>
        <v>0</v>
      </c>
      <c r="F140" s="436">
        <v>272491.916666667</v>
      </c>
      <c r="G140" s="436">
        <v>39089.5833333333</v>
      </c>
      <c r="H140" s="436">
        <v>201623.666666667</v>
      </c>
      <c r="I140" s="454">
        <f>(F140/G140)-1</f>
        <v>5.97095986782499</v>
      </c>
      <c r="J140" s="457">
        <v>0.556814817795279</v>
      </c>
      <c r="K140" s="457">
        <v>0.623986484056396</v>
      </c>
      <c r="L140" s="457">
        <v>0.604762516640285</v>
      </c>
      <c r="M140" s="456">
        <f>J140-K143</f>
        <v>0.492387936369527</v>
      </c>
      <c r="N140" s="457" t="str">
        <f t="shared" ref="N140" si="0">IFERROR(O140*0.5/$F$140,"")</f>
        <v/>
      </c>
      <c r="O140" s="436" t="s">
        <v>180</v>
      </c>
      <c r="P140" s="531">
        <f t="array" ref="P140">INDEX(正厂竞争者数据汇总!I:I,MATCH($A$138&amp;B140,正厂竞争者数据汇总!A:A&amp;正厂竞争者数据汇总!D:D,0))</f>
        <v>0</v>
      </c>
      <c r="Q140" s="434" t="s">
        <v>299</v>
      </c>
      <c r="R140" s="435" t="s">
        <v>229</v>
      </c>
      <c r="S140" s="476"/>
      <c r="T140" s="477"/>
      <c r="U140" s="477"/>
      <c r="V140" s="435"/>
      <c r="W140" s="435"/>
    </row>
    <row r="141" s="408" customFormat="1" spans="1:23">
      <c r="A141" s="527" t="s">
        <v>230</v>
      </c>
      <c r="B141" s="431" t="s">
        <v>308</v>
      </c>
      <c r="C141" s="494" t="s">
        <v>233</v>
      </c>
      <c r="D141" s="431" t="s">
        <v>426</v>
      </c>
      <c r="E141" s="486"/>
      <c r="F141" s="430">
        <v>43848.3333333333</v>
      </c>
      <c r="G141" s="486"/>
      <c r="H141" s="486"/>
      <c r="I141" s="518"/>
      <c r="J141" s="490">
        <v>0.0896004624074534</v>
      </c>
      <c r="K141" s="451">
        <v>0.0944859186865694</v>
      </c>
      <c r="L141" s="451">
        <v>0.0845782851640635</v>
      </c>
      <c r="M141" s="451"/>
      <c r="N141" s="451"/>
      <c r="O141" s="430"/>
      <c r="P141" s="531">
        <f t="array" ref="P141">INDEX(正厂竞争者数据汇总!I:I,MATCH($A$138&amp;B141,正厂竞争者数据汇总!A:A&amp;正厂竞争者数据汇总!D:D,0))</f>
        <v>0</v>
      </c>
      <c r="Q141" s="429"/>
      <c r="R141" s="421"/>
      <c r="S141" s="473"/>
      <c r="T141" s="466"/>
      <c r="U141" s="466"/>
      <c r="V141" s="421"/>
      <c r="W141" s="421"/>
    </row>
    <row r="142" s="408" customFormat="1" spans="1:23">
      <c r="A142" s="527" t="s">
        <v>230</v>
      </c>
      <c r="B142" s="431" t="s">
        <v>304</v>
      </c>
      <c r="C142" s="494" t="s">
        <v>233</v>
      </c>
      <c r="D142" s="431" t="s">
        <v>49</v>
      </c>
      <c r="E142" s="486"/>
      <c r="F142" s="430">
        <v>37224.3333333333</v>
      </c>
      <c r="G142" s="486"/>
      <c r="H142" s="486"/>
      <c r="I142" s="518"/>
      <c r="J142" s="490">
        <v>0.0760648632667722</v>
      </c>
      <c r="K142" s="451">
        <v>0.0752933592093509</v>
      </c>
      <c r="L142" s="451">
        <v>0.0638206563932227</v>
      </c>
      <c r="M142" s="451"/>
      <c r="N142" s="451"/>
      <c r="O142" s="430"/>
      <c r="P142" s="531">
        <f t="array" ref="P142">INDEX(正厂竞争者数据汇总!I:I,MATCH($A$138&amp;B142,正厂竞争者数据汇总!A:A&amp;正厂竞争者数据汇总!D:D,0))</f>
        <v>0</v>
      </c>
      <c r="Q142" s="429"/>
      <c r="R142" s="421"/>
      <c r="S142" s="473"/>
      <c r="T142" s="466"/>
      <c r="U142" s="466"/>
      <c r="V142" s="421"/>
      <c r="W142" s="421"/>
    </row>
    <row r="143" s="408" customFormat="1" spans="1:23">
      <c r="A143" s="527" t="s">
        <v>305</v>
      </c>
      <c r="B143" s="524" t="s">
        <v>306</v>
      </c>
      <c r="C143" s="494" t="s">
        <v>233</v>
      </c>
      <c r="D143" s="431" t="s">
        <v>49</v>
      </c>
      <c r="E143" s="486"/>
      <c r="F143" s="430">
        <v>35016.25</v>
      </c>
      <c r="G143" s="486"/>
      <c r="H143" s="486"/>
      <c r="I143" s="518"/>
      <c r="J143" s="490">
        <v>0.0715528266017331</v>
      </c>
      <c r="K143" s="451">
        <v>0.0644268814257521</v>
      </c>
      <c r="L143" s="451">
        <v>0.0823888534181572</v>
      </c>
      <c r="M143" s="451"/>
      <c r="N143" s="451"/>
      <c r="O143" s="430"/>
      <c r="P143" s="531">
        <f t="array" ref="P143">INDEX(正厂竞争者数据汇总!I:I,MATCH($A$138&amp;B143,正厂竞争者数据汇总!A:A&amp;正厂竞争者数据汇总!D:D,0))</f>
        <v>0</v>
      </c>
      <c r="Q143" s="429"/>
      <c r="R143" s="421"/>
      <c r="S143" s="473"/>
      <c r="T143" s="477"/>
      <c r="U143" s="466"/>
      <c r="V143" s="421"/>
      <c r="W143" s="421"/>
    </row>
    <row r="144" s="408" customFormat="1" spans="1:23">
      <c r="A144" s="527" t="s">
        <v>243</v>
      </c>
      <c r="B144" s="431" t="s">
        <v>300</v>
      </c>
      <c r="C144" s="494" t="s">
        <v>441</v>
      </c>
      <c r="D144" s="431" t="s">
        <v>302</v>
      </c>
      <c r="E144" s="486"/>
      <c r="F144" s="430">
        <v>27462.188</v>
      </c>
      <c r="G144" s="486"/>
      <c r="H144" s="486"/>
      <c r="I144" s="518"/>
      <c r="J144" s="490">
        <v>0.0561167222666104</v>
      </c>
      <c r="K144" s="451"/>
      <c r="L144" s="451"/>
      <c r="M144" s="451"/>
      <c r="N144" s="451"/>
      <c r="O144" s="430"/>
      <c r="P144" s="532" t="str">
        <f t="array" ref="P144">INDEX(正厂竞争者数据汇总!I:I,MATCH($A$138&amp;B144,正厂竞争者数据汇总!A:A&amp;正厂竞争者数据汇总!D:D,0))</f>
        <v>2023年3月新增正厂，202305因流量超过MS5%加入MS计算基准</v>
      </c>
      <c r="Q144" s="429"/>
      <c r="R144" s="421"/>
      <c r="S144" s="473"/>
      <c r="T144" s="466"/>
      <c r="U144" s="466"/>
      <c r="V144" s="421"/>
      <c r="W144" s="421"/>
    </row>
    <row r="145" s="408" customFormat="1" spans="1:23">
      <c r="A145" s="527" t="s">
        <v>230</v>
      </c>
      <c r="B145" s="431" t="s">
        <v>307</v>
      </c>
      <c r="C145" s="494" t="s">
        <v>233</v>
      </c>
      <c r="D145" s="431" t="s">
        <v>49</v>
      </c>
      <c r="E145" s="486"/>
      <c r="F145" s="430">
        <v>26434</v>
      </c>
      <c r="G145" s="486"/>
      <c r="H145" s="486"/>
      <c r="I145" s="518"/>
      <c r="J145" s="490">
        <v>0.0540157046625556</v>
      </c>
      <c r="K145" s="451">
        <v>0.0432702294254444</v>
      </c>
      <c r="L145" s="451">
        <v>0.0596734540191682</v>
      </c>
      <c r="M145" s="451"/>
      <c r="N145" s="451"/>
      <c r="O145" s="430"/>
      <c r="P145" s="531" t="str">
        <f t="array" ref="P145">INDEX(正厂竞争者数据汇总!I:I,MATCH($A$138&amp;B145,正厂竞争者数据汇总!A:A&amp;正厂竞争者数据汇总!D:D,0))</f>
        <v>2023年2月新增正厂</v>
      </c>
      <c r="Q145" s="429"/>
      <c r="R145" s="421"/>
      <c r="S145" s="473"/>
      <c r="T145" s="466"/>
      <c r="U145" s="466"/>
      <c r="V145" s="421"/>
      <c r="W145" s="421"/>
    </row>
    <row r="146" s="408" customFormat="1" spans="1:23">
      <c r="A146" s="527" t="s">
        <v>230</v>
      </c>
      <c r="B146" s="431" t="s">
        <v>309</v>
      </c>
      <c r="C146" s="494" t="s">
        <v>233</v>
      </c>
      <c r="D146" s="431" t="s">
        <v>266</v>
      </c>
      <c r="E146" s="486"/>
      <c r="F146" s="430">
        <v>20703.34</v>
      </c>
      <c r="G146" s="486"/>
      <c r="H146" s="486"/>
      <c r="I146" s="518"/>
      <c r="J146" s="490">
        <v>0.0423055723298961</v>
      </c>
      <c r="K146" s="451">
        <v>0.0402736018771826</v>
      </c>
      <c r="L146" s="451">
        <v>0.0325602943544528</v>
      </c>
      <c r="M146" s="451"/>
      <c r="N146" s="451"/>
      <c r="O146" s="430"/>
      <c r="P146" s="531" t="str">
        <f t="array" ref="P146">INDEX(正厂竞争者数据汇总!I:I,MATCH($A$138&amp;B146,正厂竞争者数据汇总!A:A&amp;正厂竞争者数据汇总!D:D,0))</f>
        <v>同时经营多品牌网站零件，折算比例为：toyota：33%，lexus：42%，subaru:25%</v>
      </c>
      <c r="Q146" s="429"/>
      <c r="R146" s="421"/>
      <c r="S146" s="473"/>
      <c r="T146" s="466"/>
      <c r="U146" s="466"/>
      <c r="V146" s="421"/>
      <c r="W146" s="421"/>
    </row>
    <row r="147" s="408" customFormat="1" spans="1:23">
      <c r="A147" s="527" t="s">
        <v>230</v>
      </c>
      <c r="B147" s="431" t="s">
        <v>461</v>
      </c>
      <c r="C147" s="494" t="s">
        <v>441</v>
      </c>
      <c r="D147" s="431" t="s">
        <v>49</v>
      </c>
      <c r="E147" s="486"/>
      <c r="F147" s="430">
        <v>12063.5</v>
      </c>
      <c r="G147" s="486"/>
      <c r="H147" s="486"/>
      <c r="I147" s="518"/>
      <c r="J147" s="490">
        <v>0.0246507699628032</v>
      </c>
      <c r="K147" s="451">
        <v>0.0293982425737178</v>
      </c>
      <c r="L147" s="451">
        <v>0.0280342377838527</v>
      </c>
      <c r="M147" s="451"/>
      <c r="N147" s="451"/>
      <c r="O147" s="430"/>
      <c r="P147" s="531" t="str">
        <f t="array" ref="P147">INDEX(正厂竞争者数据汇总!I:I,MATCH($A$138&amp;B147,正厂竞争者数据汇总!A:A&amp;正厂竞争者数据汇总!D:D,0))</f>
        <v>2023年3月新增正厂</v>
      </c>
      <c r="Q147" s="429"/>
      <c r="R147" s="421"/>
      <c r="S147" s="473"/>
      <c r="T147" s="466"/>
      <c r="U147" s="466"/>
      <c r="V147" s="421"/>
      <c r="W147" s="421"/>
    </row>
    <row r="148" s="408" customFormat="1" spans="1:23">
      <c r="A148" s="527" t="s">
        <v>243</v>
      </c>
      <c r="B148" s="431" t="s">
        <v>462</v>
      </c>
      <c r="C148" s="494" t="s">
        <v>441</v>
      </c>
      <c r="D148" s="431" t="s">
        <v>420</v>
      </c>
      <c r="E148" s="486"/>
      <c r="F148" s="430">
        <v>14132.3333333333</v>
      </c>
      <c r="G148" s="486"/>
      <c r="H148" s="486"/>
      <c r="I148" s="518"/>
      <c r="J148" s="490">
        <v>0.0288782607068973</v>
      </c>
      <c r="K148" s="451">
        <v>0.0288652827455872</v>
      </c>
      <c r="L148" s="451">
        <v>0.0441817022267984</v>
      </c>
      <c r="M148" s="451"/>
      <c r="N148" s="451"/>
      <c r="O148" s="430"/>
      <c r="P148" s="531" t="str">
        <f t="array" ref="P148">INDEX(正厂竞争者数据汇总!I:I,MATCH($A$138&amp;B148,正厂竞争者数据汇总!A:A&amp;正厂竞争者数据汇总!D:D,0))</f>
        <v>2023年2月新增正厂</v>
      </c>
      <c r="Q148" s="429"/>
      <c r="R148" s="421"/>
      <c r="S148" s="473"/>
      <c r="T148" s="466"/>
      <c r="U148" s="466"/>
      <c r="V148" s="421"/>
      <c r="W148" s="421"/>
    </row>
    <row r="150" s="408" customFormat="1" spans="1:23">
      <c r="A150" s="440"/>
      <c r="B150" s="431"/>
      <c r="C150" s="429"/>
      <c r="D150" s="421"/>
      <c r="E150" s="430"/>
      <c r="F150" s="430"/>
      <c r="G150" s="430">
        <v>259436.916666667</v>
      </c>
      <c r="H150" s="430"/>
      <c r="I150" s="453"/>
      <c r="J150" s="451"/>
      <c r="K150" s="451"/>
      <c r="L150" s="451"/>
      <c r="M150" s="451"/>
      <c r="N150" s="451"/>
      <c r="O150" s="430"/>
      <c r="P150" s="531"/>
      <c r="Q150" s="429"/>
      <c r="R150" s="421"/>
      <c r="S150" s="473"/>
      <c r="T150" s="466"/>
      <c r="U150" s="466"/>
      <c r="V150" s="421"/>
      <c r="W150" s="421"/>
    </row>
    <row r="151" s="408" customFormat="1" spans="1:23">
      <c r="A151" s="428"/>
      <c r="B151" s="421"/>
      <c r="C151" s="439"/>
      <c r="D151" s="421"/>
      <c r="E151" s="430"/>
      <c r="F151" s="430">
        <v>489376.194666667</v>
      </c>
      <c r="G151" s="430"/>
      <c r="H151" s="430">
        <v>254943.25</v>
      </c>
      <c r="I151" s="453" t="e">
        <f>(F151/G151)-1</f>
        <v>#DIV/0!</v>
      </c>
      <c r="J151" s="430"/>
      <c r="K151" s="430"/>
      <c r="L151" s="430"/>
      <c r="M151" s="451"/>
      <c r="N151" s="451">
        <f>SUM(N140:N141)</f>
        <v>0</v>
      </c>
      <c r="O151" s="430"/>
      <c r="P151" s="531"/>
      <c r="Q151" s="429"/>
      <c r="R151" s="421"/>
      <c r="S151" s="473"/>
      <c r="T151" s="466"/>
      <c r="U151" s="466"/>
      <c r="V151" s="421"/>
      <c r="W151" s="421"/>
    </row>
    <row r="152" s="408" customFormat="1" spans="1:23">
      <c r="A152" s="428"/>
      <c r="B152" s="421"/>
      <c r="C152" s="439"/>
      <c r="D152" s="421"/>
      <c r="E152" s="430"/>
      <c r="F152" s="451"/>
      <c r="G152" s="451"/>
      <c r="H152" s="451"/>
      <c r="I152" s="453"/>
      <c r="J152" s="451"/>
      <c r="K152" s="451"/>
      <c r="L152" s="451"/>
      <c r="M152" s="451"/>
      <c r="N152" s="451"/>
      <c r="O152" s="451"/>
      <c r="P152" s="531"/>
      <c r="Q152" s="429"/>
      <c r="R152" s="421"/>
      <c r="S152" s="473"/>
      <c r="T152" s="466"/>
      <c r="U152" s="466"/>
      <c r="V152" s="421"/>
      <c r="W152" s="421"/>
    </row>
    <row r="153" s="408" customFormat="1" ht="17.4" spans="1:23">
      <c r="A153" s="418" t="s">
        <v>177</v>
      </c>
      <c r="B153" s="419"/>
      <c r="C153" s="420"/>
      <c r="D153" s="421"/>
      <c r="E153" s="422" t="s">
        <v>202</v>
      </c>
      <c r="F153" s="422"/>
      <c r="G153" s="422" t="s">
        <v>213</v>
      </c>
      <c r="H153" s="422"/>
      <c r="I153" s="422"/>
      <c r="J153" s="422"/>
      <c r="K153" s="422"/>
      <c r="L153" s="422"/>
      <c r="M153" s="443"/>
      <c r="N153" s="444"/>
      <c r="O153" s="422"/>
      <c r="P153" s="531"/>
      <c r="Q153" s="465"/>
      <c r="R153" s="424"/>
      <c r="S153" s="473"/>
      <c r="T153" s="467"/>
      <c r="U153" s="467"/>
      <c r="V153" s="467"/>
      <c r="W153" s="467"/>
    </row>
    <row r="154" s="409" customFormat="1" ht="46.8" spans="1:23">
      <c r="A154" s="423" t="s">
        <v>206</v>
      </c>
      <c r="B154" s="424" t="s">
        <v>207</v>
      </c>
      <c r="C154" s="425" t="s">
        <v>447</v>
      </c>
      <c r="D154" s="424" t="s">
        <v>209</v>
      </c>
      <c r="E154" s="426" t="s">
        <v>210</v>
      </c>
      <c r="F154" s="427" t="s">
        <v>485</v>
      </c>
      <c r="G154" s="427">
        <v>93920.4166666667</v>
      </c>
      <c r="H154" s="427" t="s">
        <v>396</v>
      </c>
      <c r="I154" s="427" t="s">
        <v>386</v>
      </c>
      <c r="J154" s="446" t="s">
        <v>449</v>
      </c>
      <c r="K154" s="446" t="s">
        <v>479</v>
      </c>
      <c r="L154" s="446" t="s">
        <v>215</v>
      </c>
      <c r="M154" s="447" t="s">
        <v>436</v>
      </c>
      <c r="N154" s="448" t="s">
        <v>219</v>
      </c>
      <c r="O154" s="449" t="s">
        <v>220</v>
      </c>
      <c r="P154" s="530" t="s">
        <v>221</v>
      </c>
      <c r="Q154" s="469" t="s">
        <v>222</v>
      </c>
      <c r="R154" s="426" t="s">
        <v>223</v>
      </c>
      <c r="S154" s="470" t="s">
        <v>224</v>
      </c>
      <c r="T154" s="467" t="s">
        <v>225</v>
      </c>
      <c r="U154" s="470" t="s">
        <v>226</v>
      </c>
      <c r="V154" s="467"/>
      <c r="W154" s="467"/>
    </row>
    <row r="155" s="410" customFormat="1" ht="17.4" spans="1:23">
      <c r="A155" s="432" t="s">
        <v>227</v>
      </c>
      <c r="B155" s="435" t="s">
        <v>178</v>
      </c>
      <c r="C155" s="434" t="s">
        <v>441</v>
      </c>
      <c r="D155" s="435" t="s">
        <v>49</v>
      </c>
      <c r="E155" s="436">
        <f>VLOOKUP(B155,正厂竞争者数据汇总!D:H,4,FALSE)</f>
        <v>0</v>
      </c>
      <c r="F155" s="436">
        <v>78757.5</v>
      </c>
      <c r="G155" s="436">
        <v>19160.4166666667</v>
      </c>
      <c r="H155" s="436">
        <v>93560.5000000002</v>
      </c>
      <c r="I155" s="454">
        <f>(F155/G155)-1</f>
        <v>3.11042731325431</v>
      </c>
      <c r="J155" s="457">
        <v>0.504260999846335</v>
      </c>
      <c r="K155" s="457">
        <v>0.448741554444412</v>
      </c>
      <c r="L155" s="457">
        <v>0.431597964911769</v>
      </c>
      <c r="M155" s="456">
        <f>J155-K161</f>
        <v>0.426696478112563</v>
      </c>
      <c r="N155" s="457" t="str">
        <f>IFERROR(O155*0.5/#REF!,"")</f>
        <v/>
      </c>
      <c r="O155" s="436" t="s">
        <v>180</v>
      </c>
      <c r="P155" s="531">
        <f t="array" ref="P155">INDEX(正厂竞争者数据汇总!I:I,MATCH($A$153&amp;B155,正厂竞争者数据汇总!A:A&amp;正厂竞争者数据汇总!D:D,0))</f>
        <v>0</v>
      </c>
      <c r="Q155" s="434" t="s">
        <v>324</v>
      </c>
      <c r="R155" s="435" t="s">
        <v>229</v>
      </c>
      <c r="S155" s="476"/>
      <c r="T155" s="477"/>
      <c r="U155" s="477"/>
      <c r="V155" s="435"/>
      <c r="W155" s="435"/>
    </row>
    <row r="156" s="408" customFormat="1" spans="1:23">
      <c r="A156" s="428" t="s">
        <v>230</v>
      </c>
      <c r="B156" s="431" t="s">
        <v>407</v>
      </c>
      <c r="C156" s="494" t="s">
        <v>233</v>
      </c>
      <c r="D156" s="431" t="s">
        <v>417</v>
      </c>
      <c r="E156" s="486"/>
      <c r="F156" s="430">
        <v>16028.1666666667</v>
      </c>
      <c r="G156" s="486"/>
      <c r="H156" s="486"/>
      <c r="I156" s="518"/>
      <c r="J156" s="490">
        <v>0.102623614881593</v>
      </c>
      <c r="K156" s="451">
        <v>0.134794554959661</v>
      </c>
      <c r="L156" s="451">
        <v>0.141147208834887</v>
      </c>
      <c r="M156" s="451"/>
      <c r="N156" s="451"/>
      <c r="O156" s="430"/>
      <c r="P156" s="531" t="str">
        <f t="array" ref="P156">INDEX(正厂竞争者数据汇总!I:I,MATCH($A$153&amp;B156,正厂竞争者数据汇总!A:A&amp;正厂竞争者数据汇总!D:D,0))</f>
        <v>202112新增竞争者</v>
      </c>
      <c r="Q156" s="429"/>
      <c r="R156" s="421"/>
      <c r="S156" s="473"/>
      <c r="T156" s="466"/>
      <c r="U156" s="466"/>
      <c r="V156" s="421"/>
      <c r="W156" s="421"/>
    </row>
    <row r="157" s="408" customFormat="1" spans="1:23">
      <c r="A157" s="428" t="s">
        <v>230</v>
      </c>
      <c r="B157" s="417" t="s">
        <v>328</v>
      </c>
      <c r="C157" s="494" t="s">
        <v>233</v>
      </c>
      <c r="D157" s="431" t="s">
        <v>58</v>
      </c>
      <c r="E157" s="486"/>
      <c r="F157" s="430">
        <v>14200.3333333333</v>
      </c>
      <c r="G157" s="486"/>
      <c r="H157" s="486"/>
      <c r="I157" s="518"/>
      <c r="J157" s="490">
        <v>0.0909205381686556</v>
      </c>
      <c r="K157" s="451">
        <v>0.0772109296230802</v>
      </c>
      <c r="L157" s="451">
        <v>0.068727501824034</v>
      </c>
      <c r="M157" s="451"/>
      <c r="N157" s="451"/>
      <c r="O157" s="430"/>
      <c r="P157" s="531" t="str">
        <f t="array" ref="P157">INDEX(正厂竞争者数据汇总!I:I,MATCH($A$153&amp;B157,正厂竞争者数据汇总!A:A&amp;正厂竞争者数据汇总!D:D,0))</f>
        <v>2022年1月 新加入 MarketingShare</v>
      </c>
      <c r="Q157" s="429"/>
      <c r="R157" s="421"/>
      <c r="S157" s="473"/>
      <c r="T157" s="466"/>
      <c r="U157" s="466"/>
      <c r="V157" s="421"/>
      <c r="W157" s="421"/>
    </row>
    <row r="158" s="408" customFormat="1" spans="1:23">
      <c r="A158" s="428" t="s">
        <v>230</v>
      </c>
      <c r="B158" s="428" t="s">
        <v>329</v>
      </c>
      <c r="C158" s="494" t="s">
        <v>233</v>
      </c>
      <c r="D158" s="431" t="s">
        <v>58</v>
      </c>
      <c r="E158" s="486"/>
      <c r="F158" s="430">
        <v>14125.9166666667</v>
      </c>
      <c r="G158" s="486"/>
      <c r="H158" s="486"/>
      <c r="I158" s="518"/>
      <c r="J158" s="490">
        <v>0.0904440702419371</v>
      </c>
      <c r="K158" s="451">
        <v>0.110265105283789</v>
      </c>
      <c r="L158" s="451">
        <v>0.0831974343395806</v>
      </c>
      <c r="M158" s="451"/>
      <c r="N158" s="451"/>
      <c r="O158" s="430"/>
      <c r="P158" s="531">
        <f t="array" ref="P158">INDEX(正厂竞争者数据汇总!I:I,MATCH($A$153&amp;B158,正厂竞争者数据汇总!A:A&amp;正厂竞争者数据汇总!D:D,0))</f>
        <v>0</v>
      </c>
      <c r="Q158" s="429"/>
      <c r="R158" s="421"/>
      <c r="S158" s="473"/>
      <c r="T158" s="466"/>
      <c r="U158" s="466"/>
      <c r="V158" s="421"/>
      <c r="W158" s="421"/>
    </row>
    <row r="159" s="408" customFormat="1" spans="1:23">
      <c r="A159" s="428" t="s">
        <v>230</v>
      </c>
      <c r="B159" s="431" t="s">
        <v>327</v>
      </c>
      <c r="C159" s="494" t="s">
        <v>233</v>
      </c>
      <c r="D159" s="431" t="s">
        <v>234</v>
      </c>
      <c r="E159" s="486"/>
      <c r="F159" s="430">
        <v>13433</v>
      </c>
      <c r="G159" s="486"/>
      <c r="H159" s="486"/>
      <c r="I159" s="518"/>
      <c r="J159" s="490">
        <v>0.0860075295804948</v>
      </c>
      <c r="K159" s="451">
        <v>0.0449621522707782</v>
      </c>
      <c r="L159" s="451">
        <v>0.0708926424176037</v>
      </c>
      <c r="M159" s="451"/>
      <c r="N159" s="451"/>
      <c r="O159" s="430"/>
      <c r="P159" s="531" t="str">
        <f t="array" ref="P159">INDEX(正厂竞争者数据汇总!I:I,MATCH($A$153&amp;B159,正厂竞争者数据汇总!A:A&amp;正厂竞争者数据汇总!D:D,0))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59" s="429"/>
      <c r="R159" s="421"/>
      <c r="S159" s="473"/>
      <c r="T159" s="466"/>
      <c r="U159" s="466"/>
      <c r="V159" s="421"/>
      <c r="W159" s="421"/>
    </row>
    <row r="160" s="408" customFormat="1" spans="1:23">
      <c r="A160" s="428" t="s">
        <v>325</v>
      </c>
      <c r="B160" s="428" t="s">
        <v>326</v>
      </c>
      <c r="C160" s="494" t="s">
        <v>441</v>
      </c>
      <c r="D160" s="431" t="s">
        <v>422</v>
      </c>
      <c r="E160" s="486"/>
      <c r="F160" s="430">
        <v>9527.41666666667</v>
      </c>
      <c r="G160" s="486"/>
      <c r="H160" s="486"/>
      <c r="I160" s="518"/>
      <c r="J160" s="490">
        <v>0.0610012335877341</v>
      </c>
      <c r="K160" s="451">
        <v>0.0747068983520575</v>
      </c>
      <c r="L160" s="451">
        <v>0.0816428317294757</v>
      </c>
      <c r="M160" s="451"/>
      <c r="N160" s="451"/>
      <c r="O160" s="430"/>
      <c r="P160" s="531">
        <f t="array" ref="P160">INDEX(正厂竞争者数据汇总!I:I,MATCH($A$153&amp;B160,正厂竞争者数据汇总!A:A&amp;正厂竞争者数据汇总!D:D,0))</f>
        <v>0</v>
      </c>
      <c r="Q160" s="429"/>
      <c r="R160" s="421"/>
      <c r="S160" s="473"/>
      <c r="T160" s="466"/>
      <c r="U160" s="466"/>
      <c r="V160" s="421"/>
      <c r="W160" s="421"/>
    </row>
    <row r="161" s="408" customFormat="1" spans="1:23">
      <c r="A161" s="428" t="s">
        <v>325</v>
      </c>
      <c r="B161" s="431" t="s">
        <v>442</v>
      </c>
      <c r="C161" s="494" t="s">
        <v>441</v>
      </c>
      <c r="D161" s="431" t="s">
        <v>60</v>
      </c>
      <c r="E161" s="486"/>
      <c r="F161" s="430">
        <v>6928</v>
      </c>
      <c r="G161" s="486"/>
      <c r="H161" s="486"/>
      <c r="I161" s="518"/>
      <c r="J161" s="490">
        <v>0.0443579367925012</v>
      </c>
      <c r="K161" s="451">
        <v>0.077564521733772</v>
      </c>
      <c r="L161" s="451">
        <v>0.0824948790802801</v>
      </c>
      <c r="M161" s="451"/>
      <c r="N161" s="451"/>
      <c r="O161" s="430"/>
      <c r="P161" s="531" t="str">
        <f t="array" ref="P161">INDEX(正厂竞争者数据汇总!I:I,MATCH($A$153&amp;B161,正厂竞争者数据汇总!A:A&amp;正厂竞争者数据汇总!D:D,0))</f>
        <v>202305流量太低，无法正常获取流量</v>
      </c>
      <c r="Q161" s="429"/>
      <c r="R161" s="421"/>
      <c r="S161" s="473"/>
      <c r="T161" s="466"/>
      <c r="U161" s="466"/>
      <c r="V161" s="421"/>
      <c r="W161" s="421"/>
    </row>
    <row r="162" s="408" customFormat="1" spans="1:23">
      <c r="A162" s="428" t="s">
        <v>230</v>
      </c>
      <c r="B162" s="431" t="s">
        <v>463</v>
      </c>
      <c r="C162" s="494" t="s">
        <v>233</v>
      </c>
      <c r="D162" s="431" t="s">
        <v>58</v>
      </c>
      <c r="E162" s="486"/>
      <c r="F162" s="430">
        <v>3183.66666666667</v>
      </c>
      <c r="G162" s="486"/>
      <c r="H162" s="486"/>
      <c r="I162" s="518"/>
      <c r="J162" s="490">
        <v>0.0203840769007496</v>
      </c>
      <c r="K162" s="451">
        <v>0.0317542833324489</v>
      </c>
      <c r="L162" s="451">
        <v>0.0402995368623702</v>
      </c>
      <c r="M162" s="451"/>
      <c r="N162" s="451"/>
      <c r="O162" s="430"/>
      <c r="P162" s="531">
        <f t="array" ref="P162">INDEX(正厂竞争者数据汇总!I:I,MATCH($A$153&amp;B162,正厂竞争者数据汇总!A:A&amp;正厂竞争者数据汇总!D:D,0))</f>
        <v>0</v>
      </c>
      <c r="Q162" s="429"/>
      <c r="R162" s="421"/>
      <c r="S162" s="473"/>
      <c r="T162" s="466"/>
      <c r="U162" s="466"/>
      <c r="V162" s="421"/>
      <c r="W162" s="421"/>
    </row>
    <row r="163" s="408" customFormat="1" spans="1:23">
      <c r="A163" s="428"/>
      <c r="B163" s="431"/>
      <c r="C163" s="429"/>
      <c r="D163" s="421"/>
      <c r="E163" s="430"/>
      <c r="F163" s="430"/>
      <c r="G163" s="430">
        <v>161698.333333333</v>
      </c>
      <c r="H163" s="430"/>
      <c r="I163" s="453"/>
      <c r="J163" s="451"/>
      <c r="K163" s="451"/>
      <c r="L163" s="451"/>
      <c r="M163" s="451"/>
      <c r="N163" s="451"/>
      <c r="O163" s="430"/>
      <c r="P163" s="531"/>
      <c r="Q163" s="429"/>
      <c r="R163" s="421"/>
      <c r="S163" s="473"/>
      <c r="T163" s="466"/>
      <c r="U163" s="466"/>
      <c r="V163" s="421"/>
      <c r="W163" s="421"/>
    </row>
    <row r="164" s="408" customFormat="1" spans="1:23">
      <c r="A164" s="428"/>
      <c r="B164" s="421"/>
      <c r="C164" s="439"/>
      <c r="D164" s="421"/>
      <c r="E164" s="430"/>
      <c r="F164" s="430">
        <v>156184</v>
      </c>
      <c r="G164" s="430"/>
      <c r="H164" s="430">
        <v>167907.166666667</v>
      </c>
      <c r="I164" s="453" t="e">
        <f>(F164/G164)-1</f>
        <v>#DIV/0!</v>
      </c>
      <c r="J164" s="430"/>
      <c r="K164" s="430"/>
      <c r="L164" s="430"/>
      <c r="M164" s="451"/>
      <c r="N164" s="451">
        <f>SUM(N155:N159)</f>
        <v>0</v>
      </c>
      <c r="O164" s="430"/>
      <c r="P164" s="531"/>
      <c r="Q164" s="493"/>
      <c r="R164" s="421"/>
      <c r="S164" s="473"/>
      <c r="T164" s="466"/>
      <c r="U164" s="466"/>
      <c r="V164" s="421"/>
      <c r="W164" s="421"/>
    </row>
    <row r="165" s="408" customFormat="1" spans="1:23">
      <c r="A165" s="428"/>
      <c r="B165" s="421"/>
      <c r="C165" s="439"/>
      <c r="D165" s="421"/>
      <c r="E165" s="430"/>
      <c r="F165" s="430"/>
      <c r="G165" s="430"/>
      <c r="H165" s="430"/>
      <c r="I165" s="453"/>
      <c r="J165" s="430"/>
      <c r="K165" s="430"/>
      <c r="L165" s="430"/>
      <c r="M165" s="451"/>
      <c r="N165" s="451"/>
      <c r="O165" s="430"/>
      <c r="P165" s="531"/>
      <c r="Q165" s="493"/>
      <c r="R165" s="421"/>
      <c r="S165" s="473"/>
      <c r="T165" s="466"/>
      <c r="U165" s="466"/>
      <c r="V165" s="421"/>
      <c r="W165" s="421"/>
    </row>
    <row r="166" s="408" customFormat="1" ht="17.4" spans="1:23">
      <c r="A166" s="418" t="s">
        <v>191</v>
      </c>
      <c r="B166" s="419"/>
      <c r="C166" s="420"/>
      <c r="D166" s="421"/>
      <c r="E166" s="422" t="s">
        <v>202</v>
      </c>
      <c r="F166" s="422"/>
      <c r="G166" s="422" t="s">
        <v>213</v>
      </c>
      <c r="H166" s="422"/>
      <c r="I166" s="422"/>
      <c r="J166" s="422"/>
      <c r="K166" s="422"/>
      <c r="L166" s="422"/>
      <c r="M166" s="443"/>
      <c r="N166" s="422"/>
      <c r="O166" s="422"/>
      <c r="P166" s="531"/>
      <c r="Q166" s="465"/>
      <c r="R166" s="424"/>
      <c r="S166" s="473"/>
      <c r="T166" s="467"/>
      <c r="U166" s="467"/>
      <c r="V166" s="467"/>
      <c r="W166" s="467"/>
    </row>
    <row r="167" s="409" customFormat="1" ht="46.8" hidden="1" spans="1:23">
      <c r="A167" s="423" t="s">
        <v>206</v>
      </c>
      <c r="B167" s="424" t="s">
        <v>207</v>
      </c>
      <c r="C167" s="425" t="s">
        <v>447</v>
      </c>
      <c r="D167" s="424" t="s">
        <v>209</v>
      </c>
      <c r="E167" s="426" t="s">
        <v>210</v>
      </c>
      <c r="F167" s="427" t="s">
        <v>485</v>
      </c>
      <c r="G167" s="427">
        <v>116448.583333333</v>
      </c>
      <c r="H167" s="427" t="s">
        <v>396</v>
      </c>
      <c r="I167" s="427" t="s">
        <v>386</v>
      </c>
      <c r="J167" s="446" t="s">
        <v>449</v>
      </c>
      <c r="K167" s="446" t="s">
        <v>479</v>
      </c>
      <c r="L167" s="446" t="s">
        <v>215</v>
      </c>
      <c r="M167" s="447" t="s">
        <v>436</v>
      </c>
      <c r="N167" s="448" t="s">
        <v>219</v>
      </c>
      <c r="O167" s="449" t="s">
        <v>220</v>
      </c>
      <c r="P167" s="530" t="s">
        <v>221</v>
      </c>
      <c r="Q167" s="469" t="s">
        <v>222</v>
      </c>
      <c r="R167" s="426" t="s">
        <v>223</v>
      </c>
      <c r="S167" s="470" t="s">
        <v>224</v>
      </c>
      <c r="T167" s="467" t="s">
        <v>225</v>
      </c>
      <c r="U167" s="470" t="s">
        <v>226</v>
      </c>
      <c r="V167" s="467"/>
      <c r="W167" s="467"/>
    </row>
    <row r="168" s="408" customFormat="1" hidden="1" spans="1:23">
      <c r="A168" s="428" t="s">
        <v>325</v>
      </c>
      <c r="B168" s="421" t="s">
        <v>357</v>
      </c>
      <c r="C168" s="429" t="s">
        <v>441</v>
      </c>
      <c r="D168" s="421" t="s">
        <v>422</v>
      </c>
      <c r="E168" s="430">
        <f>VLOOKUP(B168,正厂竞争者数据汇总!D:H,4,FALSE)</f>
        <v>0</v>
      </c>
      <c r="F168" s="430">
        <v>83302.9166666667</v>
      </c>
      <c r="G168" s="430">
        <v>0</v>
      </c>
      <c r="H168" s="430">
        <v>99768.6666666667</v>
      </c>
      <c r="I168" s="453" t="e">
        <f>(F168/G168)-1</f>
        <v>#DIV/0!</v>
      </c>
      <c r="J168" s="451" t="e">
        <v>#N/A</v>
      </c>
      <c r="K168" s="451" t="e">
        <v>#N/A</v>
      </c>
      <c r="L168" s="451" t="e">
        <v>#N/A</v>
      </c>
      <c r="M168" s="451" t="e">
        <f>J168-K169</f>
        <v>#N/A</v>
      </c>
      <c r="N168" s="459"/>
      <c r="O168" s="430"/>
      <c r="P168" s="531">
        <f>VLOOKUP(B168,正厂竞争者数据汇总!D:M,6,FALSE)</f>
        <v>0</v>
      </c>
      <c r="Q168" s="429" t="s">
        <v>180</v>
      </c>
      <c r="R168" s="421" t="s">
        <v>180</v>
      </c>
      <c r="S168" s="473">
        <f>VLOOKUP(B168,正厂竞争者数据汇总!$D$2:$CL$243,25,FALSE)</f>
        <v>129482</v>
      </c>
      <c r="T168" s="466"/>
      <c r="U168" s="466"/>
      <c r="V168" s="421"/>
      <c r="W168" s="421"/>
    </row>
    <row r="169" s="408" customFormat="1" hidden="1" spans="1:23">
      <c r="A169" s="428" t="s">
        <v>230</v>
      </c>
      <c r="B169" s="421" t="s">
        <v>360</v>
      </c>
      <c r="C169" s="429" t="e">
        <v>#N/A</v>
      </c>
      <c r="D169" s="421" t="e">
        <v>#N/A</v>
      </c>
      <c r="E169" s="430">
        <f>VLOOKUP(B169,正厂竞争者数据汇总!D:H,4,FALSE)</f>
        <v>0</v>
      </c>
      <c r="F169" s="430" t="e">
        <v>#N/A</v>
      </c>
      <c r="G169" s="430">
        <v>207722.25</v>
      </c>
      <c r="H169" s="430">
        <v>0</v>
      </c>
      <c r="I169" s="453"/>
      <c r="J169" s="451"/>
      <c r="K169" s="451"/>
      <c r="L169" s="451"/>
      <c r="M169" s="451"/>
      <c r="N169" s="459"/>
      <c r="O169" s="430"/>
      <c r="P169" s="531" t="str">
        <f>VLOOKUP(B169,正厂竞争者数据汇总!D:M,6,FALSE)</f>
        <v>2023年12月新增</v>
      </c>
      <c r="Q169" s="429" t="s">
        <v>180</v>
      </c>
      <c r="R169" s="421" t="s">
        <v>180</v>
      </c>
      <c r="S169" s="473" t="e">
        <f>VLOOKUP(B169,正厂竞争者数据汇总!$D$2:$CL$243,25,FALSE)</f>
        <v>#N/A</v>
      </c>
      <c r="T169" s="466"/>
      <c r="U169" s="466"/>
      <c r="V169" s="421"/>
      <c r="W169" s="421"/>
    </row>
    <row r="170" s="408" customFormat="1" ht="17.4" hidden="1" spans="1:23">
      <c r="A170" s="428" t="s">
        <v>464</v>
      </c>
      <c r="B170" s="431" t="s">
        <v>465</v>
      </c>
      <c r="C170" s="429" t="s">
        <v>441</v>
      </c>
      <c r="D170" s="421" t="s">
        <v>234</v>
      </c>
      <c r="E170" s="430">
        <f>VLOOKUP(B170,正厂竞争者数据汇总!D:H,4,FALSE)</f>
        <v>0</v>
      </c>
      <c r="F170" s="430">
        <v>209032.833333333</v>
      </c>
      <c r="G170" s="430">
        <v>14627</v>
      </c>
      <c r="H170" s="430">
        <v>199184.666666667</v>
      </c>
      <c r="I170" s="453"/>
      <c r="J170" s="451"/>
      <c r="K170" s="451"/>
      <c r="L170" s="451"/>
      <c r="M170" s="451"/>
      <c r="N170" s="459"/>
      <c r="O170" s="430"/>
      <c r="P170" s="531">
        <f>VLOOKUP(B170,正厂竞争者数据汇总!D:M,6,FALSE)</f>
        <v>0</v>
      </c>
      <c r="Q170" s="429" t="s">
        <v>180</v>
      </c>
      <c r="R170" s="421" t="s">
        <v>180</v>
      </c>
      <c r="S170" s="473">
        <f>VLOOKUP(B170,正厂竞争者数据汇总!$D$2:$CL$243,25,FALSE)</f>
        <v>181727</v>
      </c>
      <c r="T170" s="466"/>
      <c r="U170" s="466"/>
      <c r="V170" s="421"/>
      <c r="W170" s="421"/>
    </row>
    <row r="171" s="408" customFormat="1" hidden="1" spans="1:23">
      <c r="A171" s="428" t="s">
        <v>325</v>
      </c>
      <c r="B171" s="438" t="s">
        <v>362</v>
      </c>
      <c r="C171" s="429" t="s">
        <v>441</v>
      </c>
      <c r="D171" s="421" t="s">
        <v>49</v>
      </c>
      <c r="E171" s="430">
        <f>VLOOKUP(B170,正厂竞争者数据汇总!D:H,4,FALSE)</f>
        <v>0</v>
      </c>
      <c r="F171" s="430">
        <v>10532.6666666667</v>
      </c>
      <c r="G171" s="430"/>
      <c r="H171" s="430">
        <v>18048.25</v>
      </c>
      <c r="I171" s="453" t="e">
        <f>(F171/G171)-1</f>
        <v>#DIV/0!</v>
      </c>
      <c r="J171" s="451" t="e">
        <v>#N/A</v>
      </c>
      <c r="K171" s="451" t="e">
        <v>#N/A</v>
      </c>
      <c r="L171" s="451" t="e">
        <v>#N/A</v>
      </c>
      <c r="M171" s="451" t="e">
        <f>J171-K172</f>
        <v>#N/A</v>
      </c>
      <c r="N171" s="459"/>
      <c r="O171" s="430"/>
      <c r="P171" s="531">
        <f>VLOOKUP(B171,正厂竞争者数据汇总!D:M,6,FALSE)</f>
        <v>0</v>
      </c>
      <c r="Q171" s="429" t="s">
        <v>180</v>
      </c>
      <c r="R171" s="421" t="s">
        <v>180</v>
      </c>
      <c r="S171" s="473">
        <f>VLOOKUP(B171,正厂竞争者数据汇总!$D$2:$CL$243,25,FALSE)</f>
        <v>23963</v>
      </c>
      <c r="T171" s="466"/>
      <c r="U171" s="466"/>
      <c r="V171" s="421"/>
      <c r="W171" s="421"/>
    </row>
    <row r="172" s="408" customFormat="1" hidden="1" spans="1:23">
      <c r="A172" s="428"/>
      <c r="B172" s="438"/>
      <c r="C172" s="429"/>
      <c r="D172" s="421"/>
      <c r="E172" s="430"/>
      <c r="F172" s="430"/>
      <c r="G172" s="430">
        <v>131075.583333333</v>
      </c>
      <c r="H172" s="430"/>
      <c r="I172" s="453"/>
      <c r="J172" s="451"/>
      <c r="K172" s="451"/>
      <c r="L172" s="451"/>
      <c r="M172" s="451"/>
      <c r="N172" s="459"/>
      <c r="O172" s="430"/>
      <c r="P172" s="531"/>
      <c r="Q172" s="429"/>
      <c r="R172" s="421"/>
      <c r="S172" s="473"/>
      <c r="T172" s="466"/>
      <c r="U172" s="466"/>
      <c r="V172" s="421"/>
      <c r="W172" s="421"/>
    </row>
    <row r="173" s="408" customFormat="1" hidden="1" spans="1:23">
      <c r="A173" s="428"/>
      <c r="B173" s="421"/>
      <c r="C173" s="439"/>
      <c r="D173" s="421"/>
      <c r="E173" s="421"/>
      <c r="F173" s="496" t="e">
        <v>#N/A</v>
      </c>
      <c r="G173" s="496"/>
      <c r="H173" s="496">
        <v>117816.916666667</v>
      </c>
      <c r="I173" s="453" t="e">
        <f>(F173/G173)-1</f>
        <v>#N/A</v>
      </c>
      <c r="J173" s="430"/>
      <c r="K173" s="430"/>
      <c r="L173" s="430"/>
      <c r="M173" s="451"/>
      <c r="N173" s="459"/>
      <c r="O173" s="430"/>
      <c r="P173" s="531"/>
      <c r="Q173" s="429"/>
      <c r="R173" s="421"/>
      <c r="S173" s="473"/>
      <c r="T173" s="466"/>
      <c r="U173" s="466"/>
      <c r="V173" s="421"/>
      <c r="W173" s="421"/>
    </row>
    <row r="174" s="408" customFormat="1" spans="1:23">
      <c r="A174" s="428"/>
      <c r="B174" s="438"/>
      <c r="C174" s="439"/>
      <c r="D174" s="421"/>
      <c r="E174" s="430"/>
      <c r="F174" s="430"/>
      <c r="G174" s="430"/>
      <c r="H174" s="430"/>
      <c r="I174" s="453"/>
      <c r="J174" s="430"/>
      <c r="K174" s="430"/>
      <c r="L174" s="430"/>
      <c r="M174" s="451"/>
      <c r="N174" s="459"/>
      <c r="O174" s="430"/>
      <c r="P174" s="531"/>
      <c r="Q174" s="429"/>
      <c r="R174" s="421"/>
      <c r="S174" s="473"/>
      <c r="T174" s="466"/>
      <c r="U174" s="466"/>
      <c r="V174" s="421"/>
      <c r="W174" s="421"/>
    </row>
    <row r="175" s="408" customFormat="1" ht="17.4" spans="1:23">
      <c r="A175" s="418" t="s">
        <v>189</v>
      </c>
      <c r="B175" s="419"/>
      <c r="C175" s="420"/>
      <c r="D175" s="421"/>
      <c r="E175" s="422" t="s">
        <v>202</v>
      </c>
      <c r="F175" s="422"/>
      <c r="G175" s="422" t="s">
        <v>213</v>
      </c>
      <c r="H175" s="422"/>
      <c r="I175" s="422"/>
      <c r="J175" s="422"/>
      <c r="K175" s="422"/>
      <c r="L175" s="422"/>
      <c r="M175" s="443"/>
      <c r="N175" s="422"/>
      <c r="O175" s="422"/>
      <c r="P175" s="531"/>
      <c r="Q175" s="465"/>
      <c r="R175" s="424"/>
      <c r="S175" s="473"/>
      <c r="T175" s="467"/>
      <c r="U175" s="467"/>
      <c r="V175" s="467"/>
      <c r="W175" s="467"/>
    </row>
    <row r="176" s="409" customFormat="1" ht="46.8" hidden="1" spans="1:23">
      <c r="A176" s="423" t="s">
        <v>206</v>
      </c>
      <c r="B176" s="424" t="s">
        <v>207</v>
      </c>
      <c r="C176" s="425" t="s">
        <v>447</v>
      </c>
      <c r="D176" s="424" t="s">
        <v>209</v>
      </c>
      <c r="E176" s="426" t="s">
        <v>210</v>
      </c>
      <c r="F176" s="427" t="s">
        <v>485</v>
      </c>
      <c r="G176" s="427">
        <v>530347.5</v>
      </c>
      <c r="H176" s="427" t="s">
        <v>396</v>
      </c>
      <c r="I176" s="427" t="s">
        <v>386</v>
      </c>
      <c r="J176" s="446" t="s">
        <v>449</v>
      </c>
      <c r="K176" s="446" t="s">
        <v>479</v>
      </c>
      <c r="L176" s="446" t="s">
        <v>215</v>
      </c>
      <c r="M176" s="447" t="s">
        <v>436</v>
      </c>
      <c r="N176" s="448" t="s">
        <v>219</v>
      </c>
      <c r="O176" s="449" t="s">
        <v>220</v>
      </c>
      <c r="P176" s="530" t="s">
        <v>221</v>
      </c>
      <c r="Q176" s="469" t="s">
        <v>222</v>
      </c>
      <c r="R176" s="426" t="s">
        <v>223</v>
      </c>
      <c r="S176" s="470" t="s">
        <v>224</v>
      </c>
      <c r="T176" s="467" t="s">
        <v>225</v>
      </c>
      <c r="U176" s="470" t="s">
        <v>226</v>
      </c>
      <c r="V176" s="467"/>
      <c r="W176" s="467"/>
    </row>
    <row r="177" s="408" customFormat="1" hidden="1" spans="1:23">
      <c r="A177" s="428" t="s">
        <v>325</v>
      </c>
      <c r="B177" s="421" t="s">
        <v>466</v>
      </c>
      <c r="C177" s="429" t="s">
        <v>467</v>
      </c>
      <c r="D177" s="421" t="s">
        <v>234</v>
      </c>
      <c r="E177" s="430">
        <f>VLOOKUP(B177,正厂竞争者数据汇总!D:H,4,FALSE)</f>
        <v>0</v>
      </c>
      <c r="F177" s="430">
        <v>472760.333333333</v>
      </c>
      <c r="G177" s="430">
        <v>164695.833333333</v>
      </c>
      <c r="H177" s="430">
        <v>572372.833333333</v>
      </c>
      <c r="I177" s="453">
        <f>(F177/G177)-1</f>
        <v>1.87050573026033</v>
      </c>
      <c r="J177" s="451">
        <v>0.683107199248249</v>
      </c>
      <c r="K177" s="451">
        <v>0.637494137522268</v>
      </c>
      <c r="L177" s="451" t="e">
        <v>#VALUE!</v>
      </c>
      <c r="M177" s="451"/>
      <c r="N177" s="459"/>
      <c r="O177" s="430"/>
      <c r="P177" s="531" t="str">
        <f>VLOOKUP(B177,正厂竞争者数据汇总!D:M,6,FALSE)</f>
        <v>官网</v>
      </c>
      <c r="Q177" s="429" t="s">
        <v>180</v>
      </c>
      <c r="R177" s="421" t="s">
        <v>180</v>
      </c>
      <c r="S177" s="473">
        <f>VLOOKUP(B177,正厂竞争者数据汇总!$D$2:$CL$243,25,FALSE)</f>
        <v>387977</v>
      </c>
      <c r="T177" s="466"/>
      <c r="U177" s="466"/>
      <c r="V177" s="421"/>
      <c r="W177" s="421"/>
    </row>
    <row r="178" s="408" customFormat="1" hidden="1" spans="1:23">
      <c r="A178" s="428" t="s">
        <v>230</v>
      </c>
      <c r="B178" s="431" t="s">
        <v>354</v>
      </c>
      <c r="C178" s="429" t="s">
        <v>233</v>
      </c>
      <c r="D178" s="421" t="s">
        <v>411</v>
      </c>
      <c r="E178" s="430">
        <f>VLOOKUP(B178,正厂竞争者数据汇总!D:H,4,FALSE)</f>
        <v>0</v>
      </c>
      <c r="F178" s="430">
        <v>144384.75</v>
      </c>
      <c r="G178" s="430">
        <v>23846.5</v>
      </c>
      <c r="H178" s="430">
        <v>201650.166666667</v>
      </c>
      <c r="I178" s="453">
        <f>(F178/G178)-1</f>
        <v>5.05475646321263</v>
      </c>
      <c r="J178" s="451">
        <v>0.208626348770079</v>
      </c>
      <c r="K178" s="451">
        <v>0.240499962093474</v>
      </c>
      <c r="L178" s="451" t="e">
        <v>#VALUE!</v>
      </c>
      <c r="M178" s="451">
        <f>J178-K179</f>
        <v>0.125067006375529</v>
      </c>
      <c r="N178" s="459"/>
      <c r="O178" s="430"/>
      <c r="P178" s="531">
        <f>VLOOKUP(B178,正厂竞争者数据汇总!D:M,6,FALSE)</f>
        <v>0</v>
      </c>
      <c r="Q178" s="429" t="s">
        <v>180</v>
      </c>
      <c r="R178" s="421" t="s">
        <v>180</v>
      </c>
      <c r="S178" s="473">
        <f>VLOOKUP(B178,正厂竞争者数据汇总!$D$2:$CL$243,25,FALSE)</f>
        <v>734766</v>
      </c>
      <c r="T178" s="466"/>
      <c r="U178" s="466"/>
      <c r="V178" s="421"/>
      <c r="W178" s="421"/>
    </row>
    <row r="179" s="408" customFormat="1" hidden="1" spans="1:23">
      <c r="A179" s="428" t="s">
        <v>243</v>
      </c>
      <c r="B179" s="421" t="s">
        <v>355</v>
      </c>
      <c r="C179" s="429" t="s">
        <v>454</v>
      </c>
      <c r="D179" s="421" t="s">
        <v>420</v>
      </c>
      <c r="E179" s="430">
        <f>VLOOKUP(B179,正厂竞争者数据汇总!D:H,4,FALSE)</f>
        <v>0</v>
      </c>
      <c r="F179" s="430">
        <v>52334.5</v>
      </c>
      <c r="G179" s="430">
        <v>30859.5833333333</v>
      </c>
      <c r="H179" s="430">
        <v>27170.3333333334</v>
      </c>
      <c r="I179" s="453">
        <f>(F179/G179)-1</f>
        <v>0.695891335754697</v>
      </c>
      <c r="J179" s="451">
        <v>0.0756198674008695</v>
      </c>
      <c r="K179" s="451">
        <v>0.0835593423945499</v>
      </c>
      <c r="L179" s="451" t="e">
        <v>#VALUE!</v>
      </c>
      <c r="M179" s="451">
        <f>J179-K180</f>
        <v>0.0371733094111622</v>
      </c>
      <c r="N179" s="459"/>
      <c r="O179" s="430"/>
      <c r="P179" s="531">
        <f>VLOOKUP(B179,正厂竞争者数据汇总!D:M,6,FALSE)</f>
        <v>0</v>
      </c>
      <c r="Q179" s="429" t="s">
        <v>180</v>
      </c>
      <c r="R179" s="421" t="s">
        <v>180</v>
      </c>
      <c r="S179" s="473">
        <f>VLOOKUP(B179,正厂竞争者数据汇总!$D$2:$CL$243,25,FALSE)</f>
        <v>33968</v>
      </c>
      <c r="T179" s="466"/>
      <c r="U179" s="466"/>
      <c r="V179" s="421"/>
      <c r="W179" s="421"/>
    </row>
    <row r="180" s="408" customFormat="1" hidden="1" spans="1:23">
      <c r="A180" s="428" t="s">
        <v>230</v>
      </c>
      <c r="B180" s="421" t="s">
        <v>356</v>
      </c>
      <c r="C180" s="429" t="s">
        <v>233</v>
      </c>
      <c r="D180" s="421" t="s">
        <v>414</v>
      </c>
      <c r="E180" s="430">
        <f>VLOOKUP(B179,正厂竞争者数据汇总!D:H,4,FALSE)</f>
        <v>0</v>
      </c>
      <c r="F180" s="430">
        <v>22593.8333333333</v>
      </c>
      <c r="G180" s="430">
        <v>127</v>
      </c>
      <c r="H180" s="430">
        <v>27910.6666666667</v>
      </c>
      <c r="I180" s="453">
        <f>(F180/G180)-1</f>
        <v>176.904199475065</v>
      </c>
      <c r="J180" s="451">
        <v>0.0326465845808025</v>
      </c>
      <c r="K180" s="451">
        <v>0.0384465579897073</v>
      </c>
      <c r="L180" s="451" t="e">
        <v>#VALUE!</v>
      </c>
      <c r="M180" s="451">
        <f>J180-K181</f>
        <v>0.0326465845808025</v>
      </c>
      <c r="N180" s="459"/>
      <c r="O180" s="430"/>
      <c r="P180" s="531">
        <f>VLOOKUP(B180,正厂竞争者数据汇总!D:M,6,FALSE)</f>
        <v>0</v>
      </c>
      <c r="Q180" s="429" t="s">
        <v>180</v>
      </c>
      <c r="R180" s="421" t="s">
        <v>180</v>
      </c>
      <c r="S180" s="473">
        <f>VLOOKUP(B180,正厂竞争者数据汇总!$D$2:$CL$243,25,FALSE)</f>
        <v>19078</v>
      </c>
      <c r="T180" s="466"/>
      <c r="U180" s="466"/>
      <c r="V180" s="421"/>
      <c r="W180" s="421"/>
    </row>
    <row r="181" s="408" customFormat="1" hidden="1" spans="1:23">
      <c r="A181" s="428" t="s">
        <v>468</v>
      </c>
      <c r="B181" s="431" t="s">
        <v>469</v>
      </c>
      <c r="C181" s="429" t="s">
        <v>233</v>
      </c>
      <c r="D181" s="421" t="s">
        <v>49</v>
      </c>
      <c r="E181" s="430" t="e">
        <f>VLOOKUP(B181,正厂竞争者数据汇总!D:H,4,FALSE)</f>
        <v>#N/A</v>
      </c>
      <c r="F181" s="430">
        <v>0</v>
      </c>
      <c r="G181" s="430"/>
      <c r="H181" s="430">
        <v>89.5833333333335</v>
      </c>
      <c r="I181" s="453"/>
      <c r="J181" s="451">
        <v>0</v>
      </c>
      <c r="K181" s="451">
        <v>0</v>
      </c>
      <c r="L181" s="451" t="e">
        <v>#VALUE!</v>
      </c>
      <c r="M181" s="451"/>
      <c r="N181" s="459"/>
      <c r="O181" s="430"/>
      <c r="P181" s="531" t="e">
        <f>VLOOKUP(B181,正厂竞争者数据汇总!D:M,6,FALSE)</f>
        <v>#N/A</v>
      </c>
      <c r="Q181" s="429" t="s">
        <v>180</v>
      </c>
      <c r="R181" s="421" t="s">
        <v>180</v>
      </c>
      <c r="S181" s="473" t="e">
        <f>VLOOKUP(B181,正厂竞争者数据汇总!$D$2:$CL$243,25,FALSE)</f>
        <v>#N/A</v>
      </c>
      <c r="T181" s="466"/>
      <c r="U181" s="466"/>
      <c r="V181" s="421"/>
      <c r="W181" s="421"/>
    </row>
    <row r="182" s="410" customFormat="1" hidden="1" spans="1:23">
      <c r="A182" s="432"/>
      <c r="B182" s="433"/>
      <c r="C182" s="434"/>
      <c r="D182" s="421"/>
      <c r="E182" s="436"/>
      <c r="F182" s="436"/>
      <c r="G182" s="436">
        <v>749876.416666666</v>
      </c>
      <c r="H182" s="436"/>
      <c r="I182" s="453"/>
      <c r="J182" s="457"/>
      <c r="K182" s="457"/>
      <c r="L182" s="457"/>
      <c r="M182" s="451"/>
      <c r="N182" s="455"/>
      <c r="O182" s="436"/>
      <c r="P182" s="531"/>
      <c r="Q182" s="434"/>
      <c r="R182" s="435"/>
      <c r="S182" s="473"/>
      <c r="T182" s="466"/>
      <c r="U182" s="466"/>
      <c r="V182" s="435"/>
      <c r="W182" s="435"/>
    </row>
    <row r="183" s="408" customFormat="1" hidden="1" spans="1:23">
      <c r="A183" s="428"/>
      <c r="B183" s="421"/>
      <c r="C183" s="439"/>
      <c r="D183" s="421"/>
      <c r="E183" s="430"/>
      <c r="F183" s="430">
        <v>692073.416666666</v>
      </c>
      <c r="G183" s="430"/>
      <c r="H183" s="430">
        <v>829193.583333334</v>
      </c>
      <c r="I183" s="453" t="e">
        <f>(F183/G183)-1</f>
        <v>#DIV/0!</v>
      </c>
      <c r="J183" s="430"/>
      <c r="K183" s="430"/>
      <c r="L183" s="430"/>
      <c r="M183" s="451"/>
      <c r="N183" s="459"/>
      <c r="O183" s="430"/>
      <c r="P183" s="531"/>
      <c r="Q183" s="429"/>
      <c r="R183" s="421"/>
      <c r="S183" s="473"/>
      <c r="T183" s="466"/>
      <c r="U183" s="466"/>
      <c r="V183" s="421"/>
      <c r="W183" s="421"/>
    </row>
    <row r="184" s="408" customFormat="1" spans="1:23">
      <c r="A184" s="428"/>
      <c r="B184" s="421"/>
      <c r="C184" s="439"/>
      <c r="D184" s="421"/>
      <c r="E184" s="430"/>
      <c r="F184" s="430"/>
      <c r="G184" s="430"/>
      <c r="H184" s="430"/>
      <c r="I184" s="453"/>
      <c r="J184" s="430"/>
      <c r="K184" s="430"/>
      <c r="L184" s="430"/>
      <c r="M184" s="451"/>
      <c r="N184" s="459"/>
      <c r="O184" s="430"/>
      <c r="P184" s="531"/>
      <c r="Q184" s="429"/>
      <c r="R184" s="421"/>
      <c r="S184" s="473"/>
      <c r="T184" s="466"/>
      <c r="U184" s="466"/>
      <c r="V184" s="421"/>
      <c r="W184" s="421"/>
    </row>
    <row r="185" s="408" customFormat="1" ht="17.4" spans="1:23">
      <c r="A185" s="418" t="s">
        <v>185</v>
      </c>
      <c r="B185" s="419"/>
      <c r="C185" s="420"/>
      <c r="D185" s="421"/>
      <c r="E185" s="422" t="s">
        <v>202</v>
      </c>
      <c r="F185" s="422"/>
      <c r="G185" s="422" t="s">
        <v>213</v>
      </c>
      <c r="H185" s="422"/>
      <c r="I185" s="422"/>
      <c r="J185" s="422"/>
      <c r="K185" s="422"/>
      <c r="L185" s="422"/>
      <c r="M185" s="443"/>
      <c r="N185" s="444"/>
      <c r="O185" s="422"/>
      <c r="P185" s="531"/>
      <c r="Q185" s="465"/>
      <c r="R185" s="424"/>
      <c r="S185" s="473"/>
      <c r="T185" s="467"/>
      <c r="U185" s="467"/>
      <c r="V185" s="467"/>
      <c r="W185" s="467"/>
    </row>
    <row r="186" s="409" customFormat="1" ht="46.8" hidden="1" spans="1:23">
      <c r="A186" s="423" t="s">
        <v>206</v>
      </c>
      <c r="B186" s="424" t="s">
        <v>207</v>
      </c>
      <c r="C186" s="425" t="s">
        <v>447</v>
      </c>
      <c r="D186" s="424" t="s">
        <v>209</v>
      </c>
      <c r="E186" s="426" t="s">
        <v>210</v>
      </c>
      <c r="F186" s="427" t="s">
        <v>485</v>
      </c>
      <c r="G186" s="427">
        <v>83649.6666666667</v>
      </c>
      <c r="H186" s="427" t="s">
        <v>396</v>
      </c>
      <c r="I186" s="427" t="s">
        <v>386</v>
      </c>
      <c r="J186" s="446" t="s">
        <v>449</v>
      </c>
      <c r="K186" s="446" t="s">
        <v>479</v>
      </c>
      <c r="L186" s="446" t="s">
        <v>215</v>
      </c>
      <c r="M186" s="447" t="s">
        <v>436</v>
      </c>
      <c r="N186" s="448" t="s">
        <v>219</v>
      </c>
      <c r="O186" s="449" t="s">
        <v>220</v>
      </c>
      <c r="P186" s="530" t="s">
        <v>221</v>
      </c>
      <c r="Q186" s="469" t="s">
        <v>222</v>
      </c>
      <c r="R186" s="426" t="s">
        <v>223</v>
      </c>
      <c r="S186" s="470" t="s">
        <v>224</v>
      </c>
      <c r="T186" s="467" t="s">
        <v>225</v>
      </c>
      <c r="U186" s="470" t="s">
        <v>226</v>
      </c>
      <c r="V186" s="467"/>
      <c r="W186" s="467"/>
    </row>
    <row r="187" s="408" customFormat="1" hidden="1" spans="1:23">
      <c r="A187" s="497" t="s">
        <v>243</v>
      </c>
      <c r="B187" s="438" t="s">
        <v>331</v>
      </c>
      <c r="C187" s="429" t="s">
        <v>441</v>
      </c>
      <c r="D187" s="421" t="s">
        <v>420</v>
      </c>
      <c r="E187" s="430" t="str">
        <f>VLOOKUP(B186,正厂竞争者数据汇总!D:H,4,FALSE)</f>
        <v>Alexa Traffic Rank</v>
      </c>
      <c r="F187" s="430">
        <v>97300.8333333333</v>
      </c>
      <c r="G187" s="430">
        <v>148204.583333333</v>
      </c>
      <c r="H187" s="430">
        <v>93790.0833333333</v>
      </c>
      <c r="I187" s="453">
        <f>(F187/G187)-1</f>
        <v>-0.343469472097971</v>
      </c>
      <c r="J187" s="451">
        <v>0.21593236544335</v>
      </c>
      <c r="K187" s="451">
        <v>0.216348183659306</v>
      </c>
      <c r="L187" s="451">
        <v>0.212413787536225</v>
      </c>
      <c r="M187" s="451">
        <f>J187-K188</f>
        <v>-0.214378625859548</v>
      </c>
      <c r="N187" s="459"/>
      <c r="O187" s="430"/>
      <c r="P187" s="531">
        <f>VLOOKUP(B187,正厂竞争者数据汇总!D:M,6,FALSE)</f>
        <v>0</v>
      </c>
      <c r="Q187" s="429" t="s">
        <v>180</v>
      </c>
      <c r="R187" s="421" t="s">
        <v>180</v>
      </c>
      <c r="S187" s="473">
        <f>VLOOKUP(B187,正厂竞争者数据汇总!$D$2:$CL$243,25,FALSE)</f>
        <v>67302</v>
      </c>
      <c r="T187" s="466"/>
      <c r="U187" s="466"/>
      <c r="V187" s="421"/>
      <c r="W187" s="421"/>
    </row>
    <row r="188" s="408" customFormat="1" hidden="1" spans="1:23">
      <c r="A188" s="428" t="s">
        <v>230</v>
      </c>
      <c r="B188" s="431" t="s">
        <v>330</v>
      </c>
      <c r="C188" s="429" t="s">
        <v>233</v>
      </c>
      <c r="D188" s="421" t="s">
        <v>59</v>
      </c>
      <c r="E188" s="430">
        <f>VLOOKUP(B188,正厂竞争者数据汇总!D:H,4,FALSE)</f>
        <v>0</v>
      </c>
      <c r="F188" s="430">
        <v>187187.5</v>
      </c>
      <c r="G188" s="430">
        <v>32696.5833333333</v>
      </c>
      <c r="H188" s="430">
        <v>153405.25</v>
      </c>
      <c r="I188" s="453">
        <f>(F188/G188)-1</f>
        <v>4.72498655567988</v>
      </c>
      <c r="J188" s="451">
        <v>0.415411032688248</v>
      </c>
      <c r="K188" s="451">
        <v>0.430310991302898</v>
      </c>
      <c r="L188" s="451">
        <v>0.424631041392539</v>
      </c>
      <c r="M188" s="451">
        <f>J188-K189</f>
        <v>0.374477907777717</v>
      </c>
      <c r="N188" s="459"/>
      <c r="O188" s="430"/>
      <c r="P188" s="531">
        <f>VLOOKUP(B188,正厂竞争者数据汇总!D:M,6,FALSE)</f>
        <v>0</v>
      </c>
      <c r="Q188" s="429" t="s">
        <v>180</v>
      </c>
      <c r="R188" s="421" t="s">
        <v>180</v>
      </c>
      <c r="S188" s="473">
        <f>VLOOKUP(B188,正厂竞争者数据汇总!$D$2:$CL$243,25,FALSE)</f>
        <v>138509</v>
      </c>
      <c r="T188" s="466"/>
      <c r="U188" s="466"/>
      <c r="V188" s="421"/>
      <c r="W188" s="421"/>
    </row>
    <row r="189" s="408" customFormat="1" hidden="1" spans="1:23">
      <c r="A189" s="428"/>
      <c r="B189" s="430" t="s">
        <v>340</v>
      </c>
      <c r="C189" s="429" t="s">
        <v>233</v>
      </c>
      <c r="D189" s="421" t="s">
        <v>417</v>
      </c>
      <c r="E189" s="430">
        <f>VLOOKUP(B189,正厂竞争者数据汇总!D:H,4,FALSE)</f>
        <v>0</v>
      </c>
      <c r="F189" s="430">
        <v>21936.8333333333</v>
      </c>
      <c r="G189" s="430">
        <v>46040.75</v>
      </c>
      <c r="H189" s="430">
        <v>64506.0833333334</v>
      </c>
      <c r="I189" s="453">
        <f>(F189/G189)-1</f>
        <v>-0.523534405209878</v>
      </c>
      <c r="J189" s="451">
        <v>0.0486827517270649</v>
      </c>
      <c r="K189" s="451">
        <v>0.0409331249105314</v>
      </c>
      <c r="L189" s="451">
        <v>0.0424290755589722</v>
      </c>
      <c r="M189" s="451">
        <f>J189-K190</f>
        <v>0.0486827517270649</v>
      </c>
      <c r="N189" s="459"/>
      <c r="O189" s="430"/>
      <c r="P189" s="531">
        <f>VLOOKUP(B189,正厂竞争者数据汇总!D:M,6,FALSE)</f>
        <v>0</v>
      </c>
      <c r="Q189" s="429" t="s">
        <v>180</v>
      </c>
      <c r="R189" s="421" t="s">
        <v>180</v>
      </c>
      <c r="S189" s="473">
        <f>VLOOKUP(B189,正厂竞争者数据汇总!$D$2:$CL$243,25,FALSE)</f>
        <v>10925</v>
      </c>
      <c r="T189" s="466"/>
      <c r="U189" s="466"/>
      <c r="V189" s="421"/>
      <c r="W189" s="421"/>
    </row>
    <row r="190" s="408" customFormat="1" hidden="1" spans="1:23">
      <c r="A190" s="428"/>
      <c r="B190" s="498" t="s">
        <v>337</v>
      </c>
      <c r="C190" s="429" t="s">
        <v>470</v>
      </c>
      <c r="D190" s="421" t="s">
        <v>412</v>
      </c>
      <c r="E190" s="430">
        <f>VLOOKUP(B190,正厂竞争者数据汇总!D:H,4,FALSE)</f>
        <v>0</v>
      </c>
      <c r="F190" s="430">
        <v>61885.5</v>
      </c>
      <c r="G190" s="430">
        <v>106936.916666667</v>
      </c>
      <c r="H190" s="430">
        <v>49980.9166666666</v>
      </c>
      <c r="I190" s="453"/>
      <c r="J190" s="451"/>
      <c r="K190" s="451"/>
      <c r="L190" s="451"/>
      <c r="M190" s="451"/>
      <c r="N190" s="459"/>
      <c r="O190" s="430"/>
      <c r="P190" s="531" t="str">
        <f>VLOOKUP(B190,正厂竞争者数据汇总!D:M,6,FALSE)</f>
        <v>主营Acc</v>
      </c>
      <c r="Q190" s="429" t="s">
        <v>180</v>
      </c>
      <c r="R190" s="421" t="s">
        <v>180</v>
      </c>
      <c r="S190" s="473">
        <f>VLOOKUP(B190,正厂竞争者数据汇总!$D$2:$CL$243,25,FALSE)</f>
        <v>41304</v>
      </c>
      <c r="T190" s="466"/>
      <c r="U190" s="466"/>
      <c r="V190" s="421"/>
      <c r="W190" s="421"/>
    </row>
    <row r="191" s="408" customFormat="1" hidden="1" spans="1:23">
      <c r="A191" s="428" t="s">
        <v>446</v>
      </c>
      <c r="B191" s="499" t="s">
        <v>334</v>
      </c>
      <c r="C191" s="429" t="s">
        <v>233</v>
      </c>
      <c r="D191" s="421" t="s">
        <v>50</v>
      </c>
      <c r="E191" s="430">
        <f>VLOOKUP(B191,正厂竞争者数据汇总!D:H,4,FALSE)</f>
        <v>0</v>
      </c>
      <c r="F191" s="430">
        <v>82297.25</v>
      </c>
      <c r="G191" s="430"/>
      <c r="H191" s="430">
        <v>122970.25</v>
      </c>
      <c r="I191" s="453" t="e">
        <f>(F191/G191)-1</f>
        <v>#DIV/0!</v>
      </c>
      <c r="J191" s="451">
        <v>0.18263605000282</v>
      </c>
      <c r="K191" s="451">
        <v>0.182868811416222</v>
      </c>
      <c r="L191" s="451">
        <v>0.202494580576014</v>
      </c>
      <c r="M191" s="451">
        <f>J191-K192</f>
        <v>0.18263605000282</v>
      </c>
      <c r="N191" s="459"/>
      <c r="O191" s="430"/>
      <c r="P191" s="531">
        <f>VLOOKUP(B191,正厂竞争者数据汇总!D:M,6,FALSE)</f>
        <v>0</v>
      </c>
      <c r="Q191" s="429" t="s">
        <v>180</v>
      </c>
      <c r="R191" s="421" t="s">
        <v>180</v>
      </c>
      <c r="S191" s="473">
        <f>VLOOKUP(B191,正厂竞争者数据汇总!$D$2:$CL$243,25,FALSE)</f>
        <v>121043</v>
      </c>
      <c r="T191" s="466"/>
      <c r="U191" s="466"/>
      <c r="V191" s="421"/>
      <c r="W191" s="421"/>
    </row>
    <row r="192" s="410" customFormat="1" hidden="1" spans="1:23">
      <c r="A192" s="432"/>
      <c r="B192" s="433"/>
      <c r="C192" s="434"/>
      <c r="D192" s="421"/>
      <c r="E192" s="436"/>
      <c r="F192" s="436"/>
      <c r="G192" s="436">
        <v>417528.5</v>
      </c>
      <c r="H192" s="436"/>
      <c r="I192" s="453"/>
      <c r="J192" s="457"/>
      <c r="K192" s="457"/>
      <c r="L192" s="457"/>
      <c r="M192" s="451"/>
      <c r="N192" s="455"/>
      <c r="O192" s="436"/>
      <c r="P192" s="531"/>
      <c r="Q192" s="500"/>
      <c r="R192" s="501"/>
      <c r="S192" s="473"/>
      <c r="T192" s="466"/>
      <c r="U192" s="466"/>
      <c r="V192" s="435"/>
      <c r="W192" s="435"/>
    </row>
    <row r="193" s="408" customFormat="1" hidden="1" spans="1:23">
      <c r="A193" s="428"/>
      <c r="B193" s="421"/>
      <c r="C193" s="439"/>
      <c r="D193" s="421"/>
      <c r="E193" s="430"/>
      <c r="F193" s="430">
        <v>450607.916666667</v>
      </c>
      <c r="G193" s="430"/>
      <c r="H193" s="430">
        <v>484652.583333333</v>
      </c>
      <c r="I193" s="453" t="e">
        <f>(F193/G193)-1</f>
        <v>#DIV/0!</v>
      </c>
      <c r="J193" s="430"/>
      <c r="K193" s="430"/>
      <c r="L193" s="430"/>
      <c r="M193" s="451"/>
      <c r="N193" s="459"/>
      <c r="O193" s="430"/>
      <c r="P193" s="531"/>
      <c r="Q193" s="429"/>
      <c r="R193" s="421"/>
      <c r="S193" s="473"/>
      <c r="T193" s="466"/>
      <c r="U193" s="466"/>
      <c r="V193" s="421"/>
      <c r="W193" s="421"/>
    </row>
    <row r="194" s="408" customFormat="1" spans="1:23">
      <c r="A194" s="423"/>
      <c r="B194" s="421"/>
      <c r="C194" s="425"/>
      <c r="D194" s="421"/>
      <c r="E194" s="430"/>
      <c r="F194" s="430"/>
      <c r="G194" s="430"/>
      <c r="H194" s="430"/>
      <c r="I194" s="453"/>
      <c r="J194" s="430"/>
      <c r="K194" s="430"/>
      <c r="L194" s="430"/>
      <c r="M194" s="451"/>
      <c r="N194" s="459"/>
      <c r="O194" s="430"/>
      <c r="P194" s="531"/>
      <c r="Q194" s="429"/>
      <c r="R194" s="421"/>
      <c r="S194" s="473"/>
      <c r="T194" s="466"/>
      <c r="U194" s="466"/>
      <c r="V194" s="421"/>
      <c r="W194" s="421"/>
    </row>
    <row r="195" s="408" customFormat="1" ht="17.4" spans="1:23">
      <c r="A195" s="418" t="s">
        <v>195</v>
      </c>
      <c r="B195" s="419"/>
      <c r="C195" s="420"/>
      <c r="D195" s="421"/>
      <c r="E195" s="422" t="s">
        <v>202</v>
      </c>
      <c r="F195" s="422"/>
      <c r="G195" s="422" t="s">
        <v>213</v>
      </c>
      <c r="H195" s="422"/>
      <c r="I195" s="422"/>
      <c r="J195" s="422"/>
      <c r="K195" s="422"/>
      <c r="L195" s="422"/>
      <c r="M195" s="443"/>
      <c r="N195" s="444"/>
      <c r="O195" s="422"/>
      <c r="P195" s="531"/>
      <c r="Q195" s="465"/>
      <c r="R195" s="424"/>
      <c r="S195" s="473"/>
      <c r="T195" s="467"/>
      <c r="U195" s="467"/>
      <c r="V195" s="467"/>
      <c r="W195" s="467"/>
    </row>
    <row r="196" s="409" customFormat="1" ht="46.8" hidden="1" spans="1:23">
      <c r="A196" s="423" t="s">
        <v>206</v>
      </c>
      <c r="B196" s="424" t="s">
        <v>207</v>
      </c>
      <c r="C196" s="425" t="s">
        <v>447</v>
      </c>
      <c r="D196" s="424" t="s">
        <v>209</v>
      </c>
      <c r="E196" s="426" t="s">
        <v>210</v>
      </c>
      <c r="F196" s="427" t="s">
        <v>485</v>
      </c>
      <c r="G196" s="427">
        <v>83178</v>
      </c>
      <c r="H196" s="427" t="s">
        <v>396</v>
      </c>
      <c r="I196" s="427" t="s">
        <v>386</v>
      </c>
      <c r="J196" s="446" t="s">
        <v>449</v>
      </c>
      <c r="K196" s="446" t="s">
        <v>479</v>
      </c>
      <c r="L196" s="446" t="s">
        <v>215</v>
      </c>
      <c r="M196" s="447" t="s">
        <v>436</v>
      </c>
      <c r="N196" s="448" t="s">
        <v>219</v>
      </c>
      <c r="O196" s="449" t="s">
        <v>220</v>
      </c>
      <c r="P196" s="530" t="s">
        <v>221</v>
      </c>
      <c r="Q196" s="469" t="s">
        <v>222</v>
      </c>
      <c r="R196" s="426" t="s">
        <v>223</v>
      </c>
      <c r="S196" s="470" t="s">
        <v>224</v>
      </c>
      <c r="T196" s="467" t="s">
        <v>225</v>
      </c>
      <c r="U196" s="470" t="s">
        <v>226</v>
      </c>
      <c r="V196" s="467"/>
      <c r="W196" s="467"/>
    </row>
    <row r="197" s="408" customFormat="1" hidden="1" spans="1:23">
      <c r="A197" s="428" t="s">
        <v>230</v>
      </c>
      <c r="B197" s="421" t="s">
        <v>378</v>
      </c>
      <c r="C197" s="429" t="s">
        <v>233</v>
      </c>
      <c r="D197" s="421" t="s">
        <v>266</v>
      </c>
      <c r="E197" s="430" t="str">
        <f>VLOOKUP(B196,正厂竞争者数据汇总!D:H,4,FALSE)</f>
        <v>Alexa Traffic Rank</v>
      </c>
      <c r="F197" s="430">
        <v>125615.083333333</v>
      </c>
      <c r="G197" s="430">
        <v>0</v>
      </c>
      <c r="H197" s="430">
        <v>88546.8333333332</v>
      </c>
      <c r="I197" s="453" t="e">
        <f>(F197/G197)-1</f>
        <v>#DIV/0!</v>
      </c>
      <c r="J197" s="451" t="e">
        <v>#N/A</v>
      </c>
      <c r="K197" s="451" t="e">
        <v>#N/A</v>
      </c>
      <c r="L197" s="451" t="e">
        <v>#N/A</v>
      </c>
      <c r="M197" s="451" t="e">
        <f>J197-K198</f>
        <v>#N/A</v>
      </c>
      <c r="N197" s="459"/>
      <c r="O197" s="430"/>
      <c r="P197" s="531">
        <f>VLOOKUP(B197,正厂竞争者数据汇总!D:M,6,FALSE)</f>
        <v>0</v>
      </c>
      <c r="Q197" s="429" t="s">
        <v>180</v>
      </c>
      <c r="R197" s="421" t="s">
        <v>180</v>
      </c>
      <c r="S197" s="473">
        <f>VLOOKUP(B197,正厂竞争者数据汇总!$D$2:$CL$243,25,FALSE)</f>
        <v>83797</v>
      </c>
      <c r="T197" s="466"/>
      <c r="U197" s="466"/>
      <c r="V197" s="421"/>
      <c r="W197" s="421"/>
    </row>
    <row r="198" s="408" customFormat="1" hidden="1" spans="1:23">
      <c r="A198" s="428" t="s">
        <v>446</v>
      </c>
      <c r="B198" s="421" t="s">
        <v>471</v>
      </c>
      <c r="C198" s="429" t="e">
        <v>#N/A</v>
      </c>
      <c r="D198" s="421" t="e">
        <v>#N/A</v>
      </c>
      <c r="E198" s="430" t="e">
        <f>VLOOKUP(B198,正厂竞争者数据汇总!D:H,4,FALSE)</f>
        <v>#N/A</v>
      </c>
      <c r="F198" s="430" t="e">
        <v>#N/A</v>
      </c>
      <c r="G198" s="430">
        <v>0</v>
      </c>
      <c r="H198" s="430">
        <v>0</v>
      </c>
      <c r="I198" s="453"/>
      <c r="J198" s="451"/>
      <c r="K198" s="451"/>
      <c r="L198" s="451"/>
      <c r="M198" s="451"/>
      <c r="N198" s="459"/>
      <c r="O198" s="430"/>
      <c r="P198" s="531" t="e">
        <f>VLOOKUP(B198,正厂竞争者数据汇总!D:M,6,FALSE)</f>
        <v>#N/A</v>
      </c>
      <c r="Q198" s="429" t="s">
        <v>180</v>
      </c>
      <c r="R198" s="421" t="s">
        <v>180</v>
      </c>
      <c r="S198" s="473" t="e">
        <f>VLOOKUP(B198,正厂竞争者数据汇总!$D$2:$CL$243,25,FALSE)</f>
        <v>#N/A</v>
      </c>
      <c r="T198" s="466"/>
      <c r="U198" s="466"/>
      <c r="V198" s="421"/>
      <c r="W198" s="421"/>
    </row>
    <row r="199" s="408" customFormat="1" hidden="1" spans="1:23">
      <c r="A199" s="428" t="s">
        <v>446</v>
      </c>
      <c r="B199" s="421" t="s">
        <v>472</v>
      </c>
      <c r="C199" s="429" t="e">
        <v>#N/A</v>
      </c>
      <c r="D199" s="421" t="e">
        <v>#N/A</v>
      </c>
      <c r="E199" s="430" t="e">
        <f>VLOOKUP(B199,正厂竞争者数据汇总!D:H,4,FALSE)</f>
        <v>#N/A</v>
      </c>
      <c r="F199" s="430" t="e">
        <v>#N/A</v>
      </c>
      <c r="G199" s="430">
        <v>83178</v>
      </c>
      <c r="H199" s="430">
        <v>0</v>
      </c>
      <c r="I199" s="453"/>
      <c r="J199" s="451"/>
      <c r="K199" s="451"/>
      <c r="L199" s="451"/>
      <c r="M199" s="451"/>
      <c r="N199" s="459"/>
      <c r="O199" s="430"/>
      <c r="P199" s="531" t="e">
        <f>VLOOKUP(B199,正厂竞争者数据汇总!D:M,6,FALSE)</f>
        <v>#N/A</v>
      </c>
      <c r="Q199" s="429" t="s">
        <v>180</v>
      </c>
      <c r="R199" s="421" t="s">
        <v>180</v>
      </c>
      <c r="S199" s="473" t="e">
        <f>VLOOKUP(B199,正厂竞争者数据汇总!$D$2:$CL$243,25,FALSE)</f>
        <v>#N/A</v>
      </c>
      <c r="T199" s="466"/>
      <c r="U199" s="466"/>
      <c r="V199" s="421"/>
      <c r="W199" s="421"/>
    </row>
    <row r="200" s="408" customFormat="1" hidden="1" spans="1:23">
      <c r="A200" s="428"/>
      <c r="B200" s="421"/>
      <c r="C200" s="439"/>
      <c r="D200" s="421"/>
      <c r="E200" s="430"/>
      <c r="F200" s="430" t="e">
        <v>#N/A</v>
      </c>
      <c r="G200" s="430"/>
      <c r="H200" s="430">
        <v>88546.8333333332</v>
      </c>
      <c r="I200" s="453" t="e">
        <f>(F200/G200)-1</f>
        <v>#N/A</v>
      </c>
      <c r="J200" s="430"/>
      <c r="K200" s="430"/>
      <c r="L200" s="430"/>
      <c r="M200" s="451"/>
      <c r="N200" s="459"/>
      <c r="O200" s="430"/>
      <c r="P200" s="531"/>
      <c r="Q200" s="429"/>
      <c r="R200" s="421"/>
      <c r="S200" s="473"/>
      <c r="T200" s="466"/>
      <c r="U200" s="466"/>
      <c r="V200" s="421"/>
      <c r="W200" s="421"/>
    </row>
    <row r="201" s="408" customFormat="1" spans="1:23">
      <c r="A201" s="423"/>
      <c r="B201" s="421"/>
      <c r="C201" s="425"/>
      <c r="D201" s="421"/>
      <c r="E201" s="430"/>
      <c r="F201" s="430"/>
      <c r="G201" s="430"/>
      <c r="H201" s="430"/>
      <c r="I201" s="453"/>
      <c r="J201" s="430"/>
      <c r="K201" s="430"/>
      <c r="L201" s="430"/>
      <c r="M201" s="451"/>
      <c r="N201" s="459"/>
      <c r="O201" s="430"/>
      <c r="P201" s="531"/>
      <c r="Q201" s="429"/>
      <c r="R201" s="421"/>
      <c r="S201" s="473"/>
      <c r="T201" s="466"/>
      <c r="U201" s="466"/>
      <c r="V201" s="421"/>
      <c r="W201" s="421"/>
    </row>
    <row r="202" s="408" customFormat="1" ht="17.4" spans="1:23">
      <c r="A202" s="418" t="s">
        <v>187</v>
      </c>
      <c r="B202" s="419"/>
      <c r="C202" s="420"/>
      <c r="D202" s="421"/>
      <c r="E202" s="422" t="s">
        <v>202</v>
      </c>
      <c r="F202" s="422"/>
      <c r="G202" s="422" t="s">
        <v>213</v>
      </c>
      <c r="H202" s="422"/>
      <c r="I202" s="422"/>
      <c r="J202" s="422"/>
      <c r="K202" s="422"/>
      <c r="L202" s="422"/>
      <c r="M202" s="443"/>
      <c r="N202" s="422"/>
      <c r="O202" s="422"/>
      <c r="P202" s="531"/>
      <c r="Q202" s="465"/>
      <c r="R202" s="424"/>
      <c r="S202" s="473"/>
      <c r="T202" s="467"/>
      <c r="U202" s="467"/>
      <c r="V202" s="467"/>
      <c r="W202" s="467"/>
    </row>
    <row r="203" s="409" customFormat="1" ht="46.8" hidden="1" spans="1:23">
      <c r="A203" s="423" t="s">
        <v>206</v>
      </c>
      <c r="B203" s="424" t="s">
        <v>207</v>
      </c>
      <c r="C203" s="425" t="s">
        <v>447</v>
      </c>
      <c r="D203" s="424" t="s">
        <v>209</v>
      </c>
      <c r="E203" s="426" t="s">
        <v>210</v>
      </c>
      <c r="F203" s="427" t="s">
        <v>485</v>
      </c>
      <c r="G203" s="427">
        <v>66202.5</v>
      </c>
      <c r="H203" s="427" t="s">
        <v>396</v>
      </c>
      <c r="I203" s="427" t="s">
        <v>386</v>
      </c>
      <c r="J203" s="446" t="s">
        <v>449</v>
      </c>
      <c r="K203" s="446" t="s">
        <v>479</v>
      </c>
      <c r="L203" s="446" t="s">
        <v>215</v>
      </c>
      <c r="M203" s="447" t="s">
        <v>436</v>
      </c>
      <c r="N203" s="448" t="s">
        <v>219</v>
      </c>
      <c r="O203" s="449" t="s">
        <v>220</v>
      </c>
      <c r="P203" s="530" t="s">
        <v>221</v>
      </c>
      <c r="Q203" s="469" t="s">
        <v>222</v>
      </c>
      <c r="R203" s="426" t="s">
        <v>223</v>
      </c>
      <c r="S203" s="470" t="s">
        <v>224</v>
      </c>
      <c r="T203" s="467" t="s">
        <v>225</v>
      </c>
      <c r="U203" s="470" t="s">
        <v>226</v>
      </c>
      <c r="V203" s="467"/>
      <c r="W203" s="467"/>
    </row>
    <row r="204" s="408" customFormat="1" hidden="1" spans="1:23">
      <c r="A204" s="428" t="s">
        <v>230</v>
      </c>
      <c r="B204" s="438" t="s">
        <v>341</v>
      </c>
      <c r="C204" s="429" t="s">
        <v>233</v>
      </c>
      <c r="D204" s="421" t="s">
        <v>422</v>
      </c>
      <c r="E204" s="430">
        <f>VLOOKUP(B204,正厂竞争者数据汇总!D:H,4,FALSE)</f>
        <v>0</v>
      </c>
      <c r="F204" s="430">
        <v>51083.3333333333</v>
      </c>
      <c r="G204" s="430">
        <v>1355.75</v>
      </c>
      <c r="H204" s="430">
        <v>65360.75</v>
      </c>
      <c r="I204" s="453">
        <f>(F204/G204)-1</f>
        <v>36.6790214518409</v>
      </c>
      <c r="J204" s="451">
        <v>0.641112796109397</v>
      </c>
      <c r="K204" s="451">
        <v>0.611540775840996</v>
      </c>
      <c r="L204" s="451">
        <v>0.592452753138872</v>
      </c>
      <c r="M204" s="451">
        <f>J204-K205</f>
        <v>0.640531761529378</v>
      </c>
      <c r="N204" s="459"/>
      <c r="O204" s="430"/>
      <c r="P204" s="531">
        <f>VLOOKUP(B204,正厂竞争者数据汇总!D:M,6,FALSE)</f>
        <v>0</v>
      </c>
      <c r="Q204" s="429" t="s">
        <v>180</v>
      </c>
      <c r="R204" s="421" t="s">
        <v>180</v>
      </c>
      <c r="S204" s="473">
        <f>VLOOKUP(B204,正厂竞争者数据汇总!$D$2:$CL$243,25,FALSE)</f>
        <v>44201</v>
      </c>
      <c r="T204" s="466"/>
      <c r="U204" s="466"/>
      <c r="V204" s="421"/>
      <c r="W204" s="421"/>
    </row>
    <row r="205" s="408" customFormat="1" hidden="1" spans="1:23">
      <c r="A205" s="428" t="s">
        <v>230</v>
      </c>
      <c r="B205" s="438" t="s">
        <v>473</v>
      </c>
      <c r="C205" s="429" t="s">
        <v>233</v>
      </c>
      <c r="D205" s="421" t="s">
        <v>420</v>
      </c>
      <c r="E205" s="430" t="e">
        <f>VLOOKUP(B205,正厂竞争者数据汇总!D:H,4,FALSE)</f>
        <v>#N/A</v>
      </c>
      <c r="F205" s="430">
        <v>130.5</v>
      </c>
      <c r="G205" s="430">
        <v>31231.8333333333</v>
      </c>
      <c r="H205" s="430">
        <v>2194.5</v>
      </c>
      <c r="I205" s="453">
        <f>(F205/G205)-1</f>
        <v>-0.995821570939906</v>
      </c>
      <c r="J205" s="451">
        <v>0.00163781833394342</v>
      </c>
      <c r="K205" s="451">
        <v>0.00058103458001918</v>
      </c>
      <c r="L205" s="451">
        <v>0.0013067647193944</v>
      </c>
      <c r="M205" s="451">
        <f>J205-K206</f>
        <v>-0.371530230405268</v>
      </c>
      <c r="N205" s="459"/>
      <c r="O205" s="430"/>
      <c r="P205" s="531" t="e">
        <f>VLOOKUP(B205,正厂竞争者数据汇总!D:M,6,FALSE)</f>
        <v>#N/A</v>
      </c>
      <c r="Q205" s="429" t="s">
        <v>180</v>
      </c>
      <c r="R205" s="421" t="s">
        <v>180</v>
      </c>
      <c r="S205" s="473" t="e">
        <f>VLOOKUP(B205,正厂竞争者数据汇总!$D$2:$CL$243,25,FALSE)</f>
        <v>#N/A</v>
      </c>
      <c r="T205" s="466"/>
      <c r="U205" s="466"/>
      <c r="V205" s="421"/>
      <c r="W205" s="421"/>
    </row>
    <row r="206" s="408" customFormat="1" hidden="1" spans="1:23">
      <c r="A206" s="428" t="s">
        <v>230</v>
      </c>
      <c r="B206" s="482" t="s">
        <v>344</v>
      </c>
      <c r="C206" s="429" t="s">
        <v>233</v>
      </c>
      <c r="D206" s="421" t="s">
        <v>234</v>
      </c>
      <c r="E206" s="430">
        <f>VLOOKUP(B206,正厂竞争者数据汇总!D:H,4,FALSE)</f>
        <v>0</v>
      </c>
      <c r="F206" s="430">
        <v>27382.5</v>
      </c>
      <c r="G206" s="430">
        <v>1336.58333333333</v>
      </c>
      <c r="H206" s="430">
        <v>26757.6666666667</v>
      </c>
      <c r="I206" s="453">
        <f>(F206/G206)-1</f>
        <v>19.4869380884096</v>
      </c>
      <c r="J206" s="451">
        <v>0.343659467656749</v>
      </c>
      <c r="K206" s="451">
        <v>0.373168048739211</v>
      </c>
      <c r="L206" s="451">
        <v>0.390293018167093</v>
      </c>
      <c r="M206" s="451">
        <f>J206-K207</f>
        <v>0.328949326816975</v>
      </c>
      <c r="N206" s="459"/>
      <c r="O206" s="430"/>
      <c r="P206" s="531">
        <f>VLOOKUP(B206,正厂竞争者数据汇总!D:M,6,FALSE)</f>
        <v>0</v>
      </c>
      <c r="Q206" s="429" t="s">
        <v>180</v>
      </c>
      <c r="R206" s="421" t="s">
        <v>180</v>
      </c>
      <c r="S206" s="473">
        <f>VLOOKUP(B206,正厂竞争者数据汇总!$D$2:$CL$243,25,FALSE)</f>
        <v>63249</v>
      </c>
      <c r="T206" s="466"/>
      <c r="U206" s="466"/>
      <c r="V206" s="421"/>
      <c r="W206" s="421"/>
    </row>
    <row r="207" s="408" customFormat="1" hidden="1" spans="1:23">
      <c r="A207" s="428" t="s">
        <v>230</v>
      </c>
      <c r="B207" s="438" t="s">
        <v>474</v>
      </c>
      <c r="C207" s="429" t="s">
        <v>233</v>
      </c>
      <c r="D207" s="421" t="s">
        <v>420</v>
      </c>
      <c r="E207" s="430">
        <f>VLOOKUP(B206,正厂竞争者数据汇总!D:H,4,FALSE)</f>
        <v>0</v>
      </c>
      <c r="F207" s="430">
        <v>1082.83333333333</v>
      </c>
      <c r="G207" s="430"/>
      <c r="H207" s="430">
        <v>2547.58333333333</v>
      </c>
      <c r="I207" s="453" t="e">
        <f>(F207/G207)-1</f>
        <v>#DIV/0!</v>
      </c>
      <c r="J207" s="451">
        <v>0.0135899178999111</v>
      </c>
      <c r="K207" s="451">
        <v>0.0147101408397736</v>
      </c>
      <c r="L207" s="451">
        <v>0.0159474639746406</v>
      </c>
      <c r="M207" s="451">
        <f>J207-K208</f>
        <v>0.0135899178999111</v>
      </c>
      <c r="N207" s="459"/>
      <c r="O207" s="430"/>
      <c r="P207" s="531"/>
      <c r="Q207" s="429" t="s">
        <v>180</v>
      </c>
      <c r="R207" s="421" t="s">
        <v>180</v>
      </c>
      <c r="S207" s="473">
        <f>VLOOKUP(B207,正厂竞争者数据汇总!$D$2:$CL$243,25,FALSE)</f>
        <v>10350</v>
      </c>
      <c r="T207" s="466"/>
      <c r="U207" s="466"/>
      <c r="V207" s="421"/>
      <c r="W207" s="421"/>
    </row>
    <row r="208" s="408" customFormat="1" hidden="1" spans="1:23">
      <c r="A208" s="428"/>
      <c r="B208" s="421"/>
      <c r="C208" s="429"/>
      <c r="D208" s="421"/>
      <c r="E208" s="430"/>
      <c r="F208" s="430"/>
      <c r="G208" s="430">
        <v>100126.666666667</v>
      </c>
      <c r="H208" s="430"/>
      <c r="I208" s="453"/>
      <c r="J208" s="451"/>
      <c r="K208" s="451"/>
      <c r="L208" s="451"/>
      <c r="M208" s="451"/>
      <c r="N208" s="459"/>
      <c r="O208" s="430"/>
      <c r="P208" s="531"/>
      <c r="Q208" s="429"/>
      <c r="R208" s="421"/>
      <c r="S208" s="473"/>
      <c r="T208" s="466"/>
      <c r="U208" s="466"/>
      <c r="V208" s="421"/>
      <c r="W208" s="421"/>
    </row>
    <row r="209" s="408" customFormat="1" hidden="1" spans="1:23">
      <c r="A209" s="428"/>
      <c r="B209" s="421"/>
      <c r="C209" s="439"/>
      <c r="D209" s="421"/>
      <c r="E209" s="430"/>
      <c r="F209" s="430">
        <v>79679.1666666666</v>
      </c>
      <c r="G209" s="430"/>
      <c r="H209" s="430">
        <v>96860.5</v>
      </c>
      <c r="I209" s="453" t="e">
        <f>(F209/G209)-1</f>
        <v>#DIV/0!</v>
      </c>
      <c r="J209" s="430"/>
      <c r="K209" s="430"/>
      <c r="L209" s="430"/>
      <c r="M209" s="451"/>
      <c r="N209" s="459"/>
      <c r="O209" s="430"/>
      <c r="P209" s="531"/>
      <c r="Q209" s="429"/>
      <c r="R209" s="421"/>
      <c r="S209" s="473"/>
      <c r="T209" s="466"/>
      <c r="U209" s="466"/>
      <c r="V209" s="421"/>
      <c r="W209" s="421"/>
    </row>
    <row r="210" s="408" customFormat="1" spans="1:23">
      <c r="A210" s="428"/>
      <c r="B210" s="421"/>
      <c r="C210" s="439"/>
      <c r="D210" s="421"/>
      <c r="E210" s="421"/>
      <c r="F210" s="430"/>
      <c r="G210" s="430"/>
      <c r="H210" s="430"/>
      <c r="I210" s="453"/>
      <c r="J210" s="430"/>
      <c r="K210" s="430"/>
      <c r="L210" s="430"/>
      <c r="M210" s="451"/>
      <c r="N210" s="459"/>
      <c r="O210" s="430"/>
      <c r="P210" s="531"/>
      <c r="Q210" s="429"/>
      <c r="R210" s="421"/>
      <c r="S210" s="473"/>
      <c r="T210" s="466"/>
      <c r="U210" s="466"/>
      <c r="V210" s="421"/>
      <c r="W210" s="421"/>
    </row>
    <row r="211" s="408" customFormat="1" ht="17.4" spans="1:23">
      <c r="A211" s="418" t="s">
        <v>193</v>
      </c>
      <c r="B211" s="419"/>
      <c r="C211" s="420"/>
      <c r="D211" s="421"/>
      <c r="E211" s="422" t="s">
        <v>202</v>
      </c>
      <c r="F211" s="422"/>
      <c r="G211" s="422" t="s">
        <v>213</v>
      </c>
      <c r="H211" s="422"/>
      <c r="I211" s="422"/>
      <c r="J211" s="422"/>
      <c r="K211" s="422"/>
      <c r="L211" s="422"/>
      <c r="M211" s="443"/>
      <c r="N211" s="422"/>
      <c r="O211" s="422"/>
      <c r="P211" s="531"/>
      <c r="Q211" s="465"/>
      <c r="R211" s="424"/>
      <c r="S211" s="473"/>
      <c r="T211" s="467"/>
      <c r="U211" s="467"/>
      <c r="V211" s="467"/>
      <c r="W211" s="467"/>
    </row>
    <row r="212" s="409" customFormat="1" ht="46.8" hidden="1" spans="1:23">
      <c r="A212" s="423" t="s">
        <v>206</v>
      </c>
      <c r="B212" s="424" t="s">
        <v>207</v>
      </c>
      <c r="C212" s="425" t="s">
        <v>447</v>
      </c>
      <c r="D212" s="424" t="s">
        <v>209</v>
      </c>
      <c r="E212" s="426" t="s">
        <v>210</v>
      </c>
      <c r="F212" s="427" t="s">
        <v>485</v>
      </c>
      <c r="G212" s="427">
        <v>251855.833333333</v>
      </c>
      <c r="H212" s="427" t="s">
        <v>396</v>
      </c>
      <c r="I212" s="427" t="s">
        <v>386</v>
      </c>
      <c r="J212" s="446" t="s">
        <v>449</v>
      </c>
      <c r="K212" s="446" t="s">
        <v>479</v>
      </c>
      <c r="L212" s="446" t="s">
        <v>215</v>
      </c>
      <c r="M212" s="447" t="s">
        <v>436</v>
      </c>
      <c r="N212" s="448" t="s">
        <v>219</v>
      </c>
      <c r="O212" s="449" t="s">
        <v>220</v>
      </c>
      <c r="P212" s="530" t="s">
        <v>221</v>
      </c>
      <c r="Q212" s="469" t="s">
        <v>222</v>
      </c>
      <c r="R212" s="426" t="s">
        <v>223</v>
      </c>
      <c r="S212" s="470" t="s">
        <v>224</v>
      </c>
      <c r="T212" s="467" t="s">
        <v>225</v>
      </c>
      <c r="U212" s="470" t="s">
        <v>226</v>
      </c>
      <c r="V212" s="467"/>
      <c r="W212" s="467"/>
    </row>
    <row r="213" s="408" customFormat="1" ht="17.4" hidden="1" spans="1:23">
      <c r="A213" s="428" t="s">
        <v>475</v>
      </c>
      <c r="B213" s="438" t="s">
        <v>476</v>
      </c>
      <c r="C213" s="429" t="s">
        <v>233</v>
      </c>
      <c r="D213" s="421" t="s">
        <v>234</v>
      </c>
      <c r="E213" s="430">
        <f>VLOOKUP(B213,正厂竞争者数据汇总!D:H,4,FALSE)</f>
        <v>81390</v>
      </c>
      <c r="F213" s="430">
        <v>233544.75</v>
      </c>
      <c r="G213" s="430">
        <v>38319.6666666667</v>
      </c>
      <c r="H213" s="430">
        <v>273188.083333333</v>
      </c>
      <c r="I213" s="453"/>
      <c r="J213" s="430"/>
      <c r="K213" s="430"/>
      <c r="L213" s="430"/>
      <c r="M213" s="451"/>
      <c r="N213" s="459"/>
      <c r="O213" s="430"/>
      <c r="P213" s="531" t="str">
        <f>VLOOKUP(B213,正厂竞争者数据汇总!D:M,6,FALSE)</f>
        <v>官网</v>
      </c>
      <c r="Q213" s="429" t="s">
        <v>180</v>
      </c>
      <c r="R213" s="421" t="s">
        <v>180</v>
      </c>
      <c r="S213" s="473">
        <f>VLOOKUP(B213,正厂竞争者数据汇总!$D$2:$CL$243,25,FALSE)</f>
        <v>193993</v>
      </c>
      <c r="T213" s="466"/>
      <c r="U213" s="466"/>
      <c r="V213" s="421"/>
      <c r="W213" s="421"/>
    </row>
    <row r="214" s="408" customFormat="1" hidden="1" spans="1:23">
      <c r="A214" s="428" t="s">
        <v>230</v>
      </c>
      <c r="B214" s="421" t="s">
        <v>365</v>
      </c>
      <c r="C214" s="429" t="s">
        <v>233</v>
      </c>
      <c r="D214" s="421" t="s">
        <v>52</v>
      </c>
      <c r="E214" s="430">
        <f>VLOOKUP(B214,正厂竞争者数据汇总!D:H,4,FALSE)</f>
        <v>0</v>
      </c>
      <c r="F214" s="430">
        <v>44553.5833333333</v>
      </c>
      <c r="G214" s="430">
        <v>39781.5833333333</v>
      </c>
      <c r="H214" s="430">
        <v>52163.4166666667</v>
      </c>
      <c r="I214" s="453">
        <f>(F214/G214)-1</f>
        <v>0.119955004304756</v>
      </c>
      <c r="J214" s="451">
        <v>0.143694274568911</v>
      </c>
      <c r="K214" s="451">
        <v>0.152870351635303</v>
      </c>
      <c r="L214" s="451">
        <v>0.149821901847865</v>
      </c>
      <c r="M214" s="451">
        <f>J214-K215</f>
        <v>0.0563463280935546</v>
      </c>
      <c r="N214" s="459"/>
      <c r="O214" s="430"/>
      <c r="P214" s="531">
        <f>VLOOKUP(B214,正厂竞争者数据汇总!D:M,6,FALSE)</f>
        <v>0</v>
      </c>
      <c r="Q214" s="429" t="s">
        <v>180</v>
      </c>
      <c r="R214" s="421" t="s">
        <v>180</v>
      </c>
      <c r="S214" s="473">
        <f>VLOOKUP(B214,正厂竞争者数据汇总!$D$2:$CL$243,25,FALSE)</f>
        <v>110722</v>
      </c>
      <c r="T214" s="466"/>
      <c r="U214" s="466"/>
      <c r="V214" s="421"/>
      <c r="W214" s="421"/>
    </row>
    <row r="215" s="408" customFormat="1" hidden="1" spans="1:23">
      <c r="A215" s="428" t="s">
        <v>367</v>
      </c>
      <c r="B215" s="438" t="s">
        <v>368</v>
      </c>
      <c r="C215" s="429" t="s">
        <v>233</v>
      </c>
      <c r="D215" s="421" t="s">
        <v>234</v>
      </c>
      <c r="E215" s="430">
        <f>VLOOKUP(B214,正厂竞争者数据汇总!D:H,4,FALSE)</f>
        <v>0</v>
      </c>
      <c r="F215" s="430">
        <v>27400.4166666667</v>
      </c>
      <c r="G215" s="430">
        <v>5272.25</v>
      </c>
      <c r="H215" s="430">
        <v>46192.6666666667</v>
      </c>
      <c r="I215" s="453">
        <f>(F215/G215)-1</f>
        <v>4.19710117438792</v>
      </c>
      <c r="J215" s="451">
        <v>0.0883718592586661</v>
      </c>
      <c r="K215" s="451">
        <v>0.0873479464753564</v>
      </c>
      <c r="L215" s="451">
        <v>0.0834206270149846</v>
      </c>
      <c r="M215" s="451">
        <f>J215-K216</f>
        <v>0.0756468167212767</v>
      </c>
      <c r="N215" s="459"/>
      <c r="O215" s="430"/>
      <c r="P215" s="531">
        <f>VLOOKUP(B215,正厂竞争者数据汇总!D:M,6,FALSE)</f>
        <v>0</v>
      </c>
      <c r="Q215" s="429" t="s">
        <v>180</v>
      </c>
      <c r="R215" s="421" t="s">
        <v>180</v>
      </c>
      <c r="S215" s="473">
        <f>VLOOKUP(B215,正厂竞争者数据汇总!$D$2:$CL$243,25,FALSE)</f>
        <v>52681</v>
      </c>
      <c r="T215" s="466"/>
      <c r="U215" s="466"/>
      <c r="V215" s="421"/>
      <c r="W215" s="421"/>
    </row>
    <row r="216" s="408" customFormat="1" hidden="1" spans="1:23">
      <c r="A216" s="428" t="s">
        <v>230</v>
      </c>
      <c r="B216" s="421" t="s">
        <v>373</v>
      </c>
      <c r="C216" s="429" t="s">
        <v>477</v>
      </c>
      <c r="D216" s="421" t="s">
        <v>250</v>
      </c>
      <c r="E216" s="430">
        <f>VLOOKUP(B216,正厂竞争者数据汇总!D:H,4,FALSE)</f>
        <v>3939</v>
      </c>
      <c r="F216" s="430">
        <v>4559.41666666667</v>
      </c>
      <c r="G216" s="430"/>
      <c r="H216" s="430">
        <v>5718</v>
      </c>
      <c r="I216" s="453" t="e">
        <f>(F216/G216)-1</f>
        <v>#DIV/0!</v>
      </c>
      <c r="J216" s="451">
        <v>0.0147050365280923</v>
      </c>
      <c r="K216" s="451">
        <v>0.0127250425373894</v>
      </c>
      <c r="L216" s="451">
        <v>0.0122956155602921</v>
      </c>
      <c r="M216" s="451">
        <f>J216-K217</f>
        <v>0.0147050365280923</v>
      </c>
      <c r="N216" s="459"/>
      <c r="O216" s="430"/>
      <c r="P216" s="531">
        <f>VLOOKUP(B216,正厂竞争者数据汇总!D:M,6,FALSE)</f>
        <v>0</v>
      </c>
      <c r="Q216" s="429" t="s">
        <v>180</v>
      </c>
      <c r="R216" s="421" t="s">
        <v>180</v>
      </c>
      <c r="S216" s="473">
        <f>VLOOKUP(B216,正厂竞争者数据汇总!$D$2:$CL$243,25,FALSE)</f>
        <v>5939</v>
      </c>
      <c r="T216" s="466"/>
      <c r="U216" s="466"/>
      <c r="V216" s="421"/>
      <c r="W216" s="421"/>
    </row>
    <row r="217" s="410" customFormat="1" hidden="1" spans="1:23">
      <c r="A217" s="432"/>
      <c r="B217" s="435"/>
      <c r="C217" s="429"/>
      <c r="D217" s="421"/>
      <c r="E217" s="430"/>
      <c r="F217" s="436"/>
      <c r="G217" s="436">
        <v>335229.333333333</v>
      </c>
      <c r="H217" s="436"/>
      <c r="I217" s="453"/>
      <c r="J217" s="457"/>
      <c r="K217" s="457"/>
      <c r="L217" s="457"/>
      <c r="M217" s="451"/>
      <c r="N217" s="455"/>
      <c r="O217" s="436"/>
      <c r="P217" s="531"/>
      <c r="Q217" s="434"/>
      <c r="R217" s="435"/>
      <c r="S217" s="473"/>
      <c r="T217" s="466"/>
      <c r="U217" s="466"/>
      <c r="V217" s="435"/>
      <c r="W217" s="435"/>
    </row>
    <row r="218" s="408" customFormat="1" hidden="1" spans="1:23">
      <c r="A218" s="428"/>
      <c r="B218" s="421"/>
      <c r="C218" s="439"/>
      <c r="D218" s="421"/>
      <c r="E218" s="421"/>
      <c r="F218" s="496">
        <v>310058.166666667</v>
      </c>
      <c r="G218" s="496"/>
      <c r="H218" s="496">
        <v>377262.166666666</v>
      </c>
      <c r="I218" s="453" t="e">
        <f>(F218/G218)-1</f>
        <v>#DIV/0!</v>
      </c>
      <c r="J218" s="430"/>
      <c r="K218" s="430"/>
      <c r="L218" s="430"/>
      <c r="M218" s="451"/>
      <c r="N218" s="459"/>
      <c r="O218" s="430"/>
      <c r="P218" s="531"/>
      <c r="Q218" s="429"/>
      <c r="R218" s="421"/>
      <c r="S218" s="473"/>
      <c r="T218" s="466"/>
      <c r="U218" s="466"/>
      <c r="V218" s="421"/>
      <c r="W218" s="421"/>
    </row>
    <row r="219" s="408" customFormat="1" spans="3:21">
      <c r="C219" s="411"/>
      <c r="F219" s="502"/>
      <c r="G219" s="502"/>
      <c r="H219" s="502"/>
      <c r="I219" s="502"/>
      <c r="J219" s="412"/>
      <c r="K219" s="412"/>
      <c r="L219" s="412"/>
      <c r="M219" s="413"/>
      <c r="N219" s="414"/>
      <c r="O219" s="412"/>
      <c r="P219" s="528"/>
      <c r="T219" s="416"/>
      <c r="U219" s="416"/>
    </row>
    <row r="220" s="408" customFormat="1" spans="3:21">
      <c r="C220" s="411"/>
      <c r="E220" s="412"/>
      <c r="F220" s="412"/>
      <c r="G220" s="412"/>
      <c r="H220" s="412"/>
      <c r="I220" s="412"/>
      <c r="J220" s="412"/>
      <c r="K220" s="412"/>
      <c r="L220" s="412"/>
      <c r="M220" s="413"/>
      <c r="N220" s="414"/>
      <c r="O220" s="412"/>
      <c r="T220" s="416"/>
      <c r="U220" s="416"/>
    </row>
    <row r="221" s="408" customFormat="1" spans="3:21">
      <c r="C221" s="411"/>
      <c r="F221" s="412"/>
      <c r="G221" s="412"/>
      <c r="H221" s="412"/>
      <c r="I221" s="412"/>
      <c r="J221" s="412"/>
      <c r="K221" s="412"/>
      <c r="L221" s="412"/>
      <c r="M221" s="413"/>
      <c r="N221" s="414"/>
      <c r="O221" s="412"/>
      <c r="P221" s="528"/>
      <c r="T221" s="416"/>
      <c r="U221" s="416"/>
    </row>
    <row r="222" s="408" customFormat="1" spans="3:21">
      <c r="C222" s="411"/>
      <c r="F222" s="412"/>
      <c r="G222" s="412"/>
      <c r="H222" s="412"/>
      <c r="I222" s="412"/>
      <c r="J222" s="412"/>
      <c r="K222" s="412"/>
      <c r="L222" s="412"/>
      <c r="M222" s="413"/>
      <c r="N222" s="414"/>
      <c r="O222" s="412"/>
      <c r="P222" s="528"/>
      <c r="T222" s="416"/>
      <c r="U222" s="416"/>
    </row>
    <row r="223" s="408" customFormat="1" spans="3:21">
      <c r="C223" s="411"/>
      <c r="F223" s="412"/>
      <c r="G223" s="412"/>
      <c r="H223" s="412"/>
      <c r="I223" s="412"/>
      <c r="J223" s="412"/>
      <c r="K223" s="412"/>
      <c r="L223" s="412"/>
      <c r="M223" s="413"/>
      <c r="N223" s="414"/>
      <c r="O223" s="412"/>
      <c r="P223" s="528"/>
      <c r="T223" s="416"/>
      <c r="U223" s="416"/>
    </row>
    <row r="224" s="408" customFormat="1" spans="3:21">
      <c r="C224" s="411"/>
      <c r="F224" s="412"/>
      <c r="G224" s="412"/>
      <c r="H224" s="412"/>
      <c r="I224" s="412"/>
      <c r="J224" s="412"/>
      <c r="K224" s="412"/>
      <c r="L224" s="412"/>
      <c r="M224" s="413"/>
      <c r="N224" s="414"/>
      <c r="O224" s="412"/>
      <c r="P224" s="528"/>
      <c r="T224" s="416"/>
      <c r="U224" s="416"/>
    </row>
    <row r="225" s="408" customFormat="1" spans="3:21">
      <c r="C225" s="411"/>
      <c r="F225" s="412"/>
      <c r="G225" s="412"/>
      <c r="H225" s="412"/>
      <c r="I225" s="412"/>
      <c r="J225" s="412"/>
      <c r="K225" s="412"/>
      <c r="L225" s="412"/>
      <c r="M225" s="413"/>
      <c r="N225" s="414"/>
      <c r="O225" s="412"/>
      <c r="P225" s="528"/>
      <c r="T225" s="416"/>
      <c r="U225" s="416"/>
    </row>
    <row r="226" s="408" customFormat="1" spans="3:21">
      <c r="C226" s="411"/>
      <c r="F226" s="412"/>
      <c r="G226" s="412"/>
      <c r="H226" s="412"/>
      <c r="I226" s="412"/>
      <c r="J226" s="412"/>
      <c r="K226" s="412"/>
      <c r="L226" s="412"/>
      <c r="M226" s="413"/>
      <c r="N226" s="414"/>
      <c r="O226" s="412"/>
      <c r="P226" s="528"/>
      <c r="T226" s="416"/>
      <c r="U226" s="416"/>
    </row>
    <row r="227" s="408" customFormat="1" spans="3:21">
      <c r="C227" s="411"/>
      <c r="F227" s="412"/>
      <c r="G227" s="412"/>
      <c r="H227" s="412"/>
      <c r="I227" s="412"/>
      <c r="J227" s="412"/>
      <c r="K227" s="412"/>
      <c r="L227" s="412"/>
      <c r="M227" s="413"/>
      <c r="N227" s="414"/>
      <c r="O227" s="412"/>
      <c r="P227" s="528"/>
      <c r="T227" s="416"/>
      <c r="U227" s="416"/>
    </row>
    <row r="228" s="408" customFormat="1" spans="3:21">
      <c r="C228" s="411"/>
      <c r="F228" s="412"/>
      <c r="G228" s="412"/>
      <c r="H228" s="412"/>
      <c r="I228" s="412"/>
      <c r="J228" s="412"/>
      <c r="K228" s="412"/>
      <c r="L228" s="412"/>
      <c r="M228" s="413"/>
      <c r="N228" s="414"/>
      <c r="O228" s="412"/>
      <c r="P228" s="528"/>
      <c r="T228" s="416"/>
      <c r="U228" s="416"/>
    </row>
    <row r="229" s="408" customFormat="1" spans="3:21">
      <c r="C229" s="411"/>
      <c r="F229" s="412"/>
      <c r="G229" s="412"/>
      <c r="H229" s="412"/>
      <c r="I229" s="412"/>
      <c r="J229" s="412"/>
      <c r="K229" s="412"/>
      <c r="L229" s="412"/>
      <c r="M229" s="413"/>
      <c r="N229" s="414"/>
      <c r="O229" s="412"/>
      <c r="P229" s="528"/>
      <c r="T229" s="416"/>
      <c r="U229" s="416"/>
    </row>
    <row r="230" s="408" customFormat="1" spans="3:21">
      <c r="C230" s="411"/>
      <c r="F230" s="412"/>
      <c r="G230" s="412"/>
      <c r="H230" s="412"/>
      <c r="I230" s="412"/>
      <c r="J230" s="412"/>
      <c r="K230" s="412"/>
      <c r="L230" s="412"/>
      <c r="M230" s="413"/>
      <c r="N230" s="414"/>
      <c r="O230" s="412"/>
      <c r="P230" s="528"/>
      <c r="T230" s="416"/>
      <c r="U230" s="416"/>
    </row>
    <row r="231" s="411" customFormat="1" spans="1:23">
      <c r="A231" s="408"/>
      <c r="B231" s="503"/>
      <c r="D231" s="408"/>
      <c r="E231" s="408"/>
      <c r="F231" s="412"/>
      <c r="G231" s="412"/>
      <c r="H231" s="412"/>
      <c r="I231" s="412"/>
      <c r="J231" s="412"/>
      <c r="K231" s="412"/>
      <c r="L231" s="412"/>
      <c r="M231" s="413"/>
      <c r="N231" s="414"/>
      <c r="O231" s="412"/>
      <c r="P231" s="528"/>
      <c r="Q231" s="408"/>
      <c r="R231" s="408"/>
      <c r="S231" s="408"/>
      <c r="T231" s="416"/>
      <c r="U231" s="416"/>
      <c r="V231" s="408"/>
      <c r="W231" s="408"/>
    </row>
  </sheetData>
  <autoFilter ref="C1:C231">
    <extLst/>
  </autoFilter>
  <mergeCells count="19">
    <mergeCell ref="U1:W1"/>
    <mergeCell ref="U14:W14"/>
    <mergeCell ref="U26:W26"/>
    <mergeCell ref="U38:W38"/>
    <mergeCell ref="U51:W51"/>
    <mergeCell ref="U65:W65"/>
    <mergeCell ref="U77:W77"/>
    <mergeCell ref="U87:W87"/>
    <mergeCell ref="U99:W99"/>
    <mergeCell ref="U111:W111"/>
    <mergeCell ref="U126:W126"/>
    <mergeCell ref="U138:W138"/>
    <mergeCell ref="U153:W153"/>
    <mergeCell ref="U166:W166"/>
    <mergeCell ref="U175:W175"/>
    <mergeCell ref="U185:W185"/>
    <mergeCell ref="U195:W195"/>
    <mergeCell ref="U202:W202"/>
    <mergeCell ref="U211:W211"/>
  </mergeCells>
  <conditionalFormatting sqref="I3">
    <cfRule type="dataBar" priority="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{4d085881-e173-42f9-a637-bde8439234b2}</x14:id>
        </ext>
      </extLst>
    </cfRule>
  </conditionalFormatting>
  <conditionalFormatting sqref="M3">
    <cfRule type="dataBar" priority="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{aaa29926-0f1c-4971-b846-36106d6fb7c9}</x14:id>
        </ext>
      </extLst>
    </cfRule>
  </conditionalFormatting>
  <conditionalFormatting sqref="I4">
    <cfRule type="dataBar" priority="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{54023b8f-67ac-4c7b-8609-5226f0f39057}</x14:id>
        </ext>
      </extLst>
    </cfRule>
  </conditionalFormatting>
  <conditionalFormatting sqref="M4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{ec2048db-a95a-4fe7-a34e-b4b0328c0d17}</x14:id>
        </ext>
      </extLst>
    </cfRule>
  </conditionalFormatting>
  <conditionalFormatting sqref="I5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{e29e02b1-7d21-4ee2-80f4-56dfc9a97c50}</x14:id>
        </ext>
      </extLst>
    </cfRule>
  </conditionalFormatting>
  <conditionalFormatting sqref="M5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{2ed7adae-574a-465d-ab87-348cef1700ce}</x14:id>
        </ext>
      </extLst>
    </cfRule>
  </conditionalFormatting>
  <conditionalFormatting sqref="I6">
    <cfRule type="dataBar" priority="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{7497f566-44cc-4d74-b1a3-5a08caa1ffab}</x14:id>
        </ext>
      </extLst>
    </cfRule>
  </conditionalFormatting>
  <conditionalFormatting sqref="M6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{010e56ba-3ac7-41c6-841e-a6899c487e4f}</x14:id>
        </ext>
      </extLst>
    </cfRule>
  </conditionalFormatting>
  <conditionalFormatting sqref="I7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{b12e1482-40be-481e-a360-e9a54f59e253}</x14:id>
        </ext>
      </extLst>
    </cfRule>
  </conditionalFormatting>
  <conditionalFormatting sqref="M7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{28824ec1-c4a0-47c5-95d1-1151631b2564}</x14:id>
        </ext>
      </extLst>
    </cfRule>
  </conditionalFormatting>
  <conditionalFormatting sqref="I8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{df05cc5b-ff86-47b2-8465-b1edd4389a81}</x14:id>
        </ext>
      </extLst>
    </cfRule>
  </conditionalFormatting>
  <conditionalFormatting sqref="M8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{89858ab5-dedb-4b08-af96-19626d77a897}</x14:id>
        </ext>
      </extLst>
    </cfRule>
  </conditionalFormatting>
  <conditionalFormatting sqref="I9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{7e7f1e2e-7f79-4b20-be01-8854d3e041d0}</x14:id>
        </ext>
      </extLst>
    </cfRule>
  </conditionalFormatting>
  <conditionalFormatting sqref="M9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{69cac93c-5e32-4a5e-a2a8-9eac357cd572}</x14:id>
        </ext>
      </extLst>
    </cfRule>
  </conditionalFormatting>
  <conditionalFormatting sqref="I10">
    <cfRule type="dataBar" priority="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{c1f9f08f-f6c7-4539-8483-39b904cde1e3}</x14:id>
        </ext>
      </extLst>
    </cfRule>
  </conditionalFormatting>
  <conditionalFormatting sqref="M10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{10915180-e197-4992-a773-bd3bdc3fad65}</x14:id>
        </ext>
      </extLst>
    </cfRule>
  </conditionalFormatting>
  <conditionalFormatting sqref="M11">
    <cfRule type="dataBar" priority="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{873c81ff-a05a-48d9-b26a-210384187410}</x14:id>
        </ext>
      </extLst>
    </cfRule>
  </conditionalFormatting>
  <conditionalFormatting sqref="B16">
    <cfRule type="duplicateValues" dxfId="0" priority="100"/>
  </conditionalFormatting>
  <conditionalFormatting sqref="M16">
    <cfRule type="dataBar" priority="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{96687715-b68b-4e93-a121-5e6546c6b942}</x14:id>
        </ext>
      </extLst>
    </cfRule>
  </conditionalFormatting>
  <conditionalFormatting sqref="I17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{aaa81652-21cb-4133-86db-03b2efa05d99}</x14:id>
        </ext>
      </extLst>
    </cfRule>
  </conditionalFormatting>
  <conditionalFormatting sqref="M17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{3e3449d8-d905-406b-b802-29fbec24cd7c}</x14:id>
        </ext>
      </extLst>
    </cfRule>
  </conditionalFormatting>
  <conditionalFormatting sqref="I18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{568c2abb-e77e-46d1-ba33-cc6079226534}</x14:id>
        </ext>
      </extLst>
    </cfRule>
  </conditionalFormatting>
  <conditionalFormatting sqref="M1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{28c9248b-e076-4479-a474-b7c398f3281f}</x14:id>
        </ext>
      </extLst>
    </cfRule>
  </conditionalFormatting>
  <conditionalFormatting sqref="I19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{b947b9ed-0e06-4a9b-a338-1e80b71388e2}</x14:id>
        </ext>
      </extLst>
    </cfRule>
  </conditionalFormatting>
  <conditionalFormatting sqref="M19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{9c3412c4-d877-4f63-af8f-5b39d2d883e3}</x14:id>
        </ext>
      </extLst>
    </cfRule>
  </conditionalFormatting>
  <conditionalFormatting sqref="I20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{ff17066b-a4e7-4f13-8d00-d8f6179bdf33}</x14:id>
        </ext>
      </extLst>
    </cfRule>
  </conditionalFormatting>
  <conditionalFormatting sqref="M20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{5a2df488-449c-46a1-9d57-1a6863b6eb57}</x14:id>
        </ext>
      </extLst>
    </cfRule>
  </conditionalFormatting>
  <conditionalFormatting sqref="I21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{863f2aad-dc6d-4caf-bc78-5fef782aea1b}</x14:id>
        </ext>
      </extLst>
    </cfRule>
  </conditionalFormatting>
  <conditionalFormatting sqref="M21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{916e778e-657b-45e3-8b81-20d1f43c208e}</x14:id>
        </ext>
      </extLst>
    </cfRule>
  </conditionalFormatting>
  <conditionalFormatting sqref="I22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{46337f73-155d-4f68-9843-d6e8374f0fb3}</x14:id>
        </ext>
      </extLst>
    </cfRule>
  </conditionalFormatting>
  <conditionalFormatting sqref="M22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{a8f5fd43-297c-42d3-a5a2-326a18d54b74}</x14:id>
        </ext>
      </extLst>
    </cfRule>
  </conditionalFormatting>
  <conditionalFormatting sqref="M28">
    <cfRule type="dataBar" priority="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{d7f849d2-56d1-46d6-adbc-3c2469376a06}</x14:id>
        </ext>
      </extLst>
    </cfRule>
  </conditionalFormatting>
  <conditionalFormatting sqref="I29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{837bfd0d-ee12-4f01-be09-6593bcf064e8}</x14:id>
        </ext>
      </extLst>
    </cfRule>
  </conditionalFormatting>
  <conditionalFormatting sqref="M29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{d90bdbc2-c0c1-448e-bf2d-46d26d24ac22}</x14:id>
        </ext>
      </extLst>
    </cfRule>
  </conditionalFormatting>
  <conditionalFormatting sqref="I30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{366ff3d9-f871-446d-9ede-d21a2696e930}</x14:id>
        </ext>
      </extLst>
    </cfRule>
  </conditionalFormatting>
  <conditionalFormatting sqref="M30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{20eb936e-0a6f-4219-aa3a-16f9a18b2878}</x14:id>
        </ext>
      </extLst>
    </cfRule>
  </conditionalFormatting>
  <conditionalFormatting sqref="I32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{4fdc1435-7217-4c0f-bef3-9baa45ebf4db}</x14:id>
        </ext>
      </extLst>
    </cfRule>
  </conditionalFormatting>
  <conditionalFormatting sqref="M3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{0e3ed765-7303-4fb6-bd07-d9b64a243ebd}</x14:id>
        </ext>
      </extLst>
    </cfRule>
  </conditionalFormatting>
  <conditionalFormatting sqref="M40">
    <cfRule type="dataBar" priority="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{b4b731ae-3b9c-43d9-a6ca-00edbcf5d372}</x14:id>
        </ext>
      </extLst>
    </cfRule>
  </conditionalFormatting>
  <conditionalFormatting sqref="I41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{19547cec-56dc-4d59-a238-0f544bb93cd0}</x14:id>
        </ext>
      </extLst>
    </cfRule>
  </conditionalFormatting>
  <conditionalFormatting sqref="M41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{d7ff0b50-b9e4-47ce-95db-610d691a51d2}</x14:id>
        </ext>
      </extLst>
    </cfRule>
  </conditionalFormatting>
  <conditionalFormatting sqref="I42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{e7ec2df6-0820-4686-8f62-927448258afa}</x14:id>
        </ext>
      </extLst>
    </cfRule>
  </conditionalFormatting>
  <conditionalFormatting sqref="M42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{e042dbba-bdfe-4b5b-9b10-640dbd3b9a3e}</x14:id>
        </ext>
      </extLst>
    </cfRule>
  </conditionalFormatting>
  <conditionalFormatting sqref="I43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{152fd575-9d5a-40b0-b7c5-2c4efb71d801}</x14:id>
        </ext>
      </extLst>
    </cfRule>
  </conditionalFormatting>
  <conditionalFormatting sqref="M43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{08dd4442-6c74-4ca1-a162-6c26a25131d0}</x14:id>
        </ext>
      </extLst>
    </cfRule>
  </conditionalFormatting>
  <conditionalFormatting sqref="I44">
    <cfRule type="dataBar" priority="2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{8b3a2ec0-59a9-48ab-8204-c6563645cc69}</x14:id>
        </ext>
      </extLst>
    </cfRule>
  </conditionalFormatting>
  <conditionalFormatting sqref="M44">
    <cfRule type="dataBar" priority="2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{8c905fa7-6e79-482e-b8f8-adb89428c938}</x14:id>
        </ext>
      </extLst>
    </cfRule>
  </conditionalFormatting>
  <conditionalFormatting sqref="I45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{f7c7dd03-02ef-4c4a-bded-99781c91e7a8}</x14:id>
        </ext>
      </extLst>
    </cfRule>
  </conditionalFormatting>
  <conditionalFormatting sqref="M45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{a6dc09cb-6368-476f-b41f-4d922d768b94}</x14:id>
        </ext>
      </extLst>
    </cfRule>
  </conditionalFormatting>
  <conditionalFormatting sqref="I4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{8cbda619-77e2-4f74-ace5-468c1b3af4ea}</x14:id>
        </ext>
      </extLst>
    </cfRule>
  </conditionalFormatting>
  <conditionalFormatting sqref="M46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{78c63018-9819-4d16-b39f-e89d3d195836}</x14:id>
        </ext>
      </extLst>
    </cfRule>
  </conditionalFormatting>
  <conditionalFormatting sqref="I4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{0f42aae4-016e-4844-b5ff-bb73e409918c}</x14:id>
        </ext>
      </extLst>
    </cfRule>
  </conditionalFormatting>
  <conditionalFormatting sqref="M47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{b5a9a0d1-2a49-46ee-a881-3bd2edb4b236}</x14:id>
        </ext>
      </extLst>
    </cfRule>
  </conditionalFormatting>
  <conditionalFormatting sqref="M71">
    <cfRule type="dataBar" priority="2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{ae79ed6e-dced-425e-84cd-65d8db01dbf3}</x14:id>
        </ext>
      </extLst>
    </cfRule>
  </conditionalFormatting>
  <conditionalFormatting sqref="I93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{4c1316ce-f7b9-4937-8412-477fab7934b7}</x14:id>
        </ext>
      </extLst>
    </cfRule>
  </conditionalFormatting>
  <conditionalFormatting sqref="M93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{9df73154-eef8-4c24-bb28-d22ab11299df}</x14:id>
        </ext>
      </extLst>
    </cfRule>
  </conditionalFormatting>
  <conditionalFormatting sqref="I94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{29c7044b-97e6-4a73-ae7d-0c4b6a2199fe}</x14:id>
        </ext>
      </extLst>
    </cfRule>
  </conditionalFormatting>
  <conditionalFormatting sqref="M9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{e6f9324b-2321-4c82-ab1f-a198531a1200}</x14:id>
        </ext>
      </extLst>
    </cfRule>
  </conditionalFormatting>
  <conditionalFormatting sqref="I133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{72228e6e-b11a-487a-af89-33b6151167d9}</x14:id>
        </ext>
      </extLst>
    </cfRule>
  </conditionalFormatting>
  <conditionalFormatting sqref="M13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{6cf8cd12-538e-4bba-9641-c643cded2e76}</x14:id>
        </ext>
      </extLst>
    </cfRule>
  </conditionalFormatting>
  <conditionalFormatting sqref="I14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{0b22f37f-7d12-4bf6-bbf0-9cd9d47c652f}</x14:id>
        </ext>
      </extLst>
    </cfRule>
  </conditionalFormatting>
  <conditionalFormatting sqref="M14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{a29e0f5f-e24f-4b80-8c71-a07a6e163121}</x14:id>
        </ext>
      </extLst>
    </cfRule>
  </conditionalFormatting>
  <conditionalFormatting sqref="I11:I12">
    <cfRule type="dataBar" priority="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{2fd5a81a-4c00-4ea8-9ceb-3f0081102a2e}</x14:id>
        </ext>
      </extLst>
    </cfRule>
  </conditionalFormatting>
  <conditionalFormatting sqref="I53:I63">
    <cfRule type="dataBar" priority="2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{28614d6b-ee1f-4209-a61c-71361018a04c}</x14:id>
        </ext>
      </extLst>
    </cfRule>
  </conditionalFormatting>
  <conditionalFormatting sqref="I67:I75">
    <cfRule type="dataBar" priority="2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{2e9ed56f-a9ed-4751-8686-c03e60e32701}</x14:id>
        </ext>
      </extLst>
    </cfRule>
  </conditionalFormatting>
  <conditionalFormatting sqref="I79:I85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{af6da798-5886-461e-bad7-26cbcac646e4}</x14:id>
        </ext>
      </extLst>
    </cfRule>
  </conditionalFormatting>
  <conditionalFormatting sqref="I101:I109">
    <cfRule type="dataBar" priority="2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{2a423fea-3b2a-44de-b01a-a2cbfffffe17}</x14:id>
        </ext>
      </extLst>
    </cfRule>
  </conditionalFormatting>
  <conditionalFormatting sqref="I113:I124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{91d3e874-17c8-4676-9406-dfdc16f98b98}</x14:id>
        </ext>
      </extLst>
    </cfRule>
  </conditionalFormatting>
  <conditionalFormatting sqref="I155:I164">
    <cfRule type="dataBar" priority="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{c17e0b06-1a73-411f-9b82-7f173dc68cd4}</x14:id>
        </ext>
      </extLst>
    </cfRule>
  </conditionalFormatting>
  <conditionalFormatting sqref="M53:M61">
    <cfRule type="dataBar" priority="2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{ac69adc0-85b8-4447-abe6-f6b4793e2342}</x14:id>
        </ext>
      </extLst>
    </cfRule>
  </conditionalFormatting>
  <conditionalFormatting sqref="M79:M83">
    <cfRule type="dataBar" priority="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{91c7e526-2338-4342-8324-bbc1483191aa}</x14:id>
        </ext>
      </extLst>
    </cfRule>
  </conditionalFormatting>
  <conditionalFormatting sqref="M101:M107">
    <cfRule type="dataBar" priority="2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{960d41ea-e414-497e-a242-4d45237f78ef}</x14:id>
        </ext>
      </extLst>
    </cfRule>
  </conditionalFormatting>
  <conditionalFormatting sqref="M155:M162">
    <cfRule type="dataBar" priority="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{634fe669-da36-4538-a996-e6abc07d6303}</x14:id>
        </ext>
      </extLst>
    </cfRule>
  </conditionalFormatting>
  <conditionalFormatting sqref="I23:I24 I16">
    <cfRule type="dataBar" priority="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{fa28ff59-de08-4cca-a43c-f6346c1e4c5f}</x14:id>
        </ext>
      </extLst>
    </cfRule>
  </conditionalFormatting>
  <conditionalFormatting sqref="I35:I36 I28">
    <cfRule type="dataBar" priority="9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{4f4d1ac9-9fbc-4c43-9813-f3a90b776104}</x14:id>
        </ext>
      </extLst>
    </cfRule>
  </conditionalFormatting>
  <conditionalFormatting sqref="I33:I34 I31">
    <cfRule type="dataBar" priority="2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{7296e11c-2864-410f-a1ce-955e1f024c2a}</x14:id>
        </ext>
      </extLst>
    </cfRule>
  </conditionalFormatting>
  <conditionalFormatting sqref="M33:M34 M31">
    <cfRule type="dataBar" priority="2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{424dbaaa-1f4a-49c9-bfe9-9e589af0c05c}</x14:id>
        </ext>
      </extLst>
    </cfRule>
  </conditionalFormatting>
  <conditionalFormatting sqref="I48:I49 I40">
    <cfRule type="dataBar" priority="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{c014b30d-8af4-44e4-a8cb-208e698ab260}</x14:id>
        </ext>
      </extLst>
    </cfRule>
  </conditionalFormatting>
  <conditionalFormatting sqref="M67:M69 M72:M73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{4a0fa312-7844-4ffd-90f9-4d59dcee278c}</x14:id>
        </ext>
      </extLst>
    </cfRule>
  </conditionalFormatting>
  <conditionalFormatting sqref="I89:I92 I95:I97">
    <cfRule type="dataBar" priority="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{02ab14e2-c0c4-47ab-8bd5-70e2b3bc025c}</x14:id>
        </ext>
      </extLst>
    </cfRule>
  </conditionalFormatting>
  <conditionalFormatting sqref="M89:M92 M95">
    <cfRule type="dataBar" priority="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{c651f4f2-52d7-422b-a783-d4e2defb15f9}</x14:id>
        </ext>
      </extLst>
    </cfRule>
  </conditionalFormatting>
  <conditionalFormatting sqref="M113:M115 M119:M120 M117">
    <cfRule type="dataBar" priority="2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{12429cac-a6bc-48cc-9030-a6e1b1d459d1}</x14:id>
        </ext>
      </extLst>
    </cfRule>
  </conditionalFormatting>
  <conditionalFormatting sqref="M128:M132 M134">
    <cfRule type="dataBar" priority="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{d9582779-77e0-4861-ad15-920ed86c6a72}</x14:id>
        </ext>
      </extLst>
    </cfRule>
  </conditionalFormatting>
  <conditionalFormatting sqref="I134:I136 I129:I132">
    <cfRule type="dataBar" priority="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{9dd08357-4475-436d-a88f-c4b6d5aac66d}</x14:id>
        </ext>
      </extLst>
    </cfRule>
  </conditionalFormatting>
  <conditionalFormatting sqref="I140:I143 I150:I151 I145:I148">
    <cfRule type="dataBar" priority="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{3c7a53d2-d785-4d47-b12a-752dd2c69ee6}</x14:id>
        </ext>
      </extLst>
    </cfRule>
  </conditionalFormatting>
  <conditionalFormatting sqref="M140:M143 M145:M148">
    <cfRule type="dataBar" priority="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{a9559e06-4ed5-49e6-b9d2-e0a0e59ed135}</x14:id>
        </ext>
      </extLst>
    </cfRule>
  </conditionalFormatting>
  <hyperlinks>
    <hyperlink ref="B113" r:id="rId1" display="kiapartsnow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85881-e173-42f9-a637-bde8439234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</xm:sqref>
        </x14:conditionalFormatting>
        <x14:conditionalFormatting xmlns:xm="http://schemas.microsoft.com/office/excel/2006/main">
          <x14:cfRule type="dataBar" id="{aaa29926-0f1c-4971-b846-36106d6fb7c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</xm:sqref>
        </x14:conditionalFormatting>
        <x14:conditionalFormatting xmlns:xm="http://schemas.microsoft.com/office/excel/2006/main">
          <x14:cfRule type="dataBar" id="{54023b8f-67ac-4c7b-8609-5226f0f390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</xm:sqref>
        </x14:conditionalFormatting>
        <x14:conditionalFormatting xmlns:xm="http://schemas.microsoft.com/office/excel/2006/main">
          <x14:cfRule type="dataBar" id="{ec2048db-a95a-4fe7-a34e-b4b0328c0d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</xm:sqref>
        </x14:conditionalFormatting>
        <x14:conditionalFormatting xmlns:xm="http://schemas.microsoft.com/office/excel/2006/main">
          <x14:cfRule type="dataBar" id="{e29e02b1-7d21-4ee2-80f4-56dfc9a97c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</xm:sqref>
        </x14:conditionalFormatting>
        <x14:conditionalFormatting xmlns:xm="http://schemas.microsoft.com/office/excel/2006/main">
          <x14:cfRule type="dataBar" id="{2ed7adae-574a-465d-ab87-348cef1700c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</xm:sqref>
        </x14:conditionalFormatting>
        <x14:conditionalFormatting xmlns:xm="http://schemas.microsoft.com/office/excel/2006/main">
          <x14:cfRule type="dataBar" id="{7497f566-44cc-4d74-b1a3-5a08caa1ff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</xm:sqref>
        </x14:conditionalFormatting>
        <x14:conditionalFormatting xmlns:xm="http://schemas.microsoft.com/office/excel/2006/main">
          <x14:cfRule type="dataBar" id="{010e56ba-3ac7-41c6-841e-a6899c487e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</xm:sqref>
        </x14:conditionalFormatting>
        <x14:conditionalFormatting xmlns:xm="http://schemas.microsoft.com/office/excel/2006/main">
          <x14:cfRule type="dataBar" id="{b12e1482-40be-481e-a360-e9a54f59e2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</xm:sqref>
        </x14:conditionalFormatting>
        <x14:conditionalFormatting xmlns:xm="http://schemas.microsoft.com/office/excel/2006/main">
          <x14:cfRule type="dataBar" id="{28824ec1-c4a0-47c5-95d1-1151631b25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</xm:sqref>
        </x14:conditionalFormatting>
        <x14:conditionalFormatting xmlns:xm="http://schemas.microsoft.com/office/excel/2006/main">
          <x14:cfRule type="dataBar" id="{df05cc5b-ff86-47b2-8465-b1edd4389a8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</xm:sqref>
        </x14:conditionalFormatting>
        <x14:conditionalFormatting xmlns:xm="http://schemas.microsoft.com/office/excel/2006/main">
          <x14:cfRule type="dataBar" id="{89858ab5-dedb-4b08-af96-19626d77a8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</xm:sqref>
        </x14:conditionalFormatting>
        <x14:conditionalFormatting xmlns:xm="http://schemas.microsoft.com/office/excel/2006/main">
          <x14:cfRule type="dataBar" id="{7e7f1e2e-7f79-4b20-be01-8854d3e041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</xm:sqref>
        </x14:conditionalFormatting>
        <x14:conditionalFormatting xmlns:xm="http://schemas.microsoft.com/office/excel/2006/main">
          <x14:cfRule type="dataBar" id="{69cac93c-5e32-4a5e-a2a8-9eac357cd5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</xm:sqref>
        </x14:conditionalFormatting>
        <x14:conditionalFormatting xmlns:xm="http://schemas.microsoft.com/office/excel/2006/main">
          <x14:cfRule type="dataBar" id="{c1f9f08f-f6c7-4539-8483-39b904cde1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</xm:sqref>
        </x14:conditionalFormatting>
        <x14:conditionalFormatting xmlns:xm="http://schemas.microsoft.com/office/excel/2006/main">
          <x14:cfRule type="dataBar" id="{10915180-e197-4992-a773-bd3bdc3fad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</xm:sqref>
        </x14:conditionalFormatting>
        <x14:conditionalFormatting xmlns:xm="http://schemas.microsoft.com/office/excel/2006/main">
          <x14:cfRule type="dataBar" id="{873c81ff-a05a-48d9-b26a-2103841874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</xm:sqref>
        </x14:conditionalFormatting>
        <x14:conditionalFormatting xmlns:xm="http://schemas.microsoft.com/office/excel/2006/main">
          <x14:cfRule type="dataBar" id="{96687715-b68b-4e93-a121-5e6546c6b9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M16</xm:sqref>
        </x14:conditionalFormatting>
        <x14:conditionalFormatting xmlns:xm="http://schemas.microsoft.com/office/excel/2006/main">
          <x14:cfRule type="dataBar" id="{aaa81652-21cb-4133-86db-03b2efa05d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I17</xm:sqref>
        </x14:conditionalFormatting>
        <x14:conditionalFormatting xmlns:xm="http://schemas.microsoft.com/office/excel/2006/main">
          <x14:cfRule type="dataBar" id="{3e3449d8-d905-406b-b802-29fbec24cd7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M17</xm:sqref>
        </x14:conditionalFormatting>
        <x14:conditionalFormatting xmlns:xm="http://schemas.microsoft.com/office/excel/2006/main">
          <x14:cfRule type="dataBar" id="{568c2abb-e77e-46d1-ba33-cc60792265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I18</xm:sqref>
        </x14:conditionalFormatting>
        <x14:conditionalFormatting xmlns:xm="http://schemas.microsoft.com/office/excel/2006/main">
          <x14:cfRule type="dataBar" id="{28c9248b-e076-4479-a474-b7c398f3281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M18</xm:sqref>
        </x14:conditionalFormatting>
        <x14:conditionalFormatting xmlns:xm="http://schemas.microsoft.com/office/excel/2006/main">
          <x14:cfRule type="dataBar" id="{b947b9ed-0e06-4a9b-a338-1e80b71388e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I19</xm:sqref>
        </x14:conditionalFormatting>
        <x14:conditionalFormatting xmlns:xm="http://schemas.microsoft.com/office/excel/2006/main">
          <x14:cfRule type="dataBar" id="{9c3412c4-d877-4f63-af8f-5b39d2d883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M19</xm:sqref>
        </x14:conditionalFormatting>
        <x14:conditionalFormatting xmlns:xm="http://schemas.microsoft.com/office/excel/2006/main">
          <x14:cfRule type="dataBar" id="{ff17066b-a4e7-4f13-8d00-d8f6179bdf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I20</xm:sqref>
        </x14:conditionalFormatting>
        <x14:conditionalFormatting xmlns:xm="http://schemas.microsoft.com/office/excel/2006/main">
          <x14:cfRule type="dataBar" id="{5a2df488-449c-46a1-9d57-1a6863b6eb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M20</xm:sqref>
        </x14:conditionalFormatting>
        <x14:conditionalFormatting xmlns:xm="http://schemas.microsoft.com/office/excel/2006/main">
          <x14:cfRule type="dataBar" id="{863f2aad-dc6d-4caf-bc78-5fef782aea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I21</xm:sqref>
        </x14:conditionalFormatting>
        <x14:conditionalFormatting xmlns:xm="http://schemas.microsoft.com/office/excel/2006/main">
          <x14:cfRule type="dataBar" id="{916e778e-657b-45e3-8b81-20d1f43c208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M21</xm:sqref>
        </x14:conditionalFormatting>
        <x14:conditionalFormatting xmlns:xm="http://schemas.microsoft.com/office/excel/2006/main">
          <x14:cfRule type="dataBar" id="{46337f73-155d-4f68-9843-d6e8374f0f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I22</xm:sqref>
        </x14:conditionalFormatting>
        <x14:conditionalFormatting xmlns:xm="http://schemas.microsoft.com/office/excel/2006/main">
          <x14:cfRule type="dataBar" id="{a8f5fd43-297c-42d3-a5a2-326a18d54b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M22</xm:sqref>
        </x14:conditionalFormatting>
        <x14:conditionalFormatting xmlns:xm="http://schemas.microsoft.com/office/excel/2006/main">
          <x14:cfRule type="dataBar" id="{d7f849d2-56d1-46d6-adbc-3c2469376a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M28</xm:sqref>
        </x14:conditionalFormatting>
        <x14:conditionalFormatting xmlns:xm="http://schemas.microsoft.com/office/excel/2006/main">
          <x14:cfRule type="dataBar" id="{837bfd0d-ee12-4f01-be09-6593bcf064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I29</xm:sqref>
        </x14:conditionalFormatting>
        <x14:conditionalFormatting xmlns:xm="http://schemas.microsoft.com/office/excel/2006/main">
          <x14:cfRule type="dataBar" id="{d90bdbc2-c0c1-448e-bf2d-46d26d24ac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M29</xm:sqref>
        </x14:conditionalFormatting>
        <x14:conditionalFormatting xmlns:xm="http://schemas.microsoft.com/office/excel/2006/main">
          <x14:cfRule type="dataBar" id="{366ff3d9-f871-446d-9ede-d21a2696e9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I30</xm:sqref>
        </x14:conditionalFormatting>
        <x14:conditionalFormatting xmlns:xm="http://schemas.microsoft.com/office/excel/2006/main">
          <x14:cfRule type="dataBar" id="{20eb936e-0a6f-4219-aa3a-16f9a18b28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</xm:sqref>
        </x14:conditionalFormatting>
        <x14:conditionalFormatting xmlns:xm="http://schemas.microsoft.com/office/excel/2006/main">
          <x14:cfRule type="dataBar" id="{4fdc1435-7217-4c0f-bef3-9baa45ebf4d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I32</xm:sqref>
        </x14:conditionalFormatting>
        <x14:conditionalFormatting xmlns:xm="http://schemas.microsoft.com/office/excel/2006/main">
          <x14:cfRule type="dataBar" id="{0e3ed765-7303-4fb6-bd07-d9b64a243e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M32</xm:sqref>
        </x14:conditionalFormatting>
        <x14:conditionalFormatting xmlns:xm="http://schemas.microsoft.com/office/excel/2006/main">
          <x14:cfRule type="dataBar" id="{b4b731ae-3b9c-43d9-a6ca-00edbcf5d3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M40</xm:sqref>
        </x14:conditionalFormatting>
        <x14:conditionalFormatting xmlns:xm="http://schemas.microsoft.com/office/excel/2006/main">
          <x14:cfRule type="dataBar" id="{19547cec-56dc-4d59-a238-0f544bb93c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I41</xm:sqref>
        </x14:conditionalFormatting>
        <x14:conditionalFormatting xmlns:xm="http://schemas.microsoft.com/office/excel/2006/main">
          <x14:cfRule type="dataBar" id="{d7ff0b50-b9e4-47ce-95db-610d691a51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M41</xm:sqref>
        </x14:conditionalFormatting>
        <x14:conditionalFormatting xmlns:xm="http://schemas.microsoft.com/office/excel/2006/main">
          <x14:cfRule type="dataBar" id="{e7ec2df6-0820-4686-8f62-927448258a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I42</xm:sqref>
        </x14:conditionalFormatting>
        <x14:conditionalFormatting xmlns:xm="http://schemas.microsoft.com/office/excel/2006/main">
          <x14:cfRule type="dataBar" id="{e042dbba-bdfe-4b5b-9b10-640dbd3b9a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M42</xm:sqref>
        </x14:conditionalFormatting>
        <x14:conditionalFormatting xmlns:xm="http://schemas.microsoft.com/office/excel/2006/main">
          <x14:cfRule type="dataBar" id="{152fd575-9d5a-40b0-b7c5-2c4efb71d8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I43</xm:sqref>
        </x14:conditionalFormatting>
        <x14:conditionalFormatting xmlns:xm="http://schemas.microsoft.com/office/excel/2006/main">
          <x14:cfRule type="dataBar" id="{08dd4442-6c74-4ca1-a162-6c26a25131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M43</xm:sqref>
        </x14:conditionalFormatting>
        <x14:conditionalFormatting xmlns:xm="http://schemas.microsoft.com/office/excel/2006/main">
          <x14:cfRule type="dataBar" id="{8b3a2ec0-59a9-48ab-8204-c6563645cc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I44</xm:sqref>
        </x14:conditionalFormatting>
        <x14:conditionalFormatting xmlns:xm="http://schemas.microsoft.com/office/excel/2006/main">
          <x14:cfRule type="dataBar" id="{8c905fa7-6e79-482e-b8f8-adb89428c9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M44</xm:sqref>
        </x14:conditionalFormatting>
        <x14:conditionalFormatting xmlns:xm="http://schemas.microsoft.com/office/excel/2006/main">
          <x14:cfRule type="dataBar" id="{f7c7dd03-02ef-4c4a-bded-99781c91e7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I45</xm:sqref>
        </x14:conditionalFormatting>
        <x14:conditionalFormatting xmlns:xm="http://schemas.microsoft.com/office/excel/2006/main">
          <x14:cfRule type="dataBar" id="{a6dc09cb-6368-476f-b41f-4d922d768b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M45</xm:sqref>
        </x14:conditionalFormatting>
        <x14:conditionalFormatting xmlns:xm="http://schemas.microsoft.com/office/excel/2006/main">
          <x14:cfRule type="dataBar" id="{8cbda619-77e2-4f74-ace5-468c1b3af4e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I46</xm:sqref>
        </x14:conditionalFormatting>
        <x14:conditionalFormatting xmlns:xm="http://schemas.microsoft.com/office/excel/2006/main">
          <x14:cfRule type="dataBar" id="{78c63018-9819-4d16-b39f-e89d3d19583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M46</xm:sqref>
        </x14:conditionalFormatting>
        <x14:conditionalFormatting xmlns:xm="http://schemas.microsoft.com/office/excel/2006/main">
          <x14:cfRule type="dataBar" id="{0f42aae4-016e-4844-b5ff-bb73e409918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I47</xm:sqref>
        </x14:conditionalFormatting>
        <x14:conditionalFormatting xmlns:xm="http://schemas.microsoft.com/office/excel/2006/main">
          <x14:cfRule type="dataBar" id="{b5a9a0d1-2a49-46ee-a881-3bd2edb4b23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M47</xm:sqref>
        </x14:conditionalFormatting>
        <x14:conditionalFormatting xmlns:xm="http://schemas.microsoft.com/office/excel/2006/main">
          <x14:cfRule type="dataBar" id="{ae79ed6e-dced-425e-84cd-65d8db01db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M71</xm:sqref>
        </x14:conditionalFormatting>
        <x14:conditionalFormatting xmlns:xm="http://schemas.microsoft.com/office/excel/2006/main">
          <x14:cfRule type="dataBar" id="{4c1316ce-f7b9-4937-8412-477fab7934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I93</xm:sqref>
        </x14:conditionalFormatting>
        <x14:conditionalFormatting xmlns:xm="http://schemas.microsoft.com/office/excel/2006/main">
          <x14:cfRule type="dataBar" id="{9df73154-eef8-4c24-bb28-d22ab11299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M93</xm:sqref>
        </x14:conditionalFormatting>
        <x14:conditionalFormatting xmlns:xm="http://schemas.microsoft.com/office/excel/2006/main">
          <x14:cfRule type="dataBar" id="{29c7044b-97e6-4a73-ae7d-0c4b6a2199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I94</xm:sqref>
        </x14:conditionalFormatting>
        <x14:conditionalFormatting xmlns:xm="http://schemas.microsoft.com/office/excel/2006/main">
          <x14:cfRule type="dataBar" id="{e6f9324b-2321-4c82-ab1f-a198531a12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M94</xm:sqref>
        </x14:conditionalFormatting>
        <x14:conditionalFormatting xmlns:xm="http://schemas.microsoft.com/office/excel/2006/main">
          <x14:cfRule type="dataBar" id="{72228e6e-b11a-487a-af89-33b6151167d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I133</xm:sqref>
        </x14:conditionalFormatting>
        <x14:conditionalFormatting xmlns:xm="http://schemas.microsoft.com/office/excel/2006/main">
          <x14:cfRule type="dataBar" id="{6cf8cd12-538e-4bba-9641-c643cded2e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M133</xm:sqref>
        </x14:conditionalFormatting>
        <x14:conditionalFormatting xmlns:xm="http://schemas.microsoft.com/office/excel/2006/main">
          <x14:cfRule type="dataBar" id="{0b22f37f-7d12-4bf6-bbf0-9cd9d47c65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I144</xm:sqref>
        </x14:conditionalFormatting>
        <x14:conditionalFormatting xmlns:xm="http://schemas.microsoft.com/office/excel/2006/main">
          <x14:cfRule type="dataBar" id="{a29e0f5f-e24f-4b80-8c71-a07a6e1631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M144</xm:sqref>
        </x14:conditionalFormatting>
        <x14:conditionalFormatting xmlns:xm="http://schemas.microsoft.com/office/excel/2006/main">
          <x14:cfRule type="dataBar" id="{2fd5a81a-4c00-4ea8-9ceb-3f0081102a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I11:I12</xm:sqref>
        </x14:conditionalFormatting>
        <x14:conditionalFormatting xmlns:xm="http://schemas.microsoft.com/office/excel/2006/main">
          <x14:cfRule type="dataBar" id="{28614d6b-ee1f-4209-a61c-71361018a0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I53:I63</xm:sqref>
        </x14:conditionalFormatting>
        <x14:conditionalFormatting xmlns:xm="http://schemas.microsoft.com/office/excel/2006/main">
          <x14:cfRule type="dataBar" id="{2e9ed56f-a9ed-4751-8686-c03e60e327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I67:I75</xm:sqref>
        </x14:conditionalFormatting>
        <x14:conditionalFormatting xmlns:xm="http://schemas.microsoft.com/office/excel/2006/main">
          <x14:cfRule type="dataBar" id="{af6da798-5886-461e-bad7-26cbcac646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I79:I85</xm:sqref>
        </x14:conditionalFormatting>
        <x14:conditionalFormatting xmlns:xm="http://schemas.microsoft.com/office/excel/2006/main">
          <x14:cfRule type="dataBar" id="{2a423fea-3b2a-44de-b01a-a2cbfffffe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I101:I109</xm:sqref>
        </x14:conditionalFormatting>
        <x14:conditionalFormatting xmlns:xm="http://schemas.microsoft.com/office/excel/2006/main">
          <x14:cfRule type="dataBar" id="{91d3e874-17c8-4676-9406-dfdc16f98b9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I113:I124</xm:sqref>
        </x14:conditionalFormatting>
        <x14:conditionalFormatting xmlns:xm="http://schemas.microsoft.com/office/excel/2006/main">
          <x14:cfRule type="dataBar" id="{c17e0b06-1a73-411f-9b82-7f173dc68c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I155:I164</xm:sqref>
        </x14:conditionalFormatting>
        <x14:conditionalFormatting xmlns:xm="http://schemas.microsoft.com/office/excel/2006/main">
          <x14:cfRule type="dataBar" id="{ac69adc0-85b8-4447-abe6-f6b4793e23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M53:M61</xm:sqref>
        </x14:conditionalFormatting>
        <x14:conditionalFormatting xmlns:xm="http://schemas.microsoft.com/office/excel/2006/main">
          <x14:cfRule type="dataBar" id="{91c7e526-2338-4342-8324-bbc1483191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M79:M83</xm:sqref>
        </x14:conditionalFormatting>
        <x14:conditionalFormatting xmlns:xm="http://schemas.microsoft.com/office/excel/2006/main">
          <x14:cfRule type="dataBar" id="{960d41ea-e414-497e-a242-4d45237f78e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M101:M107</xm:sqref>
        </x14:conditionalFormatting>
        <x14:conditionalFormatting xmlns:xm="http://schemas.microsoft.com/office/excel/2006/main">
          <x14:cfRule type="dataBar" id="{634fe669-da36-4538-a996-e6abc07d63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M155:M162</xm:sqref>
        </x14:conditionalFormatting>
        <x14:conditionalFormatting xmlns:xm="http://schemas.microsoft.com/office/excel/2006/main">
          <x14:cfRule type="dataBar" id="{fa28ff59-de08-4cca-a43c-f6346c1e4c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I23:I24 I16</xm:sqref>
        </x14:conditionalFormatting>
        <x14:conditionalFormatting xmlns:xm="http://schemas.microsoft.com/office/excel/2006/main">
          <x14:cfRule type="dataBar" id="{4f4d1ac9-9fbc-4c43-9813-f3a90b7761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I35:I36 I28</xm:sqref>
        </x14:conditionalFormatting>
        <x14:conditionalFormatting xmlns:xm="http://schemas.microsoft.com/office/excel/2006/main">
          <x14:cfRule type="dataBar" id="{7296e11c-2864-410f-a1ce-955e1f024c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I33:I34 I31</xm:sqref>
        </x14:conditionalFormatting>
        <x14:conditionalFormatting xmlns:xm="http://schemas.microsoft.com/office/excel/2006/main">
          <x14:cfRule type="dataBar" id="{424dbaaa-1f4a-49c9-bfe9-9e589af0c0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M33:M34 M31</xm:sqref>
        </x14:conditionalFormatting>
        <x14:conditionalFormatting xmlns:xm="http://schemas.microsoft.com/office/excel/2006/main">
          <x14:cfRule type="dataBar" id="{c014b30d-8af4-44e4-a8cb-208e698ab26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I48:I49 I40</xm:sqref>
        </x14:conditionalFormatting>
        <x14:conditionalFormatting xmlns:xm="http://schemas.microsoft.com/office/excel/2006/main">
          <x14:cfRule type="dataBar" id="{4a0fa312-7844-4ffd-90f9-4d59dcee278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M67:M69 M72:M73</xm:sqref>
        </x14:conditionalFormatting>
        <x14:conditionalFormatting xmlns:xm="http://schemas.microsoft.com/office/excel/2006/main">
          <x14:cfRule type="dataBar" id="{02ab14e2-c0c4-47ab-8bd5-70e2b3bc02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I89:I92 I95:I97</xm:sqref>
        </x14:conditionalFormatting>
        <x14:conditionalFormatting xmlns:xm="http://schemas.microsoft.com/office/excel/2006/main">
          <x14:cfRule type="dataBar" id="{c651f4f2-52d7-422b-a783-d4e2defb15f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M89:M92 M95</xm:sqref>
        </x14:conditionalFormatting>
        <x14:conditionalFormatting xmlns:xm="http://schemas.microsoft.com/office/excel/2006/main">
          <x14:cfRule type="dataBar" id="{12429cac-a6bc-48cc-9030-a6e1b1d459d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M113:M115 M119:M120 M117</xm:sqref>
        </x14:conditionalFormatting>
        <x14:conditionalFormatting xmlns:xm="http://schemas.microsoft.com/office/excel/2006/main">
          <x14:cfRule type="dataBar" id="{d9582779-77e0-4861-ad15-920ed86c6a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M128:M132 M134</xm:sqref>
        </x14:conditionalFormatting>
        <x14:conditionalFormatting xmlns:xm="http://schemas.microsoft.com/office/excel/2006/main">
          <x14:cfRule type="dataBar" id="{9dd08357-4475-436d-a88f-c4b6d5aac6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I134:I136 I129:I132</xm:sqref>
        </x14:conditionalFormatting>
        <x14:conditionalFormatting xmlns:xm="http://schemas.microsoft.com/office/excel/2006/main">
          <x14:cfRule type="dataBar" id="{3c7a53d2-d785-4d47-b12a-752dd2c69ee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I140:I143 I150:I151 I145:I148</xm:sqref>
        </x14:conditionalFormatting>
        <x14:conditionalFormatting xmlns:xm="http://schemas.microsoft.com/office/excel/2006/main">
          <x14:cfRule type="dataBar" id="{a9559e06-4ed5-49e6-b9d2-e0a0e59ed1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M140:M143 M145:M148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30"/>
  <sheetViews>
    <sheetView workbookViewId="0">
      <selection activeCell="A1" sqref="A1"/>
    </sheetView>
  </sheetViews>
  <sheetFormatPr defaultColWidth="9" defaultRowHeight="15.6"/>
  <cols>
    <col min="1" max="1" width="13.4444444444444" style="408" customWidth="1"/>
    <col min="2" max="2" width="31.6666666666667" style="408" customWidth="1"/>
    <col min="3" max="3" width="11.3333333333333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19.2222222222222" style="413" hidden="1" customWidth="1"/>
    <col min="14" max="14" width="7.33333333333333" style="414" hidden="1" customWidth="1"/>
    <col min="15" max="15" width="16.3333333333333" style="412" hidden="1" customWidth="1"/>
    <col min="16" max="16" width="96.4444444444444" style="528" customWidth="1"/>
    <col min="17" max="17" width="31.6666666666667" style="408" customWidth="1"/>
    <col min="18" max="18" width="14.8888888888889" style="408" customWidth="1"/>
    <col min="19" max="19" width="10.1111111111111" style="408" customWidth="1"/>
    <col min="20" max="20" width="17.1111111111111" style="416" customWidth="1"/>
    <col min="21" max="21" width="16.8888888888889" style="416" customWidth="1"/>
    <col min="22" max="22" width="10.8888888888889" style="408" hidden="1" customWidth="1"/>
    <col min="23" max="23" width="11.1111111111111" style="408" hidden="1" customWidth="1"/>
    <col min="24" max="16383" width="9" style="417"/>
  </cols>
  <sheetData>
    <row r="1" s="408" customFormat="1" ht="17.4" spans="1:23">
      <c r="A1" s="418" t="s">
        <v>145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43"/>
      <c r="N1" s="444"/>
      <c r="O1" s="422"/>
      <c r="P1" s="529"/>
      <c r="Q1" s="465"/>
      <c r="R1" s="424"/>
      <c r="S1" s="421"/>
      <c r="T1" s="466"/>
      <c r="U1" s="467"/>
      <c r="V1" s="467"/>
      <c r="W1" s="467"/>
    </row>
    <row r="2" s="409" customFormat="1" ht="46.8" spans="1:23">
      <c r="A2" s="423" t="s">
        <v>206</v>
      </c>
      <c r="B2" s="424" t="s">
        <v>207</v>
      </c>
      <c r="C2" s="425" t="s">
        <v>447</v>
      </c>
      <c r="D2" s="424" t="s">
        <v>209</v>
      </c>
      <c r="E2" s="426" t="s">
        <v>210</v>
      </c>
      <c r="F2" s="427" t="s">
        <v>489</v>
      </c>
      <c r="G2" s="427" t="s">
        <v>213</v>
      </c>
      <c r="H2" s="427" t="s">
        <v>396</v>
      </c>
      <c r="I2" s="445" t="s">
        <v>386</v>
      </c>
      <c r="J2" s="446" t="s">
        <v>479</v>
      </c>
      <c r="K2" s="446" t="s">
        <v>215</v>
      </c>
      <c r="L2" s="446" t="s">
        <v>216</v>
      </c>
      <c r="M2" s="447" t="s">
        <v>436</v>
      </c>
      <c r="N2" s="448" t="s">
        <v>219</v>
      </c>
      <c r="O2" s="449" t="s">
        <v>220</v>
      </c>
      <c r="P2" s="530" t="s">
        <v>221</v>
      </c>
      <c r="Q2" s="469" t="s">
        <v>222</v>
      </c>
      <c r="R2" s="426" t="s">
        <v>223</v>
      </c>
      <c r="S2" s="470" t="s">
        <v>224</v>
      </c>
      <c r="T2" s="467" t="s">
        <v>225</v>
      </c>
      <c r="U2" s="470" t="s">
        <v>226</v>
      </c>
      <c r="V2" s="467"/>
      <c r="W2" s="467"/>
    </row>
    <row r="3" s="408" customFormat="1" spans="1:23">
      <c r="A3" s="428" t="s">
        <v>230</v>
      </c>
      <c r="B3" s="421" t="s">
        <v>251</v>
      </c>
      <c r="C3" s="429" t="s">
        <v>233</v>
      </c>
      <c r="D3" s="421" t="s">
        <v>417</v>
      </c>
      <c r="E3" s="430"/>
      <c r="F3" s="430">
        <v>561158</v>
      </c>
      <c r="G3" s="430"/>
      <c r="H3" s="430"/>
      <c r="I3" s="450"/>
      <c r="J3" s="451">
        <v>0.240632934970351</v>
      </c>
      <c r="K3" s="451">
        <v>0.239933683001215</v>
      </c>
      <c r="L3" s="451">
        <v>0.22748044073784</v>
      </c>
      <c r="M3" s="452"/>
      <c r="N3" s="451"/>
      <c r="O3" s="430"/>
      <c r="P3" s="531">
        <f t="array" ref="P3">INDEX(正厂竞争者数据汇总!I:I,MATCH($A$1&amp;B3,正厂竞争者数据汇总!A:A&amp;正厂竞争者数据汇总!D:D,0))</f>
        <v>0</v>
      </c>
      <c r="Q3" s="429" t="s">
        <v>180</v>
      </c>
      <c r="R3" s="421" t="s">
        <v>180</v>
      </c>
      <c r="S3" s="472"/>
      <c r="T3" s="466"/>
      <c r="U3" s="466"/>
      <c r="V3" s="466"/>
      <c r="W3" s="466"/>
    </row>
    <row r="4" s="408" customFormat="1" ht="17.4" spans="1:23">
      <c r="A4" s="428" t="s">
        <v>230</v>
      </c>
      <c r="B4" s="421" t="s">
        <v>450</v>
      </c>
      <c r="C4" s="429" t="s">
        <v>233</v>
      </c>
      <c r="D4" s="421" t="s">
        <v>60</v>
      </c>
      <c r="E4" s="430"/>
      <c r="F4" s="430">
        <v>511874.416666667</v>
      </c>
      <c r="G4" s="430"/>
      <c r="H4" s="430"/>
      <c r="I4" s="450"/>
      <c r="J4" s="451">
        <v>0.21949939806389</v>
      </c>
      <c r="K4" s="451">
        <v>0.207084022724113</v>
      </c>
      <c r="L4" s="451">
        <v>0.189373381439279</v>
      </c>
      <c r="M4" s="452"/>
      <c r="N4" s="451"/>
      <c r="O4" s="430"/>
      <c r="P4" s="531" t="str">
        <f t="array" ref="P4">INDEX(正厂竞争者数据汇总!I:I,MATCH($A$1&amp;B4,正厂竞争者数据汇总!A:A&amp;正厂竞争者数据汇总!D:D,0))</f>
        <v>原gmpartsonline.net，202305网站导流到autopartspress.net。自2023年7月报告更新，将此竞品更名为autopartsexpress.net</v>
      </c>
      <c r="Q4" s="429" t="s">
        <v>254</v>
      </c>
      <c r="R4" s="421" t="s">
        <v>229</v>
      </c>
      <c r="S4" s="472"/>
      <c r="T4" s="466"/>
      <c r="U4" s="466"/>
      <c r="V4" s="466"/>
      <c r="W4" s="466"/>
    </row>
    <row r="5" s="410" customFormat="1" spans="1:23">
      <c r="A5" s="432" t="s">
        <v>227</v>
      </c>
      <c r="B5" s="435" t="s">
        <v>146</v>
      </c>
      <c r="C5" s="505" t="s">
        <v>441</v>
      </c>
      <c r="D5" s="435" t="s">
        <v>58</v>
      </c>
      <c r="E5" s="436"/>
      <c r="F5" s="436">
        <v>432795.5</v>
      </c>
      <c r="G5" s="436"/>
      <c r="H5" s="436"/>
      <c r="I5" s="510"/>
      <c r="J5" s="457">
        <v>0.185589177035631</v>
      </c>
      <c r="K5" s="457">
        <v>0.189757318069908</v>
      </c>
      <c r="L5" s="457">
        <v>0.182728779175356</v>
      </c>
      <c r="M5" s="461"/>
      <c r="N5" s="457"/>
      <c r="O5" s="436"/>
      <c r="P5" s="531">
        <f t="array" ref="P5">INDEX(正厂竞争者数据汇总!I:I,MATCH($A$1&amp;B5,正厂竞争者数据汇总!A:A&amp;正厂竞争者数据汇总!D:D,0))</f>
        <v>0</v>
      </c>
      <c r="Q5" s="434"/>
      <c r="R5" s="435"/>
      <c r="S5" s="476"/>
      <c r="T5" s="477"/>
      <c r="U5" s="477"/>
      <c r="V5" s="477"/>
      <c r="W5" s="477"/>
    </row>
    <row r="6" s="408" customFormat="1" spans="1:23">
      <c r="A6" s="428" t="s">
        <v>230</v>
      </c>
      <c r="B6" s="421" t="s">
        <v>252</v>
      </c>
      <c r="C6" s="429" t="s">
        <v>233</v>
      </c>
      <c r="D6" s="421" t="s">
        <v>58</v>
      </c>
      <c r="E6" s="430"/>
      <c r="F6" s="430">
        <v>243996</v>
      </c>
      <c r="G6" s="430"/>
      <c r="H6" s="430"/>
      <c r="I6" s="450"/>
      <c r="J6" s="451">
        <v>0.10462913047845</v>
      </c>
      <c r="K6" s="451">
        <v>0.0969824061422108</v>
      </c>
      <c r="L6" s="451">
        <v>0.0964947299466413</v>
      </c>
      <c r="M6" s="452"/>
      <c r="N6" s="451"/>
      <c r="O6" s="430"/>
      <c r="P6" s="531">
        <f t="array" ref="P6">INDEX(正厂竞争者数据汇总!I:I,MATCH($A$1&amp;B6,正厂竞争者数据汇总!A:A&amp;正厂竞争者数据汇总!D:D,0))</f>
        <v>0</v>
      </c>
      <c r="Q6" s="429" t="s">
        <v>180</v>
      </c>
      <c r="R6" s="421" t="s">
        <v>180</v>
      </c>
      <c r="S6" s="472"/>
      <c r="T6" s="466"/>
      <c r="U6" s="466"/>
      <c r="V6" s="466"/>
      <c r="W6" s="466"/>
    </row>
    <row r="7" s="408" customFormat="1" spans="1:23">
      <c r="A7" s="428" t="s">
        <v>230</v>
      </c>
      <c r="B7" s="421" t="s">
        <v>258</v>
      </c>
      <c r="C7" s="429" t="s">
        <v>233</v>
      </c>
      <c r="D7" s="421" t="s">
        <v>59</v>
      </c>
      <c r="E7" s="430"/>
      <c r="F7" s="430">
        <v>168903.25</v>
      </c>
      <c r="G7" s="430"/>
      <c r="H7" s="430"/>
      <c r="I7" s="450"/>
      <c r="J7" s="451">
        <v>0.072428237276366</v>
      </c>
      <c r="K7" s="451">
        <v>0.0834911936641362</v>
      </c>
      <c r="L7" s="451">
        <v>0.0871033669324006</v>
      </c>
      <c r="M7" s="452"/>
      <c r="N7" s="451"/>
      <c r="O7" s="430"/>
      <c r="P7" s="531">
        <f t="array" ref="P7">INDEX(正厂竞争者数据汇总!I:I,MATCH($A$1&amp;B7,正厂竞争者数据汇总!A:A&amp;正厂竞争者数据汇总!D:D,0))</f>
        <v>0</v>
      </c>
      <c r="Q7" s="429" t="s">
        <v>180</v>
      </c>
      <c r="R7" s="421"/>
      <c r="S7" s="472"/>
      <c r="T7" s="466"/>
      <c r="U7" s="466"/>
      <c r="V7" s="466"/>
      <c r="W7" s="466"/>
    </row>
    <row r="8" s="408" customFormat="1" spans="1:23">
      <c r="A8" s="428" t="s">
        <v>230</v>
      </c>
      <c r="B8" s="421" t="s">
        <v>255</v>
      </c>
      <c r="C8" s="429" t="s">
        <v>233</v>
      </c>
      <c r="D8" s="421" t="s">
        <v>419</v>
      </c>
      <c r="E8" s="430"/>
      <c r="F8" s="430">
        <v>152698.376666667</v>
      </c>
      <c r="G8" s="430"/>
      <c r="H8" s="430"/>
      <c r="I8" s="450"/>
      <c r="J8" s="451">
        <v>0.0654793454651066</v>
      </c>
      <c r="K8" s="451">
        <v>0.0646490245989127</v>
      </c>
      <c r="L8" s="451">
        <v>0.0635177063596749</v>
      </c>
      <c r="M8" s="452"/>
      <c r="N8" s="451"/>
      <c r="O8" s="430"/>
      <c r="P8" s="531" t="str">
        <f t="array" ref="P8">INDEX(正厂竞争者数据汇总!I:I,MATCH($A$1&amp;B8,正厂竞争者数据汇总!A:A&amp;正厂竞争者数据汇总!D:D,0))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8" s="429" t="s">
        <v>180</v>
      </c>
      <c r="R8" s="421" t="s">
        <v>180</v>
      </c>
      <c r="S8" s="472"/>
      <c r="T8" s="466"/>
      <c r="U8" s="466"/>
      <c r="V8" s="466"/>
      <c r="W8" s="466"/>
    </row>
    <row r="9" s="408" customFormat="1" spans="1:23">
      <c r="A9" s="428" t="s">
        <v>230</v>
      </c>
      <c r="B9" s="421" t="s">
        <v>437</v>
      </c>
      <c r="C9" s="429" t="s">
        <v>233</v>
      </c>
      <c r="D9" s="421" t="s">
        <v>451</v>
      </c>
      <c r="E9" s="430"/>
      <c r="F9" s="430">
        <v>140686.583333333</v>
      </c>
      <c r="G9" s="430"/>
      <c r="H9" s="430"/>
      <c r="I9" s="450"/>
      <c r="J9" s="451">
        <v>0.0603285090089615</v>
      </c>
      <c r="K9" s="451">
        <v>0.066980865733017</v>
      </c>
      <c r="L9" s="451">
        <v>0.0686637625181249</v>
      </c>
      <c r="M9" s="452"/>
      <c r="N9" s="451"/>
      <c r="O9" s="430"/>
      <c r="P9" s="531">
        <f t="array" ref="P9">INDEX(正厂竞争者数据汇总!I:I,MATCH($A$1&amp;B9,正厂竞争者数据汇总!A:A&amp;正厂竞争者数据汇总!D:D,0))</f>
        <v>0</v>
      </c>
      <c r="Q9" s="429" t="s">
        <v>180</v>
      </c>
      <c r="R9" s="421" t="s">
        <v>180</v>
      </c>
      <c r="S9" s="472"/>
      <c r="T9" s="466"/>
      <c r="U9" s="466"/>
      <c r="V9" s="466"/>
      <c r="W9" s="466"/>
    </row>
    <row r="10" s="408" customFormat="1" spans="1:23">
      <c r="A10" s="428" t="s">
        <v>487</v>
      </c>
      <c r="B10" s="421" t="s">
        <v>256</v>
      </c>
      <c r="C10" s="429" t="s">
        <v>441</v>
      </c>
      <c r="D10" s="421" t="s">
        <v>418</v>
      </c>
      <c r="E10" s="430"/>
      <c r="F10" s="430">
        <v>119896.166666667</v>
      </c>
      <c r="G10" s="430"/>
      <c r="H10" s="430"/>
      <c r="I10" s="450"/>
      <c r="J10" s="451">
        <v>0.0514132677012436</v>
      </c>
      <c r="K10" s="451">
        <v>0.0511214860664873</v>
      </c>
      <c r="L10" s="451">
        <v>0.0475699000229718</v>
      </c>
      <c r="M10" s="452"/>
      <c r="N10" s="451"/>
      <c r="O10" s="430"/>
      <c r="P10" s="531">
        <f t="array" ref="P10">INDEX(正厂竞争者数据汇总!I:I,MATCH($A$1&amp;B10,正厂竞争者数据汇总!A:A&amp;正厂竞争者数据汇总!D:D,0))</f>
        <v>0</v>
      </c>
      <c r="Q10" s="429" t="s">
        <v>257</v>
      </c>
      <c r="R10" s="421" t="s">
        <v>229</v>
      </c>
      <c r="S10" s="472"/>
      <c r="T10" s="466"/>
      <c r="U10" s="466"/>
      <c r="V10" s="466"/>
      <c r="W10" s="466"/>
    </row>
    <row r="11" s="410" customFormat="1" spans="1:23">
      <c r="A11" s="428"/>
      <c r="B11" s="431"/>
      <c r="C11" s="429"/>
      <c r="D11" s="421"/>
      <c r="E11" s="430"/>
      <c r="F11" s="430"/>
      <c r="G11" s="430"/>
      <c r="H11" s="430"/>
      <c r="I11" s="450"/>
      <c r="J11" s="455"/>
      <c r="K11" s="455"/>
      <c r="L11" s="455"/>
      <c r="M11" s="452"/>
      <c r="N11" s="457"/>
      <c r="O11" s="436"/>
      <c r="P11" s="531"/>
      <c r="Q11" s="434"/>
      <c r="R11" s="435"/>
      <c r="S11" s="473"/>
      <c r="T11" s="477"/>
      <c r="U11" s="466"/>
      <c r="V11" s="435"/>
      <c r="W11" s="435"/>
    </row>
    <row r="12" s="408" customFormat="1" spans="1:23">
      <c r="A12" s="428"/>
      <c r="B12" s="421"/>
      <c r="C12" s="439"/>
      <c r="D12" s="421"/>
      <c r="E12" s="430"/>
      <c r="F12" s="430">
        <v>2332008.29333333</v>
      </c>
      <c r="G12" s="430"/>
      <c r="H12" s="430"/>
      <c r="I12" s="453"/>
      <c r="J12" s="430"/>
      <c r="K12" s="430"/>
      <c r="L12" s="430"/>
      <c r="M12" s="451"/>
      <c r="N12" s="451"/>
      <c r="O12" s="430"/>
      <c r="P12" s="531"/>
      <c r="Q12" s="429"/>
      <c r="R12" s="421"/>
      <c r="S12" s="473"/>
      <c r="T12" s="466"/>
      <c r="U12" s="466"/>
      <c r="V12" s="421"/>
      <c r="W12" s="421"/>
    </row>
    <row r="13" s="408" customFormat="1" spans="1:23">
      <c r="A13" s="428"/>
      <c r="B13" s="421"/>
      <c r="C13" s="439"/>
      <c r="D13" s="421"/>
      <c r="E13" s="430"/>
      <c r="F13" s="430"/>
      <c r="G13" s="430"/>
      <c r="H13" s="430"/>
      <c r="I13" s="453"/>
      <c r="J13" s="430"/>
      <c r="K13" s="430"/>
      <c r="L13" s="430"/>
      <c r="M13" s="451"/>
      <c r="N13" s="451"/>
      <c r="O13" s="430"/>
      <c r="P13" s="531"/>
      <c r="Q13" s="429"/>
      <c r="R13" s="421"/>
      <c r="S13" s="473"/>
      <c r="T13" s="466"/>
      <c r="U13" s="466"/>
      <c r="V13" s="421"/>
      <c r="W13" s="421"/>
    </row>
    <row r="14" s="408" customFormat="1" ht="17.4" spans="1:23">
      <c r="A14" s="418" t="s">
        <v>138</v>
      </c>
      <c r="B14" s="419"/>
      <c r="C14" s="420"/>
      <c r="D14" s="421"/>
      <c r="E14" s="422" t="s">
        <v>202</v>
      </c>
      <c r="F14" s="422"/>
      <c r="G14" s="422"/>
      <c r="H14" s="422"/>
      <c r="I14" s="422"/>
      <c r="J14" s="422"/>
      <c r="K14" s="422"/>
      <c r="L14" s="422"/>
      <c r="M14" s="443"/>
      <c r="N14" s="444"/>
      <c r="O14" s="422"/>
      <c r="P14" s="531"/>
      <c r="Q14" s="465"/>
      <c r="R14" s="424"/>
      <c r="S14" s="473"/>
      <c r="T14" s="467"/>
      <c r="U14" s="467"/>
      <c r="V14" s="467"/>
      <c r="W14" s="467"/>
    </row>
    <row r="15" s="409" customFormat="1" ht="46.8" spans="1:23">
      <c r="A15" s="423" t="s">
        <v>206</v>
      </c>
      <c r="B15" s="424" t="s">
        <v>207</v>
      </c>
      <c r="C15" s="425" t="s">
        <v>447</v>
      </c>
      <c r="D15" s="424" t="s">
        <v>209</v>
      </c>
      <c r="E15" s="426" t="s">
        <v>210</v>
      </c>
      <c r="F15" s="427" t="s">
        <v>489</v>
      </c>
      <c r="G15" s="427" t="s">
        <v>213</v>
      </c>
      <c r="H15" s="427" t="s">
        <v>396</v>
      </c>
      <c r="I15" s="427" t="s">
        <v>386</v>
      </c>
      <c r="J15" s="446" t="s">
        <v>479</v>
      </c>
      <c r="K15" s="446" t="s">
        <v>215</v>
      </c>
      <c r="L15" s="446" t="s">
        <v>216</v>
      </c>
      <c r="M15" s="447" t="s">
        <v>436</v>
      </c>
      <c r="N15" s="448" t="s">
        <v>219</v>
      </c>
      <c r="O15" s="449" t="s">
        <v>220</v>
      </c>
      <c r="P15" s="530" t="s">
        <v>221</v>
      </c>
      <c r="Q15" s="469" t="s">
        <v>222</v>
      </c>
      <c r="R15" s="426" t="s">
        <v>223</v>
      </c>
      <c r="S15" s="470" t="s">
        <v>224</v>
      </c>
      <c r="T15" s="467" t="s">
        <v>225</v>
      </c>
      <c r="U15" s="470" t="s">
        <v>226</v>
      </c>
      <c r="V15" s="467"/>
      <c r="W15" s="467"/>
    </row>
    <row r="16" s="410" customFormat="1" ht="17.4" spans="1:23">
      <c r="A16" s="432" t="s">
        <v>227</v>
      </c>
      <c r="B16" s="435" t="s">
        <v>139</v>
      </c>
      <c r="C16" s="434" t="s">
        <v>441</v>
      </c>
      <c r="D16" s="435" t="s">
        <v>49</v>
      </c>
      <c r="E16" s="436">
        <f>VLOOKUP(B16,正厂竞争者数据汇总!D:H,4,FALSE)</f>
        <v>0</v>
      </c>
      <c r="F16" s="436">
        <v>1421333.33333333</v>
      </c>
      <c r="G16" s="436">
        <v>1150833.33333333</v>
      </c>
      <c r="H16" s="436">
        <v>1200750</v>
      </c>
      <c r="I16" s="454">
        <f>(F16/G16)-1</f>
        <v>0.235047067342506</v>
      </c>
      <c r="J16" s="455">
        <v>0.526115937370734</v>
      </c>
      <c r="K16" s="455">
        <v>0.525844767628636</v>
      </c>
      <c r="L16" s="455">
        <v>0.507611194743587</v>
      </c>
      <c r="M16" s="456">
        <f>J16-K16</f>
        <v>0.000271169742098065</v>
      </c>
      <c r="N16" s="455" t="str">
        <f>IFERROR(O16*0.5/$F$16,"")</f>
        <v/>
      </c>
      <c r="O16" s="436" t="s">
        <v>180</v>
      </c>
      <c r="P16" s="531">
        <f t="array" ref="P16">INDEX(正厂竞争者数据汇总!I:I,MATCH($A$14&amp;B16,正厂竞争者数据汇总!A:A&amp;正厂竞争者数据汇总!D:D,0))</f>
        <v>0</v>
      </c>
      <c r="Q16" s="434" t="s">
        <v>228</v>
      </c>
      <c r="R16" s="435" t="s">
        <v>229</v>
      </c>
      <c r="S16" s="476"/>
      <c r="T16" s="477"/>
      <c r="U16" s="477"/>
      <c r="V16" s="477"/>
      <c r="W16" s="477"/>
    </row>
    <row r="17" s="408" customFormat="1" spans="1:23">
      <c r="A17" s="428" t="s">
        <v>230</v>
      </c>
      <c r="B17" s="421" t="s">
        <v>231</v>
      </c>
      <c r="C17" s="429" t="s">
        <v>441</v>
      </c>
      <c r="D17" s="421" t="s">
        <v>60</v>
      </c>
      <c r="E17" s="430"/>
      <c r="F17" s="430">
        <v>455836.75</v>
      </c>
      <c r="G17" s="430"/>
      <c r="H17" s="430"/>
      <c r="I17" s="450"/>
      <c r="J17" s="451">
        <v>0.168730988987532</v>
      </c>
      <c r="K17" s="451">
        <v>0.189389440445972</v>
      </c>
      <c r="L17" s="451">
        <v>0.146486655679942</v>
      </c>
      <c r="M17" s="452"/>
      <c r="N17" s="451"/>
      <c r="O17" s="430"/>
      <c r="P17" s="531">
        <f t="array" ref="P17">INDEX(正厂竞争者数据汇总!I:I,MATCH($A$14&amp;B17,正厂竞争者数据汇总!A:A&amp;正厂竞争者数据汇总!D:D,0))</f>
        <v>0</v>
      </c>
      <c r="Q17" s="429"/>
      <c r="R17" s="421"/>
      <c r="S17" s="472"/>
      <c r="T17" s="466"/>
      <c r="U17" s="466"/>
      <c r="V17" s="466"/>
      <c r="W17" s="466"/>
    </row>
    <row r="18" s="408" customFormat="1" spans="1:23">
      <c r="A18" s="428" t="s">
        <v>230</v>
      </c>
      <c r="B18" s="421" t="s">
        <v>236</v>
      </c>
      <c r="C18" s="429" t="s">
        <v>441</v>
      </c>
      <c r="D18" s="421" t="s">
        <v>412</v>
      </c>
      <c r="E18" s="430"/>
      <c r="F18" s="430">
        <v>251458.333333333</v>
      </c>
      <c r="G18" s="430"/>
      <c r="H18" s="430"/>
      <c r="I18" s="450"/>
      <c r="J18" s="451">
        <v>0.0930789658194296</v>
      </c>
      <c r="K18" s="451">
        <v>0.0909731690963064</v>
      </c>
      <c r="L18" s="451">
        <v>0.0812314795507423</v>
      </c>
      <c r="M18" s="452"/>
      <c r="N18" s="451"/>
      <c r="O18" s="430"/>
      <c r="P18" s="531" t="str">
        <f t="array" ref="P18">INDEX(正厂竞争者数据汇总!I:I,MATCH($A$14&amp;B18,正厂竞争者数据汇总!A:A&amp;正厂竞争者数据汇总!D:D,0))</f>
        <v>2022年1月 新加入 CompetitorSites
2022年1月 新加入 MarketingShare</v>
      </c>
      <c r="Q18" s="429"/>
      <c r="R18" s="421"/>
      <c r="S18" s="472"/>
      <c r="T18" s="466"/>
      <c r="U18" s="466"/>
      <c r="V18" s="466"/>
      <c r="W18" s="466"/>
    </row>
    <row r="19" s="408" customFormat="1" spans="1:23">
      <c r="A19" s="428" t="s">
        <v>230</v>
      </c>
      <c r="B19" s="421" t="s">
        <v>235</v>
      </c>
      <c r="C19" s="429" t="s">
        <v>441</v>
      </c>
      <c r="D19" s="421" t="s">
        <v>411</v>
      </c>
      <c r="E19" s="430"/>
      <c r="F19" s="430">
        <v>234899.75</v>
      </c>
      <c r="G19" s="430"/>
      <c r="H19" s="430"/>
      <c r="I19" s="450"/>
      <c r="J19" s="451">
        <v>0.0869496966412298</v>
      </c>
      <c r="K19" s="451">
        <v>0.0886237030416339</v>
      </c>
      <c r="L19" s="451">
        <v>0.0938838587647045</v>
      </c>
      <c r="M19" s="452"/>
      <c r="N19" s="451"/>
      <c r="O19" s="430"/>
      <c r="P19" s="531" t="str">
        <f t="array" ref="P19">INDEX(正厂竞争者数据汇总!I:I,MATCH($A$14&amp;B19,正厂竞争者数据汇总!A:A&amp;正厂竞争者数据汇总!D:D,0))</f>
        <v>2021年06月新加竞争者</v>
      </c>
      <c r="Q19" s="429"/>
      <c r="R19" s="421"/>
      <c r="S19" s="472"/>
      <c r="T19" s="466"/>
      <c r="U19" s="466"/>
      <c r="V19" s="466"/>
      <c r="W19" s="466"/>
    </row>
    <row r="20" s="408" customFormat="1" spans="1:23">
      <c r="A20" s="428" t="s">
        <v>230</v>
      </c>
      <c r="B20" s="421" t="s">
        <v>237</v>
      </c>
      <c r="C20" s="429" t="s">
        <v>441</v>
      </c>
      <c r="D20" s="421" t="s">
        <v>250</v>
      </c>
      <c r="E20" s="430"/>
      <c r="F20" s="430">
        <v>164549.75</v>
      </c>
      <c r="G20" s="430"/>
      <c r="H20" s="430"/>
      <c r="I20" s="450"/>
      <c r="J20" s="451">
        <v>0.0609091786810765</v>
      </c>
      <c r="K20" s="451">
        <v>0.0586408346633525</v>
      </c>
      <c r="L20" s="451">
        <v>0.0394863738609768</v>
      </c>
      <c r="M20" s="452"/>
      <c r="N20" s="451"/>
      <c r="O20" s="430"/>
      <c r="P20" s="531">
        <f t="array" ref="P20">INDEX(正厂竞争者数据汇总!I:I,MATCH($A$14&amp;B20,正厂竞争者数据汇总!A:A&amp;正厂竞争者数据汇总!D:D,0))</f>
        <v>0</v>
      </c>
      <c r="Q20" s="429"/>
      <c r="R20" s="421"/>
      <c r="S20" s="472"/>
      <c r="T20" s="466"/>
      <c r="U20" s="466"/>
      <c r="V20" s="466"/>
      <c r="W20" s="466"/>
    </row>
    <row r="21" s="408" customFormat="1" spans="1:23">
      <c r="A21" s="428" t="s">
        <v>238</v>
      </c>
      <c r="B21" s="421" t="s">
        <v>239</v>
      </c>
      <c r="C21" s="429" t="s">
        <v>441</v>
      </c>
      <c r="D21" s="421" t="s">
        <v>250</v>
      </c>
      <c r="E21" s="430"/>
      <c r="F21" s="430">
        <v>95198.6666666665</v>
      </c>
      <c r="G21" s="430"/>
      <c r="H21" s="430"/>
      <c r="I21" s="450"/>
      <c r="J21" s="451">
        <v>0.0352384163342712</v>
      </c>
      <c r="K21" s="451">
        <v>0.0465280851240991</v>
      </c>
      <c r="L21" s="451">
        <v>0.052298892539928</v>
      </c>
      <c r="M21" s="452"/>
      <c r="N21" s="451"/>
      <c r="O21" s="430"/>
      <c r="P21" s="531" t="str">
        <f t="array" ref="P21">INDEX(正厂竞争者数据汇总!I:I,MATCH($A$14&amp;B21,正厂竞争者数据汇总!A:A&amp;正厂竞争者数据汇总!D:D,0))</f>
        <v>2023年10月，Semrush中仅能获取acura子域名流量</v>
      </c>
      <c r="Q21" s="429"/>
      <c r="R21" s="421"/>
      <c r="S21" s="472"/>
      <c r="T21" s="466"/>
      <c r="U21" s="466"/>
      <c r="V21" s="466"/>
      <c r="W21" s="466"/>
    </row>
    <row r="22" s="408" customFormat="1" spans="1:23">
      <c r="A22" s="428" t="s">
        <v>230</v>
      </c>
      <c r="B22" s="421" t="s">
        <v>232</v>
      </c>
      <c r="C22" s="429" t="s">
        <v>233</v>
      </c>
      <c r="D22" s="421" t="s">
        <v>234</v>
      </c>
      <c r="E22" s="430"/>
      <c r="F22" s="430">
        <v>78282.5833333333</v>
      </c>
      <c r="G22" s="430"/>
      <c r="H22" s="430"/>
      <c r="I22" s="450"/>
      <c r="J22" s="451">
        <v>0.0289768161657265</v>
      </c>
      <c r="K22" s="451">
        <v>0.0324559514757223</v>
      </c>
      <c r="L22" s="451">
        <v>0.0388862041160876</v>
      </c>
      <c r="M22" s="452"/>
      <c r="N22" s="451"/>
      <c r="O22" s="430"/>
      <c r="P22" s="531" t="str">
        <f t="array" ref="P22">INDEX(正厂竞争者数据汇总!I:I,MATCH($A$14&amp;B22,正厂竞争者数据汇总!A:A&amp;正厂竞争者数据汇总!D:D,0))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流量折算比例：Acura:8%,BMW:0%,Ford:20%,GM:5%,Honda:17%,Hyundai:8%,Infiniti:2%,Kia:5%,Lexus:2%,Mopar:9%,Nissan:14%,Subaru:5%,Toyota:6%，折算比例为0的网站按照除0外最低折算比例计。2024年1月因为市场份额超过5%加入MS监控</v>
      </c>
      <c r="Q22" s="429"/>
      <c r="R22" s="421"/>
      <c r="S22" s="472"/>
      <c r="T22" s="466"/>
      <c r="U22" s="466"/>
      <c r="V22" s="466"/>
      <c r="W22" s="466"/>
    </row>
    <row r="23" s="410" customFormat="1" spans="1:23">
      <c r="A23" s="432"/>
      <c r="B23" s="435"/>
      <c r="C23" s="434"/>
      <c r="D23" s="435"/>
      <c r="E23" s="430"/>
      <c r="F23" s="430"/>
      <c r="G23" s="430"/>
      <c r="H23" s="430"/>
      <c r="I23" s="453"/>
      <c r="J23" s="436"/>
      <c r="K23" s="436"/>
      <c r="L23" s="436"/>
      <c r="M23" s="451"/>
      <c r="N23" s="455"/>
      <c r="O23" s="436"/>
      <c r="P23" s="531"/>
      <c r="Q23" s="434"/>
      <c r="R23" s="435"/>
      <c r="S23" s="473"/>
      <c r="T23" s="477"/>
      <c r="U23" s="466"/>
      <c r="V23" s="435"/>
      <c r="W23" s="435"/>
    </row>
    <row r="24" s="408" customFormat="1" spans="1:23">
      <c r="A24" s="428"/>
      <c r="B24" s="421"/>
      <c r="C24" s="439"/>
      <c r="D24" s="421"/>
      <c r="E24" s="430"/>
      <c r="F24" s="430">
        <v>2701559.16666667</v>
      </c>
      <c r="G24" s="430">
        <v>2122774.16666666</v>
      </c>
      <c r="H24" s="430">
        <v>2262821.16666667</v>
      </c>
      <c r="I24" s="453">
        <f>(F24/G24)-1</f>
        <v>0.272655004516501</v>
      </c>
      <c r="J24" s="451"/>
      <c r="K24" s="451"/>
      <c r="L24" s="451"/>
      <c r="M24" s="451"/>
      <c r="N24" s="451">
        <f>SUM(N16:N17)</f>
        <v>0</v>
      </c>
      <c r="O24" s="451"/>
      <c r="P24" s="531"/>
      <c r="Q24" s="429"/>
      <c r="R24" s="421"/>
      <c r="S24" s="473"/>
      <c r="T24" s="466"/>
      <c r="U24" s="466"/>
      <c r="V24" s="421"/>
      <c r="W24" s="421"/>
    </row>
    <row r="25" s="408" customFormat="1" spans="1:23">
      <c r="A25" s="428"/>
      <c r="B25" s="421"/>
      <c r="C25" s="439"/>
      <c r="D25" s="421"/>
      <c r="E25" s="430"/>
      <c r="F25" s="430"/>
      <c r="G25" s="430"/>
      <c r="H25" s="430"/>
      <c r="I25" s="453"/>
      <c r="J25" s="430"/>
      <c r="K25" s="430"/>
      <c r="L25" s="430"/>
      <c r="M25" s="451"/>
      <c r="N25" s="451"/>
      <c r="O25" s="430"/>
      <c r="P25" s="531"/>
      <c r="Q25" s="429"/>
      <c r="R25" s="421"/>
      <c r="S25" s="473"/>
      <c r="T25" s="466"/>
      <c r="U25" s="466"/>
      <c r="V25" s="421"/>
      <c r="W25" s="421"/>
    </row>
    <row r="26" s="408" customFormat="1" ht="17.4" spans="1:23">
      <c r="A26" s="418" t="s">
        <v>141</v>
      </c>
      <c r="B26" s="441"/>
      <c r="C26" s="420"/>
      <c r="D26" s="421"/>
      <c r="E26" s="422" t="s">
        <v>202</v>
      </c>
      <c r="F26" s="422"/>
      <c r="G26" s="422"/>
      <c r="H26" s="422"/>
      <c r="I26" s="422"/>
      <c r="J26" s="422"/>
      <c r="K26" s="422"/>
      <c r="L26" s="422"/>
      <c r="M26" s="443"/>
      <c r="N26" s="444"/>
      <c r="O26" s="422"/>
      <c r="P26" s="531"/>
      <c r="Q26" s="465"/>
      <c r="R26" s="424"/>
      <c r="S26" s="473"/>
      <c r="T26" s="467"/>
      <c r="U26" s="467"/>
      <c r="V26" s="467"/>
      <c r="W26" s="467"/>
    </row>
    <row r="27" s="409" customFormat="1" ht="46.8" spans="1:23">
      <c r="A27" s="423" t="s">
        <v>206</v>
      </c>
      <c r="B27" s="424" t="s">
        <v>207</v>
      </c>
      <c r="C27" s="425" t="s">
        <v>447</v>
      </c>
      <c r="D27" s="424" t="s">
        <v>209</v>
      </c>
      <c r="E27" s="426" t="s">
        <v>210</v>
      </c>
      <c r="F27" s="427" t="s">
        <v>489</v>
      </c>
      <c r="G27" s="427" t="s">
        <v>213</v>
      </c>
      <c r="H27" s="427" t="s">
        <v>396</v>
      </c>
      <c r="I27" s="427" t="s">
        <v>386</v>
      </c>
      <c r="J27" s="446" t="s">
        <v>479</v>
      </c>
      <c r="K27" s="446" t="s">
        <v>215</v>
      </c>
      <c r="L27" s="446" t="s">
        <v>216</v>
      </c>
      <c r="M27" s="447" t="s">
        <v>436</v>
      </c>
      <c r="N27" s="448" t="s">
        <v>219</v>
      </c>
      <c r="O27" s="449" t="s">
        <v>220</v>
      </c>
      <c r="P27" s="530" t="s">
        <v>221</v>
      </c>
      <c r="Q27" s="469" t="s">
        <v>222</v>
      </c>
      <c r="R27" s="426" t="s">
        <v>223</v>
      </c>
      <c r="S27" s="470" t="s">
        <v>224</v>
      </c>
      <c r="T27" s="467" t="s">
        <v>225</v>
      </c>
      <c r="U27" s="470" t="s">
        <v>226</v>
      </c>
      <c r="V27" s="467"/>
      <c r="W27" s="467"/>
    </row>
    <row r="28" s="410" customFormat="1" ht="17.4" spans="1:23">
      <c r="A28" s="432" t="s">
        <v>227</v>
      </c>
      <c r="B28" s="433" t="s">
        <v>142</v>
      </c>
      <c r="C28" s="434" t="s">
        <v>441</v>
      </c>
      <c r="D28" s="435" t="s">
        <v>49</v>
      </c>
      <c r="E28" s="436">
        <f>VLOOKUP(B28,正厂竞争者数据汇总!D:H,4,FALSE)</f>
        <v>0</v>
      </c>
      <c r="F28" s="436">
        <v>581837.666666667</v>
      </c>
      <c r="G28" s="436">
        <v>506654</v>
      </c>
      <c r="H28" s="436">
        <v>541471.75</v>
      </c>
      <c r="I28" s="454">
        <f>(F28/G28)-1</f>
        <v>0.148392525602614</v>
      </c>
      <c r="J28" s="455">
        <v>0.323485474711538</v>
      </c>
      <c r="K28" s="455">
        <v>0.309889369452836</v>
      </c>
      <c r="L28" s="455">
        <v>0.352515702409014</v>
      </c>
      <c r="M28" s="456">
        <f>J28-K28</f>
        <v>0.013596105258702</v>
      </c>
      <c r="N28" s="455" t="str">
        <f>IFERROR(O28*0.5/#REF!,"")</f>
        <v/>
      </c>
      <c r="O28" s="436" t="s">
        <v>180</v>
      </c>
      <c r="P28" s="531">
        <f t="array" ref="P28">INDEX(正厂竞争者数据汇总!I:I,MATCH($A$26&amp;B28,正厂竞争者数据汇总!A:A&amp;正厂竞争者数据汇总!D:D,0))</f>
        <v>0</v>
      </c>
      <c r="Q28" s="434" t="s">
        <v>241</v>
      </c>
      <c r="R28" s="435" t="s">
        <v>229</v>
      </c>
      <c r="S28" s="476"/>
      <c r="T28" s="477"/>
      <c r="U28" s="477"/>
      <c r="V28" s="435"/>
      <c r="W28" s="435"/>
    </row>
    <row r="29" s="408" customFormat="1" spans="1:23">
      <c r="A29" s="428" t="s">
        <v>230</v>
      </c>
      <c r="B29" s="421" t="s">
        <v>242</v>
      </c>
      <c r="C29" s="429" t="s">
        <v>233</v>
      </c>
      <c r="D29" s="421" t="s">
        <v>414</v>
      </c>
      <c r="E29" s="430"/>
      <c r="F29" s="430">
        <v>319082.166666667</v>
      </c>
      <c r="G29" s="430"/>
      <c r="H29" s="430"/>
      <c r="I29" s="450"/>
      <c r="J29" s="512">
        <v>0.177400763253243</v>
      </c>
      <c r="K29" s="451">
        <v>0.201475275022021</v>
      </c>
      <c r="L29" s="451">
        <v>0.282380300184099</v>
      </c>
      <c r="M29" s="452"/>
      <c r="N29" s="451"/>
      <c r="O29" s="430"/>
      <c r="P29" s="531">
        <f t="array" ref="P29">INDEX(正厂竞争者数据汇总!I:I,MATCH($A$26&amp;B29,正厂竞争者数据汇总!A:A&amp;正厂竞争者数据汇总!D:D,0))</f>
        <v>0</v>
      </c>
      <c r="Q29" s="429"/>
      <c r="R29" s="421"/>
      <c r="S29" s="472"/>
      <c r="T29" s="466"/>
      <c r="U29" s="466"/>
      <c r="V29" s="466"/>
      <c r="W29" s="466"/>
    </row>
    <row r="30" s="408" customFormat="1" spans="1:23">
      <c r="A30" s="428" t="s">
        <v>243</v>
      </c>
      <c r="B30" s="421" t="s">
        <v>244</v>
      </c>
      <c r="C30" s="429" t="s">
        <v>454</v>
      </c>
      <c r="D30" s="421" t="s">
        <v>266</v>
      </c>
      <c r="E30" s="430"/>
      <c r="F30" s="430">
        <v>255763.25</v>
      </c>
      <c r="G30" s="430"/>
      <c r="H30" s="430"/>
      <c r="I30" s="450"/>
      <c r="J30" s="512">
        <v>0.142197215958888</v>
      </c>
      <c r="K30" s="451">
        <v>0.129756441678851</v>
      </c>
      <c r="L30" s="451">
        <v>0.142046515351398</v>
      </c>
      <c r="M30" s="452"/>
      <c r="N30" s="451"/>
      <c r="O30" s="430"/>
      <c r="P30" s="531">
        <f t="array" ref="P30">INDEX(正厂竞争者数据汇总!I:I,MATCH($A$26&amp;B30,正厂竞争者数据汇总!A:A&amp;正厂竞争者数据汇总!D:D,0))</f>
        <v>0</v>
      </c>
      <c r="Q30" s="429"/>
      <c r="R30" s="421"/>
      <c r="S30" s="472"/>
      <c r="T30" s="466"/>
      <c r="U30" s="466"/>
      <c r="V30" s="466"/>
      <c r="W30" s="466"/>
    </row>
    <row r="31" s="408" customFormat="1" spans="1:23">
      <c r="A31" s="428" t="s">
        <v>230</v>
      </c>
      <c r="B31" s="421" t="s">
        <v>249</v>
      </c>
      <c r="C31" s="429" t="s">
        <v>233</v>
      </c>
      <c r="D31" s="421" t="s">
        <v>250</v>
      </c>
      <c r="E31" s="430"/>
      <c r="F31" s="430">
        <v>169373.6</v>
      </c>
      <c r="G31" s="430"/>
      <c r="H31" s="430"/>
      <c r="I31" s="450"/>
      <c r="J31" s="512">
        <v>0.0941669859799418</v>
      </c>
      <c r="K31" s="451">
        <v>0.0886320333979571</v>
      </c>
      <c r="L31" s="451"/>
      <c r="M31" s="452"/>
      <c r="N31" s="451"/>
      <c r="O31" s="430"/>
      <c r="P31" s="532" t="str">
        <f t="array" ref="P31">INDEX(正厂竞争者数据汇总!I:I,MATCH($A$26&amp;B31,正厂竞争者数据汇总!A:A&amp;正厂竞争者数据汇总!D:D,0))</f>
        <v>2023年2月新增正厂</v>
      </c>
      <c r="Q31" s="429"/>
      <c r="R31" s="421"/>
      <c r="S31" s="472"/>
      <c r="T31" s="466"/>
      <c r="U31" s="466"/>
      <c r="V31" s="466"/>
      <c r="W31" s="466"/>
    </row>
    <row r="32" s="408" customFormat="1" spans="1:23">
      <c r="A32" s="428" t="s">
        <v>230</v>
      </c>
      <c r="B32" s="421" t="s">
        <v>245</v>
      </c>
      <c r="C32" s="429" t="s">
        <v>233</v>
      </c>
      <c r="D32" s="421" t="s">
        <v>415</v>
      </c>
      <c r="E32" s="430"/>
      <c r="F32" s="430">
        <v>165826.25</v>
      </c>
      <c r="G32" s="430"/>
      <c r="H32" s="430"/>
      <c r="I32" s="450"/>
      <c r="J32" s="512">
        <v>0.0921947585624697</v>
      </c>
      <c r="K32" s="451">
        <v>0.0942103303679171</v>
      </c>
      <c r="L32" s="451">
        <v>0.111597207701745</v>
      </c>
      <c r="M32" s="452"/>
      <c r="N32" s="451"/>
      <c r="O32" s="430"/>
      <c r="P32" s="531" t="str">
        <f t="array" ref="P32">INDEX(正厂竞争者数据汇总!I:I,MATCH($A$26&amp;B32,正厂竞争者数据汇总!A:A&amp;正厂竞争者数据汇总!D:D,0))</f>
        <v>2021年02新加竞争者</v>
      </c>
      <c r="Q32" s="429"/>
      <c r="R32" s="421"/>
      <c r="S32" s="472"/>
      <c r="T32" s="466"/>
      <c r="U32" s="466"/>
      <c r="V32" s="466"/>
      <c r="W32" s="466"/>
    </row>
    <row r="33" s="408" customFormat="1" spans="1:23">
      <c r="A33" s="428" t="s">
        <v>230</v>
      </c>
      <c r="B33" s="421" t="s">
        <v>246</v>
      </c>
      <c r="C33" s="429" t="s">
        <v>233</v>
      </c>
      <c r="D33" s="421" t="s">
        <v>49</v>
      </c>
      <c r="E33" s="430"/>
      <c r="F33" s="430">
        <v>158690</v>
      </c>
      <c r="G33" s="430"/>
      <c r="H33" s="430"/>
      <c r="I33" s="450"/>
      <c r="J33" s="512">
        <v>0.0882272030892475</v>
      </c>
      <c r="K33" s="451">
        <v>0.0862050246152922</v>
      </c>
      <c r="L33" s="451"/>
      <c r="M33" s="452"/>
      <c r="N33" s="451"/>
      <c r="O33" s="430"/>
      <c r="P33" s="532" t="str">
        <f t="array" ref="P33">INDEX(正厂竞争者数据汇总!I:I,MATCH($A$26&amp;B33,正厂竞争者数据汇总!A:A&amp;正厂竞争者数据汇总!D:D,0))</f>
        <v>2023年2月新增正厂</v>
      </c>
      <c r="Q33" s="429"/>
      <c r="R33" s="421"/>
      <c r="S33" s="472"/>
      <c r="T33" s="466"/>
      <c r="U33" s="466"/>
      <c r="V33" s="466"/>
      <c r="W33" s="466"/>
    </row>
    <row r="34" s="408" customFormat="1" spans="1:23">
      <c r="A34" s="428" t="s">
        <v>230</v>
      </c>
      <c r="B34" s="421" t="s">
        <v>416</v>
      </c>
      <c r="C34" s="429" t="s">
        <v>233</v>
      </c>
      <c r="D34" s="421" t="s">
        <v>291</v>
      </c>
      <c r="E34" s="430"/>
      <c r="F34" s="430">
        <v>148078.666666667</v>
      </c>
      <c r="G34" s="430"/>
      <c r="H34" s="430"/>
      <c r="I34" s="450"/>
      <c r="J34" s="512">
        <v>0.0823275984446721</v>
      </c>
      <c r="K34" s="451">
        <v>0.0898315254651255</v>
      </c>
      <c r="L34" s="451">
        <v>0.111460274353744</v>
      </c>
      <c r="M34" s="452"/>
      <c r="N34" s="451"/>
      <c r="O34" s="430"/>
      <c r="P34" s="531" t="str">
        <f t="array" ref="P34">INDEX(正厂竞争者数据汇总!I:I,MATCH($A$26&amp;B34,正厂竞争者数据汇总!A:A&amp;正厂竞争者数据汇总!D:D,0))</f>
        <v>2023年11月导流至toyotaparts.ourismantoyotaofrichmond.com，原网站流量大幅下跌</v>
      </c>
      <c r="Q34" s="429"/>
      <c r="R34" s="421"/>
      <c r="S34" s="472"/>
      <c r="T34" s="466"/>
      <c r="U34" s="466"/>
      <c r="V34" s="466"/>
      <c r="W34" s="466"/>
    </row>
    <row r="35" s="410" customFormat="1" spans="1:23">
      <c r="A35" s="428"/>
      <c r="B35" s="438"/>
      <c r="C35" s="429"/>
      <c r="D35" s="421"/>
      <c r="E35" s="430"/>
      <c r="F35" s="430"/>
      <c r="G35" s="430"/>
      <c r="H35" s="430"/>
      <c r="I35" s="453"/>
      <c r="J35" s="463"/>
      <c r="K35" s="463"/>
      <c r="L35" s="463"/>
      <c r="M35" s="451"/>
      <c r="N35" s="459"/>
      <c r="O35" s="430"/>
      <c r="P35" s="531"/>
      <c r="Q35" s="429"/>
      <c r="R35" s="435"/>
      <c r="S35" s="473"/>
      <c r="T35" s="466"/>
      <c r="U35" s="466"/>
      <c r="V35" s="421"/>
      <c r="W35" s="421"/>
    </row>
    <row r="36" s="408" customFormat="1" spans="1:23">
      <c r="A36" s="428"/>
      <c r="B36" s="421"/>
      <c r="C36" s="439"/>
      <c r="D36" s="421"/>
      <c r="E36" s="430"/>
      <c r="F36" s="430">
        <v>1798651.6</v>
      </c>
      <c r="G36" s="430">
        <v>1471722.72</v>
      </c>
      <c r="H36" s="430">
        <v>1511577.56416667</v>
      </c>
      <c r="I36" s="453">
        <f>(F36/G36)-1</f>
        <v>0.222140268378815</v>
      </c>
      <c r="J36" s="430"/>
      <c r="K36" s="513"/>
      <c r="L36" s="430"/>
      <c r="M36" s="451"/>
      <c r="N36" s="459"/>
      <c r="O36" s="430"/>
      <c r="P36" s="531"/>
      <c r="Q36" s="429" t="s">
        <v>180</v>
      </c>
      <c r="R36" s="421"/>
      <c r="S36" s="473"/>
      <c r="T36" s="466"/>
      <c r="U36" s="466"/>
      <c r="V36" s="421"/>
      <c r="W36" s="421"/>
    </row>
    <row r="37" s="408" customFormat="1" spans="1:23">
      <c r="A37" s="428"/>
      <c r="B37" s="421"/>
      <c r="C37" s="439"/>
      <c r="D37" s="421"/>
      <c r="E37" s="430"/>
      <c r="F37" s="430"/>
      <c r="G37" s="430"/>
      <c r="H37" s="430"/>
      <c r="I37" s="453"/>
      <c r="J37" s="430"/>
      <c r="K37" s="430"/>
      <c r="L37" s="430"/>
      <c r="M37" s="451"/>
      <c r="N37" s="451"/>
      <c r="O37" s="430"/>
      <c r="P37" s="531"/>
      <c r="Q37" s="429"/>
      <c r="R37" s="421"/>
      <c r="S37" s="473"/>
      <c r="T37" s="466"/>
      <c r="U37" s="466"/>
      <c r="V37" s="421"/>
      <c r="W37" s="421"/>
    </row>
    <row r="38" s="408" customFormat="1" ht="17.4" spans="1:23">
      <c r="A38" s="418" t="s">
        <v>149</v>
      </c>
      <c r="B38" s="419"/>
      <c r="C38" s="420"/>
      <c r="D38" s="421"/>
      <c r="E38" s="422" t="s">
        <v>202</v>
      </c>
      <c r="F38" s="422"/>
      <c r="G38" s="422"/>
      <c r="H38" s="422"/>
      <c r="I38" s="422"/>
      <c r="J38" s="422"/>
      <c r="K38" s="422"/>
      <c r="L38" s="422"/>
      <c r="M38" s="443"/>
      <c r="N38" s="444"/>
      <c r="O38" s="422"/>
      <c r="P38" s="531"/>
      <c r="Q38" s="465"/>
      <c r="R38" s="424"/>
      <c r="S38" s="473"/>
      <c r="T38" s="467"/>
      <c r="U38" s="467"/>
      <c r="V38" s="467"/>
      <c r="W38" s="467"/>
    </row>
    <row r="39" s="409" customFormat="1" ht="46.8" spans="1:23">
      <c r="A39" s="423" t="s">
        <v>206</v>
      </c>
      <c r="B39" s="424" t="s">
        <v>207</v>
      </c>
      <c r="C39" s="425" t="s">
        <v>447</v>
      </c>
      <c r="D39" s="424" t="s">
        <v>209</v>
      </c>
      <c r="E39" s="426" t="s">
        <v>210</v>
      </c>
      <c r="F39" s="427" t="s">
        <v>489</v>
      </c>
      <c r="G39" s="427" t="s">
        <v>213</v>
      </c>
      <c r="H39" s="427" t="s">
        <v>396</v>
      </c>
      <c r="I39" s="427" t="s">
        <v>386</v>
      </c>
      <c r="J39" s="446" t="s">
        <v>479</v>
      </c>
      <c r="K39" s="446" t="s">
        <v>215</v>
      </c>
      <c r="L39" s="446" t="s">
        <v>216</v>
      </c>
      <c r="M39" s="447" t="s">
        <v>436</v>
      </c>
      <c r="N39" s="448" t="s">
        <v>219</v>
      </c>
      <c r="O39" s="449" t="s">
        <v>220</v>
      </c>
      <c r="P39" s="530" t="s">
        <v>221</v>
      </c>
      <c r="Q39" s="469" t="s">
        <v>222</v>
      </c>
      <c r="R39" s="426" t="s">
        <v>223</v>
      </c>
      <c r="S39" s="470" t="s">
        <v>224</v>
      </c>
      <c r="T39" s="467" t="s">
        <v>225</v>
      </c>
      <c r="U39" s="470" t="s">
        <v>226</v>
      </c>
      <c r="V39" s="467"/>
      <c r="W39" s="467"/>
    </row>
    <row r="40" s="410" customFormat="1" ht="17.4" spans="1:23">
      <c r="A40" s="432" t="s">
        <v>227</v>
      </c>
      <c r="B40" s="433" t="s">
        <v>150</v>
      </c>
      <c r="C40" s="434" t="s">
        <v>441</v>
      </c>
      <c r="D40" s="435" t="s">
        <v>58</v>
      </c>
      <c r="E40" s="436">
        <f>VLOOKUP(B40,正厂竞争者数据汇总!D:H,4,FALSE)</f>
        <v>0</v>
      </c>
      <c r="F40" s="436">
        <v>610330.333333333</v>
      </c>
      <c r="G40" s="436">
        <v>521458.083333333</v>
      </c>
      <c r="H40" s="436">
        <v>566477.333333333</v>
      </c>
      <c r="I40" s="454">
        <f>(F40/G40)-1</f>
        <v>0.17043028546398</v>
      </c>
      <c r="J40" s="455">
        <v>0.351679812161569</v>
      </c>
      <c r="K40" s="455">
        <v>0.336990300277897</v>
      </c>
      <c r="L40" s="455">
        <v>0.308349215171546</v>
      </c>
      <c r="M40" s="456">
        <f>J40-K40</f>
        <v>0.014689511883672</v>
      </c>
      <c r="N40" s="457" t="str">
        <f>IFERROR(O40*0.5/F$46,"")</f>
        <v/>
      </c>
      <c r="O40" s="436" t="s">
        <v>180</v>
      </c>
      <c r="P40" s="531">
        <f t="array" ref="P40">INDEX(正厂竞争者数据汇总!I:I,MATCH($A$38&amp;B40,正厂竞争者数据汇总!A:A&amp;正厂竞争者数据汇总!D:D,0))</f>
        <v>0</v>
      </c>
      <c r="Q40" s="434" t="s">
        <v>259</v>
      </c>
      <c r="R40" s="435" t="s">
        <v>229</v>
      </c>
      <c r="S40" s="476"/>
      <c r="T40" s="477"/>
      <c r="U40" s="477"/>
      <c r="V40" s="477"/>
      <c r="W40" s="477"/>
    </row>
    <row r="41" s="410" customFormat="1" spans="1:23">
      <c r="A41" s="428" t="s">
        <v>230</v>
      </c>
      <c r="B41" s="438" t="s">
        <v>260</v>
      </c>
      <c r="C41" s="494" t="s">
        <v>233</v>
      </c>
      <c r="D41" s="431" t="s">
        <v>60</v>
      </c>
      <c r="E41" s="430"/>
      <c r="F41" s="430">
        <v>294213.416666667</v>
      </c>
      <c r="G41" s="430"/>
      <c r="H41" s="430"/>
      <c r="I41" s="453"/>
      <c r="J41" s="512">
        <v>0.16952937361584</v>
      </c>
      <c r="K41" s="451">
        <v>0.16690764566156</v>
      </c>
      <c r="L41" s="451">
        <v>0.151946063269698</v>
      </c>
      <c r="M41" s="451"/>
      <c r="N41" s="459"/>
      <c r="O41" s="430"/>
      <c r="P41" s="531">
        <f t="array" ref="P41">INDEX(正厂竞争者数据汇总!I:I,MATCH($A$38&amp;B41,正厂竞争者数据汇总!A:A&amp;正厂竞争者数据汇总!D:D,0))</f>
        <v>0</v>
      </c>
      <c r="Q41" s="429"/>
      <c r="R41" s="435"/>
      <c r="S41" s="473"/>
      <c r="T41" s="466"/>
      <c r="U41" s="466"/>
      <c r="V41" s="421"/>
      <c r="W41" s="421"/>
    </row>
    <row r="42" s="410" customFormat="1" spans="1:23">
      <c r="A42" s="428" t="s">
        <v>230</v>
      </c>
      <c r="B42" s="438" t="s">
        <v>255</v>
      </c>
      <c r="C42" s="494" t="s">
        <v>233</v>
      </c>
      <c r="D42" s="431" t="s">
        <v>419</v>
      </c>
      <c r="E42" s="430"/>
      <c r="F42" s="430">
        <v>233065.943333333</v>
      </c>
      <c r="G42" s="430"/>
      <c r="H42" s="430"/>
      <c r="I42" s="453"/>
      <c r="J42" s="512">
        <v>0.134295450670252</v>
      </c>
      <c r="K42" s="451">
        <v>0.134294478631379</v>
      </c>
      <c r="L42" s="451">
        <v>0.139279778161804</v>
      </c>
      <c r="M42" s="451"/>
      <c r="N42" s="459"/>
      <c r="O42" s="430"/>
      <c r="P42" s="531" t="str">
        <f t="array" ref="P42">INDEX(正厂竞争者数据汇总!I:I,MATCH($A$38&amp;B42,正厂竞争者数据汇总!A:A&amp;正厂竞争者数据汇总!D:D,0))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42" s="429"/>
      <c r="R42" s="435"/>
      <c r="S42" s="473"/>
      <c r="T42" s="466"/>
      <c r="U42" s="466"/>
      <c r="V42" s="421"/>
      <c r="W42" s="421"/>
    </row>
    <row r="43" s="410" customFormat="1" spans="1:23">
      <c r="A43" s="428" t="s">
        <v>230</v>
      </c>
      <c r="B43" s="438" t="s">
        <v>261</v>
      </c>
      <c r="C43" s="494" t="s">
        <v>233</v>
      </c>
      <c r="D43" s="431" t="s">
        <v>272</v>
      </c>
      <c r="E43" s="430"/>
      <c r="F43" s="430">
        <v>160762.166666667</v>
      </c>
      <c r="G43" s="430"/>
      <c r="H43" s="430"/>
      <c r="I43" s="453"/>
      <c r="J43" s="512">
        <v>0.0926331291240977</v>
      </c>
      <c r="K43" s="451">
        <v>0.0896002720676993</v>
      </c>
      <c r="L43" s="451">
        <v>0.0962017106257369</v>
      </c>
      <c r="M43" s="451"/>
      <c r="N43" s="459"/>
      <c r="O43" s="430"/>
      <c r="P43" s="531" t="str">
        <f t="array" ref="P43">INDEX(正厂竞争者数据汇总!I:I,MATCH($A$38&amp;B43,正厂竞争者数据汇总!A:A&amp;正厂竞争者数据汇总!D:D,0))</f>
        <v>2022年1月 新加入 CompetitorSites
2022年1月 新加入 MarketingShare</v>
      </c>
      <c r="Q43" s="429"/>
      <c r="R43" s="435"/>
      <c r="S43" s="473"/>
      <c r="T43" s="466"/>
      <c r="U43" s="466"/>
      <c r="V43" s="421"/>
      <c r="W43" s="421"/>
    </row>
    <row r="44" s="410" customFormat="1" spans="1:23">
      <c r="A44" s="428" t="s">
        <v>230</v>
      </c>
      <c r="B44" s="438" t="s">
        <v>267</v>
      </c>
      <c r="C44" s="494" t="s">
        <v>441</v>
      </c>
      <c r="D44" s="431" t="s">
        <v>58</v>
      </c>
      <c r="E44" s="430"/>
      <c r="F44" s="430">
        <v>159598.916666667</v>
      </c>
      <c r="G44" s="430"/>
      <c r="H44" s="430"/>
      <c r="I44" s="453"/>
      <c r="J44" s="512">
        <v>0.0919628502289579</v>
      </c>
      <c r="K44" s="451">
        <v>0.0897370549618572</v>
      </c>
      <c r="L44" s="451">
        <v>0.0870749657044328</v>
      </c>
      <c r="M44" s="451"/>
      <c r="N44" s="459"/>
      <c r="O44" s="430"/>
      <c r="P44" s="531" t="str">
        <f t="array" ref="P44">INDEX(正厂竞争者数据汇总!I:I,MATCH($A$38&amp;B44,正厂竞争者数据汇总!A:A&amp;正厂竞争者数据汇总!D:D,0))</f>
        <v>2022年1月 新加入 CompetitorSites</v>
      </c>
      <c r="Q44" s="429"/>
      <c r="R44" s="435"/>
      <c r="S44" s="473"/>
      <c r="T44" s="466"/>
      <c r="U44" s="466"/>
      <c r="V44" s="421"/>
      <c r="W44" s="421"/>
    </row>
    <row r="45" s="410" customFormat="1" spans="1:23">
      <c r="A45" s="428" t="s">
        <v>243</v>
      </c>
      <c r="B45" s="438" t="s">
        <v>262</v>
      </c>
      <c r="C45" s="506" t="s">
        <v>441</v>
      </c>
      <c r="D45" s="431" t="s">
        <v>266</v>
      </c>
      <c r="E45" s="430"/>
      <c r="F45" s="430">
        <v>125528.75</v>
      </c>
      <c r="G45" s="430"/>
      <c r="H45" s="430"/>
      <c r="I45" s="453"/>
      <c r="J45" s="512">
        <v>0.0723312029729417</v>
      </c>
      <c r="K45" s="451">
        <v>0.0753746503667281</v>
      </c>
      <c r="L45" s="451">
        <v>0.0722150584033696</v>
      </c>
      <c r="M45" s="451"/>
      <c r="N45" s="459"/>
      <c r="O45" s="430"/>
      <c r="P45" s="531" t="str">
        <f t="array" ref="P45">INDEX(正厂竞争者数据汇总!I:I,MATCH($A$38&amp;B45,正厂竞争者数据汇总!A:A&amp;正厂竞争者数据汇总!D:D,0))</f>
        <v>变为精确运费</v>
      </c>
      <c r="Q45" s="429"/>
      <c r="R45" s="435"/>
      <c r="S45" s="473"/>
      <c r="T45" s="466"/>
      <c r="U45" s="466"/>
      <c r="V45" s="421"/>
      <c r="W45" s="421"/>
    </row>
    <row r="46" s="410" customFormat="1" spans="1:23">
      <c r="A46" s="428" t="s">
        <v>243</v>
      </c>
      <c r="B46" s="438" t="s">
        <v>438</v>
      </c>
      <c r="C46" s="494" t="s">
        <v>441</v>
      </c>
      <c r="D46" s="431" t="s">
        <v>455</v>
      </c>
      <c r="E46" s="430"/>
      <c r="F46" s="430">
        <v>97222.3333333333</v>
      </c>
      <c r="G46" s="430"/>
      <c r="H46" s="430"/>
      <c r="I46" s="453"/>
      <c r="J46" s="512">
        <v>0.0560206990497104</v>
      </c>
      <c r="K46" s="451">
        <v>0.077174504516924</v>
      </c>
      <c r="L46" s="451">
        <v>0.0965105450273561</v>
      </c>
      <c r="M46" s="451"/>
      <c r="N46" s="459"/>
      <c r="O46" s="430"/>
      <c r="P46" s="531" t="str">
        <f t="array" ref="P46">INDEX(正厂竞争者数据汇总!I:I,MATCH($A$38&amp;B46,正厂竞争者数据汇总!A:A&amp;正厂竞争者数据汇总!D:D,0))</f>
        <v>2022年1月 新加入 CompetitorSites
2022年1月 新加入 MarketingShare</v>
      </c>
      <c r="Q46" s="429"/>
      <c r="R46" s="435"/>
      <c r="S46" s="473"/>
      <c r="T46" s="466"/>
      <c r="U46" s="466"/>
      <c r="V46" s="421"/>
      <c r="W46" s="421"/>
    </row>
    <row r="47" s="410" customFormat="1" spans="1:23">
      <c r="A47" s="428" t="s">
        <v>230</v>
      </c>
      <c r="B47" s="438" t="s">
        <v>482</v>
      </c>
      <c r="C47" s="494" t="s">
        <v>441</v>
      </c>
      <c r="D47" s="431" t="s">
        <v>426</v>
      </c>
      <c r="E47" s="430"/>
      <c r="F47" s="430">
        <v>54749.76</v>
      </c>
      <c r="G47" s="430"/>
      <c r="H47" s="430"/>
      <c r="I47" s="453"/>
      <c r="J47" s="512">
        <v>0.0315474821766316</v>
      </c>
      <c r="K47" s="451">
        <v>0.0299210935159554</v>
      </c>
      <c r="L47" s="451">
        <v>0.0484226636360567</v>
      </c>
      <c r="M47" s="451"/>
      <c r="N47" s="459"/>
      <c r="O47" s="430"/>
      <c r="P47" s="531" t="str">
        <f t="array" ref="P47">INDEX(正厂竞争者数据汇总!I:I,MATCH($A$38&amp;B47,正厂竞争者数据汇总!A:A&amp;正厂竞争者数据汇总!D:D,0))</f>
        <v>同时经营多品牌零件，折算比例为：mopar：21%，toyota：6%，</v>
      </c>
      <c r="Q47" s="429"/>
      <c r="R47" s="435"/>
      <c r="S47" s="473"/>
      <c r="T47" s="466"/>
      <c r="U47" s="466"/>
      <c r="V47" s="421"/>
      <c r="W47" s="421"/>
    </row>
    <row r="48" s="410" customFormat="1" spans="1:23">
      <c r="A48" s="428"/>
      <c r="B48" s="431"/>
      <c r="C48" s="429"/>
      <c r="D48" s="421"/>
      <c r="E48" s="430"/>
      <c r="F48" s="430"/>
      <c r="G48" s="430"/>
      <c r="H48" s="430"/>
      <c r="I48" s="453"/>
      <c r="J48" s="451"/>
      <c r="K48" s="451"/>
      <c r="L48" s="451"/>
      <c r="M48" s="451"/>
      <c r="N48" s="455"/>
      <c r="O48" s="436"/>
      <c r="P48" s="531"/>
      <c r="Q48" s="434"/>
      <c r="R48" s="435"/>
      <c r="S48" s="473"/>
      <c r="T48" s="477"/>
      <c r="U48" s="466"/>
      <c r="V48" s="435"/>
      <c r="W48" s="435"/>
    </row>
    <row r="49" s="408" customFormat="1" spans="1:23">
      <c r="A49" s="428"/>
      <c r="B49" s="421"/>
      <c r="C49" s="439"/>
      <c r="D49" s="421"/>
      <c r="E49" s="430"/>
      <c r="F49" s="430">
        <v>1735471.62</v>
      </c>
      <c r="G49" s="430">
        <v>1468579.74166667</v>
      </c>
      <c r="H49" s="430">
        <v>1519526.8275</v>
      </c>
      <c r="I49" s="453">
        <f>(F49/G49)-1</f>
        <v>0.1817346860787</v>
      </c>
      <c r="J49" s="512"/>
      <c r="K49" s="430"/>
      <c r="L49" s="430"/>
      <c r="M49" s="451"/>
      <c r="N49" s="451"/>
      <c r="O49" s="430"/>
      <c r="P49" s="531"/>
      <c r="Q49" s="429"/>
      <c r="R49" s="421"/>
      <c r="S49" s="473"/>
      <c r="T49" s="466"/>
      <c r="U49" s="466"/>
      <c r="V49" s="421"/>
      <c r="W49" s="421"/>
    </row>
    <row r="50" s="408" customFormat="1" spans="1:23">
      <c r="A50" s="428"/>
      <c r="B50" s="421"/>
      <c r="C50" s="439"/>
      <c r="D50" s="421"/>
      <c r="E50" s="430"/>
      <c r="F50" s="430"/>
      <c r="G50" s="430"/>
      <c r="H50" s="430"/>
      <c r="I50" s="453"/>
      <c r="J50" s="430"/>
      <c r="K50" s="430"/>
      <c r="L50" s="430"/>
      <c r="M50" s="451"/>
      <c r="N50" s="451"/>
      <c r="O50" s="430"/>
      <c r="P50" s="531"/>
      <c r="Q50" s="429"/>
      <c r="R50" s="421"/>
      <c r="S50" s="473"/>
      <c r="T50" s="466"/>
      <c r="U50" s="466"/>
      <c r="V50" s="421"/>
      <c r="W50" s="421"/>
    </row>
    <row r="51" s="408" customFormat="1" ht="17.4" spans="1:23">
      <c r="A51" s="418" t="s">
        <v>152</v>
      </c>
      <c r="B51" s="419"/>
      <c r="C51" s="420"/>
      <c r="D51" s="421"/>
      <c r="E51" s="422" t="s">
        <v>202</v>
      </c>
      <c r="F51" s="422"/>
      <c r="G51" s="422"/>
      <c r="H51" s="422"/>
      <c r="I51" s="422"/>
      <c r="J51" s="422"/>
      <c r="K51" s="422"/>
      <c r="L51" s="422"/>
      <c r="M51" s="443"/>
      <c r="N51" s="444"/>
      <c r="O51" s="422"/>
      <c r="P51" s="531"/>
      <c r="Q51" s="465"/>
      <c r="R51" s="424"/>
      <c r="S51" s="473"/>
      <c r="T51" s="467"/>
      <c r="U51" s="467"/>
      <c r="V51" s="467"/>
      <c r="W51" s="467"/>
    </row>
    <row r="52" s="409" customFormat="1" ht="46.8" spans="1:23">
      <c r="A52" s="423" t="s">
        <v>206</v>
      </c>
      <c r="B52" s="424" t="s">
        <v>207</v>
      </c>
      <c r="C52" s="425" t="s">
        <v>447</v>
      </c>
      <c r="D52" s="424" t="s">
        <v>209</v>
      </c>
      <c r="E52" s="426" t="s">
        <v>210</v>
      </c>
      <c r="F52" s="427" t="s">
        <v>489</v>
      </c>
      <c r="G52" s="427" t="s">
        <v>213</v>
      </c>
      <c r="H52" s="427" t="s">
        <v>396</v>
      </c>
      <c r="I52" s="427" t="s">
        <v>386</v>
      </c>
      <c r="J52" s="446" t="s">
        <v>479</v>
      </c>
      <c r="K52" s="446" t="s">
        <v>215</v>
      </c>
      <c r="L52" s="446" t="s">
        <v>216</v>
      </c>
      <c r="M52" s="447" t="s">
        <v>436</v>
      </c>
      <c r="N52" s="448" t="s">
        <v>219</v>
      </c>
      <c r="O52" s="449" t="s">
        <v>220</v>
      </c>
      <c r="P52" s="530" t="s">
        <v>221</v>
      </c>
      <c r="Q52" s="469" t="s">
        <v>222</v>
      </c>
      <c r="R52" s="426" t="s">
        <v>223</v>
      </c>
      <c r="S52" s="470" t="s">
        <v>224</v>
      </c>
      <c r="T52" s="467" t="s">
        <v>225</v>
      </c>
      <c r="U52" s="470" t="s">
        <v>226</v>
      </c>
      <c r="V52" s="467"/>
      <c r="W52" s="467"/>
    </row>
    <row r="53" s="410" customFormat="1" ht="17.4" spans="1:23">
      <c r="A53" s="432" t="s">
        <v>227</v>
      </c>
      <c r="B53" s="435" t="s">
        <v>153</v>
      </c>
      <c r="C53" s="434" t="s">
        <v>441</v>
      </c>
      <c r="D53" s="435" t="s">
        <v>49</v>
      </c>
      <c r="E53" s="436">
        <f>VLOOKUP(B53,正厂竞争者数据汇总!D:H,4,FALSE)</f>
        <v>0</v>
      </c>
      <c r="F53" s="436">
        <v>456276.916666667</v>
      </c>
      <c r="G53" s="436">
        <v>436555.583333333</v>
      </c>
      <c r="H53" s="436">
        <v>490593.833333333</v>
      </c>
      <c r="I53" s="454">
        <f>(F53/G53)-1</f>
        <v>0.0451748507778806</v>
      </c>
      <c r="J53" s="457">
        <v>0.30919224805022</v>
      </c>
      <c r="K53" s="457">
        <v>0.298924449748403</v>
      </c>
      <c r="L53" s="457">
        <v>0.26545031168208</v>
      </c>
      <c r="M53" s="456">
        <f>J53-K53</f>
        <v>0.010267798301817</v>
      </c>
      <c r="N53" s="457" t="str">
        <f>IFERROR(O53*0.5/#REF!,"")</f>
        <v/>
      </c>
      <c r="O53" s="436" t="s">
        <v>180</v>
      </c>
      <c r="P53" s="531">
        <f t="array" ref="P53">INDEX(正厂竞争者数据汇总!I:I,MATCH($A$51&amp;B53,正厂竞争者数据汇总!A:A&amp;正厂竞争者数据汇总!D:D,0))</f>
        <v>0</v>
      </c>
      <c r="Q53" s="434" t="s">
        <v>268</v>
      </c>
      <c r="R53" s="435" t="s">
        <v>229</v>
      </c>
      <c r="S53" s="476"/>
      <c r="T53" s="477"/>
      <c r="U53" s="477"/>
      <c r="V53" s="477"/>
      <c r="W53" s="477"/>
    </row>
    <row r="54" s="408" customFormat="1" spans="1:23">
      <c r="A54" s="428" t="s">
        <v>243</v>
      </c>
      <c r="B54" s="438" t="s">
        <v>270</v>
      </c>
      <c r="C54" s="429" t="s">
        <v>233</v>
      </c>
      <c r="D54" s="431" t="s">
        <v>266</v>
      </c>
      <c r="E54" s="430"/>
      <c r="F54" s="430">
        <v>260958.25</v>
      </c>
      <c r="G54" s="430"/>
      <c r="H54" s="430"/>
      <c r="I54" s="453"/>
      <c r="J54" s="490">
        <v>0.176836182189985</v>
      </c>
      <c r="K54" s="451">
        <v>0.170954585318562</v>
      </c>
      <c r="L54" s="451">
        <v>0.156870765143869</v>
      </c>
      <c r="M54" s="451"/>
      <c r="N54" s="451"/>
      <c r="O54" s="430"/>
      <c r="P54" s="531">
        <f t="array" ref="P54">INDEX(正厂竞争者数据汇总!I:I,MATCH($A$51&amp;B54,正厂竞争者数据汇总!A:A&amp;正厂竞争者数据汇总!D:D,0))</f>
        <v>0</v>
      </c>
      <c r="Q54" s="429"/>
      <c r="R54" s="421"/>
      <c r="S54" s="473"/>
      <c r="T54" s="466"/>
      <c r="U54" s="466"/>
      <c r="V54" s="421"/>
      <c r="W54" s="421"/>
    </row>
    <row r="55" s="408" customFormat="1" spans="1:23">
      <c r="A55" s="428" t="s">
        <v>230</v>
      </c>
      <c r="B55" s="428" t="s">
        <v>255</v>
      </c>
      <c r="C55" s="429" t="s">
        <v>233</v>
      </c>
      <c r="D55" s="431" t="s">
        <v>419</v>
      </c>
      <c r="E55" s="430"/>
      <c r="F55" s="430">
        <v>257176.213333333</v>
      </c>
      <c r="G55" s="430"/>
      <c r="H55" s="430"/>
      <c r="I55" s="453"/>
      <c r="J55" s="490">
        <v>0.174273316578202</v>
      </c>
      <c r="K55" s="451">
        <v>0.176144062326459</v>
      </c>
      <c r="L55" s="451">
        <v>0.172907565327323</v>
      </c>
      <c r="M55" s="451"/>
      <c r="N55" s="451"/>
      <c r="O55" s="430"/>
      <c r="P55" s="531" t="str">
        <f t="array" ref="P55">INDEX(正厂竞争者数据汇总!I:I,MATCH($A$51&amp;B55,正厂竞争者数据汇总!A:A&amp;正厂竞争者数据汇总!D:D,0))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55" s="429"/>
      <c r="R55" s="421"/>
      <c r="S55" s="473"/>
      <c r="T55" s="466"/>
      <c r="U55" s="466"/>
      <c r="V55" s="421"/>
      <c r="W55" s="421"/>
    </row>
    <row r="56" s="408" customFormat="1" spans="1:23">
      <c r="A56" s="428" t="s">
        <v>230</v>
      </c>
      <c r="B56" s="431" t="s">
        <v>269</v>
      </c>
      <c r="C56" s="494" t="s">
        <v>233</v>
      </c>
      <c r="D56" s="431" t="s">
        <v>234</v>
      </c>
      <c r="E56" s="430"/>
      <c r="F56" s="430">
        <v>127962.416666667</v>
      </c>
      <c r="G56" s="430"/>
      <c r="H56" s="430"/>
      <c r="I56" s="453"/>
      <c r="J56" s="490">
        <v>0.086712664677731</v>
      </c>
      <c r="K56" s="451">
        <v>0.0833073095905763</v>
      </c>
      <c r="L56" s="451">
        <v>0.0787598480736957</v>
      </c>
      <c r="M56" s="451"/>
      <c r="N56" s="451"/>
      <c r="O56" s="430"/>
      <c r="P56" s="531" t="str">
        <f t="array" ref="P56">INDEX(正厂竞争者数据汇总!I:I,MATCH($A$51&amp;B56,正厂竞争者数据汇总!A:A&amp;正厂竞争者数据汇总!D:D,0))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56" s="429"/>
      <c r="R56" s="421"/>
      <c r="S56" s="473"/>
      <c r="T56" s="466"/>
      <c r="U56" s="466"/>
      <c r="V56" s="421"/>
      <c r="W56" s="421"/>
    </row>
    <row r="57" s="408" customFormat="1" spans="1:23">
      <c r="A57" s="428" t="s">
        <v>230</v>
      </c>
      <c r="B57" s="431" t="s">
        <v>273</v>
      </c>
      <c r="C57" s="429" t="s">
        <v>233</v>
      </c>
      <c r="D57" s="431" t="s">
        <v>420</v>
      </c>
      <c r="E57" s="430"/>
      <c r="F57" s="430">
        <v>117429.416666667</v>
      </c>
      <c r="G57" s="430"/>
      <c r="H57" s="430"/>
      <c r="I57" s="453"/>
      <c r="J57" s="490">
        <v>0.0795750650540091</v>
      </c>
      <c r="K57" s="451">
        <v>0.0870859102186707</v>
      </c>
      <c r="L57" s="451">
        <v>0.0812084986296089</v>
      </c>
      <c r="M57" s="451"/>
      <c r="N57" s="451"/>
      <c r="O57" s="430"/>
      <c r="P57" s="531">
        <f t="array" ref="P57">INDEX(正厂竞争者数据汇总!I:I,MATCH($A$51&amp;B57,正厂竞争者数据汇总!A:A&amp;正厂竞争者数据汇总!D:D,0))</f>
        <v>0</v>
      </c>
      <c r="Q57" s="429"/>
      <c r="R57" s="421"/>
      <c r="S57" s="473"/>
      <c r="T57" s="466"/>
      <c r="U57" s="466"/>
      <c r="V57" s="421"/>
      <c r="W57" s="421"/>
    </row>
    <row r="58" s="408" customFormat="1" spans="1:23">
      <c r="A58" s="428" t="s">
        <v>230</v>
      </c>
      <c r="B58" s="438" t="s">
        <v>292</v>
      </c>
      <c r="C58" s="429" t="s">
        <v>233</v>
      </c>
      <c r="D58" s="431" t="s">
        <v>250</v>
      </c>
      <c r="E58" s="430"/>
      <c r="F58" s="430">
        <v>81972.8175</v>
      </c>
      <c r="G58" s="430"/>
      <c r="H58" s="430"/>
      <c r="I58" s="453"/>
      <c r="J58" s="490">
        <v>0.0555481962729915</v>
      </c>
      <c r="K58" s="451">
        <v>0.0559520637514156</v>
      </c>
      <c r="L58" s="451">
        <v>0.0570754588829011</v>
      </c>
      <c r="M58" s="451"/>
      <c r="N58" s="451"/>
      <c r="O58" s="430"/>
      <c r="P58" s="531" t="str">
        <f t="array" ref="P58">INDEX(正厂竞争者数据汇总!I:I,MATCH($A$51&amp;B58,正厂竞争者数据汇总!A:A&amp;正厂竞争者数据汇总!D:D,0))</f>
        <v>同时经营多品牌，流量折算比例为Ford:23%,GM:23%,Infiniti:0%,Kia:13%,Mopar:31%,Nissan:10%</v>
      </c>
      <c r="Q58" s="429"/>
      <c r="R58" s="421"/>
      <c r="S58" s="473"/>
      <c r="T58" s="466"/>
      <c r="U58" s="466"/>
      <c r="V58" s="421"/>
      <c r="W58" s="421"/>
    </row>
    <row r="59" s="408" customFormat="1" spans="1:23">
      <c r="A59" s="428" t="s">
        <v>230</v>
      </c>
      <c r="B59" s="438" t="s">
        <v>400</v>
      </c>
      <c r="C59" s="429" t="s">
        <v>233</v>
      </c>
      <c r="D59" s="431" t="s">
        <v>272</v>
      </c>
      <c r="E59" s="430"/>
      <c r="F59" s="430">
        <v>74383.8333333333</v>
      </c>
      <c r="G59" s="430"/>
      <c r="H59" s="430"/>
      <c r="I59" s="453"/>
      <c r="J59" s="490">
        <v>0.0504055844309302</v>
      </c>
      <c r="K59" s="451">
        <v>0.0561593347844958</v>
      </c>
      <c r="L59" s="451">
        <v>0.0644099448545676</v>
      </c>
      <c r="M59" s="451"/>
      <c r="N59" s="451"/>
      <c r="O59" s="430"/>
      <c r="P59" s="531">
        <f t="array" ref="P59">INDEX(正厂竞争者数据汇总!I:I,MATCH($A$51&amp;B59,正厂竞争者数据汇总!A:A&amp;正厂竞争者数据汇总!D:D,0))</f>
        <v>0</v>
      </c>
      <c r="Q59" s="429"/>
      <c r="R59" s="421"/>
      <c r="S59" s="473"/>
      <c r="T59" s="466"/>
      <c r="U59" s="466"/>
      <c r="V59" s="421"/>
      <c r="W59" s="421"/>
    </row>
    <row r="60" s="408" customFormat="1" spans="1:23">
      <c r="A60" s="428" t="s">
        <v>230</v>
      </c>
      <c r="B60" s="431" t="s">
        <v>483</v>
      </c>
      <c r="C60" s="494" t="s">
        <v>233</v>
      </c>
      <c r="D60" s="431" t="s">
        <v>423</v>
      </c>
      <c r="E60" s="430"/>
      <c r="F60" s="430">
        <v>68956.5833333333</v>
      </c>
      <c r="G60" s="430"/>
      <c r="H60" s="430"/>
      <c r="I60" s="453"/>
      <c r="J60" s="490">
        <v>0.0467278537219352</v>
      </c>
      <c r="K60" s="451">
        <v>0.0385335790915826</v>
      </c>
      <c r="L60" s="451">
        <v>0.0406693250433112</v>
      </c>
      <c r="M60" s="451"/>
      <c r="N60" s="451"/>
      <c r="O60" s="430"/>
      <c r="P60" s="531">
        <f t="array" ref="P60">INDEX(正厂竞争者数据汇总!I:I,MATCH($A$51&amp;B60,正厂竞争者数据汇总!A:A&amp;正厂竞争者数据汇总!D:D,0))</f>
        <v>0</v>
      </c>
      <c r="Q60" s="429"/>
      <c r="R60" s="421"/>
      <c r="S60" s="473"/>
      <c r="T60" s="466"/>
      <c r="U60" s="466"/>
      <c r="V60" s="421"/>
      <c r="W60" s="421"/>
    </row>
    <row r="61" s="408" customFormat="1" spans="1:23">
      <c r="A61" s="428" t="s">
        <v>230</v>
      </c>
      <c r="B61" s="438" t="s">
        <v>459</v>
      </c>
      <c r="C61" s="494" t="s">
        <v>233</v>
      </c>
      <c r="D61" s="431" t="s">
        <v>419</v>
      </c>
      <c r="E61" s="430"/>
      <c r="F61" s="430">
        <v>30589.75</v>
      </c>
      <c r="G61" s="430"/>
      <c r="H61" s="430"/>
      <c r="I61" s="453"/>
      <c r="J61" s="490">
        <v>0.0207288890239956</v>
      </c>
      <c r="K61" s="451">
        <v>0.0329387051698355</v>
      </c>
      <c r="L61" s="451">
        <v>0.0455654043959009</v>
      </c>
      <c r="M61" s="451"/>
      <c r="N61" s="451"/>
      <c r="O61" s="430"/>
      <c r="P61" s="531" t="str">
        <f t="array" ref="P61">INDEX(正厂竞争者数据汇总!I:I,MATCH($A$51&amp;B61,正厂竞争者数据汇总!A:A&amp;正厂竞争者数据汇总!D:D,0))</f>
        <v>经营多品牌零件，折算比例为：Ford:33%,GM:17%,Hyundai:0%,Infiniti:0%,Kia:17%,Mopar:33%,Subaru:0%</v>
      </c>
      <c r="Q61" s="429"/>
      <c r="R61" s="421"/>
      <c r="S61" s="473"/>
      <c r="T61" s="466"/>
      <c r="U61" s="466"/>
      <c r="V61" s="421"/>
      <c r="W61" s="421"/>
    </row>
    <row r="62" s="408" customFormat="1" spans="1:23">
      <c r="A62" s="428"/>
      <c r="B62" s="421"/>
      <c r="C62" s="429"/>
      <c r="D62" s="421"/>
      <c r="E62" s="430"/>
      <c r="F62" s="430"/>
      <c r="G62" s="430"/>
      <c r="H62" s="430"/>
      <c r="I62" s="450"/>
      <c r="J62" s="451"/>
      <c r="K62" s="451"/>
      <c r="L62" s="451"/>
      <c r="M62" s="452"/>
      <c r="N62" s="451"/>
      <c r="O62" s="430"/>
      <c r="P62" s="531"/>
      <c r="Q62" s="429"/>
      <c r="R62" s="421"/>
      <c r="S62" s="472"/>
      <c r="T62" s="466"/>
      <c r="U62" s="466"/>
      <c r="V62" s="421"/>
      <c r="W62" s="421"/>
    </row>
    <row r="63" s="408" customFormat="1" spans="1:23">
      <c r="A63" s="428"/>
      <c r="B63" s="421"/>
      <c r="C63" s="439"/>
      <c r="D63" s="421"/>
      <c r="E63" s="430"/>
      <c r="F63" s="430">
        <v>1475706.1975</v>
      </c>
      <c r="G63" s="430">
        <v>1270419.34583333</v>
      </c>
      <c r="H63" s="430">
        <v>1259631.94083333</v>
      </c>
      <c r="I63" s="453">
        <f>(F63/G63)-1</f>
        <v>0.161589834364505</v>
      </c>
      <c r="J63" s="430"/>
      <c r="K63" s="451"/>
      <c r="L63" s="430"/>
      <c r="M63" s="451"/>
      <c r="N63" s="459">
        <f>SUM(N53:N61)</f>
        <v>0</v>
      </c>
      <c r="O63" s="430" t="s">
        <v>180</v>
      </c>
      <c r="P63" s="531"/>
      <c r="Q63" s="429"/>
      <c r="R63" s="421"/>
      <c r="S63" s="473"/>
      <c r="T63" s="466"/>
      <c r="U63" s="466"/>
      <c r="V63" s="421"/>
      <c r="W63" s="421"/>
    </row>
    <row r="64" s="408" customFormat="1" spans="1:23">
      <c r="A64" s="428"/>
      <c r="B64" s="421"/>
      <c r="C64" s="439"/>
      <c r="D64" s="421"/>
      <c r="E64" s="430"/>
      <c r="F64" s="430"/>
      <c r="G64" s="430"/>
      <c r="H64" s="430"/>
      <c r="I64" s="453"/>
      <c r="J64" s="430"/>
      <c r="K64" s="430"/>
      <c r="L64" s="430"/>
      <c r="M64" s="451"/>
      <c r="N64" s="459"/>
      <c r="O64" s="430"/>
      <c r="P64" s="531"/>
      <c r="Q64" s="429"/>
      <c r="R64" s="421"/>
      <c r="S64" s="473"/>
      <c r="T64" s="466"/>
      <c r="U64" s="466"/>
      <c r="V64" s="421"/>
      <c r="W64" s="421"/>
    </row>
    <row r="65" s="408" customFormat="1" ht="17.4" spans="1:23">
      <c r="A65" s="418" t="s">
        <v>159</v>
      </c>
      <c r="B65" s="419"/>
      <c r="C65" s="420"/>
      <c r="D65" s="421"/>
      <c r="E65" s="422" t="s">
        <v>202</v>
      </c>
      <c r="F65" s="422"/>
      <c r="G65" s="422"/>
      <c r="H65" s="422"/>
      <c r="I65" s="422"/>
      <c r="J65" s="422"/>
      <c r="K65" s="422"/>
      <c r="L65" s="422"/>
      <c r="M65" s="443"/>
      <c r="N65" s="444"/>
      <c r="O65" s="422"/>
      <c r="P65" s="531"/>
      <c r="Q65" s="465"/>
      <c r="R65" s="424"/>
      <c r="S65" s="473"/>
      <c r="T65" s="467"/>
      <c r="U65" s="467"/>
      <c r="V65" s="467"/>
      <c r="W65" s="467"/>
    </row>
    <row r="66" s="409" customFormat="1" ht="46.8" spans="1:23">
      <c r="A66" s="423" t="s">
        <v>206</v>
      </c>
      <c r="B66" s="424" t="s">
        <v>207</v>
      </c>
      <c r="C66" s="425" t="s">
        <v>447</v>
      </c>
      <c r="D66" s="424" t="s">
        <v>209</v>
      </c>
      <c r="E66" s="426" t="s">
        <v>210</v>
      </c>
      <c r="F66" s="427" t="s">
        <v>489</v>
      </c>
      <c r="G66" s="427" t="s">
        <v>213</v>
      </c>
      <c r="H66" s="427" t="s">
        <v>396</v>
      </c>
      <c r="I66" s="427" t="s">
        <v>386</v>
      </c>
      <c r="J66" s="446" t="s">
        <v>479</v>
      </c>
      <c r="K66" s="446" t="s">
        <v>215</v>
      </c>
      <c r="L66" s="446" t="s">
        <v>216</v>
      </c>
      <c r="M66" s="447" t="s">
        <v>436</v>
      </c>
      <c r="N66" s="448" t="s">
        <v>219</v>
      </c>
      <c r="O66" s="449" t="s">
        <v>220</v>
      </c>
      <c r="P66" s="530" t="s">
        <v>221</v>
      </c>
      <c r="Q66" s="469" t="s">
        <v>222</v>
      </c>
      <c r="R66" s="426" t="s">
        <v>223</v>
      </c>
      <c r="S66" s="470" t="s">
        <v>224</v>
      </c>
      <c r="T66" s="467" t="s">
        <v>225</v>
      </c>
      <c r="U66" s="470" t="s">
        <v>226</v>
      </c>
      <c r="V66" s="467"/>
      <c r="W66" s="467"/>
    </row>
    <row r="67" s="410" customFormat="1" ht="17.4" spans="1:23">
      <c r="A67" s="432" t="s">
        <v>227</v>
      </c>
      <c r="B67" s="479" t="s">
        <v>160</v>
      </c>
      <c r="C67" s="434" t="s">
        <v>441</v>
      </c>
      <c r="D67" s="435" t="s">
        <v>49</v>
      </c>
      <c r="E67" s="436">
        <f>VLOOKUP(B67,正厂竞争者数据汇总!D:H,4,FALSE)</f>
        <v>0</v>
      </c>
      <c r="F67" s="436">
        <v>457647.166666667</v>
      </c>
      <c r="G67" s="436">
        <v>369856.833333333</v>
      </c>
      <c r="H67" s="436">
        <v>370810.25</v>
      </c>
      <c r="I67" s="454">
        <f>(F67/G67)-1</f>
        <v>0.237363015689406</v>
      </c>
      <c r="J67" s="455">
        <v>0.585736321211315</v>
      </c>
      <c r="K67" s="455">
        <v>0.539885336095221</v>
      </c>
      <c r="L67" s="455">
        <v>0.489210581269666</v>
      </c>
      <c r="M67" s="456">
        <f>J67-K67</f>
        <v>0.045850985116094</v>
      </c>
      <c r="N67" s="455" t="str">
        <f>IFERROR(O67*0.5/$F$67,"")</f>
        <v/>
      </c>
      <c r="O67" s="436" t="s">
        <v>180</v>
      </c>
      <c r="P67" s="531">
        <f t="array" ref="P67">INDEX(正厂竞争者数据汇总!I:I,MATCH($A$65&amp;B67,正厂竞争者数据汇总!A:A&amp;正厂竞争者数据汇总!D:D,0))</f>
        <v>0</v>
      </c>
      <c r="Q67" s="434" t="s">
        <v>280</v>
      </c>
      <c r="R67" s="435" t="s">
        <v>229</v>
      </c>
      <c r="S67" s="476"/>
      <c r="T67" s="477"/>
      <c r="U67" s="477"/>
      <c r="V67" s="435"/>
      <c r="W67" s="435"/>
    </row>
    <row r="68" s="408" customFormat="1" spans="1:23">
      <c r="A68" s="428" t="s">
        <v>230</v>
      </c>
      <c r="B68" s="438" t="s">
        <v>255</v>
      </c>
      <c r="C68" s="494" t="s">
        <v>233</v>
      </c>
      <c r="D68" s="431" t="s">
        <v>419</v>
      </c>
      <c r="E68" s="486"/>
      <c r="F68" s="430">
        <v>112514.593333333</v>
      </c>
      <c r="G68" s="430"/>
      <c r="H68" s="430"/>
      <c r="I68" s="453"/>
      <c r="J68" s="512">
        <v>0.144005882220736</v>
      </c>
      <c r="K68" s="451">
        <v>0.143018204014902</v>
      </c>
      <c r="L68" s="451">
        <v>0.134324283692421</v>
      </c>
      <c r="M68" s="451"/>
      <c r="N68" s="459"/>
      <c r="O68" s="430"/>
      <c r="P68" s="531" t="str">
        <f t="array" ref="P68">INDEX(正厂竞争者数据汇总!I:I,MATCH($A$65&amp;B68,正厂竞争者数据汇总!A:A&amp;正厂竞争者数据汇总!D:D,0))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68" s="429"/>
      <c r="R68" s="421"/>
      <c r="S68" s="473"/>
      <c r="T68" s="466"/>
      <c r="U68" s="466"/>
      <c r="V68" s="421"/>
      <c r="W68" s="421"/>
    </row>
    <row r="69" s="408" customFormat="1" spans="1:23">
      <c r="A69" s="428" t="s">
        <v>230</v>
      </c>
      <c r="B69" s="421" t="s">
        <v>282</v>
      </c>
      <c r="C69" s="494" t="s">
        <v>441</v>
      </c>
      <c r="D69" s="431" t="s">
        <v>250</v>
      </c>
      <c r="E69" s="486"/>
      <c r="F69" s="430">
        <v>105303.916666667</v>
      </c>
      <c r="G69" s="430"/>
      <c r="H69" s="430"/>
      <c r="I69" s="453"/>
      <c r="J69" s="512">
        <v>0.134777036219263</v>
      </c>
      <c r="K69" s="451">
        <v>0.140005799766522</v>
      </c>
      <c r="L69" s="451">
        <v>0.145148725472946</v>
      </c>
      <c r="M69" s="451"/>
      <c r="N69" s="459"/>
      <c r="O69" s="430"/>
      <c r="P69" s="531" t="str">
        <f t="array" ref="P69">INDEX(正厂竞争者数据汇总!I:I,MATCH($A$65&amp;B69,正厂竞争者数据汇总!A:A&amp;正厂竞争者数据汇总!D:D,0))</f>
        <v>2021年08月新增竞争者</v>
      </c>
      <c r="Q69" s="429"/>
      <c r="R69" s="421"/>
      <c r="S69" s="473"/>
      <c r="T69" s="466"/>
      <c r="U69" s="466"/>
      <c r="V69" s="421"/>
      <c r="W69" s="421"/>
    </row>
    <row r="70" s="408" customFormat="1" spans="1:23">
      <c r="A70" s="428" t="s">
        <v>230</v>
      </c>
      <c r="B70" s="431" t="s">
        <v>283</v>
      </c>
      <c r="C70" s="494" t="s">
        <v>233</v>
      </c>
      <c r="D70" s="431" t="s">
        <v>50</v>
      </c>
      <c r="E70" s="486"/>
      <c r="F70" s="430">
        <v>36160.5833333333</v>
      </c>
      <c r="G70" s="430"/>
      <c r="H70" s="430"/>
      <c r="I70" s="453"/>
      <c r="J70" s="512">
        <v>0.0462814338145984</v>
      </c>
      <c r="K70" s="451">
        <v>0.0691261230317674</v>
      </c>
      <c r="L70" s="451">
        <v>0.053978167783168</v>
      </c>
      <c r="M70" s="451"/>
      <c r="N70" s="459"/>
      <c r="O70" s="430"/>
      <c r="P70" s="531" t="str">
        <f t="array" ref="P70">INDEX(正厂竞争者数据汇总!I:I,MATCH($A$65&amp;B70,正厂竞争者数据汇总!A:A&amp;正厂竞争者数据汇总!D:D,0))</f>
        <v>2020年10月起加入MarketingShare.2023年8月，因为连续半年市场份额低于5%移除；2024年2月因市场份额大于5%重新加入监控</v>
      </c>
      <c r="Q70" s="429"/>
      <c r="R70" s="421"/>
      <c r="S70" s="473"/>
      <c r="T70" s="466"/>
      <c r="U70" s="466"/>
      <c r="V70" s="421"/>
      <c r="W70" s="421"/>
    </row>
    <row r="71" s="408" customFormat="1" spans="1:23">
      <c r="A71" s="428" t="s">
        <v>230</v>
      </c>
      <c r="B71" s="431" t="s">
        <v>457</v>
      </c>
      <c r="C71" s="494" t="s">
        <v>233</v>
      </c>
      <c r="D71" s="431" t="s">
        <v>58</v>
      </c>
      <c r="E71" s="486"/>
      <c r="F71" s="430">
        <v>33972.8333333333</v>
      </c>
      <c r="G71" s="430"/>
      <c r="H71" s="430"/>
      <c r="I71" s="453"/>
      <c r="J71" s="512">
        <v>0.0434813626460962</v>
      </c>
      <c r="K71" s="451">
        <v>0.0494169630966073</v>
      </c>
      <c r="L71" s="451">
        <v>0.0527167304503239</v>
      </c>
      <c r="M71" s="451"/>
      <c r="N71" s="459"/>
      <c r="O71" s="430"/>
      <c r="P71" s="531">
        <f t="array" ref="P71">INDEX(正厂竞争者数据汇总!I:I,MATCH($A$65&amp;B71,正厂竞争者数据汇总!A:A&amp;正厂竞争者数据汇总!D:D,0))</f>
        <v>0</v>
      </c>
      <c r="Q71" s="429"/>
      <c r="R71" s="421"/>
      <c r="S71" s="473"/>
      <c r="T71" s="466"/>
      <c r="U71" s="466"/>
      <c r="V71" s="421"/>
      <c r="W71" s="435"/>
    </row>
    <row r="72" s="408" customFormat="1" spans="1:23">
      <c r="A72" s="428" t="s">
        <v>230</v>
      </c>
      <c r="B72" s="421" t="s">
        <v>281</v>
      </c>
      <c r="C72" s="494" t="s">
        <v>233</v>
      </c>
      <c r="D72" s="431" t="s">
        <v>234</v>
      </c>
      <c r="E72" s="486"/>
      <c r="F72" s="430">
        <v>35720.3333333333</v>
      </c>
      <c r="G72" s="430"/>
      <c r="H72" s="430"/>
      <c r="I72" s="453"/>
      <c r="J72" s="512">
        <v>0.045717963887992</v>
      </c>
      <c r="K72" s="451">
        <v>0.0248813795967865</v>
      </c>
      <c r="L72" s="451">
        <v>0.0405583915523812</v>
      </c>
      <c r="M72" s="451"/>
      <c r="N72" s="459"/>
      <c r="O72" s="430"/>
      <c r="P72" s="531" t="str">
        <f t="array" ref="P72">INDEX(正厂竞争者数据汇总!I:I,MATCH($A$65&amp;B72,正厂竞争者数据汇总!A:A&amp;正厂竞争者数据汇总!D:D,0))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72" s="429"/>
      <c r="R72" s="421"/>
      <c r="S72" s="473"/>
      <c r="T72" s="466"/>
      <c r="U72" s="466"/>
      <c r="V72" s="421"/>
      <c r="W72" s="421"/>
    </row>
    <row r="73" s="408" customFormat="1" spans="1:23">
      <c r="A73" s="428" t="s">
        <v>243</v>
      </c>
      <c r="B73" s="431" t="s">
        <v>401</v>
      </c>
      <c r="C73" s="494" t="s">
        <v>233</v>
      </c>
      <c r="D73" s="431" t="s">
        <v>266</v>
      </c>
      <c r="E73" s="486"/>
      <c r="F73" s="430">
        <v>28440.75</v>
      </c>
      <c r="G73" s="430"/>
      <c r="H73" s="430"/>
      <c r="I73" s="453"/>
      <c r="J73" s="512">
        <v>0.0364009251905286</v>
      </c>
      <c r="K73" s="451">
        <v>0.0336661943981931</v>
      </c>
      <c r="L73" s="451">
        <v>0.0491566488920993</v>
      </c>
      <c r="M73" s="451"/>
      <c r="N73" s="459"/>
      <c r="O73" s="430"/>
      <c r="P73" s="531" t="str">
        <f t="array" ref="P73">INDEX(正厂竞争者数据汇总!I:I,MATCH($A$65&amp;B73,正厂竞争者数据汇总!A:A&amp;正厂竞争者数据汇总!D:D,0))</f>
        <v>2023年1月新增</v>
      </c>
      <c r="Q73" s="429"/>
      <c r="R73" s="421"/>
      <c r="S73" s="473"/>
      <c r="T73" s="466"/>
      <c r="U73" s="466"/>
      <c r="V73" s="421"/>
      <c r="W73" s="435"/>
    </row>
    <row r="74" s="408" customFormat="1" spans="1:23">
      <c r="A74" s="428"/>
      <c r="B74" s="421"/>
      <c r="C74" s="429"/>
      <c r="D74" s="421"/>
      <c r="E74" s="430"/>
      <c r="F74" s="430"/>
      <c r="G74" s="430"/>
      <c r="H74" s="430"/>
      <c r="I74" s="453"/>
      <c r="J74" s="451"/>
      <c r="K74" s="451"/>
      <c r="L74" s="451"/>
      <c r="M74" s="451"/>
      <c r="N74" s="451"/>
      <c r="O74" s="430"/>
      <c r="P74" s="531"/>
      <c r="Q74" s="429"/>
      <c r="R74" s="421"/>
      <c r="S74" s="473"/>
      <c r="T74" s="466"/>
      <c r="U74" s="466"/>
      <c r="V74" s="421"/>
      <c r="W74" s="421"/>
    </row>
    <row r="75" s="408" customFormat="1" spans="1:23">
      <c r="A75" s="428"/>
      <c r="B75" s="421"/>
      <c r="C75" s="429"/>
      <c r="D75" s="421"/>
      <c r="E75" s="430"/>
      <c r="F75" s="430">
        <v>781319.426666667</v>
      </c>
      <c r="G75" s="430">
        <v>675366.255</v>
      </c>
      <c r="H75" s="430">
        <v>656929.13</v>
      </c>
      <c r="I75" s="453">
        <f>(F75/G75)-1</f>
        <v>0.156882537263676</v>
      </c>
      <c r="J75" s="451"/>
      <c r="K75" s="451"/>
      <c r="L75" s="451"/>
      <c r="M75" s="451"/>
      <c r="N75" s="451">
        <f>SUM(N67:N72)</f>
        <v>0</v>
      </c>
      <c r="O75" s="430"/>
      <c r="P75" s="531"/>
      <c r="Q75" s="429"/>
      <c r="R75" s="421"/>
      <c r="S75" s="473"/>
      <c r="T75" s="466"/>
      <c r="U75" s="466"/>
      <c r="V75" s="421"/>
      <c r="W75" s="421"/>
    </row>
    <row r="76" s="408" customFormat="1" spans="1:23">
      <c r="A76" s="428"/>
      <c r="B76" s="421"/>
      <c r="C76" s="429"/>
      <c r="D76" s="421"/>
      <c r="E76" s="430"/>
      <c r="F76" s="430"/>
      <c r="G76" s="430"/>
      <c r="H76" s="430"/>
      <c r="I76" s="453"/>
      <c r="J76" s="451"/>
      <c r="K76" s="451"/>
      <c r="L76" s="451"/>
      <c r="M76" s="451"/>
      <c r="N76" s="451"/>
      <c r="O76" s="430"/>
      <c r="P76" s="531"/>
      <c r="Q76" s="429"/>
      <c r="R76" s="421"/>
      <c r="S76" s="473"/>
      <c r="T76" s="466"/>
      <c r="U76" s="466"/>
      <c r="V76" s="421"/>
      <c r="W76" s="421"/>
    </row>
    <row r="77" s="408" customFormat="1" ht="17.4" spans="1:23">
      <c r="A77" s="418" t="s">
        <v>274</v>
      </c>
      <c r="B77" s="419"/>
      <c r="C77" s="420"/>
      <c r="D77" s="421"/>
      <c r="E77" s="422" t="s">
        <v>202</v>
      </c>
      <c r="F77" s="422"/>
      <c r="G77" s="422"/>
      <c r="H77" s="422"/>
      <c r="I77" s="422"/>
      <c r="J77" s="422"/>
      <c r="K77" s="422"/>
      <c r="L77" s="422"/>
      <c r="M77" s="443"/>
      <c r="N77" s="444"/>
      <c r="O77" s="422"/>
      <c r="P77" s="531"/>
      <c r="Q77" s="465"/>
      <c r="R77" s="424"/>
      <c r="S77" s="473"/>
      <c r="T77" s="467"/>
      <c r="U77" s="467"/>
      <c r="V77" s="467"/>
      <c r="W77" s="467"/>
    </row>
    <row r="78" s="409" customFormat="1" ht="46.8" spans="1:23">
      <c r="A78" s="423" t="s">
        <v>206</v>
      </c>
      <c r="B78" s="424" t="s">
        <v>207</v>
      </c>
      <c r="C78" s="425" t="s">
        <v>447</v>
      </c>
      <c r="D78" s="424" t="s">
        <v>209</v>
      </c>
      <c r="E78" s="426" t="s">
        <v>210</v>
      </c>
      <c r="F78" s="427" t="s">
        <v>489</v>
      </c>
      <c r="G78" s="427" t="s">
        <v>213</v>
      </c>
      <c r="H78" s="427" t="s">
        <v>396</v>
      </c>
      <c r="I78" s="427" t="s">
        <v>386</v>
      </c>
      <c r="J78" s="446" t="s">
        <v>479</v>
      </c>
      <c r="K78" s="446" t="s">
        <v>215</v>
      </c>
      <c r="L78" s="446" t="s">
        <v>216</v>
      </c>
      <c r="M78" s="447" t="s">
        <v>436</v>
      </c>
      <c r="N78" s="448" t="s">
        <v>219</v>
      </c>
      <c r="O78" s="449" t="s">
        <v>220</v>
      </c>
      <c r="P78" s="530" t="s">
        <v>221</v>
      </c>
      <c r="Q78" s="469" t="s">
        <v>222</v>
      </c>
      <c r="R78" s="426" t="s">
        <v>223</v>
      </c>
      <c r="S78" s="470" t="s">
        <v>224</v>
      </c>
      <c r="T78" s="467" t="s">
        <v>225</v>
      </c>
      <c r="U78" s="470" t="s">
        <v>226</v>
      </c>
      <c r="V78" s="467"/>
      <c r="W78" s="467"/>
    </row>
    <row r="79" s="410" customFormat="1" ht="17.4" spans="1:23">
      <c r="A79" s="432" t="s">
        <v>227</v>
      </c>
      <c r="B79" s="435" t="s">
        <v>157</v>
      </c>
      <c r="C79" s="434" t="s">
        <v>441</v>
      </c>
      <c r="D79" s="435" t="s">
        <v>49</v>
      </c>
      <c r="E79" s="436">
        <f>VLOOKUP(B79,正厂竞争者数据汇总!D:H,4,FALSE)</f>
        <v>0</v>
      </c>
      <c r="F79" s="436">
        <v>236316.25</v>
      </c>
      <c r="G79" s="436">
        <v>278909.416666667</v>
      </c>
      <c r="H79" s="436">
        <v>329867.416666667</v>
      </c>
      <c r="I79" s="454">
        <f>(F79/G79)-1</f>
        <v>-0.152713261444203</v>
      </c>
      <c r="J79" s="457">
        <v>0.340964303771138</v>
      </c>
      <c r="K79" s="457">
        <v>0.372062722978586</v>
      </c>
      <c r="L79" s="457">
        <v>0.367091785143092</v>
      </c>
      <c r="M79" s="456">
        <f>J79-K79</f>
        <v>-0.031098419207448</v>
      </c>
      <c r="N79" s="457" t="str">
        <f>IFERROR(O79*0.5/$F$79,"")</f>
        <v/>
      </c>
      <c r="O79" s="436" t="s">
        <v>180</v>
      </c>
      <c r="P79" s="531">
        <f t="array" ref="P79">INDEX(正厂竞争者数据汇总!I:I,MATCH($A$77&amp;B79,正厂竞争者数据汇总!A:A&amp;正厂竞争者数据汇总!D:D,0))</f>
        <v>0</v>
      </c>
      <c r="Q79" s="434" t="s">
        <v>275</v>
      </c>
      <c r="R79" s="435" t="s">
        <v>229</v>
      </c>
      <c r="S79" s="476"/>
      <c r="T79" s="477"/>
      <c r="U79" s="477"/>
      <c r="V79" s="435"/>
      <c r="W79" s="435"/>
    </row>
    <row r="80" s="408" customFormat="1" spans="1:23">
      <c r="A80" s="428" t="s">
        <v>230</v>
      </c>
      <c r="B80" s="431" t="s">
        <v>276</v>
      </c>
      <c r="C80" s="494" t="s">
        <v>233</v>
      </c>
      <c r="D80" s="431" t="s">
        <v>234</v>
      </c>
      <c r="E80" s="486"/>
      <c r="F80" s="430">
        <v>180315.25</v>
      </c>
      <c r="G80" s="486"/>
      <c r="H80" s="486"/>
      <c r="I80" s="518"/>
      <c r="J80" s="490">
        <v>0.260164350422659</v>
      </c>
      <c r="K80" s="451">
        <v>0.253976470958231</v>
      </c>
      <c r="L80" s="451">
        <v>0.272291890656617</v>
      </c>
      <c r="M80" s="451"/>
      <c r="N80" s="457"/>
      <c r="O80" s="430"/>
      <c r="P80" s="531" t="str">
        <f t="array" ref="P80">INDEX(正厂竞争者数据汇总!I:I,MATCH($A$77&amp;B80,正厂竞争者数据汇总!A:A&amp;正厂竞争者数据汇总!D:D,0))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80" s="429"/>
      <c r="R80" s="435"/>
      <c r="S80" s="473"/>
      <c r="T80" s="466"/>
      <c r="U80" s="466"/>
      <c r="V80" s="421"/>
      <c r="W80" s="421"/>
    </row>
    <row r="81" s="408" customFormat="1" spans="1:23">
      <c r="A81" s="428" t="s">
        <v>243</v>
      </c>
      <c r="B81" s="431" t="s">
        <v>277</v>
      </c>
      <c r="C81" s="506" t="s">
        <v>233</v>
      </c>
      <c r="D81" s="431" t="s">
        <v>266</v>
      </c>
      <c r="E81" s="486"/>
      <c r="F81" s="430">
        <v>125894.916666667</v>
      </c>
      <c r="G81" s="486"/>
      <c r="H81" s="486"/>
      <c r="I81" s="518"/>
      <c r="J81" s="490">
        <v>0.181645031222252</v>
      </c>
      <c r="K81" s="451">
        <v>0.173699874239048</v>
      </c>
      <c r="L81" s="451">
        <v>0.145718611209331</v>
      </c>
      <c r="M81" s="451"/>
      <c r="N81" s="457"/>
      <c r="O81" s="430"/>
      <c r="P81" s="531">
        <f t="array" ref="P81">INDEX(正厂竞争者数据汇总!I:I,MATCH($A$77&amp;B81,正厂竞争者数据汇总!A:A&amp;正厂竞争者数据汇总!D:D,0))</f>
        <v>0</v>
      </c>
      <c r="Q81" s="429"/>
      <c r="R81" s="435"/>
      <c r="S81" s="473"/>
      <c r="T81" s="466"/>
      <c r="U81" s="466"/>
      <c r="V81" s="421"/>
      <c r="W81" s="421"/>
    </row>
    <row r="82" s="408" customFormat="1" spans="1:23">
      <c r="A82" s="428" t="s">
        <v>230</v>
      </c>
      <c r="B82" s="431" t="s">
        <v>278</v>
      </c>
      <c r="C82" s="494" t="s">
        <v>65</v>
      </c>
      <c r="D82" s="431" t="s">
        <v>59</v>
      </c>
      <c r="E82" s="486"/>
      <c r="F82" s="430">
        <v>104416.333333333</v>
      </c>
      <c r="G82" s="486"/>
      <c r="H82" s="486"/>
      <c r="I82" s="518"/>
      <c r="J82" s="490">
        <v>0.150655075126382</v>
      </c>
      <c r="K82" s="451">
        <v>0.169410373699849</v>
      </c>
      <c r="L82" s="451">
        <v>0.149228855585814</v>
      </c>
      <c r="M82" s="451"/>
      <c r="N82" s="457"/>
      <c r="O82" s="430"/>
      <c r="P82" s="531" t="str">
        <f t="array" ref="P82">INDEX(正厂竞争者数据汇总!I:I,MATCH($A$77&amp;B82,正厂竞争者数据汇总!A:A&amp;正厂竞争者数据汇总!D:D,0))</f>
        <v>2020年11月新增竞争者</v>
      </c>
      <c r="Q82" s="429"/>
      <c r="R82" s="435"/>
      <c r="S82" s="473"/>
      <c r="T82" s="466"/>
      <c r="U82" s="466"/>
      <c r="V82" s="474"/>
      <c r="W82" s="474"/>
    </row>
    <row r="83" s="408" customFormat="1" spans="1:23">
      <c r="A83" s="428" t="s">
        <v>230</v>
      </c>
      <c r="B83" s="431" t="s">
        <v>279</v>
      </c>
      <c r="C83" s="494" t="s">
        <v>233</v>
      </c>
      <c r="D83" s="431" t="s">
        <v>234</v>
      </c>
      <c r="E83" s="486"/>
      <c r="F83" s="430">
        <v>46139.3333333333</v>
      </c>
      <c r="G83" s="486"/>
      <c r="H83" s="486"/>
      <c r="I83" s="518"/>
      <c r="J83" s="490">
        <v>0.0665712394575678</v>
      </c>
      <c r="K83" s="451">
        <v>0.0308505581242861</v>
      </c>
      <c r="L83" s="457">
        <v>0.0656688574051457</v>
      </c>
      <c r="M83" s="451"/>
      <c r="N83" s="457"/>
      <c r="O83" s="430"/>
      <c r="P83" s="531" t="str">
        <f t="array" ref="P83">INDEX(正厂竞争者数据汇总!I:I,MATCH($A$77&amp;B83,正厂竞争者数据汇总!A:A&amp;正厂竞争者数据汇总!D:D,0))</f>
        <v>同时经营多品牌零件，semrush流量折算比例：Ford:0%, GM:36%, Honda:25%, Hyundai:0%, Infiniti:1%, Kia:1%, Lexus:4%, Mopar:0%, Nissan:25%, Subaru:5%, Toyota:2%</v>
      </c>
      <c r="Q83" s="429"/>
      <c r="R83" s="435"/>
      <c r="S83" s="473"/>
      <c r="T83" s="466"/>
      <c r="U83" s="466"/>
      <c r="V83" s="421"/>
      <c r="W83" s="421"/>
    </row>
    <row r="84" s="408" customFormat="1" spans="1:23">
      <c r="A84" s="428"/>
      <c r="B84" s="431"/>
      <c r="C84" s="429"/>
      <c r="D84" s="421"/>
      <c r="E84" s="430"/>
      <c r="F84" s="430"/>
      <c r="G84" s="430"/>
      <c r="H84" s="430"/>
      <c r="I84" s="453"/>
      <c r="J84" s="451"/>
      <c r="K84" s="451"/>
      <c r="L84" s="451"/>
      <c r="M84" s="451"/>
      <c r="N84" s="451"/>
      <c r="O84" s="430"/>
      <c r="P84" s="531"/>
      <c r="Q84" s="429"/>
      <c r="R84" s="435"/>
      <c r="S84" s="473"/>
      <c r="T84" s="466"/>
      <c r="U84" s="466"/>
      <c r="V84" s="421"/>
      <c r="W84" s="421"/>
    </row>
    <row r="85" s="408" customFormat="1" spans="1:23">
      <c r="A85" s="428"/>
      <c r="B85" s="421"/>
      <c r="C85" s="439"/>
      <c r="D85" s="421"/>
      <c r="E85" s="430"/>
      <c r="F85" s="430">
        <v>693082.083333333</v>
      </c>
      <c r="G85" s="430">
        <v>704838.916666666</v>
      </c>
      <c r="H85" s="430">
        <v>764789.250000002</v>
      </c>
      <c r="I85" s="453">
        <f>(F85/G85)-1</f>
        <v>-0.0166801705401478</v>
      </c>
      <c r="J85" s="490"/>
      <c r="K85" s="480"/>
      <c r="L85" s="480"/>
      <c r="M85" s="451"/>
      <c r="N85" s="451">
        <f>SUM(N79:N83)</f>
        <v>0</v>
      </c>
      <c r="O85" s="430"/>
      <c r="P85" s="531"/>
      <c r="Q85" s="429"/>
      <c r="R85" s="421"/>
      <c r="S85" s="473"/>
      <c r="T85" s="466"/>
      <c r="U85" s="466"/>
      <c r="V85" s="421"/>
      <c r="W85" s="421"/>
    </row>
    <row r="86" s="408" customFormat="1" spans="1:23">
      <c r="A86" s="428"/>
      <c r="B86" s="421"/>
      <c r="C86" s="439"/>
      <c r="D86" s="421"/>
      <c r="E86" s="430"/>
      <c r="F86" s="430"/>
      <c r="G86" s="430"/>
      <c r="H86" s="430"/>
      <c r="I86" s="453"/>
      <c r="J86" s="430"/>
      <c r="K86" s="430"/>
      <c r="L86" s="430"/>
      <c r="M86" s="451"/>
      <c r="N86" s="459"/>
      <c r="O86" s="430"/>
      <c r="P86" s="531"/>
      <c r="Q86" s="429"/>
      <c r="R86" s="421"/>
      <c r="S86" s="473"/>
      <c r="T86" s="466"/>
      <c r="U86" s="466"/>
      <c r="V86" s="421"/>
      <c r="W86" s="421"/>
    </row>
    <row r="87" s="408" customFormat="1" ht="17.4" spans="1:23">
      <c r="A87" s="418" t="s">
        <v>165</v>
      </c>
      <c r="B87" s="419"/>
      <c r="C87" s="420"/>
      <c r="D87" s="421"/>
      <c r="E87" s="422" t="s">
        <v>202</v>
      </c>
      <c r="F87" s="422"/>
      <c r="G87" s="422"/>
      <c r="H87" s="422"/>
      <c r="I87" s="422"/>
      <c r="J87" s="422"/>
      <c r="K87" s="422"/>
      <c r="L87" s="422"/>
      <c r="M87" s="443"/>
      <c r="N87" s="444"/>
      <c r="O87" s="422"/>
      <c r="P87" s="531"/>
      <c r="Q87" s="465"/>
      <c r="R87" s="424"/>
      <c r="S87" s="473"/>
      <c r="T87" s="467"/>
      <c r="U87" s="467"/>
      <c r="V87" s="467"/>
      <c r="W87" s="467"/>
    </row>
    <row r="88" s="409" customFormat="1" ht="46.8" spans="1:23">
      <c r="A88" s="423" t="s">
        <v>206</v>
      </c>
      <c r="B88" s="424" t="s">
        <v>207</v>
      </c>
      <c r="C88" s="425" t="s">
        <v>447</v>
      </c>
      <c r="D88" s="424" t="s">
        <v>209</v>
      </c>
      <c r="E88" s="426" t="s">
        <v>210</v>
      </c>
      <c r="F88" s="427" t="s">
        <v>489</v>
      </c>
      <c r="G88" s="427" t="s">
        <v>213</v>
      </c>
      <c r="H88" s="427" t="s">
        <v>396</v>
      </c>
      <c r="I88" s="427" t="s">
        <v>386</v>
      </c>
      <c r="J88" s="446" t="s">
        <v>479</v>
      </c>
      <c r="K88" s="446" t="s">
        <v>215</v>
      </c>
      <c r="L88" s="446" t="s">
        <v>216</v>
      </c>
      <c r="M88" s="447" t="s">
        <v>436</v>
      </c>
      <c r="N88" s="448" t="s">
        <v>219</v>
      </c>
      <c r="O88" s="449" t="s">
        <v>220</v>
      </c>
      <c r="P88" s="530" t="s">
        <v>221</v>
      </c>
      <c r="Q88" s="469" t="s">
        <v>222</v>
      </c>
      <c r="R88" s="426" t="s">
        <v>223</v>
      </c>
      <c r="S88" s="470" t="s">
        <v>224</v>
      </c>
      <c r="T88" s="467" t="s">
        <v>225</v>
      </c>
      <c r="U88" s="470" t="s">
        <v>226</v>
      </c>
      <c r="V88" s="467"/>
      <c r="W88" s="467"/>
    </row>
    <row r="89" spans="1:23">
      <c r="A89" s="428" t="s">
        <v>230</v>
      </c>
      <c r="B89" s="431" t="s">
        <v>293</v>
      </c>
      <c r="C89" s="429" t="s">
        <v>233</v>
      </c>
      <c r="D89" s="421" t="s">
        <v>50</v>
      </c>
      <c r="E89" s="486"/>
      <c r="F89" s="430">
        <v>163046.083333333</v>
      </c>
      <c r="G89" s="486"/>
      <c r="H89" s="486"/>
      <c r="I89" s="514"/>
      <c r="J89" s="451">
        <v>0.351580903196127</v>
      </c>
      <c r="K89" s="451">
        <v>0.393913462095028</v>
      </c>
      <c r="L89" s="451">
        <v>0.318683117212088</v>
      </c>
      <c r="M89" s="515"/>
      <c r="N89" s="490"/>
      <c r="O89" s="486"/>
      <c r="P89" s="531">
        <f t="array" ref="P89">INDEX(正厂竞争者数据汇总!I:I,MATCH($A$87&amp;B89,正厂竞争者数据汇总!A:A&amp;正厂竞争者数据汇总!D:D,0))</f>
        <v>0</v>
      </c>
      <c r="Q89" s="494"/>
      <c r="R89" s="431"/>
      <c r="S89" s="473"/>
      <c r="T89" s="495"/>
      <c r="U89" s="495"/>
      <c r="V89" s="431"/>
      <c r="W89" s="431"/>
    </row>
    <row r="90" s="410" customFormat="1" spans="1:23">
      <c r="A90" s="432" t="s">
        <v>227</v>
      </c>
      <c r="B90" s="435" t="s">
        <v>166</v>
      </c>
      <c r="C90" s="505" t="s">
        <v>441</v>
      </c>
      <c r="D90" s="435" t="s">
        <v>58</v>
      </c>
      <c r="E90" s="462"/>
      <c r="F90" s="436">
        <v>108285.166666667</v>
      </c>
      <c r="G90" s="462"/>
      <c r="H90" s="462"/>
      <c r="I90" s="510"/>
      <c r="J90" s="461">
        <v>0.233498382304451</v>
      </c>
      <c r="K90" s="457">
        <v>0.252398071389645</v>
      </c>
      <c r="L90" s="457">
        <v>0.188770024329745</v>
      </c>
      <c r="M90" s="461"/>
      <c r="N90" s="461"/>
      <c r="O90" s="462"/>
      <c r="P90" s="531">
        <f t="array" ref="P90">INDEX(正厂竞争者数据汇总!I:I,MATCH($A$87&amp;B90,正厂竞争者数据汇总!A:A&amp;正厂竞争者数据汇总!D:D,0))</f>
        <v>0</v>
      </c>
      <c r="Q90" s="434"/>
      <c r="R90" s="435"/>
      <c r="S90" s="476"/>
      <c r="T90" s="477"/>
      <c r="U90" s="477"/>
      <c r="V90" s="435"/>
      <c r="W90" s="435"/>
    </row>
    <row r="91" s="408" customFormat="1" spans="1:23">
      <c r="A91" s="421" t="s">
        <v>243</v>
      </c>
      <c r="B91" s="421" t="s">
        <v>298</v>
      </c>
      <c r="C91" s="429" t="s">
        <v>441</v>
      </c>
      <c r="D91" s="421" t="s">
        <v>422</v>
      </c>
      <c r="E91" s="430"/>
      <c r="F91" s="430">
        <v>56317.5833333333</v>
      </c>
      <c r="G91" s="430"/>
      <c r="H91" s="430"/>
      <c r="I91" s="453"/>
      <c r="J91" s="451">
        <v>0.121439205464855</v>
      </c>
      <c r="K91" s="451">
        <v>0.140581632243162</v>
      </c>
      <c r="L91" s="451">
        <v>0.094901466796746</v>
      </c>
      <c r="M91" s="451"/>
      <c r="N91" s="451"/>
      <c r="O91" s="430"/>
      <c r="P91" s="531">
        <f t="array" ref="P91">INDEX(正厂竞争者数据汇总!I:I,MATCH($A$87&amp;B91,正厂竞争者数据汇总!A:A&amp;正厂竞争者数据汇总!D:D,0))</f>
        <v>0</v>
      </c>
      <c r="Q91" s="429"/>
      <c r="R91" s="421"/>
      <c r="S91" s="473"/>
      <c r="T91" s="466"/>
      <c r="U91" s="477"/>
      <c r="V91" s="421"/>
      <c r="W91" s="421"/>
    </row>
    <row r="92" s="408" customFormat="1" spans="1:23">
      <c r="A92" s="421" t="s">
        <v>230</v>
      </c>
      <c r="B92" t="s">
        <v>295</v>
      </c>
      <c r="C92" s="429" t="s">
        <v>233</v>
      </c>
      <c r="D92" s="421" t="s">
        <v>423</v>
      </c>
      <c r="E92" s="430"/>
      <c r="F92" s="430">
        <v>47920.1666666667</v>
      </c>
      <c r="G92" s="430"/>
      <c r="H92" s="430"/>
      <c r="I92" s="453"/>
      <c r="J92" s="451">
        <v>0.103331617255299</v>
      </c>
      <c r="K92" s="451">
        <v>0.0750675854983835</v>
      </c>
      <c r="L92" s="451">
        <v>0.248879752589028</v>
      </c>
      <c r="M92" s="451"/>
      <c r="N92" s="451"/>
      <c r="O92" s="430"/>
      <c r="P92" s="531" t="str">
        <f t="array" ref="P92">INDEX(正厂竞争者数据汇总!I:I,MATCH($A$87&amp;B92,正厂竞争者数据汇总!A:A&amp;正厂竞争者数据汇总!D:D,0))</f>
        <v>2023年4月，流量更新为子站parts.subaruonlineparts.com，子站主营parts，此前监控域名为subaruonlineparts.com,该子域名的实际成单效率较高，流量不能完全反应其竞争力</v>
      </c>
      <c r="Q92" s="429"/>
      <c r="R92" s="421"/>
      <c r="S92" s="473"/>
      <c r="T92" s="466"/>
      <c r="U92" s="477"/>
      <c r="V92" s="421"/>
      <c r="W92" s="421"/>
    </row>
    <row r="93" s="408" customFormat="1" spans="1:23">
      <c r="A93" s="428" t="s">
        <v>230</v>
      </c>
      <c r="B93" s="421" t="s">
        <v>294</v>
      </c>
      <c r="C93" s="429" t="s">
        <v>233</v>
      </c>
      <c r="D93" s="421" t="s">
        <v>250</v>
      </c>
      <c r="E93" s="430"/>
      <c r="F93" s="430">
        <v>38168.9166666667</v>
      </c>
      <c r="G93" s="430"/>
      <c r="H93" s="430"/>
      <c r="I93" s="453"/>
      <c r="J93" s="451">
        <v>0.0823047197536755</v>
      </c>
      <c r="K93" s="451">
        <v>0.0896709795287187</v>
      </c>
      <c r="L93" s="451">
        <v>0.0709098300197415</v>
      </c>
      <c r="M93" s="451"/>
      <c r="N93" s="451"/>
      <c r="O93" s="430"/>
      <c r="P93" s="531" t="str">
        <f t="array" ref="P93">INDEX(正厂竞争者数据汇总!I:I,MATCH($A$87&amp;B93,正厂竞争者数据汇总!A:A&amp;正厂竞争者数据汇总!D:D,0))</f>
        <v>2022年1月 新加入 CompetitorSites</v>
      </c>
      <c r="Q93" s="429"/>
      <c r="R93" s="421"/>
      <c r="S93" s="473"/>
      <c r="T93" s="466"/>
      <c r="U93" s="466"/>
      <c r="V93" s="421"/>
      <c r="W93" s="421"/>
    </row>
    <row r="94" s="408" customFormat="1" spans="1:23">
      <c r="A94" s="428" t="s">
        <v>230</v>
      </c>
      <c r="B94" s="421" t="s">
        <v>406</v>
      </c>
      <c r="C94" s="429" t="s">
        <v>233</v>
      </c>
      <c r="D94" s="421" t="s">
        <v>60</v>
      </c>
      <c r="E94" s="430"/>
      <c r="F94" s="430">
        <v>26759.25</v>
      </c>
      <c r="G94" s="430"/>
      <c r="H94" s="430"/>
      <c r="I94" s="453"/>
      <c r="J94" s="451">
        <v>0.0577017312621799</v>
      </c>
      <c r="K94" s="451"/>
      <c r="L94" s="451"/>
      <c r="M94" s="451"/>
      <c r="N94" s="451"/>
      <c r="O94" s="430"/>
      <c r="P94" s="531"/>
      <c r="Q94" s="429"/>
      <c r="R94" s="421"/>
      <c r="S94" s="473"/>
      <c r="T94" s="466"/>
      <c r="U94" s="477"/>
      <c r="V94" s="421"/>
      <c r="W94" s="421"/>
    </row>
    <row r="95" s="408" customFormat="1" spans="1:23">
      <c r="A95" s="428" t="s">
        <v>230</v>
      </c>
      <c r="B95" s="421" t="s">
        <v>440</v>
      </c>
      <c r="C95" s="429" t="s">
        <v>233</v>
      </c>
      <c r="D95" s="421" t="s">
        <v>417</v>
      </c>
      <c r="E95" s="430"/>
      <c r="F95" s="430">
        <v>23254.0833333333</v>
      </c>
      <c r="G95" s="430"/>
      <c r="H95" s="430"/>
      <c r="I95" s="453"/>
      <c r="J95" s="451">
        <v>0.0501434407634121</v>
      </c>
      <c r="K95" s="451">
        <v>0.0483682692450637</v>
      </c>
      <c r="L95" s="451">
        <v>0.0444157230216485</v>
      </c>
      <c r="M95" s="451"/>
      <c r="N95" s="451"/>
      <c r="O95" s="430"/>
      <c r="P95" s="531" t="str">
        <f t="array" ref="P95">INDEX(正厂竞争者数据汇总!I:I,MATCH($A$87&amp;B95,正厂竞争者数据汇总!A:A&amp;正厂竞争者数据汇总!D:D,0))</f>
        <v>202307，Semrush无法正常获取流量</v>
      </c>
      <c r="Q95" s="429"/>
      <c r="R95" s="421"/>
      <c r="S95" s="473"/>
      <c r="T95" s="466"/>
      <c r="U95" s="466"/>
      <c r="V95" s="421"/>
      <c r="W95" s="421"/>
    </row>
    <row r="96" s="408" customFormat="1" spans="1:23">
      <c r="A96" s="428"/>
      <c r="B96" s="421"/>
      <c r="C96" s="429"/>
      <c r="D96" s="421"/>
      <c r="E96" s="430"/>
      <c r="F96" s="481"/>
      <c r="G96" s="481"/>
      <c r="H96" s="481"/>
      <c r="I96" s="453"/>
      <c r="J96" s="451"/>
      <c r="K96" s="451"/>
      <c r="L96" s="451"/>
      <c r="M96" s="451"/>
      <c r="N96" s="451"/>
      <c r="O96" s="430"/>
      <c r="P96" s="531"/>
      <c r="Q96" s="429"/>
      <c r="R96" s="421"/>
      <c r="S96" s="473"/>
      <c r="T96" s="466"/>
      <c r="U96" s="466"/>
      <c r="V96" s="421"/>
      <c r="W96" s="421"/>
    </row>
    <row r="97" s="408" customFormat="1" spans="1:23">
      <c r="A97" s="428"/>
      <c r="B97" s="421"/>
      <c r="C97" s="439"/>
      <c r="D97" s="421"/>
      <c r="E97" s="421"/>
      <c r="F97" s="481">
        <v>463751.25</v>
      </c>
      <c r="G97" s="481">
        <v>427571.166666666</v>
      </c>
      <c r="H97" s="481">
        <v>496054.5</v>
      </c>
      <c r="I97" s="453">
        <f>(F97/G97)-1</f>
        <v>0.0846176874259157</v>
      </c>
      <c r="J97" s="430"/>
      <c r="K97" s="430"/>
      <c r="L97" s="430"/>
      <c r="M97" s="451"/>
      <c r="N97" s="451">
        <f>SUM(N89:N91)</f>
        <v>0</v>
      </c>
      <c r="O97" s="430"/>
      <c r="P97" s="531"/>
      <c r="Q97" s="429"/>
      <c r="R97" s="421"/>
      <c r="S97" s="473"/>
      <c r="T97" s="466"/>
      <c r="U97" s="466"/>
      <c r="V97" s="421"/>
      <c r="W97" s="421"/>
    </row>
    <row r="98" s="408" customFormat="1" spans="1:23">
      <c r="A98" s="428"/>
      <c r="B98" s="421"/>
      <c r="C98" s="429"/>
      <c r="D98" s="421"/>
      <c r="E98" s="430"/>
      <c r="F98" s="451"/>
      <c r="G98" s="451"/>
      <c r="H98" s="451"/>
      <c r="I98" s="453"/>
      <c r="J98" s="451"/>
      <c r="K98" s="451"/>
      <c r="L98" s="451"/>
      <c r="M98" s="451"/>
      <c r="N98" s="451"/>
      <c r="O98" s="451"/>
      <c r="P98" s="531"/>
      <c r="Q98" s="429"/>
      <c r="R98" s="421"/>
      <c r="S98" s="473"/>
      <c r="T98" s="466"/>
      <c r="U98" s="466"/>
      <c r="V98" s="421"/>
      <c r="W98" s="421"/>
    </row>
    <row r="99" s="408" customFormat="1" ht="17.4" spans="1:23">
      <c r="A99" s="418" t="s">
        <v>171</v>
      </c>
      <c r="B99" s="419"/>
      <c r="C99" s="420"/>
      <c r="D99" s="421"/>
      <c r="E99" s="422" t="s">
        <v>202</v>
      </c>
      <c r="F99" s="422"/>
      <c r="G99" s="422"/>
      <c r="H99" s="422"/>
      <c r="I99" s="422"/>
      <c r="J99" s="422"/>
      <c r="K99" s="422"/>
      <c r="L99" s="422"/>
      <c r="M99" s="443"/>
      <c r="N99" s="422"/>
      <c r="O99" s="422"/>
      <c r="P99" s="531"/>
      <c r="Q99" s="465"/>
      <c r="R99" s="424"/>
      <c r="S99" s="473"/>
      <c r="T99" s="467"/>
      <c r="U99" s="467"/>
      <c r="V99" s="467"/>
      <c r="W99" s="467"/>
    </row>
    <row r="100" s="409" customFormat="1" ht="46.8" spans="1:23">
      <c r="A100" s="423" t="s">
        <v>206</v>
      </c>
      <c r="B100" s="424" t="s">
        <v>207</v>
      </c>
      <c r="C100" s="425" t="s">
        <v>447</v>
      </c>
      <c r="D100" s="424" t="s">
        <v>209</v>
      </c>
      <c r="E100" s="426" t="s">
        <v>210</v>
      </c>
      <c r="F100" s="427" t="s">
        <v>489</v>
      </c>
      <c r="G100" s="427" t="s">
        <v>213</v>
      </c>
      <c r="H100" s="427" t="s">
        <v>396</v>
      </c>
      <c r="I100" s="427" t="s">
        <v>386</v>
      </c>
      <c r="J100" s="446" t="s">
        <v>479</v>
      </c>
      <c r="K100" s="446" t="s">
        <v>215</v>
      </c>
      <c r="L100" s="446" t="s">
        <v>216</v>
      </c>
      <c r="M100" s="447" t="s">
        <v>436</v>
      </c>
      <c r="N100" s="448" t="s">
        <v>219</v>
      </c>
      <c r="O100" s="449" t="s">
        <v>220</v>
      </c>
      <c r="P100" s="530" t="s">
        <v>221</v>
      </c>
      <c r="Q100" s="469" t="s">
        <v>222</v>
      </c>
      <c r="R100" s="426" t="s">
        <v>223</v>
      </c>
      <c r="S100" s="470" t="s">
        <v>224</v>
      </c>
      <c r="T100" s="467" t="s">
        <v>225</v>
      </c>
      <c r="U100" s="470" t="s">
        <v>226</v>
      </c>
      <c r="V100" s="467"/>
      <c r="W100" s="467"/>
    </row>
    <row r="101" spans="1:23">
      <c r="A101" s="440" t="s">
        <v>230</v>
      </c>
      <c r="B101" s="442" t="s">
        <v>310</v>
      </c>
      <c r="C101" s="494" t="s">
        <v>233</v>
      </c>
      <c r="D101" s="495" t="s">
        <v>371</v>
      </c>
      <c r="E101" s="486"/>
      <c r="F101" s="430">
        <v>135296.583333333</v>
      </c>
      <c r="G101" s="486"/>
      <c r="H101" s="486"/>
      <c r="I101" s="518"/>
      <c r="J101" s="490">
        <v>0.255655593804084</v>
      </c>
      <c r="K101" s="451">
        <v>0.238178687260656</v>
      </c>
      <c r="L101" s="451">
        <v>0.202207101972477</v>
      </c>
      <c r="M101" s="490"/>
      <c r="N101" s="512"/>
      <c r="O101" s="486"/>
      <c r="P101" s="531">
        <f t="array" ref="P101">INDEX(正厂竞争者数据汇总!I:I,MATCH($A$99&amp;B101,正厂竞争者数据汇总!A:A&amp;正厂竞争者数据汇总!D:D,0))</f>
        <v>0</v>
      </c>
      <c r="Q101" s="494"/>
      <c r="R101" s="431"/>
      <c r="S101" s="473"/>
      <c r="T101" s="495"/>
      <c r="U101" s="495"/>
      <c r="V101" s="431"/>
      <c r="W101" s="431"/>
    </row>
    <row r="102" s="410" customFormat="1" spans="1:23">
      <c r="A102" s="432" t="s">
        <v>227</v>
      </c>
      <c r="B102" s="433" t="s">
        <v>172</v>
      </c>
      <c r="C102" s="434" t="s">
        <v>441</v>
      </c>
      <c r="D102" s="477" t="s">
        <v>49</v>
      </c>
      <c r="E102" s="436">
        <f>VLOOKUP(B102,正厂竞争者数据汇总!D:H,4,FALSE)</f>
        <v>0</v>
      </c>
      <c r="F102" s="436">
        <v>121905.583333333</v>
      </c>
      <c r="G102" s="436">
        <v>132262.583333333</v>
      </c>
      <c r="H102" s="436">
        <v>137115.416666667</v>
      </c>
      <c r="I102" s="454">
        <f>(F102/G102)-1</f>
        <v>-0.0783063489233226</v>
      </c>
      <c r="J102" s="457">
        <v>0.230352042359655</v>
      </c>
      <c r="K102" s="457">
        <v>0.237661766673676</v>
      </c>
      <c r="L102" s="457">
        <v>0.221995550743567</v>
      </c>
      <c r="M102" s="456">
        <f>J102-K102</f>
        <v>-0.00730972431402099</v>
      </c>
      <c r="N102" s="455"/>
      <c r="O102" s="436"/>
      <c r="P102" s="531">
        <f t="array" ref="P102">INDEX(正厂竞争者数据汇总!I:I,MATCH($A$99&amp;B102,正厂竞争者数据汇总!A:A&amp;正厂竞争者数据汇总!D:D,0))</f>
        <v>0</v>
      </c>
      <c r="Q102" s="491" t="s">
        <v>313</v>
      </c>
      <c r="R102" s="435" t="s">
        <v>180</v>
      </c>
      <c r="S102" s="476"/>
      <c r="T102" s="477"/>
      <c r="U102" s="477"/>
      <c r="V102" s="435"/>
      <c r="W102" s="435"/>
    </row>
    <row r="103" spans="1:23">
      <c r="A103" s="440" t="s">
        <v>243</v>
      </c>
      <c r="B103" s="431" t="s">
        <v>314</v>
      </c>
      <c r="C103" s="506" t="s">
        <v>441</v>
      </c>
      <c r="D103" s="495" t="s">
        <v>50</v>
      </c>
      <c r="E103" s="516"/>
      <c r="F103" s="430">
        <v>69312.5</v>
      </c>
      <c r="G103" s="516"/>
      <c r="H103" s="516"/>
      <c r="I103" s="519"/>
      <c r="J103" s="490">
        <v>0.130972474758569</v>
      </c>
      <c r="K103" s="451">
        <v>0.146403538954626</v>
      </c>
      <c r="L103" s="451">
        <v>0.141805383826891</v>
      </c>
      <c r="M103" s="520"/>
      <c r="N103" s="521"/>
      <c r="O103" s="516"/>
      <c r="P103" s="531">
        <f t="array" ref="P103">INDEX(正厂竞争者数据汇总!I:I,MATCH($A$99&amp;B103,正厂竞争者数据汇总!A:A&amp;正厂竞争者数据汇总!D:D,0))</f>
        <v>0</v>
      </c>
      <c r="Q103" s="494"/>
      <c r="R103" s="431"/>
      <c r="S103" s="473"/>
      <c r="T103" s="495"/>
      <c r="U103" s="495"/>
      <c r="V103" s="431"/>
      <c r="W103" s="431"/>
    </row>
    <row r="104" spans="1:23">
      <c r="A104" s="440" t="s">
        <v>230</v>
      </c>
      <c r="B104" s="431" t="s">
        <v>311</v>
      </c>
      <c r="C104" s="506" t="s">
        <v>441</v>
      </c>
      <c r="D104" s="495" t="s">
        <v>420</v>
      </c>
      <c r="E104" s="486"/>
      <c r="F104" s="430">
        <v>67691.75</v>
      </c>
      <c r="G104" s="486"/>
      <c r="H104" s="486"/>
      <c r="I104" s="518"/>
      <c r="J104" s="490">
        <v>0.127909915502087</v>
      </c>
      <c r="K104" s="451">
        <v>0.126484493975366</v>
      </c>
      <c r="L104" s="451">
        <v>0.157345941520001</v>
      </c>
      <c r="M104" s="490"/>
      <c r="N104" s="512"/>
      <c r="O104" s="486"/>
      <c r="P104" s="531">
        <f t="array" ref="P104">INDEX(正厂竞争者数据汇总!I:I,MATCH($A$99&amp;B104,正厂竞争者数据汇总!A:A&amp;正厂竞争者数据汇总!D:D,0))</f>
        <v>0</v>
      </c>
      <c r="Q104" s="494"/>
      <c r="R104" s="431"/>
      <c r="S104" s="473"/>
      <c r="T104" s="495"/>
      <c r="U104" s="495"/>
      <c r="V104" s="431"/>
      <c r="W104" s="431"/>
    </row>
    <row r="105" spans="1:23">
      <c r="A105" s="440" t="s">
        <v>230</v>
      </c>
      <c r="B105" s="431" t="s">
        <v>315</v>
      </c>
      <c r="C105" s="494" t="s">
        <v>233</v>
      </c>
      <c r="D105" s="495" t="s">
        <v>422</v>
      </c>
      <c r="E105" s="486"/>
      <c r="F105" s="430">
        <v>66613.8333333333</v>
      </c>
      <c r="G105" s="486"/>
      <c r="H105" s="486"/>
      <c r="I105" s="518"/>
      <c r="J105" s="490">
        <v>0.125873090781916</v>
      </c>
      <c r="K105" s="451">
        <v>0.095239551672943</v>
      </c>
      <c r="L105" s="451">
        <v>0.0842877510917688</v>
      </c>
      <c r="M105" s="490"/>
      <c r="N105" s="512"/>
      <c r="O105" s="486"/>
      <c r="P105" s="531">
        <f t="array" ref="P105">INDEX(正厂竞争者数据汇总!I:I,MATCH($A$99&amp;B105,正厂竞争者数据汇总!A:A&amp;正厂竞争者数据汇总!D:D,0))</f>
        <v>0</v>
      </c>
      <c r="Q105" s="494"/>
      <c r="R105" s="431"/>
      <c r="S105" s="473"/>
      <c r="T105" s="495"/>
      <c r="U105" s="495"/>
      <c r="V105" s="431"/>
      <c r="W105" s="431"/>
    </row>
    <row r="106" spans="1:23">
      <c r="A106" s="440" t="s">
        <v>230</v>
      </c>
      <c r="B106" s="431" t="s">
        <v>317</v>
      </c>
      <c r="C106" s="494" t="s">
        <v>233</v>
      </c>
      <c r="D106" s="495" t="s">
        <v>424</v>
      </c>
      <c r="E106" s="486"/>
      <c r="F106" s="430">
        <v>36894.4166666667</v>
      </c>
      <c r="G106" s="486"/>
      <c r="H106" s="486"/>
      <c r="I106" s="518"/>
      <c r="J106" s="490">
        <v>0.069715463381167</v>
      </c>
      <c r="K106" s="451">
        <v>0.0512066790281574</v>
      </c>
      <c r="L106" s="451">
        <v>0.0464172958497367</v>
      </c>
      <c r="M106" s="490"/>
      <c r="N106" s="512"/>
      <c r="O106" s="486"/>
      <c r="P106" s="531">
        <f t="array" ref="P106">INDEX(正厂竞争者数据汇总!I:I,MATCH($A$99&amp;B106,正厂竞争者数据汇总!A:A&amp;正厂竞争者数据汇总!D:D,0))</f>
        <v>0</v>
      </c>
      <c r="Q106" s="494"/>
      <c r="R106" s="431"/>
      <c r="S106" s="473"/>
      <c r="T106" s="495"/>
      <c r="U106" s="495"/>
      <c r="V106" s="431"/>
      <c r="W106" s="431"/>
    </row>
    <row r="107" spans="1:23">
      <c r="A107" s="440" t="s">
        <v>230</v>
      </c>
      <c r="B107" s="431" t="s">
        <v>392</v>
      </c>
      <c r="C107" s="494" t="s">
        <v>233</v>
      </c>
      <c r="D107" s="495" t="s">
        <v>425</v>
      </c>
      <c r="E107" s="486"/>
      <c r="F107" s="430">
        <v>31499.5833333333</v>
      </c>
      <c r="G107" s="486"/>
      <c r="H107" s="486"/>
      <c r="I107" s="518"/>
      <c r="J107" s="490">
        <v>0.0595214194125221</v>
      </c>
      <c r="K107" s="451">
        <v>0.0659957053377426</v>
      </c>
      <c r="L107" s="451">
        <v>0.110437710051387</v>
      </c>
      <c r="M107" s="490"/>
      <c r="N107" s="512"/>
      <c r="O107" s="486"/>
      <c r="P107" s="531">
        <f t="array" ref="P107">INDEX(正厂竞争者数据汇总!I:I,MATCH($A$99&amp;B107,正厂竞争者数据汇总!A:A&amp;正厂竞争者数据汇总!D:D,0))</f>
        <v>0</v>
      </c>
      <c r="Q107" s="494"/>
      <c r="R107" s="431"/>
      <c r="S107" s="473"/>
      <c r="T107" s="495"/>
      <c r="U107" s="495"/>
      <c r="V107" s="431"/>
      <c r="W107" s="431"/>
    </row>
    <row r="108" s="408" customFormat="1" spans="1:23">
      <c r="A108" s="428"/>
      <c r="B108" s="438"/>
      <c r="C108" s="429"/>
      <c r="D108" s="466"/>
      <c r="E108" s="430"/>
      <c r="F108" s="430"/>
      <c r="G108" s="430"/>
      <c r="H108" s="430"/>
      <c r="I108" s="453"/>
      <c r="J108" s="451"/>
      <c r="K108" s="451"/>
      <c r="L108" s="451"/>
      <c r="M108" s="451"/>
      <c r="N108" s="459"/>
      <c r="O108" s="430"/>
      <c r="P108" s="531"/>
      <c r="Q108" s="492"/>
      <c r="R108" s="421"/>
      <c r="S108" s="473"/>
      <c r="T108" s="466"/>
      <c r="U108" s="466"/>
      <c r="V108" s="421"/>
      <c r="W108" s="421"/>
    </row>
    <row r="109" s="408" customFormat="1" spans="1:23">
      <c r="A109" s="428"/>
      <c r="B109" s="421"/>
      <c r="C109" s="439"/>
      <c r="D109" s="421"/>
      <c r="E109" s="430"/>
      <c r="F109" s="430">
        <v>529214.249999999</v>
      </c>
      <c r="G109" s="430">
        <v>451480.499999999</v>
      </c>
      <c r="H109" s="430">
        <v>457440.166666667</v>
      </c>
      <c r="I109" s="453">
        <f>(F109/G109)-1</f>
        <v>0.172175210225027</v>
      </c>
      <c r="J109" s="430"/>
      <c r="K109" s="430"/>
      <c r="L109" s="430"/>
      <c r="M109" s="451"/>
      <c r="N109" s="451"/>
      <c r="O109" s="430"/>
      <c r="P109" s="531"/>
      <c r="Q109" s="493"/>
      <c r="R109" s="421"/>
      <c r="S109" s="473"/>
      <c r="T109" s="466"/>
      <c r="U109" s="466"/>
      <c r="V109" s="421"/>
      <c r="W109" s="421"/>
    </row>
    <row r="110" s="408" customFormat="1" spans="1:23">
      <c r="A110" s="428"/>
      <c r="B110" s="421"/>
      <c r="C110" s="439"/>
      <c r="D110" s="421"/>
      <c r="E110" s="430"/>
      <c r="F110" s="430"/>
      <c r="G110" s="430"/>
      <c r="H110" s="430"/>
      <c r="I110" s="453"/>
      <c r="J110" s="430"/>
      <c r="K110" s="430"/>
      <c r="L110" s="430"/>
      <c r="M110" s="451"/>
      <c r="N110" s="451"/>
      <c r="O110" s="430"/>
      <c r="P110" s="531"/>
      <c r="Q110" s="493"/>
      <c r="R110" s="421"/>
      <c r="S110" s="473"/>
      <c r="T110" s="466"/>
      <c r="U110" s="466"/>
      <c r="V110" s="421"/>
      <c r="W110" s="421"/>
    </row>
    <row r="111" s="408" customFormat="1" ht="17.4" spans="1:23">
      <c r="A111" s="418" t="s">
        <v>162</v>
      </c>
      <c r="B111" s="419"/>
      <c r="C111" s="420"/>
      <c r="D111" s="421"/>
      <c r="E111" s="422" t="s">
        <v>202</v>
      </c>
      <c r="F111" s="422"/>
      <c r="G111" s="422"/>
      <c r="H111" s="422"/>
      <c r="I111" s="422"/>
      <c r="J111" s="422"/>
      <c r="K111" s="422"/>
      <c r="L111" s="422"/>
      <c r="M111" s="443"/>
      <c r="N111" s="444"/>
      <c r="O111" s="422"/>
      <c r="P111" s="531"/>
      <c r="Q111" s="465"/>
      <c r="R111" s="424"/>
      <c r="S111" s="473"/>
      <c r="T111" s="467"/>
      <c r="U111" s="467"/>
      <c r="V111" s="467"/>
      <c r="W111" s="467"/>
    </row>
    <row r="112" s="409" customFormat="1" ht="46.8" spans="1:23">
      <c r="A112" s="423" t="s">
        <v>206</v>
      </c>
      <c r="B112" s="424" t="s">
        <v>207</v>
      </c>
      <c r="C112" s="425" t="s">
        <v>447</v>
      </c>
      <c r="D112" s="424" t="s">
        <v>209</v>
      </c>
      <c r="E112" s="426" t="s">
        <v>210</v>
      </c>
      <c r="F112" s="427" t="s">
        <v>489</v>
      </c>
      <c r="G112" s="427" t="s">
        <v>213</v>
      </c>
      <c r="H112" s="427" t="s">
        <v>396</v>
      </c>
      <c r="I112" s="427" t="s">
        <v>386</v>
      </c>
      <c r="J112" s="446" t="s">
        <v>479</v>
      </c>
      <c r="K112" s="446" t="s">
        <v>215</v>
      </c>
      <c r="L112" s="446" t="s">
        <v>216</v>
      </c>
      <c r="M112" s="447" t="s">
        <v>436</v>
      </c>
      <c r="N112" s="448" t="s">
        <v>219</v>
      </c>
      <c r="O112" s="449" t="s">
        <v>220</v>
      </c>
      <c r="P112" s="530" t="s">
        <v>221</v>
      </c>
      <c r="Q112" s="469" t="s">
        <v>222</v>
      </c>
      <c r="R112" s="426" t="s">
        <v>223</v>
      </c>
      <c r="S112" s="470" t="s">
        <v>224</v>
      </c>
      <c r="T112" s="467" t="s">
        <v>225</v>
      </c>
      <c r="U112" s="470" t="s">
        <v>226</v>
      </c>
      <c r="V112" s="467"/>
      <c r="W112" s="467"/>
    </row>
    <row r="113" s="410" customFormat="1" ht="17.4" spans="1:23">
      <c r="A113" s="432" t="s">
        <v>227</v>
      </c>
      <c r="B113" s="435" t="s">
        <v>163</v>
      </c>
      <c r="C113" s="434" t="s">
        <v>441</v>
      </c>
      <c r="D113" s="435" t="s">
        <v>49</v>
      </c>
      <c r="E113" s="436">
        <f>VLOOKUP(B113,正厂竞争者数据汇总!D:H,4,FALSE)</f>
        <v>0</v>
      </c>
      <c r="F113" s="436">
        <v>221096.333333333</v>
      </c>
      <c r="G113" s="436">
        <v>213503.583333333</v>
      </c>
      <c r="H113" s="436">
        <v>235149.083333333</v>
      </c>
      <c r="I113" s="454">
        <f>(F113/G113)-1</f>
        <v>0.0355626349752913</v>
      </c>
      <c r="J113" s="457">
        <v>0.390469153922742</v>
      </c>
      <c r="K113" s="457">
        <v>0.379245723805486</v>
      </c>
      <c r="L113" s="457">
        <v>0.395032604415077</v>
      </c>
      <c r="M113" s="456">
        <f>J113-K113</f>
        <v>0.011223430117256</v>
      </c>
      <c r="N113" s="457" t="str">
        <f>IFERROR(O113*0.5/$F$113,"")</f>
        <v/>
      </c>
      <c r="O113" s="436" t="s">
        <v>180</v>
      </c>
      <c r="P113" s="531">
        <f t="array" ref="P113">INDEX(正厂竞争者数据汇总!I:I,MATCH($A$111&amp;B113,正厂竞争者数据汇总!A:A&amp;正厂竞争者数据汇总!D:D,0))</f>
        <v>0</v>
      </c>
      <c r="Q113" s="434" t="s">
        <v>284</v>
      </c>
      <c r="R113" s="435" t="s">
        <v>229</v>
      </c>
      <c r="S113" s="476"/>
      <c r="T113" s="477"/>
      <c r="U113" s="477"/>
      <c r="V113" s="435"/>
      <c r="W113" s="435"/>
    </row>
    <row r="114" spans="1:23">
      <c r="A114" s="440" t="s">
        <v>230</v>
      </c>
      <c r="B114" s="440" t="s">
        <v>285</v>
      </c>
      <c r="C114" s="494" t="s">
        <v>233</v>
      </c>
      <c r="D114" s="431" t="s">
        <v>58</v>
      </c>
      <c r="E114" s="486"/>
      <c r="F114" s="430">
        <v>104228.75</v>
      </c>
      <c r="G114" s="486"/>
      <c r="H114" s="486"/>
      <c r="I114" s="518"/>
      <c r="J114" s="490">
        <v>0.184074114723409</v>
      </c>
      <c r="K114" s="451">
        <v>0.194619025931158</v>
      </c>
      <c r="L114" s="451">
        <v>0.196433475996733</v>
      </c>
      <c r="M114" s="452"/>
      <c r="N114" s="490"/>
      <c r="O114" s="486"/>
      <c r="P114" s="531">
        <f t="array" ref="P114">INDEX(正厂竞争者数据汇总!I:I,MATCH($A$111&amp;B114,正厂竞争者数据汇总!A:A&amp;正厂竞争者数据汇总!D:D,0))</f>
        <v>0</v>
      </c>
      <c r="Q114" s="494"/>
      <c r="R114" s="431"/>
      <c r="S114" s="473"/>
      <c r="T114" s="495"/>
      <c r="U114" s="466"/>
      <c r="V114" s="431"/>
      <c r="W114" s="431"/>
    </row>
    <row r="115" spans="1:23">
      <c r="A115" s="440" t="s">
        <v>230</v>
      </c>
      <c r="B115" s="440" t="s">
        <v>255</v>
      </c>
      <c r="C115" s="494" t="s">
        <v>233</v>
      </c>
      <c r="D115" s="431" t="s">
        <v>419</v>
      </c>
      <c r="E115" s="486"/>
      <c r="F115" s="430">
        <v>48220.54</v>
      </c>
      <c r="G115" s="486"/>
      <c r="H115" s="486"/>
      <c r="I115" s="518"/>
      <c r="J115" s="490">
        <v>0.0851603152871423</v>
      </c>
      <c r="K115" s="451">
        <v>0.0865378930282298</v>
      </c>
      <c r="L115" s="451">
        <v>0.0909252305608175</v>
      </c>
      <c r="M115" s="452"/>
      <c r="N115" s="490"/>
      <c r="O115" s="486"/>
      <c r="P115" s="531" t="str">
        <f t="array" ref="P115">INDEX(正厂竞争者数据汇总!I:I,MATCH($A$111&amp;B115,正厂竞争者数据汇总!A:A&amp;正厂竞争者数据汇总!D:D,0))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115" s="494"/>
      <c r="R115" s="431"/>
      <c r="S115" s="473"/>
      <c r="T115" s="495"/>
      <c r="U115" s="466"/>
      <c r="V115" s="431"/>
      <c r="W115" s="431"/>
    </row>
    <row r="116" spans="1:23">
      <c r="A116" s="440" t="s">
        <v>243</v>
      </c>
      <c r="B116" s="431" t="s">
        <v>290</v>
      </c>
      <c r="C116" s="494" t="s">
        <v>233</v>
      </c>
      <c r="D116" s="431" t="s">
        <v>291</v>
      </c>
      <c r="E116" s="486"/>
      <c r="F116" s="430">
        <v>35639.3</v>
      </c>
      <c r="G116" s="486"/>
      <c r="H116" s="486"/>
      <c r="I116" s="518"/>
      <c r="J116" s="490">
        <v>0.0629411040318721</v>
      </c>
      <c r="K116" s="451">
        <v>0.0623937973283476</v>
      </c>
      <c r="L116" s="451"/>
      <c r="M116" s="451"/>
      <c r="N116" s="490"/>
      <c r="O116" s="486"/>
      <c r="P116" s="531" t="str">
        <f t="array" ref="P116">INDEX(正厂竞争者数据汇总!I:I,MATCH($A$111&amp;B116,正厂竞争者数据汇总!A:A&amp;正厂竞争者数据汇总!D:D,0))</f>
        <v>2023年2月新增正厂</v>
      </c>
      <c r="Q116" s="494"/>
      <c r="R116" s="431"/>
      <c r="S116" s="473"/>
      <c r="T116" s="495"/>
      <c r="U116" s="466"/>
      <c r="V116" s="431"/>
      <c r="W116" s="431"/>
    </row>
    <row r="117" spans="1:23">
      <c r="A117" s="440" t="s">
        <v>230</v>
      </c>
      <c r="B117" s="440" t="s">
        <v>288</v>
      </c>
      <c r="C117" s="494" t="s">
        <v>441</v>
      </c>
      <c r="D117" s="431" t="s">
        <v>421</v>
      </c>
      <c r="E117" s="486"/>
      <c r="F117" s="430">
        <v>32922.8333333333</v>
      </c>
      <c r="G117" s="486"/>
      <c r="H117" s="486"/>
      <c r="I117" s="518"/>
      <c r="J117" s="490">
        <v>0.0581436638165541</v>
      </c>
      <c r="K117" s="451">
        <v>0.0642780541884987</v>
      </c>
      <c r="L117" s="451">
        <v>0.0598722418081944</v>
      </c>
      <c r="M117" s="452"/>
      <c r="N117" s="490"/>
      <c r="O117" s="486"/>
      <c r="P117" s="531" t="str">
        <f t="array" ref="P117">INDEX(正厂竞争者数据汇总!I:I,MATCH($A$111&amp;B117,正厂竞争者数据汇总!A:A&amp;正厂竞争者数据汇总!D:D,0))</f>
        <v>2022年1月 新加入 CompetitorSites
2022年1月 新加入 MarketingShare</v>
      </c>
      <c r="Q117" s="494"/>
      <c r="R117" s="431"/>
      <c r="S117" s="473"/>
      <c r="T117" s="495"/>
      <c r="U117" s="466"/>
      <c r="V117" s="431"/>
      <c r="W117" s="431"/>
    </row>
    <row r="118" spans="1:23">
      <c r="A118" s="440" t="s">
        <v>230</v>
      </c>
      <c r="B118" s="440" t="s">
        <v>292</v>
      </c>
      <c r="C118" s="494" t="s">
        <v>233</v>
      </c>
      <c r="D118" s="431" t="s">
        <v>250</v>
      </c>
      <c r="E118" s="486"/>
      <c r="F118" s="430">
        <v>32469.7808333333</v>
      </c>
      <c r="G118" s="486"/>
      <c r="H118" s="486"/>
      <c r="I118" s="518"/>
      <c r="J118" s="490">
        <v>0.0573435464030696</v>
      </c>
      <c r="K118" s="451">
        <v>0.0567603553444327</v>
      </c>
      <c r="L118" s="451">
        <v>0.0608115767294794</v>
      </c>
      <c r="M118" s="452"/>
      <c r="N118" s="490"/>
      <c r="O118" s="486"/>
      <c r="P118" s="531" t="str">
        <f t="array" ref="P118">INDEX(正厂竞争者数据汇总!I:I,MATCH($A$111&amp;B118,正厂竞争者数据汇总!A:A&amp;正厂竞争者数据汇总!D:D,0))</f>
        <v>同时经营多品牌，流量折算比例为Ford:23%,GM:23%,Infiniti:0%,Kia:13%,Mopar:31%,Nissan:10%</v>
      </c>
      <c r="Q118" s="494"/>
      <c r="R118" s="431"/>
      <c r="S118" s="473"/>
      <c r="T118" s="495"/>
      <c r="U118" s="466"/>
      <c r="V118" s="431"/>
      <c r="W118" s="431"/>
    </row>
    <row r="119" spans="1:23">
      <c r="A119" s="440" t="s">
        <v>230</v>
      </c>
      <c r="B119" s="440" t="s">
        <v>289</v>
      </c>
      <c r="C119" s="494" t="s">
        <v>233</v>
      </c>
      <c r="D119" s="431" t="s">
        <v>50</v>
      </c>
      <c r="E119" s="486"/>
      <c r="F119" s="430">
        <v>29302.75</v>
      </c>
      <c r="G119" s="486"/>
      <c r="H119" s="486"/>
      <c r="I119" s="518"/>
      <c r="J119" s="490">
        <v>0.0517503833175719</v>
      </c>
      <c r="K119" s="451">
        <v>0.0576977672718924</v>
      </c>
      <c r="L119" s="451">
        <v>0.0477529519673286</v>
      </c>
      <c r="M119" s="451"/>
      <c r="N119" s="490"/>
      <c r="O119" s="486"/>
      <c r="P119" s="531" t="str">
        <f t="array" ref="P119">INDEX(正厂竞争者数据汇总!I:I,MATCH($A$111&amp;B119,正厂竞争者数据汇总!A:A&amp;正厂竞争者数据汇总!D:D,0))</f>
        <v>2021年11月重开
2021年10月临时关站
2020年10月从PartSites变成Revolution，加入MarketingShare</v>
      </c>
      <c r="Q119" s="494"/>
      <c r="R119" s="431"/>
      <c r="S119" s="473"/>
      <c r="T119" s="495"/>
      <c r="U119" s="466"/>
      <c r="V119" s="431"/>
      <c r="W119" s="431"/>
    </row>
    <row r="120" spans="1:23">
      <c r="A120" s="440" t="s">
        <v>230</v>
      </c>
      <c r="B120" s="440" t="s">
        <v>287</v>
      </c>
      <c r="C120" s="494" t="s">
        <v>233</v>
      </c>
      <c r="D120" s="431" t="s">
        <v>49</v>
      </c>
      <c r="E120" s="486"/>
      <c r="F120" s="430">
        <v>26739</v>
      </c>
      <c r="G120" s="486"/>
      <c r="H120" s="486"/>
      <c r="I120" s="518"/>
      <c r="J120" s="490">
        <v>0.0472226497352145</v>
      </c>
      <c r="K120" s="451">
        <v>0.040052140139395</v>
      </c>
      <c r="L120" s="451">
        <v>0.0608441190569015</v>
      </c>
      <c r="M120" s="452"/>
      <c r="N120" s="490"/>
      <c r="O120" s="486"/>
      <c r="P120" s="531">
        <f t="array" ref="P120">INDEX(正厂竞争者数据汇总!I:I,MATCH($A$111&amp;B120,正厂竞争者数据汇总!A:A&amp;正厂竞争者数据汇总!D:D,0))</f>
        <v>0</v>
      </c>
      <c r="Q120" s="494"/>
      <c r="R120" s="431"/>
      <c r="S120" s="473"/>
      <c r="T120" s="495"/>
      <c r="U120" s="466"/>
      <c r="V120" s="431"/>
      <c r="W120" s="431"/>
    </row>
    <row r="121" spans="1:23">
      <c r="A121" s="440" t="s">
        <v>230</v>
      </c>
      <c r="B121" s="440" t="s">
        <v>286</v>
      </c>
      <c r="C121" s="494" t="s">
        <v>233</v>
      </c>
      <c r="D121" s="431" t="s">
        <v>234</v>
      </c>
      <c r="E121" s="486"/>
      <c r="F121" s="430">
        <v>23377.3333333333</v>
      </c>
      <c r="G121" s="486"/>
      <c r="H121" s="486"/>
      <c r="I121" s="518"/>
      <c r="J121" s="490">
        <v>0.041285748298117</v>
      </c>
      <c r="K121" s="451">
        <v>0.0323225768729876</v>
      </c>
      <c r="L121" s="451">
        <v>0.0496929460324263</v>
      </c>
      <c r="M121" s="451"/>
      <c r="N121" s="490"/>
      <c r="O121" s="486"/>
      <c r="P121" s="531" t="str">
        <f t="array" ref="P121">INDEX(正厂竞争者数据汇总!I:I,MATCH($A$111&amp;B121,正厂竞争者数据汇总!A:A&amp;正厂竞争者数据汇总!D:D,0))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21" s="494"/>
      <c r="R121" s="431"/>
      <c r="S121" s="473"/>
      <c r="T121" s="495"/>
      <c r="U121" s="466"/>
      <c r="V121" s="431"/>
      <c r="W121" s="431"/>
    </row>
    <row r="122" spans="1:23">
      <c r="A122" s="440" t="s">
        <v>230</v>
      </c>
      <c r="B122" s="431" t="s">
        <v>459</v>
      </c>
      <c r="C122" s="494" t="s">
        <v>233</v>
      </c>
      <c r="D122" s="431" t="s">
        <v>419</v>
      </c>
      <c r="E122" s="486"/>
      <c r="F122" s="430">
        <v>12235.9</v>
      </c>
      <c r="G122" s="486"/>
      <c r="H122" s="486"/>
      <c r="I122" s="518"/>
      <c r="J122" s="490">
        <v>0.0216093204643072</v>
      </c>
      <c r="K122" s="451">
        <v>0.0260926660895729</v>
      </c>
      <c r="L122" s="451">
        <v>0.0386348534330415</v>
      </c>
      <c r="M122" s="451"/>
      <c r="N122" s="490"/>
      <c r="O122" s="486"/>
      <c r="P122" s="531" t="str">
        <f t="array" ref="P122">INDEX(正厂竞争者数据汇总!I:I,MATCH($A$111&amp;B122,正厂竞争者数据汇总!A:A&amp;正厂竞争者数据汇总!D:D,0))</f>
        <v>经营多品牌零件，折算比例为：Ford:33%,GM:17%,Hyundai:0%,Infiniti:0%,Kia:17%,Mopar:33%,Subaru:0%</v>
      </c>
      <c r="Q122" s="494"/>
      <c r="R122" s="431"/>
      <c r="S122" s="473"/>
      <c r="T122" s="495"/>
      <c r="U122" s="466"/>
      <c r="V122" s="431"/>
      <c r="W122" s="431"/>
    </row>
    <row r="123" s="408" customFormat="1" spans="1:23">
      <c r="A123" s="428"/>
      <c r="B123" s="421"/>
      <c r="C123" s="439"/>
      <c r="D123" s="421"/>
      <c r="E123" s="421"/>
      <c r="F123" s="430"/>
      <c r="G123" s="430"/>
      <c r="H123" s="430"/>
      <c r="I123" s="453"/>
      <c r="J123" s="430"/>
      <c r="K123" s="430"/>
      <c r="L123" s="430"/>
      <c r="M123" s="451"/>
      <c r="N123" s="451"/>
      <c r="O123" s="430"/>
      <c r="P123" s="531"/>
      <c r="Q123" s="429"/>
      <c r="R123" s="421"/>
      <c r="S123" s="473"/>
      <c r="T123" s="466"/>
      <c r="U123" s="466"/>
      <c r="V123" s="421"/>
      <c r="W123" s="421"/>
    </row>
    <row r="124" s="408" customFormat="1" spans="1:23">
      <c r="A124" s="428"/>
      <c r="B124" s="421"/>
      <c r="C124" s="439"/>
      <c r="D124" s="421"/>
      <c r="E124" s="421"/>
      <c r="F124" s="430">
        <v>566232.520833333</v>
      </c>
      <c r="G124" s="430">
        <v>445410.310833333</v>
      </c>
      <c r="H124" s="430">
        <v>428652.916666666</v>
      </c>
      <c r="I124" s="453">
        <f>(F124/G124)-1</f>
        <v>0.2712604694174</v>
      </c>
      <c r="J124" s="430"/>
      <c r="K124" s="430"/>
      <c r="L124" s="430"/>
      <c r="M124" s="451"/>
      <c r="N124" s="451">
        <f>SUM(N113:N114)</f>
        <v>0</v>
      </c>
      <c r="O124" s="430"/>
      <c r="P124" s="531"/>
      <c r="Q124" s="429"/>
      <c r="R124" s="421"/>
      <c r="S124" s="473"/>
      <c r="T124" s="466"/>
      <c r="U124" s="466"/>
      <c r="V124" s="421"/>
      <c r="W124" s="421"/>
    </row>
    <row r="125" s="408" customFormat="1" spans="1:23">
      <c r="A125" s="428"/>
      <c r="B125" s="421"/>
      <c r="C125" s="485"/>
      <c r="D125" s="421"/>
      <c r="E125" s="430"/>
      <c r="F125" s="451"/>
      <c r="G125" s="451"/>
      <c r="H125" s="451"/>
      <c r="I125" s="453"/>
      <c r="J125" s="451"/>
      <c r="K125" s="451"/>
      <c r="L125" s="451"/>
      <c r="M125" s="451"/>
      <c r="N125" s="451"/>
      <c r="O125" s="451"/>
      <c r="P125" s="531"/>
      <c r="Q125" s="429"/>
      <c r="R125" s="421"/>
      <c r="S125" s="473"/>
      <c r="T125" s="466"/>
      <c r="U125" s="466"/>
      <c r="V125" s="421"/>
      <c r="W125" s="421"/>
    </row>
    <row r="126" s="408" customFormat="1" ht="17.4" spans="1:23">
      <c r="A126" s="418" t="s">
        <v>174</v>
      </c>
      <c r="B126" s="419"/>
      <c r="C126" s="420"/>
      <c r="D126" s="421"/>
      <c r="E126" s="422" t="s">
        <v>202</v>
      </c>
      <c r="F126" s="422"/>
      <c r="G126" s="422"/>
      <c r="H126" s="422"/>
      <c r="I126" s="422"/>
      <c r="J126" s="422"/>
      <c r="K126" s="422"/>
      <c r="L126" s="422"/>
      <c r="M126" s="443"/>
      <c r="N126" s="444"/>
      <c r="O126" s="422"/>
      <c r="P126" s="531"/>
      <c r="Q126" s="465"/>
      <c r="R126" s="424"/>
      <c r="S126" s="473"/>
      <c r="T126" s="467"/>
      <c r="U126" s="467"/>
      <c r="V126" s="467"/>
      <c r="W126" s="467"/>
    </row>
    <row r="127" s="409" customFormat="1" ht="46.8" spans="1:23">
      <c r="A127" s="423" t="s">
        <v>206</v>
      </c>
      <c r="B127" s="424" t="s">
        <v>207</v>
      </c>
      <c r="C127" s="425" t="s">
        <v>447</v>
      </c>
      <c r="D127" s="424" t="s">
        <v>209</v>
      </c>
      <c r="E127" s="426" t="s">
        <v>210</v>
      </c>
      <c r="F127" s="427" t="s">
        <v>489</v>
      </c>
      <c r="G127" s="427" t="s">
        <v>213</v>
      </c>
      <c r="H127" s="427" t="s">
        <v>396</v>
      </c>
      <c r="I127" s="427" t="s">
        <v>386</v>
      </c>
      <c r="J127" s="446" t="s">
        <v>479</v>
      </c>
      <c r="K127" s="446" t="s">
        <v>215</v>
      </c>
      <c r="L127" s="446" t="s">
        <v>216</v>
      </c>
      <c r="M127" s="447" t="s">
        <v>436</v>
      </c>
      <c r="N127" s="448" t="s">
        <v>219</v>
      </c>
      <c r="O127" s="449" t="s">
        <v>220</v>
      </c>
      <c r="P127" s="530" t="s">
        <v>221</v>
      </c>
      <c r="Q127" s="469" t="s">
        <v>222</v>
      </c>
      <c r="R127" s="426" t="s">
        <v>223</v>
      </c>
      <c r="S127" s="470" t="s">
        <v>224</v>
      </c>
      <c r="T127" s="467" t="s">
        <v>225</v>
      </c>
      <c r="U127" s="470" t="s">
        <v>226</v>
      </c>
      <c r="V127" s="467"/>
      <c r="W127" s="467"/>
    </row>
    <row r="128" s="410" customFormat="1" ht="17.4" spans="1:23">
      <c r="A128" s="435" t="s">
        <v>227</v>
      </c>
      <c r="B128" s="435" t="s">
        <v>175</v>
      </c>
      <c r="C128" s="435" t="s">
        <v>441</v>
      </c>
      <c r="D128" s="435" t="s">
        <v>49</v>
      </c>
      <c r="E128" s="436">
        <f>VLOOKUP(B128,正厂竞争者数据汇总!D:H,4,FALSE)</f>
        <v>325311</v>
      </c>
      <c r="F128" s="436">
        <v>175695.666666667</v>
      </c>
      <c r="G128" s="436">
        <f t="array" ref="G128">INDEX(正厂竞争者数据汇总!$H$2:$H$448,MATCH($A$126&amp;$B128,正厂竞争者数据汇总!$A$2:$A$448&amp;正厂竞争者数据汇总!$D$2:$D$448,0))</f>
        <v>209547.25</v>
      </c>
      <c r="H128" s="436">
        <f t="array" ref="H128">INDEX(正厂竞争者数据汇总!$H$2:$H$448,MATCH($A$126&amp;$B128,正厂竞争者数据汇总!$A$2:$A$448&amp;正厂竞争者数据汇总!$D$2:$D$448,0))</f>
        <v>209547.25</v>
      </c>
      <c r="I128" s="436">
        <f t="array" ref="I128">INDEX(正厂竞争者数据汇总!$H$2:$H$448,MATCH($A$126&amp;$B128,正厂竞争者数据汇总!$A$2:$A$448&amp;正厂竞争者数据汇总!$D$2:$D$448,0))</f>
        <v>209547.25</v>
      </c>
      <c r="J128" s="457">
        <v>0.403016104546461</v>
      </c>
      <c r="K128" s="457">
        <v>0.406491384482529</v>
      </c>
      <c r="L128" s="457">
        <v>0.402116894567786</v>
      </c>
      <c r="M128" s="456">
        <f>J128-K128</f>
        <v>-0.003475279936068</v>
      </c>
      <c r="N128" s="457" t="str">
        <f>IFERROR(O128*0.5/$F$128,"")</f>
        <v/>
      </c>
      <c r="O128" s="436" t="s">
        <v>180</v>
      </c>
      <c r="P128" s="531">
        <f t="array" ref="P128">INDEX(正厂竞争者数据汇总!I:I,MATCH($A$126&amp;B128,正厂竞争者数据汇总!A:A&amp;正厂竞争者数据汇总!D:D,0))</f>
        <v>0</v>
      </c>
      <c r="Q128" s="434" t="s">
        <v>318</v>
      </c>
      <c r="R128" s="435" t="s">
        <v>229</v>
      </c>
      <c r="S128" s="476"/>
      <c r="T128" s="477"/>
      <c r="U128" s="477"/>
      <c r="V128" s="435"/>
      <c r="W128" s="435"/>
    </row>
    <row r="129" spans="1:23">
      <c r="A129" s="431" t="s">
        <v>230</v>
      </c>
      <c r="B129" s="431" t="s">
        <v>320</v>
      </c>
      <c r="C129" s="523" t="s">
        <v>441</v>
      </c>
      <c r="D129" s="431" t="s">
        <v>58</v>
      </c>
      <c r="E129" s="486"/>
      <c r="F129" s="430">
        <v>58293.8333333333</v>
      </c>
      <c r="G129" s="486"/>
      <c r="H129" s="486"/>
      <c r="I129" s="518"/>
      <c r="J129" s="490">
        <v>0.133716181365205</v>
      </c>
      <c r="K129" s="451">
        <v>0.138568240189895</v>
      </c>
      <c r="L129" s="451">
        <v>0.147536782165933</v>
      </c>
      <c r="M129" s="490"/>
      <c r="N129" s="490"/>
      <c r="O129" s="486"/>
      <c r="P129" s="531">
        <f t="array" ref="P129">INDEX(正厂竞争者数据汇总!I:I,MATCH($A$126&amp;B129,正厂竞争者数据汇总!A:A&amp;正厂竞争者数据汇总!D:D,0))</f>
        <v>0</v>
      </c>
      <c r="Q129" s="494"/>
      <c r="R129" s="431"/>
      <c r="S129" s="473"/>
      <c r="T129" s="495"/>
      <c r="U129" s="495"/>
      <c r="V129" s="431"/>
      <c r="W129" s="431"/>
    </row>
    <row r="130" spans="1:23">
      <c r="A130" s="431" t="s">
        <v>230</v>
      </c>
      <c r="B130" s="431" t="s">
        <v>321</v>
      </c>
      <c r="C130" s="431" t="s">
        <v>441</v>
      </c>
      <c r="D130" s="431" t="s">
        <v>57</v>
      </c>
      <c r="E130" s="486"/>
      <c r="F130" s="430">
        <v>55298.0908333333</v>
      </c>
      <c r="G130" s="486"/>
      <c r="H130" s="486"/>
      <c r="I130" s="518"/>
      <c r="J130" s="490">
        <v>0.126844455411571</v>
      </c>
      <c r="K130" s="451">
        <v>0.089522639876528</v>
      </c>
      <c r="L130" s="451">
        <v>0.0813290803280747</v>
      </c>
      <c r="M130" s="490"/>
      <c r="N130" s="490"/>
      <c r="O130" s="486"/>
      <c r="P130" s="531" t="str">
        <f t="array" ref="P130">INDEX(正厂竞争者数据汇总!I:I,MATCH($A$126&amp;B130,正厂竞争者数据汇总!A:A&amp;正厂竞争者数据汇总!D:D,0))</f>
        <v>同时经营honda/acura，折算比例：acura75%，honda25%</v>
      </c>
      <c r="Q130" s="494"/>
      <c r="R130" s="431"/>
      <c r="S130" s="473"/>
      <c r="T130" s="495"/>
      <c r="U130" s="495"/>
      <c r="V130" s="431"/>
      <c r="W130" s="431"/>
    </row>
    <row r="131" spans="1:23">
      <c r="A131" s="431" t="s">
        <v>230</v>
      </c>
      <c r="B131" s="431" t="s">
        <v>323</v>
      </c>
      <c r="C131" s="431" t="s">
        <v>441</v>
      </c>
      <c r="D131" s="431" t="s">
        <v>411</v>
      </c>
      <c r="E131" s="486"/>
      <c r="F131" s="430">
        <v>45620.25</v>
      </c>
      <c r="G131" s="486"/>
      <c r="H131" s="486"/>
      <c r="I131" s="518"/>
      <c r="J131" s="490">
        <v>0.104645127522225</v>
      </c>
      <c r="K131" s="451">
        <v>0.11081077193923</v>
      </c>
      <c r="L131" s="451">
        <v>0.108017860627424</v>
      </c>
      <c r="M131" s="490"/>
      <c r="N131" s="490"/>
      <c r="O131" s="486"/>
      <c r="P131" s="531" t="str">
        <f t="array" ref="P131">INDEX(正厂竞争者数据汇总!I:I,MATCH($A$126&amp;B131,正厂竞争者数据汇总!A:A&amp;正厂竞争者数据汇总!D:D,0))</f>
        <v>2022年1月 新加入 CompetitorSites
2022年1月 新加入 MarketingShare</v>
      </c>
      <c r="Q131" s="494"/>
      <c r="R131" s="431"/>
      <c r="S131" s="473"/>
      <c r="T131" s="495"/>
      <c r="U131" s="495"/>
      <c r="V131" s="431"/>
      <c r="W131" s="431"/>
    </row>
    <row r="132" spans="1:23">
      <c r="A132" s="431" t="s">
        <v>230</v>
      </c>
      <c r="B132" s="431" t="s">
        <v>319</v>
      </c>
      <c r="C132" s="431" t="s">
        <v>233</v>
      </c>
      <c r="D132" s="431" t="s">
        <v>234</v>
      </c>
      <c r="E132" s="486"/>
      <c r="F132" s="430">
        <v>39525.834</v>
      </c>
      <c r="G132" s="486"/>
      <c r="H132" s="486"/>
      <c r="I132" s="518"/>
      <c r="J132" s="490">
        <v>0.090665569332748</v>
      </c>
      <c r="K132" s="451">
        <v>0.124365036481418</v>
      </c>
      <c r="L132" s="451">
        <v>0.12201022080782</v>
      </c>
      <c r="M132" s="490"/>
      <c r="N132" s="490"/>
      <c r="O132" s="486"/>
      <c r="P132" s="531" t="str">
        <f t="array" ref="P132">INDEX(正厂竞争者数据汇总!I:I,MATCH($A$126&amp;B132,正厂竞争者数据汇总!A:A&amp;正厂竞争者数据汇总!D:D,0))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32" s="494"/>
      <c r="R132" s="431"/>
      <c r="S132" s="473"/>
      <c r="T132" s="495"/>
      <c r="U132" s="495"/>
      <c r="V132" s="431"/>
      <c r="W132" s="431"/>
    </row>
    <row r="133" spans="1:23">
      <c r="A133" s="431" t="s">
        <v>238</v>
      </c>
      <c r="B133" s="431" t="s">
        <v>322</v>
      </c>
      <c r="C133" s="523" t="s">
        <v>441</v>
      </c>
      <c r="D133" s="431" t="s">
        <v>250</v>
      </c>
      <c r="E133" s="486"/>
      <c r="F133" s="430">
        <v>30873.5</v>
      </c>
      <c r="G133" s="486"/>
      <c r="H133" s="486"/>
      <c r="I133" s="518"/>
      <c r="J133" s="490">
        <v>0.0708185804452499</v>
      </c>
      <c r="K133" s="451">
        <v>0.0736563227266659</v>
      </c>
      <c r="L133" s="451">
        <v>0.0772021302994867</v>
      </c>
      <c r="M133" s="490"/>
      <c r="N133" s="490"/>
      <c r="O133" s="486"/>
      <c r="P133" s="531">
        <f t="array" ref="P133">INDEX(正厂竞争者数据汇总!I:I,MATCH($A$126&amp;B133,正厂竞争者数据汇总!A:A&amp;正厂竞争者数据汇总!D:D,0))</f>
        <v>0</v>
      </c>
      <c r="Q133" s="494"/>
      <c r="R133" s="431"/>
      <c r="S133" s="473"/>
      <c r="T133" s="495"/>
      <c r="U133" s="495"/>
      <c r="V133" s="431"/>
      <c r="W133" s="431"/>
    </row>
    <row r="134" spans="1:23">
      <c r="A134" s="431" t="s">
        <v>230</v>
      </c>
      <c r="B134" s="431" t="s">
        <v>439</v>
      </c>
      <c r="C134" s="431" t="s">
        <v>441</v>
      </c>
      <c r="D134" s="431" t="s">
        <v>460</v>
      </c>
      <c r="E134" s="486"/>
      <c r="F134" s="430">
        <v>30644.8</v>
      </c>
      <c r="G134" s="486"/>
      <c r="H134" s="486"/>
      <c r="I134" s="518"/>
      <c r="J134" s="490">
        <v>0.0702939813765396</v>
      </c>
      <c r="K134" s="451">
        <v>0.056585604303734</v>
      </c>
      <c r="L134" s="451">
        <v>0.0617870312034756</v>
      </c>
      <c r="M134" s="490"/>
      <c r="N134" s="490"/>
      <c r="O134" s="486"/>
      <c r="P134" s="531" t="str">
        <f t="array" ref="P134">INDEX(正厂竞争者数据汇总!I:I,MATCH($A$126&amp;B134,正厂竞争者数据汇总!A:A&amp;正厂竞争者数据汇总!D:D,0))</f>
        <v>同时经营honda/acura，折算比例：acura:80%,honda:20%</v>
      </c>
      <c r="Q134" s="494"/>
      <c r="R134" s="431"/>
      <c r="S134" s="473"/>
      <c r="T134" s="495"/>
      <c r="U134" s="495"/>
      <c r="V134" s="431"/>
      <c r="W134" s="431"/>
    </row>
    <row r="135" s="408" customFormat="1" spans="1:23">
      <c r="A135" s="428"/>
      <c r="B135" s="438"/>
      <c r="C135" s="429"/>
      <c r="D135" s="421"/>
      <c r="E135" s="430"/>
      <c r="F135" s="486"/>
      <c r="G135" s="486">
        <v>409170.916666667</v>
      </c>
      <c r="H135" s="486"/>
      <c r="I135" s="453"/>
      <c r="J135" s="451"/>
      <c r="K135" s="430"/>
      <c r="L135" s="430"/>
      <c r="M135" s="451"/>
      <c r="N135" s="451"/>
      <c r="O135" s="430"/>
      <c r="P135" s="531"/>
      <c r="Q135" s="429"/>
      <c r="R135" s="421"/>
      <c r="S135" s="473"/>
      <c r="T135" s="466"/>
      <c r="U135" s="466"/>
      <c r="V135" s="421"/>
      <c r="W135" s="421"/>
    </row>
    <row r="136" s="408" customFormat="1" spans="1:23">
      <c r="A136" s="428"/>
      <c r="B136" s="421"/>
      <c r="C136" s="439"/>
      <c r="D136" s="421"/>
      <c r="E136" s="421"/>
      <c r="F136" s="430">
        <v>435951.974833334</v>
      </c>
      <c r="G136" s="430"/>
      <c r="H136" s="430">
        <v>444921.666666667</v>
      </c>
      <c r="I136" s="453" t="e">
        <f>(F136/G136)-1</f>
        <v>#DIV/0!</v>
      </c>
      <c r="J136" s="430"/>
      <c r="K136" s="430"/>
      <c r="L136" s="430"/>
      <c r="M136" s="451"/>
      <c r="N136" s="451">
        <f>SUM(N128:N135)</f>
        <v>0</v>
      </c>
      <c r="O136" s="430"/>
      <c r="P136" s="531"/>
      <c r="Q136" s="429" t="s">
        <v>180</v>
      </c>
      <c r="R136" s="421" t="s">
        <v>180</v>
      </c>
      <c r="S136" s="473"/>
      <c r="T136" s="466"/>
      <c r="U136" s="466"/>
      <c r="V136" s="421"/>
      <c r="W136" s="421"/>
    </row>
    <row r="137" s="408" customFormat="1" spans="1:23">
      <c r="A137" s="428"/>
      <c r="B137" s="421"/>
      <c r="C137" s="439"/>
      <c r="D137" s="421"/>
      <c r="E137" s="430"/>
      <c r="F137" s="430"/>
      <c r="G137" s="430"/>
      <c r="H137" s="430"/>
      <c r="I137" s="453"/>
      <c r="J137" s="430"/>
      <c r="K137" s="430"/>
      <c r="L137" s="430"/>
      <c r="M137" s="451"/>
      <c r="N137" s="459"/>
      <c r="O137" s="430"/>
      <c r="P137" s="531"/>
      <c r="Q137" s="429"/>
      <c r="R137" s="421" t="s">
        <v>180</v>
      </c>
      <c r="S137" s="473"/>
      <c r="T137" s="466"/>
      <c r="U137" s="466"/>
      <c r="V137" s="421"/>
      <c r="W137" s="421"/>
    </row>
    <row r="138" s="408" customFormat="1" ht="17.4" spans="1:23">
      <c r="A138" s="418" t="s">
        <v>168</v>
      </c>
      <c r="B138" s="487"/>
      <c r="C138" s="420"/>
      <c r="D138" s="421"/>
      <c r="E138" s="422" t="s">
        <v>202</v>
      </c>
      <c r="F138" s="422"/>
      <c r="G138" s="422" t="s">
        <v>213</v>
      </c>
      <c r="H138" s="422"/>
      <c r="I138" s="422"/>
      <c r="J138" s="422"/>
      <c r="K138" s="422"/>
      <c r="L138" s="422"/>
      <c r="M138" s="443"/>
      <c r="N138" s="444"/>
      <c r="O138" s="422"/>
      <c r="P138" s="531"/>
      <c r="Q138" s="465"/>
      <c r="R138" s="424"/>
      <c r="S138" s="473"/>
      <c r="T138" s="467"/>
      <c r="U138" s="467"/>
      <c r="V138" s="467"/>
      <c r="W138" s="467"/>
    </row>
    <row r="139" s="409" customFormat="1" ht="46.8" spans="1:23">
      <c r="A139" s="423" t="s">
        <v>206</v>
      </c>
      <c r="B139" s="424" t="s">
        <v>207</v>
      </c>
      <c r="C139" s="425" t="s">
        <v>447</v>
      </c>
      <c r="D139" s="424" t="s">
        <v>209</v>
      </c>
      <c r="E139" s="426" t="s">
        <v>210</v>
      </c>
      <c r="F139" s="427" t="s">
        <v>489</v>
      </c>
      <c r="G139" s="427">
        <v>197584.75</v>
      </c>
      <c r="H139" s="427" t="s">
        <v>396</v>
      </c>
      <c r="I139" s="427" t="s">
        <v>386</v>
      </c>
      <c r="J139" s="446" t="s">
        <v>479</v>
      </c>
      <c r="K139" s="446" t="s">
        <v>215</v>
      </c>
      <c r="L139" s="446" t="s">
        <v>216</v>
      </c>
      <c r="M139" s="447" t="s">
        <v>436</v>
      </c>
      <c r="N139" s="448" t="s">
        <v>219</v>
      </c>
      <c r="O139" s="449" t="s">
        <v>220</v>
      </c>
      <c r="P139" s="530" t="s">
        <v>221</v>
      </c>
      <c r="Q139" s="469" t="s">
        <v>222</v>
      </c>
      <c r="R139" s="426" t="s">
        <v>223</v>
      </c>
      <c r="S139" s="470" t="s">
        <v>224</v>
      </c>
      <c r="T139" s="467" t="s">
        <v>225</v>
      </c>
      <c r="U139" s="470" t="s">
        <v>226</v>
      </c>
      <c r="V139" s="467"/>
      <c r="W139" s="467"/>
    </row>
    <row r="140" s="410" customFormat="1" ht="17.4" spans="1:23">
      <c r="A140" s="432" t="s">
        <v>227</v>
      </c>
      <c r="B140" s="488" t="s">
        <v>169</v>
      </c>
      <c r="C140" s="434" t="s">
        <v>441</v>
      </c>
      <c r="D140" s="435" t="s">
        <v>49</v>
      </c>
      <c r="E140" s="436">
        <f>VLOOKUP(B140,正厂竞争者数据汇总!D:H,4,FALSE)</f>
        <v>0</v>
      </c>
      <c r="F140" s="436">
        <v>303040.666666667</v>
      </c>
      <c r="G140" s="436">
        <v>39089.5833333333</v>
      </c>
      <c r="H140" s="436">
        <v>201623.666666667</v>
      </c>
      <c r="I140" s="454">
        <f>(F140/G140)-1</f>
        <v>6.75246602355702</v>
      </c>
      <c r="J140" s="457">
        <v>0.623986484056396</v>
      </c>
      <c r="K140" s="457">
        <v>0.604762516640285</v>
      </c>
      <c r="L140" s="457">
        <v>0.620148369158349</v>
      </c>
      <c r="M140" s="456">
        <f>J140-K143</f>
        <v>0.541597630638239</v>
      </c>
      <c r="N140" s="457" t="str">
        <f>IFERROR(O140*0.5/$F$140,"")</f>
        <v/>
      </c>
      <c r="O140" s="436" t="s">
        <v>180</v>
      </c>
      <c r="P140" s="531">
        <f t="array" ref="P140">INDEX(正厂竞争者数据汇总!I:I,MATCH($A$138&amp;B140,正厂竞争者数据汇总!A:A&amp;正厂竞争者数据汇总!D:D,0))</f>
        <v>0</v>
      </c>
      <c r="Q140" s="434" t="s">
        <v>299</v>
      </c>
      <c r="R140" s="435" t="s">
        <v>229</v>
      </c>
      <c r="S140" s="476"/>
      <c r="T140" s="477"/>
      <c r="U140" s="477"/>
      <c r="V140" s="435"/>
      <c r="W140" s="435"/>
    </row>
    <row r="141" s="408" customFormat="1" spans="1:23">
      <c r="A141" s="527" t="s">
        <v>230</v>
      </c>
      <c r="B141" s="431" t="s">
        <v>308</v>
      </c>
      <c r="C141" s="494" t="s">
        <v>233</v>
      </c>
      <c r="D141" s="431" t="s">
        <v>426</v>
      </c>
      <c r="E141" s="486"/>
      <c r="F141" s="430">
        <v>45887.3333333333</v>
      </c>
      <c r="G141" s="486"/>
      <c r="H141" s="486"/>
      <c r="I141" s="518"/>
      <c r="J141" s="490">
        <v>0.0944859186865694</v>
      </c>
      <c r="K141" s="451">
        <v>0.0845782851640635</v>
      </c>
      <c r="L141" s="451">
        <v>0.094608428904086</v>
      </c>
      <c r="M141" s="451"/>
      <c r="N141" s="451"/>
      <c r="O141" s="430"/>
      <c r="P141" s="531">
        <f t="array" ref="P141">INDEX(正厂竞争者数据汇总!I:I,MATCH($A$138&amp;B141,正厂竞争者数据汇总!A:A&amp;正厂竞争者数据汇总!D:D,0))</f>
        <v>0</v>
      </c>
      <c r="Q141" s="429"/>
      <c r="R141" s="421"/>
      <c r="S141" s="473"/>
      <c r="T141" s="466"/>
      <c r="U141" s="466"/>
      <c r="V141" s="421"/>
      <c r="W141" s="421"/>
    </row>
    <row r="142" s="408" customFormat="1" spans="1:23">
      <c r="A142" s="527" t="s">
        <v>230</v>
      </c>
      <c r="B142" s="431" t="s">
        <v>304</v>
      </c>
      <c r="C142" s="494" t="s">
        <v>233</v>
      </c>
      <c r="D142" s="431" t="s">
        <v>49</v>
      </c>
      <c r="E142" s="486"/>
      <c r="F142" s="430">
        <v>36566.4166666667</v>
      </c>
      <c r="G142" s="486"/>
      <c r="H142" s="486"/>
      <c r="I142" s="518"/>
      <c r="J142" s="490">
        <v>0.0752933592093509</v>
      </c>
      <c r="K142" s="451">
        <v>0.0638206563932227</v>
      </c>
      <c r="L142" s="451">
        <v>0.0522380613128764</v>
      </c>
      <c r="M142" s="451"/>
      <c r="N142" s="451"/>
      <c r="O142" s="430"/>
      <c r="P142" s="531">
        <f t="array" ref="P142">INDEX(正厂竞争者数据汇总!I:I,MATCH($A$138&amp;B142,正厂竞争者数据汇总!A:A&amp;正厂竞争者数据汇总!D:D,0))</f>
        <v>0</v>
      </c>
      <c r="Q142" s="429"/>
      <c r="R142" s="421"/>
      <c r="S142" s="473"/>
      <c r="T142" s="466"/>
      <c r="U142" s="466"/>
      <c r="V142" s="421"/>
      <c r="W142" s="421"/>
    </row>
    <row r="143" s="408" customFormat="1" spans="1:23">
      <c r="A143" s="527" t="s">
        <v>305</v>
      </c>
      <c r="B143" s="524" t="s">
        <v>306</v>
      </c>
      <c r="C143" s="494" t="s">
        <v>233</v>
      </c>
      <c r="D143" s="431" t="s">
        <v>49</v>
      </c>
      <c r="E143" s="486"/>
      <c r="F143" s="430">
        <v>31289.0833333333</v>
      </c>
      <c r="G143" s="486"/>
      <c r="H143" s="486"/>
      <c r="I143" s="518"/>
      <c r="J143" s="490">
        <v>0.0644268814257521</v>
      </c>
      <c r="K143" s="451">
        <v>0.0823888534181572</v>
      </c>
      <c r="L143" s="451">
        <v>0.130104802152431</v>
      </c>
      <c r="M143" s="451"/>
      <c r="N143" s="451"/>
      <c r="O143" s="430"/>
      <c r="P143" s="531">
        <f t="array" ref="P143">INDEX(正厂竞争者数据汇总!I:I,MATCH($A$138&amp;B143,正厂竞争者数据汇总!A:A&amp;正厂竞争者数据汇总!D:D,0))</f>
        <v>0</v>
      </c>
      <c r="Q143" s="429"/>
      <c r="R143" s="421"/>
      <c r="S143" s="473"/>
      <c r="T143" s="477"/>
      <c r="U143" s="466"/>
      <c r="V143" s="421"/>
      <c r="W143" s="421"/>
    </row>
    <row r="144" s="408" customFormat="1" spans="1:23">
      <c r="A144" s="527" t="s">
        <v>230</v>
      </c>
      <c r="B144" s="431" t="s">
        <v>307</v>
      </c>
      <c r="C144" s="494" t="s">
        <v>233</v>
      </c>
      <c r="D144" s="431" t="s">
        <v>49</v>
      </c>
      <c r="E144" s="486"/>
      <c r="F144" s="430">
        <v>21014.3</v>
      </c>
      <c r="G144" s="486"/>
      <c r="H144" s="486"/>
      <c r="I144" s="518"/>
      <c r="J144" s="490">
        <v>0.0432702294254444</v>
      </c>
      <c r="K144" s="451">
        <v>0.0596734540191682</v>
      </c>
      <c r="L144" s="451"/>
      <c r="M144" s="451"/>
      <c r="N144" s="451"/>
      <c r="O144" s="430"/>
      <c r="P144" s="531" t="str">
        <f t="array" ref="P144">INDEX(正厂竞争者数据汇总!I:I,MATCH($A$138&amp;B144,正厂竞争者数据汇总!A:A&amp;正厂竞争者数据汇总!D:D,0))</f>
        <v>2023年2月新增正厂</v>
      </c>
      <c r="Q144" s="429"/>
      <c r="R144" s="421"/>
      <c r="S144" s="473"/>
      <c r="T144" s="466"/>
      <c r="U144" s="466"/>
      <c r="V144" s="421"/>
      <c r="W144" s="421"/>
    </row>
    <row r="145" s="408" customFormat="1" spans="1:23">
      <c r="A145" s="527" t="s">
        <v>230</v>
      </c>
      <c r="B145" s="431" t="s">
        <v>309</v>
      </c>
      <c r="C145" s="494" t="s">
        <v>233</v>
      </c>
      <c r="D145" s="431" t="s">
        <v>266</v>
      </c>
      <c r="E145" s="486"/>
      <c r="F145" s="430">
        <v>19558.98</v>
      </c>
      <c r="G145" s="486"/>
      <c r="H145" s="486"/>
      <c r="I145" s="518"/>
      <c r="J145" s="490">
        <v>0.0402736018771826</v>
      </c>
      <c r="K145" s="451">
        <v>0.0325602943544528</v>
      </c>
      <c r="L145" s="451">
        <v>0.0527731452198929</v>
      </c>
      <c r="M145" s="451"/>
      <c r="N145" s="451"/>
      <c r="O145" s="430"/>
      <c r="P145" s="531" t="str">
        <f t="array" ref="P145">INDEX(正厂竞争者数据汇总!I:I,MATCH($A$138&amp;B145,正厂竞争者数据汇总!A:A&amp;正厂竞争者数据汇总!D:D,0))</f>
        <v>同时经营多品牌网站零件，折算比例为：toyota：33%，lexus：42%，subaru:25%</v>
      </c>
      <c r="Q145" s="429"/>
      <c r="R145" s="421"/>
      <c r="S145" s="473"/>
      <c r="T145" s="466"/>
      <c r="U145" s="466"/>
      <c r="V145" s="421"/>
      <c r="W145" s="421"/>
    </row>
    <row r="146" s="408" customFormat="1" spans="1:23">
      <c r="A146" s="527" t="s">
        <v>230</v>
      </c>
      <c r="B146" s="431" t="s">
        <v>461</v>
      </c>
      <c r="C146" s="494" t="s">
        <v>441</v>
      </c>
      <c r="D146" s="431" t="s">
        <v>49</v>
      </c>
      <c r="E146" s="486"/>
      <c r="F146" s="430">
        <v>14277.3333333333</v>
      </c>
      <c r="G146" s="486"/>
      <c r="H146" s="486"/>
      <c r="I146" s="518"/>
      <c r="J146" s="490">
        <v>0.0293982425737178</v>
      </c>
      <c r="K146" s="451">
        <v>0.0280342377838527</v>
      </c>
      <c r="L146" s="451">
        <v>0.0501271932523646</v>
      </c>
      <c r="M146" s="451"/>
      <c r="N146" s="451"/>
      <c r="O146" s="430"/>
      <c r="P146" s="531" t="str">
        <f t="array" ref="P146">INDEX(正厂竞争者数据汇总!I:I,MATCH($A$138&amp;B146,正厂竞争者数据汇总!A:A&amp;正厂竞争者数据汇总!D:D,0))</f>
        <v>2023年3月新增正厂</v>
      </c>
      <c r="Q146" s="429"/>
      <c r="R146" s="421"/>
      <c r="S146" s="473"/>
      <c r="T146" s="466"/>
      <c r="U146" s="466"/>
      <c r="V146" s="421"/>
      <c r="W146" s="421"/>
    </row>
    <row r="147" s="408" customFormat="1" spans="1:23">
      <c r="A147" s="527" t="s">
        <v>243</v>
      </c>
      <c r="B147" s="431" t="s">
        <v>462</v>
      </c>
      <c r="C147" s="494" t="s">
        <v>441</v>
      </c>
      <c r="D147" s="431" t="s">
        <v>420</v>
      </c>
      <c r="E147" s="486"/>
      <c r="F147" s="430">
        <v>14018.5</v>
      </c>
      <c r="G147" s="486"/>
      <c r="H147" s="486"/>
      <c r="I147" s="518"/>
      <c r="J147" s="490">
        <v>0.0288652827455872</v>
      </c>
      <c r="K147" s="451">
        <v>0.0441817022267984</v>
      </c>
      <c r="L147" s="451"/>
      <c r="M147" s="451"/>
      <c r="N147" s="451"/>
      <c r="O147" s="430"/>
      <c r="P147" s="531" t="str">
        <f t="array" ref="P147">INDEX(正厂竞争者数据汇总!I:I,MATCH($A$138&amp;B147,正厂竞争者数据汇总!A:A&amp;正厂竞争者数据汇总!D:D,0))</f>
        <v>2023年2月新增正厂</v>
      </c>
      <c r="Q147" s="429"/>
      <c r="R147" s="421"/>
      <c r="S147" s="473"/>
      <c r="T147" s="466"/>
      <c r="U147" s="466"/>
      <c r="V147" s="421"/>
      <c r="W147" s="421"/>
    </row>
    <row r="149" s="408" customFormat="1" spans="1:23">
      <c r="A149" s="440"/>
      <c r="B149" s="431"/>
      <c r="C149" s="429"/>
      <c r="D149" s="421"/>
      <c r="E149" s="430"/>
      <c r="F149" s="430"/>
      <c r="G149" s="430">
        <v>259436.916666667</v>
      </c>
      <c r="H149" s="430"/>
      <c r="I149" s="453"/>
      <c r="J149" s="451"/>
      <c r="K149" s="451"/>
      <c r="L149" s="451"/>
      <c r="M149" s="451"/>
      <c r="N149" s="451"/>
      <c r="O149" s="430"/>
      <c r="P149" s="531"/>
      <c r="Q149" s="429"/>
      <c r="R149" s="421"/>
      <c r="S149" s="473"/>
      <c r="T149" s="466"/>
      <c r="U149" s="466"/>
      <c r="V149" s="421"/>
      <c r="W149" s="421"/>
    </row>
    <row r="150" s="408" customFormat="1" spans="1:23">
      <c r="A150" s="428"/>
      <c r="B150" s="421"/>
      <c r="C150" s="439"/>
      <c r="D150" s="421"/>
      <c r="E150" s="430"/>
      <c r="F150" s="430">
        <v>485652.613333334</v>
      </c>
      <c r="G150" s="430"/>
      <c r="H150" s="430">
        <v>254943.25</v>
      </c>
      <c r="I150" s="453" t="e">
        <f>(F150/G150)-1</f>
        <v>#DIV/0!</v>
      </c>
      <c r="J150" s="430"/>
      <c r="K150" s="430"/>
      <c r="L150" s="430"/>
      <c r="M150" s="451"/>
      <c r="N150" s="451">
        <f>SUM(N140:N141)</f>
        <v>0</v>
      </c>
      <c r="O150" s="430"/>
      <c r="P150" s="531"/>
      <c r="Q150" s="429"/>
      <c r="R150" s="421"/>
      <c r="S150" s="473"/>
      <c r="T150" s="466"/>
      <c r="U150" s="466"/>
      <c r="V150" s="421"/>
      <c r="W150" s="421"/>
    </row>
    <row r="151" s="408" customFormat="1" spans="1:23">
      <c r="A151" s="428"/>
      <c r="B151" s="421"/>
      <c r="C151" s="439"/>
      <c r="D151" s="421"/>
      <c r="E151" s="430"/>
      <c r="F151" s="451"/>
      <c r="G151" s="451"/>
      <c r="H151" s="451"/>
      <c r="I151" s="453"/>
      <c r="J151" s="451"/>
      <c r="K151" s="451"/>
      <c r="L151" s="451"/>
      <c r="M151" s="451"/>
      <c r="N151" s="451"/>
      <c r="O151" s="451"/>
      <c r="P151" s="531"/>
      <c r="Q151" s="429"/>
      <c r="R151" s="421"/>
      <c r="S151" s="473"/>
      <c r="T151" s="466"/>
      <c r="U151" s="466"/>
      <c r="V151" s="421"/>
      <c r="W151" s="421"/>
    </row>
    <row r="152" s="408" customFormat="1" ht="17.4" spans="1:23">
      <c r="A152" s="418" t="s">
        <v>177</v>
      </c>
      <c r="B152" s="419"/>
      <c r="C152" s="420"/>
      <c r="D152" s="421"/>
      <c r="E152" s="422" t="s">
        <v>202</v>
      </c>
      <c r="F152" s="422"/>
      <c r="G152" s="422" t="s">
        <v>213</v>
      </c>
      <c r="H152" s="422"/>
      <c r="I152" s="422"/>
      <c r="J152" s="422"/>
      <c r="K152" s="422"/>
      <c r="L152" s="422"/>
      <c r="M152" s="443"/>
      <c r="N152" s="444"/>
      <c r="O152" s="422"/>
      <c r="P152" s="531"/>
      <c r="Q152" s="465"/>
      <c r="R152" s="424"/>
      <c r="S152" s="473"/>
      <c r="T152" s="467"/>
      <c r="U152" s="467"/>
      <c r="V152" s="467"/>
      <c r="W152" s="467"/>
    </row>
    <row r="153" s="409" customFormat="1" ht="46.8" spans="1:23">
      <c r="A153" s="423" t="s">
        <v>206</v>
      </c>
      <c r="B153" s="424" t="s">
        <v>207</v>
      </c>
      <c r="C153" s="425" t="s">
        <v>447</v>
      </c>
      <c r="D153" s="424" t="s">
        <v>209</v>
      </c>
      <c r="E153" s="426" t="s">
        <v>210</v>
      </c>
      <c r="F153" s="427" t="s">
        <v>489</v>
      </c>
      <c r="G153" s="427">
        <v>93920.4166666667</v>
      </c>
      <c r="H153" s="427" t="s">
        <v>396</v>
      </c>
      <c r="I153" s="427" t="s">
        <v>386</v>
      </c>
      <c r="J153" s="446" t="s">
        <v>479</v>
      </c>
      <c r="K153" s="446" t="s">
        <v>215</v>
      </c>
      <c r="L153" s="446" t="s">
        <v>216</v>
      </c>
      <c r="M153" s="447" t="s">
        <v>436</v>
      </c>
      <c r="N153" s="448" t="s">
        <v>219</v>
      </c>
      <c r="O153" s="449" t="s">
        <v>220</v>
      </c>
      <c r="P153" s="530" t="s">
        <v>221</v>
      </c>
      <c r="Q153" s="469" t="s">
        <v>222</v>
      </c>
      <c r="R153" s="426" t="s">
        <v>223</v>
      </c>
      <c r="S153" s="470" t="s">
        <v>224</v>
      </c>
      <c r="T153" s="467" t="s">
        <v>225</v>
      </c>
      <c r="U153" s="470" t="s">
        <v>226</v>
      </c>
      <c r="V153" s="467"/>
      <c r="W153" s="467"/>
    </row>
    <row r="154" s="410" customFormat="1" ht="17.4" spans="1:23">
      <c r="A154" s="432" t="s">
        <v>227</v>
      </c>
      <c r="B154" s="435" t="s">
        <v>178</v>
      </c>
      <c r="C154" s="434" t="s">
        <v>441</v>
      </c>
      <c r="D154" s="435" t="s">
        <v>49</v>
      </c>
      <c r="E154" s="436">
        <f>VLOOKUP(B154,正厂竞争者数据汇总!D:H,4,FALSE)</f>
        <v>0</v>
      </c>
      <c r="F154" s="436">
        <v>69905.9166666667</v>
      </c>
      <c r="G154" s="436">
        <v>19160.4166666667</v>
      </c>
      <c r="H154" s="436">
        <v>93560.5000000002</v>
      </c>
      <c r="I154" s="454">
        <f>(F154/G154)-1</f>
        <v>2.64845493095574</v>
      </c>
      <c r="J154" s="457">
        <v>0.448741554444412</v>
      </c>
      <c r="K154" s="457">
        <v>0.431597964911769</v>
      </c>
      <c r="L154" s="457">
        <v>0.428917087457097</v>
      </c>
      <c r="M154" s="456">
        <f>J154-K157</f>
        <v>0.366246675364132</v>
      </c>
      <c r="N154" s="457" t="str">
        <f>IFERROR(O154*0.5/#REF!,"")</f>
        <v/>
      </c>
      <c r="O154" s="436" t="s">
        <v>180</v>
      </c>
      <c r="P154" s="531">
        <f t="array" ref="P154">INDEX(正厂竞争者数据汇总!I:I,MATCH($A$152&amp;B154,正厂竞争者数据汇总!A:A&amp;正厂竞争者数据汇总!D:D,0))</f>
        <v>0</v>
      </c>
      <c r="Q154" s="434" t="s">
        <v>324</v>
      </c>
      <c r="R154" s="435" t="s">
        <v>229</v>
      </c>
      <c r="S154" s="476"/>
      <c r="T154" s="477"/>
      <c r="U154" s="477"/>
      <c r="V154" s="435"/>
      <c r="W154" s="435"/>
    </row>
    <row r="155" s="408" customFormat="1" spans="1:23">
      <c r="A155" s="428" t="s">
        <v>230</v>
      </c>
      <c r="B155" s="431" t="s">
        <v>407</v>
      </c>
      <c r="C155" s="494" t="s">
        <v>233</v>
      </c>
      <c r="D155" s="431" t="s">
        <v>417</v>
      </c>
      <c r="E155" s="486"/>
      <c r="F155" s="430">
        <v>20998.5833333333</v>
      </c>
      <c r="G155" s="486"/>
      <c r="H155" s="486"/>
      <c r="I155" s="518"/>
      <c r="J155" s="490">
        <v>0.134794554959661</v>
      </c>
      <c r="K155" s="451">
        <v>0.141147208834887</v>
      </c>
      <c r="L155" s="451">
        <v>0.110405580775713</v>
      </c>
      <c r="M155" s="451"/>
      <c r="N155" s="451"/>
      <c r="O155" s="430"/>
      <c r="P155" s="531" t="str">
        <f t="array" ref="P155">INDEX(正厂竞争者数据汇总!I:I,MATCH($A$152&amp;B155,正厂竞争者数据汇总!A:A&amp;正厂竞争者数据汇总!D:D,0))</f>
        <v>202112新增竞争者</v>
      </c>
      <c r="Q155" s="429"/>
      <c r="R155" s="421"/>
      <c r="S155" s="473"/>
      <c r="T155" s="466"/>
      <c r="U155" s="466"/>
      <c r="V155" s="421"/>
      <c r="W155" s="421"/>
    </row>
    <row r="156" s="408" customFormat="1" spans="1:23">
      <c r="A156" s="428" t="s">
        <v>230</v>
      </c>
      <c r="B156" s="428" t="s">
        <v>329</v>
      </c>
      <c r="C156" s="494" t="s">
        <v>233</v>
      </c>
      <c r="D156" s="431" t="s">
        <v>58</v>
      </c>
      <c r="E156" s="486"/>
      <c r="F156" s="430">
        <v>17177.3333333333</v>
      </c>
      <c r="G156" s="486"/>
      <c r="H156" s="486"/>
      <c r="I156" s="518"/>
      <c r="J156" s="490">
        <v>0.110265105283789</v>
      </c>
      <c r="K156" s="451">
        <v>0.0831974343395806</v>
      </c>
      <c r="L156" s="451">
        <v>0.0714436507110227</v>
      </c>
      <c r="M156" s="451"/>
      <c r="N156" s="451"/>
      <c r="O156" s="430"/>
      <c r="P156" s="531">
        <f t="array" ref="P156">INDEX(正厂竞争者数据汇总!I:I,MATCH($A$152&amp;B156,正厂竞争者数据汇总!A:A&amp;正厂竞争者数据汇总!D:D,0))</f>
        <v>0</v>
      </c>
      <c r="Q156" s="429"/>
      <c r="R156" s="421"/>
      <c r="S156" s="473"/>
      <c r="T156" s="466"/>
      <c r="U156" s="466"/>
      <c r="V156" s="421"/>
      <c r="W156" s="421"/>
    </row>
    <row r="157" s="408" customFormat="1" spans="1:23">
      <c r="A157" s="428" t="s">
        <v>325</v>
      </c>
      <c r="B157" s="431" t="s">
        <v>442</v>
      </c>
      <c r="C157" s="494" t="s">
        <v>441</v>
      </c>
      <c r="D157" s="431" t="s">
        <v>60</v>
      </c>
      <c r="E157" s="486"/>
      <c r="F157" s="430">
        <v>12083.1666666667</v>
      </c>
      <c r="G157" s="486"/>
      <c r="H157" s="486"/>
      <c r="I157" s="518"/>
      <c r="J157" s="490">
        <v>0.077564521733772</v>
      </c>
      <c r="K157" s="451">
        <v>0.0824948790802801</v>
      </c>
      <c r="L157" s="451">
        <v>0.12308406676917</v>
      </c>
      <c r="M157" s="451"/>
      <c r="N157" s="451"/>
      <c r="O157" s="430"/>
      <c r="P157" s="531" t="str">
        <f t="array" ref="P157">INDEX(正厂竞争者数据汇总!I:I,MATCH($A$152&amp;B157,正厂竞争者数据汇总!A:A&amp;正厂竞争者数据汇总!D:D,0))</f>
        <v>202305流量太低，无法正常获取流量</v>
      </c>
      <c r="Q157" s="429"/>
      <c r="R157" s="421"/>
      <c r="S157" s="473"/>
      <c r="T157" s="466"/>
      <c r="U157" s="466"/>
      <c r="V157" s="421"/>
      <c r="W157" s="421"/>
    </row>
    <row r="158" s="408" customFormat="1" spans="1:23">
      <c r="A158" s="428" t="s">
        <v>230</v>
      </c>
      <c r="B158" s="417" t="s">
        <v>328</v>
      </c>
      <c r="C158" s="494" t="s">
        <v>233</v>
      </c>
      <c r="D158" s="431" t="s">
        <v>58</v>
      </c>
      <c r="E158" s="486"/>
      <c r="F158" s="430">
        <v>12028.0833333333</v>
      </c>
      <c r="G158" s="486"/>
      <c r="H158" s="486"/>
      <c r="I158" s="518"/>
      <c r="J158" s="490">
        <v>0.0772109296230802</v>
      </c>
      <c r="K158" s="451">
        <v>0.068727501824034</v>
      </c>
      <c r="L158" s="451">
        <v>0.0611726334242935</v>
      </c>
      <c r="M158" s="451"/>
      <c r="N158" s="451"/>
      <c r="O158" s="430"/>
      <c r="P158" s="531" t="str">
        <f t="array" ref="P158">INDEX(正厂竞争者数据汇总!I:I,MATCH($A$152&amp;B158,正厂竞争者数据汇总!A:A&amp;正厂竞争者数据汇总!D:D,0))</f>
        <v>2022年1月 新加入 MarketingShare</v>
      </c>
      <c r="Q158" s="429"/>
      <c r="R158" s="421"/>
      <c r="S158" s="473"/>
      <c r="T158" s="466"/>
      <c r="U158" s="466"/>
      <c r="V158" s="421"/>
      <c r="W158" s="421"/>
    </row>
    <row r="159" s="408" customFormat="1" spans="1:23">
      <c r="A159" s="428" t="s">
        <v>325</v>
      </c>
      <c r="B159" s="428" t="s">
        <v>326</v>
      </c>
      <c r="C159" s="494" t="s">
        <v>441</v>
      </c>
      <c r="D159" s="431" t="s">
        <v>422</v>
      </c>
      <c r="E159" s="486"/>
      <c r="F159" s="430">
        <v>11638</v>
      </c>
      <c r="G159" s="486"/>
      <c r="H159" s="486"/>
      <c r="I159" s="518"/>
      <c r="J159" s="490">
        <v>0.0747068983520575</v>
      </c>
      <c r="K159" s="451">
        <v>0.0816428317294757</v>
      </c>
      <c r="L159" s="451">
        <v>0.0954504021534234</v>
      </c>
      <c r="M159" s="451"/>
      <c r="N159" s="451"/>
      <c r="O159" s="430"/>
      <c r="P159" s="531">
        <f t="array" ref="P159">INDEX(正厂竞争者数据汇总!I:I,MATCH($A$152&amp;B159,正厂竞争者数据汇总!A:A&amp;正厂竞争者数据汇总!D:D,0))</f>
        <v>0</v>
      </c>
      <c r="Q159" s="429"/>
      <c r="R159" s="421"/>
      <c r="S159" s="473"/>
      <c r="T159" s="466"/>
      <c r="U159" s="466"/>
      <c r="V159" s="421"/>
      <c r="W159" s="421"/>
    </row>
    <row r="160" s="408" customFormat="1" spans="1:23">
      <c r="A160" s="428" t="s">
        <v>230</v>
      </c>
      <c r="B160" s="431" t="s">
        <v>327</v>
      </c>
      <c r="C160" s="494" t="s">
        <v>233</v>
      </c>
      <c r="D160" s="431" t="s">
        <v>234</v>
      </c>
      <c r="E160" s="486"/>
      <c r="F160" s="430">
        <v>7004.3</v>
      </c>
      <c r="G160" s="486"/>
      <c r="H160" s="486"/>
      <c r="I160" s="518"/>
      <c r="J160" s="490">
        <v>0.0449621522707782</v>
      </c>
      <c r="K160" s="451">
        <v>0.0708926424176037</v>
      </c>
      <c r="L160" s="451">
        <v>0.0575672898118472</v>
      </c>
      <c r="M160" s="451"/>
      <c r="N160" s="451"/>
      <c r="O160" s="430"/>
      <c r="P160" s="531" t="str">
        <f t="array" ref="P160">INDEX(正厂竞争者数据汇总!I:I,MATCH($A$152&amp;B160,正厂竞争者数据汇总!A:A&amp;正厂竞争者数据汇总!D:D,0))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60" s="429"/>
      <c r="R160" s="421"/>
      <c r="S160" s="473"/>
      <c r="T160" s="466"/>
      <c r="U160" s="466"/>
      <c r="V160" s="421"/>
      <c r="W160" s="421"/>
    </row>
    <row r="161" s="408" customFormat="1" spans="1:23">
      <c r="A161" s="428" t="s">
        <v>230</v>
      </c>
      <c r="B161" s="431" t="s">
        <v>463</v>
      </c>
      <c r="C161" s="494" t="s">
        <v>233</v>
      </c>
      <c r="D161" s="431" t="s">
        <v>58</v>
      </c>
      <c r="E161" s="486"/>
      <c r="F161" s="430">
        <v>4946.75</v>
      </c>
      <c r="G161" s="486"/>
      <c r="H161" s="486"/>
      <c r="I161" s="518"/>
      <c r="J161" s="490">
        <v>0.0317542833324489</v>
      </c>
      <c r="K161" s="451">
        <v>0.0402995368623702</v>
      </c>
      <c r="L161" s="451">
        <v>0.0519592888974337</v>
      </c>
      <c r="M161" s="451"/>
      <c r="N161" s="451"/>
      <c r="O161" s="430"/>
      <c r="P161" s="531">
        <f t="array" ref="P161">INDEX(正厂竞争者数据汇总!I:I,MATCH($A$152&amp;B161,正厂竞争者数据汇总!A:A&amp;正厂竞争者数据汇总!D:D,0))</f>
        <v>0</v>
      </c>
      <c r="Q161" s="429"/>
      <c r="R161" s="421"/>
      <c r="S161" s="473"/>
      <c r="T161" s="466"/>
      <c r="U161" s="466"/>
      <c r="V161" s="421"/>
      <c r="W161" s="421"/>
    </row>
    <row r="162" s="408" customFormat="1" spans="1:23">
      <c r="A162" s="428"/>
      <c r="B162" s="431"/>
      <c r="C162" s="429"/>
      <c r="D162" s="421"/>
      <c r="E162" s="430"/>
      <c r="F162" s="430"/>
      <c r="G162" s="430">
        <v>161698.333333333</v>
      </c>
      <c r="H162" s="430"/>
      <c r="I162" s="453"/>
      <c r="J162" s="451"/>
      <c r="K162" s="451"/>
      <c r="L162" s="451"/>
      <c r="M162" s="451"/>
      <c r="N162" s="451"/>
      <c r="O162" s="430"/>
      <c r="P162" s="531"/>
      <c r="Q162" s="429"/>
      <c r="R162" s="421"/>
      <c r="S162" s="473"/>
      <c r="T162" s="466"/>
      <c r="U162" s="466"/>
      <c r="V162" s="421"/>
      <c r="W162" s="421"/>
    </row>
    <row r="163" s="408" customFormat="1" spans="1:23">
      <c r="A163" s="428"/>
      <c r="B163" s="421"/>
      <c r="C163" s="439"/>
      <c r="D163" s="421"/>
      <c r="E163" s="430"/>
      <c r="F163" s="430">
        <v>155782.133333333</v>
      </c>
      <c r="G163" s="430"/>
      <c r="H163" s="430">
        <v>167907.166666667</v>
      </c>
      <c r="I163" s="453" t="e">
        <f>(F163/G163)-1</f>
        <v>#DIV/0!</v>
      </c>
      <c r="J163" s="430"/>
      <c r="K163" s="430"/>
      <c r="L163" s="430"/>
      <c r="M163" s="451"/>
      <c r="N163" s="451">
        <f>SUM(N154:N160)</f>
        <v>0</v>
      </c>
      <c r="O163" s="430"/>
      <c r="P163" s="531"/>
      <c r="Q163" s="493"/>
      <c r="R163" s="421"/>
      <c r="S163" s="473"/>
      <c r="T163" s="466"/>
      <c r="U163" s="466"/>
      <c r="V163" s="421"/>
      <c r="W163" s="421"/>
    </row>
    <row r="164" s="408" customFormat="1" spans="1:23">
      <c r="A164" s="428"/>
      <c r="B164" s="421"/>
      <c r="C164" s="439"/>
      <c r="D164" s="421"/>
      <c r="E164" s="430"/>
      <c r="F164" s="430"/>
      <c r="G164" s="430"/>
      <c r="H164" s="430"/>
      <c r="I164" s="453"/>
      <c r="J164" s="430"/>
      <c r="K164" s="430"/>
      <c r="L164" s="430"/>
      <c r="M164" s="451"/>
      <c r="N164" s="451"/>
      <c r="O164" s="430"/>
      <c r="P164" s="531"/>
      <c r="Q164" s="493"/>
      <c r="R164" s="421"/>
      <c r="S164" s="473"/>
      <c r="T164" s="466"/>
      <c r="U164" s="466"/>
      <c r="V164" s="421"/>
      <c r="W164" s="421"/>
    </row>
    <row r="165" s="408" customFormat="1" ht="17.4" spans="1:23">
      <c r="A165" s="418" t="s">
        <v>191</v>
      </c>
      <c r="B165" s="419"/>
      <c r="C165" s="420"/>
      <c r="D165" s="421"/>
      <c r="E165" s="422" t="s">
        <v>202</v>
      </c>
      <c r="F165" s="422"/>
      <c r="G165" s="422" t="s">
        <v>213</v>
      </c>
      <c r="H165" s="422"/>
      <c r="I165" s="422"/>
      <c r="J165" s="422"/>
      <c r="K165" s="422"/>
      <c r="L165" s="422"/>
      <c r="M165" s="443"/>
      <c r="N165" s="422"/>
      <c r="O165" s="422"/>
      <c r="P165" s="531"/>
      <c r="Q165" s="465"/>
      <c r="R165" s="424"/>
      <c r="S165" s="473"/>
      <c r="T165" s="467"/>
      <c r="U165" s="467"/>
      <c r="V165" s="467"/>
      <c r="W165" s="467"/>
    </row>
    <row r="166" s="409" customFormat="1" ht="46.8" hidden="1" spans="1:23">
      <c r="A166" s="423" t="s">
        <v>206</v>
      </c>
      <c r="B166" s="424" t="s">
        <v>207</v>
      </c>
      <c r="C166" s="425" t="s">
        <v>447</v>
      </c>
      <c r="D166" s="424" t="s">
        <v>209</v>
      </c>
      <c r="E166" s="426" t="s">
        <v>210</v>
      </c>
      <c r="F166" s="427" t="s">
        <v>489</v>
      </c>
      <c r="G166" s="427">
        <v>116448.583333333</v>
      </c>
      <c r="H166" s="427" t="s">
        <v>396</v>
      </c>
      <c r="I166" s="427" t="s">
        <v>386</v>
      </c>
      <c r="J166" s="446" t="s">
        <v>479</v>
      </c>
      <c r="K166" s="446" t="s">
        <v>215</v>
      </c>
      <c r="L166" s="446" t="s">
        <v>216</v>
      </c>
      <c r="M166" s="447" t="s">
        <v>436</v>
      </c>
      <c r="N166" s="448" t="s">
        <v>219</v>
      </c>
      <c r="O166" s="449" t="s">
        <v>220</v>
      </c>
      <c r="P166" s="530" t="s">
        <v>221</v>
      </c>
      <c r="Q166" s="469" t="s">
        <v>222</v>
      </c>
      <c r="R166" s="426" t="s">
        <v>223</v>
      </c>
      <c r="S166" s="470" t="s">
        <v>224</v>
      </c>
      <c r="T166" s="467" t="s">
        <v>225</v>
      </c>
      <c r="U166" s="470" t="s">
        <v>226</v>
      </c>
      <c r="V166" s="467"/>
      <c r="W166" s="467"/>
    </row>
    <row r="167" s="408" customFormat="1" hidden="1" spans="1:23">
      <c r="A167" s="428" t="s">
        <v>325</v>
      </c>
      <c r="B167" s="421" t="s">
        <v>357</v>
      </c>
      <c r="C167" s="429" t="s">
        <v>441</v>
      </c>
      <c r="D167" s="421" t="s">
        <v>422</v>
      </c>
      <c r="E167" s="430">
        <f>VLOOKUP(B167,正厂竞争者数据汇总!D:H,4,FALSE)</f>
        <v>0</v>
      </c>
      <c r="F167" s="430">
        <v>86168.6666666667</v>
      </c>
      <c r="G167" s="430">
        <v>0</v>
      </c>
      <c r="H167" s="430">
        <v>99768.6666666667</v>
      </c>
      <c r="I167" s="453" t="e">
        <f t="shared" ref="I167:I172" si="0">(F167/G167)-1</f>
        <v>#DIV/0!</v>
      </c>
      <c r="J167" s="451" t="e">
        <v>#N/A</v>
      </c>
      <c r="K167" s="451" t="e">
        <v>#N/A</v>
      </c>
      <c r="L167" s="451" t="e">
        <v>#N/A</v>
      </c>
      <c r="M167" s="451" t="e">
        <f>J167-K168</f>
        <v>#N/A</v>
      </c>
      <c r="N167" s="459"/>
      <c r="O167" s="430"/>
      <c r="P167" s="531">
        <f>VLOOKUP(B167,正厂竞争者数据汇总!D:M,6,FALSE)</f>
        <v>0</v>
      </c>
      <c r="Q167" s="429" t="s">
        <v>180</v>
      </c>
      <c r="R167" s="421" t="s">
        <v>180</v>
      </c>
      <c r="S167" s="473">
        <f>VLOOKUP(B167,正厂竞争者数据汇总!$D$2:$CL$243,25,FALSE)</f>
        <v>129482</v>
      </c>
      <c r="T167" s="466"/>
      <c r="U167" s="466"/>
      <c r="V167" s="421"/>
      <c r="W167" s="421"/>
    </row>
    <row r="168" s="408" customFormat="1" hidden="1" spans="1:23">
      <c r="A168" s="428" t="s">
        <v>230</v>
      </c>
      <c r="B168" s="421" t="s">
        <v>360</v>
      </c>
      <c r="C168" s="429" t="e">
        <v>#N/A</v>
      </c>
      <c r="D168" s="421" t="e">
        <v>#N/A</v>
      </c>
      <c r="E168" s="430">
        <f>VLOOKUP(B168,正厂竞争者数据汇总!D:H,4,FALSE)</f>
        <v>0</v>
      </c>
      <c r="F168" s="430" t="e">
        <v>#N/A</v>
      </c>
      <c r="G168" s="430">
        <v>207722.25</v>
      </c>
      <c r="H168" s="430">
        <v>0</v>
      </c>
      <c r="I168" s="453"/>
      <c r="J168" s="451"/>
      <c r="K168" s="451"/>
      <c r="L168" s="451"/>
      <c r="M168" s="451"/>
      <c r="N168" s="459"/>
      <c r="O168" s="430"/>
      <c r="P168" s="531" t="str">
        <f>VLOOKUP(B168,正厂竞争者数据汇总!D:M,6,FALSE)</f>
        <v>2023年12月新增</v>
      </c>
      <c r="Q168" s="429" t="s">
        <v>180</v>
      </c>
      <c r="R168" s="421" t="s">
        <v>180</v>
      </c>
      <c r="S168" s="473" t="e">
        <f>VLOOKUP(B168,正厂竞争者数据汇总!$D$2:$CL$243,25,FALSE)</f>
        <v>#N/A</v>
      </c>
      <c r="T168" s="466"/>
      <c r="U168" s="466"/>
      <c r="V168" s="421"/>
      <c r="W168" s="421"/>
    </row>
    <row r="169" s="408" customFormat="1" ht="17.4" hidden="1" spans="1:23">
      <c r="A169" s="428" t="s">
        <v>464</v>
      </c>
      <c r="B169" s="431" t="s">
        <v>465</v>
      </c>
      <c r="C169" s="429" t="s">
        <v>441</v>
      </c>
      <c r="D169" s="421" t="s">
        <v>234</v>
      </c>
      <c r="E169" s="430">
        <f>VLOOKUP(B169,正厂竞争者数据汇总!D:H,4,FALSE)</f>
        <v>0</v>
      </c>
      <c r="F169" s="430">
        <v>301732.416666667</v>
      </c>
      <c r="G169" s="430">
        <v>14627</v>
      </c>
      <c r="H169" s="430">
        <v>199184.666666667</v>
      </c>
      <c r="I169" s="453"/>
      <c r="J169" s="451"/>
      <c r="K169" s="451"/>
      <c r="L169" s="451"/>
      <c r="M169" s="451"/>
      <c r="N169" s="459"/>
      <c r="O169" s="430"/>
      <c r="P169" s="531">
        <f>VLOOKUP(B169,正厂竞争者数据汇总!D:M,6,FALSE)</f>
        <v>0</v>
      </c>
      <c r="Q169" s="429" t="s">
        <v>180</v>
      </c>
      <c r="R169" s="421" t="s">
        <v>180</v>
      </c>
      <c r="S169" s="473">
        <f>VLOOKUP(B169,正厂竞争者数据汇总!$D$2:$CL$243,25,FALSE)</f>
        <v>181727</v>
      </c>
      <c r="T169" s="466"/>
      <c r="U169" s="466"/>
      <c r="V169" s="421"/>
      <c r="W169" s="421"/>
    </row>
    <row r="170" s="408" customFormat="1" hidden="1" spans="1:23">
      <c r="A170" s="428" t="s">
        <v>325</v>
      </c>
      <c r="B170" s="438" t="s">
        <v>362</v>
      </c>
      <c r="C170" s="429" t="s">
        <v>441</v>
      </c>
      <c r="D170" s="421" t="s">
        <v>49</v>
      </c>
      <c r="E170" s="430">
        <f>VLOOKUP(B169,正厂竞争者数据汇总!D:H,4,FALSE)</f>
        <v>0</v>
      </c>
      <c r="F170" s="430">
        <v>10164.3333333333</v>
      </c>
      <c r="G170" s="430"/>
      <c r="H170" s="430">
        <v>18048.25</v>
      </c>
      <c r="I170" s="453" t="e">
        <f t="shared" si="0"/>
        <v>#DIV/0!</v>
      </c>
      <c r="J170" s="451" t="e">
        <v>#N/A</v>
      </c>
      <c r="K170" s="451" t="e">
        <v>#N/A</v>
      </c>
      <c r="L170" s="451" t="e">
        <v>#N/A</v>
      </c>
      <c r="M170" s="451" t="e">
        <f>J170-K171</f>
        <v>#N/A</v>
      </c>
      <c r="N170" s="459"/>
      <c r="O170" s="430"/>
      <c r="P170" s="531">
        <f>VLOOKUP(B170,正厂竞争者数据汇总!D:M,6,FALSE)</f>
        <v>0</v>
      </c>
      <c r="Q170" s="429" t="s">
        <v>180</v>
      </c>
      <c r="R170" s="421" t="s">
        <v>180</v>
      </c>
      <c r="S170" s="473">
        <f>VLOOKUP(B170,正厂竞争者数据汇总!$D$2:$CL$243,25,FALSE)</f>
        <v>23963</v>
      </c>
      <c r="T170" s="466"/>
      <c r="U170" s="466"/>
      <c r="V170" s="421"/>
      <c r="W170" s="421"/>
    </row>
    <row r="171" s="408" customFormat="1" hidden="1" spans="1:23">
      <c r="A171" s="428"/>
      <c r="B171" s="438"/>
      <c r="C171" s="429"/>
      <c r="D171" s="421"/>
      <c r="E171" s="430"/>
      <c r="F171" s="430"/>
      <c r="G171" s="430">
        <v>131075.583333333</v>
      </c>
      <c r="H171" s="430"/>
      <c r="I171" s="453"/>
      <c r="J171" s="451"/>
      <c r="K171" s="451"/>
      <c r="L171" s="451"/>
      <c r="M171" s="451"/>
      <c r="N171" s="459"/>
      <c r="O171" s="430"/>
      <c r="P171" s="531"/>
      <c r="Q171" s="429"/>
      <c r="R171" s="421"/>
      <c r="S171" s="473"/>
      <c r="T171" s="466"/>
      <c r="U171" s="466"/>
      <c r="V171" s="421"/>
      <c r="W171" s="421"/>
    </row>
    <row r="172" s="408" customFormat="1" hidden="1" spans="1:23">
      <c r="A172" s="428"/>
      <c r="B172" s="421"/>
      <c r="C172" s="439"/>
      <c r="D172" s="421"/>
      <c r="E172" s="421"/>
      <c r="F172" s="496" t="e">
        <v>#N/A</v>
      </c>
      <c r="G172" s="496"/>
      <c r="H172" s="496">
        <v>117816.916666667</v>
      </c>
      <c r="I172" s="453" t="e">
        <f t="shared" si="0"/>
        <v>#N/A</v>
      </c>
      <c r="J172" s="430"/>
      <c r="K172" s="430"/>
      <c r="L172" s="430"/>
      <c r="M172" s="451"/>
      <c r="N172" s="459"/>
      <c r="O172" s="430"/>
      <c r="P172" s="531"/>
      <c r="Q172" s="429"/>
      <c r="R172" s="421"/>
      <c r="S172" s="473"/>
      <c r="T172" s="466"/>
      <c r="U172" s="466"/>
      <c r="V172" s="421"/>
      <c r="W172" s="421"/>
    </row>
    <row r="173" s="408" customFormat="1" spans="1:23">
      <c r="A173" s="428"/>
      <c r="B173" s="438"/>
      <c r="C173" s="439"/>
      <c r="D173" s="421"/>
      <c r="E173" s="430"/>
      <c r="F173" s="430"/>
      <c r="G173" s="430"/>
      <c r="H173" s="430"/>
      <c r="I173" s="453"/>
      <c r="J173" s="430"/>
      <c r="K173" s="430"/>
      <c r="L173" s="430"/>
      <c r="M173" s="451"/>
      <c r="N173" s="459"/>
      <c r="O173" s="430"/>
      <c r="P173" s="531"/>
      <c r="Q173" s="429"/>
      <c r="R173" s="421"/>
      <c r="S173" s="473"/>
      <c r="T173" s="466"/>
      <c r="U173" s="466"/>
      <c r="V173" s="421"/>
      <c r="W173" s="421"/>
    </row>
    <row r="174" s="408" customFormat="1" ht="17.4" spans="1:23">
      <c r="A174" s="418" t="s">
        <v>189</v>
      </c>
      <c r="B174" s="419"/>
      <c r="C174" s="420"/>
      <c r="D174" s="421"/>
      <c r="E174" s="422" t="s">
        <v>202</v>
      </c>
      <c r="F174" s="422"/>
      <c r="G174" s="422" t="s">
        <v>213</v>
      </c>
      <c r="H174" s="422"/>
      <c r="I174" s="422"/>
      <c r="J174" s="422"/>
      <c r="K174" s="422"/>
      <c r="L174" s="422"/>
      <c r="M174" s="443"/>
      <c r="N174" s="422"/>
      <c r="O174" s="422"/>
      <c r="P174" s="531"/>
      <c r="Q174" s="465"/>
      <c r="R174" s="424"/>
      <c r="S174" s="473"/>
      <c r="T174" s="467"/>
      <c r="U174" s="467"/>
      <c r="V174" s="467"/>
      <c r="W174" s="467"/>
    </row>
    <row r="175" s="409" customFormat="1" ht="46.8" hidden="1" spans="1:23">
      <c r="A175" s="423" t="s">
        <v>206</v>
      </c>
      <c r="B175" s="424" t="s">
        <v>207</v>
      </c>
      <c r="C175" s="425" t="s">
        <v>447</v>
      </c>
      <c r="D175" s="424" t="s">
        <v>209</v>
      </c>
      <c r="E175" s="426" t="s">
        <v>210</v>
      </c>
      <c r="F175" s="427" t="s">
        <v>489</v>
      </c>
      <c r="G175" s="427">
        <v>530347.5</v>
      </c>
      <c r="H175" s="427" t="s">
        <v>396</v>
      </c>
      <c r="I175" s="427" t="s">
        <v>386</v>
      </c>
      <c r="J175" s="446" t="s">
        <v>479</v>
      </c>
      <c r="K175" s="446" t="s">
        <v>215</v>
      </c>
      <c r="L175" s="446" t="s">
        <v>216</v>
      </c>
      <c r="M175" s="447" t="s">
        <v>436</v>
      </c>
      <c r="N175" s="448" t="s">
        <v>219</v>
      </c>
      <c r="O175" s="449" t="s">
        <v>220</v>
      </c>
      <c r="P175" s="530" t="s">
        <v>221</v>
      </c>
      <c r="Q175" s="469" t="s">
        <v>222</v>
      </c>
      <c r="R175" s="426" t="s">
        <v>223</v>
      </c>
      <c r="S175" s="470" t="s">
        <v>224</v>
      </c>
      <c r="T175" s="467" t="s">
        <v>225</v>
      </c>
      <c r="U175" s="470" t="s">
        <v>226</v>
      </c>
      <c r="V175" s="467"/>
      <c r="W175" s="467"/>
    </row>
    <row r="176" s="408" customFormat="1" hidden="1" spans="1:23">
      <c r="A176" s="428" t="s">
        <v>325</v>
      </c>
      <c r="B176" s="421" t="s">
        <v>466</v>
      </c>
      <c r="C176" s="429" t="s">
        <v>467</v>
      </c>
      <c r="D176" s="421" t="s">
        <v>234</v>
      </c>
      <c r="E176" s="430">
        <f>VLOOKUP(B176,正厂竞争者数据汇总!D:H,4,FALSE)</f>
        <v>0</v>
      </c>
      <c r="F176" s="430">
        <v>489109.833333333</v>
      </c>
      <c r="G176" s="430">
        <v>164695.833333333</v>
      </c>
      <c r="H176" s="430">
        <v>572372.833333333</v>
      </c>
      <c r="I176" s="453">
        <f t="shared" ref="I176:I179" si="1">(F176/G176)-1</f>
        <v>1.96977660839427</v>
      </c>
      <c r="J176" s="451">
        <v>0.637494137522268</v>
      </c>
      <c r="K176" s="451" t="e">
        <v>#VALUE!</v>
      </c>
      <c r="L176" s="451">
        <v>0.656724118912919</v>
      </c>
      <c r="M176" s="451"/>
      <c r="N176" s="459"/>
      <c r="O176" s="430"/>
      <c r="P176" s="531" t="str">
        <f>VLOOKUP(B176,正厂竞争者数据汇总!D:M,6,FALSE)</f>
        <v>官网</v>
      </c>
      <c r="Q176" s="429" t="s">
        <v>180</v>
      </c>
      <c r="R176" s="421" t="s">
        <v>180</v>
      </c>
      <c r="S176" s="473">
        <f>VLOOKUP(B176,正厂竞争者数据汇总!$D$2:$CL$243,25,FALSE)</f>
        <v>387977</v>
      </c>
      <c r="T176" s="466"/>
      <c r="U176" s="466"/>
      <c r="V176" s="421"/>
      <c r="W176" s="421"/>
    </row>
    <row r="177" s="408" customFormat="1" hidden="1" spans="1:23">
      <c r="A177" s="428" t="s">
        <v>230</v>
      </c>
      <c r="B177" s="431" t="s">
        <v>354</v>
      </c>
      <c r="C177" s="429" t="s">
        <v>233</v>
      </c>
      <c r="D177" s="421" t="s">
        <v>411</v>
      </c>
      <c r="E177" s="430">
        <f>VLOOKUP(B177,正厂竞争者数据汇总!D:H,4,FALSE)</f>
        <v>0</v>
      </c>
      <c r="F177" s="430">
        <v>184520.75</v>
      </c>
      <c r="G177" s="430">
        <v>23846.5</v>
      </c>
      <c r="H177" s="430">
        <v>201650.166666667</v>
      </c>
      <c r="I177" s="453">
        <f t="shared" si="1"/>
        <v>6.73785461178789</v>
      </c>
      <c r="J177" s="451">
        <v>0.240499962093474</v>
      </c>
      <c r="K177" s="451" t="e">
        <v>#VALUE!</v>
      </c>
      <c r="L177" s="451">
        <v>0.240761576933192</v>
      </c>
      <c r="M177" s="451" t="e">
        <f t="shared" ref="M177:M179" si="2">J177-K178</f>
        <v>#VALUE!</v>
      </c>
      <c r="N177" s="459"/>
      <c r="O177" s="430"/>
      <c r="P177" s="531">
        <f>VLOOKUP(B177,正厂竞争者数据汇总!D:M,6,FALSE)</f>
        <v>0</v>
      </c>
      <c r="Q177" s="429" t="s">
        <v>180</v>
      </c>
      <c r="R177" s="421" t="s">
        <v>180</v>
      </c>
      <c r="S177" s="473">
        <f>VLOOKUP(B177,正厂竞争者数据汇总!$D$2:$CL$243,25,FALSE)</f>
        <v>734766</v>
      </c>
      <c r="T177" s="466"/>
      <c r="U177" s="466"/>
      <c r="V177" s="421"/>
      <c r="W177" s="421"/>
    </row>
    <row r="178" s="408" customFormat="1" hidden="1" spans="1:23">
      <c r="A178" s="428" t="s">
        <v>243</v>
      </c>
      <c r="B178" s="421" t="s">
        <v>355</v>
      </c>
      <c r="C178" s="429" t="s">
        <v>454</v>
      </c>
      <c r="D178" s="421" t="s">
        <v>420</v>
      </c>
      <c r="E178" s="430">
        <f>VLOOKUP(B178,正厂竞争者数据汇总!D:H,4,FALSE)</f>
        <v>0</v>
      </c>
      <c r="F178" s="430">
        <v>64109.9166666667</v>
      </c>
      <c r="G178" s="430">
        <v>30859.5833333333</v>
      </c>
      <c r="H178" s="430">
        <v>27170.3333333334</v>
      </c>
      <c r="I178" s="453">
        <f t="shared" si="1"/>
        <v>1.07747188204637</v>
      </c>
      <c r="J178" s="451">
        <v>0.0835593423945499</v>
      </c>
      <c r="K178" s="451" t="e">
        <v>#VALUE!</v>
      </c>
      <c r="L178" s="451">
        <v>0.0418901910391923</v>
      </c>
      <c r="M178" s="451" t="e">
        <f t="shared" si="2"/>
        <v>#VALUE!</v>
      </c>
      <c r="N178" s="459"/>
      <c r="O178" s="430"/>
      <c r="P178" s="531">
        <f>VLOOKUP(B178,正厂竞争者数据汇总!D:M,6,FALSE)</f>
        <v>0</v>
      </c>
      <c r="Q178" s="429" t="s">
        <v>180</v>
      </c>
      <c r="R178" s="421" t="s">
        <v>180</v>
      </c>
      <c r="S178" s="473">
        <f>VLOOKUP(B178,正厂竞争者数据汇总!$D$2:$CL$243,25,FALSE)</f>
        <v>33968</v>
      </c>
      <c r="T178" s="466"/>
      <c r="U178" s="466"/>
      <c r="V178" s="421"/>
      <c r="W178" s="421"/>
    </row>
    <row r="179" s="408" customFormat="1" hidden="1" spans="1:23">
      <c r="A179" s="428" t="s">
        <v>230</v>
      </c>
      <c r="B179" s="421" t="s">
        <v>356</v>
      </c>
      <c r="C179" s="429" t="s">
        <v>233</v>
      </c>
      <c r="D179" s="421" t="s">
        <v>414</v>
      </c>
      <c r="E179" s="430">
        <f>VLOOKUP(B178,正厂竞争者数据汇总!D:H,4,FALSE)</f>
        <v>0</v>
      </c>
      <c r="F179" s="430">
        <v>29497.6666666667</v>
      </c>
      <c r="G179" s="430">
        <v>127</v>
      </c>
      <c r="H179" s="430">
        <v>27910.6666666667</v>
      </c>
      <c r="I179" s="453">
        <f t="shared" si="1"/>
        <v>231.265091863517</v>
      </c>
      <c r="J179" s="451">
        <v>0.0384465579897073</v>
      </c>
      <c r="K179" s="451" t="e">
        <v>#VALUE!</v>
      </c>
      <c r="L179" s="451">
        <v>0.0605385813059928</v>
      </c>
      <c r="M179" s="451" t="e">
        <f t="shared" si="2"/>
        <v>#VALUE!</v>
      </c>
      <c r="N179" s="459"/>
      <c r="O179" s="430"/>
      <c r="P179" s="531">
        <f>VLOOKUP(B179,正厂竞争者数据汇总!D:M,6,FALSE)</f>
        <v>0</v>
      </c>
      <c r="Q179" s="429" t="s">
        <v>180</v>
      </c>
      <c r="R179" s="421" t="s">
        <v>180</v>
      </c>
      <c r="S179" s="473">
        <f>VLOOKUP(B179,正厂竞争者数据汇总!$D$2:$CL$243,25,FALSE)</f>
        <v>19078</v>
      </c>
      <c r="T179" s="466"/>
      <c r="U179" s="466"/>
      <c r="V179" s="421"/>
      <c r="W179" s="421"/>
    </row>
    <row r="180" s="408" customFormat="1" hidden="1" spans="1:23">
      <c r="A180" s="428" t="s">
        <v>468</v>
      </c>
      <c r="B180" s="431" t="s">
        <v>469</v>
      </c>
      <c r="C180" s="429" t="s">
        <v>233</v>
      </c>
      <c r="D180" s="421" t="s">
        <v>49</v>
      </c>
      <c r="E180" s="430" t="e">
        <f>VLOOKUP(B180,正厂竞争者数据汇总!D:H,4,FALSE)</f>
        <v>#N/A</v>
      </c>
      <c r="F180" s="430">
        <v>0</v>
      </c>
      <c r="G180" s="430"/>
      <c r="H180" s="430">
        <v>89.5833333333335</v>
      </c>
      <c r="I180" s="453"/>
      <c r="J180" s="451">
        <v>0</v>
      </c>
      <c r="K180" s="451" t="e">
        <v>#VALUE!</v>
      </c>
      <c r="L180" s="451">
        <v>8.55318087030377e-5</v>
      </c>
      <c r="M180" s="451"/>
      <c r="N180" s="459"/>
      <c r="O180" s="430"/>
      <c r="P180" s="531" t="e">
        <f>VLOOKUP(B180,正厂竞争者数据汇总!D:M,6,FALSE)</f>
        <v>#N/A</v>
      </c>
      <c r="Q180" s="429" t="s">
        <v>180</v>
      </c>
      <c r="R180" s="421" t="s">
        <v>180</v>
      </c>
      <c r="S180" s="473" t="e">
        <f>VLOOKUP(B180,正厂竞争者数据汇总!$D$2:$CL$243,25,FALSE)</f>
        <v>#N/A</v>
      </c>
      <c r="T180" s="466"/>
      <c r="U180" s="466"/>
      <c r="V180" s="421"/>
      <c r="W180" s="421"/>
    </row>
    <row r="181" s="410" customFormat="1" hidden="1" spans="1:23">
      <c r="A181" s="432"/>
      <c r="B181" s="433"/>
      <c r="C181" s="434"/>
      <c r="D181" s="421"/>
      <c r="E181" s="436"/>
      <c r="F181" s="436"/>
      <c r="G181" s="436">
        <v>749876.416666666</v>
      </c>
      <c r="H181" s="436"/>
      <c r="I181" s="453"/>
      <c r="J181" s="457"/>
      <c r="K181" s="457"/>
      <c r="L181" s="457"/>
      <c r="M181" s="451"/>
      <c r="N181" s="455"/>
      <c r="O181" s="436"/>
      <c r="P181" s="531"/>
      <c r="Q181" s="434"/>
      <c r="R181" s="435"/>
      <c r="S181" s="473"/>
      <c r="T181" s="466"/>
      <c r="U181" s="466"/>
      <c r="V181" s="435"/>
      <c r="W181" s="435"/>
    </row>
    <row r="182" s="408" customFormat="1" hidden="1" spans="1:23">
      <c r="A182" s="428"/>
      <c r="B182" s="421"/>
      <c r="C182" s="439"/>
      <c r="D182" s="421"/>
      <c r="E182" s="430"/>
      <c r="F182" s="430">
        <v>767238.166666667</v>
      </c>
      <c r="G182" s="430"/>
      <c r="H182" s="430">
        <v>829193.583333334</v>
      </c>
      <c r="I182" s="453" t="e">
        <f t="shared" ref="I182:I188" si="3">(F182/G182)-1</f>
        <v>#DIV/0!</v>
      </c>
      <c r="J182" s="430"/>
      <c r="K182" s="430"/>
      <c r="L182" s="430"/>
      <c r="M182" s="451"/>
      <c r="N182" s="459"/>
      <c r="O182" s="430"/>
      <c r="P182" s="531"/>
      <c r="Q182" s="429"/>
      <c r="R182" s="421"/>
      <c r="S182" s="473"/>
      <c r="T182" s="466"/>
      <c r="U182" s="466"/>
      <c r="V182" s="421"/>
      <c r="W182" s="421"/>
    </row>
    <row r="183" s="408" customFormat="1" spans="1:23">
      <c r="A183" s="428"/>
      <c r="B183" s="421"/>
      <c r="C183" s="439"/>
      <c r="D183" s="421"/>
      <c r="E183" s="430"/>
      <c r="F183" s="430"/>
      <c r="G183" s="430"/>
      <c r="H183" s="430"/>
      <c r="I183" s="453"/>
      <c r="J183" s="430"/>
      <c r="K183" s="430"/>
      <c r="L183" s="430"/>
      <c r="M183" s="451"/>
      <c r="N183" s="459"/>
      <c r="O183" s="430"/>
      <c r="P183" s="531"/>
      <c r="Q183" s="429"/>
      <c r="R183" s="421"/>
      <c r="S183" s="473"/>
      <c r="T183" s="466"/>
      <c r="U183" s="466"/>
      <c r="V183" s="421"/>
      <c r="W183" s="421"/>
    </row>
    <row r="184" s="408" customFormat="1" ht="17.4" spans="1:23">
      <c r="A184" s="418" t="s">
        <v>185</v>
      </c>
      <c r="B184" s="419"/>
      <c r="C184" s="420"/>
      <c r="D184" s="421"/>
      <c r="E184" s="422" t="s">
        <v>202</v>
      </c>
      <c r="F184" s="422"/>
      <c r="G184" s="422" t="s">
        <v>213</v>
      </c>
      <c r="H184" s="422"/>
      <c r="I184" s="422"/>
      <c r="J184" s="422"/>
      <c r="K184" s="422"/>
      <c r="L184" s="422"/>
      <c r="M184" s="443"/>
      <c r="N184" s="444"/>
      <c r="O184" s="422"/>
      <c r="P184" s="531"/>
      <c r="Q184" s="465"/>
      <c r="R184" s="424"/>
      <c r="S184" s="473"/>
      <c r="T184" s="467"/>
      <c r="U184" s="467"/>
      <c r="V184" s="467"/>
      <c r="W184" s="467"/>
    </row>
    <row r="185" s="409" customFormat="1" ht="46.8" hidden="1" spans="1:23">
      <c r="A185" s="423" t="s">
        <v>206</v>
      </c>
      <c r="B185" s="424" t="s">
        <v>207</v>
      </c>
      <c r="C185" s="425" t="s">
        <v>447</v>
      </c>
      <c r="D185" s="424" t="s">
        <v>209</v>
      </c>
      <c r="E185" s="426" t="s">
        <v>210</v>
      </c>
      <c r="F185" s="427" t="s">
        <v>489</v>
      </c>
      <c r="G185" s="427">
        <v>83649.6666666667</v>
      </c>
      <c r="H185" s="427" t="s">
        <v>396</v>
      </c>
      <c r="I185" s="427" t="s">
        <v>386</v>
      </c>
      <c r="J185" s="446" t="s">
        <v>479</v>
      </c>
      <c r="K185" s="446" t="s">
        <v>215</v>
      </c>
      <c r="L185" s="446" t="s">
        <v>216</v>
      </c>
      <c r="M185" s="447" t="s">
        <v>436</v>
      </c>
      <c r="N185" s="448" t="s">
        <v>219</v>
      </c>
      <c r="O185" s="449" t="s">
        <v>220</v>
      </c>
      <c r="P185" s="530" t="s">
        <v>221</v>
      </c>
      <c r="Q185" s="469" t="s">
        <v>222</v>
      </c>
      <c r="R185" s="426" t="s">
        <v>223</v>
      </c>
      <c r="S185" s="470" t="s">
        <v>224</v>
      </c>
      <c r="T185" s="467" t="s">
        <v>225</v>
      </c>
      <c r="U185" s="470" t="s">
        <v>226</v>
      </c>
      <c r="V185" s="467"/>
      <c r="W185" s="467"/>
    </row>
    <row r="186" s="408" customFormat="1" hidden="1" spans="1:23">
      <c r="A186" s="497" t="s">
        <v>243</v>
      </c>
      <c r="B186" s="438" t="s">
        <v>331</v>
      </c>
      <c r="C186" s="429" t="s">
        <v>441</v>
      </c>
      <c r="D186" s="421" t="s">
        <v>420</v>
      </c>
      <c r="E186" s="430" t="str">
        <f>VLOOKUP(B185,正厂竞争者数据汇总!D:H,4,FALSE)</f>
        <v>Alexa Traffic Rank</v>
      </c>
      <c r="F186" s="430">
        <v>119396</v>
      </c>
      <c r="G186" s="430">
        <v>148204.583333333</v>
      </c>
      <c r="H186" s="430">
        <v>93790.0833333333</v>
      </c>
      <c r="I186" s="453">
        <f t="shared" si="3"/>
        <v>-0.194383889387135</v>
      </c>
      <c r="J186" s="451">
        <v>0.216348183659306</v>
      </c>
      <c r="K186" s="451">
        <v>0.212413787536225</v>
      </c>
      <c r="L186" s="451">
        <v>0.214952422347435</v>
      </c>
      <c r="M186" s="451">
        <f t="shared" ref="M186:M188" si="4">J186-K187</f>
        <v>-0.208282857733233</v>
      </c>
      <c r="N186" s="459"/>
      <c r="O186" s="430"/>
      <c r="P186" s="531">
        <f>VLOOKUP(B186,正厂竞争者数据汇总!D:M,6,FALSE)</f>
        <v>0</v>
      </c>
      <c r="Q186" s="429" t="s">
        <v>180</v>
      </c>
      <c r="R186" s="421" t="s">
        <v>180</v>
      </c>
      <c r="S186" s="473">
        <f>VLOOKUP(B186,正厂竞争者数据汇总!$D$2:$CL$243,25,FALSE)</f>
        <v>67302</v>
      </c>
      <c r="T186" s="466"/>
      <c r="U186" s="466"/>
      <c r="V186" s="421"/>
      <c r="W186" s="421"/>
    </row>
    <row r="187" s="408" customFormat="1" hidden="1" spans="1:23">
      <c r="A187" s="428" t="s">
        <v>230</v>
      </c>
      <c r="B187" s="431" t="s">
        <v>330</v>
      </c>
      <c r="C187" s="429" t="s">
        <v>233</v>
      </c>
      <c r="D187" s="421" t="s">
        <v>59</v>
      </c>
      <c r="E187" s="430">
        <f>VLOOKUP(B187,正厂竞争者数据汇总!D:H,4,FALSE)</f>
        <v>0</v>
      </c>
      <c r="F187" s="430">
        <v>237475.583333333</v>
      </c>
      <c r="G187" s="430">
        <v>32696.5833333333</v>
      </c>
      <c r="H187" s="430">
        <v>153405.25</v>
      </c>
      <c r="I187" s="453">
        <f t="shared" si="3"/>
        <v>6.26300913194294</v>
      </c>
      <c r="J187" s="451">
        <v>0.430310991302898</v>
      </c>
      <c r="K187" s="451">
        <v>0.424631041392539</v>
      </c>
      <c r="L187" s="451">
        <v>0.400868943470184</v>
      </c>
      <c r="M187" s="451">
        <f t="shared" si="4"/>
        <v>0.387881915743926</v>
      </c>
      <c r="N187" s="459"/>
      <c r="O187" s="430"/>
      <c r="P187" s="531">
        <f>VLOOKUP(B187,正厂竞争者数据汇总!D:M,6,FALSE)</f>
        <v>0</v>
      </c>
      <c r="Q187" s="429" t="s">
        <v>180</v>
      </c>
      <c r="R187" s="421" t="s">
        <v>180</v>
      </c>
      <c r="S187" s="473">
        <f>VLOOKUP(B187,正厂竞争者数据汇总!$D$2:$CL$243,25,FALSE)</f>
        <v>138509</v>
      </c>
      <c r="T187" s="466"/>
      <c r="U187" s="466"/>
      <c r="V187" s="421"/>
      <c r="W187" s="421"/>
    </row>
    <row r="188" s="408" customFormat="1" hidden="1" spans="1:23">
      <c r="A188" s="428"/>
      <c r="B188" s="430" t="s">
        <v>340</v>
      </c>
      <c r="C188" s="429" t="s">
        <v>233</v>
      </c>
      <c r="D188" s="421" t="s">
        <v>417</v>
      </c>
      <c r="E188" s="430">
        <f>VLOOKUP(B188,正厂竞争者数据汇总!D:H,4,FALSE)</f>
        <v>0</v>
      </c>
      <c r="F188" s="430">
        <v>22589.75</v>
      </c>
      <c r="G188" s="430">
        <v>46040.75</v>
      </c>
      <c r="H188" s="430">
        <v>64506.0833333334</v>
      </c>
      <c r="I188" s="453">
        <f t="shared" si="3"/>
        <v>-0.509353127392582</v>
      </c>
      <c r="J188" s="451">
        <v>0.0409331249105314</v>
      </c>
      <c r="K188" s="451">
        <v>0.0424290755589722</v>
      </c>
      <c r="L188" s="451">
        <v>0.0427298719595575</v>
      </c>
      <c r="M188" s="451">
        <f t="shared" si="4"/>
        <v>0.0409331249105314</v>
      </c>
      <c r="N188" s="459"/>
      <c r="O188" s="430"/>
      <c r="P188" s="531">
        <f>VLOOKUP(B188,正厂竞争者数据汇总!D:M,6,FALSE)</f>
        <v>0</v>
      </c>
      <c r="Q188" s="429" t="s">
        <v>180</v>
      </c>
      <c r="R188" s="421" t="s">
        <v>180</v>
      </c>
      <c r="S188" s="473">
        <f>VLOOKUP(B188,正厂竞争者数据汇总!$D$2:$CL$243,25,FALSE)</f>
        <v>10925</v>
      </c>
      <c r="T188" s="466"/>
      <c r="U188" s="466"/>
      <c r="V188" s="421"/>
      <c r="W188" s="421"/>
    </row>
    <row r="189" s="408" customFormat="1" hidden="1" spans="1:23">
      <c r="A189" s="428"/>
      <c r="B189" s="498" t="s">
        <v>337</v>
      </c>
      <c r="C189" s="429" t="s">
        <v>470</v>
      </c>
      <c r="D189" s="421" t="s">
        <v>412</v>
      </c>
      <c r="E189" s="430">
        <f>VLOOKUP(B189,正厂竞争者数据汇总!D:H,4,FALSE)</f>
        <v>0</v>
      </c>
      <c r="F189" s="430">
        <v>71488.5833333333</v>
      </c>
      <c r="G189" s="430">
        <v>106936.916666667</v>
      </c>
      <c r="H189" s="430">
        <v>49980.9166666666</v>
      </c>
      <c r="I189" s="453"/>
      <c r="J189" s="451"/>
      <c r="K189" s="451"/>
      <c r="L189" s="451"/>
      <c r="M189" s="451"/>
      <c r="N189" s="459"/>
      <c r="O189" s="430"/>
      <c r="P189" s="531" t="str">
        <f>VLOOKUP(B189,正厂竞争者数据汇总!D:M,6,FALSE)</f>
        <v>主营Acc</v>
      </c>
      <c r="Q189" s="429" t="s">
        <v>180</v>
      </c>
      <c r="R189" s="421" t="s">
        <v>180</v>
      </c>
      <c r="S189" s="473">
        <f>VLOOKUP(B189,正厂竞争者数据汇总!$D$2:$CL$243,25,FALSE)</f>
        <v>41304</v>
      </c>
      <c r="T189" s="466"/>
      <c r="U189" s="466"/>
      <c r="V189" s="421"/>
      <c r="W189" s="421"/>
    </row>
    <row r="190" s="408" customFormat="1" hidden="1" spans="1:23">
      <c r="A190" s="428" t="s">
        <v>446</v>
      </c>
      <c r="B190" s="499" t="s">
        <v>334</v>
      </c>
      <c r="C190" s="429" t="s">
        <v>233</v>
      </c>
      <c r="D190" s="421" t="s">
        <v>50</v>
      </c>
      <c r="E190" s="430">
        <f>VLOOKUP(B190,正厂竞争者数据汇总!D:H,4,FALSE)</f>
        <v>0</v>
      </c>
      <c r="F190" s="430">
        <v>100919.75</v>
      </c>
      <c r="G190" s="430"/>
      <c r="H190" s="430">
        <v>122970.25</v>
      </c>
      <c r="I190" s="453" t="e">
        <f>(F190/G190)-1</f>
        <v>#DIV/0!</v>
      </c>
      <c r="J190" s="451">
        <v>0.182868811416222</v>
      </c>
      <c r="K190" s="451">
        <v>0.202494580576014</v>
      </c>
      <c r="L190" s="451">
        <v>0.24216932583705</v>
      </c>
      <c r="M190" s="451">
        <f>J190-K191</f>
        <v>0.182868811416222</v>
      </c>
      <c r="N190" s="459"/>
      <c r="O190" s="430"/>
      <c r="P190" s="531">
        <f>VLOOKUP(B190,正厂竞争者数据汇总!D:M,6,FALSE)</f>
        <v>0</v>
      </c>
      <c r="Q190" s="429" t="s">
        <v>180</v>
      </c>
      <c r="R190" s="421" t="s">
        <v>180</v>
      </c>
      <c r="S190" s="473">
        <f>VLOOKUP(B190,正厂竞争者数据汇总!$D$2:$CL$243,25,FALSE)</f>
        <v>121043</v>
      </c>
      <c r="T190" s="466"/>
      <c r="U190" s="466"/>
      <c r="V190" s="421"/>
      <c r="W190" s="421"/>
    </row>
    <row r="191" s="410" customFormat="1" hidden="1" spans="1:23">
      <c r="A191" s="432"/>
      <c r="B191" s="433"/>
      <c r="C191" s="434"/>
      <c r="D191" s="421"/>
      <c r="E191" s="436"/>
      <c r="F191" s="436"/>
      <c r="G191" s="436">
        <v>417528.5</v>
      </c>
      <c r="H191" s="436"/>
      <c r="I191" s="453"/>
      <c r="J191" s="457"/>
      <c r="K191" s="457"/>
      <c r="L191" s="457"/>
      <c r="M191" s="451"/>
      <c r="N191" s="455"/>
      <c r="O191" s="436"/>
      <c r="P191" s="531"/>
      <c r="Q191" s="500"/>
      <c r="R191" s="501"/>
      <c r="S191" s="473"/>
      <c r="T191" s="466"/>
      <c r="U191" s="466"/>
      <c r="V191" s="435"/>
      <c r="W191" s="435"/>
    </row>
    <row r="192" s="408" customFormat="1" hidden="1" spans="1:23">
      <c r="A192" s="428"/>
      <c r="B192" s="421"/>
      <c r="C192" s="439"/>
      <c r="D192" s="421"/>
      <c r="E192" s="430"/>
      <c r="F192" s="430">
        <v>551869.666666666</v>
      </c>
      <c r="G192" s="430"/>
      <c r="H192" s="430">
        <v>484652.583333333</v>
      </c>
      <c r="I192" s="453" t="e">
        <f>(F192/G192)-1</f>
        <v>#DIV/0!</v>
      </c>
      <c r="J192" s="430"/>
      <c r="K192" s="430"/>
      <c r="L192" s="430"/>
      <c r="M192" s="451"/>
      <c r="N192" s="459"/>
      <c r="O192" s="430"/>
      <c r="P192" s="531"/>
      <c r="Q192" s="429"/>
      <c r="R192" s="421"/>
      <c r="S192" s="473"/>
      <c r="T192" s="466"/>
      <c r="U192" s="466"/>
      <c r="V192" s="421"/>
      <c r="W192" s="421"/>
    </row>
    <row r="193" s="408" customFormat="1" spans="1:23">
      <c r="A193" s="423"/>
      <c r="B193" s="421"/>
      <c r="C193" s="425"/>
      <c r="D193" s="421"/>
      <c r="E193" s="430"/>
      <c r="F193" s="430"/>
      <c r="G193" s="430"/>
      <c r="H193" s="430"/>
      <c r="I193" s="453"/>
      <c r="J193" s="430"/>
      <c r="K193" s="430"/>
      <c r="L193" s="430"/>
      <c r="M193" s="451"/>
      <c r="N193" s="459"/>
      <c r="O193" s="430"/>
      <c r="P193" s="531"/>
      <c r="Q193" s="429"/>
      <c r="R193" s="421"/>
      <c r="S193" s="473"/>
      <c r="T193" s="466"/>
      <c r="U193" s="466"/>
      <c r="V193" s="421"/>
      <c r="W193" s="421"/>
    </row>
    <row r="194" s="408" customFormat="1" ht="17.4" spans="1:23">
      <c r="A194" s="418" t="s">
        <v>195</v>
      </c>
      <c r="B194" s="419"/>
      <c r="C194" s="420"/>
      <c r="D194" s="421"/>
      <c r="E194" s="422" t="s">
        <v>202</v>
      </c>
      <c r="F194" s="422"/>
      <c r="G194" s="422" t="s">
        <v>213</v>
      </c>
      <c r="H194" s="422"/>
      <c r="I194" s="422"/>
      <c r="J194" s="422"/>
      <c r="K194" s="422"/>
      <c r="L194" s="422"/>
      <c r="M194" s="443"/>
      <c r="N194" s="444"/>
      <c r="O194" s="422"/>
      <c r="P194" s="531"/>
      <c r="Q194" s="465"/>
      <c r="R194" s="424"/>
      <c r="S194" s="473"/>
      <c r="T194" s="467"/>
      <c r="U194" s="467"/>
      <c r="V194" s="467"/>
      <c r="W194" s="467"/>
    </row>
    <row r="195" s="409" customFormat="1" ht="46.8" hidden="1" spans="1:23">
      <c r="A195" s="423" t="s">
        <v>206</v>
      </c>
      <c r="B195" s="424" t="s">
        <v>207</v>
      </c>
      <c r="C195" s="425" t="s">
        <v>447</v>
      </c>
      <c r="D195" s="424" t="s">
        <v>209</v>
      </c>
      <c r="E195" s="426" t="s">
        <v>210</v>
      </c>
      <c r="F195" s="427" t="s">
        <v>489</v>
      </c>
      <c r="G195" s="427">
        <v>83178</v>
      </c>
      <c r="H195" s="427" t="s">
        <v>396</v>
      </c>
      <c r="I195" s="427" t="s">
        <v>386</v>
      </c>
      <c r="J195" s="446" t="s">
        <v>479</v>
      </c>
      <c r="K195" s="446" t="s">
        <v>215</v>
      </c>
      <c r="L195" s="446" t="s">
        <v>216</v>
      </c>
      <c r="M195" s="447" t="s">
        <v>436</v>
      </c>
      <c r="N195" s="448" t="s">
        <v>219</v>
      </c>
      <c r="O195" s="449" t="s">
        <v>220</v>
      </c>
      <c r="P195" s="530" t="s">
        <v>221</v>
      </c>
      <c r="Q195" s="469" t="s">
        <v>222</v>
      </c>
      <c r="R195" s="426" t="s">
        <v>223</v>
      </c>
      <c r="S195" s="470" t="s">
        <v>224</v>
      </c>
      <c r="T195" s="467" t="s">
        <v>225</v>
      </c>
      <c r="U195" s="470" t="s">
        <v>226</v>
      </c>
      <c r="V195" s="467"/>
      <c r="W195" s="467"/>
    </row>
    <row r="196" s="408" customFormat="1" hidden="1" spans="1:23">
      <c r="A196" s="428" t="s">
        <v>230</v>
      </c>
      <c r="B196" s="421" t="s">
        <v>378</v>
      </c>
      <c r="C196" s="429" t="s">
        <v>233</v>
      </c>
      <c r="D196" s="421" t="s">
        <v>266</v>
      </c>
      <c r="E196" s="430" t="str">
        <f>VLOOKUP(B195,正厂竞争者数据汇总!D:H,4,FALSE)</f>
        <v>Alexa Traffic Rank</v>
      </c>
      <c r="F196" s="430">
        <v>103633.333333333</v>
      </c>
      <c r="G196" s="430">
        <v>0</v>
      </c>
      <c r="H196" s="430">
        <v>88546.8333333332</v>
      </c>
      <c r="I196" s="453" t="e">
        <f>(F196/G196)-1</f>
        <v>#DIV/0!</v>
      </c>
      <c r="J196" s="451" t="e">
        <v>#N/A</v>
      </c>
      <c r="K196" s="451" t="e">
        <v>#N/A</v>
      </c>
      <c r="L196" s="451" t="e">
        <v>#N/A</v>
      </c>
      <c r="M196" s="451" t="e">
        <f>J196-K197</f>
        <v>#N/A</v>
      </c>
      <c r="N196" s="459"/>
      <c r="O196" s="430"/>
      <c r="P196" s="531">
        <f>VLOOKUP(B196,正厂竞争者数据汇总!D:M,6,FALSE)</f>
        <v>0</v>
      </c>
      <c r="Q196" s="429" t="s">
        <v>180</v>
      </c>
      <c r="R196" s="421" t="s">
        <v>180</v>
      </c>
      <c r="S196" s="473">
        <f>VLOOKUP(B196,正厂竞争者数据汇总!$D$2:$CL$243,25,FALSE)</f>
        <v>83797</v>
      </c>
      <c r="T196" s="466"/>
      <c r="U196" s="466"/>
      <c r="V196" s="421"/>
      <c r="W196" s="421"/>
    </row>
    <row r="197" s="408" customFormat="1" hidden="1" spans="1:23">
      <c r="A197" s="428" t="s">
        <v>446</v>
      </c>
      <c r="B197" s="421" t="s">
        <v>471</v>
      </c>
      <c r="C197" s="429" t="e">
        <v>#N/A</v>
      </c>
      <c r="D197" s="421" t="e">
        <v>#N/A</v>
      </c>
      <c r="E197" s="430" t="e">
        <f>VLOOKUP(B197,正厂竞争者数据汇总!D:H,4,FALSE)</f>
        <v>#N/A</v>
      </c>
      <c r="F197" s="430" t="e">
        <v>#N/A</v>
      </c>
      <c r="G197" s="430">
        <v>0</v>
      </c>
      <c r="H197" s="430">
        <v>0</v>
      </c>
      <c r="I197" s="453"/>
      <c r="J197" s="451"/>
      <c r="K197" s="451"/>
      <c r="L197" s="451"/>
      <c r="M197" s="451"/>
      <c r="N197" s="459"/>
      <c r="O197" s="430"/>
      <c r="P197" s="531" t="e">
        <f>VLOOKUP(B197,正厂竞争者数据汇总!D:M,6,FALSE)</f>
        <v>#N/A</v>
      </c>
      <c r="Q197" s="429" t="s">
        <v>180</v>
      </c>
      <c r="R197" s="421" t="s">
        <v>180</v>
      </c>
      <c r="S197" s="473" t="e">
        <f>VLOOKUP(B197,正厂竞争者数据汇总!$D$2:$CL$243,25,FALSE)</f>
        <v>#N/A</v>
      </c>
      <c r="T197" s="466"/>
      <c r="U197" s="466"/>
      <c r="V197" s="421"/>
      <c r="W197" s="421"/>
    </row>
    <row r="198" s="408" customFormat="1" hidden="1" spans="1:23">
      <c r="A198" s="428" t="s">
        <v>446</v>
      </c>
      <c r="B198" s="421" t="s">
        <v>472</v>
      </c>
      <c r="C198" s="429" t="e">
        <v>#N/A</v>
      </c>
      <c r="D198" s="421" t="e">
        <v>#N/A</v>
      </c>
      <c r="E198" s="430" t="e">
        <f>VLOOKUP(B198,正厂竞争者数据汇总!D:H,4,FALSE)</f>
        <v>#N/A</v>
      </c>
      <c r="F198" s="430" t="e">
        <v>#N/A</v>
      </c>
      <c r="G198" s="430">
        <v>83178</v>
      </c>
      <c r="H198" s="430">
        <v>0</v>
      </c>
      <c r="I198" s="453"/>
      <c r="J198" s="451"/>
      <c r="K198" s="451"/>
      <c r="L198" s="451"/>
      <c r="M198" s="451"/>
      <c r="N198" s="459"/>
      <c r="O198" s="430"/>
      <c r="P198" s="531" t="e">
        <f>VLOOKUP(B198,正厂竞争者数据汇总!D:M,6,FALSE)</f>
        <v>#N/A</v>
      </c>
      <c r="Q198" s="429" t="s">
        <v>180</v>
      </c>
      <c r="R198" s="421" t="s">
        <v>180</v>
      </c>
      <c r="S198" s="473" t="e">
        <f>VLOOKUP(B198,正厂竞争者数据汇总!$D$2:$CL$243,25,FALSE)</f>
        <v>#N/A</v>
      </c>
      <c r="T198" s="466"/>
      <c r="U198" s="466"/>
      <c r="V198" s="421"/>
      <c r="W198" s="421"/>
    </row>
    <row r="199" s="408" customFormat="1" hidden="1" spans="1:23">
      <c r="A199" s="428"/>
      <c r="B199" s="421"/>
      <c r="C199" s="439"/>
      <c r="D199" s="421"/>
      <c r="E199" s="430"/>
      <c r="F199" s="430" t="e">
        <v>#N/A</v>
      </c>
      <c r="G199" s="430"/>
      <c r="H199" s="430">
        <v>88546.8333333332</v>
      </c>
      <c r="I199" s="453" t="e">
        <f t="shared" ref="I199:I206" si="5">(F199/G199)-1</f>
        <v>#N/A</v>
      </c>
      <c r="J199" s="430"/>
      <c r="K199" s="430"/>
      <c r="L199" s="430"/>
      <c r="M199" s="451"/>
      <c r="N199" s="459"/>
      <c r="O199" s="430"/>
      <c r="P199" s="531"/>
      <c r="Q199" s="429"/>
      <c r="R199" s="421"/>
      <c r="S199" s="473"/>
      <c r="T199" s="466"/>
      <c r="U199" s="466"/>
      <c r="V199" s="421"/>
      <c r="W199" s="421"/>
    </row>
    <row r="200" s="408" customFormat="1" spans="1:23">
      <c r="A200" s="423"/>
      <c r="B200" s="421"/>
      <c r="C200" s="425"/>
      <c r="D200" s="421"/>
      <c r="E200" s="430"/>
      <c r="F200" s="430"/>
      <c r="G200" s="430"/>
      <c r="H200" s="430"/>
      <c r="I200" s="453"/>
      <c r="J200" s="430"/>
      <c r="K200" s="430"/>
      <c r="L200" s="430"/>
      <c r="M200" s="451"/>
      <c r="N200" s="459"/>
      <c r="O200" s="430"/>
      <c r="P200" s="531"/>
      <c r="Q200" s="429"/>
      <c r="R200" s="421"/>
      <c r="S200" s="473"/>
      <c r="T200" s="466"/>
      <c r="U200" s="466"/>
      <c r="V200" s="421"/>
      <c r="W200" s="421"/>
    </row>
    <row r="201" s="408" customFormat="1" ht="17.4" spans="1:23">
      <c r="A201" s="418" t="s">
        <v>187</v>
      </c>
      <c r="B201" s="419"/>
      <c r="C201" s="420"/>
      <c r="D201" s="421"/>
      <c r="E201" s="422" t="s">
        <v>202</v>
      </c>
      <c r="F201" s="422"/>
      <c r="G201" s="422" t="s">
        <v>213</v>
      </c>
      <c r="H201" s="422"/>
      <c r="I201" s="422"/>
      <c r="J201" s="422"/>
      <c r="K201" s="422"/>
      <c r="L201" s="422"/>
      <c r="M201" s="443"/>
      <c r="N201" s="422"/>
      <c r="O201" s="422"/>
      <c r="P201" s="531"/>
      <c r="Q201" s="465"/>
      <c r="R201" s="424"/>
      <c r="S201" s="473"/>
      <c r="T201" s="467"/>
      <c r="U201" s="467"/>
      <c r="V201" s="467"/>
      <c r="W201" s="467"/>
    </row>
    <row r="202" s="409" customFormat="1" ht="46.8" hidden="1" spans="1:23">
      <c r="A202" s="423" t="s">
        <v>206</v>
      </c>
      <c r="B202" s="424" t="s">
        <v>207</v>
      </c>
      <c r="C202" s="425" t="s">
        <v>447</v>
      </c>
      <c r="D202" s="424" t="s">
        <v>209</v>
      </c>
      <c r="E202" s="426" t="s">
        <v>210</v>
      </c>
      <c r="F202" s="427" t="s">
        <v>489</v>
      </c>
      <c r="G202" s="427">
        <v>66202.5</v>
      </c>
      <c r="H202" s="427" t="s">
        <v>396</v>
      </c>
      <c r="I202" s="427" t="s">
        <v>386</v>
      </c>
      <c r="J202" s="446" t="s">
        <v>479</v>
      </c>
      <c r="K202" s="446" t="s">
        <v>215</v>
      </c>
      <c r="L202" s="446" t="s">
        <v>216</v>
      </c>
      <c r="M202" s="447" t="s">
        <v>436</v>
      </c>
      <c r="N202" s="448" t="s">
        <v>219</v>
      </c>
      <c r="O202" s="449" t="s">
        <v>220</v>
      </c>
      <c r="P202" s="530" t="s">
        <v>221</v>
      </c>
      <c r="Q202" s="469" t="s">
        <v>222</v>
      </c>
      <c r="R202" s="426" t="s">
        <v>223</v>
      </c>
      <c r="S202" s="470" t="s">
        <v>224</v>
      </c>
      <c r="T202" s="467" t="s">
        <v>225</v>
      </c>
      <c r="U202" s="470" t="s">
        <v>226</v>
      </c>
      <c r="V202" s="467"/>
      <c r="W202" s="467"/>
    </row>
    <row r="203" s="408" customFormat="1" hidden="1" spans="1:23">
      <c r="A203" s="428" t="s">
        <v>230</v>
      </c>
      <c r="B203" s="438" t="s">
        <v>341</v>
      </c>
      <c r="C203" s="429" t="s">
        <v>233</v>
      </c>
      <c r="D203" s="421" t="s">
        <v>422</v>
      </c>
      <c r="E203" s="430">
        <f>VLOOKUP(B203,正厂竞争者数据汇总!D:H,4,FALSE)</f>
        <v>0</v>
      </c>
      <c r="F203" s="430">
        <v>54203.9166666667</v>
      </c>
      <c r="G203" s="430">
        <v>1355.75</v>
      </c>
      <c r="H203" s="430">
        <v>65360.75</v>
      </c>
      <c r="I203" s="453">
        <f t="shared" si="5"/>
        <v>38.9807609564202</v>
      </c>
      <c r="J203" s="451">
        <v>0.611540775840996</v>
      </c>
      <c r="K203" s="451">
        <v>0.592452753138872</v>
      </c>
      <c r="L203" s="451">
        <v>0.593062104057627</v>
      </c>
      <c r="M203" s="451">
        <f t="shared" ref="M203:M206" si="6">J203-K204</f>
        <v>0.610234011121602</v>
      </c>
      <c r="N203" s="459"/>
      <c r="O203" s="430"/>
      <c r="P203" s="531">
        <f>VLOOKUP(B203,正厂竞争者数据汇总!D:M,6,FALSE)</f>
        <v>0</v>
      </c>
      <c r="Q203" s="429" t="s">
        <v>180</v>
      </c>
      <c r="R203" s="421" t="s">
        <v>180</v>
      </c>
      <c r="S203" s="473">
        <f>VLOOKUP(B203,正厂竞争者数据汇总!$D$2:$CL$243,25,FALSE)</f>
        <v>44201</v>
      </c>
      <c r="T203" s="466"/>
      <c r="U203" s="466"/>
      <c r="V203" s="421"/>
      <c r="W203" s="421"/>
    </row>
    <row r="204" s="408" customFormat="1" hidden="1" spans="1:23">
      <c r="A204" s="428" t="s">
        <v>230</v>
      </c>
      <c r="B204" s="438" t="s">
        <v>473</v>
      </c>
      <c r="C204" s="429" t="s">
        <v>233</v>
      </c>
      <c r="D204" s="421" t="s">
        <v>420</v>
      </c>
      <c r="E204" s="430" t="e">
        <f>VLOOKUP(B204,正厂竞争者数据汇总!D:H,4,FALSE)</f>
        <v>#N/A</v>
      </c>
      <c r="F204" s="430">
        <v>51.5</v>
      </c>
      <c r="G204" s="430">
        <v>31231.8333333333</v>
      </c>
      <c r="H204" s="430">
        <v>2194.5</v>
      </c>
      <c r="I204" s="453">
        <f t="shared" si="5"/>
        <v>-0.998351041405404</v>
      </c>
      <c r="J204" s="451">
        <v>0.00058103458001918</v>
      </c>
      <c r="K204" s="451">
        <v>0.0013067647193944</v>
      </c>
      <c r="L204" s="451">
        <v>0.00313385503259026</v>
      </c>
      <c r="M204" s="451">
        <f t="shared" si="6"/>
        <v>-0.389711983587074</v>
      </c>
      <c r="N204" s="459"/>
      <c r="O204" s="430"/>
      <c r="P204" s="531" t="e">
        <f>VLOOKUP(B204,正厂竞争者数据汇总!D:M,6,FALSE)</f>
        <v>#N/A</v>
      </c>
      <c r="Q204" s="429" t="s">
        <v>180</v>
      </c>
      <c r="R204" s="421" t="s">
        <v>180</v>
      </c>
      <c r="S204" s="473" t="e">
        <f>VLOOKUP(B204,正厂竞争者数据汇总!$D$2:$CL$243,25,FALSE)</f>
        <v>#N/A</v>
      </c>
      <c r="T204" s="466"/>
      <c r="U204" s="466"/>
      <c r="V204" s="421"/>
      <c r="W204" s="421"/>
    </row>
    <row r="205" s="408" customFormat="1" hidden="1" spans="1:23">
      <c r="A205" s="428" t="s">
        <v>230</v>
      </c>
      <c r="B205" s="482" t="s">
        <v>344</v>
      </c>
      <c r="C205" s="429" t="s">
        <v>233</v>
      </c>
      <c r="D205" s="421" t="s">
        <v>234</v>
      </c>
      <c r="E205" s="430">
        <f>VLOOKUP(B205,正厂竞争者数据汇总!D:H,4,FALSE)</f>
        <v>0</v>
      </c>
      <c r="F205" s="430">
        <v>33075.75</v>
      </c>
      <c r="G205" s="430">
        <v>1336.58333333333</v>
      </c>
      <c r="H205" s="430">
        <v>26757.6666666667</v>
      </c>
      <c r="I205" s="453">
        <f t="shared" si="5"/>
        <v>23.746492923499</v>
      </c>
      <c r="J205" s="451">
        <v>0.373168048739211</v>
      </c>
      <c r="K205" s="451">
        <v>0.390293018167093</v>
      </c>
      <c r="L205" s="451">
        <v>0.386597779520657</v>
      </c>
      <c r="M205" s="451">
        <f t="shared" si="6"/>
        <v>0.35722058476457</v>
      </c>
      <c r="N205" s="459"/>
      <c r="O205" s="430"/>
      <c r="P205" s="531">
        <f>VLOOKUP(B205,正厂竞争者数据汇总!D:M,6,FALSE)</f>
        <v>0</v>
      </c>
      <c r="Q205" s="429" t="s">
        <v>180</v>
      </c>
      <c r="R205" s="421" t="s">
        <v>180</v>
      </c>
      <c r="S205" s="473">
        <f>VLOOKUP(B205,正厂竞争者数据汇总!$D$2:$CL$243,25,FALSE)</f>
        <v>63249</v>
      </c>
      <c r="T205" s="466"/>
      <c r="U205" s="466"/>
      <c r="V205" s="421"/>
      <c r="W205" s="421"/>
    </row>
    <row r="206" s="408" customFormat="1" hidden="1" spans="1:23">
      <c r="A206" s="428" t="s">
        <v>230</v>
      </c>
      <c r="B206" s="438" t="s">
        <v>474</v>
      </c>
      <c r="C206" s="429" t="s">
        <v>233</v>
      </c>
      <c r="D206" s="421" t="s">
        <v>420</v>
      </c>
      <c r="E206" s="430">
        <f>VLOOKUP(B205,正厂竞争者数据汇总!D:H,4,FALSE)</f>
        <v>0</v>
      </c>
      <c r="F206" s="430">
        <v>1303.83333333333</v>
      </c>
      <c r="G206" s="430"/>
      <c r="H206" s="430">
        <v>2547.58333333333</v>
      </c>
      <c r="I206" s="453" t="e">
        <f t="shared" si="5"/>
        <v>#DIV/0!</v>
      </c>
      <c r="J206" s="451">
        <v>0.0147101408397736</v>
      </c>
      <c r="K206" s="451">
        <v>0.0159474639746406</v>
      </c>
      <c r="L206" s="451">
        <v>0.0172062613891262</v>
      </c>
      <c r="M206" s="451">
        <f t="shared" si="6"/>
        <v>0.0147101408397736</v>
      </c>
      <c r="N206" s="459"/>
      <c r="O206" s="430"/>
      <c r="P206" s="531"/>
      <c r="Q206" s="429" t="s">
        <v>180</v>
      </c>
      <c r="R206" s="421" t="s">
        <v>180</v>
      </c>
      <c r="S206" s="473">
        <f>VLOOKUP(B206,正厂竞争者数据汇总!$D$2:$CL$243,25,FALSE)</f>
        <v>10350</v>
      </c>
      <c r="T206" s="466"/>
      <c r="U206" s="466"/>
      <c r="V206" s="421"/>
      <c r="W206" s="421"/>
    </row>
    <row r="207" s="408" customFormat="1" hidden="1" spans="1:23">
      <c r="A207" s="428"/>
      <c r="B207" s="421"/>
      <c r="C207" s="429"/>
      <c r="D207" s="421"/>
      <c r="E207" s="430"/>
      <c r="F207" s="430"/>
      <c r="G207" s="430">
        <v>100126.666666667</v>
      </c>
      <c r="H207" s="430"/>
      <c r="I207" s="453"/>
      <c r="J207" s="451"/>
      <c r="K207" s="451"/>
      <c r="L207" s="451"/>
      <c r="M207" s="451"/>
      <c r="N207" s="459"/>
      <c r="O207" s="430"/>
      <c r="P207" s="531"/>
      <c r="Q207" s="429"/>
      <c r="R207" s="421"/>
      <c r="S207" s="473"/>
      <c r="T207" s="466"/>
      <c r="U207" s="466"/>
      <c r="V207" s="421"/>
      <c r="W207" s="421"/>
    </row>
    <row r="208" s="408" customFormat="1" hidden="1" spans="1:23">
      <c r="A208" s="428"/>
      <c r="B208" s="421"/>
      <c r="C208" s="439"/>
      <c r="D208" s="421"/>
      <c r="E208" s="430"/>
      <c r="F208" s="430">
        <v>88635</v>
      </c>
      <c r="G208" s="430"/>
      <c r="H208" s="430">
        <v>96860.5</v>
      </c>
      <c r="I208" s="453" t="e">
        <f>(F208/G208)-1</f>
        <v>#DIV/0!</v>
      </c>
      <c r="J208" s="430"/>
      <c r="K208" s="430"/>
      <c r="L208" s="430"/>
      <c r="M208" s="451"/>
      <c r="N208" s="459"/>
      <c r="O208" s="430"/>
      <c r="P208" s="531"/>
      <c r="Q208" s="429"/>
      <c r="R208" s="421"/>
      <c r="S208" s="473"/>
      <c r="T208" s="466"/>
      <c r="U208" s="466"/>
      <c r="V208" s="421"/>
      <c r="W208" s="421"/>
    </row>
    <row r="209" s="408" customFormat="1" spans="1:23">
      <c r="A209" s="428"/>
      <c r="B209" s="421"/>
      <c r="C209" s="439"/>
      <c r="D209" s="421"/>
      <c r="E209" s="421"/>
      <c r="F209" s="430"/>
      <c r="G209" s="430"/>
      <c r="H209" s="430"/>
      <c r="I209" s="453"/>
      <c r="J209" s="430"/>
      <c r="K209" s="430"/>
      <c r="L209" s="430"/>
      <c r="M209" s="451"/>
      <c r="N209" s="459"/>
      <c r="O209" s="430"/>
      <c r="P209" s="531"/>
      <c r="Q209" s="429"/>
      <c r="R209" s="421"/>
      <c r="S209" s="473"/>
      <c r="T209" s="466"/>
      <c r="U209" s="466"/>
      <c r="V209" s="421"/>
      <c r="W209" s="421"/>
    </row>
    <row r="210" s="408" customFormat="1" ht="17.4" spans="1:23">
      <c r="A210" s="418" t="s">
        <v>193</v>
      </c>
      <c r="B210" s="419"/>
      <c r="C210" s="420"/>
      <c r="D210" s="421"/>
      <c r="E210" s="422" t="s">
        <v>202</v>
      </c>
      <c r="F210" s="422"/>
      <c r="G210" s="422" t="s">
        <v>213</v>
      </c>
      <c r="H210" s="422"/>
      <c r="I210" s="422"/>
      <c r="J210" s="422"/>
      <c r="K210" s="422"/>
      <c r="L210" s="422"/>
      <c r="M210" s="443"/>
      <c r="N210" s="422"/>
      <c r="O210" s="422"/>
      <c r="P210" s="531"/>
      <c r="Q210" s="465"/>
      <c r="R210" s="424"/>
      <c r="S210" s="473"/>
      <c r="T210" s="467"/>
      <c r="U210" s="467"/>
      <c r="V210" s="467"/>
      <c r="W210" s="467"/>
    </row>
    <row r="211" s="409" customFormat="1" ht="46.8" hidden="1" spans="1:23">
      <c r="A211" s="423" t="s">
        <v>206</v>
      </c>
      <c r="B211" s="424" t="s">
        <v>207</v>
      </c>
      <c r="C211" s="425" t="s">
        <v>447</v>
      </c>
      <c r="D211" s="424" t="s">
        <v>209</v>
      </c>
      <c r="E211" s="426" t="s">
        <v>210</v>
      </c>
      <c r="F211" s="427" t="s">
        <v>489</v>
      </c>
      <c r="G211" s="427">
        <v>251855.833333333</v>
      </c>
      <c r="H211" s="427" t="s">
        <v>396</v>
      </c>
      <c r="I211" s="427" t="s">
        <v>386</v>
      </c>
      <c r="J211" s="446" t="s">
        <v>479</v>
      </c>
      <c r="K211" s="446" t="s">
        <v>215</v>
      </c>
      <c r="L211" s="446" t="s">
        <v>216</v>
      </c>
      <c r="M211" s="447" t="s">
        <v>436</v>
      </c>
      <c r="N211" s="448" t="s">
        <v>219</v>
      </c>
      <c r="O211" s="449" t="s">
        <v>220</v>
      </c>
      <c r="P211" s="530" t="s">
        <v>221</v>
      </c>
      <c r="Q211" s="469" t="s">
        <v>222</v>
      </c>
      <c r="R211" s="426" t="s">
        <v>223</v>
      </c>
      <c r="S211" s="470" t="s">
        <v>224</v>
      </c>
      <c r="T211" s="467" t="s">
        <v>225</v>
      </c>
      <c r="U211" s="470" t="s">
        <v>226</v>
      </c>
      <c r="V211" s="467"/>
      <c r="W211" s="467"/>
    </row>
    <row r="212" s="408" customFormat="1" ht="17.4" hidden="1" spans="1:23">
      <c r="A212" s="428" t="s">
        <v>475</v>
      </c>
      <c r="B212" s="438" t="s">
        <v>476</v>
      </c>
      <c r="C212" s="429" t="s">
        <v>233</v>
      </c>
      <c r="D212" s="421" t="s">
        <v>234</v>
      </c>
      <c r="E212" s="430">
        <f>VLOOKUP(B212,正厂竞争者数据汇总!D:H,4,FALSE)</f>
        <v>81390</v>
      </c>
      <c r="F212" s="430">
        <v>262447.416666667</v>
      </c>
      <c r="G212" s="430">
        <v>38319.6666666667</v>
      </c>
      <c r="H212" s="430">
        <v>273188.083333333</v>
      </c>
      <c r="I212" s="453"/>
      <c r="J212" s="430"/>
      <c r="K212" s="430"/>
      <c r="L212" s="430"/>
      <c r="M212" s="451"/>
      <c r="N212" s="459"/>
      <c r="O212" s="430"/>
      <c r="P212" s="531" t="str">
        <f>VLOOKUP(B212,正厂竞争者数据汇总!D:M,6,FALSE)</f>
        <v>官网</v>
      </c>
      <c r="Q212" s="429" t="s">
        <v>180</v>
      </c>
      <c r="R212" s="421" t="s">
        <v>180</v>
      </c>
      <c r="S212" s="473">
        <f>VLOOKUP(B212,正厂竞争者数据汇总!$D$2:$CL$243,25,FALSE)</f>
        <v>193993</v>
      </c>
      <c r="T212" s="466"/>
      <c r="U212" s="466"/>
      <c r="V212" s="421"/>
      <c r="W212" s="421"/>
    </row>
    <row r="213" s="408" customFormat="1" hidden="1" spans="1:23">
      <c r="A213" s="428" t="s">
        <v>230</v>
      </c>
      <c r="B213" s="421" t="s">
        <v>365</v>
      </c>
      <c r="C213" s="429" t="s">
        <v>233</v>
      </c>
      <c r="D213" s="421" t="s">
        <v>52</v>
      </c>
      <c r="E213" s="430">
        <f>VLOOKUP(B213,正厂竞争者数据汇总!D:H,4,FALSE)</f>
        <v>0</v>
      </c>
      <c r="F213" s="430">
        <v>53704.6666666667</v>
      </c>
      <c r="G213" s="430">
        <v>39781.5833333333</v>
      </c>
      <c r="H213" s="430">
        <v>52163.4166666667</v>
      </c>
      <c r="I213" s="453">
        <f t="shared" ref="I213:I215" si="7">(F213/G213)-1</f>
        <v>0.349988164540126</v>
      </c>
      <c r="J213" s="451">
        <v>0.152870351635303</v>
      </c>
      <c r="K213" s="451">
        <v>0.149821901847865</v>
      </c>
      <c r="L213" s="451">
        <v>0.12051596732495</v>
      </c>
      <c r="M213" s="451">
        <f t="shared" ref="M213:M215" si="8">J213-K214</f>
        <v>0.0694497246203184</v>
      </c>
      <c r="N213" s="459"/>
      <c r="O213" s="430"/>
      <c r="P213" s="531">
        <f>VLOOKUP(B213,正厂竞争者数据汇总!D:M,6,FALSE)</f>
        <v>0</v>
      </c>
      <c r="Q213" s="429" t="s">
        <v>180</v>
      </c>
      <c r="R213" s="421" t="s">
        <v>180</v>
      </c>
      <c r="S213" s="473">
        <f>VLOOKUP(B213,正厂竞争者数据汇总!$D$2:$CL$243,25,FALSE)</f>
        <v>110722</v>
      </c>
      <c r="T213" s="466"/>
      <c r="U213" s="466"/>
      <c r="V213" s="421"/>
      <c r="W213" s="421"/>
    </row>
    <row r="214" s="408" customFormat="1" hidden="1" spans="1:23">
      <c r="A214" s="428" t="s">
        <v>367</v>
      </c>
      <c r="B214" s="438" t="s">
        <v>368</v>
      </c>
      <c r="C214" s="429" t="s">
        <v>233</v>
      </c>
      <c r="D214" s="421" t="s">
        <v>234</v>
      </c>
      <c r="E214" s="430">
        <f>VLOOKUP(B213,正厂竞争者数据汇总!D:H,4,FALSE)</f>
        <v>0</v>
      </c>
      <c r="F214" s="430">
        <v>30686.0833333333</v>
      </c>
      <c r="G214" s="430">
        <v>5272.25</v>
      </c>
      <c r="H214" s="430">
        <v>46192.6666666667</v>
      </c>
      <c r="I214" s="453">
        <f t="shared" si="7"/>
        <v>4.82030126290166</v>
      </c>
      <c r="J214" s="451">
        <v>0.0873479464753564</v>
      </c>
      <c r="K214" s="451">
        <v>0.0834206270149846</v>
      </c>
      <c r="L214" s="451">
        <v>0.0931515212673547</v>
      </c>
      <c r="M214" s="451">
        <f t="shared" si="8"/>
        <v>0.0750523309150643</v>
      </c>
      <c r="N214" s="459"/>
      <c r="O214" s="430"/>
      <c r="P214" s="531">
        <f>VLOOKUP(B214,正厂竞争者数据汇总!D:M,6,FALSE)</f>
        <v>0</v>
      </c>
      <c r="Q214" s="429" t="s">
        <v>180</v>
      </c>
      <c r="R214" s="421" t="s">
        <v>180</v>
      </c>
      <c r="S214" s="473">
        <f>VLOOKUP(B214,正厂竞争者数据汇总!$D$2:$CL$243,25,FALSE)</f>
        <v>52681</v>
      </c>
      <c r="T214" s="466"/>
      <c r="U214" s="466"/>
      <c r="V214" s="421"/>
      <c r="W214" s="421"/>
    </row>
    <row r="215" s="408" customFormat="1" hidden="1" spans="1:23">
      <c r="A215" s="428" t="s">
        <v>230</v>
      </c>
      <c r="B215" s="421" t="s">
        <v>373</v>
      </c>
      <c r="C215" s="429" t="s">
        <v>477</v>
      </c>
      <c r="D215" s="421" t="s">
        <v>250</v>
      </c>
      <c r="E215" s="430">
        <f>VLOOKUP(B215,正厂竞争者数据汇总!D:H,4,FALSE)</f>
        <v>3939</v>
      </c>
      <c r="F215" s="430">
        <v>4470.41666666667</v>
      </c>
      <c r="G215" s="430"/>
      <c r="H215" s="430">
        <v>5718</v>
      </c>
      <c r="I215" s="453" t="e">
        <f t="shared" si="7"/>
        <v>#DIV/0!</v>
      </c>
      <c r="J215" s="451">
        <v>0.0127250425373894</v>
      </c>
      <c r="K215" s="451">
        <v>0.0122956155602921</v>
      </c>
      <c r="L215" s="451">
        <v>0.0128364295954834</v>
      </c>
      <c r="M215" s="451">
        <f t="shared" si="8"/>
        <v>0.0127250425373894</v>
      </c>
      <c r="N215" s="459"/>
      <c r="O215" s="430"/>
      <c r="P215" s="531">
        <f>VLOOKUP(B215,正厂竞争者数据汇总!D:M,6,FALSE)</f>
        <v>0</v>
      </c>
      <c r="Q215" s="429" t="s">
        <v>180</v>
      </c>
      <c r="R215" s="421" t="s">
        <v>180</v>
      </c>
      <c r="S215" s="473">
        <f>VLOOKUP(B215,正厂竞争者数据汇总!$D$2:$CL$243,25,FALSE)</f>
        <v>5939</v>
      </c>
      <c r="T215" s="466"/>
      <c r="U215" s="466"/>
      <c r="V215" s="421"/>
      <c r="W215" s="421"/>
    </row>
    <row r="216" s="410" customFormat="1" hidden="1" spans="1:23">
      <c r="A216" s="432"/>
      <c r="B216" s="435"/>
      <c r="C216" s="429"/>
      <c r="D216" s="421"/>
      <c r="E216" s="430"/>
      <c r="F216" s="436"/>
      <c r="G216" s="436">
        <v>335229.333333333</v>
      </c>
      <c r="H216" s="436"/>
      <c r="I216" s="453"/>
      <c r="J216" s="457"/>
      <c r="K216" s="457"/>
      <c r="L216" s="457"/>
      <c r="M216" s="451"/>
      <c r="N216" s="455"/>
      <c r="O216" s="436"/>
      <c r="P216" s="531"/>
      <c r="Q216" s="434"/>
      <c r="R216" s="435"/>
      <c r="S216" s="473"/>
      <c r="T216" s="466"/>
      <c r="U216" s="466"/>
      <c r="V216" s="435"/>
      <c r="W216" s="435"/>
    </row>
    <row r="217" s="408" customFormat="1" hidden="1" spans="1:23">
      <c r="A217" s="428"/>
      <c r="B217" s="421"/>
      <c r="C217" s="439"/>
      <c r="D217" s="421"/>
      <c r="E217" s="421"/>
      <c r="F217" s="496">
        <v>351308.583333334</v>
      </c>
      <c r="G217" s="496"/>
      <c r="H217" s="496">
        <v>377262.166666666</v>
      </c>
      <c r="I217" s="453" t="e">
        <f>(F217/G217)-1</f>
        <v>#DIV/0!</v>
      </c>
      <c r="J217" s="430"/>
      <c r="K217" s="430"/>
      <c r="L217" s="430"/>
      <c r="M217" s="451"/>
      <c r="N217" s="459"/>
      <c r="O217" s="430"/>
      <c r="P217" s="531"/>
      <c r="Q217" s="429"/>
      <c r="R217" s="421"/>
      <c r="S217" s="473"/>
      <c r="T217" s="466"/>
      <c r="U217" s="466"/>
      <c r="V217" s="421"/>
      <c r="W217" s="421"/>
    </row>
    <row r="218" s="408" customFormat="1" spans="3:21">
      <c r="C218" s="411"/>
      <c r="F218" s="502"/>
      <c r="G218" s="502"/>
      <c r="H218" s="502"/>
      <c r="I218" s="502"/>
      <c r="J218" s="412"/>
      <c r="K218" s="412"/>
      <c r="L218" s="412"/>
      <c r="M218" s="413"/>
      <c r="N218" s="414"/>
      <c r="O218" s="412"/>
      <c r="P218" s="528"/>
      <c r="T218" s="416"/>
      <c r="U218" s="416"/>
    </row>
    <row r="219" s="408" customFormat="1" spans="3:21">
      <c r="C219" s="411"/>
      <c r="E219" s="412"/>
      <c r="F219" s="412"/>
      <c r="G219" s="412"/>
      <c r="H219" s="412"/>
      <c r="I219" s="412"/>
      <c r="J219" s="412"/>
      <c r="K219" s="412"/>
      <c r="L219" s="412"/>
      <c r="M219" s="413"/>
      <c r="N219" s="414"/>
      <c r="O219" s="412"/>
      <c r="T219" s="416"/>
      <c r="U219" s="416"/>
    </row>
    <row r="220" s="408" customFormat="1" spans="3:21">
      <c r="C220" s="411"/>
      <c r="F220" s="412"/>
      <c r="G220" s="412"/>
      <c r="H220" s="412"/>
      <c r="I220" s="412"/>
      <c r="J220" s="412"/>
      <c r="K220" s="412"/>
      <c r="L220" s="412"/>
      <c r="M220" s="413"/>
      <c r="N220" s="414"/>
      <c r="O220" s="412"/>
      <c r="P220" s="528"/>
      <c r="T220" s="416"/>
      <c r="U220" s="416"/>
    </row>
    <row r="221" s="408" customFormat="1" spans="3:21">
      <c r="C221" s="411"/>
      <c r="F221" s="412"/>
      <c r="G221" s="412"/>
      <c r="H221" s="412"/>
      <c r="I221" s="412"/>
      <c r="J221" s="412"/>
      <c r="K221" s="412"/>
      <c r="L221" s="412"/>
      <c r="M221" s="413"/>
      <c r="N221" s="414"/>
      <c r="O221" s="412"/>
      <c r="P221" s="528"/>
      <c r="T221" s="416"/>
      <c r="U221" s="416"/>
    </row>
    <row r="222" s="408" customFormat="1" spans="3:21">
      <c r="C222" s="411"/>
      <c r="F222" s="412"/>
      <c r="G222" s="412"/>
      <c r="H222" s="412"/>
      <c r="I222" s="412"/>
      <c r="J222" s="412"/>
      <c r="K222" s="412"/>
      <c r="L222" s="412"/>
      <c r="M222" s="413"/>
      <c r="N222" s="414"/>
      <c r="O222" s="412"/>
      <c r="P222" s="528"/>
      <c r="T222" s="416"/>
      <c r="U222" s="416"/>
    </row>
    <row r="223" s="408" customFormat="1" spans="3:21">
      <c r="C223" s="411"/>
      <c r="F223" s="412"/>
      <c r="G223" s="412"/>
      <c r="H223" s="412"/>
      <c r="I223" s="412"/>
      <c r="J223" s="412"/>
      <c r="K223" s="412"/>
      <c r="L223" s="412"/>
      <c r="M223" s="413"/>
      <c r="N223" s="414"/>
      <c r="O223" s="412"/>
      <c r="P223" s="528"/>
      <c r="T223" s="416"/>
      <c r="U223" s="416"/>
    </row>
    <row r="224" s="408" customFormat="1" spans="3:21">
      <c r="C224" s="411"/>
      <c r="F224" s="412"/>
      <c r="G224" s="412"/>
      <c r="H224" s="412"/>
      <c r="I224" s="412"/>
      <c r="J224" s="412"/>
      <c r="K224" s="412"/>
      <c r="L224" s="412"/>
      <c r="M224" s="413"/>
      <c r="N224" s="414"/>
      <c r="O224" s="412"/>
      <c r="P224" s="528"/>
      <c r="T224" s="416"/>
      <c r="U224" s="416"/>
    </row>
    <row r="225" s="408" customFormat="1" spans="3:21">
      <c r="C225" s="411"/>
      <c r="F225" s="412"/>
      <c r="G225" s="412"/>
      <c r="H225" s="412"/>
      <c r="I225" s="412"/>
      <c r="J225" s="412"/>
      <c r="K225" s="412"/>
      <c r="L225" s="412"/>
      <c r="M225" s="413"/>
      <c r="N225" s="414"/>
      <c r="O225" s="412"/>
      <c r="P225" s="528"/>
      <c r="T225" s="416"/>
      <c r="U225" s="416"/>
    </row>
    <row r="226" s="408" customFormat="1" spans="3:21">
      <c r="C226" s="411"/>
      <c r="F226" s="412"/>
      <c r="G226" s="412"/>
      <c r="H226" s="412"/>
      <c r="I226" s="412"/>
      <c r="J226" s="412"/>
      <c r="K226" s="412"/>
      <c r="L226" s="412"/>
      <c r="M226" s="413"/>
      <c r="N226" s="414"/>
      <c r="O226" s="412"/>
      <c r="P226" s="528"/>
      <c r="T226" s="416"/>
      <c r="U226" s="416"/>
    </row>
    <row r="227" s="408" customFormat="1" spans="3:21">
      <c r="C227" s="411"/>
      <c r="F227" s="412"/>
      <c r="G227" s="412"/>
      <c r="H227" s="412"/>
      <c r="I227" s="412"/>
      <c r="J227" s="412"/>
      <c r="K227" s="412"/>
      <c r="L227" s="412"/>
      <c r="M227" s="413"/>
      <c r="N227" s="414"/>
      <c r="O227" s="412"/>
      <c r="P227" s="528"/>
      <c r="T227" s="416"/>
      <c r="U227" s="416"/>
    </row>
    <row r="228" s="408" customFormat="1" spans="3:21">
      <c r="C228" s="411"/>
      <c r="F228" s="412"/>
      <c r="G228" s="412"/>
      <c r="H228" s="412"/>
      <c r="I228" s="412"/>
      <c r="J228" s="412"/>
      <c r="K228" s="412"/>
      <c r="L228" s="412"/>
      <c r="M228" s="413"/>
      <c r="N228" s="414"/>
      <c r="O228" s="412"/>
      <c r="P228" s="528"/>
      <c r="T228" s="416"/>
      <c r="U228" s="416"/>
    </row>
    <row r="229" s="408" customFormat="1" spans="3:21">
      <c r="C229" s="411"/>
      <c r="F229" s="412"/>
      <c r="G229" s="412"/>
      <c r="H229" s="412"/>
      <c r="I229" s="412"/>
      <c r="J229" s="412"/>
      <c r="K229" s="412"/>
      <c r="L229" s="412"/>
      <c r="M229" s="413"/>
      <c r="N229" s="414"/>
      <c r="O229" s="412"/>
      <c r="P229" s="528"/>
      <c r="T229" s="416"/>
      <c r="U229" s="416"/>
    </row>
    <row r="230" s="411" customFormat="1" spans="1:23">
      <c r="A230" s="408"/>
      <c r="B230" s="503"/>
      <c r="D230" s="408"/>
      <c r="E230" s="408"/>
      <c r="F230" s="412"/>
      <c r="G230" s="412"/>
      <c r="H230" s="412"/>
      <c r="I230" s="412"/>
      <c r="J230" s="412"/>
      <c r="K230" s="412"/>
      <c r="L230" s="412"/>
      <c r="M230" s="413"/>
      <c r="N230" s="414"/>
      <c r="O230" s="412"/>
      <c r="P230" s="528"/>
      <c r="Q230" s="408"/>
      <c r="R230" s="408"/>
      <c r="S230" s="408"/>
      <c r="T230" s="416"/>
      <c r="U230" s="416"/>
      <c r="V230" s="408"/>
      <c r="W230" s="408"/>
    </row>
  </sheetData>
  <autoFilter ref="C1:C230">
    <extLst/>
  </autoFilter>
  <mergeCells count="19">
    <mergeCell ref="U1:W1"/>
    <mergeCell ref="U14:W14"/>
    <mergeCell ref="U26:W26"/>
    <mergeCell ref="U38:W38"/>
    <mergeCell ref="U51:W51"/>
    <mergeCell ref="U65:W65"/>
    <mergeCell ref="U77:W77"/>
    <mergeCell ref="U87:W87"/>
    <mergeCell ref="U99:W99"/>
    <mergeCell ref="U111:W111"/>
    <mergeCell ref="U126:W126"/>
    <mergeCell ref="U138:W138"/>
    <mergeCell ref="U152:W152"/>
    <mergeCell ref="U165:W165"/>
    <mergeCell ref="U174:W174"/>
    <mergeCell ref="U184:W184"/>
    <mergeCell ref="U194:W194"/>
    <mergeCell ref="U201:W201"/>
    <mergeCell ref="U210:W210"/>
  </mergeCells>
  <conditionalFormatting sqref="I3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{fd699c22-bc41-49ed-a51b-c266aa39bcfe}</x14:id>
        </ext>
      </extLst>
    </cfRule>
  </conditionalFormatting>
  <conditionalFormatting sqref="M3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{56677b9b-31fb-4e40-a2d9-845fba79799a}</x14:id>
        </ext>
      </extLst>
    </cfRule>
  </conditionalFormatting>
  <conditionalFormatting sqref="I4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{a6cf3805-ab6a-4b04-92fa-032ecad1f78d}</x14:id>
        </ext>
      </extLst>
    </cfRule>
  </conditionalFormatting>
  <conditionalFormatting sqref="M4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{f3d68a0e-9405-4b3c-a28a-bb26ac4e7862}</x14:id>
        </ext>
      </extLst>
    </cfRule>
  </conditionalFormatting>
  <conditionalFormatting sqref="I5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{d3dd49fe-84ed-4fb8-898d-f64d79d34e20}</x14:id>
        </ext>
      </extLst>
    </cfRule>
  </conditionalFormatting>
  <conditionalFormatting sqref="M5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{132fb6cf-8850-4b04-9fd2-10865b6ed1c6}</x14:id>
        </ext>
      </extLst>
    </cfRule>
  </conditionalFormatting>
  <conditionalFormatting sqref="I6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{8f43a81b-f463-438f-9c37-52fa66d1307d}</x14:id>
        </ext>
      </extLst>
    </cfRule>
  </conditionalFormatting>
  <conditionalFormatting sqref="M6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{246e219e-2e9f-4ba4-bede-0efff35209af}</x14:id>
        </ext>
      </extLst>
    </cfRule>
  </conditionalFormatting>
  <conditionalFormatting sqref="I7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{9c6841dd-3195-428b-9819-e1863ed5cee8}</x14:id>
        </ext>
      </extLst>
    </cfRule>
  </conditionalFormatting>
  <conditionalFormatting sqref="M7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{9371965a-76ad-4de2-b65a-960442c0fd26}</x14:id>
        </ext>
      </extLst>
    </cfRule>
  </conditionalFormatting>
  <conditionalFormatting sqref="I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{2ace2970-a601-4554-afb3-1fba815ef4e0}</x14:id>
        </ext>
      </extLst>
    </cfRule>
  </conditionalFormatting>
  <conditionalFormatting sqref="M8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{9e69fa69-cfbc-4c63-9916-e2d328e8ef35}</x14:id>
        </ext>
      </extLst>
    </cfRule>
  </conditionalFormatting>
  <conditionalFormatting sqref="I9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{3abf054c-f6e3-4b47-96c2-d5307a3ac50a}</x14:id>
        </ext>
      </extLst>
    </cfRule>
  </conditionalFormatting>
  <conditionalFormatting sqref="M9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{e0dd4fa5-ae7e-49b2-bde3-d95ddaac40d5}</x14:id>
        </ext>
      </extLst>
    </cfRule>
  </conditionalFormatting>
  <conditionalFormatting sqref="I10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{7d6d5e9f-cabe-4815-8e30-5f9306206aa4}</x14:id>
        </ext>
      </extLst>
    </cfRule>
  </conditionalFormatting>
  <conditionalFormatting sqref="M10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{cd89d622-4b66-4b5b-abd4-5be91322c2fb}</x14:id>
        </ext>
      </extLst>
    </cfRule>
  </conditionalFormatting>
  <conditionalFormatting sqref="M11">
    <cfRule type="dataBar" priority="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{a0674a78-d6bb-45ca-a993-bcb861e02554}</x14:id>
        </ext>
      </extLst>
    </cfRule>
  </conditionalFormatting>
  <conditionalFormatting sqref="B16">
    <cfRule type="duplicateValues" dxfId="0" priority="73"/>
  </conditionalFormatting>
  <conditionalFormatting sqref="M16">
    <cfRule type="dataBar" priority="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{acb6d8fd-4a18-485a-9dd5-ba0e702ad3f8}</x14:id>
        </ext>
      </extLst>
    </cfRule>
  </conditionalFormatting>
  <conditionalFormatting sqref="I17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{38f2f033-edc2-4011-af06-ce541738771e}</x14:id>
        </ext>
      </extLst>
    </cfRule>
  </conditionalFormatting>
  <conditionalFormatting sqref="M17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{11464d98-54a2-4261-b91e-4d466c648a9a}</x14:id>
        </ext>
      </extLst>
    </cfRule>
  </conditionalFormatting>
  <conditionalFormatting sqref="I1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{638fbea7-a6ff-43d9-856e-c78390521b7b}</x14:id>
        </ext>
      </extLst>
    </cfRule>
  </conditionalFormatting>
  <conditionalFormatting sqref="M1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{85e26db7-d4d4-4322-babf-952152b1f315}</x14:id>
        </ext>
      </extLst>
    </cfRule>
  </conditionalFormatting>
  <conditionalFormatting sqref="I19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{3863d774-7f84-4eba-ba83-1222ff78ae1a}</x14:id>
        </ext>
      </extLst>
    </cfRule>
  </conditionalFormatting>
  <conditionalFormatting sqref="M19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{3fb15a75-3487-4698-a8f9-632c8931d130}</x14:id>
        </ext>
      </extLst>
    </cfRule>
  </conditionalFormatting>
  <conditionalFormatting sqref="I20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{1823afec-2dfb-41d1-a6f9-1b285de76899}</x14:id>
        </ext>
      </extLst>
    </cfRule>
  </conditionalFormatting>
  <conditionalFormatting sqref="M20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{d0902594-96dd-47ea-9e0c-f2db0a1a8728}</x14:id>
        </ext>
      </extLst>
    </cfRule>
  </conditionalFormatting>
  <conditionalFormatting sqref="I21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{3d90d2ec-cf77-4722-a31f-076c73e02058}</x14:id>
        </ext>
      </extLst>
    </cfRule>
  </conditionalFormatting>
  <conditionalFormatting sqref="M21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{1f324976-c49b-4e1e-8e7a-f80a6a6434df}</x14:id>
        </ext>
      </extLst>
    </cfRule>
  </conditionalFormatting>
  <conditionalFormatting sqref="I22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{5cedcc12-584e-4284-bf46-b4184ed03816}</x14:id>
        </ext>
      </extLst>
    </cfRule>
  </conditionalFormatting>
  <conditionalFormatting sqref="M2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{09dbc0ed-dd1a-4fc8-be5d-08302acf41b5}</x14:id>
        </ext>
      </extLst>
    </cfRule>
  </conditionalFormatting>
  <conditionalFormatting sqref="M28">
    <cfRule type="dataBar" priority="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{b333e9ec-9128-439d-98cc-bb24e0220e94}</x14:id>
        </ext>
      </extLst>
    </cfRule>
  </conditionalFormatting>
  <conditionalFormatting sqref="I29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{1da70ddb-7517-4560-994f-f4a87053c92f}</x14:id>
        </ext>
      </extLst>
    </cfRule>
  </conditionalFormatting>
  <conditionalFormatting sqref="M29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{3ec29a51-11fd-482c-b74b-3f22c3ae2362}</x14:id>
        </ext>
      </extLst>
    </cfRule>
  </conditionalFormatting>
  <conditionalFormatting sqref="I30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{637dac53-bdf0-49dd-8328-f0826d31ae0d}</x14:id>
        </ext>
      </extLst>
    </cfRule>
  </conditionalFormatting>
  <conditionalFormatting sqref="M30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{971c40d0-d754-4929-a041-1526f62a0a9c}</x14:id>
        </ext>
      </extLst>
    </cfRule>
  </conditionalFormatting>
  <conditionalFormatting sqref="I32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{e2163148-de81-46f9-9f5a-6026acff9da4}</x14:id>
        </ext>
      </extLst>
    </cfRule>
  </conditionalFormatting>
  <conditionalFormatting sqref="M32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{e147003d-8e22-4b90-aadb-2d6e93159476}</x14:id>
        </ext>
      </extLst>
    </cfRule>
  </conditionalFormatting>
  <conditionalFormatting sqref="M4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{c2aed982-cf0e-44ef-ad53-6eea61b61cbf}</x14:id>
        </ext>
      </extLst>
    </cfRule>
  </conditionalFormatting>
  <conditionalFormatting sqref="I41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{ceb7a880-ea93-42ba-82a5-ffd0288c4f6b}</x14:id>
        </ext>
      </extLst>
    </cfRule>
  </conditionalFormatting>
  <conditionalFormatting sqref="M41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{a14f18cb-fa60-48ce-9904-80fbb55d81db}</x14:id>
        </ext>
      </extLst>
    </cfRule>
  </conditionalFormatting>
  <conditionalFormatting sqref="I4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{26dbd840-6068-4855-ab5a-1d52be1dcf4a}</x14:id>
        </ext>
      </extLst>
    </cfRule>
  </conditionalFormatting>
  <conditionalFormatting sqref="M4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{9e9c2a63-3741-47e5-a6b3-4d0f891b7769}</x14:id>
        </ext>
      </extLst>
    </cfRule>
  </conditionalFormatting>
  <conditionalFormatting sqref="I43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{57fbfc6f-36f5-45e7-ba45-3e9ed7af6d96}</x14:id>
        </ext>
      </extLst>
    </cfRule>
  </conditionalFormatting>
  <conditionalFormatting sqref="M43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{31951761-1137-4055-b17e-3ef9573d9540}</x14:id>
        </ext>
      </extLst>
    </cfRule>
  </conditionalFormatting>
  <conditionalFormatting sqref="I44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{bbb9ef10-b879-473a-90fa-157af74fb1ee}</x14:id>
        </ext>
      </extLst>
    </cfRule>
  </conditionalFormatting>
  <conditionalFormatting sqref="M44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{be0c878e-6291-4427-b234-827f2b06d345}</x14:id>
        </ext>
      </extLst>
    </cfRule>
  </conditionalFormatting>
  <conditionalFormatting sqref="I45">
    <cfRule type="dataBar" priority="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{d74bfab3-d274-40e3-bdbb-3cb73343dd8d}</x14:id>
        </ext>
      </extLst>
    </cfRule>
  </conditionalFormatting>
  <conditionalFormatting sqref="M45">
    <cfRule type="dataBar" priority="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{c3ee0671-380b-4be6-9f2a-c3fdac072b4f}</x14:id>
        </ext>
      </extLst>
    </cfRule>
  </conditionalFormatting>
  <conditionalFormatting sqref="I46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{e40769d2-12e7-4475-bb0f-fd0d3e645322}</x14:id>
        </ext>
      </extLst>
    </cfRule>
  </conditionalFormatting>
  <conditionalFormatting sqref="M46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{1d806614-67c4-4633-b203-bca338b721d2}</x14:id>
        </ext>
      </extLst>
    </cfRule>
  </conditionalFormatting>
  <conditionalFormatting sqref="I47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{6cf8c3c4-a54c-4a05-814b-6afc7b4f90f3}</x14:id>
        </ext>
      </extLst>
    </cfRule>
  </conditionalFormatting>
  <conditionalFormatting sqref="M47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{33ba2b5b-57dc-4f77-82a4-156d4997a061}</x14:id>
        </ext>
      </extLst>
    </cfRule>
  </conditionalFormatting>
  <conditionalFormatting sqref="M73">
    <cfRule type="dataBar" priority="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{04b8dc51-1de0-4015-920b-77e919cc347e}</x14:id>
        </ext>
      </extLst>
    </cfRule>
  </conditionalFormatting>
  <conditionalFormatting sqref="I9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{84fe176d-652c-474e-8593-9e9933964317}</x14:id>
        </ext>
      </extLst>
    </cfRule>
  </conditionalFormatting>
  <conditionalFormatting sqref="M9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{cffd5219-bdc5-4da5-a5d0-4be3a6b1da71}</x14:id>
        </ext>
      </extLst>
    </cfRule>
  </conditionalFormatting>
  <conditionalFormatting sqref="I94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{5b663459-3fc5-4eb9-95d7-85cae7ea3a71}</x14:id>
        </ext>
      </extLst>
    </cfRule>
  </conditionalFormatting>
  <conditionalFormatting sqref="M9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{25545d5d-bf77-4e3e-9985-f2883c24bc68}</x14:id>
        </ext>
      </extLst>
    </cfRule>
  </conditionalFormatting>
  <conditionalFormatting sqref="I13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{38416276-1eaf-4f29-adf3-6b8f25a9acfe}</x14:id>
        </ext>
      </extLst>
    </cfRule>
  </conditionalFormatting>
  <conditionalFormatting sqref="M13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{4b355856-dcd3-4ffa-9193-f15cca95baf2}</x14:id>
        </ext>
      </extLst>
    </cfRule>
  </conditionalFormatting>
  <conditionalFormatting sqref="I11:I12">
    <cfRule type="dataBar" priority="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{513af342-e13d-4a8d-8c74-f7aebcec899a}</x14:id>
        </ext>
      </extLst>
    </cfRule>
  </conditionalFormatting>
  <conditionalFormatting sqref="I53:I63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{e924c6e8-fbf2-4461-a5fa-e32fea5d62ab}</x14:id>
        </ext>
      </extLst>
    </cfRule>
  </conditionalFormatting>
  <conditionalFormatting sqref="I67:I75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{9da2f1ba-2978-4048-a34a-c486b6d5930c}</x14:id>
        </ext>
      </extLst>
    </cfRule>
  </conditionalFormatting>
  <conditionalFormatting sqref="I79:I85"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{ce1d6779-df4e-47d8-817f-80f9dacae1fc}</x14:id>
        </ext>
      </extLst>
    </cfRule>
  </conditionalFormatting>
  <conditionalFormatting sqref="I101:I109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{e5c6e132-671f-478b-b1c5-284e78ed13fe}</x14:id>
        </ext>
      </extLst>
    </cfRule>
  </conditionalFormatting>
  <conditionalFormatting sqref="I113:I124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{1136a65f-3050-46f4-b1e5-9aea64a6265a}</x14:id>
        </ext>
      </extLst>
    </cfRule>
  </conditionalFormatting>
  <conditionalFormatting sqref="I154:I163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{558e7e26-8fee-48dc-9428-1f8c1cf22d9c}</x14:id>
        </ext>
      </extLst>
    </cfRule>
  </conditionalFormatting>
  <conditionalFormatting sqref="M53:M61">
    <cfRule type="dataBar" priority="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{c2925ee8-31b9-4193-9e2f-2e42a6290ddd}</x14:id>
        </ext>
      </extLst>
    </cfRule>
  </conditionalFormatting>
  <conditionalFormatting sqref="M67:M71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{166fdace-4957-457b-af28-bbc33c9c5047}</x14:id>
        </ext>
      </extLst>
    </cfRule>
  </conditionalFormatting>
  <conditionalFormatting sqref="M79:M83">
    <cfRule type="dataBar" priority="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{25bbffd4-a16f-4d20-ae59-417cee0fd1c8}</x14:id>
        </ext>
      </extLst>
    </cfRule>
  </conditionalFormatting>
  <conditionalFormatting sqref="M101:M107">
    <cfRule type="dataBar" priority="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{6ebcfe6f-8529-48a0-8bd5-ade02d42573a}</x14:id>
        </ext>
      </extLst>
    </cfRule>
  </conditionalFormatting>
  <conditionalFormatting sqref="M140:M147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{b5a8755c-aae5-4c41-b57a-e3b734327a32}</x14:id>
        </ext>
      </extLst>
    </cfRule>
  </conditionalFormatting>
  <conditionalFormatting sqref="M154:M161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{9bcc2150-be19-4e8d-8b78-2bf124f7a69d}</x14:id>
        </ext>
      </extLst>
    </cfRule>
  </conditionalFormatting>
  <conditionalFormatting sqref="I23:I24 I16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{e4b5e26b-9053-41eb-bca9-a152009629d1}</x14:id>
        </ext>
      </extLst>
    </cfRule>
  </conditionalFormatting>
  <conditionalFormatting sqref="I35:I36 I28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{8f8e7c40-79c6-4cad-a146-85c423fb2c31}</x14:id>
        </ext>
      </extLst>
    </cfRule>
  </conditionalFormatting>
  <conditionalFormatting sqref="I33:I34 I31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{79533b37-c7ac-476c-aa2e-34d319a938e5}</x14:id>
        </ext>
      </extLst>
    </cfRule>
  </conditionalFormatting>
  <conditionalFormatting sqref="M33:M34 M31">
    <cfRule type="dataBar" priority="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{4f72e4e2-ef7c-4d7b-b40e-6ccd25be302d}</x14:id>
        </ext>
      </extLst>
    </cfRule>
  </conditionalFormatting>
  <conditionalFormatting sqref="I48:I49 I4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{beec2313-3286-4947-b3a5-e07d6eda7dc6}</x14:id>
        </ext>
      </extLst>
    </cfRule>
  </conditionalFormatting>
  <conditionalFormatting sqref="I89:I91 I93 I95:I97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{79184dcb-a8fb-43a2-97f8-ff756a37057b}</x14:id>
        </ext>
      </extLst>
    </cfRule>
  </conditionalFormatting>
  <conditionalFormatting sqref="M89:M91 M93 M95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{542c3a7b-6113-488d-83b9-90ad37a0a9c0}</x14:id>
        </ext>
      </extLst>
    </cfRule>
  </conditionalFormatting>
  <conditionalFormatting sqref="M113:M115 M120 M117:M118">
    <cfRule type="dataBar" priority="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{a467d1ad-bef8-42dd-a7c5-bfcccc7fb303}</x14:id>
        </ext>
      </extLst>
    </cfRule>
  </conditionalFormatting>
  <conditionalFormatting sqref="M128:M130 M132:M134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{53494fe2-96ac-4e39-90cd-d30aaa50cb9a}</x14:id>
        </ext>
      </extLst>
    </cfRule>
  </conditionalFormatting>
  <conditionalFormatting sqref="I129:I130 I132:I136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{952c6b41-002c-4cea-b595-1da0e58a8918}</x14:id>
        </ext>
      </extLst>
    </cfRule>
  </conditionalFormatting>
  <conditionalFormatting sqref="I140:I147 I149:I150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{de9650c6-b858-47c8-819b-2668c046ee47}</x14:id>
        </ext>
      </extLst>
    </cfRule>
  </conditionalFormatting>
  <hyperlinks>
    <hyperlink ref="B113" r:id="rId1" display="kiapartsnow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699c22-bc41-49ed-a51b-c266aa39bc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</xm:sqref>
        </x14:conditionalFormatting>
        <x14:conditionalFormatting xmlns:xm="http://schemas.microsoft.com/office/excel/2006/main">
          <x14:cfRule type="dataBar" id="{56677b9b-31fb-4e40-a2d9-845fba7979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</xm:sqref>
        </x14:conditionalFormatting>
        <x14:conditionalFormatting xmlns:xm="http://schemas.microsoft.com/office/excel/2006/main">
          <x14:cfRule type="dataBar" id="{a6cf3805-ab6a-4b04-92fa-032ecad1f7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</xm:sqref>
        </x14:conditionalFormatting>
        <x14:conditionalFormatting xmlns:xm="http://schemas.microsoft.com/office/excel/2006/main">
          <x14:cfRule type="dataBar" id="{f3d68a0e-9405-4b3c-a28a-bb26ac4e78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</xm:sqref>
        </x14:conditionalFormatting>
        <x14:conditionalFormatting xmlns:xm="http://schemas.microsoft.com/office/excel/2006/main">
          <x14:cfRule type="dataBar" id="{d3dd49fe-84ed-4fb8-898d-f64d79d34e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</xm:sqref>
        </x14:conditionalFormatting>
        <x14:conditionalFormatting xmlns:xm="http://schemas.microsoft.com/office/excel/2006/main">
          <x14:cfRule type="dataBar" id="{132fb6cf-8850-4b04-9fd2-10865b6ed1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</xm:sqref>
        </x14:conditionalFormatting>
        <x14:conditionalFormatting xmlns:xm="http://schemas.microsoft.com/office/excel/2006/main">
          <x14:cfRule type="dataBar" id="{8f43a81b-f463-438f-9c37-52fa66d1307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</xm:sqref>
        </x14:conditionalFormatting>
        <x14:conditionalFormatting xmlns:xm="http://schemas.microsoft.com/office/excel/2006/main">
          <x14:cfRule type="dataBar" id="{246e219e-2e9f-4ba4-bede-0efff35209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</xm:sqref>
        </x14:conditionalFormatting>
        <x14:conditionalFormatting xmlns:xm="http://schemas.microsoft.com/office/excel/2006/main">
          <x14:cfRule type="dataBar" id="{9c6841dd-3195-428b-9819-e1863ed5ce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</xm:sqref>
        </x14:conditionalFormatting>
        <x14:conditionalFormatting xmlns:xm="http://schemas.microsoft.com/office/excel/2006/main">
          <x14:cfRule type="dataBar" id="{9371965a-76ad-4de2-b65a-960442c0fd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</xm:sqref>
        </x14:conditionalFormatting>
        <x14:conditionalFormatting xmlns:xm="http://schemas.microsoft.com/office/excel/2006/main">
          <x14:cfRule type="dataBar" id="{2ace2970-a601-4554-afb3-1fba815ef4e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</xm:sqref>
        </x14:conditionalFormatting>
        <x14:conditionalFormatting xmlns:xm="http://schemas.microsoft.com/office/excel/2006/main">
          <x14:cfRule type="dataBar" id="{9e69fa69-cfbc-4c63-9916-e2d328e8ef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</xm:sqref>
        </x14:conditionalFormatting>
        <x14:conditionalFormatting xmlns:xm="http://schemas.microsoft.com/office/excel/2006/main">
          <x14:cfRule type="dataBar" id="{3abf054c-f6e3-4b47-96c2-d5307a3ac50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</xm:sqref>
        </x14:conditionalFormatting>
        <x14:conditionalFormatting xmlns:xm="http://schemas.microsoft.com/office/excel/2006/main">
          <x14:cfRule type="dataBar" id="{e0dd4fa5-ae7e-49b2-bde3-d95ddaac40d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</xm:sqref>
        </x14:conditionalFormatting>
        <x14:conditionalFormatting xmlns:xm="http://schemas.microsoft.com/office/excel/2006/main">
          <x14:cfRule type="dataBar" id="{7d6d5e9f-cabe-4815-8e30-5f9306206a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</xm:sqref>
        </x14:conditionalFormatting>
        <x14:conditionalFormatting xmlns:xm="http://schemas.microsoft.com/office/excel/2006/main">
          <x14:cfRule type="dataBar" id="{cd89d622-4b66-4b5b-abd4-5be91322c2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</xm:sqref>
        </x14:conditionalFormatting>
        <x14:conditionalFormatting xmlns:xm="http://schemas.microsoft.com/office/excel/2006/main">
          <x14:cfRule type="dataBar" id="{a0674a78-d6bb-45ca-a993-bcb861e025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</xm:sqref>
        </x14:conditionalFormatting>
        <x14:conditionalFormatting xmlns:xm="http://schemas.microsoft.com/office/excel/2006/main">
          <x14:cfRule type="dataBar" id="{acb6d8fd-4a18-485a-9dd5-ba0e702ad3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M16</xm:sqref>
        </x14:conditionalFormatting>
        <x14:conditionalFormatting xmlns:xm="http://schemas.microsoft.com/office/excel/2006/main">
          <x14:cfRule type="dataBar" id="{38f2f033-edc2-4011-af06-ce54173877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I17</xm:sqref>
        </x14:conditionalFormatting>
        <x14:conditionalFormatting xmlns:xm="http://schemas.microsoft.com/office/excel/2006/main">
          <x14:cfRule type="dataBar" id="{11464d98-54a2-4261-b91e-4d466c648a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M17</xm:sqref>
        </x14:conditionalFormatting>
        <x14:conditionalFormatting xmlns:xm="http://schemas.microsoft.com/office/excel/2006/main">
          <x14:cfRule type="dataBar" id="{638fbea7-a6ff-43d9-856e-c78390521b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I18</xm:sqref>
        </x14:conditionalFormatting>
        <x14:conditionalFormatting xmlns:xm="http://schemas.microsoft.com/office/excel/2006/main">
          <x14:cfRule type="dataBar" id="{85e26db7-d4d4-4322-babf-952152b1f31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M18</xm:sqref>
        </x14:conditionalFormatting>
        <x14:conditionalFormatting xmlns:xm="http://schemas.microsoft.com/office/excel/2006/main">
          <x14:cfRule type="dataBar" id="{3863d774-7f84-4eba-ba83-1222ff78ae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I19</xm:sqref>
        </x14:conditionalFormatting>
        <x14:conditionalFormatting xmlns:xm="http://schemas.microsoft.com/office/excel/2006/main">
          <x14:cfRule type="dataBar" id="{3fb15a75-3487-4698-a8f9-632c8931d1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M19</xm:sqref>
        </x14:conditionalFormatting>
        <x14:conditionalFormatting xmlns:xm="http://schemas.microsoft.com/office/excel/2006/main">
          <x14:cfRule type="dataBar" id="{1823afec-2dfb-41d1-a6f9-1b285de768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I20</xm:sqref>
        </x14:conditionalFormatting>
        <x14:conditionalFormatting xmlns:xm="http://schemas.microsoft.com/office/excel/2006/main">
          <x14:cfRule type="dataBar" id="{d0902594-96dd-47ea-9e0c-f2db0a1a87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M20</xm:sqref>
        </x14:conditionalFormatting>
        <x14:conditionalFormatting xmlns:xm="http://schemas.microsoft.com/office/excel/2006/main">
          <x14:cfRule type="dataBar" id="{3d90d2ec-cf77-4722-a31f-076c73e0205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I21</xm:sqref>
        </x14:conditionalFormatting>
        <x14:conditionalFormatting xmlns:xm="http://schemas.microsoft.com/office/excel/2006/main">
          <x14:cfRule type="dataBar" id="{1f324976-c49b-4e1e-8e7a-f80a6a6434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M21</xm:sqref>
        </x14:conditionalFormatting>
        <x14:conditionalFormatting xmlns:xm="http://schemas.microsoft.com/office/excel/2006/main">
          <x14:cfRule type="dataBar" id="{5cedcc12-584e-4284-bf46-b4184ed038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I22</xm:sqref>
        </x14:conditionalFormatting>
        <x14:conditionalFormatting xmlns:xm="http://schemas.microsoft.com/office/excel/2006/main">
          <x14:cfRule type="dataBar" id="{09dbc0ed-dd1a-4fc8-be5d-08302acf41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M22</xm:sqref>
        </x14:conditionalFormatting>
        <x14:conditionalFormatting xmlns:xm="http://schemas.microsoft.com/office/excel/2006/main">
          <x14:cfRule type="dataBar" id="{b333e9ec-9128-439d-98cc-bb24e0220e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M28</xm:sqref>
        </x14:conditionalFormatting>
        <x14:conditionalFormatting xmlns:xm="http://schemas.microsoft.com/office/excel/2006/main">
          <x14:cfRule type="dataBar" id="{1da70ddb-7517-4560-994f-f4a87053c9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I29</xm:sqref>
        </x14:conditionalFormatting>
        <x14:conditionalFormatting xmlns:xm="http://schemas.microsoft.com/office/excel/2006/main">
          <x14:cfRule type="dataBar" id="{3ec29a51-11fd-482c-b74b-3f22c3ae23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M29</xm:sqref>
        </x14:conditionalFormatting>
        <x14:conditionalFormatting xmlns:xm="http://schemas.microsoft.com/office/excel/2006/main">
          <x14:cfRule type="dataBar" id="{637dac53-bdf0-49dd-8328-f0826d31ae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I30</xm:sqref>
        </x14:conditionalFormatting>
        <x14:conditionalFormatting xmlns:xm="http://schemas.microsoft.com/office/excel/2006/main">
          <x14:cfRule type="dataBar" id="{971c40d0-d754-4929-a041-1526f62a0a9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</xm:sqref>
        </x14:conditionalFormatting>
        <x14:conditionalFormatting xmlns:xm="http://schemas.microsoft.com/office/excel/2006/main">
          <x14:cfRule type="dataBar" id="{e2163148-de81-46f9-9f5a-6026acff9d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I32</xm:sqref>
        </x14:conditionalFormatting>
        <x14:conditionalFormatting xmlns:xm="http://schemas.microsoft.com/office/excel/2006/main">
          <x14:cfRule type="dataBar" id="{e147003d-8e22-4b90-aadb-2d6e931594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M32</xm:sqref>
        </x14:conditionalFormatting>
        <x14:conditionalFormatting xmlns:xm="http://schemas.microsoft.com/office/excel/2006/main">
          <x14:cfRule type="dataBar" id="{c2aed982-cf0e-44ef-ad53-6eea61b61cb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M40</xm:sqref>
        </x14:conditionalFormatting>
        <x14:conditionalFormatting xmlns:xm="http://schemas.microsoft.com/office/excel/2006/main">
          <x14:cfRule type="dataBar" id="{ceb7a880-ea93-42ba-82a5-ffd0288c4f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I41</xm:sqref>
        </x14:conditionalFormatting>
        <x14:conditionalFormatting xmlns:xm="http://schemas.microsoft.com/office/excel/2006/main">
          <x14:cfRule type="dataBar" id="{a14f18cb-fa60-48ce-9904-80fbb55d81d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M41</xm:sqref>
        </x14:conditionalFormatting>
        <x14:conditionalFormatting xmlns:xm="http://schemas.microsoft.com/office/excel/2006/main">
          <x14:cfRule type="dataBar" id="{26dbd840-6068-4855-ab5a-1d52be1dcf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I42</xm:sqref>
        </x14:conditionalFormatting>
        <x14:conditionalFormatting xmlns:xm="http://schemas.microsoft.com/office/excel/2006/main">
          <x14:cfRule type="dataBar" id="{9e9c2a63-3741-47e5-a6b3-4d0f891b77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M42</xm:sqref>
        </x14:conditionalFormatting>
        <x14:conditionalFormatting xmlns:xm="http://schemas.microsoft.com/office/excel/2006/main">
          <x14:cfRule type="dataBar" id="{57fbfc6f-36f5-45e7-ba45-3e9ed7af6d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I43</xm:sqref>
        </x14:conditionalFormatting>
        <x14:conditionalFormatting xmlns:xm="http://schemas.microsoft.com/office/excel/2006/main">
          <x14:cfRule type="dataBar" id="{31951761-1137-4055-b17e-3ef9573d95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M43</xm:sqref>
        </x14:conditionalFormatting>
        <x14:conditionalFormatting xmlns:xm="http://schemas.microsoft.com/office/excel/2006/main">
          <x14:cfRule type="dataBar" id="{bbb9ef10-b879-473a-90fa-157af74fb1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I44</xm:sqref>
        </x14:conditionalFormatting>
        <x14:conditionalFormatting xmlns:xm="http://schemas.microsoft.com/office/excel/2006/main">
          <x14:cfRule type="dataBar" id="{be0c878e-6291-4427-b234-827f2b06d3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M44</xm:sqref>
        </x14:conditionalFormatting>
        <x14:conditionalFormatting xmlns:xm="http://schemas.microsoft.com/office/excel/2006/main">
          <x14:cfRule type="dataBar" id="{d74bfab3-d274-40e3-bdbb-3cb73343dd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I45</xm:sqref>
        </x14:conditionalFormatting>
        <x14:conditionalFormatting xmlns:xm="http://schemas.microsoft.com/office/excel/2006/main">
          <x14:cfRule type="dataBar" id="{c3ee0671-380b-4be6-9f2a-c3fdac072b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M45</xm:sqref>
        </x14:conditionalFormatting>
        <x14:conditionalFormatting xmlns:xm="http://schemas.microsoft.com/office/excel/2006/main">
          <x14:cfRule type="dataBar" id="{e40769d2-12e7-4475-bb0f-fd0d3e6453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I46</xm:sqref>
        </x14:conditionalFormatting>
        <x14:conditionalFormatting xmlns:xm="http://schemas.microsoft.com/office/excel/2006/main">
          <x14:cfRule type="dataBar" id="{1d806614-67c4-4633-b203-bca338b721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M46</xm:sqref>
        </x14:conditionalFormatting>
        <x14:conditionalFormatting xmlns:xm="http://schemas.microsoft.com/office/excel/2006/main">
          <x14:cfRule type="dataBar" id="{6cf8c3c4-a54c-4a05-814b-6afc7b4f90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I47</xm:sqref>
        </x14:conditionalFormatting>
        <x14:conditionalFormatting xmlns:xm="http://schemas.microsoft.com/office/excel/2006/main">
          <x14:cfRule type="dataBar" id="{33ba2b5b-57dc-4f77-82a4-156d4997a06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M47</xm:sqref>
        </x14:conditionalFormatting>
        <x14:conditionalFormatting xmlns:xm="http://schemas.microsoft.com/office/excel/2006/main">
          <x14:cfRule type="dataBar" id="{04b8dc51-1de0-4015-920b-77e919cc34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M73</xm:sqref>
        </x14:conditionalFormatting>
        <x14:conditionalFormatting xmlns:xm="http://schemas.microsoft.com/office/excel/2006/main">
          <x14:cfRule type="dataBar" id="{84fe176d-652c-474e-8593-9e99339643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I92</xm:sqref>
        </x14:conditionalFormatting>
        <x14:conditionalFormatting xmlns:xm="http://schemas.microsoft.com/office/excel/2006/main">
          <x14:cfRule type="dataBar" id="{cffd5219-bdc5-4da5-a5d0-4be3a6b1da7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M92</xm:sqref>
        </x14:conditionalFormatting>
        <x14:conditionalFormatting xmlns:xm="http://schemas.microsoft.com/office/excel/2006/main">
          <x14:cfRule type="dataBar" id="{5b663459-3fc5-4eb9-95d7-85cae7ea3a7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I94</xm:sqref>
        </x14:conditionalFormatting>
        <x14:conditionalFormatting xmlns:xm="http://schemas.microsoft.com/office/excel/2006/main">
          <x14:cfRule type="dataBar" id="{25545d5d-bf77-4e3e-9985-f2883c24bc6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M94</xm:sqref>
        </x14:conditionalFormatting>
        <x14:conditionalFormatting xmlns:xm="http://schemas.microsoft.com/office/excel/2006/main">
          <x14:cfRule type="dataBar" id="{38416276-1eaf-4f29-adf3-6b8f25a9ac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I131</xm:sqref>
        </x14:conditionalFormatting>
        <x14:conditionalFormatting xmlns:xm="http://schemas.microsoft.com/office/excel/2006/main">
          <x14:cfRule type="dataBar" id="{4b355856-dcd3-4ffa-9193-f15cca95ba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M131</xm:sqref>
        </x14:conditionalFormatting>
        <x14:conditionalFormatting xmlns:xm="http://schemas.microsoft.com/office/excel/2006/main">
          <x14:cfRule type="dataBar" id="{513af342-e13d-4a8d-8c74-f7aebcec89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I11:I12</xm:sqref>
        </x14:conditionalFormatting>
        <x14:conditionalFormatting xmlns:xm="http://schemas.microsoft.com/office/excel/2006/main">
          <x14:cfRule type="dataBar" id="{e924c6e8-fbf2-4461-a5fa-e32fea5d62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I53:I63</xm:sqref>
        </x14:conditionalFormatting>
        <x14:conditionalFormatting xmlns:xm="http://schemas.microsoft.com/office/excel/2006/main">
          <x14:cfRule type="dataBar" id="{9da2f1ba-2978-4048-a34a-c486b6d593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I67:I75</xm:sqref>
        </x14:conditionalFormatting>
        <x14:conditionalFormatting xmlns:xm="http://schemas.microsoft.com/office/excel/2006/main">
          <x14:cfRule type="dataBar" id="{ce1d6779-df4e-47d8-817f-80f9dacae1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I79:I85</xm:sqref>
        </x14:conditionalFormatting>
        <x14:conditionalFormatting xmlns:xm="http://schemas.microsoft.com/office/excel/2006/main">
          <x14:cfRule type="dataBar" id="{e5c6e132-671f-478b-b1c5-284e78ed13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I101:I109</xm:sqref>
        </x14:conditionalFormatting>
        <x14:conditionalFormatting xmlns:xm="http://schemas.microsoft.com/office/excel/2006/main">
          <x14:cfRule type="dataBar" id="{1136a65f-3050-46f4-b1e5-9aea64a626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I113:I124</xm:sqref>
        </x14:conditionalFormatting>
        <x14:conditionalFormatting xmlns:xm="http://schemas.microsoft.com/office/excel/2006/main">
          <x14:cfRule type="dataBar" id="{558e7e26-8fee-48dc-9428-1f8c1cf22d9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I154:I163</xm:sqref>
        </x14:conditionalFormatting>
        <x14:conditionalFormatting xmlns:xm="http://schemas.microsoft.com/office/excel/2006/main">
          <x14:cfRule type="dataBar" id="{c2925ee8-31b9-4193-9e2f-2e42a6290d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M53:M61</xm:sqref>
        </x14:conditionalFormatting>
        <x14:conditionalFormatting xmlns:xm="http://schemas.microsoft.com/office/excel/2006/main">
          <x14:cfRule type="dataBar" id="{166fdace-4957-457b-af28-bbc33c9c50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M67:M71</xm:sqref>
        </x14:conditionalFormatting>
        <x14:conditionalFormatting xmlns:xm="http://schemas.microsoft.com/office/excel/2006/main">
          <x14:cfRule type="dataBar" id="{25bbffd4-a16f-4d20-ae59-417cee0fd1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M79:M83</xm:sqref>
        </x14:conditionalFormatting>
        <x14:conditionalFormatting xmlns:xm="http://schemas.microsoft.com/office/excel/2006/main">
          <x14:cfRule type="dataBar" id="{6ebcfe6f-8529-48a0-8bd5-ade02d4257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M101:M107</xm:sqref>
        </x14:conditionalFormatting>
        <x14:conditionalFormatting xmlns:xm="http://schemas.microsoft.com/office/excel/2006/main">
          <x14:cfRule type="dataBar" id="{b5a8755c-aae5-4c41-b57a-e3b734327a3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M140:M147</xm:sqref>
        </x14:conditionalFormatting>
        <x14:conditionalFormatting xmlns:xm="http://schemas.microsoft.com/office/excel/2006/main">
          <x14:cfRule type="dataBar" id="{9bcc2150-be19-4e8d-8b78-2bf124f7a6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M154:M161</xm:sqref>
        </x14:conditionalFormatting>
        <x14:conditionalFormatting xmlns:xm="http://schemas.microsoft.com/office/excel/2006/main">
          <x14:cfRule type="dataBar" id="{e4b5e26b-9053-41eb-bca9-a152009629d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I23:I24 I16</xm:sqref>
        </x14:conditionalFormatting>
        <x14:conditionalFormatting xmlns:xm="http://schemas.microsoft.com/office/excel/2006/main">
          <x14:cfRule type="dataBar" id="{8f8e7c40-79c6-4cad-a146-85c423fb2c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I35:I36 I28</xm:sqref>
        </x14:conditionalFormatting>
        <x14:conditionalFormatting xmlns:xm="http://schemas.microsoft.com/office/excel/2006/main">
          <x14:cfRule type="dataBar" id="{79533b37-c7ac-476c-aa2e-34d319a938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I33:I34 I31</xm:sqref>
        </x14:conditionalFormatting>
        <x14:conditionalFormatting xmlns:xm="http://schemas.microsoft.com/office/excel/2006/main">
          <x14:cfRule type="dataBar" id="{4f72e4e2-ef7c-4d7b-b40e-6ccd25be302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M33:M34 M31</xm:sqref>
        </x14:conditionalFormatting>
        <x14:conditionalFormatting xmlns:xm="http://schemas.microsoft.com/office/excel/2006/main">
          <x14:cfRule type="dataBar" id="{beec2313-3286-4947-b3a5-e07d6eda7d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I48:I49 I40</xm:sqref>
        </x14:conditionalFormatting>
        <x14:conditionalFormatting xmlns:xm="http://schemas.microsoft.com/office/excel/2006/main">
          <x14:cfRule type="dataBar" id="{79184dcb-a8fb-43a2-97f8-ff756a3705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I89:I91 I93 I95:I97</xm:sqref>
        </x14:conditionalFormatting>
        <x14:conditionalFormatting xmlns:xm="http://schemas.microsoft.com/office/excel/2006/main">
          <x14:cfRule type="dataBar" id="{542c3a7b-6113-488d-83b9-90ad37a0a9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M89:M91 M93 M95</xm:sqref>
        </x14:conditionalFormatting>
        <x14:conditionalFormatting xmlns:xm="http://schemas.microsoft.com/office/excel/2006/main">
          <x14:cfRule type="dataBar" id="{a467d1ad-bef8-42dd-a7c5-bfcccc7fb3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M113:M115 M120 M117:M118</xm:sqref>
        </x14:conditionalFormatting>
        <x14:conditionalFormatting xmlns:xm="http://schemas.microsoft.com/office/excel/2006/main">
          <x14:cfRule type="dataBar" id="{53494fe2-96ac-4e39-90cd-d30aaa50cb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M128:M130 M132:M134</xm:sqref>
        </x14:conditionalFormatting>
        <x14:conditionalFormatting xmlns:xm="http://schemas.microsoft.com/office/excel/2006/main">
          <x14:cfRule type="dataBar" id="{952c6b41-002c-4cea-b595-1da0e58a891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I129:I130 I132:I136</xm:sqref>
        </x14:conditionalFormatting>
        <x14:conditionalFormatting xmlns:xm="http://schemas.microsoft.com/office/excel/2006/main">
          <x14:cfRule type="dataBar" id="{de9650c6-b858-47c8-819b-2668c046ee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I140:I147 I149:I150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29"/>
  <sheetViews>
    <sheetView workbookViewId="0">
      <selection activeCell="A1" sqref="A1"/>
    </sheetView>
  </sheetViews>
  <sheetFormatPr defaultColWidth="9" defaultRowHeight="15.6"/>
  <cols>
    <col min="1" max="1" width="13.4444444444444" style="408" customWidth="1"/>
    <col min="2" max="2" width="31.6666666666667" style="408" customWidth="1"/>
    <col min="3" max="3" width="11.3333333333333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19.2222222222222" style="413" hidden="1" customWidth="1"/>
    <col min="14" max="14" width="7.33333333333333" style="414" hidden="1" customWidth="1"/>
    <col min="15" max="15" width="16.3333333333333" style="412" hidden="1" customWidth="1"/>
    <col min="16" max="16" width="96.4444444444444" style="504" customWidth="1"/>
    <col min="17" max="17" width="31.6666666666667" style="408" customWidth="1"/>
    <col min="18" max="18" width="14.8888888888889" style="408" customWidth="1"/>
    <col min="19" max="19" width="10.1111111111111" style="408" customWidth="1"/>
    <col min="20" max="20" width="17.1111111111111" style="416" customWidth="1"/>
    <col min="21" max="21" width="16.8888888888889" style="416" customWidth="1"/>
    <col min="22" max="22" width="10.8888888888889" style="408" hidden="1" customWidth="1"/>
    <col min="23" max="23" width="11.1111111111111" style="408" hidden="1" customWidth="1"/>
    <col min="24" max="16384" width="9" style="417"/>
  </cols>
  <sheetData>
    <row r="1" s="408" customFormat="1" ht="17.4" spans="1:23">
      <c r="A1" s="418" t="s">
        <v>145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43"/>
      <c r="N1" s="444"/>
      <c r="O1" s="422"/>
      <c r="P1" s="507"/>
      <c r="Q1" s="465"/>
      <c r="R1" s="424"/>
      <c r="S1" s="421"/>
      <c r="T1" s="466"/>
      <c r="U1" s="467"/>
      <c r="V1" s="467"/>
      <c r="W1" s="467"/>
    </row>
    <row r="2" s="409" customFormat="1" ht="46.8" spans="1:23">
      <c r="A2" s="423" t="s">
        <v>206</v>
      </c>
      <c r="B2" s="424" t="s">
        <v>207</v>
      </c>
      <c r="C2" s="425" t="s">
        <v>447</v>
      </c>
      <c r="D2" s="424" t="s">
        <v>209</v>
      </c>
      <c r="E2" s="426" t="s">
        <v>210</v>
      </c>
      <c r="F2" s="427" t="s">
        <v>211</v>
      </c>
      <c r="G2" s="427" t="s">
        <v>213</v>
      </c>
      <c r="H2" s="427" t="s">
        <v>396</v>
      </c>
      <c r="I2" s="445" t="s">
        <v>386</v>
      </c>
      <c r="J2" s="446" t="s">
        <v>215</v>
      </c>
      <c r="K2" s="446" t="s">
        <v>216</v>
      </c>
      <c r="L2" s="446" t="s">
        <v>217</v>
      </c>
      <c r="M2" s="447" t="s">
        <v>436</v>
      </c>
      <c r="N2" s="448" t="s">
        <v>219</v>
      </c>
      <c r="O2" s="449" t="s">
        <v>220</v>
      </c>
      <c r="P2" s="508" t="s">
        <v>221</v>
      </c>
      <c r="Q2" s="469" t="s">
        <v>222</v>
      </c>
      <c r="R2" s="426" t="s">
        <v>223</v>
      </c>
      <c r="S2" s="470" t="s">
        <v>224</v>
      </c>
      <c r="T2" s="467" t="s">
        <v>225</v>
      </c>
      <c r="U2" s="470" t="s">
        <v>226</v>
      </c>
      <c r="V2" s="467"/>
      <c r="W2" s="467"/>
    </row>
    <row r="3" s="408" customFormat="1" spans="1:23">
      <c r="A3" s="428" t="s">
        <v>230</v>
      </c>
      <c r="B3" s="421" t="s">
        <v>251</v>
      </c>
      <c r="C3" s="429" t="s">
        <v>233</v>
      </c>
      <c r="D3" s="421" t="s">
        <v>417</v>
      </c>
      <c r="E3" s="430"/>
      <c r="F3" s="430">
        <v>542320.25</v>
      </c>
      <c r="G3" s="430"/>
      <c r="H3" s="430"/>
      <c r="I3" s="450"/>
      <c r="J3" s="451">
        <v>0.239933683001215</v>
      </c>
      <c r="K3" s="451">
        <v>0.22748044073784</v>
      </c>
      <c r="L3" s="451">
        <v>0.249870932563097</v>
      </c>
      <c r="M3" s="452"/>
      <c r="N3" s="451"/>
      <c r="O3" s="430"/>
      <c r="P3" s="509">
        <f t="array" ref="P3">INDEX(正厂竞争者数据汇总!I:I,MATCH($A$1&amp;B3,正厂竞争者数据汇总!A:A&amp;正厂竞争者数据汇总!D:D,0))</f>
        <v>0</v>
      </c>
      <c r="Q3" s="429" t="s">
        <v>180</v>
      </c>
      <c r="R3" s="421" t="s">
        <v>180</v>
      </c>
      <c r="S3" s="472"/>
      <c r="T3" s="466"/>
      <c r="U3" s="466"/>
      <c r="V3" s="466"/>
      <c r="W3" s="466"/>
    </row>
    <row r="4" s="408" customFormat="1" ht="17.4" spans="1:23">
      <c r="A4" s="428" t="s">
        <v>230</v>
      </c>
      <c r="B4" s="421" t="s">
        <v>450</v>
      </c>
      <c r="C4" s="429" t="s">
        <v>233</v>
      </c>
      <c r="D4" s="421" t="s">
        <v>60</v>
      </c>
      <c r="E4" s="430"/>
      <c r="F4" s="430">
        <v>468070.416666667</v>
      </c>
      <c r="G4" s="430"/>
      <c r="H4" s="430"/>
      <c r="I4" s="450"/>
      <c r="J4" s="451">
        <v>0.207084022724113</v>
      </c>
      <c r="K4" s="451">
        <v>0.189373381439279</v>
      </c>
      <c r="L4" s="451">
        <v>0.207968739711413</v>
      </c>
      <c r="M4" s="452"/>
      <c r="N4" s="451"/>
      <c r="O4" s="430"/>
      <c r="P4" s="509" t="str">
        <f t="array" ref="P4">INDEX(正厂竞争者数据汇总!I:I,MATCH($A$1&amp;B4,正厂竞争者数据汇总!A:A&amp;正厂竞争者数据汇总!D:D,0))</f>
        <v>原gmpartsonline.net，202305网站导流到autopartspress.net。自2023年7月报告更新，将此竞品更名为autopartsexpress.net</v>
      </c>
      <c r="Q4" s="429" t="s">
        <v>254</v>
      </c>
      <c r="R4" s="421" t="s">
        <v>229</v>
      </c>
      <c r="S4" s="472"/>
      <c r="T4" s="466"/>
      <c r="U4" s="466"/>
      <c r="V4" s="466"/>
      <c r="W4" s="466"/>
    </row>
    <row r="5" s="410" customFormat="1" spans="1:23">
      <c r="A5" s="432" t="s">
        <v>227</v>
      </c>
      <c r="B5" s="435" t="s">
        <v>146</v>
      </c>
      <c r="C5" s="505" t="s">
        <v>441</v>
      </c>
      <c r="D5" s="435" t="s">
        <v>58</v>
      </c>
      <c r="E5" s="436"/>
      <c r="F5" s="436">
        <v>428907</v>
      </c>
      <c r="G5" s="436"/>
      <c r="H5" s="436"/>
      <c r="I5" s="510"/>
      <c r="J5" s="457">
        <v>0.189757318069908</v>
      </c>
      <c r="K5" s="457">
        <v>0.182728779175356</v>
      </c>
      <c r="L5" s="457">
        <v>0.189537325237364</v>
      </c>
      <c r="M5" s="461"/>
      <c r="N5" s="457"/>
      <c r="O5" s="436"/>
      <c r="P5" s="509">
        <f t="array" ref="P5">INDEX(正厂竞争者数据汇总!I:I,MATCH($A$1&amp;B5,正厂竞争者数据汇总!A:A&amp;正厂竞争者数据汇总!D:D,0))</f>
        <v>0</v>
      </c>
      <c r="Q5" s="434"/>
      <c r="R5" s="435"/>
      <c r="S5" s="476"/>
      <c r="T5" s="477"/>
      <c r="U5" s="477"/>
      <c r="V5" s="477"/>
      <c r="W5" s="477"/>
    </row>
    <row r="6" s="408" customFormat="1" spans="1:23">
      <c r="A6" s="428" t="s">
        <v>230</v>
      </c>
      <c r="B6" s="421" t="s">
        <v>252</v>
      </c>
      <c r="C6" s="429" t="s">
        <v>233</v>
      </c>
      <c r="D6" s="421" t="s">
        <v>58</v>
      </c>
      <c r="E6" s="430"/>
      <c r="F6" s="430">
        <v>219208.583333333</v>
      </c>
      <c r="G6" s="430"/>
      <c r="H6" s="430"/>
      <c r="I6" s="450"/>
      <c r="J6" s="451">
        <v>0.0969824061422108</v>
      </c>
      <c r="K6" s="451">
        <v>0.0964947299466413</v>
      </c>
      <c r="L6" s="451">
        <v>0.11968243269738</v>
      </c>
      <c r="M6" s="452"/>
      <c r="N6" s="451"/>
      <c r="O6" s="430"/>
      <c r="P6" s="509">
        <f t="array" ref="P6">INDEX(正厂竞争者数据汇总!I:I,MATCH($A$1&amp;B6,正厂竞争者数据汇总!A:A&amp;正厂竞争者数据汇总!D:D,0))</f>
        <v>0</v>
      </c>
      <c r="Q6" s="429" t="s">
        <v>180</v>
      </c>
      <c r="R6" s="421" t="s">
        <v>180</v>
      </c>
      <c r="S6" s="472"/>
      <c r="T6" s="466"/>
      <c r="U6" s="466"/>
      <c r="V6" s="466"/>
      <c r="W6" s="466"/>
    </row>
    <row r="7" s="408" customFormat="1" spans="1:23">
      <c r="A7" s="428" t="s">
        <v>230</v>
      </c>
      <c r="B7" s="421" t="s">
        <v>258</v>
      </c>
      <c r="C7" s="429" t="s">
        <v>233</v>
      </c>
      <c r="D7" s="421" t="s">
        <v>59</v>
      </c>
      <c r="E7" s="430"/>
      <c r="F7" s="430">
        <v>188714.5</v>
      </c>
      <c r="G7" s="430"/>
      <c r="H7" s="430"/>
      <c r="I7" s="450"/>
      <c r="J7" s="451">
        <v>0.0834911936641362</v>
      </c>
      <c r="K7" s="451">
        <v>0.0871033669324006</v>
      </c>
      <c r="L7" s="451">
        <v>0.0858025079552747</v>
      </c>
      <c r="M7" s="452"/>
      <c r="N7" s="451"/>
      <c r="O7" s="430"/>
      <c r="P7" s="509">
        <f t="array" ref="P7">INDEX(正厂竞争者数据汇总!I:I,MATCH($A$1&amp;B7,正厂竞争者数据汇总!A:A&amp;正厂竞争者数据汇总!D:D,0))</f>
        <v>0</v>
      </c>
      <c r="Q7" s="429" t="s">
        <v>180</v>
      </c>
      <c r="R7" s="421"/>
      <c r="S7" s="472"/>
      <c r="T7" s="466"/>
      <c r="U7" s="466"/>
      <c r="V7" s="466"/>
      <c r="W7" s="466"/>
    </row>
    <row r="8" s="408" customFormat="1" spans="1:23">
      <c r="A8" s="428" t="s">
        <v>230</v>
      </c>
      <c r="B8" s="421" t="s">
        <v>437</v>
      </c>
      <c r="C8" s="429" t="s">
        <v>233</v>
      </c>
      <c r="D8" s="421" t="s">
        <v>451</v>
      </c>
      <c r="E8" s="430"/>
      <c r="F8" s="430">
        <v>151396.333333333</v>
      </c>
      <c r="G8" s="430"/>
      <c r="H8" s="430"/>
      <c r="I8" s="450"/>
      <c r="J8" s="451">
        <v>0.066980865733017</v>
      </c>
      <c r="K8" s="451">
        <v>0.0686637625181249</v>
      </c>
      <c r="L8" s="451">
        <v>0.0619102720515177</v>
      </c>
      <c r="M8" s="452"/>
      <c r="N8" s="451"/>
      <c r="O8" s="430"/>
      <c r="P8" s="509">
        <f t="array" ref="P8">INDEX(正厂竞争者数据汇总!I:I,MATCH($A$1&amp;B8,正厂竞争者数据汇总!A:A&amp;正厂竞争者数据汇总!D:D,0))</f>
        <v>0</v>
      </c>
      <c r="Q8" s="429" t="s">
        <v>180</v>
      </c>
      <c r="R8" s="421" t="s">
        <v>180</v>
      </c>
      <c r="S8" s="472"/>
      <c r="T8" s="466"/>
      <c r="U8" s="466"/>
      <c r="V8" s="466"/>
      <c r="W8" s="466"/>
    </row>
    <row r="9" s="408" customFormat="1" spans="1:23">
      <c r="A9" s="428" t="s">
        <v>230</v>
      </c>
      <c r="B9" t="s">
        <v>255</v>
      </c>
      <c r="C9" s="429" t="s">
        <v>233</v>
      </c>
      <c r="D9" s="421" t="s">
        <v>419</v>
      </c>
      <c r="E9" s="430"/>
      <c r="F9" s="430">
        <v>146125.690833333</v>
      </c>
      <c r="G9" s="430"/>
      <c r="H9" s="430"/>
      <c r="I9" s="450"/>
      <c r="J9" s="451">
        <v>0.0646490245989127</v>
      </c>
      <c r="K9" s="451">
        <v>0.0635177063596749</v>
      </c>
      <c r="L9" s="451">
        <v>0.0676206834174423</v>
      </c>
      <c r="M9" s="452"/>
      <c r="N9" s="451"/>
      <c r="O9" s="430"/>
      <c r="P9" s="509" t="str">
        <f t="array" ref="P9">INDEX(正厂竞争者数据汇总!I:I,MATCH($A$1&amp;B9,正厂竞争者数据汇总!A:A&amp;正厂竞争者数据汇总!D:D,0))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9" s="429" t="s">
        <v>180</v>
      </c>
      <c r="R9" s="421" t="s">
        <v>180</v>
      </c>
      <c r="S9" s="472"/>
      <c r="T9" s="466"/>
      <c r="U9" s="466"/>
      <c r="V9" s="466"/>
      <c r="W9" s="466"/>
    </row>
    <row r="10" s="408" customFormat="1" spans="1:23">
      <c r="A10" s="428" t="s">
        <v>487</v>
      </c>
      <c r="B10" s="421" t="s">
        <v>256</v>
      </c>
      <c r="C10" s="429" t="s">
        <v>441</v>
      </c>
      <c r="D10" s="421" t="s">
        <v>418</v>
      </c>
      <c r="E10" s="430"/>
      <c r="F10" s="430">
        <v>115549.5</v>
      </c>
      <c r="G10" s="430"/>
      <c r="H10" s="430"/>
      <c r="I10" s="450"/>
      <c r="J10" s="451">
        <v>0.0511214860664873</v>
      </c>
      <c r="K10" s="451">
        <v>0.0475699000229718</v>
      </c>
      <c r="L10" s="451">
        <v>0.0487085117921544</v>
      </c>
      <c r="M10" s="452"/>
      <c r="N10" s="451"/>
      <c r="O10" s="430"/>
      <c r="P10" s="509">
        <f t="array" ref="P10">INDEX(正厂竞争者数据汇总!I:I,MATCH($A$1&amp;B10,正厂竞争者数据汇总!A:A&amp;正厂竞争者数据汇总!D:D,0))</f>
        <v>0</v>
      </c>
      <c r="Q10" s="429" t="s">
        <v>257</v>
      </c>
      <c r="R10" s="421" t="s">
        <v>229</v>
      </c>
      <c r="S10" s="472"/>
      <c r="T10" s="466"/>
      <c r="U10" s="466"/>
      <c r="V10" s="466"/>
      <c r="W10" s="466"/>
    </row>
    <row r="11" s="410" customFormat="1" spans="1:23">
      <c r="A11" s="428"/>
      <c r="B11" s="431"/>
      <c r="C11" s="429"/>
      <c r="D11" s="421"/>
      <c r="E11" s="430"/>
      <c r="F11" s="430"/>
      <c r="G11" s="430"/>
      <c r="H11" s="430"/>
      <c r="I11" s="450"/>
      <c r="J11" s="455"/>
      <c r="K11" s="455"/>
      <c r="L11" s="455"/>
      <c r="M11" s="452"/>
      <c r="N11" s="457"/>
      <c r="O11" s="436"/>
      <c r="P11" s="509"/>
      <c r="Q11" s="434"/>
      <c r="R11" s="435"/>
      <c r="S11" s="473"/>
      <c r="T11" s="477"/>
      <c r="U11" s="466"/>
      <c r="V11" s="435"/>
      <c r="W11" s="435"/>
    </row>
    <row r="12" s="408" customFormat="1" spans="1:23">
      <c r="A12" s="428"/>
      <c r="B12" s="421"/>
      <c r="C12" s="439"/>
      <c r="D12" s="421"/>
      <c r="E12" s="430"/>
      <c r="F12" s="430">
        <v>2260292.27416667</v>
      </c>
      <c r="G12" s="430"/>
      <c r="H12" s="430"/>
      <c r="I12" s="453"/>
      <c r="J12" s="430"/>
      <c r="K12" s="430"/>
      <c r="L12" s="430"/>
      <c r="M12" s="451"/>
      <c r="N12" s="451"/>
      <c r="O12" s="430"/>
      <c r="P12" s="509"/>
      <c r="Q12" s="429"/>
      <c r="R12" s="421"/>
      <c r="S12" s="473"/>
      <c r="T12" s="466"/>
      <c r="U12" s="466"/>
      <c r="V12" s="421"/>
      <c r="W12" s="421"/>
    </row>
    <row r="13" s="408" customFormat="1" spans="1:23">
      <c r="A13" s="428"/>
      <c r="B13" s="421"/>
      <c r="C13" s="439"/>
      <c r="D13" s="421"/>
      <c r="E13" s="430"/>
      <c r="F13" s="430"/>
      <c r="G13" s="430"/>
      <c r="H13" s="430"/>
      <c r="I13" s="453"/>
      <c r="J13" s="430"/>
      <c r="K13" s="430"/>
      <c r="L13" s="430"/>
      <c r="M13" s="451"/>
      <c r="N13" s="451"/>
      <c r="O13" s="430"/>
      <c r="P13" s="509"/>
      <c r="Q13" s="429"/>
      <c r="R13" s="421"/>
      <c r="S13" s="473"/>
      <c r="T13" s="466"/>
      <c r="U13" s="466"/>
      <c r="V13" s="421"/>
      <c r="W13" s="421"/>
    </row>
    <row r="14" s="408" customFormat="1" ht="17.4" spans="1:23">
      <c r="A14" s="418" t="s">
        <v>138</v>
      </c>
      <c r="B14" s="419"/>
      <c r="C14" s="420"/>
      <c r="D14" s="421"/>
      <c r="E14" s="422" t="s">
        <v>202</v>
      </c>
      <c r="F14" s="422"/>
      <c r="G14" s="422"/>
      <c r="H14" s="422"/>
      <c r="I14" s="422"/>
      <c r="J14" s="422"/>
      <c r="K14" s="422"/>
      <c r="L14" s="422"/>
      <c r="M14" s="443"/>
      <c r="N14" s="444"/>
      <c r="O14" s="422"/>
      <c r="P14" s="509"/>
      <c r="Q14" s="465"/>
      <c r="R14" s="424"/>
      <c r="S14" s="473"/>
      <c r="T14" s="467"/>
      <c r="U14" s="467"/>
      <c r="V14" s="467"/>
      <c r="W14" s="467"/>
    </row>
    <row r="15" s="409" customFormat="1" ht="46.8" spans="1:23">
      <c r="A15" s="423" t="s">
        <v>206</v>
      </c>
      <c r="B15" s="424" t="s">
        <v>207</v>
      </c>
      <c r="C15" s="425" t="s">
        <v>447</v>
      </c>
      <c r="D15" s="424" t="s">
        <v>209</v>
      </c>
      <c r="E15" s="426" t="s">
        <v>210</v>
      </c>
      <c r="F15" s="427" t="s">
        <v>211</v>
      </c>
      <c r="G15" s="427" t="s">
        <v>213</v>
      </c>
      <c r="H15" s="427" t="s">
        <v>396</v>
      </c>
      <c r="I15" s="427" t="s">
        <v>386</v>
      </c>
      <c r="J15" s="446" t="s">
        <v>215</v>
      </c>
      <c r="K15" s="446" t="s">
        <v>216</v>
      </c>
      <c r="L15" s="446" t="s">
        <v>217</v>
      </c>
      <c r="M15" s="447" t="s">
        <v>436</v>
      </c>
      <c r="N15" s="448" t="s">
        <v>219</v>
      </c>
      <c r="O15" s="449" t="s">
        <v>220</v>
      </c>
      <c r="P15" s="508" t="s">
        <v>221</v>
      </c>
      <c r="Q15" s="469" t="s">
        <v>222</v>
      </c>
      <c r="R15" s="426" t="s">
        <v>223</v>
      </c>
      <c r="S15" s="470" t="s">
        <v>224</v>
      </c>
      <c r="T15" s="467" t="s">
        <v>225</v>
      </c>
      <c r="U15" s="470" t="s">
        <v>226</v>
      </c>
      <c r="V15" s="467"/>
      <c r="W15" s="467"/>
    </row>
    <row r="16" s="410" customFormat="1" ht="17.4" spans="1:23">
      <c r="A16" s="432" t="s">
        <v>227</v>
      </c>
      <c r="B16" s="435" t="s">
        <v>139</v>
      </c>
      <c r="C16" s="434" t="s">
        <v>441</v>
      </c>
      <c r="D16" s="435" t="s">
        <v>49</v>
      </c>
      <c r="E16" s="436">
        <f>VLOOKUP(B16,正厂竞争者数据汇总!D:H,4,FALSE)</f>
        <v>0</v>
      </c>
      <c r="F16" s="436">
        <v>1298833.33333333</v>
      </c>
      <c r="G16" s="436">
        <v>1150833.33333333</v>
      </c>
      <c r="H16" s="436">
        <v>1200750</v>
      </c>
      <c r="I16" s="454">
        <f>(F16/G16)-1</f>
        <v>0.12860246198407</v>
      </c>
      <c r="J16" s="455">
        <v>0.525844767628636</v>
      </c>
      <c r="K16" s="455">
        <v>0.507611194743587</v>
      </c>
      <c r="L16" s="455">
        <v>0.54213648884773</v>
      </c>
      <c r="M16" s="456">
        <f>J16-K16</f>
        <v>0.018233572885049</v>
      </c>
      <c r="N16" s="455" t="str">
        <f>IFERROR(O16*0.5/$F$16,"")</f>
        <v/>
      </c>
      <c r="O16" s="436" t="s">
        <v>180</v>
      </c>
      <c r="P16" s="509">
        <f t="array" ref="P16">INDEX(正厂竞争者数据汇总!I:I,MATCH($A$14&amp;B16,正厂竞争者数据汇总!A:A&amp;正厂竞争者数据汇总!D:D,0))</f>
        <v>0</v>
      </c>
      <c r="Q16" s="434" t="s">
        <v>228</v>
      </c>
      <c r="R16" s="435" t="s">
        <v>229</v>
      </c>
      <c r="S16" s="476"/>
      <c r="T16" s="477"/>
      <c r="U16" s="477"/>
      <c r="V16" s="477"/>
      <c r="W16" s="477"/>
    </row>
    <row r="17" s="408" customFormat="1" spans="1:23">
      <c r="A17" s="428" t="s">
        <v>230</v>
      </c>
      <c r="B17" s="421" t="s">
        <v>231</v>
      </c>
      <c r="C17" s="429" t="s">
        <v>441</v>
      </c>
      <c r="D17" s="421" t="s">
        <v>60</v>
      </c>
      <c r="E17" s="430"/>
      <c r="F17" s="430">
        <v>467790.75</v>
      </c>
      <c r="G17" s="430"/>
      <c r="H17" s="430"/>
      <c r="I17" s="450"/>
      <c r="J17" s="451">
        <v>0.189389440445972</v>
      </c>
      <c r="K17" s="451">
        <v>0.146486655679942</v>
      </c>
      <c r="L17" s="451">
        <v>0.160508399189897</v>
      </c>
      <c r="M17" s="452"/>
      <c r="N17" s="451"/>
      <c r="O17" s="430"/>
      <c r="P17" s="509">
        <f t="array" ref="P17">INDEX(正厂竞争者数据汇总!I:I,MATCH($A$14&amp;B17,正厂竞争者数据汇总!A:A&amp;正厂竞争者数据汇总!D:D,0))</f>
        <v>0</v>
      </c>
      <c r="Q17" s="429"/>
      <c r="R17" s="421"/>
      <c r="S17" s="472"/>
      <c r="T17" s="466"/>
      <c r="U17" s="466"/>
      <c r="V17" s="466"/>
      <c r="W17" s="466"/>
    </row>
    <row r="18" s="408" customFormat="1" spans="1:23">
      <c r="A18" s="428" t="s">
        <v>230</v>
      </c>
      <c r="B18" s="421" t="s">
        <v>236</v>
      </c>
      <c r="C18" s="429" t="s">
        <v>441</v>
      </c>
      <c r="D18" s="421" t="s">
        <v>412</v>
      </c>
      <c r="E18" s="430"/>
      <c r="F18" s="430">
        <v>224703.166666667</v>
      </c>
      <c r="G18" s="430"/>
      <c r="H18" s="430"/>
      <c r="I18" s="450"/>
      <c r="J18" s="451">
        <v>0.0909731690963064</v>
      </c>
      <c r="K18" s="451">
        <v>0.0812314795507423</v>
      </c>
      <c r="L18" s="451">
        <v>0.0681062791653534</v>
      </c>
      <c r="M18" s="452"/>
      <c r="N18" s="451"/>
      <c r="O18" s="430"/>
      <c r="P18" s="509" t="str">
        <f t="array" ref="P18">INDEX(正厂竞争者数据汇总!I:I,MATCH($A$14&amp;B18,正厂竞争者数据汇总!A:A&amp;正厂竞争者数据汇总!D:D,0))</f>
        <v>2022年1月 新加入 CompetitorSites
2022年1月 新加入 MarketingShare</v>
      </c>
      <c r="Q18" s="429"/>
      <c r="R18" s="421"/>
      <c r="S18" s="472"/>
      <c r="T18" s="466"/>
      <c r="U18" s="466"/>
      <c r="V18" s="466"/>
      <c r="W18" s="466"/>
    </row>
    <row r="19" s="408" customFormat="1" spans="1:23">
      <c r="A19" s="428" t="s">
        <v>230</v>
      </c>
      <c r="B19" s="421" t="s">
        <v>235</v>
      </c>
      <c r="C19" s="429" t="s">
        <v>441</v>
      </c>
      <c r="D19" s="421" t="s">
        <v>411</v>
      </c>
      <c r="E19" s="430"/>
      <c r="F19" s="430">
        <v>218900</v>
      </c>
      <c r="G19" s="430"/>
      <c r="H19" s="430"/>
      <c r="I19" s="450"/>
      <c r="J19" s="451">
        <v>0.0886237030416339</v>
      </c>
      <c r="K19" s="451">
        <v>0.0938838587647045</v>
      </c>
      <c r="L19" s="451">
        <v>0.0891041950215305</v>
      </c>
      <c r="M19" s="452"/>
      <c r="N19" s="451"/>
      <c r="O19" s="430"/>
      <c r="P19" s="509" t="str">
        <f t="array" ref="P19">INDEX(正厂竞争者数据汇总!I:I,MATCH($A$14&amp;B19,正厂竞争者数据汇总!A:A&amp;正厂竞争者数据汇总!D:D,0))</f>
        <v>2021年06月新加竞争者</v>
      </c>
      <c r="Q19" s="429"/>
      <c r="R19" s="421"/>
      <c r="S19" s="472"/>
      <c r="T19" s="466"/>
      <c r="U19" s="466"/>
      <c r="V19" s="466"/>
      <c r="W19" s="466"/>
    </row>
    <row r="20" s="408" customFormat="1" spans="1:23">
      <c r="A20" s="428" t="s">
        <v>230</v>
      </c>
      <c r="B20" s="421" t="s">
        <v>237</v>
      </c>
      <c r="C20" s="429" t="s">
        <v>441</v>
      </c>
      <c r="D20" s="421" t="s">
        <v>250</v>
      </c>
      <c r="E20" s="430"/>
      <c r="F20" s="430">
        <v>144842.5</v>
      </c>
      <c r="G20" s="430"/>
      <c r="H20" s="430"/>
      <c r="I20" s="450"/>
      <c r="J20" s="451">
        <v>0.0586408346633525</v>
      </c>
      <c r="K20" s="451">
        <v>0.0394863738609768</v>
      </c>
      <c r="L20" s="451">
        <v>0.0446884560259002</v>
      </c>
      <c r="M20" s="452"/>
      <c r="N20" s="451"/>
      <c r="O20" s="430"/>
      <c r="P20" s="509">
        <f t="array" ref="P20">INDEX(正厂竞争者数据汇总!I:I,MATCH($A$14&amp;B20,正厂竞争者数据汇总!A:A&amp;正厂竞争者数据汇总!D:D,0))</f>
        <v>0</v>
      </c>
      <c r="Q20" s="429"/>
      <c r="R20" s="421"/>
      <c r="S20" s="472"/>
      <c r="T20" s="466"/>
      <c r="U20" s="466"/>
      <c r="V20" s="466"/>
      <c r="W20" s="466"/>
    </row>
    <row r="21" s="408" customFormat="1" spans="1:23">
      <c r="A21" s="428" t="s">
        <v>238</v>
      </c>
      <c r="B21" s="421" t="s">
        <v>239</v>
      </c>
      <c r="C21" s="429" t="s">
        <v>441</v>
      </c>
      <c r="D21" s="421" t="s">
        <v>250</v>
      </c>
      <c r="E21" s="430"/>
      <c r="F21" s="430">
        <v>114924.083333333</v>
      </c>
      <c r="G21" s="430"/>
      <c r="H21" s="430"/>
      <c r="I21" s="450"/>
      <c r="J21" s="451">
        <v>0.0465280851240991</v>
      </c>
      <c r="K21" s="451">
        <v>0.052298892539928</v>
      </c>
      <c r="L21" s="451">
        <v>0.0610795072014649</v>
      </c>
      <c r="M21" s="452"/>
      <c r="N21" s="451"/>
      <c r="O21" s="430"/>
      <c r="P21" s="509" t="str">
        <f t="array" ref="P21">INDEX(正厂竞争者数据汇总!I:I,MATCH($A$14&amp;B21,正厂竞争者数据汇总!A:A&amp;正厂竞争者数据汇总!D:D,0))</f>
        <v>2023年10月，Semrush中仅能获取acura子域名流量</v>
      </c>
      <c r="Q21" s="429"/>
      <c r="R21" s="421"/>
      <c r="S21" s="472"/>
      <c r="T21" s="466"/>
      <c r="U21" s="466"/>
      <c r="V21" s="466"/>
      <c r="W21" s="466"/>
    </row>
    <row r="22" s="408" customFormat="1" spans="1:23">
      <c r="A22" s="428" t="s">
        <v>230</v>
      </c>
      <c r="B22" s="421" t="s">
        <v>232</v>
      </c>
      <c r="C22" s="429" t="s">
        <v>233</v>
      </c>
      <c r="D22" s="421" t="s">
        <v>234</v>
      </c>
      <c r="E22" s="430"/>
      <c r="F22" s="430">
        <v>80166</v>
      </c>
      <c r="G22" s="430"/>
      <c r="H22" s="430"/>
      <c r="I22" s="450"/>
      <c r="J22" s="451">
        <v>0.0324559514757223</v>
      </c>
      <c r="K22" s="451">
        <v>0.0388862041160876</v>
      </c>
      <c r="L22" s="451"/>
      <c r="M22" s="452"/>
      <c r="N22" s="451"/>
      <c r="O22" s="430"/>
      <c r="P22" s="509" t="str">
        <f t="array" ref="P22">INDEX(正厂竞争者数据汇总!I:I,MATCH($A$14&amp;B22,正厂竞争者数据汇总!A:A&amp;正厂竞争者数据汇总!D:D,0))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流量折算比例：Acura:8%,BMW:0%,Ford:20%,GM:5%,Honda:17%,Hyundai:8%,Infiniti:2%,Kia:5%,Lexus:2%,Mopar:9%,Nissan:14%,Subaru:5%,Toyota:6%，折算比例为0的网站按照除0外最低折算比例计。2024年1月因为市场份额超过5%加入MS监控</v>
      </c>
      <c r="Q22" s="429"/>
      <c r="R22" s="421"/>
      <c r="S22" s="472"/>
      <c r="T22" s="466"/>
      <c r="U22" s="466"/>
      <c r="V22" s="466"/>
      <c r="W22" s="466"/>
    </row>
    <row r="23" s="410" customFormat="1" spans="1:23">
      <c r="A23" s="432"/>
      <c r="B23" s="435"/>
      <c r="C23" s="434"/>
      <c r="D23" s="435"/>
      <c r="E23" s="430"/>
      <c r="F23" s="430"/>
      <c r="G23" s="430"/>
      <c r="H23" s="430"/>
      <c r="I23" s="453"/>
      <c r="J23" s="436"/>
      <c r="K23" s="436"/>
      <c r="L23" s="436"/>
      <c r="M23" s="451"/>
      <c r="N23" s="455"/>
      <c r="O23" s="436"/>
      <c r="P23" s="509"/>
      <c r="Q23" s="434"/>
      <c r="R23" s="435"/>
      <c r="S23" s="473"/>
      <c r="T23" s="477"/>
      <c r="U23" s="466"/>
      <c r="V23" s="435"/>
      <c r="W23" s="435"/>
    </row>
    <row r="24" s="408" customFormat="1" spans="1:23">
      <c r="A24" s="428"/>
      <c r="B24" s="421"/>
      <c r="C24" s="439"/>
      <c r="D24" s="421"/>
      <c r="E24" s="430"/>
      <c r="F24" s="430">
        <v>2469993.83333333</v>
      </c>
      <c r="G24" s="430">
        <v>2122774.16666666</v>
      </c>
      <c r="H24" s="430">
        <v>2262821.16666667</v>
      </c>
      <c r="I24" s="453">
        <f>(F24/G24)-1</f>
        <v>0.163568820517493</v>
      </c>
      <c r="J24" s="451"/>
      <c r="K24" s="451"/>
      <c r="L24" s="451"/>
      <c r="M24" s="451"/>
      <c r="N24" s="451">
        <f>SUM(N16:N17)</f>
        <v>0</v>
      </c>
      <c r="O24" s="451"/>
      <c r="P24" s="509"/>
      <c r="Q24" s="429"/>
      <c r="R24" s="421"/>
      <c r="S24" s="473"/>
      <c r="T24" s="466"/>
      <c r="U24" s="466"/>
      <c r="V24" s="421"/>
      <c r="W24" s="421"/>
    </row>
    <row r="25" s="408" customFormat="1" spans="1:23">
      <c r="A25" s="428"/>
      <c r="B25" s="421"/>
      <c r="C25" s="439"/>
      <c r="D25" s="421"/>
      <c r="E25" s="430"/>
      <c r="F25" s="430"/>
      <c r="G25" s="430"/>
      <c r="H25" s="430"/>
      <c r="I25" s="453"/>
      <c r="J25" s="430"/>
      <c r="K25" s="430"/>
      <c r="L25" s="430"/>
      <c r="M25" s="451"/>
      <c r="N25" s="451"/>
      <c r="O25" s="430"/>
      <c r="P25" s="509"/>
      <c r="Q25" s="429"/>
      <c r="R25" s="421"/>
      <c r="S25" s="473"/>
      <c r="T25" s="466"/>
      <c r="U25" s="466"/>
      <c r="V25" s="421"/>
      <c r="W25" s="421"/>
    </row>
    <row r="26" s="408" customFormat="1" ht="17.4" spans="1:23">
      <c r="A26" s="418" t="s">
        <v>141</v>
      </c>
      <c r="B26" s="441"/>
      <c r="C26" s="420"/>
      <c r="D26" s="421"/>
      <c r="E26" s="422" t="s">
        <v>202</v>
      </c>
      <c r="F26" s="422"/>
      <c r="G26" s="422"/>
      <c r="H26" s="422"/>
      <c r="I26" s="422"/>
      <c r="J26" s="422"/>
      <c r="K26" s="422"/>
      <c r="L26" s="422"/>
      <c r="M26" s="443"/>
      <c r="N26" s="444"/>
      <c r="O26" s="422"/>
      <c r="P26" s="509"/>
      <c r="Q26" s="465"/>
      <c r="R26" s="424"/>
      <c r="S26" s="473"/>
      <c r="T26" s="467"/>
      <c r="U26" s="467"/>
      <c r="V26" s="467"/>
      <c r="W26" s="467"/>
    </row>
    <row r="27" s="409" customFormat="1" ht="46.8" spans="1:23">
      <c r="A27" s="423" t="s">
        <v>206</v>
      </c>
      <c r="B27" s="424" t="s">
        <v>207</v>
      </c>
      <c r="C27" s="425" t="s">
        <v>447</v>
      </c>
      <c r="D27" s="424" t="s">
        <v>209</v>
      </c>
      <c r="E27" s="426" t="s">
        <v>210</v>
      </c>
      <c r="F27" s="427" t="s">
        <v>211</v>
      </c>
      <c r="G27" s="427" t="s">
        <v>213</v>
      </c>
      <c r="H27" s="427" t="s">
        <v>396</v>
      </c>
      <c r="I27" s="427" t="s">
        <v>386</v>
      </c>
      <c r="J27" s="446" t="s">
        <v>215</v>
      </c>
      <c r="K27" s="446" t="s">
        <v>216</v>
      </c>
      <c r="L27" s="446" t="s">
        <v>217</v>
      </c>
      <c r="M27" s="447" t="s">
        <v>436</v>
      </c>
      <c r="N27" s="448" t="s">
        <v>219</v>
      </c>
      <c r="O27" s="449" t="s">
        <v>220</v>
      </c>
      <c r="P27" s="508" t="s">
        <v>221</v>
      </c>
      <c r="Q27" s="469" t="s">
        <v>222</v>
      </c>
      <c r="R27" s="426" t="s">
        <v>223</v>
      </c>
      <c r="S27" s="470" t="s">
        <v>224</v>
      </c>
      <c r="T27" s="467" t="s">
        <v>225</v>
      </c>
      <c r="U27" s="470" t="s">
        <v>226</v>
      </c>
      <c r="V27" s="467"/>
      <c r="W27" s="467"/>
    </row>
    <row r="28" s="410" customFormat="1" ht="17.4" spans="1:23">
      <c r="A28" s="432" t="s">
        <v>227</v>
      </c>
      <c r="B28" s="433" t="s">
        <v>142</v>
      </c>
      <c r="C28" s="434" t="s">
        <v>441</v>
      </c>
      <c r="D28" s="435" t="s">
        <v>49</v>
      </c>
      <c r="E28" s="436">
        <f>VLOOKUP(B28,正厂竞争者数据汇总!D:H,4,FALSE)</f>
        <v>0</v>
      </c>
      <c r="F28" s="436">
        <v>556573.083333333</v>
      </c>
      <c r="G28" s="436">
        <v>506654</v>
      </c>
      <c r="H28" s="436">
        <v>541471.75</v>
      </c>
      <c r="I28" s="454">
        <f>(F28/G28)-1</f>
        <v>0.0985269697531905</v>
      </c>
      <c r="J28" s="455">
        <v>0.309889369452836</v>
      </c>
      <c r="K28" s="455">
        <v>0.352515702409014</v>
      </c>
      <c r="L28" s="455">
        <v>0.344259141423053</v>
      </c>
      <c r="M28" s="456">
        <f>J28-K28</f>
        <v>-0.042626332956178</v>
      </c>
      <c r="N28" s="455" t="str">
        <f>IFERROR(O28*0.5/#REF!,"")</f>
        <v/>
      </c>
      <c r="O28" s="436" t="s">
        <v>180</v>
      </c>
      <c r="P28" s="509">
        <f t="array" ref="P28">INDEX(正厂竞争者数据汇总!I:I,MATCH($A$26&amp;B28,正厂竞争者数据汇总!A:A&amp;正厂竞争者数据汇总!D:D,0))</f>
        <v>0</v>
      </c>
      <c r="Q28" s="434" t="s">
        <v>241</v>
      </c>
      <c r="R28" s="435" t="s">
        <v>229</v>
      </c>
      <c r="S28" s="476"/>
      <c r="T28" s="477"/>
      <c r="U28" s="477"/>
      <c r="V28" s="435"/>
      <c r="W28" s="435"/>
    </row>
    <row r="29" s="408" customFormat="1" spans="1:23">
      <c r="A29" s="428" t="s">
        <v>230</v>
      </c>
      <c r="B29" s="421" t="s">
        <v>242</v>
      </c>
      <c r="C29" s="429" t="s">
        <v>233</v>
      </c>
      <c r="D29" s="421" t="s">
        <v>414</v>
      </c>
      <c r="E29" s="430"/>
      <c r="F29" s="430">
        <v>361857.25</v>
      </c>
      <c r="G29" s="430"/>
      <c r="H29" s="430"/>
      <c r="I29" s="450"/>
      <c r="J29" s="512">
        <v>0.201475275022021</v>
      </c>
      <c r="K29" s="451">
        <v>0.282380300184099</v>
      </c>
      <c r="L29" s="451">
        <v>0.296992765050199</v>
      </c>
      <c r="M29" s="452"/>
      <c r="N29" s="451"/>
      <c r="O29" s="430"/>
      <c r="P29" s="509">
        <f t="array" ref="P29">INDEX(正厂竞争者数据汇总!I:I,MATCH($A$26&amp;B29,正厂竞争者数据汇总!A:A&amp;正厂竞争者数据汇总!D:D,0))</f>
        <v>0</v>
      </c>
      <c r="Q29" s="429"/>
      <c r="R29" s="421"/>
      <c r="S29" s="472"/>
      <c r="T29" s="466"/>
      <c r="U29" s="466"/>
      <c r="V29" s="466"/>
      <c r="W29" s="466"/>
    </row>
    <row r="30" s="408" customFormat="1" spans="1:23">
      <c r="A30" s="428" t="s">
        <v>243</v>
      </c>
      <c r="B30" s="421" t="s">
        <v>244</v>
      </c>
      <c r="C30" s="429" t="s">
        <v>454</v>
      </c>
      <c r="D30" s="421" t="s">
        <v>266</v>
      </c>
      <c r="E30" s="430"/>
      <c r="F30" s="430">
        <v>233047.5</v>
      </c>
      <c r="G30" s="430"/>
      <c r="H30" s="430"/>
      <c r="I30" s="450"/>
      <c r="J30" s="512">
        <v>0.129756441678851</v>
      </c>
      <c r="K30" s="451">
        <v>0.142046515351398</v>
      </c>
      <c r="L30" s="451">
        <v>0.145253470934615</v>
      </c>
      <c r="M30" s="452"/>
      <c r="N30" s="451"/>
      <c r="O30" s="430"/>
      <c r="P30" s="509">
        <f t="array" ref="P30">INDEX(正厂竞争者数据汇总!I:I,MATCH($A$26&amp;B30,正厂竞争者数据汇总!A:A&amp;正厂竞争者数据汇总!D:D,0))</f>
        <v>0</v>
      </c>
      <c r="Q30" s="429"/>
      <c r="R30" s="421"/>
      <c r="S30" s="472"/>
      <c r="T30" s="466"/>
      <c r="U30" s="466"/>
      <c r="V30" s="466"/>
      <c r="W30" s="466"/>
    </row>
    <row r="31" s="408" customFormat="1" spans="1:23">
      <c r="A31" s="428" t="s">
        <v>230</v>
      </c>
      <c r="B31" s="421" t="s">
        <v>245</v>
      </c>
      <c r="C31" s="429" t="s">
        <v>233</v>
      </c>
      <c r="D31" s="421" t="s">
        <v>415</v>
      </c>
      <c r="E31" s="430"/>
      <c r="F31" s="430">
        <v>169205.333333333</v>
      </c>
      <c r="G31" s="430"/>
      <c r="H31" s="430"/>
      <c r="I31" s="450"/>
      <c r="J31" s="512">
        <v>0.0942103303679171</v>
      </c>
      <c r="K31" s="451">
        <v>0.111597207701745</v>
      </c>
      <c r="L31" s="451">
        <v>0.0998769999283561</v>
      </c>
      <c r="M31" s="452"/>
      <c r="N31" s="451"/>
      <c r="O31" s="430"/>
      <c r="P31" s="509" t="str">
        <f t="array" ref="P31">INDEX(正厂竞争者数据汇总!I:I,MATCH($A$26&amp;B31,正厂竞争者数据汇总!A:A&amp;正厂竞争者数据汇总!D:D,0))</f>
        <v>2021年02新加竞争者</v>
      </c>
      <c r="Q31" s="429"/>
      <c r="R31" s="421"/>
      <c r="S31" s="472"/>
      <c r="T31" s="466"/>
      <c r="U31" s="466"/>
      <c r="V31" s="466"/>
      <c r="W31" s="466"/>
    </row>
    <row r="32" s="408" customFormat="1" spans="1:23">
      <c r="A32" s="428" t="s">
        <v>230</v>
      </c>
      <c r="B32" s="421" t="s">
        <v>416</v>
      </c>
      <c r="C32" s="429" t="s">
        <v>233</v>
      </c>
      <c r="D32" s="421" t="s">
        <v>291</v>
      </c>
      <c r="E32" s="430"/>
      <c r="F32" s="430">
        <v>161340.833333333</v>
      </c>
      <c r="G32" s="430"/>
      <c r="H32" s="430"/>
      <c r="I32" s="450"/>
      <c r="J32" s="512">
        <v>0.0898315254651255</v>
      </c>
      <c r="K32" s="451">
        <v>0.111460274353744</v>
      </c>
      <c r="L32" s="451">
        <v>0.110735419871301</v>
      </c>
      <c r="M32" s="452"/>
      <c r="N32" s="451"/>
      <c r="O32" s="430"/>
      <c r="P32" s="509" t="str">
        <f t="array" ref="P32">INDEX(正厂竞争者数据汇总!I:I,MATCH($A$26&amp;B32,正厂竞争者数据汇总!A:A&amp;正厂竞争者数据汇总!D:D,0))</f>
        <v>2023年11月导流至toyotaparts.ourismantoyotaofrichmond.com，原网站流量大幅下跌</v>
      </c>
      <c r="Q32" s="429"/>
      <c r="R32" s="421"/>
      <c r="S32" s="472"/>
      <c r="T32" s="466"/>
      <c r="U32" s="466"/>
      <c r="V32" s="466"/>
      <c r="W32" s="466"/>
    </row>
    <row r="33" s="408" customFormat="1" spans="1:23">
      <c r="A33" s="428" t="s">
        <v>230</v>
      </c>
      <c r="B33" s="421" t="s">
        <v>249</v>
      </c>
      <c r="C33" s="429" t="s">
        <v>233</v>
      </c>
      <c r="D33" s="421" t="s">
        <v>250</v>
      </c>
      <c r="E33" s="430"/>
      <c r="F33" s="430">
        <v>159186.5</v>
      </c>
      <c r="G33" s="430"/>
      <c r="H33" s="430"/>
      <c r="I33" s="450"/>
      <c r="J33" s="512">
        <v>0.0886320333979571</v>
      </c>
      <c r="K33" s="451"/>
      <c r="L33" s="451"/>
      <c r="M33" s="452"/>
      <c r="N33" s="451"/>
      <c r="O33" s="430"/>
      <c r="P33" s="525" t="str">
        <f t="array" ref="P33">INDEX(正厂竞争者数据汇总!I:I,MATCH($A$26&amp;B33,正厂竞争者数据汇总!A:A&amp;正厂竞争者数据汇总!D:D,0))</f>
        <v>2023年2月新增正厂</v>
      </c>
      <c r="Q33" s="429"/>
      <c r="R33" s="421"/>
      <c r="S33" s="472"/>
      <c r="T33" s="466"/>
      <c r="U33" s="466"/>
      <c r="V33" s="466"/>
      <c r="W33" s="466"/>
    </row>
    <row r="34" s="408" customFormat="1" spans="1:23">
      <c r="A34" s="428" t="s">
        <v>230</v>
      </c>
      <c r="B34" s="421" t="s">
        <v>246</v>
      </c>
      <c r="C34" s="429" t="s">
        <v>233</v>
      </c>
      <c r="D34" s="421" t="s">
        <v>49</v>
      </c>
      <c r="E34" s="430"/>
      <c r="F34" s="430">
        <v>154827.5</v>
      </c>
      <c r="G34" s="430"/>
      <c r="H34" s="430"/>
      <c r="I34" s="450"/>
      <c r="J34" s="512">
        <v>0.0862050246152922</v>
      </c>
      <c r="K34" s="451"/>
      <c r="L34" s="451"/>
      <c r="M34" s="452"/>
      <c r="N34" s="451"/>
      <c r="O34" s="430"/>
      <c r="P34" s="525" t="str">
        <f t="array" ref="P34">INDEX(正厂竞争者数据汇总!I:I,MATCH($A$26&amp;B34,正厂竞争者数据汇总!A:A&amp;正厂竞争者数据汇总!D:D,0))</f>
        <v>2023年2月新增正厂</v>
      </c>
      <c r="Q34" s="429"/>
      <c r="R34" s="421"/>
      <c r="S34" s="472"/>
      <c r="T34" s="466"/>
      <c r="U34" s="466"/>
      <c r="V34" s="466"/>
      <c r="W34" s="466"/>
    </row>
    <row r="35" s="410" customFormat="1" spans="1:23">
      <c r="A35" s="428"/>
      <c r="B35" s="438"/>
      <c r="C35" s="429"/>
      <c r="D35" s="421"/>
      <c r="E35" s="430"/>
      <c r="F35" s="430"/>
      <c r="G35" s="430"/>
      <c r="H35" s="430"/>
      <c r="I35" s="453"/>
      <c r="J35" s="463"/>
      <c r="K35" s="463"/>
      <c r="L35" s="463"/>
      <c r="M35" s="451"/>
      <c r="N35" s="459"/>
      <c r="O35" s="430"/>
      <c r="P35" s="509"/>
      <c r="Q35" s="429"/>
      <c r="R35" s="435"/>
      <c r="S35" s="473"/>
      <c r="T35" s="466"/>
      <c r="U35" s="466"/>
      <c r="V35" s="421"/>
      <c r="W35" s="421"/>
    </row>
    <row r="36" s="408" customFormat="1" spans="1:23">
      <c r="A36" s="428"/>
      <c r="B36" s="421"/>
      <c r="C36" s="439"/>
      <c r="D36" s="421"/>
      <c r="E36" s="430"/>
      <c r="F36" s="430">
        <v>1796038</v>
      </c>
      <c r="G36" s="430">
        <v>1471722.72</v>
      </c>
      <c r="H36" s="430">
        <v>1511577.56416667</v>
      </c>
      <c r="I36" s="453">
        <f>(F36/G36)-1</f>
        <v>0.220364390379188</v>
      </c>
      <c r="J36" s="430"/>
      <c r="K36" s="513"/>
      <c r="L36" s="430"/>
      <c r="M36" s="451"/>
      <c r="N36" s="459"/>
      <c r="O36" s="430"/>
      <c r="P36" s="509"/>
      <c r="Q36" s="429" t="s">
        <v>180</v>
      </c>
      <c r="R36" s="421"/>
      <c r="S36" s="473"/>
      <c r="T36" s="466"/>
      <c r="U36" s="466"/>
      <c r="V36" s="421"/>
      <c r="W36" s="421"/>
    </row>
    <row r="37" s="408" customFormat="1" spans="1:23">
      <c r="A37" s="428"/>
      <c r="B37" s="421"/>
      <c r="C37" s="439"/>
      <c r="D37" s="421"/>
      <c r="E37" s="430"/>
      <c r="F37" s="430"/>
      <c r="G37" s="430"/>
      <c r="H37" s="430"/>
      <c r="I37" s="453"/>
      <c r="J37" s="430"/>
      <c r="K37" s="430"/>
      <c r="L37" s="430"/>
      <c r="M37" s="451"/>
      <c r="N37" s="451"/>
      <c r="O37" s="430"/>
      <c r="P37" s="509"/>
      <c r="Q37" s="429"/>
      <c r="R37" s="421"/>
      <c r="S37" s="473"/>
      <c r="T37" s="466"/>
      <c r="U37" s="466"/>
      <c r="V37" s="421"/>
      <c r="W37" s="421"/>
    </row>
    <row r="38" s="408" customFormat="1" ht="17.4" spans="1:23">
      <c r="A38" s="418" t="s">
        <v>149</v>
      </c>
      <c r="B38" s="419"/>
      <c r="C38" s="420"/>
      <c r="D38" s="421"/>
      <c r="E38" s="422" t="s">
        <v>202</v>
      </c>
      <c r="F38" s="422"/>
      <c r="G38" s="422"/>
      <c r="H38" s="422"/>
      <c r="I38" s="422"/>
      <c r="J38" s="422"/>
      <c r="K38" s="422"/>
      <c r="L38" s="422"/>
      <c r="M38" s="443"/>
      <c r="N38" s="444"/>
      <c r="O38" s="422"/>
      <c r="P38" s="509"/>
      <c r="Q38" s="465"/>
      <c r="R38" s="424"/>
      <c r="S38" s="473"/>
      <c r="T38" s="467"/>
      <c r="U38" s="467"/>
      <c r="V38" s="467"/>
      <c r="W38" s="467"/>
    </row>
    <row r="39" s="409" customFormat="1" ht="46.8" spans="1:23">
      <c r="A39" s="423" t="s">
        <v>206</v>
      </c>
      <c r="B39" s="424" t="s">
        <v>207</v>
      </c>
      <c r="C39" s="425" t="s">
        <v>447</v>
      </c>
      <c r="D39" s="424" t="s">
        <v>209</v>
      </c>
      <c r="E39" s="426" t="s">
        <v>210</v>
      </c>
      <c r="F39" s="427" t="s">
        <v>211</v>
      </c>
      <c r="G39" s="427" t="s">
        <v>213</v>
      </c>
      <c r="H39" s="427" t="s">
        <v>396</v>
      </c>
      <c r="I39" s="427" t="s">
        <v>386</v>
      </c>
      <c r="J39" s="446" t="s">
        <v>215</v>
      </c>
      <c r="K39" s="446" t="s">
        <v>216</v>
      </c>
      <c r="L39" s="446" t="s">
        <v>217</v>
      </c>
      <c r="M39" s="447" t="s">
        <v>436</v>
      </c>
      <c r="N39" s="448" t="s">
        <v>219</v>
      </c>
      <c r="O39" s="449" t="s">
        <v>220</v>
      </c>
      <c r="P39" s="508" t="s">
        <v>221</v>
      </c>
      <c r="Q39" s="469" t="s">
        <v>222</v>
      </c>
      <c r="R39" s="426" t="s">
        <v>223</v>
      </c>
      <c r="S39" s="470" t="s">
        <v>224</v>
      </c>
      <c r="T39" s="467" t="s">
        <v>225</v>
      </c>
      <c r="U39" s="470" t="s">
        <v>226</v>
      </c>
      <c r="V39" s="467"/>
      <c r="W39" s="467"/>
    </row>
    <row r="40" s="410" customFormat="1" ht="17.4" spans="1:23">
      <c r="A40" s="432" t="s">
        <v>227</v>
      </c>
      <c r="B40" s="433" t="s">
        <v>150</v>
      </c>
      <c r="C40" s="434" t="s">
        <v>441</v>
      </c>
      <c r="D40" s="435" t="s">
        <v>58</v>
      </c>
      <c r="E40" s="436">
        <f>VLOOKUP(B40,正厂竞争者数据汇总!D:H,4,FALSE)</f>
        <v>0</v>
      </c>
      <c r="F40" s="436">
        <v>559667.666666667</v>
      </c>
      <c r="G40" s="436">
        <v>521458.083333333</v>
      </c>
      <c r="H40" s="436">
        <v>566477.333333333</v>
      </c>
      <c r="I40" s="454">
        <f>(F40/G40)-1</f>
        <v>0.0732745057648463</v>
      </c>
      <c r="J40" s="455">
        <v>0.336990300277897</v>
      </c>
      <c r="K40" s="455">
        <v>0.308349215171546</v>
      </c>
      <c r="L40" s="455">
        <v>0.355076451443855</v>
      </c>
      <c r="M40" s="456">
        <f>J40-K40</f>
        <v>0.028641085106351</v>
      </c>
      <c r="N40" s="457" t="str">
        <f>IFERROR(O40*0.5/F$45,"")</f>
        <v/>
      </c>
      <c r="O40" s="436" t="s">
        <v>180</v>
      </c>
      <c r="P40" s="509">
        <f t="array" ref="P40">INDEX(正厂竞争者数据汇总!I:I,MATCH($A$38&amp;B40,正厂竞争者数据汇总!A:A&amp;正厂竞争者数据汇总!D:D,0))</f>
        <v>0</v>
      </c>
      <c r="Q40" s="434" t="s">
        <v>259</v>
      </c>
      <c r="R40" s="435" t="s">
        <v>229</v>
      </c>
      <c r="S40" s="476"/>
      <c r="T40" s="477"/>
      <c r="U40" s="477"/>
      <c r="V40" s="477"/>
      <c r="W40" s="477"/>
    </row>
    <row r="41" s="410" customFormat="1" spans="1:23">
      <c r="A41" s="428" t="s">
        <v>230</v>
      </c>
      <c r="B41" s="438" t="s">
        <v>260</v>
      </c>
      <c r="C41" s="494" t="s">
        <v>233</v>
      </c>
      <c r="D41" s="431" t="s">
        <v>60</v>
      </c>
      <c r="E41" s="430"/>
      <c r="F41" s="430">
        <v>277197.333333333</v>
      </c>
      <c r="G41" s="430"/>
      <c r="H41" s="430"/>
      <c r="I41" s="453"/>
      <c r="J41" s="512">
        <v>0.16690764566156</v>
      </c>
      <c r="K41" s="451">
        <v>0.151946063269698</v>
      </c>
      <c r="L41" s="451">
        <v>0.151923823861817</v>
      </c>
      <c r="M41" s="451"/>
      <c r="N41" s="459"/>
      <c r="O41" s="430"/>
      <c r="P41" s="509">
        <f t="array" ref="P41">INDEX(正厂竞争者数据汇总!I:I,MATCH($A$38&amp;B41,正厂竞争者数据汇总!A:A&amp;正厂竞争者数据汇总!D:D,0))</f>
        <v>0</v>
      </c>
      <c r="Q41" s="429"/>
      <c r="R41" s="435"/>
      <c r="S41" s="473"/>
      <c r="T41" s="466"/>
      <c r="U41" s="466"/>
      <c r="V41" s="421"/>
      <c r="W41" s="421"/>
    </row>
    <row r="42" s="410" customFormat="1" spans="1:23">
      <c r="A42" s="428" t="s">
        <v>230</v>
      </c>
      <c r="B42" s="438" t="s">
        <v>255</v>
      </c>
      <c r="C42" s="494" t="s">
        <v>233</v>
      </c>
      <c r="D42" s="431" t="s">
        <v>419</v>
      </c>
      <c r="E42" s="430"/>
      <c r="F42" s="430">
        <v>223033.949166667</v>
      </c>
      <c r="G42" s="430"/>
      <c r="H42" s="430"/>
      <c r="I42" s="453"/>
      <c r="J42" s="512">
        <v>0.134294478631379</v>
      </c>
      <c r="K42" s="451">
        <v>0.139279778161804</v>
      </c>
      <c r="L42" s="451">
        <v>0.158317694688341</v>
      </c>
      <c r="M42" s="451"/>
      <c r="N42" s="459"/>
      <c r="O42" s="430"/>
      <c r="P42" s="509" t="str">
        <f t="array" ref="P42">INDEX(正厂竞争者数据汇总!I:I,MATCH($A$38&amp;B42,正厂竞争者数据汇总!A:A&amp;正厂竞争者数据汇总!D:D,0))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42" s="429"/>
      <c r="R42" s="435"/>
      <c r="S42" s="473"/>
      <c r="T42" s="466"/>
      <c r="U42" s="466"/>
      <c r="V42" s="421"/>
      <c r="W42" s="421"/>
    </row>
    <row r="43" s="410" customFormat="1" spans="1:23">
      <c r="A43" s="428" t="s">
        <v>230</v>
      </c>
      <c r="B43" s="438" t="s">
        <v>267</v>
      </c>
      <c r="C43" s="494" t="s">
        <v>441</v>
      </c>
      <c r="D43" s="431" t="s">
        <v>58</v>
      </c>
      <c r="E43" s="430"/>
      <c r="F43" s="430">
        <v>149033.75</v>
      </c>
      <c r="G43" s="430"/>
      <c r="H43" s="430"/>
      <c r="I43" s="453"/>
      <c r="J43" s="512">
        <v>0.0897370549618572</v>
      </c>
      <c r="K43" s="451">
        <v>0.0870749657044328</v>
      </c>
      <c r="L43" s="451">
        <v>0.081395250986513</v>
      </c>
      <c r="M43" s="451"/>
      <c r="N43" s="459"/>
      <c r="O43" s="430"/>
      <c r="P43" s="509" t="str">
        <f t="array" ref="P43">INDEX(正厂竞争者数据汇总!I:I,MATCH($A$38&amp;B43,正厂竞争者数据汇总!A:A&amp;正厂竞争者数据汇总!D:D,0))</f>
        <v>2022年1月 新加入 CompetitorSites</v>
      </c>
      <c r="Q43" s="429"/>
      <c r="R43" s="435"/>
      <c r="S43" s="473"/>
      <c r="T43" s="466"/>
      <c r="U43" s="466"/>
      <c r="V43" s="421"/>
      <c r="W43" s="421"/>
    </row>
    <row r="44" s="410" customFormat="1" spans="1:23">
      <c r="A44" s="428" t="s">
        <v>230</v>
      </c>
      <c r="B44" s="438" t="s">
        <v>261</v>
      </c>
      <c r="C44" s="494" t="s">
        <v>233</v>
      </c>
      <c r="D44" s="431" t="s">
        <v>272</v>
      </c>
      <c r="E44" s="430"/>
      <c r="F44" s="430">
        <v>148806.583333333</v>
      </c>
      <c r="G44" s="430"/>
      <c r="H44" s="430"/>
      <c r="I44" s="453"/>
      <c r="J44" s="512">
        <v>0.0896002720676993</v>
      </c>
      <c r="K44" s="451">
        <v>0.0962017106257369</v>
      </c>
      <c r="L44" s="451">
        <v>0.107777997232689</v>
      </c>
      <c r="M44" s="451"/>
      <c r="N44" s="459"/>
      <c r="O44" s="430"/>
      <c r="P44" s="509" t="str">
        <f t="array" ref="P44">INDEX(正厂竞争者数据汇总!I:I,MATCH($A$38&amp;B44,正厂竞争者数据汇总!A:A&amp;正厂竞争者数据汇总!D:D,0))</f>
        <v>2022年1月 新加入 CompetitorSites
2022年1月 新加入 MarketingShare</v>
      </c>
      <c r="Q44" s="429"/>
      <c r="R44" s="435"/>
      <c r="S44" s="473"/>
      <c r="T44" s="466"/>
      <c r="U44" s="466"/>
      <c r="V44" s="421"/>
      <c r="W44" s="421"/>
    </row>
    <row r="45" s="410" customFormat="1" spans="1:23">
      <c r="A45" s="428" t="s">
        <v>243</v>
      </c>
      <c r="B45" s="438" t="s">
        <v>438</v>
      </c>
      <c r="C45" s="494" t="s">
        <v>441</v>
      </c>
      <c r="D45" s="431" t="s">
        <v>455</v>
      </c>
      <c r="E45" s="430"/>
      <c r="F45" s="430">
        <v>128170.083333333</v>
      </c>
      <c r="G45" s="430"/>
      <c r="H45" s="430"/>
      <c r="I45" s="453"/>
      <c r="J45" s="512">
        <v>0.077174504516924</v>
      </c>
      <c r="K45" s="451">
        <v>0.0965105450273561</v>
      </c>
      <c r="L45" s="451">
        <v>0.0461748845337072</v>
      </c>
      <c r="M45" s="451"/>
      <c r="N45" s="459"/>
      <c r="O45" s="430"/>
      <c r="P45" s="509" t="str">
        <f t="array" ref="P45">INDEX(正厂竞争者数据汇总!I:I,MATCH($A$38&amp;B45,正厂竞争者数据汇总!A:A&amp;正厂竞争者数据汇总!D:D,0))</f>
        <v>2022年1月 新加入 CompetitorSites
2022年1月 新加入 MarketingShare</v>
      </c>
      <c r="Q45" s="429"/>
      <c r="R45" s="435"/>
      <c r="S45" s="473"/>
      <c r="T45" s="466"/>
      <c r="U45" s="466"/>
      <c r="V45" s="421"/>
      <c r="W45" s="421"/>
    </row>
    <row r="46" s="410" customFormat="1" spans="1:23">
      <c r="A46" s="428" t="s">
        <v>243</v>
      </c>
      <c r="B46" s="438" t="s">
        <v>262</v>
      </c>
      <c r="C46" s="506" t="s">
        <v>441</v>
      </c>
      <c r="D46" s="431" t="s">
        <v>266</v>
      </c>
      <c r="E46" s="430"/>
      <c r="F46" s="430">
        <v>125180.916666667</v>
      </c>
      <c r="G46" s="430"/>
      <c r="H46" s="430"/>
      <c r="I46" s="453"/>
      <c r="J46" s="512">
        <v>0.0753746503667281</v>
      </c>
      <c r="K46" s="451">
        <v>0.0722150584033696</v>
      </c>
      <c r="L46" s="451">
        <v>0.0790999494528635</v>
      </c>
      <c r="M46" s="451"/>
      <c r="N46" s="459"/>
      <c r="O46" s="430"/>
      <c r="P46" s="509" t="str">
        <f t="array" ref="P46">INDEX(正厂竞争者数据汇总!I:I,MATCH($A$38&amp;B46,正厂竞争者数据汇总!A:A&amp;正厂竞争者数据汇总!D:D,0))</f>
        <v>变为精确运费</v>
      </c>
      <c r="Q46" s="429"/>
      <c r="R46" s="435"/>
      <c r="S46" s="473"/>
      <c r="T46" s="466"/>
      <c r="U46" s="466"/>
      <c r="V46" s="421"/>
      <c r="W46" s="421"/>
    </row>
    <row r="47" s="410" customFormat="1" spans="1:23">
      <c r="A47" s="428" t="s">
        <v>230</v>
      </c>
      <c r="B47" s="438" t="s">
        <v>482</v>
      </c>
      <c r="C47" s="494" t="s">
        <v>441</v>
      </c>
      <c r="D47" s="431" t="s">
        <v>426</v>
      </c>
      <c r="E47" s="430"/>
      <c r="F47" s="430">
        <v>49692.435</v>
      </c>
      <c r="G47" s="430"/>
      <c r="H47" s="430"/>
      <c r="I47" s="453"/>
      <c r="J47" s="512">
        <v>0.0299210935159554</v>
      </c>
      <c r="K47" s="451">
        <v>0.0484226636360567</v>
      </c>
      <c r="L47" s="451"/>
      <c r="M47" s="451"/>
      <c r="N47" s="459"/>
      <c r="O47" s="430"/>
      <c r="P47" s="509" t="str">
        <f t="array" ref="P47">INDEX(正厂竞争者数据汇总!I:I,MATCH($A$38&amp;B47,正厂竞争者数据汇总!A:A&amp;正厂竞争者数据汇总!D:D,0))</f>
        <v>同时经营多品牌零件，折算比例为：mopar：21%，toyota：6%，</v>
      </c>
      <c r="Q47" s="429"/>
      <c r="R47" s="435"/>
      <c r="S47" s="473"/>
      <c r="T47" s="466"/>
      <c r="U47" s="466"/>
      <c r="V47" s="421"/>
      <c r="W47" s="421"/>
    </row>
    <row r="48" s="410" customFormat="1" spans="1:23">
      <c r="A48" s="428"/>
      <c r="B48" s="431"/>
      <c r="C48" s="429"/>
      <c r="D48" s="421"/>
      <c r="E48" s="430"/>
      <c r="F48" s="430"/>
      <c r="G48" s="430"/>
      <c r="H48" s="430"/>
      <c r="I48" s="453"/>
      <c r="J48" s="451"/>
      <c r="K48" s="451"/>
      <c r="L48" s="451"/>
      <c r="M48" s="451"/>
      <c r="N48" s="455"/>
      <c r="O48" s="436"/>
      <c r="P48" s="509"/>
      <c r="Q48" s="434"/>
      <c r="R48" s="435"/>
      <c r="S48" s="473"/>
      <c r="T48" s="477"/>
      <c r="U48" s="466"/>
      <c r="V48" s="435"/>
      <c r="W48" s="435"/>
    </row>
    <row r="49" s="408" customFormat="1" spans="1:23">
      <c r="A49" s="428"/>
      <c r="B49" s="421"/>
      <c r="C49" s="439"/>
      <c r="D49" s="421"/>
      <c r="E49" s="430"/>
      <c r="F49" s="430">
        <v>1660782.7175</v>
      </c>
      <c r="G49" s="430">
        <v>1468579.74166667</v>
      </c>
      <c r="H49" s="430">
        <v>1519526.8275</v>
      </c>
      <c r="I49" s="453">
        <f>(F49/G49)-1</f>
        <v>0.130876771877026</v>
      </c>
      <c r="J49" s="512"/>
      <c r="K49" s="430"/>
      <c r="L49" s="430"/>
      <c r="M49" s="451"/>
      <c r="N49" s="451"/>
      <c r="O49" s="430"/>
      <c r="P49" s="509"/>
      <c r="Q49" s="429"/>
      <c r="R49" s="421"/>
      <c r="S49" s="473"/>
      <c r="T49" s="466"/>
      <c r="U49" s="466"/>
      <c r="V49" s="421"/>
      <c r="W49" s="421"/>
    </row>
    <row r="50" s="408" customFormat="1" spans="1:23">
      <c r="A50" s="428"/>
      <c r="B50" s="421"/>
      <c r="C50" s="439"/>
      <c r="D50" s="421"/>
      <c r="E50" s="430"/>
      <c r="F50" s="430"/>
      <c r="G50" s="430"/>
      <c r="H50" s="430"/>
      <c r="I50" s="453"/>
      <c r="J50" s="430"/>
      <c r="K50" s="430"/>
      <c r="L50" s="430"/>
      <c r="M50" s="451"/>
      <c r="N50" s="451"/>
      <c r="O50" s="430"/>
      <c r="P50" s="509"/>
      <c r="Q50" s="429"/>
      <c r="R50" s="421"/>
      <c r="S50" s="473"/>
      <c r="T50" s="466"/>
      <c r="U50" s="466"/>
      <c r="V50" s="421"/>
      <c r="W50" s="421"/>
    </row>
    <row r="51" s="408" customFormat="1" ht="17.4" spans="1:23">
      <c r="A51" s="418" t="s">
        <v>152</v>
      </c>
      <c r="B51" s="419"/>
      <c r="C51" s="420"/>
      <c r="D51" s="421"/>
      <c r="E51" s="422" t="s">
        <v>202</v>
      </c>
      <c r="F51" s="422"/>
      <c r="G51" s="422"/>
      <c r="H51" s="422"/>
      <c r="I51" s="422"/>
      <c r="J51" s="422"/>
      <c r="K51" s="422"/>
      <c r="L51" s="422"/>
      <c r="M51" s="443"/>
      <c r="N51" s="444"/>
      <c r="O51" s="422"/>
      <c r="P51" s="509"/>
      <c r="Q51" s="465"/>
      <c r="R51" s="424"/>
      <c r="S51" s="473"/>
      <c r="T51" s="467"/>
      <c r="U51" s="467"/>
      <c r="V51" s="467"/>
      <c r="W51" s="467"/>
    </row>
    <row r="52" s="409" customFormat="1" ht="46.8" spans="1:23">
      <c r="A52" s="423" t="s">
        <v>206</v>
      </c>
      <c r="B52" s="424" t="s">
        <v>207</v>
      </c>
      <c r="C52" s="425" t="s">
        <v>447</v>
      </c>
      <c r="D52" s="424" t="s">
        <v>209</v>
      </c>
      <c r="E52" s="426" t="s">
        <v>210</v>
      </c>
      <c r="F52" s="427" t="s">
        <v>211</v>
      </c>
      <c r="G52" s="427" t="s">
        <v>213</v>
      </c>
      <c r="H52" s="427" t="s">
        <v>396</v>
      </c>
      <c r="I52" s="427" t="s">
        <v>386</v>
      </c>
      <c r="J52" s="446" t="s">
        <v>215</v>
      </c>
      <c r="K52" s="446" t="s">
        <v>216</v>
      </c>
      <c r="L52" s="446" t="s">
        <v>217</v>
      </c>
      <c r="M52" s="447" t="s">
        <v>436</v>
      </c>
      <c r="N52" s="448" t="s">
        <v>219</v>
      </c>
      <c r="O52" s="449" t="s">
        <v>220</v>
      </c>
      <c r="P52" s="508" t="s">
        <v>221</v>
      </c>
      <c r="Q52" s="469" t="s">
        <v>222</v>
      </c>
      <c r="R52" s="426" t="s">
        <v>223</v>
      </c>
      <c r="S52" s="470" t="s">
        <v>224</v>
      </c>
      <c r="T52" s="467" t="s">
        <v>225</v>
      </c>
      <c r="U52" s="470" t="s">
        <v>226</v>
      </c>
      <c r="V52" s="467"/>
      <c r="W52" s="467"/>
    </row>
    <row r="53" s="410" customFormat="1" ht="17.4" spans="1:23">
      <c r="A53" s="432" t="s">
        <v>227</v>
      </c>
      <c r="B53" s="435" t="s">
        <v>153</v>
      </c>
      <c r="C53" s="434" t="s">
        <v>441</v>
      </c>
      <c r="D53" s="435" t="s">
        <v>49</v>
      </c>
      <c r="E53" s="436">
        <f>VLOOKUP(B53,正厂竞争者数据汇总!D:H,4,FALSE)</f>
        <v>0</v>
      </c>
      <c r="F53" s="436">
        <v>417653.75</v>
      </c>
      <c r="G53" s="436">
        <v>436555.583333333</v>
      </c>
      <c r="H53" s="436">
        <v>490593.833333333</v>
      </c>
      <c r="I53" s="454">
        <f>(F53/G53)-1</f>
        <v>-0.0432976556822559</v>
      </c>
      <c r="J53" s="457">
        <v>0.298924449748403</v>
      </c>
      <c r="K53" s="457">
        <v>0.26545031168208</v>
      </c>
      <c r="L53" s="457">
        <v>0.343631089029878</v>
      </c>
      <c r="M53" s="456">
        <f>J53-K53</f>
        <v>0.033474138066323</v>
      </c>
      <c r="N53" s="457" t="str">
        <f>IFERROR(O53*0.5/#REF!,"")</f>
        <v/>
      </c>
      <c r="O53" s="436" t="s">
        <v>180</v>
      </c>
      <c r="P53" s="509">
        <f t="array" ref="P53">INDEX(正厂竞争者数据汇总!I:I,MATCH($A$51&amp;B53,正厂竞争者数据汇总!A:A&amp;正厂竞争者数据汇总!D:D,0))</f>
        <v>0</v>
      </c>
      <c r="Q53" s="434" t="s">
        <v>268</v>
      </c>
      <c r="R53" s="435" t="s">
        <v>229</v>
      </c>
      <c r="S53" s="476"/>
      <c r="T53" s="477"/>
      <c r="U53" s="477"/>
      <c r="V53" s="477"/>
      <c r="W53" s="477"/>
    </row>
    <row r="54" s="408" customFormat="1" spans="1:23">
      <c r="A54" s="428" t="s">
        <v>230</v>
      </c>
      <c r="B54" s="428" t="s">
        <v>255</v>
      </c>
      <c r="C54" s="429" t="s">
        <v>233</v>
      </c>
      <c r="D54" s="431" t="s">
        <v>419</v>
      </c>
      <c r="E54" s="430"/>
      <c r="F54" s="430">
        <v>246106.426666667</v>
      </c>
      <c r="G54" s="430"/>
      <c r="H54" s="430"/>
      <c r="I54" s="453"/>
      <c r="J54" s="490">
        <v>0.176144062326459</v>
      </c>
      <c r="K54" s="451">
        <v>0.172907565327323</v>
      </c>
      <c r="L54" s="451">
        <v>0.201944426860393</v>
      </c>
      <c r="M54" s="451"/>
      <c r="N54" s="451"/>
      <c r="O54" s="430"/>
      <c r="P54" s="509" t="str">
        <f t="array" ref="P54">INDEX(正厂竞争者数据汇总!I:I,MATCH($A$51&amp;B54,正厂竞争者数据汇总!A:A&amp;正厂竞争者数据汇总!D:D,0))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54" s="429"/>
      <c r="R54" s="421"/>
      <c r="S54" s="473"/>
      <c r="T54" s="466"/>
      <c r="U54" s="466"/>
      <c r="V54" s="421"/>
      <c r="W54" s="421"/>
    </row>
    <row r="55" s="408" customFormat="1" spans="1:23">
      <c r="A55" s="428" t="s">
        <v>243</v>
      </c>
      <c r="B55" s="438" t="s">
        <v>270</v>
      </c>
      <c r="C55" s="429" t="s">
        <v>233</v>
      </c>
      <c r="D55" s="431" t="s">
        <v>266</v>
      </c>
      <c r="E55" s="430"/>
      <c r="F55" s="430">
        <v>238855.75</v>
      </c>
      <c r="G55" s="430"/>
      <c r="H55" s="430"/>
      <c r="I55" s="453"/>
      <c r="J55" s="490">
        <v>0.170954585318562</v>
      </c>
      <c r="K55" s="451">
        <v>0.156870765143869</v>
      </c>
      <c r="L55" s="451">
        <v>0.193169090824122</v>
      </c>
      <c r="M55" s="451"/>
      <c r="N55" s="451"/>
      <c r="O55" s="430"/>
      <c r="P55" s="509">
        <f t="array" ref="P55">INDEX(正厂竞争者数据汇总!I:I,MATCH($A$51&amp;B55,正厂竞争者数据汇总!A:A&amp;正厂竞争者数据汇总!D:D,0))</f>
        <v>0</v>
      </c>
      <c r="Q55" s="429"/>
      <c r="R55" s="421"/>
      <c r="S55" s="473"/>
      <c r="T55" s="466"/>
      <c r="U55" s="466"/>
      <c r="V55" s="421"/>
      <c r="W55" s="421"/>
    </row>
    <row r="56" s="408" customFormat="1" spans="1:23">
      <c r="A56" s="428" t="s">
        <v>230</v>
      </c>
      <c r="B56" s="431" t="s">
        <v>273</v>
      </c>
      <c r="C56" s="429" t="s">
        <v>233</v>
      </c>
      <c r="D56" s="431" t="s">
        <v>420</v>
      </c>
      <c r="E56" s="430"/>
      <c r="F56" s="430">
        <v>121675.416666667</v>
      </c>
      <c r="G56" s="430"/>
      <c r="H56" s="430"/>
      <c r="I56" s="453"/>
      <c r="J56" s="490">
        <v>0.0870859102186707</v>
      </c>
      <c r="K56" s="451">
        <v>0.0812084986296089</v>
      </c>
      <c r="L56" s="451">
        <v>0.0817533861350367</v>
      </c>
      <c r="M56" s="451"/>
      <c r="N56" s="451"/>
      <c r="O56" s="430"/>
      <c r="P56" s="509">
        <f t="array" ref="P56">INDEX(正厂竞争者数据汇总!I:I,MATCH($A$51&amp;B56,正厂竞争者数据汇总!A:A&amp;正厂竞争者数据汇总!D:D,0))</f>
        <v>0</v>
      </c>
      <c r="Q56" s="429"/>
      <c r="R56" s="421"/>
      <c r="S56" s="473"/>
      <c r="T56" s="466"/>
      <c r="U56" s="466"/>
      <c r="V56" s="421"/>
      <c r="W56" s="421"/>
    </row>
    <row r="57" s="408" customFormat="1" spans="1:23">
      <c r="A57" s="428" t="s">
        <v>230</v>
      </c>
      <c r="B57" s="431" t="s">
        <v>269</v>
      </c>
      <c r="C57" s="494" t="s">
        <v>233</v>
      </c>
      <c r="D57" s="431" t="s">
        <v>234</v>
      </c>
      <c r="E57" s="430"/>
      <c r="F57" s="430">
        <v>116396</v>
      </c>
      <c r="G57" s="430"/>
      <c r="H57" s="430"/>
      <c r="I57" s="453"/>
      <c r="J57" s="490">
        <v>0.0833073095905763</v>
      </c>
      <c r="K57" s="451">
        <v>0.0787598480736957</v>
      </c>
      <c r="L57" s="451"/>
      <c r="M57" s="451"/>
      <c r="N57" s="451"/>
      <c r="O57" s="430"/>
      <c r="P57" s="509" t="str">
        <f t="array" ref="P57">INDEX(正厂竞争者数据汇总!I:I,MATCH($A$51&amp;B57,正厂竞争者数据汇总!A:A&amp;正厂竞争者数据汇总!D:D,0))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57" s="429"/>
      <c r="R57" s="421"/>
      <c r="S57" s="473"/>
      <c r="T57" s="466"/>
      <c r="U57" s="466"/>
      <c r="V57" s="421"/>
      <c r="W57" s="421"/>
    </row>
    <row r="58" s="408" customFormat="1" spans="1:23">
      <c r="A58" s="428" t="s">
        <v>230</v>
      </c>
      <c r="B58" s="438" t="s">
        <v>400</v>
      </c>
      <c r="C58" s="429" t="s">
        <v>233</v>
      </c>
      <c r="D58" s="431" t="s">
        <v>272</v>
      </c>
      <c r="E58" s="430"/>
      <c r="F58" s="430">
        <v>78465.1666666667</v>
      </c>
      <c r="G58" s="430"/>
      <c r="H58" s="430"/>
      <c r="I58" s="453"/>
      <c r="J58" s="490">
        <v>0.0561593347844958</v>
      </c>
      <c r="K58" s="451">
        <v>0.0644099448545676</v>
      </c>
      <c r="L58" s="451">
        <v>0.0821373144824755</v>
      </c>
      <c r="M58" s="451"/>
      <c r="N58" s="451"/>
      <c r="O58" s="430"/>
      <c r="P58" s="509">
        <f t="array" ref="P58">INDEX(正厂竞争者数据汇总!I:I,MATCH($A$51&amp;B58,正厂竞争者数据汇总!A:A&amp;正厂竞争者数据汇总!D:D,0))</f>
        <v>0</v>
      </c>
      <c r="Q58" s="429"/>
      <c r="R58" s="421"/>
      <c r="S58" s="473"/>
      <c r="T58" s="466"/>
      <c r="U58" s="466"/>
      <c r="V58" s="421"/>
      <c r="W58" s="421"/>
    </row>
    <row r="59" s="408" customFormat="1" spans="1:23">
      <c r="A59" s="428" t="s">
        <v>230</v>
      </c>
      <c r="B59" s="438" t="s">
        <v>292</v>
      </c>
      <c r="C59" s="429" t="s">
        <v>233</v>
      </c>
      <c r="D59" s="431" t="s">
        <v>250</v>
      </c>
      <c r="E59" s="430"/>
      <c r="F59" s="430">
        <v>78175.57</v>
      </c>
      <c r="G59" s="430"/>
      <c r="H59" s="430"/>
      <c r="I59" s="453"/>
      <c r="J59" s="490">
        <v>0.0559520637514156</v>
      </c>
      <c r="K59" s="451">
        <v>0.0570754588829011</v>
      </c>
      <c r="L59" s="451">
        <v>0.060913998794027</v>
      </c>
      <c r="M59" s="451"/>
      <c r="N59" s="451"/>
      <c r="O59" s="430"/>
      <c r="P59" s="509" t="str">
        <f t="array" ref="P59">INDEX(正厂竞争者数据汇总!I:I,MATCH($A$51&amp;B59,正厂竞争者数据汇总!A:A&amp;正厂竞争者数据汇总!D:D,0))</f>
        <v>同时经营多品牌，流量折算比例为Ford:23%,GM:23%,Infiniti:0%,Kia:13%,Mopar:31%,Nissan:10%</v>
      </c>
      <c r="Q59" s="429"/>
      <c r="R59" s="421"/>
      <c r="S59" s="473"/>
      <c r="T59" s="466"/>
      <c r="U59" s="466"/>
      <c r="V59" s="421"/>
      <c r="W59" s="421"/>
    </row>
    <row r="60" s="408" customFormat="1" spans="1:23">
      <c r="A60" s="428" t="s">
        <v>230</v>
      </c>
      <c r="B60" s="431" t="s">
        <v>483</v>
      </c>
      <c r="C60" s="494" t="s">
        <v>233</v>
      </c>
      <c r="D60" s="431" t="s">
        <v>423</v>
      </c>
      <c r="E60" s="430"/>
      <c r="F60" s="430">
        <v>53838.6666666667</v>
      </c>
      <c r="G60" s="430"/>
      <c r="H60" s="430"/>
      <c r="I60" s="453"/>
      <c r="J60" s="490">
        <v>0.0385335790915826</v>
      </c>
      <c r="K60" s="451">
        <v>0.0406693250433112</v>
      </c>
      <c r="L60" s="451"/>
      <c r="M60" s="451"/>
      <c r="N60" s="451"/>
      <c r="O60" s="430"/>
      <c r="P60" s="509">
        <f t="array" ref="P60">INDEX(正厂竞争者数据汇总!I:I,MATCH($A$51&amp;B60,正厂竞争者数据汇总!A:A&amp;正厂竞争者数据汇总!D:D,0))</f>
        <v>0</v>
      </c>
      <c r="Q60" s="429"/>
      <c r="R60" s="421"/>
      <c r="S60" s="473"/>
      <c r="T60" s="466"/>
      <c r="U60" s="466"/>
      <c r="V60" s="421"/>
      <c r="W60" s="421"/>
    </row>
    <row r="61" s="408" customFormat="1" spans="1:23">
      <c r="A61" s="428" t="s">
        <v>230</v>
      </c>
      <c r="B61" s="438" t="s">
        <v>459</v>
      </c>
      <c r="C61" s="494" t="s">
        <v>233</v>
      </c>
      <c r="D61" s="431" t="s">
        <v>419</v>
      </c>
      <c r="E61" s="430"/>
      <c r="F61" s="430">
        <v>46021.5741666667</v>
      </c>
      <c r="G61" s="430"/>
      <c r="H61" s="430"/>
      <c r="I61" s="453"/>
      <c r="J61" s="490">
        <v>0.0329387051698355</v>
      </c>
      <c r="K61" s="451">
        <v>0.0455654043959009</v>
      </c>
      <c r="L61" s="451"/>
      <c r="M61" s="451"/>
      <c r="N61" s="451"/>
      <c r="O61" s="430"/>
      <c r="P61" s="509" t="str">
        <f t="array" ref="P61">INDEX(正厂竞争者数据汇总!I:I,MATCH($A$51&amp;B61,正厂竞争者数据汇总!A:A&amp;正厂竞争者数据汇总!D:D,0))</f>
        <v>经营多品牌零件，折算比例为：Ford:33%,GM:17%,Hyundai:0%,Infiniti:0%,Kia:17%,Mopar:33%,Subaru:0%</v>
      </c>
      <c r="Q61" s="429"/>
      <c r="R61" s="421"/>
      <c r="S61" s="473"/>
      <c r="T61" s="466"/>
      <c r="U61" s="466"/>
      <c r="V61" s="421"/>
      <c r="W61" s="421"/>
    </row>
    <row r="62" s="408" customFormat="1" spans="1:23">
      <c r="A62" s="428"/>
      <c r="B62" s="421"/>
      <c r="C62" s="429"/>
      <c r="D62" s="421"/>
      <c r="E62" s="430"/>
      <c r="F62" s="430"/>
      <c r="G62" s="430"/>
      <c r="H62" s="430"/>
      <c r="I62" s="450"/>
      <c r="J62" s="451"/>
      <c r="K62" s="451"/>
      <c r="L62" s="451"/>
      <c r="M62" s="452"/>
      <c r="N62" s="451"/>
      <c r="O62" s="430"/>
      <c r="P62" s="509"/>
      <c r="Q62" s="429"/>
      <c r="R62" s="421"/>
      <c r="S62" s="472"/>
      <c r="T62" s="466"/>
      <c r="U62" s="466"/>
      <c r="V62" s="421"/>
      <c r="W62" s="421"/>
    </row>
    <row r="63" s="408" customFormat="1" spans="1:23">
      <c r="A63" s="428"/>
      <c r="B63" s="421"/>
      <c r="C63" s="439"/>
      <c r="D63" s="421"/>
      <c r="E63" s="430"/>
      <c r="F63" s="430">
        <v>1397188.32083333</v>
      </c>
      <c r="G63" s="430">
        <v>1270419.34583333</v>
      </c>
      <c r="H63" s="430">
        <v>1259631.94083333</v>
      </c>
      <c r="I63" s="453">
        <f>(F63/G63)-1</f>
        <v>0.0997851421389102</v>
      </c>
      <c r="J63" s="430"/>
      <c r="K63" s="451"/>
      <c r="L63" s="430">
        <v>0.000544887505427791</v>
      </c>
      <c r="M63" s="451"/>
      <c r="N63" s="459">
        <f>SUM(N53:N61)</f>
        <v>0</v>
      </c>
      <c r="O63" s="430" t="s">
        <v>180</v>
      </c>
      <c r="P63" s="509"/>
      <c r="Q63" s="429"/>
      <c r="R63" s="421"/>
      <c r="S63" s="473"/>
      <c r="T63" s="466"/>
      <c r="U63" s="466"/>
      <c r="V63" s="421"/>
      <c r="W63" s="421"/>
    </row>
    <row r="64" s="408" customFormat="1" spans="1:23">
      <c r="A64" s="428"/>
      <c r="B64" s="421"/>
      <c r="C64" s="439"/>
      <c r="D64" s="421"/>
      <c r="E64" s="430"/>
      <c r="F64" s="430"/>
      <c r="G64" s="430"/>
      <c r="H64" s="430"/>
      <c r="I64" s="453"/>
      <c r="J64" s="430"/>
      <c r="K64" s="430"/>
      <c r="L64" s="430"/>
      <c r="M64" s="451"/>
      <c r="N64" s="459"/>
      <c r="O64" s="430"/>
      <c r="P64" s="509"/>
      <c r="Q64" s="429"/>
      <c r="R64" s="421"/>
      <c r="S64" s="473"/>
      <c r="T64" s="466"/>
      <c r="U64" s="466"/>
      <c r="V64" s="421"/>
      <c r="W64" s="421"/>
    </row>
    <row r="65" s="408" customFormat="1" ht="17.4" spans="1:23">
      <c r="A65" s="418" t="s">
        <v>159</v>
      </c>
      <c r="B65" s="419"/>
      <c r="C65" s="420"/>
      <c r="D65" s="421"/>
      <c r="E65" s="422" t="s">
        <v>202</v>
      </c>
      <c r="F65" s="422"/>
      <c r="G65" s="422"/>
      <c r="H65" s="422"/>
      <c r="I65" s="422"/>
      <c r="J65" s="422"/>
      <c r="K65" s="422"/>
      <c r="L65" s="422"/>
      <c r="M65" s="443"/>
      <c r="N65" s="444"/>
      <c r="O65" s="422"/>
      <c r="P65" s="509"/>
      <c r="Q65" s="465"/>
      <c r="R65" s="424"/>
      <c r="S65" s="473"/>
      <c r="T65" s="467"/>
      <c r="U65" s="467"/>
      <c r="V65" s="467"/>
      <c r="W65" s="467"/>
    </row>
    <row r="66" s="409" customFormat="1" ht="46.8" spans="1:23">
      <c r="A66" s="423" t="s">
        <v>206</v>
      </c>
      <c r="B66" s="424" t="s">
        <v>207</v>
      </c>
      <c r="C66" s="425" t="s">
        <v>447</v>
      </c>
      <c r="D66" s="424" t="s">
        <v>209</v>
      </c>
      <c r="E66" s="426" t="s">
        <v>210</v>
      </c>
      <c r="F66" s="427" t="s">
        <v>211</v>
      </c>
      <c r="G66" s="427" t="s">
        <v>213</v>
      </c>
      <c r="H66" s="427" t="s">
        <v>396</v>
      </c>
      <c r="I66" s="427" t="s">
        <v>386</v>
      </c>
      <c r="J66" s="446" t="s">
        <v>215</v>
      </c>
      <c r="K66" s="446" t="s">
        <v>216</v>
      </c>
      <c r="L66" s="446" t="s">
        <v>217</v>
      </c>
      <c r="M66" s="447" t="s">
        <v>436</v>
      </c>
      <c r="N66" s="448" t="s">
        <v>219</v>
      </c>
      <c r="O66" s="449" t="s">
        <v>220</v>
      </c>
      <c r="P66" s="508" t="s">
        <v>221</v>
      </c>
      <c r="Q66" s="469" t="s">
        <v>222</v>
      </c>
      <c r="R66" s="426" t="s">
        <v>223</v>
      </c>
      <c r="S66" s="470" t="s">
        <v>224</v>
      </c>
      <c r="T66" s="467" t="s">
        <v>225</v>
      </c>
      <c r="U66" s="470" t="s">
        <v>226</v>
      </c>
      <c r="V66" s="467"/>
      <c r="W66" s="467"/>
    </row>
    <row r="67" s="410" customFormat="1" ht="17.4" spans="1:23">
      <c r="A67" s="432" t="s">
        <v>227</v>
      </c>
      <c r="B67" s="479" t="s">
        <v>160</v>
      </c>
      <c r="C67" s="434" t="s">
        <v>441</v>
      </c>
      <c r="D67" s="435" t="s">
        <v>49</v>
      </c>
      <c r="E67" s="436">
        <f>VLOOKUP(B67,正厂竞争者数据汇总!D:H,4,FALSE)</f>
        <v>0</v>
      </c>
      <c r="F67" s="436">
        <v>406453.833333333</v>
      </c>
      <c r="G67" s="436">
        <v>369856.833333333</v>
      </c>
      <c r="H67" s="436">
        <v>370810.25</v>
      </c>
      <c r="I67" s="454">
        <f>(F67/G67)-1</f>
        <v>0.0989490978716541</v>
      </c>
      <c r="J67" s="455">
        <v>0.539885336095221</v>
      </c>
      <c r="K67" s="455">
        <v>0.489210581269666</v>
      </c>
      <c r="L67" s="455">
        <v>0.547638900515296</v>
      </c>
      <c r="M67" s="456">
        <f>J67-K67</f>
        <v>0.0506747548255551</v>
      </c>
      <c r="N67" s="455" t="str">
        <f>IFERROR(O67*0.5/$F$67,"")</f>
        <v/>
      </c>
      <c r="O67" s="436" t="s">
        <v>180</v>
      </c>
      <c r="P67" s="509">
        <f t="array" ref="P67">INDEX(正厂竞争者数据汇总!I:I,MATCH($A$65&amp;B67,正厂竞争者数据汇总!A:A&amp;正厂竞争者数据汇总!D:D,0))</f>
        <v>0</v>
      </c>
      <c r="Q67" s="434" t="s">
        <v>280</v>
      </c>
      <c r="R67" s="435" t="s">
        <v>229</v>
      </c>
      <c r="S67" s="476"/>
      <c r="T67" s="477"/>
      <c r="U67" s="477"/>
      <c r="V67" s="435"/>
      <c r="W67" s="435"/>
    </row>
    <row r="68" s="408" customFormat="1" spans="1:23">
      <c r="A68" s="428" t="s">
        <v>230</v>
      </c>
      <c r="B68" s="438" t="s">
        <v>255</v>
      </c>
      <c r="C68" s="494" t="s">
        <v>233</v>
      </c>
      <c r="D68" s="431" t="s">
        <v>419</v>
      </c>
      <c r="E68" s="486"/>
      <c r="F68" s="430">
        <v>107671.561666667</v>
      </c>
      <c r="G68" s="430"/>
      <c r="H68" s="430"/>
      <c r="I68" s="453"/>
      <c r="J68" s="512">
        <v>0.143018204014902</v>
      </c>
      <c r="K68" s="451">
        <v>0.134324283692421</v>
      </c>
      <c r="L68" s="451">
        <v>0.166194891787519</v>
      </c>
      <c r="M68" s="451"/>
      <c r="N68" s="459"/>
      <c r="O68" s="430"/>
      <c r="P68" s="509" t="str">
        <f t="array" ref="P68">INDEX(正厂竞争者数据汇总!I:I,MATCH($A$65&amp;B68,正厂竞争者数据汇总!A:A&amp;正厂竞争者数据汇总!D:D,0))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68" s="429"/>
      <c r="R68" s="421"/>
      <c r="S68" s="473"/>
      <c r="T68" s="466"/>
      <c r="U68" s="466"/>
      <c r="V68" s="421"/>
      <c r="W68" s="421"/>
    </row>
    <row r="69" s="408" customFormat="1" spans="1:23">
      <c r="A69" s="428" t="s">
        <v>230</v>
      </c>
      <c r="B69" s="421" t="s">
        <v>282</v>
      </c>
      <c r="C69" s="494" t="s">
        <v>441</v>
      </c>
      <c r="D69" s="431" t="s">
        <v>250</v>
      </c>
      <c r="E69" s="486"/>
      <c r="F69" s="430">
        <v>105403.666666667</v>
      </c>
      <c r="G69" s="430"/>
      <c r="H69" s="430"/>
      <c r="I69" s="453"/>
      <c r="J69" s="512">
        <v>0.140005799766522</v>
      </c>
      <c r="K69" s="451">
        <v>0.145148725472946</v>
      </c>
      <c r="L69" s="451">
        <v>0.189189197793129</v>
      </c>
      <c r="M69" s="451"/>
      <c r="N69" s="459"/>
      <c r="O69" s="430"/>
      <c r="P69" s="509" t="str">
        <f t="array" ref="P69">INDEX(正厂竞争者数据汇总!I:I,MATCH($A$65&amp;B69,正厂竞争者数据汇总!A:A&amp;正厂竞争者数据汇总!D:D,0))</f>
        <v>2021年08月新增竞争者</v>
      </c>
      <c r="Q69" s="429"/>
      <c r="R69" s="421"/>
      <c r="S69" s="473"/>
      <c r="T69" s="466"/>
      <c r="U69" s="466"/>
      <c r="V69" s="421"/>
      <c r="W69" s="421"/>
    </row>
    <row r="70" s="408" customFormat="1" spans="1:23">
      <c r="A70" s="428" t="s">
        <v>230</v>
      </c>
      <c r="B70" s="431" t="s">
        <v>283</v>
      </c>
      <c r="C70" s="494" t="s">
        <v>233</v>
      </c>
      <c r="D70" s="431" t="s">
        <v>50</v>
      </c>
      <c r="E70" s="486"/>
      <c r="F70" s="430">
        <v>52041.75</v>
      </c>
      <c r="G70" s="430"/>
      <c r="H70" s="430"/>
      <c r="I70" s="453"/>
      <c r="J70" s="512">
        <v>0.0691261230317674</v>
      </c>
      <c r="K70" s="451">
        <v>0.053978167783168</v>
      </c>
      <c r="L70" s="451">
        <v>0.0644519419565413</v>
      </c>
      <c r="M70" s="451"/>
      <c r="N70" s="459"/>
      <c r="O70" s="430"/>
      <c r="P70" s="509" t="str">
        <f t="array" ref="P70">INDEX(正厂竞争者数据汇总!I:I,MATCH($A$65&amp;B70,正厂竞争者数据汇总!A:A&amp;正厂竞争者数据汇总!D:D,0))</f>
        <v>2020年10月起加入MarketingShare.2023年8月，因为连续半年市场份额低于5%移除；2024年2月因市场份额大于5%重新加入监控</v>
      </c>
      <c r="Q70" s="429"/>
      <c r="R70" s="421"/>
      <c r="S70" s="473"/>
      <c r="T70" s="466"/>
      <c r="U70" s="466"/>
      <c r="V70" s="421"/>
      <c r="W70" s="421"/>
    </row>
    <row r="71" s="408" customFormat="1" spans="1:23">
      <c r="A71" s="428" t="s">
        <v>230</v>
      </c>
      <c r="B71" s="431" t="s">
        <v>457</v>
      </c>
      <c r="C71" s="494" t="s">
        <v>233</v>
      </c>
      <c r="D71" s="431" t="s">
        <v>58</v>
      </c>
      <c r="E71" s="486"/>
      <c r="F71" s="430">
        <v>37203.6666666667</v>
      </c>
      <c r="G71" s="430"/>
      <c r="H71" s="430"/>
      <c r="I71" s="453"/>
      <c r="J71" s="512">
        <v>0.0494169630966073</v>
      </c>
      <c r="K71" s="451">
        <v>0.0527167304503239</v>
      </c>
      <c r="L71" s="451">
        <v>0.0497987816502124</v>
      </c>
      <c r="M71" s="451"/>
      <c r="N71" s="459"/>
      <c r="O71" s="430"/>
      <c r="P71" s="509">
        <f t="array" ref="P71">INDEX(正厂竞争者数据汇总!I:I,MATCH($A$65&amp;B71,正厂竞争者数据汇总!A:A&amp;正厂竞争者数据汇总!D:D,0))</f>
        <v>0</v>
      </c>
      <c r="Q71" s="429"/>
      <c r="R71" s="421"/>
      <c r="S71" s="473"/>
      <c r="T71" s="466"/>
      <c r="U71" s="466"/>
      <c r="V71" s="421"/>
      <c r="W71" s="435"/>
    </row>
    <row r="72" s="408" customFormat="1" spans="1:23">
      <c r="A72" s="428" t="s">
        <v>243</v>
      </c>
      <c r="B72" s="431" t="s">
        <v>401</v>
      </c>
      <c r="C72" s="494" t="s">
        <v>233</v>
      </c>
      <c r="D72" s="431" t="s">
        <v>266</v>
      </c>
      <c r="E72" s="486"/>
      <c r="F72" s="430">
        <v>25345.6666666667</v>
      </c>
      <c r="G72" s="430"/>
      <c r="H72" s="430"/>
      <c r="I72" s="453"/>
      <c r="J72" s="512">
        <v>0.0336661943981931</v>
      </c>
      <c r="K72" s="451">
        <v>0.0491566488920993</v>
      </c>
      <c r="L72" s="451"/>
      <c r="M72" s="451"/>
      <c r="N72" s="459"/>
      <c r="O72" s="430"/>
      <c r="P72" s="509" t="str">
        <f t="array" ref="P72">INDEX(正厂竞争者数据汇总!I:I,MATCH($A$65&amp;B72,正厂竞争者数据汇总!A:A&amp;正厂竞争者数据汇总!D:D,0))</f>
        <v>2023年1月新增</v>
      </c>
      <c r="Q72" s="429"/>
      <c r="R72" s="421"/>
      <c r="S72" s="473"/>
      <c r="T72" s="466"/>
      <c r="U72" s="466"/>
      <c r="V72" s="421"/>
      <c r="W72" s="435"/>
    </row>
    <row r="73" s="408" customFormat="1" spans="1:23">
      <c r="A73" s="428" t="s">
        <v>230</v>
      </c>
      <c r="B73" s="421" t="s">
        <v>281</v>
      </c>
      <c r="C73" s="494" t="s">
        <v>233</v>
      </c>
      <c r="D73" s="431" t="s">
        <v>234</v>
      </c>
      <c r="E73" s="486"/>
      <c r="F73" s="430">
        <v>18732</v>
      </c>
      <c r="G73" s="430"/>
      <c r="H73" s="430"/>
      <c r="I73" s="453"/>
      <c r="J73" s="512">
        <v>0.0248813795967865</v>
      </c>
      <c r="K73" s="451">
        <v>0.0405583915523812</v>
      </c>
      <c r="L73" s="451"/>
      <c r="M73" s="451"/>
      <c r="N73" s="459"/>
      <c r="O73" s="430"/>
      <c r="P73" s="509" t="str">
        <f t="array" ref="P73">INDEX(正厂竞争者数据汇总!I:I,MATCH($A$65&amp;B73,正厂竞争者数据汇总!A:A&amp;正厂竞争者数据汇总!D:D,0))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73" s="429"/>
      <c r="R73" s="421"/>
      <c r="S73" s="473"/>
      <c r="T73" s="466"/>
      <c r="U73" s="466"/>
      <c r="V73" s="421"/>
      <c r="W73" s="421"/>
    </row>
    <row r="74" s="408" customFormat="1" spans="1:23">
      <c r="A74" s="428"/>
      <c r="B74" s="421"/>
      <c r="C74" s="429"/>
      <c r="D74" s="421"/>
      <c r="E74" s="430"/>
      <c r="F74" s="430"/>
      <c r="G74" s="430"/>
      <c r="H74" s="430"/>
      <c r="I74" s="453"/>
      <c r="J74" s="451"/>
      <c r="K74" s="451"/>
      <c r="L74" s="451"/>
      <c r="M74" s="451"/>
      <c r="N74" s="451"/>
      <c r="O74" s="430"/>
      <c r="P74" s="509"/>
      <c r="Q74" s="429"/>
      <c r="R74" s="421"/>
      <c r="S74" s="473"/>
      <c r="T74" s="466"/>
      <c r="U74" s="466"/>
      <c r="V74" s="421"/>
      <c r="W74" s="421"/>
    </row>
    <row r="75" s="408" customFormat="1" spans="1:23">
      <c r="A75" s="428"/>
      <c r="B75" s="421"/>
      <c r="C75" s="429"/>
      <c r="D75" s="421"/>
      <c r="E75" s="430"/>
      <c r="F75" s="430">
        <v>752852.145</v>
      </c>
      <c r="G75" s="430">
        <v>675366.255</v>
      </c>
      <c r="H75" s="430">
        <v>656929.13</v>
      </c>
      <c r="I75" s="453">
        <f>(F75/G75)-1</f>
        <v>0.114731657713636</v>
      </c>
      <c r="J75" s="451"/>
      <c r="K75" s="451"/>
      <c r="L75" s="451"/>
      <c r="M75" s="451"/>
      <c r="N75" s="451">
        <f>SUM(N67:N73)</f>
        <v>0</v>
      </c>
      <c r="O75" s="430"/>
      <c r="P75" s="509"/>
      <c r="Q75" s="429"/>
      <c r="R75" s="421"/>
      <c r="S75" s="473"/>
      <c r="T75" s="466"/>
      <c r="U75" s="466"/>
      <c r="V75" s="421"/>
      <c r="W75" s="421"/>
    </row>
    <row r="76" s="408" customFormat="1" spans="1:23">
      <c r="A76" s="428"/>
      <c r="B76" s="421"/>
      <c r="C76" s="429"/>
      <c r="D76" s="421"/>
      <c r="E76" s="430"/>
      <c r="F76" s="430"/>
      <c r="G76" s="430"/>
      <c r="H76" s="430"/>
      <c r="I76" s="453"/>
      <c r="J76" s="451"/>
      <c r="K76" s="451"/>
      <c r="L76" s="451"/>
      <c r="M76" s="451"/>
      <c r="N76" s="451"/>
      <c r="O76" s="430"/>
      <c r="P76" s="509"/>
      <c r="Q76" s="429"/>
      <c r="R76" s="421"/>
      <c r="S76" s="473"/>
      <c r="T76" s="466"/>
      <c r="U76" s="466"/>
      <c r="V76" s="421"/>
      <c r="W76" s="421"/>
    </row>
    <row r="77" s="408" customFormat="1" ht="17.4" spans="1:23">
      <c r="A77" s="418" t="s">
        <v>274</v>
      </c>
      <c r="B77" s="419"/>
      <c r="C77" s="420"/>
      <c r="D77" s="421"/>
      <c r="E77" s="422" t="s">
        <v>202</v>
      </c>
      <c r="F77" s="422"/>
      <c r="G77" s="422"/>
      <c r="H77" s="422"/>
      <c r="I77" s="422"/>
      <c r="J77" s="422"/>
      <c r="K77" s="422"/>
      <c r="L77" s="422"/>
      <c r="M77" s="443"/>
      <c r="N77" s="444"/>
      <c r="O77" s="422"/>
      <c r="P77" s="509"/>
      <c r="Q77" s="465"/>
      <c r="R77" s="424"/>
      <c r="S77" s="473"/>
      <c r="T77" s="467"/>
      <c r="U77" s="467"/>
      <c r="V77" s="467"/>
      <c r="W77" s="467"/>
    </row>
    <row r="78" s="409" customFormat="1" ht="46.8" spans="1:23">
      <c r="A78" s="423" t="s">
        <v>206</v>
      </c>
      <c r="B78" s="424" t="s">
        <v>207</v>
      </c>
      <c r="C78" s="425" t="s">
        <v>447</v>
      </c>
      <c r="D78" s="424" t="s">
        <v>209</v>
      </c>
      <c r="E78" s="426" t="s">
        <v>210</v>
      </c>
      <c r="F78" s="427" t="s">
        <v>211</v>
      </c>
      <c r="G78" s="427" t="s">
        <v>213</v>
      </c>
      <c r="H78" s="427" t="s">
        <v>396</v>
      </c>
      <c r="I78" s="427" t="s">
        <v>386</v>
      </c>
      <c r="J78" s="446" t="s">
        <v>215</v>
      </c>
      <c r="K78" s="446" t="s">
        <v>216</v>
      </c>
      <c r="L78" s="446" t="s">
        <v>217</v>
      </c>
      <c r="M78" s="447" t="s">
        <v>436</v>
      </c>
      <c r="N78" s="448" t="s">
        <v>219</v>
      </c>
      <c r="O78" s="449" t="s">
        <v>220</v>
      </c>
      <c r="P78" s="508" t="s">
        <v>221</v>
      </c>
      <c r="Q78" s="469" t="s">
        <v>222</v>
      </c>
      <c r="R78" s="426" t="s">
        <v>223</v>
      </c>
      <c r="S78" s="470" t="s">
        <v>224</v>
      </c>
      <c r="T78" s="467" t="s">
        <v>225</v>
      </c>
      <c r="U78" s="470" t="s">
        <v>226</v>
      </c>
      <c r="V78" s="467"/>
      <c r="W78" s="467"/>
    </row>
    <row r="79" s="410" customFormat="1" ht="17.4" spans="1:23">
      <c r="A79" s="432" t="s">
        <v>227</v>
      </c>
      <c r="B79" s="435" t="s">
        <v>157</v>
      </c>
      <c r="C79" s="434" t="s">
        <v>441</v>
      </c>
      <c r="D79" s="435" t="s">
        <v>49</v>
      </c>
      <c r="E79" s="436">
        <f>VLOOKUP(B79,正厂竞争者数据汇总!D:H,4,FALSE)</f>
        <v>0</v>
      </c>
      <c r="F79" s="436">
        <v>248439.333333333</v>
      </c>
      <c r="G79" s="436">
        <v>278909.416666667</v>
      </c>
      <c r="H79" s="436">
        <v>329867.416666667</v>
      </c>
      <c r="I79" s="454">
        <f>(F79/G79)-1</f>
        <v>-0.109247237678424</v>
      </c>
      <c r="J79" s="457">
        <v>0.372062722978586</v>
      </c>
      <c r="K79" s="457">
        <v>0.367091785143092</v>
      </c>
      <c r="L79" s="457">
        <v>0.395706607668159</v>
      </c>
      <c r="M79" s="456">
        <f>J79-K79</f>
        <v>0.00497093783549402</v>
      </c>
      <c r="N79" s="457" t="str">
        <f>IFERROR(O79*0.5/$F$79,"")</f>
        <v/>
      </c>
      <c r="O79" s="436" t="s">
        <v>180</v>
      </c>
      <c r="P79" s="509">
        <f t="array" ref="P79">INDEX(正厂竞争者数据汇总!I:I,MATCH($A$77&amp;B79,正厂竞争者数据汇总!A:A&amp;正厂竞争者数据汇总!D:D,0))</f>
        <v>0</v>
      </c>
      <c r="Q79" s="434" t="s">
        <v>275</v>
      </c>
      <c r="R79" s="435" t="s">
        <v>229</v>
      </c>
      <c r="S79" s="476"/>
      <c r="T79" s="477"/>
      <c r="U79" s="477"/>
      <c r="V79" s="435"/>
      <c r="W79" s="435"/>
    </row>
    <row r="80" s="408" customFormat="1" spans="1:23">
      <c r="A80" s="428" t="s">
        <v>230</v>
      </c>
      <c r="B80" s="431" t="s">
        <v>276</v>
      </c>
      <c r="C80" s="494" t="s">
        <v>233</v>
      </c>
      <c r="D80" s="431" t="s">
        <v>234</v>
      </c>
      <c r="E80" s="486"/>
      <c r="F80" s="430">
        <v>169589</v>
      </c>
      <c r="G80" s="486"/>
      <c r="H80" s="486"/>
      <c r="I80" s="518"/>
      <c r="J80" s="490">
        <v>0.253976470958231</v>
      </c>
      <c r="K80" s="451">
        <v>0.272291890656617</v>
      </c>
      <c r="L80" s="451">
        <v>0.22070409231802</v>
      </c>
      <c r="M80" s="451"/>
      <c r="N80" s="457"/>
      <c r="O80" s="430"/>
      <c r="P80" s="509" t="str">
        <f t="array" ref="P80">INDEX(正厂竞争者数据汇总!I:I,MATCH($A$77&amp;B80,正厂竞争者数据汇总!A:A&amp;正厂竞争者数据汇总!D:D,0))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80" s="429"/>
      <c r="R80" s="435"/>
      <c r="S80" s="473"/>
      <c r="T80" s="466"/>
      <c r="U80" s="466"/>
      <c r="V80" s="421"/>
      <c r="W80" s="421"/>
    </row>
    <row r="81" s="408" customFormat="1" spans="1:23">
      <c r="A81" s="428" t="s">
        <v>243</v>
      </c>
      <c r="B81" s="431" t="s">
        <v>277</v>
      </c>
      <c r="C81" s="506" t="s">
        <v>233</v>
      </c>
      <c r="D81" s="431" t="s">
        <v>266</v>
      </c>
      <c r="E81" s="486"/>
      <c r="F81" s="430">
        <v>115985.5</v>
      </c>
      <c r="G81" s="486"/>
      <c r="H81" s="486"/>
      <c r="I81" s="518"/>
      <c r="J81" s="490">
        <v>0.173699874239048</v>
      </c>
      <c r="K81" s="451">
        <v>0.145718611209331</v>
      </c>
      <c r="L81" s="451">
        <v>0.187200337854973</v>
      </c>
      <c r="M81" s="451"/>
      <c r="N81" s="457"/>
      <c r="O81" s="430"/>
      <c r="P81" s="509">
        <f t="array" ref="P81">INDEX(正厂竞争者数据汇总!I:I,MATCH($A$77&amp;B81,正厂竞争者数据汇总!A:A&amp;正厂竞争者数据汇总!D:D,0))</f>
        <v>0</v>
      </c>
      <c r="Q81" s="429"/>
      <c r="R81" s="435"/>
      <c r="S81" s="473"/>
      <c r="T81" s="466"/>
      <c r="U81" s="466"/>
      <c r="V81" s="421"/>
      <c r="W81" s="421"/>
    </row>
    <row r="82" s="408" customFormat="1" spans="1:23">
      <c r="A82" s="428" t="s">
        <v>230</v>
      </c>
      <c r="B82" s="431" t="s">
        <v>278</v>
      </c>
      <c r="C82" s="494" t="s">
        <v>65</v>
      </c>
      <c r="D82" s="431" t="s">
        <v>59</v>
      </c>
      <c r="E82" s="486"/>
      <c r="F82" s="430">
        <v>113121.25</v>
      </c>
      <c r="G82" s="486"/>
      <c r="H82" s="486"/>
      <c r="I82" s="518"/>
      <c r="J82" s="490">
        <v>0.169410373699849</v>
      </c>
      <c r="K82" s="451">
        <v>0.149228855585814</v>
      </c>
      <c r="L82" s="451">
        <v>0.146201844936911</v>
      </c>
      <c r="M82" s="451"/>
      <c r="N82" s="457"/>
      <c r="O82" s="430"/>
      <c r="P82" s="509" t="str">
        <f t="array" ref="P82">INDEX(正厂竞争者数据汇总!I:I,MATCH($A$77&amp;B82,正厂竞争者数据汇总!A:A&amp;正厂竞争者数据汇总!D:D,0))</f>
        <v>2020年11月新增竞争者</v>
      </c>
      <c r="Q82" s="429"/>
      <c r="R82" s="435"/>
      <c r="S82" s="473"/>
      <c r="T82" s="466"/>
      <c r="U82" s="466"/>
      <c r="V82" s="474"/>
      <c r="W82" s="474"/>
    </row>
    <row r="83" s="408" customFormat="1" spans="1:23">
      <c r="A83" s="428" t="s">
        <v>230</v>
      </c>
      <c r="B83" s="431" t="s">
        <v>279</v>
      </c>
      <c r="C83" s="494" t="s">
        <v>233</v>
      </c>
      <c r="D83" s="431" t="s">
        <v>234</v>
      </c>
      <c r="E83" s="486"/>
      <c r="F83" s="430">
        <v>20600</v>
      </c>
      <c r="G83" s="486"/>
      <c r="H83" s="486"/>
      <c r="I83" s="518"/>
      <c r="J83" s="490">
        <v>0.0308505581242861</v>
      </c>
      <c r="K83" s="451">
        <v>0.0656688574051457</v>
      </c>
      <c r="L83" s="457"/>
      <c r="M83" s="451"/>
      <c r="N83" s="457"/>
      <c r="O83" s="430"/>
      <c r="P83" s="509" t="str">
        <f t="array" ref="P83">INDEX(正厂竞争者数据汇总!I:I,MATCH($A$77&amp;B83,正厂竞争者数据汇总!A:A&amp;正厂竞争者数据汇总!D:D,0))</f>
        <v>同时经营多品牌零件，semrush流量折算比例：Ford:0%, GM:36%, Honda:25%, Hyundai:0%, Infiniti:1%, Kia:1%, Lexus:4%, Mopar:0%, Nissan:25%, Subaru:5%, Toyota:2%</v>
      </c>
      <c r="Q83" s="429"/>
      <c r="R83" s="435"/>
      <c r="S83" s="473"/>
      <c r="T83" s="466"/>
      <c r="U83" s="466"/>
      <c r="V83" s="421"/>
      <c r="W83" s="421"/>
    </row>
    <row r="84" s="408" customFormat="1" spans="1:23">
      <c r="A84" s="428"/>
      <c r="B84" s="431"/>
      <c r="C84" s="429"/>
      <c r="D84" s="421"/>
      <c r="E84" s="430"/>
      <c r="F84" s="430"/>
      <c r="G84" s="430"/>
      <c r="H84" s="430"/>
      <c r="I84" s="453"/>
      <c r="J84" s="451"/>
      <c r="K84" s="451"/>
      <c r="L84" s="451"/>
      <c r="M84" s="451"/>
      <c r="N84" s="451"/>
      <c r="O84" s="430"/>
      <c r="P84" s="509"/>
      <c r="Q84" s="429"/>
      <c r="R84" s="435"/>
      <c r="S84" s="473"/>
      <c r="T84" s="466"/>
      <c r="U84" s="466"/>
      <c r="V84" s="421"/>
      <c r="W84" s="421"/>
    </row>
    <row r="85" s="408" customFormat="1" spans="1:23">
      <c r="A85" s="428"/>
      <c r="B85" s="421"/>
      <c r="C85" s="439"/>
      <c r="D85" s="421"/>
      <c r="E85" s="430"/>
      <c r="F85" s="430">
        <v>667735.083333333</v>
      </c>
      <c r="G85" s="430">
        <v>704838.916666666</v>
      </c>
      <c r="H85" s="430">
        <v>764789.250000002</v>
      </c>
      <c r="I85" s="453">
        <f>(F85/G85)-1</f>
        <v>-0.0526415787437008</v>
      </c>
      <c r="J85" s="490">
        <v>0.0201815181140353</v>
      </c>
      <c r="K85" s="480">
        <v>0.00302701064890298</v>
      </c>
      <c r="L85" s="480"/>
      <c r="M85" s="451"/>
      <c r="N85" s="451">
        <f>SUM(N79:N83)</f>
        <v>0</v>
      </c>
      <c r="O85" s="430"/>
      <c r="P85" s="509"/>
      <c r="Q85" s="429"/>
      <c r="R85" s="421"/>
      <c r="S85" s="473"/>
      <c r="T85" s="466"/>
      <c r="U85" s="466"/>
      <c r="V85" s="421"/>
      <c r="W85" s="421"/>
    </row>
    <row r="86" s="408" customFormat="1" spans="1:23">
      <c r="A86" s="428"/>
      <c r="B86" s="421"/>
      <c r="C86" s="439"/>
      <c r="D86" s="421"/>
      <c r="E86" s="430"/>
      <c r="F86" s="430"/>
      <c r="G86" s="430"/>
      <c r="H86" s="430"/>
      <c r="I86" s="453"/>
      <c r="J86" s="430"/>
      <c r="K86" s="430"/>
      <c r="L86" s="430"/>
      <c r="M86" s="451"/>
      <c r="N86" s="459"/>
      <c r="O86" s="430"/>
      <c r="P86" s="509"/>
      <c r="Q86" s="429"/>
      <c r="R86" s="421"/>
      <c r="S86" s="473"/>
      <c r="T86" s="466"/>
      <c r="U86" s="466"/>
      <c r="V86" s="421"/>
      <c r="W86" s="421"/>
    </row>
    <row r="87" s="408" customFormat="1" ht="17.4" spans="1:23">
      <c r="A87" s="418" t="s">
        <v>165</v>
      </c>
      <c r="B87" s="419"/>
      <c r="C87" s="420"/>
      <c r="D87" s="421"/>
      <c r="E87" s="422" t="s">
        <v>202</v>
      </c>
      <c r="F87" s="422"/>
      <c r="G87" s="422"/>
      <c r="H87" s="422"/>
      <c r="I87" s="422"/>
      <c r="J87" s="422"/>
      <c r="K87" s="422"/>
      <c r="L87" s="422"/>
      <c r="M87" s="443"/>
      <c r="N87" s="444"/>
      <c r="O87" s="422"/>
      <c r="P87" s="509"/>
      <c r="Q87" s="465"/>
      <c r="R87" s="424"/>
      <c r="S87" s="473"/>
      <c r="T87" s="467"/>
      <c r="U87" s="467"/>
      <c r="V87" s="467"/>
      <c r="W87" s="467"/>
    </row>
    <row r="88" s="409" customFormat="1" ht="46.8" spans="1:23">
      <c r="A88" s="423" t="s">
        <v>206</v>
      </c>
      <c r="B88" s="424" t="s">
        <v>207</v>
      </c>
      <c r="C88" s="425" t="s">
        <v>447</v>
      </c>
      <c r="D88" s="424" t="s">
        <v>209</v>
      </c>
      <c r="E88" s="426" t="s">
        <v>210</v>
      </c>
      <c r="F88" s="427" t="s">
        <v>211</v>
      </c>
      <c r="G88" s="427" t="s">
        <v>213</v>
      </c>
      <c r="H88" s="427" t="s">
        <v>396</v>
      </c>
      <c r="I88" s="427" t="s">
        <v>386</v>
      </c>
      <c r="J88" s="446" t="s">
        <v>215</v>
      </c>
      <c r="K88" s="446" t="s">
        <v>216</v>
      </c>
      <c r="L88" s="446" t="s">
        <v>217</v>
      </c>
      <c r="M88" s="447" t="s">
        <v>436</v>
      </c>
      <c r="N88" s="448" t="s">
        <v>219</v>
      </c>
      <c r="O88" s="449" t="s">
        <v>220</v>
      </c>
      <c r="P88" s="508" t="s">
        <v>221</v>
      </c>
      <c r="Q88" s="469" t="s">
        <v>222</v>
      </c>
      <c r="R88" s="426" t="s">
        <v>223</v>
      </c>
      <c r="S88" s="470" t="s">
        <v>224</v>
      </c>
      <c r="T88" s="467" t="s">
        <v>225</v>
      </c>
      <c r="U88" s="470" t="s">
        <v>226</v>
      </c>
      <c r="V88" s="467"/>
      <c r="W88" s="467"/>
    </row>
    <row r="89" spans="1:23">
      <c r="A89" s="428" t="s">
        <v>230</v>
      </c>
      <c r="B89" s="431" t="s">
        <v>293</v>
      </c>
      <c r="C89" s="429" t="s">
        <v>233</v>
      </c>
      <c r="D89" s="421" t="s">
        <v>50</v>
      </c>
      <c r="E89" s="486"/>
      <c r="F89" s="430">
        <v>166050.333333333</v>
      </c>
      <c r="G89" s="486"/>
      <c r="H89" s="486"/>
      <c r="I89" s="514"/>
      <c r="J89" s="451">
        <v>0.393913462095028</v>
      </c>
      <c r="K89" s="451">
        <v>0.318683117212088</v>
      </c>
      <c r="L89" s="451">
        <v>0.415120952574367</v>
      </c>
      <c r="M89" s="515"/>
      <c r="N89" s="490"/>
      <c r="O89" s="486"/>
      <c r="P89" s="509">
        <f t="array" ref="P89">INDEX(正厂竞争者数据汇总!I:I,MATCH($A$87&amp;B89,正厂竞争者数据汇总!A:A&amp;正厂竞争者数据汇总!D:D,0))</f>
        <v>0</v>
      </c>
      <c r="Q89" s="494"/>
      <c r="R89" s="431"/>
      <c r="S89" s="473"/>
      <c r="T89" s="495"/>
      <c r="U89" s="495"/>
      <c r="V89" s="431"/>
      <c r="W89" s="431"/>
    </row>
    <row r="90" s="410" customFormat="1" spans="1:23">
      <c r="A90" s="432" t="s">
        <v>227</v>
      </c>
      <c r="B90" s="435" t="s">
        <v>166</v>
      </c>
      <c r="C90" s="505" t="s">
        <v>441</v>
      </c>
      <c r="D90" s="435" t="s">
        <v>58</v>
      </c>
      <c r="E90" s="462"/>
      <c r="F90" s="436">
        <v>106395.916666667</v>
      </c>
      <c r="G90" s="462"/>
      <c r="H90" s="462"/>
      <c r="I90" s="510"/>
      <c r="J90" s="461">
        <v>0.252398071389645</v>
      </c>
      <c r="K90" s="457">
        <v>0.188770024329745</v>
      </c>
      <c r="L90" s="457">
        <v>0.223909898819963</v>
      </c>
      <c r="M90" s="461"/>
      <c r="N90" s="461"/>
      <c r="O90" s="462"/>
      <c r="P90" s="509">
        <f t="array" ref="P90">INDEX(正厂竞争者数据汇总!I:I,MATCH($A$87&amp;B90,正厂竞争者数据汇总!A:A&amp;正厂竞争者数据汇总!D:D,0))</f>
        <v>0</v>
      </c>
      <c r="Q90" s="434"/>
      <c r="R90" s="435"/>
      <c r="S90" s="476"/>
      <c r="T90" s="477"/>
      <c r="U90" s="477"/>
      <c r="V90" s="435"/>
      <c r="W90" s="435"/>
    </row>
    <row r="91" s="408" customFormat="1" spans="1:23">
      <c r="A91" s="421" t="s">
        <v>243</v>
      </c>
      <c r="B91" s="421" t="s">
        <v>298</v>
      </c>
      <c r="C91" s="429" t="s">
        <v>441</v>
      </c>
      <c r="D91" s="421" t="s">
        <v>422</v>
      </c>
      <c r="E91" s="430"/>
      <c r="F91" s="430">
        <v>59260.8</v>
      </c>
      <c r="G91" s="430"/>
      <c r="H91" s="430"/>
      <c r="I91" s="453"/>
      <c r="J91" s="451">
        <v>0.140581632243162</v>
      </c>
      <c r="K91" s="451">
        <v>0.094901466796746</v>
      </c>
      <c r="L91" s="451"/>
      <c r="M91" s="451"/>
      <c r="N91" s="451"/>
      <c r="O91" s="430"/>
      <c r="P91" s="509">
        <f t="array" ref="P91">INDEX(正厂竞争者数据汇总!I:I,MATCH($A$87&amp;B91,正厂竞争者数据汇总!A:A&amp;正厂竞争者数据汇总!D:D,0))</f>
        <v>0</v>
      </c>
      <c r="Q91" s="429"/>
      <c r="R91" s="421"/>
      <c r="S91" s="473"/>
      <c r="T91" s="466"/>
      <c r="U91" s="477"/>
      <c r="V91" s="421"/>
      <c r="W91" s="421"/>
    </row>
    <row r="92" s="408" customFormat="1" spans="1:23">
      <c r="A92" s="428" t="s">
        <v>230</v>
      </c>
      <c r="B92" s="421" t="s">
        <v>294</v>
      </c>
      <c r="C92" s="429" t="s">
        <v>233</v>
      </c>
      <c r="D92" s="421" t="s">
        <v>250</v>
      </c>
      <c r="E92" s="430"/>
      <c r="F92" s="430">
        <v>37799.9166666667</v>
      </c>
      <c r="G92" s="430"/>
      <c r="H92" s="430"/>
      <c r="I92" s="453"/>
      <c r="J92" s="451">
        <v>0.0896709795287187</v>
      </c>
      <c r="K92" s="451">
        <v>0.0709098300197415</v>
      </c>
      <c r="L92" s="451">
        <v>0.10314930029192</v>
      </c>
      <c r="M92" s="451"/>
      <c r="N92" s="451"/>
      <c r="O92" s="430"/>
      <c r="P92" s="509" t="str">
        <f t="array" ref="P92">INDEX(正厂竞争者数据汇总!I:I,MATCH($A$87&amp;B92,正厂竞争者数据汇总!A:A&amp;正厂竞争者数据汇总!D:D,0))</f>
        <v>2022年1月 新加入 CompetitorSites</v>
      </c>
      <c r="Q92" s="429"/>
      <c r="R92" s="421"/>
      <c r="S92" s="473"/>
      <c r="T92" s="466"/>
      <c r="U92" s="466"/>
      <c r="V92" s="421"/>
      <c r="W92" s="421"/>
    </row>
    <row r="93" spans="1:23">
      <c r="A93" s="440" t="s">
        <v>230</v>
      </c>
      <c r="B93" t="s">
        <v>295</v>
      </c>
      <c r="C93" s="494" t="s">
        <v>233</v>
      </c>
      <c r="D93" s="431" t="s">
        <v>423</v>
      </c>
      <c r="E93" s="486"/>
      <c r="F93" s="430">
        <v>31644</v>
      </c>
      <c r="G93" s="486"/>
      <c r="H93" s="486"/>
      <c r="I93" s="518"/>
      <c r="J93" s="490">
        <v>0.0750675854983835</v>
      </c>
      <c r="K93" s="451">
        <v>0.248879752589028</v>
      </c>
      <c r="L93" s="451">
        <v>0.291179791902088</v>
      </c>
      <c r="M93" s="490"/>
      <c r="N93" s="490"/>
      <c r="O93" s="486"/>
      <c r="P93" s="509" t="str">
        <f t="array" ref="P93">INDEX(正厂竞争者数据汇总!I:I,MATCH($A$87&amp;B93,正厂竞争者数据汇总!A:A&amp;正厂竞争者数据汇总!D:D,0))</f>
        <v>2023年4月，流量更新为子站parts.subaruonlineparts.com，子站主营parts，此前监控域名为subaruonlineparts.com,该子域名的实际成单效率较高，流量不能完全反应其竞争力</v>
      </c>
      <c r="Q93" s="494"/>
      <c r="R93" s="431"/>
      <c r="S93" s="473"/>
      <c r="T93" s="495"/>
      <c r="U93" s="495"/>
      <c r="V93" s="431"/>
      <c r="W93" s="431"/>
    </row>
    <row r="94" s="408" customFormat="1" spans="1:23">
      <c r="A94" s="428" t="s">
        <v>230</v>
      </c>
      <c r="B94" s="421" t="s">
        <v>440</v>
      </c>
      <c r="C94" s="429" t="s">
        <v>233</v>
      </c>
      <c r="D94" s="421" t="s">
        <v>417</v>
      </c>
      <c r="E94" s="430"/>
      <c r="F94" s="430">
        <v>20389.1666666667</v>
      </c>
      <c r="G94" s="430"/>
      <c r="H94" s="430"/>
      <c r="I94" s="453"/>
      <c r="J94" s="451">
        <v>0.0483682692450637</v>
      </c>
      <c r="K94" s="451">
        <v>0.0444157230216485</v>
      </c>
      <c r="L94" s="451"/>
      <c r="M94" s="451"/>
      <c r="N94" s="451"/>
      <c r="O94" s="430"/>
      <c r="P94" s="509" t="str">
        <f t="array" ref="P94">INDEX(正厂竞争者数据汇总!I:I,MATCH($A$87&amp;B94,正厂竞争者数据汇总!A:A&amp;正厂竞争者数据汇总!D:D,0))</f>
        <v>202307，Semrush无法正常获取流量</v>
      </c>
      <c r="Q94" s="429"/>
      <c r="R94" s="421"/>
      <c r="S94" s="473"/>
      <c r="T94" s="466"/>
      <c r="U94" s="466"/>
      <c r="V94" s="421"/>
      <c r="W94" s="421"/>
    </row>
    <row r="95" s="408" customFormat="1" spans="1:23">
      <c r="A95" s="428"/>
      <c r="B95" s="421"/>
      <c r="C95" s="429"/>
      <c r="D95" s="421"/>
      <c r="E95" s="430"/>
      <c r="F95" s="481"/>
      <c r="G95" s="481"/>
      <c r="H95" s="481"/>
      <c r="I95" s="453"/>
      <c r="J95" s="451"/>
      <c r="K95" s="451"/>
      <c r="L95" s="451"/>
      <c r="M95" s="451"/>
      <c r="N95" s="451"/>
      <c r="O95" s="430"/>
      <c r="P95" s="509"/>
      <c r="Q95" s="429"/>
      <c r="R95" s="421"/>
      <c r="S95" s="473"/>
      <c r="T95" s="466"/>
      <c r="U95" s="466"/>
      <c r="V95" s="421"/>
      <c r="W95" s="421"/>
    </row>
    <row r="96" s="408" customFormat="1" spans="1:23">
      <c r="A96" s="428"/>
      <c r="B96" s="421"/>
      <c r="C96" s="439"/>
      <c r="D96" s="421"/>
      <c r="E96" s="421"/>
      <c r="F96" s="481">
        <v>421540.133333333</v>
      </c>
      <c r="G96" s="481">
        <v>427571.166666666</v>
      </c>
      <c r="H96" s="481">
        <v>496054.5</v>
      </c>
      <c r="I96" s="453">
        <f>(F96/G96)-1</f>
        <v>-0.014105332172772</v>
      </c>
      <c r="J96" s="430"/>
      <c r="K96" s="430"/>
      <c r="L96" s="430"/>
      <c r="M96" s="451"/>
      <c r="N96" s="451">
        <f>SUM(N89:N91)</f>
        <v>0</v>
      </c>
      <c r="O96" s="430"/>
      <c r="P96" s="509"/>
      <c r="Q96" s="429"/>
      <c r="R96" s="421"/>
      <c r="S96" s="473"/>
      <c r="T96" s="466"/>
      <c r="U96" s="466"/>
      <c r="V96" s="421"/>
      <c r="W96" s="421"/>
    </row>
    <row r="97" s="408" customFormat="1" spans="1:23">
      <c r="A97" s="428"/>
      <c r="B97" s="421"/>
      <c r="C97" s="429"/>
      <c r="D97" s="421"/>
      <c r="E97" s="430"/>
      <c r="F97" s="451"/>
      <c r="G97" s="451"/>
      <c r="H97" s="451"/>
      <c r="I97" s="453"/>
      <c r="J97" s="451"/>
      <c r="K97" s="451"/>
      <c r="L97" s="451"/>
      <c r="M97" s="451"/>
      <c r="N97" s="451"/>
      <c r="O97" s="451"/>
      <c r="P97" s="509"/>
      <c r="Q97" s="429"/>
      <c r="R97" s="421"/>
      <c r="S97" s="473"/>
      <c r="T97" s="466"/>
      <c r="U97" s="466"/>
      <c r="V97" s="421"/>
      <c r="W97" s="421"/>
    </row>
    <row r="98" s="408" customFormat="1" ht="17.4" spans="1:23">
      <c r="A98" s="418" t="s">
        <v>171</v>
      </c>
      <c r="B98" s="419"/>
      <c r="C98" s="420"/>
      <c r="D98" s="421"/>
      <c r="E98" s="422" t="s">
        <v>202</v>
      </c>
      <c r="F98" s="422"/>
      <c r="G98" s="422"/>
      <c r="H98" s="422"/>
      <c r="I98" s="422"/>
      <c r="J98" s="422"/>
      <c r="K98" s="422"/>
      <c r="L98" s="422"/>
      <c r="M98" s="443"/>
      <c r="N98" s="422"/>
      <c r="O98" s="422"/>
      <c r="P98" s="509"/>
      <c r="Q98" s="465"/>
      <c r="R98" s="424"/>
      <c r="S98" s="473"/>
      <c r="T98" s="467"/>
      <c r="U98" s="467"/>
      <c r="V98" s="467"/>
      <c r="W98" s="467"/>
    </row>
    <row r="99" s="409" customFormat="1" ht="46.8" spans="1:23">
      <c r="A99" s="423" t="s">
        <v>206</v>
      </c>
      <c r="B99" s="424" t="s">
        <v>207</v>
      </c>
      <c r="C99" s="425" t="s">
        <v>447</v>
      </c>
      <c r="D99" s="424" t="s">
        <v>209</v>
      </c>
      <c r="E99" s="426" t="s">
        <v>210</v>
      </c>
      <c r="F99" s="427" t="s">
        <v>211</v>
      </c>
      <c r="G99" s="427" t="s">
        <v>213</v>
      </c>
      <c r="H99" s="427" t="s">
        <v>396</v>
      </c>
      <c r="I99" s="427" t="s">
        <v>386</v>
      </c>
      <c r="J99" s="446" t="s">
        <v>215</v>
      </c>
      <c r="K99" s="446" t="s">
        <v>216</v>
      </c>
      <c r="L99" s="446" t="s">
        <v>217</v>
      </c>
      <c r="M99" s="447" t="s">
        <v>436</v>
      </c>
      <c r="N99" s="448" t="s">
        <v>219</v>
      </c>
      <c r="O99" s="449" t="s">
        <v>220</v>
      </c>
      <c r="P99" s="508" t="s">
        <v>221</v>
      </c>
      <c r="Q99" s="469" t="s">
        <v>222</v>
      </c>
      <c r="R99" s="426" t="s">
        <v>223</v>
      </c>
      <c r="S99" s="470" t="s">
        <v>224</v>
      </c>
      <c r="T99" s="467" t="s">
        <v>225</v>
      </c>
      <c r="U99" s="470" t="s">
        <v>226</v>
      </c>
      <c r="V99" s="467"/>
      <c r="W99" s="467"/>
    </row>
    <row r="100" spans="1:23">
      <c r="A100" s="440" t="s">
        <v>230</v>
      </c>
      <c r="B100" s="442" t="s">
        <v>310</v>
      </c>
      <c r="C100" s="494" t="s">
        <v>233</v>
      </c>
      <c r="D100" s="495" t="s">
        <v>371</v>
      </c>
      <c r="E100" s="486"/>
      <c r="F100" s="430">
        <v>124598.416666667</v>
      </c>
      <c r="G100" s="486"/>
      <c r="H100" s="486"/>
      <c r="I100" s="518"/>
      <c r="J100" s="490">
        <v>0.238178687260656</v>
      </c>
      <c r="K100" s="451">
        <v>0.202207101972477</v>
      </c>
      <c r="L100" s="451">
        <v>0.262281169027972</v>
      </c>
      <c r="M100" s="490"/>
      <c r="N100" s="512"/>
      <c r="O100" s="486"/>
      <c r="P100" s="509">
        <f t="array" ref="P100">INDEX(正厂竞争者数据汇总!I:I,MATCH($A$98&amp;B100,正厂竞争者数据汇总!A:A&amp;正厂竞争者数据汇总!D:D,0))</f>
        <v>0</v>
      </c>
      <c r="Q100" s="494"/>
      <c r="R100" s="431"/>
      <c r="S100" s="473"/>
      <c r="T100" s="495"/>
      <c r="U100" s="495"/>
      <c r="V100" s="431"/>
      <c r="W100" s="431"/>
    </row>
    <row r="101" s="410" customFormat="1" spans="1:23">
      <c r="A101" s="432" t="s">
        <v>227</v>
      </c>
      <c r="B101" s="433" t="s">
        <v>172</v>
      </c>
      <c r="C101" s="434" t="s">
        <v>441</v>
      </c>
      <c r="D101" s="477" t="s">
        <v>49</v>
      </c>
      <c r="E101" s="436">
        <f>VLOOKUP(B101,正厂竞争者数据汇总!D:H,4,FALSE)</f>
        <v>0</v>
      </c>
      <c r="F101" s="436">
        <v>124328</v>
      </c>
      <c r="G101" s="436">
        <v>132262.583333333</v>
      </c>
      <c r="H101" s="436">
        <v>137115.416666667</v>
      </c>
      <c r="I101" s="454">
        <f>(F101/G101)-1</f>
        <v>-0.0599911413595784</v>
      </c>
      <c r="J101" s="457">
        <v>0.237661766673676</v>
      </c>
      <c r="K101" s="457">
        <v>0.221995550743567</v>
      </c>
      <c r="L101" s="457">
        <v>0.29295303636222</v>
      </c>
      <c r="M101" s="456">
        <f>J101-K101</f>
        <v>0.015666215930109</v>
      </c>
      <c r="N101" s="455"/>
      <c r="O101" s="436"/>
      <c r="P101" s="509">
        <f t="array" ref="P101">INDEX(正厂竞争者数据汇总!I:I,MATCH($A$98&amp;B101,正厂竞争者数据汇总!A:A&amp;正厂竞争者数据汇总!D:D,0))</f>
        <v>0</v>
      </c>
      <c r="Q101" s="491" t="s">
        <v>313</v>
      </c>
      <c r="R101" s="435" t="s">
        <v>180</v>
      </c>
      <c r="S101" s="476"/>
      <c r="T101" s="477"/>
      <c r="U101" s="477"/>
      <c r="V101" s="435"/>
      <c r="W101" s="435"/>
    </row>
    <row r="102" spans="1:23">
      <c r="A102" s="440" t="s">
        <v>243</v>
      </c>
      <c r="B102" s="431" t="s">
        <v>314</v>
      </c>
      <c r="C102" s="506" t="s">
        <v>441</v>
      </c>
      <c r="D102" s="495" t="s">
        <v>50</v>
      </c>
      <c r="E102" s="516"/>
      <c r="F102" s="430">
        <v>76588.0833333333</v>
      </c>
      <c r="G102" s="516"/>
      <c r="H102" s="516"/>
      <c r="I102" s="519"/>
      <c r="J102" s="490">
        <v>0.146403538954626</v>
      </c>
      <c r="K102" s="451">
        <v>0.141805383826891</v>
      </c>
      <c r="L102" s="451">
        <v>0.124232571137255</v>
      </c>
      <c r="M102" s="520"/>
      <c r="N102" s="521"/>
      <c r="O102" s="516"/>
      <c r="P102" s="509">
        <f t="array" ref="P102">INDEX(正厂竞争者数据汇总!I:I,MATCH($A$98&amp;B102,正厂竞争者数据汇总!A:A&amp;正厂竞争者数据汇总!D:D,0))</f>
        <v>0</v>
      </c>
      <c r="Q102" s="494"/>
      <c r="R102" s="431"/>
      <c r="S102" s="473"/>
      <c r="T102" s="495"/>
      <c r="U102" s="495"/>
      <c r="V102" s="431"/>
      <c r="W102" s="431"/>
    </row>
    <row r="103" spans="1:23">
      <c r="A103" s="440" t="s">
        <v>230</v>
      </c>
      <c r="B103" s="431" t="s">
        <v>311</v>
      </c>
      <c r="C103" s="506" t="s">
        <v>441</v>
      </c>
      <c r="D103" s="495" t="s">
        <v>420</v>
      </c>
      <c r="E103" s="486"/>
      <c r="F103" s="430">
        <v>66167.8333333333</v>
      </c>
      <c r="G103" s="486"/>
      <c r="H103" s="486"/>
      <c r="I103" s="518"/>
      <c r="J103" s="490">
        <v>0.126484493975366</v>
      </c>
      <c r="K103" s="451">
        <v>0.157345941520001</v>
      </c>
      <c r="L103" s="451">
        <v>0.256688273358429</v>
      </c>
      <c r="M103" s="490"/>
      <c r="N103" s="512"/>
      <c r="O103" s="486"/>
      <c r="P103" s="509">
        <f t="array" ref="P103">INDEX(正厂竞争者数据汇总!I:I,MATCH($A$98&amp;B103,正厂竞争者数据汇总!A:A&amp;正厂竞争者数据汇总!D:D,0))</f>
        <v>0</v>
      </c>
      <c r="Q103" s="494"/>
      <c r="R103" s="431"/>
      <c r="S103" s="473"/>
      <c r="T103" s="495"/>
      <c r="U103" s="495"/>
      <c r="V103" s="431"/>
      <c r="W103" s="431"/>
    </row>
    <row r="104" spans="1:23">
      <c r="A104" s="440" t="s">
        <v>230</v>
      </c>
      <c r="B104" s="431" t="s">
        <v>315</v>
      </c>
      <c r="C104" s="494" t="s">
        <v>233</v>
      </c>
      <c r="D104" s="495" t="s">
        <v>422</v>
      </c>
      <c r="E104" s="486"/>
      <c r="F104" s="430">
        <v>49822.6666666667</v>
      </c>
      <c r="G104" s="486"/>
      <c r="H104" s="486"/>
      <c r="I104" s="518"/>
      <c r="J104" s="490">
        <v>0.095239551672943</v>
      </c>
      <c r="K104" s="451">
        <v>0.0842877510917688</v>
      </c>
      <c r="L104" s="451"/>
      <c r="M104" s="490"/>
      <c r="N104" s="512"/>
      <c r="O104" s="486"/>
      <c r="P104" s="509">
        <f t="array" ref="P104">INDEX(正厂竞争者数据汇总!I:I,MATCH($A$98&amp;B104,正厂竞争者数据汇总!A:A&amp;正厂竞争者数据汇总!D:D,0))</f>
        <v>0</v>
      </c>
      <c r="Q104" s="494"/>
      <c r="R104" s="431"/>
      <c r="S104" s="473"/>
      <c r="T104" s="495"/>
      <c r="U104" s="495"/>
      <c r="V104" s="431"/>
      <c r="W104" s="431"/>
    </row>
    <row r="105" spans="1:23">
      <c r="A105" s="440" t="s">
        <v>230</v>
      </c>
      <c r="B105" s="431" t="s">
        <v>392</v>
      </c>
      <c r="C105" s="494" t="s">
        <v>233</v>
      </c>
      <c r="D105" s="495" t="s">
        <v>425</v>
      </c>
      <c r="E105" s="486"/>
      <c r="F105" s="430">
        <v>34524.3333333333</v>
      </c>
      <c r="G105" s="486"/>
      <c r="H105" s="486"/>
      <c r="I105" s="518"/>
      <c r="J105" s="490">
        <v>0.0659957053377426</v>
      </c>
      <c r="K105" s="451">
        <v>0.110437710051387</v>
      </c>
      <c r="L105" s="451"/>
      <c r="M105" s="490"/>
      <c r="N105" s="512"/>
      <c r="O105" s="486"/>
      <c r="P105" s="509">
        <f t="array" ref="P105">INDEX(正厂竞争者数据汇总!I:I,MATCH($A$98&amp;B105,正厂竞争者数据汇总!A:A&amp;正厂竞争者数据汇总!D:D,0))</f>
        <v>0</v>
      </c>
      <c r="Q105" s="494"/>
      <c r="R105" s="431"/>
      <c r="S105" s="473"/>
      <c r="T105" s="495"/>
      <c r="U105" s="495"/>
      <c r="V105" s="431"/>
      <c r="W105" s="431"/>
    </row>
    <row r="106" spans="1:23">
      <c r="A106" s="440" t="s">
        <v>230</v>
      </c>
      <c r="B106" s="431" t="s">
        <v>317</v>
      </c>
      <c r="C106" s="494" t="s">
        <v>233</v>
      </c>
      <c r="D106" s="495" t="s">
        <v>424</v>
      </c>
      <c r="E106" s="486"/>
      <c r="F106" s="430">
        <v>26787.75</v>
      </c>
      <c r="G106" s="486"/>
      <c r="H106" s="486"/>
      <c r="I106" s="518"/>
      <c r="J106" s="490">
        <v>0.0512066790281574</v>
      </c>
      <c r="K106" s="451">
        <v>0.0464172958497367</v>
      </c>
      <c r="L106" s="451"/>
      <c r="M106" s="490"/>
      <c r="N106" s="512"/>
      <c r="O106" s="486"/>
      <c r="P106" s="509">
        <f t="array" ref="P106">INDEX(正厂竞争者数据汇总!I:I,MATCH($A$98&amp;B106,正厂竞争者数据汇总!A:A&amp;正厂竞争者数据汇总!D:D,0))</f>
        <v>0</v>
      </c>
      <c r="Q106" s="494"/>
      <c r="R106" s="431"/>
      <c r="S106" s="473"/>
      <c r="T106" s="495"/>
      <c r="U106" s="495"/>
      <c r="V106" s="431"/>
      <c r="W106" s="431"/>
    </row>
    <row r="107" spans="1:23">
      <c r="A107" s="440" t="s">
        <v>230</v>
      </c>
      <c r="B107" t="s">
        <v>393</v>
      </c>
      <c r="C107" s="494" t="s">
        <v>233</v>
      </c>
      <c r="D107" s="495" t="s">
        <v>60</v>
      </c>
      <c r="E107" s="516"/>
      <c r="F107" s="430">
        <v>20312.9166666667</v>
      </c>
      <c r="G107" s="486"/>
      <c r="H107" s="486"/>
      <c r="I107" s="519"/>
      <c r="J107" s="490">
        <v>0.0388295770968338</v>
      </c>
      <c r="K107" s="451">
        <v>0.0355032649441706</v>
      </c>
      <c r="L107" s="451">
        <v>0.0445118892178068</v>
      </c>
      <c r="M107" s="520"/>
      <c r="N107" s="521"/>
      <c r="O107" s="516"/>
      <c r="P107" s="509" t="str">
        <f t="array" ref="P107">INDEX(正厂竞争者数据汇总!I:I,MATCH($A$98&amp;B107,正厂竞争者数据汇总!A:A&amp;正厂竞争者数据汇总!D:D,0))</f>
        <v>2022年1月加入CompetitorSites，202305因流量大于MS5%，加入MS计算基准</v>
      </c>
      <c r="Q107" s="522"/>
      <c r="R107" s="431"/>
      <c r="S107" s="473"/>
      <c r="T107" s="495"/>
      <c r="U107" s="495"/>
      <c r="V107" s="431"/>
      <c r="W107" s="431"/>
    </row>
    <row r="108" s="408" customFormat="1" spans="1:23">
      <c r="A108" s="428"/>
      <c r="B108" s="438"/>
      <c r="C108" s="429"/>
      <c r="D108" s="466"/>
      <c r="E108" s="430"/>
      <c r="F108" s="430"/>
      <c r="G108" s="430"/>
      <c r="H108" s="430"/>
      <c r="I108" s="453"/>
      <c r="J108" s="451"/>
      <c r="K108" s="451"/>
      <c r="L108" s="451"/>
      <c r="M108" s="451"/>
      <c r="N108" s="459"/>
      <c r="O108" s="430"/>
      <c r="P108" s="509"/>
      <c r="Q108" s="492"/>
      <c r="R108" s="421"/>
      <c r="S108" s="473"/>
      <c r="T108" s="466"/>
      <c r="U108" s="466"/>
      <c r="V108" s="421"/>
      <c r="W108" s="421"/>
    </row>
    <row r="109" s="408" customFormat="1" spans="1:23">
      <c r="A109" s="428"/>
      <c r="B109" s="421"/>
      <c r="C109" s="439"/>
      <c r="D109" s="421"/>
      <c r="E109" s="430"/>
      <c r="F109" s="430">
        <v>523130</v>
      </c>
      <c r="G109" s="430">
        <v>451480.499999999</v>
      </c>
      <c r="H109" s="430">
        <v>457440.166666667</v>
      </c>
      <c r="I109" s="453">
        <f>(F109/G109)-1</f>
        <v>0.158698991429311</v>
      </c>
      <c r="J109" s="430"/>
      <c r="K109" s="430"/>
      <c r="L109" s="430"/>
      <c r="M109" s="451"/>
      <c r="N109" s="451"/>
      <c r="O109" s="430"/>
      <c r="P109" s="509"/>
      <c r="Q109" s="493"/>
      <c r="R109" s="421"/>
      <c r="S109" s="473"/>
      <c r="T109" s="466"/>
      <c r="U109" s="466"/>
      <c r="V109" s="421"/>
      <c r="W109" s="421"/>
    </row>
    <row r="110" s="408" customFormat="1" spans="1:23">
      <c r="A110" s="428"/>
      <c r="B110" s="421"/>
      <c r="C110" s="439"/>
      <c r="D110" s="421"/>
      <c r="E110" s="430"/>
      <c r="F110" s="430"/>
      <c r="G110" s="430"/>
      <c r="H110" s="430"/>
      <c r="I110" s="453"/>
      <c r="J110" s="430"/>
      <c r="K110" s="430"/>
      <c r="L110" s="430"/>
      <c r="M110" s="451"/>
      <c r="N110" s="451"/>
      <c r="O110" s="430"/>
      <c r="P110" s="509"/>
      <c r="Q110" s="493"/>
      <c r="R110" s="421"/>
      <c r="S110" s="473"/>
      <c r="T110" s="466"/>
      <c r="U110" s="466"/>
      <c r="V110" s="421"/>
      <c r="W110" s="421"/>
    </row>
    <row r="111" s="408" customFormat="1" ht="17.4" spans="1:23">
      <c r="A111" s="418" t="s">
        <v>162</v>
      </c>
      <c r="B111" s="419"/>
      <c r="C111" s="420"/>
      <c r="D111" s="421"/>
      <c r="E111" s="422" t="s">
        <v>202</v>
      </c>
      <c r="F111" s="422"/>
      <c r="G111" s="422"/>
      <c r="H111" s="422"/>
      <c r="I111" s="422"/>
      <c r="J111" s="422"/>
      <c r="K111" s="422"/>
      <c r="L111" s="422"/>
      <c r="M111" s="443"/>
      <c r="N111" s="444"/>
      <c r="O111" s="422"/>
      <c r="P111" s="509"/>
      <c r="Q111" s="465"/>
      <c r="R111" s="424"/>
      <c r="S111" s="473"/>
      <c r="T111" s="467"/>
      <c r="U111" s="467"/>
      <c r="V111" s="467"/>
      <c r="W111" s="467"/>
    </row>
    <row r="112" s="409" customFormat="1" ht="46.8" spans="1:23">
      <c r="A112" s="423" t="s">
        <v>206</v>
      </c>
      <c r="B112" s="424" t="s">
        <v>207</v>
      </c>
      <c r="C112" s="425" t="s">
        <v>447</v>
      </c>
      <c r="D112" s="424" t="s">
        <v>209</v>
      </c>
      <c r="E112" s="426" t="s">
        <v>210</v>
      </c>
      <c r="F112" s="427" t="s">
        <v>211</v>
      </c>
      <c r="G112" s="427" t="s">
        <v>213</v>
      </c>
      <c r="H112" s="427" t="s">
        <v>396</v>
      </c>
      <c r="I112" s="427" t="s">
        <v>386</v>
      </c>
      <c r="J112" s="446" t="s">
        <v>215</v>
      </c>
      <c r="K112" s="446" t="s">
        <v>216</v>
      </c>
      <c r="L112" s="446" t="s">
        <v>217</v>
      </c>
      <c r="M112" s="447" t="s">
        <v>436</v>
      </c>
      <c r="N112" s="448" t="s">
        <v>219</v>
      </c>
      <c r="O112" s="449" t="s">
        <v>220</v>
      </c>
      <c r="P112" s="508" t="s">
        <v>221</v>
      </c>
      <c r="Q112" s="469" t="s">
        <v>222</v>
      </c>
      <c r="R112" s="426" t="s">
        <v>223</v>
      </c>
      <c r="S112" s="470" t="s">
        <v>224</v>
      </c>
      <c r="T112" s="467" t="s">
        <v>225</v>
      </c>
      <c r="U112" s="470" t="s">
        <v>226</v>
      </c>
      <c r="V112" s="467"/>
      <c r="W112" s="467"/>
    </row>
    <row r="113" s="410" customFormat="1" ht="17.4" spans="1:23">
      <c r="A113" s="432" t="s">
        <v>227</v>
      </c>
      <c r="B113" s="435" t="s">
        <v>163</v>
      </c>
      <c r="C113" s="434" t="s">
        <v>441</v>
      </c>
      <c r="D113" s="435" t="s">
        <v>49</v>
      </c>
      <c r="E113" s="436">
        <f>VLOOKUP(B113,正厂竞争者数据汇总!D:H,4,FALSE)</f>
        <v>0</v>
      </c>
      <c r="F113" s="436">
        <v>202226.75</v>
      </c>
      <c r="G113" s="436">
        <v>213503.583333333</v>
      </c>
      <c r="H113" s="436">
        <v>235149.083333333</v>
      </c>
      <c r="I113" s="454">
        <f>(F113/G113)-1</f>
        <v>-0.0528180050061596</v>
      </c>
      <c r="J113" s="457">
        <v>0.379245723805486</v>
      </c>
      <c r="K113" s="457">
        <v>0.395032604415077</v>
      </c>
      <c r="L113" s="457">
        <v>0.479341358160034</v>
      </c>
      <c r="M113" s="456">
        <f>J113-K113</f>
        <v>-0.015786880609591</v>
      </c>
      <c r="N113" s="457" t="str">
        <f>IFERROR(O113*0.5/$F$113,"")</f>
        <v/>
      </c>
      <c r="O113" s="436" t="s">
        <v>180</v>
      </c>
      <c r="P113" s="509">
        <f t="array" ref="P113">INDEX(正厂竞争者数据汇总!I:I,MATCH($A$111&amp;B113,正厂竞争者数据汇总!A:A&amp;正厂竞争者数据汇总!D:D,0))</f>
        <v>0</v>
      </c>
      <c r="Q113" s="434" t="s">
        <v>284</v>
      </c>
      <c r="R113" s="435" t="s">
        <v>229</v>
      </c>
      <c r="S113" s="476"/>
      <c r="T113" s="477"/>
      <c r="U113" s="477"/>
      <c r="V113" s="435"/>
      <c r="W113" s="435"/>
    </row>
    <row r="114" spans="1:23">
      <c r="A114" s="440" t="s">
        <v>230</v>
      </c>
      <c r="B114" s="440" t="s">
        <v>285</v>
      </c>
      <c r="C114" s="494" t="s">
        <v>233</v>
      </c>
      <c r="D114" s="431" t="s">
        <v>58</v>
      </c>
      <c r="E114" s="486"/>
      <c r="F114" s="430">
        <v>103777.5</v>
      </c>
      <c r="G114" s="486"/>
      <c r="H114" s="486"/>
      <c r="I114" s="518"/>
      <c r="J114" s="490">
        <v>0.194619025931158</v>
      </c>
      <c r="K114" s="451">
        <v>0.196433475996733</v>
      </c>
      <c r="L114" s="451">
        <v>0.232586667798906</v>
      </c>
      <c r="M114" s="452"/>
      <c r="N114" s="490"/>
      <c r="O114" s="486"/>
      <c r="P114" s="509">
        <f t="array" ref="P114">INDEX(正厂竞争者数据汇总!I:I,MATCH($A$111&amp;B114,正厂竞争者数据汇总!A:A&amp;正厂竞争者数据汇总!D:D,0))</f>
        <v>0</v>
      </c>
      <c r="Q114" s="494"/>
      <c r="R114" s="431"/>
      <c r="S114" s="473"/>
      <c r="T114" s="495"/>
      <c r="U114" s="466"/>
      <c r="V114" s="431"/>
      <c r="W114" s="431"/>
    </row>
    <row r="115" spans="1:23">
      <c r="A115" s="440" t="s">
        <v>230</v>
      </c>
      <c r="B115" s="440" t="s">
        <v>255</v>
      </c>
      <c r="C115" s="494" t="s">
        <v>233</v>
      </c>
      <c r="D115" s="431" t="s">
        <v>419</v>
      </c>
      <c r="E115" s="486"/>
      <c r="F115" s="430">
        <v>46144.955</v>
      </c>
      <c r="G115" s="486"/>
      <c r="H115" s="486"/>
      <c r="I115" s="518"/>
      <c r="J115" s="490">
        <v>0.0865378930282298</v>
      </c>
      <c r="K115" s="451">
        <v>0.0909252305608175</v>
      </c>
      <c r="L115" s="451">
        <v>0.107999060259743</v>
      </c>
      <c r="M115" s="452"/>
      <c r="N115" s="490"/>
      <c r="O115" s="486"/>
      <c r="P115" s="509" t="str">
        <f t="array" ref="P115">INDEX(正厂竞争者数据汇总!I:I,MATCH($A$111&amp;B115,正厂竞争者数据汇总!A:A&amp;正厂竞争者数据汇总!D:D,0))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115" s="494"/>
      <c r="R115" s="431"/>
      <c r="S115" s="473"/>
      <c r="T115" s="495"/>
      <c r="U115" s="466"/>
      <c r="V115" s="431"/>
      <c r="W115" s="431"/>
    </row>
    <row r="116" spans="1:23">
      <c r="A116" s="440" t="s">
        <v>230</v>
      </c>
      <c r="B116" s="440" t="s">
        <v>288</v>
      </c>
      <c r="C116" s="494" t="s">
        <v>441</v>
      </c>
      <c r="D116" s="431" t="s">
        <v>421</v>
      </c>
      <c r="E116" s="486"/>
      <c r="F116" s="430">
        <v>34275.25</v>
      </c>
      <c r="G116" s="486"/>
      <c r="H116" s="486"/>
      <c r="I116" s="518"/>
      <c r="J116" s="490">
        <v>0.0642780541884987</v>
      </c>
      <c r="K116" s="451">
        <v>0.0598722418081944</v>
      </c>
      <c r="L116" s="451">
        <v>0.0618598162859099</v>
      </c>
      <c r="M116" s="452"/>
      <c r="N116" s="490"/>
      <c r="O116" s="486"/>
      <c r="P116" s="509" t="str">
        <f t="array" ref="P116">INDEX(正厂竞争者数据汇总!I:I,MATCH($A$111&amp;B116,正厂竞争者数据汇总!A:A&amp;正厂竞争者数据汇总!D:D,0))</f>
        <v>2022年1月 新加入 CompetitorSites
2022年1月 新加入 MarketingShare</v>
      </c>
      <c r="Q116" s="494"/>
      <c r="R116" s="431"/>
      <c r="S116" s="473"/>
      <c r="T116" s="495"/>
      <c r="U116" s="466"/>
      <c r="V116" s="431"/>
      <c r="W116" s="431"/>
    </row>
    <row r="117" spans="1:23">
      <c r="A117" s="440" t="s">
        <v>243</v>
      </c>
      <c r="B117" s="431" t="s">
        <v>290</v>
      </c>
      <c r="C117" s="494" t="s">
        <v>233</v>
      </c>
      <c r="D117" s="431" t="s">
        <v>291</v>
      </c>
      <c r="E117" s="486"/>
      <c r="F117" s="430">
        <v>33270.5</v>
      </c>
      <c r="G117" s="486"/>
      <c r="H117" s="486"/>
      <c r="I117" s="518"/>
      <c r="J117" s="490">
        <v>0.0623937973283476</v>
      </c>
      <c r="K117" s="451"/>
      <c r="L117" s="451"/>
      <c r="M117" s="451"/>
      <c r="N117" s="490"/>
      <c r="O117" s="486"/>
      <c r="P117" s="526" t="str">
        <f t="array" ref="P117">INDEX(正厂竞争者数据汇总!I:I,MATCH($A$111&amp;B117,正厂竞争者数据汇总!A:A&amp;正厂竞争者数据汇总!D:D,0))</f>
        <v>2023年2月新增正厂</v>
      </c>
      <c r="Q117" s="494"/>
      <c r="R117" s="431"/>
      <c r="S117" s="473"/>
      <c r="T117" s="495"/>
      <c r="U117" s="466"/>
      <c r="V117" s="431"/>
      <c r="W117" s="431"/>
    </row>
    <row r="118" spans="1:23">
      <c r="A118" s="440" t="s">
        <v>230</v>
      </c>
      <c r="B118" s="440" t="s">
        <v>289</v>
      </c>
      <c r="C118" s="494" t="s">
        <v>233</v>
      </c>
      <c r="D118" s="431" t="s">
        <v>50</v>
      </c>
      <c r="E118" s="486"/>
      <c r="F118" s="430">
        <v>30766.4166666667</v>
      </c>
      <c r="G118" s="486"/>
      <c r="H118" s="486"/>
      <c r="I118" s="518"/>
      <c r="J118" s="490">
        <v>0.0576977672718924</v>
      </c>
      <c r="K118" s="451">
        <v>0.0477529519673286</v>
      </c>
      <c r="L118" s="451">
        <v>0.0519122468376177</v>
      </c>
      <c r="M118" s="451"/>
      <c r="N118" s="490"/>
      <c r="O118" s="486"/>
      <c r="P118" s="509" t="str">
        <f t="array" ref="P118">INDEX(正厂竞争者数据汇总!I:I,MATCH($A$111&amp;B118,正厂竞争者数据汇总!A:A&amp;正厂竞争者数据汇总!D:D,0))</f>
        <v>2021年11月重开
2021年10月临时关站
2020年10月从PartSites变成Revolution，加入MarketingShare</v>
      </c>
      <c r="Q118" s="494"/>
      <c r="R118" s="431"/>
      <c r="S118" s="473"/>
      <c r="T118" s="495"/>
      <c r="U118" s="466"/>
      <c r="V118" s="431"/>
      <c r="W118" s="431"/>
    </row>
    <row r="119" spans="1:23">
      <c r="A119" s="440" t="s">
        <v>230</v>
      </c>
      <c r="B119" s="440" t="s">
        <v>292</v>
      </c>
      <c r="C119" s="494" t="s">
        <v>233</v>
      </c>
      <c r="D119" s="431" t="s">
        <v>250</v>
      </c>
      <c r="E119" s="486"/>
      <c r="F119" s="430">
        <v>30266.5566666667</v>
      </c>
      <c r="G119" s="486"/>
      <c r="H119" s="486"/>
      <c r="I119" s="518"/>
      <c r="J119" s="490">
        <v>0.0567603553444327</v>
      </c>
      <c r="K119" s="451">
        <v>0.0608115767294794</v>
      </c>
      <c r="L119" s="451">
        <v>0.0663008506577886</v>
      </c>
      <c r="M119" s="452"/>
      <c r="N119" s="490"/>
      <c r="O119" s="486"/>
      <c r="P119" s="509" t="str">
        <f t="array" ref="P119">INDEX(正厂竞争者数据汇总!I:I,MATCH($A$111&amp;B119,正厂竞争者数据汇总!A:A&amp;正厂竞争者数据汇总!D:D,0))</f>
        <v>同时经营多品牌，流量折算比例为Ford:23%,GM:23%,Infiniti:0%,Kia:13%,Mopar:31%,Nissan:10%</v>
      </c>
      <c r="Q119" s="494"/>
      <c r="R119" s="431"/>
      <c r="S119" s="473"/>
      <c r="T119" s="495"/>
      <c r="U119" s="466"/>
      <c r="V119" s="431"/>
      <c r="W119" s="431"/>
    </row>
    <row r="120" spans="1:23">
      <c r="A120" s="440" t="s">
        <v>230</v>
      </c>
      <c r="B120" s="440" t="s">
        <v>287</v>
      </c>
      <c r="C120" s="494" t="s">
        <v>233</v>
      </c>
      <c r="D120" s="431" t="s">
        <v>49</v>
      </c>
      <c r="E120" s="486"/>
      <c r="F120" s="430">
        <v>21357.1666666667</v>
      </c>
      <c r="G120" s="486"/>
      <c r="H120" s="486"/>
      <c r="I120" s="518"/>
      <c r="J120" s="490">
        <v>0.040052140139395</v>
      </c>
      <c r="K120" s="451">
        <v>0.0608441190569015</v>
      </c>
      <c r="L120" s="451"/>
      <c r="M120" s="452"/>
      <c r="N120" s="490"/>
      <c r="O120" s="486"/>
      <c r="P120" s="509">
        <f t="array" ref="P120">INDEX(正厂竞争者数据汇总!I:I,MATCH($A$111&amp;B120,正厂竞争者数据汇总!A:A&amp;正厂竞争者数据汇总!D:D,0))</f>
        <v>0</v>
      </c>
      <c r="Q120" s="494"/>
      <c r="R120" s="431"/>
      <c r="S120" s="473"/>
      <c r="T120" s="495"/>
      <c r="U120" s="466"/>
      <c r="V120" s="431"/>
      <c r="W120" s="431"/>
    </row>
    <row r="121" spans="1:23">
      <c r="A121" s="440" t="s">
        <v>230</v>
      </c>
      <c r="B121" s="440" t="s">
        <v>286</v>
      </c>
      <c r="C121" s="494" t="s">
        <v>233</v>
      </c>
      <c r="D121" s="431" t="s">
        <v>234</v>
      </c>
      <c r="E121" s="486"/>
      <c r="F121" s="430">
        <v>17235.5</v>
      </c>
      <c r="G121" s="486"/>
      <c r="H121" s="486"/>
      <c r="I121" s="518"/>
      <c r="J121" s="490">
        <v>0.0323225768729876</v>
      </c>
      <c r="K121" s="451">
        <v>0.0496929460324263</v>
      </c>
      <c r="L121" s="451"/>
      <c r="M121" s="451"/>
      <c r="N121" s="490"/>
      <c r="O121" s="486"/>
      <c r="P121" s="509" t="str">
        <f t="array" ref="P121">INDEX(正厂竞争者数据汇总!I:I,MATCH($A$111&amp;B121,正厂竞争者数据汇总!A:A&amp;正厂竞争者数据汇总!D:D,0))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21" s="494"/>
      <c r="R121" s="431"/>
      <c r="S121" s="473"/>
      <c r="T121" s="495"/>
      <c r="U121" s="466"/>
      <c r="V121" s="431"/>
      <c r="W121" s="431"/>
    </row>
    <row r="122" spans="1:23">
      <c r="A122" s="440" t="s">
        <v>230</v>
      </c>
      <c r="B122" s="431" t="s">
        <v>459</v>
      </c>
      <c r="C122" s="494" t="s">
        <v>233</v>
      </c>
      <c r="D122" s="431" t="s">
        <v>419</v>
      </c>
      <c r="E122" s="486"/>
      <c r="F122" s="430">
        <v>13913.4991666667</v>
      </c>
      <c r="G122" s="486"/>
      <c r="H122" s="486"/>
      <c r="I122" s="518"/>
      <c r="J122" s="490">
        <v>0.0260926660895729</v>
      </c>
      <c r="K122" s="451">
        <v>0.0386348534330415</v>
      </c>
      <c r="L122" s="451"/>
      <c r="M122" s="451"/>
      <c r="N122" s="490"/>
      <c r="O122" s="486"/>
      <c r="P122" s="509" t="str">
        <f t="array" ref="P122">INDEX(正厂竞争者数据汇总!I:I,MATCH($A$111&amp;B122,正厂竞争者数据汇总!A:A&amp;正厂竞争者数据汇总!D:D,0))</f>
        <v>经营多品牌零件，折算比例为：Ford:33%,GM:17%,Hyundai:0%,Infiniti:0%,Kia:17%,Mopar:33%,Subaru:0%</v>
      </c>
      <c r="Q122" s="494"/>
      <c r="R122" s="431"/>
      <c r="S122" s="473"/>
      <c r="T122" s="495"/>
      <c r="U122" s="466"/>
      <c r="V122" s="431"/>
      <c r="W122" s="431"/>
    </row>
    <row r="123" s="408" customFormat="1" spans="1:23">
      <c r="A123" s="428"/>
      <c r="B123" s="421"/>
      <c r="C123" s="439"/>
      <c r="D123" s="421"/>
      <c r="E123" s="421"/>
      <c r="F123" s="430"/>
      <c r="G123" s="430"/>
      <c r="H123" s="430"/>
      <c r="I123" s="453"/>
      <c r="J123" s="430"/>
      <c r="K123" s="430"/>
      <c r="L123" s="430"/>
      <c r="M123" s="451"/>
      <c r="N123" s="451"/>
      <c r="O123" s="430"/>
      <c r="P123" s="509"/>
      <c r="Q123" s="429"/>
      <c r="R123" s="421"/>
      <c r="S123" s="473"/>
      <c r="T123" s="466"/>
      <c r="U123" s="466"/>
      <c r="V123" s="421"/>
      <c r="W123" s="421"/>
    </row>
    <row r="124" s="408" customFormat="1" spans="1:23">
      <c r="A124" s="428"/>
      <c r="B124" s="421"/>
      <c r="C124" s="439"/>
      <c r="D124" s="421"/>
      <c r="E124" s="421"/>
      <c r="F124" s="430">
        <v>533234.094166667</v>
      </c>
      <c r="G124" s="430">
        <v>445410.310833333</v>
      </c>
      <c r="H124" s="430">
        <v>428652.916666666</v>
      </c>
      <c r="I124" s="453">
        <f>(F124/G124)-1</f>
        <v>0.197175011887402</v>
      </c>
      <c r="J124" s="430"/>
      <c r="K124" s="430"/>
      <c r="L124" s="430"/>
      <c r="M124" s="451"/>
      <c r="N124" s="451">
        <f>SUM(N113:N114)</f>
        <v>0</v>
      </c>
      <c r="O124" s="430"/>
      <c r="P124" s="509"/>
      <c r="Q124" s="429"/>
      <c r="R124" s="421"/>
      <c r="S124" s="473"/>
      <c r="T124" s="466"/>
      <c r="U124" s="466"/>
      <c r="V124" s="421"/>
      <c r="W124" s="421"/>
    </row>
    <row r="125" s="408" customFormat="1" spans="1:23">
      <c r="A125" s="428"/>
      <c r="B125" s="421"/>
      <c r="C125" s="485"/>
      <c r="D125" s="421"/>
      <c r="E125" s="430"/>
      <c r="F125" s="451"/>
      <c r="G125" s="451"/>
      <c r="H125" s="451"/>
      <c r="I125" s="453"/>
      <c r="J125" s="451"/>
      <c r="K125" s="451"/>
      <c r="L125" s="451"/>
      <c r="M125" s="451"/>
      <c r="N125" s="451"/>
      <c r="O125" s="451"/>
      <c r="P125" s="509"/>
      <c r="Q125" s="429"/>
      <c r="R125" s="421"/>
      <c r="S125" s="473"/>
      <c r="T125" s="466"/>
      <c r="U125" s="466"/>
      <c r="V125" s="421"/>
      <c r="W125" s="421"/>
    </row>
    <row r="126" s="408" customFormat="1" ht="17.4" spans="1:23">
      <c r="A126" s="418" t="s">
        <v>174</v>
      </c>
      <c r="B126" s="419"/>
      <c r="C126" s="420"/>
      <c r="D126" s="421"/>
      <c r="E126" s="422" t="s">
        <v>202</v>
      </c>
      <c r="F126" s="422"/>
      <c r="G126" s="422"/>
      <c r="H126" s="422"/>
      <c r="I126" s="422"/>
      <c r="J126" s="422"/>
      <c r="K126" s="422"/>
      <c r="L126" s="422"/>
      <c r="M126" s="443"/>
      <c r="N126" s="444"/>
      <c r="O126" s="422"/>
      <c r="P126" s="509"/>
      <c r="Q126" s="465"/>
      <c r="R126" s="424"/>
      <c r="S126" s="473"/>
      <c r="T126" s="467"/>
      <c r="U126" s="467"/>
      <c r="V126" s="467"/>
      <c r="W126" s="467"/>
    </row>
    <row r="127" s="409" customFormat="1" ht="46.8" spans="1:23">
      <c r="A127" s="423" t="s">
        <v>206</v>
      </c>
      <c r="B127" s="424" t="s">
        <v>207</v>
      </c>
      <c r="C127" s="425" t="s">
        <v>447</v>
      </c>
      <c r="D127" s="424" t="s">
        <v>209</v>
      </c>
      <c r="E127" s="426" t="s">
        <v>210</v>
      </c>
      <c r="F127" s="427" t="s">
        <v>211</v>
      </c>
      <c r="G127" s="427" t="s">
        <v>213</v>
      </c>
      <c r="H127" s="427" t="s">
        <v>396</v>
      </c>
      <c r="I127" s="427" t="s">
        <v>386</v>
      </c>
      <c r="J127" s="446" t="s">
        <v>215</v>
      </c>
      <c r="K127" s="446" t="s">
        <v>216</v>
      </c>
      <c r="L127" s="446" t="s">
        <v>217</v>
      </c>
      <c r="M127" s="447" t="s">
        <v>436</v>
      </c>
      <c r="N127" s="448" t="s">
        <v>219</v>
      </c>
      <c r="O127" s="449" t="s">
        <v>220</v>
      </c>
      <c r="P127" s="508" t="s">
        <v>221</v>
      </c>
      <c r="Q127" s="469" t="s">
        <v>222</v>
      </c>
      <c r="R127" s="426" t="s">
        <v>223</v>
      </c>
      <c r="S127" s="470" t="s">
        <v>224</v>
      </c>
      <c r="T127" s="467" t="s">
        <v>225</v>
      </c>
      <c r="U127" s="470" t="s">
        <v>226</v>
      </c>
      <c r="V127" s="467"/>
      <c r="W127" s="467"/>
    </row>
    <row r="128" s="410" customFormat="1" ht="17.4" spans="1:23">
      <c r="A128" s="435" t="s">
        <v>227</v>
      </c>
      <c r="B128" s="435" t="s">
        <v>175</v>
      </c>
      <c r="C128" s="435" t="s">
        <v>441</v>
      </c>
      <c r="D128" s="435" t="s">
        <v>49</v>
      </c>
      <c r="E128" s="436">
        <f>VLOOKUP(B128,正厂竞争者数据汇总!D:H,4,FALSE)</f>
        <v>325311</v>
      </c>
      <c r="F128" s="436">
        <v>186299.916666667</v>
      </c>
      <c r="G128" s="436">
        <f t="array" ref="G128">INDEX(正厂竞争者数据汇总!$H$2:$H$448,MATCH($A$126&amp;$B128,正厂竞争者数据汇总!$A$2:$A$448&amp;正厂竞争者数据汇总!$D$2:$D$448,0))</f>
        <v>209547.25</v>
      </c>
      <c r="H128" s="436">
        <f t="array" ref="H128">INDEX(正厂竞争者数据汇总!$H$2:$H$448,MATCH($A$126&amp;$B128,正厂竞争者数据汇总!$A$2:$A$448&amp;正厂竞争者数据汇总!$D$2:$D$448,0))</f>
        <v>209547.25</v>
      </c>
      <c r="I128" s="436">
        <f t="array" ref="I128">INDEX(正厂竞争者数据汇总!$H$2:$H$448,MATCH($A$126&amp;$B128,正厂竞争者数据汇总!$A$2:$A$448&amp;正厂竞争者数据汇总!$D$2:$D$448,0))</f>
        <v>209547.25</v>
      </c>
      <c r="J128" s="457">
        <v>0.406491384482529</v>
      </c>
      <c r="K128" s="457">
        <v>0.402116894567786</v>
      </c>
      <c r="L128" s="457">
        <v>0.457190770523565</v>
      </c>
      <c r="M128" s="456">
        <f>J128-K128</f>
        <v>0.00437448991474298</v>
      </c>
      <c r="N128" s="457" t="str">
        <f>IFERROR(O128*0.5/$F$128,"")</f>
        <v/>
      </c>
      <c r="O128" s="436" t="s">
        <v>180</v>
      </c>
      <c r="P128" s="509">
        <f t="array" ref="P128">INDEX(正厂竞争者数据汇总!I:I,MATCH($A$126&amp;B128,正厂竞争者数据汇总!A:A&amp;正厂竞争者数据汇总!D:D,0))</f>
        <v>0</v>
      </c>
      <c r="Q128" s="434" t="s">
        <v>318</v>
      </c>
      <c r="R128" s="435" t="s">
        <v>229</v>
      </c>
      <c r="S128" s="476"/>
      <c r="T128" s="477"/>
      <c r="U128" s="477"/>
      <c r="V128" s="435"/>
      <c r="W128" s="435"/>
    </row>
    <row r="129" spans="1:23">
      <c r="A129" s="431" t="s">
        <v>230</v>
      </c>
      <c r="B129" s="431" t="s">
        <v>320</v>
      </c>
      <c r="C129" s="523" t="s">
        <v>441</v>
      </c>
      <c r="D129" s="431" t="s">
        <v>58</v>
      </c>
      <c r="E129" s="486"/>
      <c r="F129" s="430">
        <v>63507.5</v>
      </c>
      <c r="G129" s="486"/>
      <c r="H129" s="486"/>
      <c r="I129" s="518"/>
      <c r="J129" s="490">
        <v>0.138568240189895</v>
      </c>
      <c r="K129" s="451">
        <v>0.147536782165933</v>
      </c>
      <c r="L129" s="451">
        <v>0.281617645112036</v>
      </c>
      <c r="M129" s="490"/>
      <c r="N129" s="490"/>
      <c r="O129" s="486"/>
      <c r="P129" s="509">
        <f t="array" ref="P129">INDEX(正厂竞争者数据汇总!I:I,MATCH($A$126&amp;B129,正厂竞争者数据汇总!A:A&amp;正厂竞争者数据汇总!D:D,0))</f>
        <v>0</v>
      </c>
      <c r="Q129" s="494"/>
      <c r="R129" s="431"/>
      <c r="S129" s="473"/>
      <c r="T129" s="495"/>
      <c r="U129" s="495"/>
      <c r="V129" s="431"/>
      <c r="W129" s="431"/>
    </row>
    <row r="130" spans="1:23">
      <c r="A130" s="431" t="s">
        <v>230</v>
      </c>
      <c r="B130" s="431" t="s">
        <v>319</v>
      </c>
      <c r="C130" s="431" t="s">
        <v>233</v>
      </c>
      <c r="D130" s="431" t="s">
        <v>234</v>
      </c>
      <c r="E130" s="486"/>
      <c r="F130" s="430">
        <v>56998</v>
      </c>
      <c r="G130" s="486"/>
      <c r="H130" s="486"/>
      <c r="I130" s="518"/>
      <c r="J130" s="490">
        <v>0.124365036481418</v>
      </c>
      <c r="K130" s="451">
        <v>0.12201022080782</v>
      </c>
      <c r="L130" s="451"/>
      <c r="M130" s="490"/>
      <c r="N130" s="490"/>
      <c r="O130" s="486"/>
      <c r="P130" s="509" t="str">
        <f t="array" ref="P130">INDEX(正厂竞争者数据汇总!I:I,MATCH($A$126&amp;B130,正厂竞争者数据汇总!A:A&amp;正厂竞争者数据汇总!D:D,0))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30" s="494"/>
      <c r="R130" s="431"/>
      <c r="S130" s="473"/>
      <c r="T130" s="495"/>
      <c r="U130" s="495"/>
      <c r="V130" s="431"/>
      <c r="W130" s="431"/>
    </row>
    <row r="131" spans="1:23">
      <c r="A131" s="431" t="s">
        <v>230</v>
      </c>
      <c r="B131" t="s">
        <v>323</v>
      </c>
      <c r="C131" s="431" t="s">
        <v>441</v>
      </c>
      <c r="D131" s="431" t="s">
        <v>411</v>
      </c>
      <c r="E131" s="486"/>
      <c r="F131" s="430">
        <v>50785.9166666667</v>
      </c>
      <c r="G131" s="486"/>
      <c r="H131" s="486"/>
      <c r="I131" s="518"/>
      <c r="J131" s="490">
        <v>0.11081077193923</v>
      </c>
      <c r="K131" s="451">
        <v>0.108017860627424</v>
      </c>
      <c r="L131" s="451">
        <v>0.100933371160503</v>
      </c>
      <c r="M131" s="490"/>
      <c r="N131" s="490"/>
      <c r="O131" s="486"/>
      <c r="P131" s="509" t="str">
        <f t="array" ref="P131">INDEX(正厂竞争者数据汇总!I:I,MATCH($A$126&amp;B131,正厂竞争者数据汇总!A:A&amp;正厂竞争者数据汇总!D:D,0))</f>
        <v>2022年1月 新加入 CompetitorSites
2022年1月 新加入 MarketingShare</v>
      </c>
      <c r="Q131" s="494"/>
      <c r="R131" s="431"/>
      <c r="S131" s="473"/>
      <c r="T131" s="495"/>
      <c r="U131" s="495"/>
      <c r="V131" s="431"/>
      <c r="W131" s="431"/>
    </row>
    <row r="132" spans="1:23">
      <c r="A132" s="431" t="s">
        <v>230</v>
      </c>
      <c r="B132" s="431" t="s">
        <v>321</v>
      </c>
      <c r="C132" s="431" t="s">
        <v>441</v>
      </c>
      <c r="D132" s="431" t="s">
        <v>57</v>
      </c>
      <c r="E132" s="486"/>
      <c r="F132" s="430">
        <v>41029.3083333333</v>
      </c>
      <c r="G132" s="486"/>
      <c r="H132" s="486"/>
      <c r="I132" s="518"/>
      <c r="J132" s="490">
        <v>0.089522639876528</v>
      </c>
      <c r="K132" s="451">
        <v>0.0813290803280747</v>
      </c>
      <c r="L132" s="451"/>
      <c r="M132" s="490"/>
      <c r="N132" s="490"/>
      <c r="O132" s="486"/>
      <c r="P132" s="509" t="str">
        <f t="array" ref="P132">INDEX(正厂竞争者数据汇总!I:I,MATCH($A$126&amp;B132,正厂竞争者数据汇总!A:A&amp;正厂竞争者数据汇总!D:D,0))</f>
        <v>同时经营honda/acura，折算比例：acura75%，honda25%</v>
      </c>
      <c r="Q132" s="494"/>
      <c r="R132" s="431"/>
      <c r="S132" s="473"/>
      <c r="T132" s="495"/>
      <c r="U132" s="495"/>
      <c r="V132" s="431"/>
      <c r="W132" s="431"/>
    </row>
    <row r="133" spans="1:23">
      <c r="A133" s="431" t="s">
        <v>238</v>
      </c>
      <c r="B133" s="431" t="s">
        <v>322</v>
      </c>
      <c r="C133" s="523" t="s">
        <v>441</v>
      </c>
      <c r="D133" s="431" t="s">
        <v>250</v>
      </c>
      <c r="E133" s="486"/>
      <c r="F133" s="430">
        <v>33757.5833333333</v>
      </c>
      <c r="G133" s="486"/>
      <c r="H133" s="486"/>
      <c r="I133" s="518"/>
      <c r="J133" s="490">
        <v>0.0736563227266659</v>
      </c>
      <c r="K133" s="451">
        <v>0.0772021302994867</v>
      </c>
      <c r="L133" s="451">
        <v>0.118014660132858</v>
      </c>
      <c r="M133" s="490"/>
      <c r="N133" s="490"/>
      <c r="O133" s="486"/>
      <c r="P133" s="509">
        <f t="array" ref="P133">INDEX(正厂竞争者数据汇总!I:I,MATCH($A$126&amp;B133,正厂竞争者数据汇总!A:A&amp;正厂竞争者数据汇总!D:D,0))</f>
        <v>0</v>
      </c>
      <c r="Q133" s="494"/>
      <c r="R133" s="431"/>
      <c r="S133" s="473"/>
      <c r="T133" s="495"/>
      <c r="U133" s="495"/>
      <c r="V133" s="431"/>
      <c r="W133" s="431"/>
    </row>
    <row r="134" spans="1:23">
      <c r="A134" s="431" t="s">
        <v>230</v>
      </c>
      <c r="B134" s="431" t="s">
        <v>439</v>
      </c>
      <c r="C134" s="431" t="s">
        <v>441</v>
      </c>
      <c r="D134" s="431" t="s">
        <v>460</v>
      </c>
      <c r="E134" s="486"/>
      <c r="F134" s="430">
        <v>25933.8666666667</v>
      </c>
      <c r="G134" s="486"/>
      <c r="H134" s="486"/>
      <c r="I134" s="518"/>
      <c r="J134" s="490">
        <v>0.056585604303734</v>
      </c>
      <c r="K134" s="451">
        <v>0.0617870312034756</v>
      </c>
      <c r="L134" s="451"/>
      <c r="M134" s="490"/>
      <c r="N134" s="490"/>
      <c r="O134" s="486"/>
      <c r="P134" s="509" t="str">
        <f t="array" ref="P134">INDEX(正厂竞争者数据汇总!I:I,MATCH($A$126&amp;B134,正厂竞争者数据汇总!A:A&amp;正厂竞争者数据汇总!D:D,0))</f>
        <v>同时经营honda/acura，折算比例：acura:80%,honda:20%</v>
      </c>
      <c r="Q134" s="494"/>
      <c r="R134" s="431"/>
      <c r="S134" s="473"/>
      <c r="T134" s="495"/>
      <c r="U134" s="495"/>
      <c r="V134" s="431"/>
      <c r="W134" s="431"/>
    </row>
    <row r="135" s="408" customFormat="1" spans="1:23">
      <c r="A135" s="428"/>
      <c r="B135" s="438"/>
      <c r="C135" s="429"/>
      <c r="D135" s="421"/>
      <c r="E135" s="430"/>
      <c r="F135" s="486"/>
      <c r="G135" s="486">
        <v>409170.916666667</v>
      </c>
      <c r="H135" s="486"/>
      <c r="I135" s="453"/>
      <c r="J135" s="451"/>
      <c r="K135" s="430"/>
      <c r="L135" s="430"/>
      <c r="M135" s="451"/>
      <c r="N135" s="451"/>
      <c r="O135" s="430"/>
      <c r="P135" s="509"/>
      <c r="Q135" s="429"/>
      <c r="R135" s="421"/>
      <c r="S135" s="473"/>
      <c r="T135" s="466"/>
      <c r="U135" s="466"/>
      <c r="V135" s="421"/>
      <c r="W135" s="421"/>
    </row>
    <row r="136" s="408" customFormat="1" spans="1:23">
      <c r="A136" s="428"/>
      <c r="B136" s="421"/>
      <c r="C136" s="439"/>
      <c r="D136" s="421"/>
      <c r="E136" s="421"/>
      <c r="F136" s="430">
        <v>458312.091666667</v>
      </c>
      <c r="G136" s="430"/>
      <c r="H136" s="430">
        <v>444921.666666667</v>
      </c>
      <c r="I136" s="453" t="e">
        <f>(F136/G136)-1</f>
        <v>#DIV/0!</v>
      </c>
      <c r="J136" s="430"/>
      <c r="K136" s="430"/>
      <c r="L136" s="430"/>
      <c r="M136" s="451"/>
      <c r="N136" s="451">
        <f>SUM(N128:N135)</f>
        <v>0</v>
      </c>
      <c r="O136" s="430"/>
      <c r="P136" s="509"/>
      <c r="Q136" s="429" t="s">
        <v>180</v>
      </c>
      <c r="R136" s="421" t="s">
        <v>180</v>
      </c>
      <c r="S136" s="473"/>
      <c r="T136" s="466"/>
      <c r="U136" s="466"/>
      <c r="V136" s="421"/>
      <c r="W136" s="421"/>
    </row>
    <row r="137" s="408" customFormat="1" spans="1:23">
      <c r="A137" s="428"/>
      <c r="B137" s="421"/>
      <c r="C137" s="439"/>
      <c r="D137" s="421"/>
      <c r="E137" s="430"/>
      <c r="F137" s="430"/>
      <c r="G137" s="430"/>
      <c r="H137" s="430"/>
      <c r="I137" s="453"/>
      <c r="J137" s="430"/>
      <c r="K137" s="430"/>
      <c r="L137" s="430"/>
      <c r="M137" s="451"/>
      <c r="N137" s="459"/>
      <c r="O137" s="430"/>
      <c r="P137" s="509"/>
      <c r="Q137" s="429"/>
      <c r="R137" s="421" t="s">
        <v>180</v>
      </c>
      <c r="S137" s="473"/>
      <c r="T137" s="466"/>
      <c r="U137" s="466"/>
      <c r="V137" s="421"/>
      <c r="W137" s="421"/>
    </row>
    <row r="138" s="408" customFormat="1" ht="17.4" spans="1:23">
      <c r="A138" s="418" t="s">
        <v>168</v>
      </c>
      <c r="B138" s="487"/>
      <c r="C138" s="420"/>
      <c r="D138" s="421"/>
      <c r="E138" s="422" t="s">
        <v>202</v>
      </c>
      <c r="F138" s="422"/>
      <c r="G138" s="422" t="s">
        <v>213</v>
      </c>
      <c r="H138" s="422"/>
      <c r="I138" s="422"/>
      <c r="J138" s="422"/>
      <c r="K138" s="422"/>
      <c r="L138" s="422"/>
      <c r="M138" s="443"/>
      <c r="N138" s="444"/>
      <c r="O138" s="422"/>
      <c r="P138" s="509"/>
      <c r="Q138" s="465"/>
      <c r="R138" s="424"/>
      <c r="S138" s="473"/>
      <c r="T138" s="467"/>
      <c r="U138" s="467"/>
      <c r="V138" s="467"/>
      <c r="W138" s="467"/>
    </row>
    <row r="139" s="409" customFormat="1" ht="46.8" spans="1:23">
      <c r="A139" s="423" t="s">
        <v>206</v>
      </c>
      <c r="B139" s="424" t="s">
        <v>207</v>
      </c>
      <c r="C139" s="425" t="s">
        <v>447</v>
      </c>
      <c r="D139" s="424" t="s">
        <v>209</v>
      </c>
      <c r="E139" s="426" t="s">
        <v>210</v>
      </c>
      <c r="F139" s="427" t="s">
        <v>211</v>
      </c>
      <c r="G139" s="427">
        <v>197584.75</v>
      </c>
      <c r="H139" s="427" t="s">
        <v>396</v>
      </c>
      <c r="I139" s="427" t="s">
        <v>386</v>
      </c>
      <c r="J139" s="446" t="s">
        <v>215</v>
      </c>
      <c r="K139" s="446" t="s">
        <v>216</v>
      </c>
      <c r="L139" s="446" t="s">
        <v>217</v>
      </c>
      <c r="M139" s="447" t="s">
        <v>436</v>
      </c>
      <c r="N139" s="448" t="s">
        <v>219</v>
      </c>
      <c r="O139" s="449" t="s">
        <v>220</v>
      </c>
      <c r="P139" s="508" t="s">
        <v>221</v>
      </c>
      <c r="Q139" s="469" t="s">
        <v>222</v>
      </c>
      <c r="R139" s="426" t="s">
        <v>223</v>
      </c>
      <c r="S139" s="470" t="s">
        <v>224</v>
      </c>
      <c r="T139" s="467" t="s">
        <v>225</v>
      </c>
      <c r="U139" s="470" t="s">
        <v>226</v>
      </c>
      <c r="V139" s="467"/>
      <c r="W139" s="467"/>
    </row>
    <row r="140" s="410" customFormat="1" ht="17.4" spans="1:23">
      <c r="A140" s="432" t="s">
        <v>227</v>
      </c>
      <c r="B140" s="488" t="s">
        <v>169</v>
      </c>
      <c r="C140" s="434" t="s">
        <v>441</v>
      </c>
      <c r="D140" s="435" t="s">
        <v>49</v>
      </c>
      <c r="E140" s="436">
        <f>VLOOKUP(B140,正厂竞争者数据汇总!D:H,4,FALSE)</f>
        <v>0</v>
      </c>
      <c r="F140" s="436">
        <v>279763.75</v>
      </c>
      <c r="G140" s="436">
        <v>39089.5833333333</v>
      </c>
      <c r="H140" s="436">
        <v>201623.666666667</v>
      </c>
      <c r="I140" s="454">
        <f>(F140/G140)-1</f>
        <v>6.1569898203912</v>
      </c>
      <c r="J140" s="457">
        <v>0.604762516640285</v>
      </c>
      <c r="K140" s="457">
        <v>0.620148369158349</v>
      </c>
      <c r="L140" s="457">
        <v>0.761590727097114</v>
      </c>
      <c r="M140" s="456">
        <f>J140-K142</f>
        <v>0.474657714487854</v>
      </c>
      <c r="N140" s="457" t="str">
        <f>IFERROR(O140*0.5/$F$140,"")</f>
        <v/>
      </c>
      <c r="O140" s="436" t="s">
        <v>180</v>
      </c>
      <c r="P140" s="509">
        <f t="array" ref="P140">INDEX(正厂竞争者数据汇总!I:I,MATCH($A$138&amp;B140,正厂竞争者数据汇总!A:A&amp;正厂竞争者数据汇总!D:D,0))</f>
        <v>0</v>
      </c>
      <c r="Q140" s="434" t="s">
        <v>299</v>
      </c>
      <c r="R140" s="435" t="s">
        <v>229</v>
      </c>
      <c r="S140" s="476"/>
      <c r="T140" s="477"/>
      <c r="U140" s="477"/>
      <c r="V140" s="435"/>
      <c r="W140" s="435"/>
    </row>
    <row r="141" s="408" customFormat="1" spans="1:23">
      <c r="A141" s="527" t="s">
        <v>230</v>
      </c>
      <c r="B141" s="431" t="s">
        <v>308</v>
      </c>
      <c r="C141" s="494" t="s">
        <v>233</v>
      </c>
      <c r="D141" s="431" t="s">
        <v>426</v>
      </c>
      <c r="E141" s="486"/>
      <c r="F141" s="430">
        <v>39126</v>
      </c>
      <c r="G141" s="486"/>
      <c r="H141" s="486"/>
      <c r="I141" s="518"/>
      <c r="J141" s="490">
        <v>0.0845782851640635</v>
      </c>
      <c r="K141" s="451">
        <v>0.094608428904086</v>
      </c>
      <c r="L141" s="451"/>
      <c r="M141" s="451"/>
      <c r="N141" s="451"/>
      <c r="O141" s="430"/>
      <c r="P141" s="509">
        <f t="array" ref="P141">INDEX(正厂竞争者数据汇总!I:I,MATCH($A$138&amp;B141,正厂竞争者数据汇总!A:A&amp;正厂竞争者数据汇总!D:D,0))</f>
        <v>0</v>
      </c>
      <c r="Q141" s="429"/>
      <c r="R141" s="421"/>
      <c r="S141" s="473"/>
      <c r="T141" s="466"/>
      <c r="U141" s="466"/>
      <c r="V141" s="421"/>
      <c r="W141" s="421"/>
    </row>
    <row r="142" s="408" customFormat="1" spans="1:23">
      <c r="A142" s="527" t="s">
        <v>305</v>
      </c>
      <c r="B142" s="524" t="s">
        <v>306</v>
      </c>
      <c r="C142" s="494" t="s">
        <v>233</v>
      </c>
      <c r="D142" s="431" t="s">
        <v>49</v>
      </c>
      <c r="E142" s="486"/>
      <c r="F142" s="430">
        <v>38113.1666666667</v>
      </c>
      <c r="G142" s="486"/>
      <c r="H142" s="486"/>
      <c r="I142" s="518"/>
      <c r="J142" s="490">
        <v>0.0823888534181572</v>
      </c>
      <c r="K142" s="451">
        <v>0.130104802152431</v>
      </c>
      <c r="L142" s="451">
        <v>0.150670859936086</v>
      </c>
      <c r="M142" s="451"/>
      <c r="N142" s="451"/>
      <c r="O142" s="430"/>
      <c r="P142" s="509">
        <f t="array" ref="P142">INDEX(正厂竞争者数据汇总!I:I,MATCH($A$138&amp;B142,正厂竞争者数据汇总!A:A&amp;正厂竞争者数据汇总!D:D,0))</f>
        <v>0</v>
      </c>
      <c r="Q142" s="429"/>
      <c r="R142" s="421"/>
      <c r="S142" s="473"/>
      <c r="T142" s="477"/>
      <c r="U142" s="466"/>
      <c r="V142" s="421"/>
      <c r="W142" s="421"/>
    </row>
    <row r="143" s="408" customFormat="1" spans="1:23">
      <c r="A143" s="527" t="s">
        <v>230</v>
      </c>
      <c r="B143" s="431" t="s">
        <v>304</v>
      </c>
      <c r="C143" s="494" t="s">
        <v>233</v>
      </c>
      <c r="D143" s="431" t="s">
        <v>49</v>
      </c>
      <c r="E143" s="486"/>
      <c r="F143" s="430">
        <v>29523.5</v>
      </c>
      <c r="G143" s="486"/>
      <c r="H143" s="486"/>
      <c r="I143" s="518"/>
      <c r="J143" s="490">
        <v>0.0638206563932227</v>
      </c>
      <c r="K143" s="451">
        <v>0.0522380613128764</v>
      </c>
      <c r="L143" s="451">
        <v>0.0781455222094772</v>
      </c>
      <c r="M143" s="451"/>
      <c r="N143" s="451"/>
      <c r="O143" s="430"/>
      <c r="P143" s="509">
        <f t="array" ref="P143">INDEX(正厂竞争者数据汇总!I:I,MATCH($A$138&amp;B143,正厂竞争者数据汇总!A:A&amp;正厂竞争者数据汇总!D:D,0))</f>
        <v>0</v>
      </c>
      <c r="Q143" s="429"/>
      <c r="R143" s="421"/>
      <c r="S143" s="473"/>
      <c r="T143" s="466"/>
      <c r="U143" s="466"/>
      <c r="V143" s="421"/>
      <c r="W143" s="421"/>
    </row>
    <row r="144" s="408" customFormat="1" spans="1:23">
      <c r="A144" s="527" t="s">
        <v>230</v>
      </c>
      <c r="B144" s="431" t="s">
        <v>307</v>
      </c>
      <c r="C144" s="494" t="s">
        <v>233</v>
      </c>
      <c r="D144" s="431" t="s">
        <v>49</v>
      </c>
      <c r="E144" s="486"/>
      <c r="F144" s="430">
        <v>27605</v>
      </c>
      <c r="G144" s="486"/>
      <c r="H144" s="486"/>
      <c r="I144" s="518"/>
      <c r="J144" s="490">
        <v>0.0596734540191682</v>
      </c>
      <c r="K144" s="451"/>
      <c r="L144" s="451"/>
      <c r="M144" s="451"/>
      <c r="N144" s="451"/>
      <c r="O144" s="430"/>
      <c r="P144" s="526" t="str">
        <f t="array" ref="P144">INDEX(正厂竞争者数据汇总!I:I,MATCH($A$138&amp;B144,正厂竞争者数据汇总!A:A&amp;正厂竞争者数据汇总!D:D,0))</f>
        <v>2023年2月新增正厂</v>
      </c>
      <c r="Q144" s="429"/>
      <c r="R144" s="421"/>
      <c r="S144" s="473"/>
      <c r="T144" s="466"/>
      <c r="U144" s="466"/>
      <c r="V144" s="421"/>
      <c r="W144" s="421"/>
    </row>
    <row r="145" s="408" customFormat="1" spans="1:23">
      <c r="A145" s="527" t="s">
        <v>243</v>
      </c>
      <c r="B145" s="431" t="s">
        <v>462</v>
      </c>
      <c r="C145" s="494" t="s">
        <v>441</v>
      </c>
      <c r="D145" s="431" t="s">
        <v>420</v>
      </c>
      <c r="E145" s="486"/>
      <c r="F145" s="430">
        <v>20438.5</v>
      </c>
      <c r="G145" s="486"/>
      <c r="H145" s="486"/>
      <c r="I145" s="518"/>
      <c r="J145" s="490">
        <v>0.0441817022267984</v>
      </c>
      <c r="K145" s="451"/>
      <c r="L145" s="451"/>
      <c r="M145" s="451"/>
      <c r="N145" s="451"/>
      <c r="O145" s="430"/>
      <c r="P145" s="526" t="str">
        <f t="array" ref="P145">INDEX(正厂竞争者数据汇总!I:I,MATCH($A$138&amp;B145,正厂竞争者数据汇总!A:A&amp;正厂竞争者数据汇总!D:D,0))</f>
        <v>2023年2月新增正厂</v>
      </c>
      <c r="Q145" s="429"/>
      <c r="R145" s="421"/>
      <c r="S145" s="473"/>
      <c r="T145" s="466"/>
      <c r="U145" s="466"/>
      <c r="V145" s="421"/>
      <c r="W145" s="421"/>
    </row>
    <row r="146" s="408" customFormat="1" spans="1:23">
      <c r="A146" s="527" t="s">
        <v>230</v>
      </c>
      <c r="B146" s="431" t="s">
        <v>309</v>
      </c>
      <c r="C146" s="494" t="s">
        <v>233</v>
      </c>
      <c r="D146" s="431" t="s">
        <v>266</v>
      </c>
      <c r="E146" s="486"/>
      <c r="F146" s="430">
        <v>15062.425</v>
      </c>
      <c r="G146" s="486"/>
      <c r="H146" s="486"/>
      <c r="I146" s="518"/>
      <c r="J146" s="490">
        <v>0.0325602943544528</v>
      </c>
      <c r="K146" s="451">
        <v>0.0527731452198929</v>
      </c>
      <c r="L146" s="451"/>
      <c r="M146" s="451"/>
      <c r="N146" s="451"/>
      <c r="O146" s="430"/>
      <c r="P146" s="509" t="str">
        <f t="array" ref="P146">INDEX(正厂竞争者数据汇总!I:I,MATCH($A$138&amp;B146,正厂竞争者数据汇总!A:A&amp;正厂竞争者数据汇总!D:D,0))</f>
        <v>同时经营多品牌网站零件，折算比例为：toyota：33%，lexus：42%，subaru:25%</v>
      </c>
      <c r="Q146" s="429"/>
      <c r="R146" s="421"/>
      <c r="S146" s="473"/>
      <c r="T146" s="466"/>
      <c r="U146" s="466"/>
      <c r="V146" s="421"/>
      <c r="W146" s="421"/>
    </row>
    <row r="147" s="408" customFormat="1" spans="1:23">
      <c r="A147" s="527" t="s">
        <v>230</v>
      </c>
      <c r="B147" s="431" t="s">
        <v>461</v>
      </c>
      <c r="C147" s="494" t="s">
        <v>441</v>
      </c>
      <c r="D147" s="431" t="s">
        <v>49</v>
      </c>
      <c r="E147" s="486"/>
      <c r="F147" s="430">
        <v>12968.6666666667</v>
      </c>
      <c r="G147" s="486"/>
      <c r="H147" s="486"/>
      <c r="I147" s="518"/>
      <c r="J147" s="490">
        <v>0.0280342377838527</v>
      </c>
      <c r="K147" s="451">
        <v>0.0501271932523646</v>
      </c>
      <c r="L147" s="451"/>
      <c r="M147" s="451"/>
      <c r="N147" s="451"/>
      <c r="O147" s="430"/>
      <c r="P147" s="509" t="str">
        <f t="array" ref="P147">INDEX(正厂竞争者数据汇总!I:I,MATCH($A$138&amp;B147,正厂竞争者数据汇总!A:A&amp;正厂竞争者数据汇总!D:D,0))</f>
        <v>2023年3月新增正厂</v>
      </c>
      <c r="Q147" s="429"/>
      <c r="R147" s="421"/>
      <c r="S147" s="473"/>
      <c r="T147" s="466"/>
      <c r="U147" s="466"/>
      <c r="V147" s="421"/>
      <c r="W147" s="421"/>
    </row>
    <row r="148" s="408" customFormat="1" spans="1:23">
      <c r="A148" s="440"/>
      <c r="B148" s="431"/>
      <c r="C148" s="429"/>
      <c r="D148" s="421"/>
      <c r="E148" s="430"/>
      <c r="F148" s="430"/>
      <c r="G148" s="430">
        <v>259436.916666667</v>
      </c>
      <c r="H148" s="430"/>
      <c r="I148" s="453"/>
      <c r="J148" s="451"/>
      <c r="K148" s="451"/>
      <c r="L148" s="451"/>
      <c r="M148" s="451"/>
      <c r="N148" s="451"/>
      <c r="O148" s="430"/>
      <c r="P148" s="509"/>
      <c r="Q148" s="429"/>
      <c r="R148" s="421"/>
      <c r="S148" s="473"/>
      <c r="T148" s="466"/>
      <c r="U148" s="466"/>
      <c r="V148" s="421"/>
      <c r="W148" s="421"/>
    </row>
    <row r="149" s="408" customFormat="1" spans="1:23">
      <c r="A149" s="428"/>
      <c r="B149" s="421"/>
      <c r="C149" s="439"/>
      <c r="D149" s="421"/>
      <c r="E149" s="430"/>
      <c r="F149" s="430">
        <v>462601.008333333</v>
      </c>
      <c r="G149" s="430"/>
      <c r="H149" s="430">
        <v>254943.25</v>
      </c>
      <c r="I149" s="453" t="e">
        <f>(F149/G149)-1</f>
        <v>#DIV/0!</v>
      </c>
      <c r="J149" s="430"/>
      <c r="K149" s="430"/>
      <c r="L149" s="430"/>
      <c r="M149" s="451"/>
      <c r="N149" s="451">
        <f>SUM(N140:N141)</f>
        <v>0</v>
      </c>
      <c r="O149" s="430"/>
      <c r="P149" s="509"/>
      <c r="Q149" s="429"/>
      <c r="R149" s="421"/>
      <c r="S149" s="473"/>
      <c r="T149" s="466"/>
      <c r="U149" s="466"/>
      <c r="V149" s="421"/>
      <c r="W149" s="421"/>
    </row>
    <row r="150" s="408" customFormat="1" spans="1:23">
      <c r="A150" s="428"/>
      <c r="B150" s="421"/>
      <c r="C150" s="439"/>
      <c r="D150" s="421"/>
      <c r="E150" s="430"/>
      <c r="F150" s="451"/>
      <c r="G150" s="451"/>
      <c r="H150" s="451"/>
      <c r="I150" s="453"/>
      <c r="J150" s="451"/>
      <c r="K150" s="451"/>
      <c r="L150" s="451"/>
      <c r="M150" s="451"/>
      <c r="N150" s="451"/>
      <c r="O150" s="451"/>
      <c r="P150" s="509"/>
      <c r="Q150" s="429"/>
      <c r="R150" s="421"/>
      <c r="S150" s="473"/>
      <c r="T150" s="466"/>
      <c r="U150" s="466"/>
      <c r="V150" s="421"/>
      <c r="W150" s="421"/>
    </row>
    <row r="151" s="408" customFormat="1" ht="17.4" spans="1:23">
      <c r="A151" s="418" t="s">
        <v>177</v>
      </c>
      <c r="B151" s="419"/>
      <c r="C151" s="420"/>
      <c r="D151" s="421"/>
      <c r="E151" s="422" t="s">
        <v>202</v>
      </c>
      <c r="F151" s="422"/>
      <c r="G151" s="422" t="s">
        <v>213</v>
      </c>
      <c r="H151" s="422"/>
      <c r="I151" s="422"/>
      <c r="J151" s="422"/>
      <c r="K151" s="422"/>
      <c r="L151" s="422"/>
      <c r="M151" s="443"/>
      <c r="N151" s="444"/>
      <c r="O151" s="422"/>
      <c r="P151" s="509"/>
      <c r="Q151" s="465"/>
      <c r="R151" s="424"/>
      <c r="S151" s="473"/>
      <c r="T151" s="467"/>
      <c r="U151" s="467"/>
      <c r="V151" s="467"/>
      <c r="W151" s="467"/>
    </row>
    <row r="152" s="409" customFormat="1" ht="46.8" spans="1:23">
      <c r="A152" s="423" t="s">
        <v>206</v>
      </c>
      <c r="B152" s="424" t="s">
        <v>207</v>
      </c>
      <c r="C152" s="425" t="s">
        <v>447</v>
      </c>
      <c r="D152" s="424" t="s">
        <v>209</v>
      </c>
      <c r="E152" s="426" t="s">
        <v>210</v>
      </c>
      <c r="F152" s="427" t="s">
        <v>211</v>
      </c>
      <c r="G152" s="427">
        <v>93920.4166666667</v>
      </c>
      <c r="H152" s="427" t="s">
        <v>396</v>
      </c>
      <c r="I152" s="427" t="s">
        <v>386</v>
      </c>
      <c r="J152" s="446" t="s">
        <v>215</v>
      </c>
      <c r="K152" s="446" t="s">
        <v>216</v>
      </c>
      <c r="L152" s="446" t="s">
        <v>217</v>
      </c>
      <c r="M152" s="447" t="s">
        <v>436</v>
      </c>
      <c r="N152" s="448" t="s">
        <v>219</v>
      </c>
      <c r="O152" s="449" t="s">
        <v>220</v>
      </c>
      <c r="P152" s="508" t="s">
        <v>221</v>
      </c>
      <c r="Q152" s="469" t="s">
        <v>222</v>
      </c>
      <c r="R152" s="426" t="s">
        <v>223</v>
      </c>
      <c r="S152" s="470" t="s">
        <v>224</v>
      </c>
      <c r="T152" s="467" t="s">
        <v>225</v>
      </c>
      <c r="U152" s="470" t="s">
        <v>226</v>
      </c>
      <c r="V152" s="467"/>
      <c r="W152" s="467"/>
    </row>
    <row r="153" s="410" customFormat="1" ht="17.4" spans="1:23">
      <c r="A153" s="432" t="s">
        <v>227</v>
      </c>
      <c r="B153" s="435" t="s">
        <v>178</v>
      </c>
      <c r="C153" s="434" t="s">
        <v>441</v>
      </c>
      <c r="D153" s="435" t="s">
        <v>49</v>
      </c>
      <c r="E153" s="436">
        <f>VLOOKUP(B153,正厂竞争者数据汇总!D:H,4,FALSE)</f>
        <v>0</v>
      </c>
      <c r="F153" s="436">
        <v>74968.25</v>
      </c>
      <c r="G153" s="436">
        <v>19160.4166666667</v>
      </c>
      <c r="H153" s="436">
        <v>93560.5000000002</v>
      </c>
      <c r="I153" s="454">
        <f>(F153/G153)-1</f>
        <v>2.91266282483418</v>
      </c>
      <c r="J153" s="457">
        <v>0.431597964911769</v>
      </c>
      <c r="K153" s="457">
        <v>0.428917087457097</v>
      </c>
      <c r="L153" s="457">
        <v>0.580837258681289</v>
      </c>
      <c r="M153" s="456">
        <f>J153-K156</f>
        <v>0.308513898142599</v>
      </c>
      <c r="N153" s="457" t="str">
        <f>IFERROR(O153*0.5/#REF!,"")</f>
        <v/>
      </c>
      <c r="O153" s="436" t="s">
        <v>180</v>
      </c>
      <c r="P153" s="509">
        <f t="array" ref="P153">INDEX(正厂竞争者数据汇总!I:I,MATCH($A$151&amp;B153,正厂竞争者数据汇总!A:A&amp;正厂竞争者数据汇总!D:D,0))</f>
        <v>0</v>
      </c>
      <c r="Q153" s="434" t="s">
        <v>324</v>
      </c>
      <c r="R153" s="435" t="s">
        <v>229</v>
      </c>
      <c r="S153" s="476"/>
      <c r="T153" s="477"/>
      <c r="U153" s="477"/>
      <c r="V153" s="435"/>
      <c r="W153" s="435"/>
    </row>
    <row r="154" s="408" customFormat="1" spans="1:23">
      <c r="A154" s="428" t="s">
        <v>230</v>
      </c>
      <c r="B154" s="431" t="s">
        <v>407</v>
      </c>
      <c r="C154" s="494" t="s">
        <v>233</v>
      </c>
      <c r="D154" s="431" t="s">
        <v>417</v>
      </c>
      <c r="E154" s="486"/>
      <c r="F154" s="430">
        <v>24517.1666666667</v>
      </c>
      <c r="G154" s="486"/>
      <c r="H154" s="486"/>
      <c r="I154" s="518"/>
      <c r="J154" s="490">
        <v>0.141147208834887</v>
      </c>
      <c r="K154" s="451">
        <v>0.110405580775713</v>
      </c>
      <c r="L154" s="451">
        <v>0.126950906523465</v>
      </c>
      <c r="M154" s="451"/>
      <c r="N154" s="451"/>
      <c r="O154" s="430"/>
      <c r="P154" s="509" t="str">
        <f t="array" ref="P154">INDEX(正厂竞争者数据汇总!I:I,MATCH($A$151&amp;B154,正厂竞争者数据汇总!A:A&amp;正厂竞争者数据汇总!D:D,0))</f>
        <v>202112新增竞争者</v>
      </c>
      <c r="Q154" s="429"/>
      <c r="R154" s="421"/>
      <c r="S154" s="473"/>
      <c r="T154" s="466"/>
      <c r="U154" s="466"/>
      <c r="V154" s="421"/>
      <c r="W154" s="421"/>
    </row>
    <row r="155" s="408" customFormat="1" spans="1:23">
      <c r="A155" s="428" t="s">
        <v>230</v>
      </c>
      <c r="B155" s="428" t="s">
        <v>329</v>
      </c>
      <c r="C155" s="494" t="s">
        <v>233</v>
      </c>
      <c r="D155" s="431" t="s">
        <v>58</v>
      </c>
      <c r="E155" s="486"/>
      <c r="F155" s="430">
        <v>14451.3333333333</v>
      </c>
      <c r="G155" s="486"/>
      <c r="H155" s="486"/>
      <c r="I155" s="518"/>
      <c r="J155" s="490">
        <v>0.0831974343395806</v>
      </c>
      <c r="K155" s="451">
        <v>0.0714436507110227</v>
      </c>
      <c r="L155" s="451">
        <v>0.11849483090941</v>
      </c>
      <c r="M155" s="451"/>
      <c r="N155" s="451"/>
      <c r="O155" s="430"/>
      <c r="P155" s="509">
        <f t="array" ref="P155">INDEX(正厂竞争者数据汇总!I:I,MATCH($A$151&amp;B155,正厂竞争者数据汇总!A:A&amp;正厂竞争者数据汇总!D:D,0))</f>
        <v>0</v>
      </c>
      <c r="Q155" s="429"/>
      <c r="R155" s="421"/>
      <c r="S155" s="473"/>
      <c r="T155" s="466"/>
      <c r="U155" s="466"/>
      <c r="V155" s="421"/>
      <c r="W155" s="421"/>
    </row>
    <row r="156" s="408" customFormat="1" spans="1:23">
      <c r="A156" s="428" t="s">
        <v>325</v>
      </c>
      <c r="B156" s="431" t="s">
        <v>442</v>
      </c>
      <c r="C156" s="494" t="s">
        <v>441</v>
      </c>
      <c r="D156" s="431" t="s">
        <v>60</v>
      </c>
      <c r="E156" s="486"/>
      <c r="F156" s="430">
        <v>14329.3</v>
      </c>
      <c r="G156" s="486"/>
      <c r="H156" s="486"/>
      <c r="I156" s="518"/>
      <c r="J156" s="490">
        <v>0.0824948790802801</v>
      </c>
      <c r="K156" s="451">
        <v>0.12308406676917</v>
      </c>
      <c r="L156" s="451"/>
      <c r="M156" s="451"/>
      <c r="N156" s="451"/>
      <c r="O156" s="430"/>
      <c r="P156" s="509" t="str">
        <f t="array" ref="P156">INDEX(正厂竞争者数据汇总!I:I,MATCH($A$151&amp;B156,正厂竞争者数据汇总!A:A&amp;正厂竞争者数据汇总!D:D,0))</f>
        <v>202305流量太低，无法正常获取流量</v>
      </c>
      <c r="Q156" s="429"/>
      <c r="R156" s="421"/>
      <c r="S156" s="473"/>
      <c r="T156" s="466"/>
      <c r="U156" s="466"/>
      <c r="V156" s="421"/>
      <c r="W156" s="421"/>
    </row>
    <row r="157" s="408" customFormat="1" spans="1:23">
      <c r="A157" s="428" t="s">
        <v>325</v>
      </c>
      <c r="B157" s="428" t="s">
        <v>326</v>
      </c>
      <c r="C157" s="494" t="s">
        <v>441</v>
      </c>
      <c r="D157" s="431" t="s">
        <v>422</v>
      </c>
      <c r="E157" s="486"/>
      <c r="F157" s="430">
        <v>14181.3</v>
      </c>
      <c r="G157" s="486"/>
      <c r="H157" s="486"/>
      <c r="I157" s="518"/>
      <c r="J157" s="490">
        <v>0.0816428317294757</v>
      </c>
      <c r="K157" s="451">
        <v>0.0954504021534234</v>
      </c>
      <c r="L157" s="451"/>
      <c r="M157" s="451"/>
      <c r="N157" s="451"/>
      <c r="O157" s="430"/>
      <c r="P157" s="509">
        <f t="array" ref="P157">INDEX(正厂竞争者数据汇总!I:I,MATCH($A$151&amp;B157,正厂竞争者数据汇总!A:A&amp;正厂竞争者数据汇总!D:D,0))</f>
        <v>0</v>
      </c>
      <c r="Q157" s="429"/>
      <c r="R157" s="421"/>
      <c r="S157" s="473"/>
      <c r="T157" s="466"/>
      <c r="U157" s="466"/>
      <c r="V157" s="421"/>
      <c r="W157" s="421"/>
    </row>
    <row r="158" s="408" customFormat="1" spans="1:23">
      <c r="A158" s="428" t="s">
        <v>230</v>
      </c>
      <c r="B158" s="431" t="s">
        <v>327</v>
      </c>
      <c r="C158" s="494" t="s">
        <v>233</v>
      </c>
      <c r="D158" s="431" t="s">
        <v>234</v>
      </c>
      <c r="E158" s="486"/>
      <c r="F158" s="430">
        <v>12314</v>
      </c>
      <c r="G158" s="486"/>
      <c r="H158" s="486"/>
      <c r="I158" s="518"/>
      <c r="J158" s="490">
        <v>0.0708926424176037</v>
      </c>
      <c r="K158" s="451">
        <v>0.0575672898118472</v>
      </c>
      <c r="L158" s="451"/>
      <c r="M158" s="451"/>
      <c r="N158" s="451"/>
      <c r="O158" s="430"/>
      <c r="P158" s="509" t="str">
        <f t="array" ref="P158">INDEX(正厂竞争者数据汇总!I:I,MATCH($A$151&amp;B158,正厂竞争者数据汇总!A:A&amp;正厂竞争者数据汇总!D:D,0))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58" s="429"/>
      <c r="R158" s="421"/>
      <c r="S158" s="473"/>
      <c r="T158" s="466"/>
      <c r="U158" s="466"/>
      <c r="V158" s="421"/>
      <c r="W158" s="421"/>
    </row>
    <row r="159" s="408" customFormat="1" spans="1:23">
      <c r="A159" s="428" t="s">
        <v>230</v>
      </c>
      <c r="B159" s="417" t="s">
        <v>328</v>
      </c>
      <c r="C159" s="494" t="s">
        <v>233</v>
      </c>
      <c r="D159" s="431" t="s">
        <v>58</v>
      </c>
      <c r="E159" s="486"/>
      <c r="F159" s="430">
        <v>11937.9166666667</v>
      </c>
      <c r="G159" s="486"/>
      <c r="H159" s="486"/>
      <c r="I159" s="518"/>
      <c r="J159" s="490">
        <v>0.068727501824034</v>
      </c>
      <c r="K159" s="451">
        <v>0.0611726334242935</v>
      </c>
      <c r="L159" s="451">
        <v>0.0761933229573588</v>
      </c>
      <c r="M159" s="451"/>
      <c r="N159" s="451"/>
      <c r="O159" s="430"/>
      <c r="P159" s="509" t="str">
        <f t="array" ref="P159">INDEX(正厂竞争者数据汇总!I:I,MATCH($A$151&amp;B159,正厂竞争者数据汇总!A:A&amp;正厂竞争者数据汇总!D:D,0))</f>
        <v>2022年1月 新加入 MarketingShare</v>
      </c>
      <c r="Q159" s="429"/>
      <c r="R159" s="421"/>
      <c r="S159" s="473"/>
      <c r="T159" s="466"/>
      <c r="U159" s="466"/>
      <c r="V159" s="421"/>
      <c r="W159" s="421"/>
    </row>
    <row r="160" s="408" customFormat="1" spans="1:23">
      <c r="A160" s="428" t="s">
        <v>230</v>
      </c>
      <c r="B160" s="431" t="s">
        <v>463</v>
      </c>
      <c r="C160" s="494" t="s">
        <v>233</v>
      </c>
      <c r="D160" s="431" t="s">
        <v>58</v>
      </c>
      <c r="E160" s="486"/>
      <c r="F160" s="430">
        <v>7000</v>
      </c>
      <c r="G160" s="486"/>
      <c r="H160" s="486"/>
      <c r="I160" s="518"/>
      <c r="J160" s="490">
        <v>0.0402995368623702</v>
      </c>
      <c r="K160" s="451">
        <v>0.0519592888974337</v>
      </c>
      <c r="L160" s="451">
        <v>0.0531313454065701</v>
      </c>
      <c r="M160" s="451"/>
      <c r="N160" s="451"/>
      <c r="O160" s="430"/>
      <c r="P160" s="509">
        <f t="array" ref="P160">INDEX(正厂竞争者数据汇总!I:I,MATCH($A$151&amp;B160,正厂竞争者数据汇总!A:A&amp;正厂竞争者数据汇总!D:D,0))</f>
        <v>0</v>
      </c>
      <c r="Q160" s="429"/>
      <c r="R160" s="421"/>
      <c r="S160" s="473"/>
      <c r="T160" s="466"/>
      <c r="U160" s="466"/>
      <c r="V160" s="421"/>
      <c r="W160" s="421"/>
    </row>
    <row r="161" s="408" customFormat="1" spans="1:23">
      <c r="A161" s="428"/>
      <c r="B161" s="431"/>
      <c r="C161" s="429"/>
      <c r="D161" s="421"/>
      <c r="E161" s="430"/>
      <c r="F161" s="430"/>
      <c r="G161" s="430">
        <v>161698.333333333</v>
      </c>
      <c r="H161" s="430"/>
      <c r="I161" s="453"/>
      <c r="J161" s="451"/>
      <c r="K161" s="451"/>
      <c r="L161" s="451"/>
      <c r="M161" s="451"/>
      <c r="N161" s="451"/>
      <c r="O161" s="430"/>
      <c r="P161" s="509"/>
      <c r="Q161" s="429"/>
      <c r="R161" s="421"/>
      <c r="S161" s="473"/>
      <c r="T161" s="466"/>
      <c r="U161" s="466"/>
      <c r="V161" s="421"/>
      <c r="W161" s="421"/>
    </row>
    <row r="162" s="408" customFormat="1" spans="1:23">
      <c r="A162" s="428"/>
      <c r="B162" s="421"/>
      <c r="C162" s="439"/>
      <c r="D162" s="421"/>
      <c r="E162" s="430"/>
      <c r="F162" s="430">
        <v>173699.266666667</v>
      </c>
      <c r="G162" s="430"/>
      <c r="H162" s="430">
        <v>167907.166666667</v>
      </c>
      <c r="I162" s="453" t="e">
        <f>(F162/G162)-1</f>
        <v>#DIV/0!</v>
      </c>
      <c r="J162" s="430"/>
      <c r="K162" s="430"/>
      <c r="L162" s="430"/>
      <c r="M162" s="451"/>
      <c r="N162" s="451">
        <f>SUM(N153:N158)</f>
        <v>0</v>
      </c>
      <c r="O162" s="430"/>
      <c r="P162" s="509"/>
      <c r="Q162" s="493"/>
      <c r="R162" s="421"/>
      <c r="S162" s="473"/>
      <c r="T162" s="466"/>
      <c r="U162" s="466"/>
      <c r="V162" s="421"/>
      <c r="W162" s="421"/>
    </row>
    <row r="163" s="408" customFormat="1" spans="1:23">
      <c r="A163" s="428"/>
      <c r="B163" s="421"/>
      <c r="C163" s="439"/>
      <c r="D163" s="421"/>
      <c r="E163" s="430"/>
      <c r="F163" s="430"/>
      <c r="G163" s="430"/>
      <c r="H163" s="430"/>
      <c r="I163" s="453"/>
      <c r="J163" s="430"/>
      <c r="K163" s="430"/>
      <c r="L163" s="430"/>
      <c r="M163" s="451"/>
      <c r="N163" s="451"/>
      <c r="O163" s="430"/>
      <c r="P163" s="509"/>
      <c r="Q163" s="493"/>
      <c r="R163" s="421"/>
      <c r="S163" s="473"/>
      <c r="T163" s="466"/>
      <c r="U163" s="466"/>
      <c r="V163" s="421"/>
      <c r="W163" s="421"/>
    </row>
    <row r="164" s="408" customFormat="1" ht="17.4" spans="1:23">
      <c r="A164" s="418" t="s">
        <v>191</v>
      </c>
      <c r="B164" s="419"/>
      <c r="C164" s="420"/>
      <c r="D164" s="421"/>
      <c r="E164" s="422" t="s">
        <v>202</v>
      </c>
      <c r="F164" s="422"/>
      <c r="G164" s="422" t="s">
        <v>213</v>
      </c>
      <c r="H164" s="422"/>
      <c r="I164" s="422"/>
      <c r="J164" s="422"/>
      <c r="K164" s="422"/>
      <c r="L164" s="422"/>
      <c r="M164" s="443"/>
      <c r="N164" s="422"/>
      <c r="O164" s="422"/>
      <c r="P164" s="509"/>
      <c r="Q164" s="465"/>
      <c r="R164" s="424"/>
      <c r="S164" s="473"/>
      <c r="T164" s="467"/>
      <c r="U164" s="467"/>
      <c r="V164" s="467"/>
      <c r="W164" s="467"/>
    </row>
    <row r="165" s="409" customFormat="1" ht="46.8" hidden="1" spans="1:23">
      <c r="A165" s="423" t="s">
        <v>206</v>
      </c>
      <c r="B165" s="424" t="s">
        <v>207</v>
      </c>
      <c r="C165" s="425" t="s">
        <v>447</v>
      </c>
      <c r="D165" s="424" t="s">
        <v>209</v>
      </c>
      <c r="E165" s="426" t="s">
        <v>210</v>
      </c>
      <c r="F165" s="427" t="s">
        <v>211</v>
      </c>
      <c r="G165" s="427">
        <v>116448.583333333</v>
      </c>
      <c r="H165" s="427" t="s">
        <v>396</v>
      </c>
      <c r="I165" s="427" t="s">
        <v>386</v>
      </c>
      <c r="J165" s="446" t="s">
        <v>215</v>
      </c>
      <c r="K165" s="446" t="s">
        <v>216</v>
      </c>
      <c r="L165" s="446" t="s">
        <v>217</v>
      </c>
      <c r="M165" s="447" t="s">
        <v>436</v>
      </c>
      <c r="N165" s="448" t="s">
        <v>219</v>
      </c>
      <c r="O165" s="449" t="s">
        <v>220</v>
      </c>
      <c r="P165" s="508" t="s">
        <v>221</v>
      </c>
      <c r="Q165" s="469" t="s">
        <v>222</v>
      </c>
      <c r="R165" s="426" t="s">
        <v>223</v>
      </c>
      <c r="S165" s="470" t="s">
        <v>224</v>
      </c>
      <c r="T165" s="467" t="s">
        <v>225</v>
      </c>
      <c r="U165" s="470" t="s">
        <v>226</v>
      </c>
      <c r="V165" s="467"/>
      <c r="W165" s="467"/>
    </row>
    <row r="166" s="408" customFormat="1" hidden="1" spans="1:23">
      <c r="A166" s="428" t="s">
        <v>325</v>
      </c>
      <c r="B166" s="421" t="s">
        <v>357</v>
      </c>
      <c r="C166" s="429" t="s">
        <v>441</v>
      </c>
      <c r="D166" s="421" t="s">
        <v>422</v>
      </c>
      <c r="E166" s="430">
        <f>VLOOKUP(B166,正厂竞争者数据汇总!D:H,4,FALSE)</f>
        <v>0</v>
      </c>
      <c r="F166" s="430">
        <v>95268.9999999999</v>
      </c>
      <c r="G166" s="430">
        <v>0</v>
      </c>
      <c r="H166" s="430">
        <v>99768.6666666667</v>
      </c>
      <c r="I166" s="453" t="e">
        <f t="shared" ref="I166:I171" si="0">(F166/G166)-1</f>
        <v>#DIV/0!</v>
      </c>
      <c r="J166" s="451" t="e">
        <v>#N/A</v>
      </c>
      <c r="K166" s="451" t="e">
        <v>#N/A</v>
      </c>
      <c r="L166" s="451">
        <v>0.888407896970386</v>
      </c>
      <c r="M166" s="451" t="e">
        <f>J166-K167</f>
        <v>#N/A</v>
      </c>
      <c r="N166" s="459"/>
      <c r="O166" s="430"/>
      <c r="P166" s="509">
        <f>VLOOKUP(B166,正厂竞争者数据汇总!D:M,6,FALSE)</f>
        <v>0</v>
      </c>
      <c r="Q166" s="429" t="s">
        <v>180</v>
      </c>
      <c r="R166" s="421" t="s">
        <v>180</v>
      </c>
      <c r="S166" s="473">
        <f>VLOOKUP(B166,正厂竞争者数据汇总!$D$2:$CL$243,25,FALSE)</f>
        <v>129482</v>
      </c>
      <c r="T166" s="466"/>
      <c r="U166" s="466"/>
      <c r="V166" s="421"/>
      <c r="W166" s="421"/>
    </row>
    <row r="167" s="408" customFormat="1" hidden="1" spans="1:23">
      <c r="A167" s="428" t="s">
        <v>230</v>
      </c>
      <c r="B167" s="421" t="s">
        <v>360</v>
      </c>
      <c r="C167" s="429" t="e">
        <v>#N/A</v>
      </c>
      <c r="D167" s="421" t="e">
        <v>#N/A</v>
      </c>
      <c r="E167" s="430">
        <f>VLOOKUP(B167,正厂竞争者数据汇总!D:H,4,FALSE)</f>
        <v>0</v>
      </c>
      <c r="F167" s="430" t="e">
        <v>#N/A</v>
      </c>
      <c r="G167" s="430">
        <v>207722.25</v>
      </c>
      <c r="H167" s="430">
        <v>0</v>
      </c>
      <c r="I167" s="453"/>
      <c r="J167" s="451"/>
      <c r="K167" s="451"/>
      <c r="L167" s="451"/>
      <c r="M167" s="451"/>
      <c r="N167" s="459"/>
      <c r="O167" s="430"/>
      <c r="P167" s="509" t="str">
        <f>VLOOKUP(B167,正厂竞争者数据汇总!D:M,6,FALSE)</f>
        <v>2023年12月新增</v>
      </c>
      <c r="Q167" s="429" t="s">
        <v>180</v>
      </c>
      <c r="R167" s="421" t="s">
        <v>180</v>
      </c>
      <c r="S167" s="473" t="e">
        <f>VLOOKUP(B167,正厂竞争者数据汇总!$D$2:$CL$243,25,FALSE)</f>
        <v>#N/A</v>
      </c>
      <c r="T167" s="466"/>
      <c r="U167" s="466"/>
      <c r="V167" s="421"/>
      <c r="W167" s="421"/>
    </row>
    <row r="168" s="408" customFormat="1" ht="17.4" hidden="1" spans="1:23">
      <c r="A168" s="428" t="s">
        <v>464</v>
      </c>
      <c r="B168" s="431" t="s">
        <v>465</v>
      </c>
      <c r="C168" s="429" t="s">
        <v>441</v>
      </c>
      <c r="D168" s="421" t="s">
        <v>234</v>
      </c>
      <c r="E168" s="430">
        <f>VLOOKUP(B168,正厂竞争者数据汇总!D:H,4,FALSE)</f>
        <v>0</v>
      </c>
      <c r="F168" s="430">
        <v>271006.666666667</v>
      </c>
      <c r="G168" s="430">
        <v>14627</v>
      </c>
      <c r="H168" s="430">
        <v>199184.666666667</v>
      </c>
      <c r="I168" s="453"/>
      <c r="J168" s="451"/>
      <c r="K168" s="451"/>
      <c r="L168" s="451"/>
      <c r="M168" s="451"/>
      <c r="N168" s="459"/>
      <c r="O168" s="430"/>
      <c r="P168" s="509">
        <f>VLOOKUP(B168,正厂竞争者数据汇总!D:M,6,FALSE)</f>
        <v>0</v>
      </c>
      <c r="Q168" s="429" t="s">
        <v>180</v>
      </c>
      <c r="R168" s="421" t="s">
        <v>180</v>
      </c>
      <c r="S168" s="473">
        <f>VLOOKUP(B168,正厂竞争者数据汇总!$D$2:$CL$243,25,FALSE)</f>
        <v>181727</v>
      </c>
      <c r="T168" s="466"/>
      <c r="U168" s="466"/>
      <c r="V168" s="421"/>
      <c r="W168" s="421"/>
    </row>
    <row r="169" s="408" customFormat="1" hidden="1" spans="1:23">
      <c r="A169" s="428" t="s">
        <v>325</v>
      </c>
      <c r="B169" s="438" t="s">
        <v>362</v>
      </c>
      <c r="C169" s="429" t="s">
        <v>441</v>
      </c>
      <c r="D169" s="421" t="s">
        <v>49</v>
      </c>
      <c r="E169" s="430">
        <f>VLOOKUP(B168,正厂竞争者数据汇总!D:H,4,FALSE)</f>
        <v>0</v>
      </c>
      <c r="F169" s="430">
        <v>9082.08333333335</v>
      </c>
      <c r="G169" s="430"/>
      <c r="H169" s="430">
        <v>18048.25</v>
      </c>
      <c r="I169" s="453" t="e">
        <f t="shared" si="0"/>
        <v>#DIV/0!</v>
      </c>
      <c r="J169" s="451" t="e">
        <v>#N/A</v>
      </c>
      <c r="K169" s="451" t="e">
        <v>#N/A</v>
      </c>
      <c r="L169" s="451">
        <v>0.111592103029614</v>
      </c>
      <c r="M169" s="451" t="e">
        <f>J169-K170</f>
        <v>#N/A</v>
      </c>
      <c r="N169" s="459"/>
      <c r="O169" s="430"/>
      <c r="P169" s="509">
        <f>VLOOKUP(B169,正厂竞争者数据汇总!D:M,6,FALSE)</f>
        <v>0</v>
      </c>
      <c r="Q169" s="429" t="s">
        <v>180</v>
      </c>
      <c r="R169" s="421" t="s">
        <v>180</v>
      </c>
      <c r="S169" s="473">
        <f>VLOOKUP(B169,正厂竞争者数据汇总!$D$2:$CL$243,25,FALSE)</f>
        <v>23963</v>
      </c>
      <c r="T169" s="466"/>
      <c r="U169" s="466"/>
      <c r="V169" s="421"/>
      <c r="W169" s="421"/>
    </row>
    <row r="170" s="408" customFormat="1" hidden="1" spans="1:23">
      <c r="A170" s="428"/>
      <c r="B170" s="438"/>
      <c r="C170" s="429"/>
      <c r="D170" s="421"/>
      <c r="E170" s="430"/>
      <c r="F170" s="430"/>
      <c r="G170" s="430">
        <v>131075.583333333</v>
      </c>
      <c r="H170" s="430"/>
      <c r="I170" s="453"/>
      <c r="J170" s="451"/>
      <c r="K170" s="451"/>
      <c r="L170" s="451"/>
      <c r="M170" s="451"/>
      <c r="N170" s="459"/>
      <c r="O170" s="430"/>
      <c r="P170" s="509"/>
      <c r="Q170" s="429"/>
      <c r="R170" s="421"/>
      <c r="S170" s="473"/>
      <c r="T170" s="466"/>
      <c r="U170" s="466"/>
      <c r="V170" s="421"/>
      <c r="W170" s="421"/>
    </row>
    <row r="171" s="408" customFormat="1" hidden="1" spans="1:23">
      <c r="A171" s="428"/>
      <c r="B171" s="421"/>
      <c r="C171" s="439"/>
      <c r="D171" s="421"/>
      <c r="E171" s="421"/>
      <c r="F171" s="496" t="e">
        <v>#N/A</v>
      </c>
      <c r="G171" s="496"/>
      <c r="H171" s="496">
        <v>117816.916666667</v>
      </c>
      <c r="I171" s="453" t="e">
        <f t="shared" si="0"/>
        <v>#N/A</v>
      </c>
      <c r="J171" s="430"/>
      <c r="K171" s="430"/>
      <c r="L171" s="430"/>
      <c r="M171" s="451"/>
      <c r="N171" s="459"/>
      <c r="O171" s="430"/>
      <c r="P171" s="509"/>
      <c r="Q171" s="429"/>
      <c r="R171" s="421"/>
      <c r="S171" s="473"/>
      <c r="T171" s="466"/>
      <c r="U171" s="466"/>
      <c r="V171" s="421"/>
      <c r="W171" s="421"/>
    </row>
    <row r="172" s="408" customFormat="1" spans="1:23">
      <c r="A172" s="428"/>
      <c r="B172" s="438"/>
      <c r="C172" s="439"/>
      <c r="D172" s="421"/>
      <c r="E172" s="430"/>
      <c r="F172" s="430"/>
      <c r="G172" s="430"/>
      <c r="H172" s="430"/>
      <c r="I172" s="453"/>
      <c r="J172" s="430"/>
      <c r="K172" s="430"/>
      <c r="L172" s="430"/>
      <c r="M172" s="451"/>
      <c r="N172" s="459"/>
      <c r="O172" s="430"/>
      <c r="P172" s="509"/>
      <c r="Q172" s="429"/>
      <c r="R172" s="421"/>
      <c r="S172" s="473"/>
      <c r="T172" s="466"/>
      <c r="U172" s="466"/>
      <c r="V172" s="421"/>
      <c r="W172" s="421"/>
    </row>
    <row r="173" s="408" customFormat="1" ht="17.4" spans="1:23">
      <c r="A173" s="418" t="s">
        <v>189</v>
      </c>
      <c r="B173" s="419"/>
      <c r="C173" s="420"/>
      <c r="D173" s="421"/>
      <c r="E173" s="422" t="s">
        <v>202</v>
      </c>
      <c r="F173" s="422"/>
      <c r="G173" s="422" t="s">
        <v>213</v>
      </c>
      <c r="H173" s="422"/>
      <c r="I173" s="422"/>
      <c r="J173" s="422"/>
      <c r="K173" s="422"/>
      <c r="L173" s="422"/>
      <c r="M173" s="443"/>
      <c r="N173" s="422"/>
      <c r="O173" s="422"/>
      <c r="P173" s="509"/>
      <c r="Q173" s="465"/>
      <c r="R173" s="424"/>
      <c r="S173" s="473"/>
      <c r="T173" s="467"/>
      <c r="U173" s="467"/>
      <c r="V173" s="467"/>
      <c r="W173" s="467"/>
    </row>
    <row r="174" s="409" customFormat="1" ht="46.8" hidden="1" spans="1:23">
      <c r="A174" s="423" t="s">
        <v>206</v>
      </c>
      <c r="B174" s="424" t="s">
        <v>207</v>
      </c>
      <c r="C174" s="425" t="s">
        <v>447</v>
      </c>
      <c r="D174" s="424" t="s">
        <v>209</v>
      </c>
      <c r="E174" s="426" t="s">
        <v>210</v>
      </c>
      <c r="F174" s="427" t="s">
        <v>211</v>
      </c>
      <c r="G174" s="427">
        <v>530347.5</v>
      </c>
      <c r="H174" s="427" t="s">
        <v>396</v>
      </c>
      <c r="I174" s="427" t="s">
        <v>386</v>
      </c>
      <c r="J174" s="446" t="s">
        <v>215</v>
      </c>
      <c r="K174" s="446" t="s">
        <v>216</v>
      </c>
      <c r="L174" s="446" t="s">
        <v>217</v>
      </c>
      <c r="M174" s="447" t="s">
        <v>436</v>
      </c>
      <c r="N174" s="448" t="s">
        <v>219</v>
      </c>
      <c r="O174" s="449" t="s">
        <v>220</v>
      </c>
      <c r="P174" s="508" t="s">
        <v>221</v>
      </c>
      <c r="Q174" s="469" t="s">
        <v>222</v>
      </c>
      <c r="R174" s="426" t="s">
        <v>223</v>
      </c>
      <c r="S174" s="470" t="s">
        <v>224</v>
      </c>
      <c r="T174" s="467" t="s">
        <v>225</v>
      </c>
      <c r="U174" s="470" t="s">
        <v>226</v>
      </c>
      <c r="V174" s="467"/>
      <c r="W174" s="467"/>
    </row>
    <row r="175" s="408" customFormat="1" hidden="1" spans="1:23">
      <c r="A175" s="428" t="s">
        <v>325</v>
      </c>
      <c r="B175" s="421" t="s">
        <v>466</v>
      </c>
      <c r="C175" s="429" t="s">
        <v>467</v>
      </c>
      <c r="D175" s="421" t="s">
        <v>234</v>
      </c>
      <c r="E175" s="430">
        <f>VLOOKUP(B175,正厂竞争者数据汇总!D:H,4,FALSE)</f>
        <v>0</v>
      </c>
      <c r="F175" s="430">
        <v>476865.166666667</v>
      </c>
      <c r="G175" s="430">
        <v>164695.833333333</v>
      </c>
      <c r="H175" s="430">
        <v>572372.833333333</v>
      </c>
      <c r="I175" s="453">
        <f t="shared" ref="I175:I178" si="1">(F175/G175)-1</f>
        <v>1.8954294532851</v>
      </c>
      <c r="J175" s="451" t="e">
        <v>#VALUE!</v>
      </c>
      <c r="K175" s="451">
        <v>0.656724118912919</v>
      </c>
      <c r="L175" s="451">
        <v>0.707246538512958</v>
      </c>
      <c r="M175" s="451"/>
      <c r="N175" s="459"/>
      <c r="O175" s="430"/>
      <c r="P175" s="509" t="str">
        <f>VLOOKUP(B175,正厂竞争者数据汇总!D:M,6,FALSE)</f>
        <v>官网</v>
      </c>
      <c r="Q175" s="429" t="s">
        <v>180</v>
      </c>
      <c r="R175" s="421" t="s">
        <v>180</v>
      </c>
      <c r="S175" s="473">
        <f>VLOOKUP(B175,正厂竞争者数据汇总!$D$2:$CL$243,25,FALSE)</f>
        <v>387977</v>
      </c>
      <c r="T175" s="466"/>
      <c r="U175" s="466"/>
      <c r="V175" s="421"/>
      <c r="W175" s="421"/>
    </row>
    <row r="176" s="408" customFormat="1" hidden="1" spans="1:23">
      <c r="A176" s="428" t="s">
        <v>230</v>
      </c>
      <c r="B176" s="431" t="s">
        <v>354</v>
      </c>
      <c r="C176" s="429" t="s">
        <v>233</v>
      </c>
      <c r="D176" s="421" t="s">
        <v>411</v>
      </c>
      <c r="E176" s="430">
        <f>VLOOKUP(B176,正厂竞争者数据汇总!D:H,4,FALSE)</f>
        <v>0</v>
      </c>
      <c r="F176" s="430">
        <v>184835.25</v>
      </c>
      <c r="G176" s="430">
        <v>23846.5</v>
      </c>
      <c r="H176" s="430">
        <v>201650.166666667</v>
      </c>
      <c r="I176" s="453">
        <f t="shared" si="1"/>
        <v>6.75104313001908</v>
      </c>
      <c r="J176" s="451" t="e">
        <v>#VALUE!</v>
      </c>
      <c r="K176" s="451">
        <v>0.240761576933192</v>
      </c>
      <c r="L176" s="451">
        <v>0.219630634692361</v>
      </c>
      <c r="M176" s="451" t="e">
        <f t="shared" ref="M176:M178" si="2">J176-K177</f>
        <v>#VALUE!</v>
      </c>
      <c r="N176" s="459"/>
      <c r="O176" s="430"/>
      <c r="P176" s="509">
        <f>VLOOKUP(B176,正厂竞争者数据汇总!D:M,6,FALSE)</f>
        <v>0</v>
      </c>
      <c r="Q176" s="429" t="s">
        <v>180</v>
      </c>
      <c r="R176" s="421" t="s">
        <v>180</v>
      </c>
      <c r="S176" s="473">
        <f>VLOOKUP(B176,正厂竞争者数据汇总!$D$2:$CL$243,25,FALSE)</f>
        <v>734766</v>
      </c>
      <c r="T176" s="466"/>
      <c r="U176" s="466"/>
      <c r="V176" s="421"/>
      <c r="W176" s="421"/>
    </row>
    <row r="177" s="408" customFormat="1" hidden="1" spans="1:23">
      <c r="A177" s="428" t="s">
        <v>243</v>
      </c>
      <c r="B177" s="421" t="s">
        <v>355</v>
      </c>
      <c r="C177" s="429" t="s">
        <v>454</v>
      </c>
      <c r="D177" s="421" t="s">
        <v>420</v>
      </c>
      <c r="E177" s="430">
        <f>VLOOKUP(B177,正厂竞争者数据汇总!D:H,4,FALSE)</f>
        <v>0</v>
      </c>
      <c r="F177" s="430">
        <v>39677.3333333334</v>
      </c>
      <c r="G177" s="430">
        <v>30859.5833333333</v>
      </c>
      <c r="H177" s="430">
        <v>27170.3333333334</v>
      </c>
      <c r="I177" s="453">
        <f t="shared" si="1"/>
        <v>0.285737817803765</v>
      </c>
      <c r="J177" s="451" t="e">
        <v>#VALUE!</v>
      </c>
      <c r="K177" s="451">
        <v>0.0418901910391923</v>
      </c>
      <c r="L177" s="451">
        <v>0.0318005733611439</v>
      </c>
      <c r="M177" s="451" t="e">
        <f t="shared" si="2"/>
        <v>#VALUE!</v>
      </c>
      <c r="N177" s="459"/>
      <c r="O177" s="430"/>
      <c r="P177" s="509">
        <f>VLOOKUP(B177,正厂竞争者数据汇总!D:M,6,FALSE)</f>
        <v>0</v>
      </c>
      <c r="Q177" s="429" t="s">
        <v>180</v>
      </c>
      <c r="R177" s="421" t="s">
        <v>180</v>
      </c>
      <c r="S177" s="473">
        <f>VLOOKUP(B177,正厂竞争者数据汇总!$D$2:$CL$243,25,FALSE)</f>
        <v>33968</v>
      </c>
      <c r="T177" s="466"/>
      <c r="U177" s="466"/>
      <c r="V177" s="421"/>
      <c r="W177" s="421"/>
    </row>
    <row r="178" s="408" customFormat="1" hidden="1" spans="1:23">
      <c r="A178" s="428" t="s">
        <v>230</v>
      </c>
      <c r="B178" s="421" t="s">
        <v>356</v>
      </c>
      <c r="C178" s="429" t="s">
        <v>233</v>
      </c>
      <c r="D178" s="421" t="s">
        <v>414</v>
      </c>
      <c r="E178" s="430">
        <f>VLOOKUP(B177,正厂竞争者数据汇总!D:H,4,FALSE)</f>
        <v>0</v>
      </c>
      <c r="F178" s="430">
        <v>35911.6666666666</v>
      </c>
      <c r="G178" s="430">
        <v>127</v>
      </c>
      <c r="H178" s="430">
        <v>27910.6666666667</v>
      </c>
      <c r="I178" s="453">
        <f t="shared" si="1"/>
        <v>281.769028871391</v>
      </c>
      <c r="J178" s="451" t="e">
        <v>#VALUE!</v>
      </c>
      <c r="K178" s="451">
        <v>0.0605385813059928</v>
      </c>
      <c r="L178" s="451">
        <v>0.0411528921932358</v>
      </c>
      <c r="M178" s="451" t="e">
        <f t="shared" si="2"/>
        <v>#VALUE!</v>
      </c>
      <c r="N178" s="459"/>
      <c r="O178" s="430"/>
      <c r="P178" s="509">
        <f>VLOOKUP(B178,正厂竞争者数据汇总!D:M,6,FALSE)</f>
        <v>0</v>
      </c>
      <c r="Q178" s="429" t="s">
        <v>180</v>
      </c>
      <c r="R178" s="421" t="s">
        <v>180</v>
      </c>
      <c r="S178" s="473">
        <f>VLOOKUP(B178,正厂竞争者数据汇总!$D$2:$CL$243,25,FALSE)</f>
        <v>19078</v>
      </c>
      <c r="T178" s="466"/>
      <c r="U178" s="466"/>
      <c r="V178" s="421"/>
      <c r="W178" s="421"/>
    </row>
    <row r="179" s="408" customFormat="1" hidden="1" spans="1:23">
      <c r="A179" s="428" t="s">
        <v>468</v>
      </c>
      <c r="B179" s="431" t="s">
        <v>469</v>
      </c>
      <c r="C179" s="429" t="s">
        <v>233</v>
      </c>
      <c r="D179" s="421" t="s">
        <v>49</v>
      </c>
      <c r="E179" s="430" t="e">
        <f>VLOOKUP(B179,正厂竞争者数据汇总!D:H,4,FALSE)</f>
        <v>#N/A</v>
      </c>
      <c r="F179" s="430" t="e">
        <v>#VALUE!</v>
      </c>
      <c r="G179" s="430"/>
      <c r="H179" s="430">
        <v>89.5833333333335</v>
      </c>
      <c r="I179" s="453"/>
      <c r="J179" s="451" t="e">
        <v>#VALUE!</v>
      </c>
      <c r="K179" s="451">
        <v>8.55318087030377e-5</v>
      </c>
      <c r="L179" s="451">
        <v>0.000169361240302152</v>
      </c>
      <c r="M179" s="451"/>
      <c r="N179" s="459"/>
      <c r="O179" s="430"/>
      <c r="P179" s="509" t="e">
        <f>VLOOKUP(B179,正厂竞争者数据汇总!D:M,6,FALSE)</f>
        <v>#N/A</v>
      </c>
      <c r="Q179" s="429" t="s">
        <v>180</v>
      </c>
      <c r="R179" s="421" t="s">
        <v>180</v>
      </c>
      <c r="S179" s="473" t="e">
        <f>VLOOKUP(B179,正厂竞争者数据汇总!$D$2:$CL$243,25,FALSE)</f>
        <v>#N/A</v>
      </c>
      <c r="T179" s="466"/>
      <c r="U179" s="466"/>
      <c r="V179" s="421"/>
      <c r="W179" s="421"/>
    </row>
    <row r="180" s="410" customFormat="1" hidden="1" spans="1:23">
      <c r="A180" s="432"/>
      <c r="B180" s="433"/>
      <c r="C180" s="434"/>
      <c r="D180" s="421"/>
      <c r="E180" s="436"/>
      <c r="F180" s="436"/>
      <c r="G180" s="436">
        <v>749876.416666666</v>
      </c>
      <c r="H180" s="436"/>
      <c r="I180" s="453"/>
      <c r="J180" s="457"/>
      <c r="K180" s="457"/>
      <c r="L180" s="457"/>
      <c r="M180" s="451"/>
      <c r="N180" s="455"/>
      <c r="O180" s="436"/>
      <c r="P180" s="509"/>
      <c r="Q180" s="434"/>
      <c r="R180" s="435"/>
      <c r="S180" s="473"/>
      <c r="T180" s="466"/>
      <c r="U180" s="466"/>
      <c r="V180" s="435"/>
      <c r="W180" s="435"/>
    </row>
    <row r="181" s="408" customFormat="1" hidden="1" spans="1:23">
      <c r="A181" s="428"/>
      <c r="B181" s="421"/>
      <c r="C181" s="439"/>
      <c r="D181" s="421"/>
      <c r="E181" s="430"/>
      <c r="F181" s="430" t="e">
        <v>#VALUE!</v>
      </c>
      <c r="G181" s="430"/>
      <c r="H181" s="430">
        <v>829193.583333334</v>
      </c>
      <c r="I181" s="453" t="e">
        <f t="shared" ref="I181:I187" si="3">(F181/G181)-1</f>
        <v>#VALUE!</v>
      </c>
      <c r="J181" s="430"/>
      <c r="K181" s="430"/>
      <c r="L181" s="430"/>
      <c r="M181" s="451"/>
      <c r="N181" s="459"/>
      <c r="O181" s="430"/>
      <c r="P181" s="509"/>
      <c r="Q181" s="429"/>
      <c r="R181" s="421"/>
      <c r="S181" s="473"/>
      <c r="T181" s="466"/>
      <c r="U181" s="466"/>
      <c r="V181" s="421"/>
      <c r="W181" s="421"/>
    </row>
    <row r="182" s="408" customFormat="1" spans="1:23">
      <c r="A182" s="428"/>
      <c r="B182" s="421"/>
      <c r="C182" s="439"/>
      <c r="D182" s="421"/>
      <c r="E182" s="430"/>
      <c r="F182" s="430"/>
      <c r="G182" s="430"/>
      <c r="H182" s="430"/>
      <c r="I182" s="453"/>
      <c r="J182" s="430"/>
      <c r="K182" s="430"/>
      <c r="L182" s="430"/>
      <c r="M182" s="451"/>
      <c r="N182" s="459"/>
      <c r="O182" s="430"/>
      <c r="P182" s="509"/>
      <c r="Q182" s="429"/>
      <c r="R182" s="421"/>
      <c r="S182" s="473"/>
      <c r="T182" s="466"/>
      <c r="U182" s="466"/>
      <c r="V182" s="421"/>
      <c r="W182" s="421"/>
    </row>
    <row r="183" s="408" customFormat="1" ht="17.4" spans="1:23">
      <c r="A183" s="418" t="s">
        <v>185</v>
      </c>
      <c r="B183" s="419"/>
      <c r="C183" s="420"/>
      <c r="D183" s="421"/>
      <c r="E183" s="422" t="s">
        <v>202</v>
      </c>
      <c r="F183" s="422"/>
      <c r="G183" s="422" t="s">
        <v>213</v>
      </c>
      <c r="H183" s="422"/>
      <c r="I183" s="422"/>
      <c r="J183" s="422"/>
      <c r="K183" s="422"/>
      <c r="L183" s="422"/>
      <c r="M183" s="443"/>
      <c r="N183" s="444"/>
      <c r="O183" s="422"/>
      <c r="P183" s="509"/>
      <c r="Q183" s="465"/>
      <c r="R183" s="424"/>
      <c r="S183" s="473"/>
      <c r="T183" s="467"/>
      <c r="U183" s="467"/>
      <c r="V183" s="467"/>
      <c r="W183" s="467"/>
    </row>
    <row r="184" s="409" customFormat="1" ht="46.8" hidden="1" spans="1:23">
      <c r="A184" s="423" t="s">
        <v>206</v>
      </c>
      <c r="B184" s="424" t="s">
        <v>207</v>
      </c>
      <c r="C184" s="425" t="s">
        <v>447</v>
      </c>
      <c r="D184" s="424" t="s">
        <v>209</v>
      </c>
      <c r="E184" s="426" t="s">
        <v>210</v>
      </c>
      <c r="F184" s="427" t="s">
        <v>211</v>
      </c>
      <c r="G184" s="427">
        <v>83649.6666666667</v>
      </c>
      <c r="H184" s="427" t="s">
        <v>396</v>
      </c>
      <c r="I184" s="427" t="s">
        <v>386</v>
      </c>
      <c r="J184" s="446" t="s">
        <v>215</v>
      </c>
      <c r="K184" s="446" t="s">
        <v>216</v>
      </c>
      <c r="L184" s="446" t="s">
        <v>217</v>
      </c>
      <c r="M184" s="447" t="s">
        <v>436</v>
      </c>
      <c r="N184" s="448" t="s">
        <v>219</v>
      </c>
      <c r="O184" s="449" t="s">
        <v>220</v>
      </c>
      <c r="P184" s="508" t="s">
        <v>221</v>
      </c>
      <c r="Q184" s="469" t="s">
        <v>222</v>
      </c>
      <c r="R184" s="426" t="s">
        <v>223</v>
      </c>
      <c r="S184" s="470" t="s">
        <v>224</v>
      </c>
      <c r="T184" s="467" t="s">
        <v>225</v>
      </c>
      <c r="U184" s="470" t="s">
        <v>226</v>
      </c>
      <c r="V184" s="467"/>
      <c r="W184" s="467"/>
    </row>
    <row r="185" s="408" customFormat="1" hidden="1" spans="1:23">
      <c r="A185" s="497" t="s">
        <v>243</v>
      </c>
      <c r="B185" s="438" t="s">
        <v>331</v>
      </c>
      <c r="C185" s="429" t="s">
        <v>441</v>
      </c>
      <c r="D185" s="421" t="s">
        <v>420</v>
      </c>
      <c r="E185" s="430" t="str">
        <f>VLOOKUP(B184,正厂竞争者数据汇总!D:H,4,FALSE)</f>
        <v>Alexa Traffic Rank</v>
      </c>
      <c r="F185" s="430">
        <v>114024.5</v>
      </c>
      <c r="G185" s="430">
        <v>148204.583333333</v>
      </c>
      <c r="H185" s="430">
        <v>93790.0833333333</v>
      </c>
      <c r="I185" s="453">
        <f t="shared" si="3"/>
        <v>-0.230627707757574</v>
      </c>
      <c r="J185" s="451">
        <v>0.212413787536225</v>
      </c>
      <c r="K185" s="451">
        <v>0.214952422347435</v>
      </c>
      <c r="L185" s="451">
        <v>0.200344806801612</v>
      </c>
      <c r="M185" s="451">
        <f t="shared" ref="M185:M187" si="4">J185-K186</f>
        <v>-0.188455155933959</v>
      </c>
      <c r="N185" s="459"/>
      <c r="O185" s="430"/>
      <c r="P185" s="509">
        <f>VLOOKUP(B185,正厂竞争者数据汇总!D:M,6,FALSE)</f>
        <v>0</v>
      </c>
      <c r="Q185" s="429" t="s">
        <v>180</v>
      </c>
      <c r="R185" s="421" t="s">
        <v>180</v>
      </c>
      <c r="S185" s="473">
        <f>VLOOKUP(B185,正厂竞争者数据汇总!$D$2:$CL$243,25,FALSE)</f>
        <v>67302</v>
      </c>
      <c r="T185" s="466"/>
      <c r="U185" s="466"/>
      <c r="V185" s="421"/>
      <c r="W185" s="421"/>
    </row>
    <row r="186" s="408" customFormat="1" hidden="1" spans="1:23">
      <c r="A186" s="428" t="s">
        <v>230</v>
      </c>
      <c r="B186" s="431" t="s">
        <v>330</v>
      </c>
      <c r="C186" s="429" t="s">
        <v>233</v>
      </c>
      <c r="D186" s="421" t="s">
        <v>59</v>
      </c>
      <c r="E186" s="430">
        <f>VLOOKUP(B186,正厂竞争者数据汇总!D:H,4,FALSE)</f>
        <v>0</v>
      </c>
      <c r="F186" s="430">
        <v>227943.5</v>
      </c>
      <c r="G186" s="430">
        <v>32696.5833333333</v>
      </c>
      <c r="H186" s="430">
        <v>153405.25</v>
      </c>
      <c r="I186" s="453">
        <f t="shared" si="3"/>
        <v>5.97147765184436</v>
      </c>
      <c r="J186" s="451">
        <v>0.424631041392539</v>
      </c>
      <c r="K186" s="451">
        <v>0.400868943470184</v>
      </c>
      <c r="L186" s="451">
        <v>0.354956807339698</v>
      </c>
      <c r="M186" s="451">
        <f t="shared" si="4"/>
        <v>0.381901169432981</v>
      </c>
      <c r="N186" s="459"/>
      <c r="O186" s="430"/>
      <c r="P186" s="509">
        <f>VLOOKUP(B186,正厂竞争者数据汇总!D:M,6,FALSE)</f>
        <v>0</v>
      </c>
      <c r="Q186" s="429" t="s">
        <v>180</v>
      </c>
      <c r="R186" s="421" t="s">
        <v>180</v>
      </c>
      <c r="S186" s="473">
        <f>VLOOKUP(B186,正厂竞争者数据汇总!$D$2:$CL$243,25,FALSE)</f>
        <v>138509</v>
      </c>
      <c r="T186" s="466"/>
      <c r="U186" s="466"/>
      <c r="V186" s="421"/>
      <c r="W186" s="421"/>
    </row>
    <row r="187" s="408" customFormat="1" hidden="1" spans="1:23">
      <c r="A187" s="428"/>
      <c r="B187" s="430" t="s">
        <v>340</v>
      </c>
      <c r="C187" s="429" t="s">
        <v>233</v>
      </c>
      <c r="D187" s="421" t="s">
        <v>417</v>
      </c>
      <c r="E187" s="430">
        <f>VLOOKUP(B187,正厂竞争者数据汇总!D:H,4,FALSE)</f>
        <v>0</v>
      </c>
      <c r="F187" s="430">
        <v>22776.0833333333</v>
      </c>
      <c r="G187" s="430">
        <v>46040.75</v>
      </c>
      <c r="H187" s="430">
        <v>64506.0833333334</v>
      </c>
      <c r="I187" s="453">
        <f t="shared" si="3"/>
        <v>-0.505305987992522</v>
      </c>
      <c r="J187" s="451">
        <v>0.0424290755589722</v>
      </c>
      <c r="K187" s="451">
        <v>0.0427298719595575</v>
      </c>
      <c r="L187" s="451">
        <v>0.0783098239601208</v>
      </c>
      <c r="M187" s="451">
        <f t="shared" si="4"/>
        <v>0.0424290755589722</v>
      </c>
      <c r="N187" s="459"/>
      <c r="O187" s="430"/>
      <c r="P187" s="509">
        <f>VLOOKUP(B187,正厂竞争者数据汇总!D:M,6,FALSE)</f>
        <v>0</v>
      </c>
      <c r="Q187" s="429" t="s">
        <v>180</v>
      </c>
      <c r="R187" s="421" t="s">
        <v>180</v>
      </c>
      <c r="S187" s="473">
        <f>VLOOKUP(B187,正厂竞争者数据汇总!$D$2:$CL$243,25,FALSE)</f>
        <v>10925</v>
      </c>
      <c r="T187" s="466"/>
      <c r="U187" s="466"/>
      <c r="V187" s="421"/>
      <c r="W187" s="421"/>
    </row>
    <row r="188" s="408" customFormat="1" hidden="1" spans="1:23">
      <c r="A188" s="428"/>
      <c r="B188" s="498" t="s">
        <v>337</v>
      </c>
      <c r="C188" s="429" t="s">
        <v>470</v>
      </c>
      <c r="D188" s="421" t="s">
        <v>412</v>
      </c>
      <c r="E188" s="430">
        <f>VLOOKUP(B188,正厂竞争者数据汇总!D:H,4,FALSE)</f>
        <v>0</v>
      </c>
      <c r="F188" s="430">
        <v>63359.75</v>
      </c>
      <c r="G188" s="430">
        <v>106936.916666667</v>
      </c>
      <c r="H188" s="430">
        <v>49980.9166666666</v>
      </c>
      <c r="I188" s="453"/>
      <c r="J188" s="451"/>
      <c r="K188" s="451"/>
      <c r="L188" s="451"/>
      <c r="M188" s="451"/>
      <c r="N188" s="459"/>
      <c r="O188" s="430"/>
      <c r="P188" s="509" t="str">
        <f>VLOOKUP(B188,正厂竞争者数据汇总!D:M,6,FALSE)</f>
        <v>主营Acc</v>
      </c>
      <c r="Q188" s="429" t="s">
        <v>180</v>
      </c>
      <c r="R188" s="421" t="s">
        <v>180</v>
      </c>
      <c r="S188" s="473">
        <f>VLOOKUP(B188,正厂竞争者数据汇总!$D$2:$CL$243,25,FALSE)</f>
        <v>41304</v>
      </c>
      <c r="T188" s="466"/>
      <c r="U188" s="466"/>
      <c r="V188" s="421"/>
      <c r="W188" s="421"/>
    </row>
    <row r="189" s="408" customFormat="1" hidden="1" spans="1:23">
      <c r="A189" s="428" t="s">
        <v>446</v>
      </c>
      <c r="B189" s="499" t="s">
        <v>334</v>
      </c>
      <c r="C189" s="429" t="s">
        <v>233</v>
      </c>
      <c r="D189" s="421" t="s">
        <v>50</v>
      </c>
      <c r="E189" s="430">
        <f>VLOOKUP(B189,正厂竞争者数据汇总!D:H,4,FALSE)</f>
        <v>0</v>
      </c>
      <c r="F189" s="430">
        <v>108699.833333333</v>
      </c>
      <c r="G189" s="430"/>
      <c r="H189" s="430">
        <v>122970.25</v>
      </c>
      <c r="I189" s="453" t="e">
        <f>(F189/G189)-1</f>
        <v>#DIV/0!</v>
      </c>
      <c r="J189" s="451">
        <v>0.202494580576014</v>
      </c>
      <c r="K189" s="451">
        <v>0.24216932583705</v>
      </c>
      <c r="L189" s="451">
        <v>0.256118843783519</v>
      </c>
      <c r="M189" s="451">
        <f>J189-K190</f>
        <v>0.202494580576014</v>
      </c>
      <c r="N189" s="459"/>
      <c r="O189" s="430"/>
      <c r="P189" s="509">
        <f>VLOOKUP(B189,正厂竞争者数据汇总!D:M,6,FALSE)</f>
        <v>0</v>
      </c>
      <c r="Q189" s="429" t="s">
        <v>180</v>
      </c>
      <c r="R189" s="421" t="s">
        <v>180</v>
      </c>
      <c r="S189" s="473">
        <f>VLOOKUP(B189,正厂竞争者数据汇总!$D$2:$CL$243,25,FALSE)</f>
        <v>121043</v>
      </c>
      <c r="T189" s="466"/>
      <c r="U189" s="466"/>
      <c r="V189" s="421"/>
      <c r="W189" s="421"/>
    </row>
    <row r="190" s="410" customFormat="1" hidden="1" spans="1:23">
      <c r="A190" s="432"/>
      <c r="B190" s="433"/>
      <c r="C190" s="434"/>
      <c r="D190" s="421"/>
      <c r="E190" s="436"/>
      <c r="F190" s="436"/>
      <c r="G190" s="436">
        <v>417528.5</v>
      </c>
      <c r="H190" s="436"/>
      <c r="I190" s="453"/>
      <c r="J190" s="457"/>
      <c r="K190" s="457"/>
      <c r="L190" s="457"/>
      <c r="M190" s="451"/>
      <c r="N190" s="455"/>
      <c r="O190" s="436"/>
      <c r="P190" s="509"/>
      <c r="Q190" s="500"/>
      <c r="R190" s="501"/>
      <c r="S190" s="473"/>
      <c r="T190" s="466"/>
      <c r="U190" s="466"/>
      <c r="V190" s="435"/>
      <c r="W190" s="435"/>
    </row>
    <row r="191" s="408" customFormat="1" hidden="1" spans="1:23">
      <c r="A191" s="428"/>
      <c r="B191" s="421"/>
      <c r="C191" s="439"/>
      <c r="D191" s="421"/>
      <c r="E191" s="430"/>
      <c r="F191" s="430">
        <v>536803.666666666</v>
      </c>
      <c r="G191" s="430"/>
      <c r="H191" s="430">
        <v>484652.583333333</v>
      </c>
      <c r="I191" s="453" t="e">
        <f>(F191/G191)-1</f>
        <v>#DIV/0!</v>
      </c>
      <c r="J191" s="430"/>
      <c r="K191" s="430"/>
      <c r="L191" s="430"/>
      <c r="M191" s="451"/>
      <c r="N191" s="459"/>
      <c r="O191" s="430"/>
      <c r="P191" s="509"/>
      <c r="Q191" s="429"/>
      <c r="R191" s="421"/>
      <c r="S191" s="473"/>
      <c r="T191" s="466"/>
      <c r="U191" s="466"/>
      <c r="V191" s="421"/>
      <c r="W191" s="421"/>
    </row>
    <row r="192" s="408" customFormat="1" spans="1:23">
      <c r="A192" s="423"/>
      <c r="B192" s="421"/>
      <c r="C192" s="425"/>
      <c r="D192" s="421"/>
      <c r="E192" s="430"/>
      <c r="F192" s="430"/>
      <c r="G192" s="430"/>
      <c r="H192" s="430"/>
      <c r="I192" s="453"/>
      <c r="J192" s="430"/>
      <c r="K192" s="430"/>
      <c r="L192" s="430"/>
      <c r="M192" s="451"/>
      <c r="N192" s="459"/>
      <c r="O192" s="430"/>
      <c r="P192" s="509"/>
      <c r="Q192" s="429"/>
      <c r="R192" s="421"/>
      <c r="S192" s="473"/>
      <c r="T192" s="466"/>
      <c r="U192" s="466"/>
      <c r="V192" s="421"/>
      <c r="W192" s="421"/>
    </row>
    <row r="193" s="408" customFormat="1" ht="17.4" spans="1:23">
      <c r="A193" s="418" t="s">
        <v>195</v>
      </c>
      <c r="B193" s="419"/>
      <c r="C193" s="420"/>
      <c r="D193" s="421"/>
      <c r="E193" s="422" t="s">
        <v>202</v>
      </c>
      <c r="F193" s="422"/>
      <c r="G193" s="422" t="s">
        <v>213</v>
      </c>
      <c r="H193" s="422"/>
      <c r="I193" s="422"/>
      <c r="J193" s="422"/>
      <c r="K193" s="422"/>
      <c r="L193" s="422"/>
      <c r="M193" s="443"/>
      <c r="N193" s="444"/>
      <c r="O193" s="422"/>
      <c r="P193" s="509"/>
      <c r="Q193" s="465"/>
      <c r="R193" s="424"/>
      <c r="S193" s="473"/>
      <c r="T193" s="467"/>
      <c r="U193" s="467"/>
      <c r="V193" s="467"/>
      <c r="W193" s="467"/>
    </row>
    <row r="194" s="409" customFormat="1" ht="46.8" hidden="1" spans="1:23">
      <c r="A194" s="423" t="s">
        <v>206</v>
      </c>
      <c r="B194" s="424" t="s">
        <v>207</v>
      </c>
      <c r="C194" s="425" t="s">
        <v>447</v>
      </c>
      <c r="D194" s="424" t="s">
        <v>209</v>
      </c>
      <c r="E194" s="426" t="s">
        <v>210</v>
      </c>
      <c r="F194" s="427" t="s">
        <v>211</v>
      </c>
      <c r="G194" s="427">
        <v>83178</v>
      </c>
      <c r="H194" s="427" t="s">
        <v>396</v>
      </c>
      <c r="I194" s="427" t="s">
        <v>386</v>
      </c>
      <c r="J194" s="446" t="s">
        <v>215</v>
      </c>
      <c r="K194" s="446" t="s">
        <v>216</v>
      </c>
      <c r="L194" s="446" t="s">
        <v>217</v>
      </c>
      <c r="M194" s="447" t="s">
        <v>436</v>
      </c>
      <c r="N194" s="448" t="s">
        <v>219</v>
      </c>
      <c r="O194" s="449" t="s">
        <v>220</v>
      </c>
      <c r="P194" s="508" t="s">
        <v>221</v>
      </c>
      <c r="Q194" s="469" t="s">
        <v>222</v>
      </c>
      <c r="R194" s="426" t="s">
        <v>223</v>
      </c>
      <c r="S194" s="470" t="s">
        <v>224</v>
      </c>
      <c r="T194" s="467" t="s">
        <v>225</v>
      </c>
      <c r="U194" s="470" t="s">
        <v>226</v>
      </c>
      <c r="V194" s="467"/>
      <c r="W194" s="467"/>
    </row>
    <row r="195" s="408" customFormat="1" hidden="1" spans="1:23">
      <c r="A195" s="428" t="s">
        <v>230</v>
      </c>
      <c r="B195" s="421" t="s">
        <v>378</v>
      </c>
      <c r="C195" s="429" t="s">
        <v>233</v>
      </c>
      <c r="D195" s="421" t="s">
        <v>266</v>
      </c>
      <c r="E195" s="430" t="str">
        <f>VLOOKUP(B194,正厂竞争者数据汇总!D:H,4,FALSE)</f>
        <v>Alexa Traffic Rank</v>
      </c>
      <c r="F195" s="430">
        <v>94329.9166666667</v>
      </c>
      <c r="G195" s="430">
        <v>0</v>
      </c>
      <c r="H195" s="430">
        <v>88546.8333333332</v>
      </c>
      <c r="I195" s="453" t="e">
        <f>(F195/G195)-1</f>
        <v>#DIV/0!</v>
      </c>
      <c r="J195" s="451" t="e">
        <v>#N/A</v>
      </c>
      <c r="K195" s="451" t="e">
        <v>#N/A</v>
      </c>
      <c r="L195" s="451">
        <v>1</v>
      </c>
      <c r="M195" s="451" t="e">
        <f>J195-K196</f>
        <v>#N/A</v>
      </c>
      <c r="N195" s="459"/>
      <c r="O195" s="430"/>
      <c r="P195" s="509">
        <f>VLOOKUP(B195,正厂竞争者数据汇总!D:M,6,FALSE)</f>
        <v>0</v>
      </c>
      <c r="Q195" s="429" t="s">
        <v>180</v>
      </c>
      <c r="R195" s="421" t="s">
        <v>180</v>
      </c>
      <c r="S195" s="473">
        <f>VLOOKUP(B195,正厂竞争者数据汇总!$D$2:$CL$243,25,FALSE)</f>
        <v>83797</v>
      </c>
      <c r="T195" s="466"/>
      <c r="U195" s="466"/>
      <c r="V195" s="421"/>
      <c r="W195" s="421"/>
    </row>
    <row r="196" s="408" customFormat="1" hidden="1" spans="1:23">
      <c r="A196" s="428" t="s">
        <v>446</v>
      </c>
      <c r="B196" s="421" t="s">
        <v>471</v>
      </c>
      <c r="C196" s="429" t="e">
        <v>#N/A</v>
      </c>
      <c r="D196" s="421" t="e">
        <v>#N/A</v>
      </c>
      <c r="E196" s="430" t="e">
        <f>VLOOKUP(B196,正厂竞争者数据汇总!D:H,4,FALSE)</f>
        <v>#N/A</v>
      </c>
      <c r="F196" s="430" t="e">
        <v>#N/A</v>
      </c>
      <c r="G196" s="430">
        <v>0</v>
      </c>
      <c r="H196" s="430">
        <v>0</v>
      </c>
      <c r="I196" s="453"/>
      <c r="J196" s="451"/>
      <c r="K196" s="451"/>
      <c r="L196" s="451"/>
      <c r="M196" s="451"/>
      <c r="N196" s="459"/>
      <c r="O196" s="430"/>
      <c r="P196" s="509" t="e">
        <f>VLOOKUP(B196,正厂竞争者数据汇总!D:M,6,FALSE)</f>
        <v>#N/A</v>
      </c>
      <c r="Q196" s="429" t="s">
        <v>180</v>
      </c>
      <c r="R196" s="421" t="s">
        <v>180</v>
      </c>
      <c r="S196" s="473" t="e">
        <f>VLOOKUP(B196,正厂竞争者数据汇总!$D$2:$CL$243,25,FALSE)</f>
        <v>#N/A</v>
      </c>
      <c r="T196" s="466"/>
      <c r="U196" s="466"/>
      <c r="V196" s="421"/>
      <c r="W196" s="421"/>
    </row>
    <row r="197" s="408" customFormat="1" hidden="1" spans="1:23">
      <c r="A197" s="428" t="s">
        <v>446</v>
      </c>
      <c r="B197" s="421" t="s">
        <v>472</v>
      </c>
      <c r="C197" s="429" t="e">
        <v>#N/A</v>
      </c>
      <c r="D197" s="421" t="e">
        <v>#N/A</v>
      </c>
      <c r="E197" s="430" t="e">
        <f>VLOOKUP(B197,正厂竞争者数据汇总!D:H,4,FALSE)</f>
        <v>#N/A</v>
      </c>
      <c r="F197" s="430" t="e">
        <v>#N/A</v>
      </c>
      <c r="G197" s="430">
        <v>83178</v>
      </c>
      <c r="H197" s="430">
        <v>0</v>
      </c>
      <c r="I197" s="453"/>
      <c r="J197" s="451"/>
      <c r="K197" s="451"/>
      <c r="L197" s="451"/>
      <c r="M197" s="451"/>
      <c r="N197" s="459"/>
      <c r="O197" s="430"/>
      <c r="P197" s="509" t="e">
        <f>VLOOKUP(B197,正厂竞争者数据汇总!D:M,6,FALSE)</f>
        <v>#N/A</v>
      </c>
      <c r="Q197" s="429" t="s">
        <v>180</v>
      </c>
      <c r="R197" s="421" t="s">
        <v>180</v>
      </c>
      <c r="S197" s="473" t="e">
        <f>VLOOKUP(B197,正厂竞争者数据汇总!$D$2:$CL$243,25,FALSE)</f>
        <v>#N/A</v>
      </c>
      <c r="T197" s="466"/>
      <c r="U197" s="466"/>
      <c r="V197" s="421"/>
      <c r="W197" s="421"/>
    </row>
    <row r="198" s="408" customFormat="1" hidden="1" spans="1:23">
      <c r="A198" s="428"/>
      <c r="B198" s="421"/>
      <c r="C198" s="439"/>
      <c r="D198" s="421"/>
      <c r="E198" s="430"/>
      <c r="F198" s="430" t="e">
        <v>#N/A</v>
      </c>
      <c r="G198" s="430"/>
      <c r="H198" s="430">
        <v>88546.8333333332</v>
      </c>
      <c r="I198" s="453" t="e">
        <f t="shared" ref="I198:I205" si="5">(F198/G198)-1</f>
        <v>#N/A</v>
      </c>
      <c r="J198" s="430"/>
      <c r="K198" s="430"/>
      <c r="L198" s="430"/>
      <c r="M198" s="451"/>
      <c r="N198" s="459"/>
      <c r="O198" s="430"/>
      <c r="P198" s="509"/>
      <c r="Q198" s="429"/>
      <c r="R198" s="421"/>
      <c r="S198" s="473"/>
      <c r="T198" s="466"/>
      <c r="U198" s="466"/>
      <c r="V198" s="421"/>
      <c r="W198" s="421"/>
    </row>
    <row r="199" s="408" customFormat="1" spans="1:23">
      <c r="A199" s="423"/>
      <c r="B199" s="421"/>
      <c r="C199" s="425"/>
      <c r="D199" s="421"/>
      <c r="E199" s="430"/>
      <c r="F199" s="430"/>
      <c r="G199" s="430"/>
      <c r="H199" s="430"/>
      <c r="I199" s="453"/>
      <c r="J199" s="430"/>
      <c r="K199" s="430"/>
      <c r="L199" s="430"/>
      <c r="M199" s="451"/>
      <c r="N199" s="459"/>
      <c r="O199" s="430"/>
      <c r="P199" s="509"/>
      <c r="Q199" s="429"/>
      <c r="R199" s="421"/>
      <c r="S199" s="473"/>
      <c r="T199" s="466"/>
      <c r="U199" s="466"/>
      <c r="V199" s="421"/>
      <c r="W199" s="421"/>
    </row>
    <row r="200" s="408" customFormat="1" ht="17.4" spans="1:23">
      <c r="A200" s="418" t="s">
        <v>187</v>
      </c>
      <c r="B200" s="419"/>
      <c r="C200" s="420"/>
      <c r="D200" s="421"/>
      <c r="E200" s="422" t="s">
        <v>202</v>
      </c>
      <c r="F200" s="422"/>
      <c r="G200" s="422" t="s">
        <v>213</v>
      </c>
      <c r="H200" s="422"/>
      <c r="I200" s="422"/>
      <c r="J200" s="422"/>
      <c r="K200" s="422"/>
      <c r="L200" s="422"/>
      <c r="M200" s="443"/>
      <c r="N200" s="422"/>
      <c r="O200" s="422"/>
      <c r="P200" s="509"/>
      <c r="Q200" s="465"/>
      <c r="R200" s="424"/>
      <c r="S200" s="473"/>
      <c r="T200" s="467"/>
      <c r="U200" s="467"/>
      <c r="V200" s="467"/>
      <c r="W200" s="467"/>
    </row>
    <row r="201" s="409" customFormat="1" ht="46.8" hidden="1" spans="1:23">
      <c r="A201" s="423" t="s">
        <v>206</v>
      </c>
      <c r="B201" s="424" t="s">
        <v>207</v>
      </c>
      <c r="C201" s="425" t="s">
        <v>447</v>
      </c>
      <c r="D201" s="424" t="s">
        <v>209</v>
      </c>
      <c r="E201" s="426" t="s">
        <v>210</v>
      </c>
      <c r="F201" s="427" t="s">
        <v>211</v>
      </c>
      <c r="G201" s="427">
        <v>66202.5</v>
      </c>
      <c r="H201" s="427" t="s">
        <v>396</v>
      </c>
      <c r="I201" s="427" t="s">
        <v>386</v>
      </c>
      <c r="J201" s="446" t="s">
        <v>215</v>
      </c>
      <c r="K201" s="446" t="s">
        <v>216</v>
      </c>
      <c r="L201" s="446" t="s">
        <v>217</v>
      </c>
      <c r="M201" s="447" t="s">
        <v>436</v>
      </c>
      <c r="N201" s="448" t="s">
        <v>219</v>
      </c>
      <c r="O201" s="449" t="s">
        <v>220</v>
      </c>
      <c r="P201" s="508" t="s">
        <v>221</v>
      </c>
      <c r="Q201" s="469" t="s">
        <v>222</v>
      </c>
      <c r="R201" s="426" t="s">
        <v>223</v>
      </c>
      <c r="S201" s="470" t="s">
        <v>224</v>
      </c>
      <c r="T201" s="467" t="s">
        <v>225</v>
      </c>
      <c r="U201" s="470" t="s">
        <v>226</v>
      </c>
      <c r="V201" s="467"/>
      <c r="W201" s="467"/>
    </row>
    <row r="202" s="408" customFormat="1" hidden="1" spans="1:23">
      <c r="A202" s="428" t="s">
        <v>230</v>
      </c>
      <c r="B202" s="438" t="s">
        <v>341</v>
      </c>
      <c r="C202" s="429" t="s">
        <v>233</v>
      </c>
      <c r="D202" s="421" t="s">
        <v>422</v>
      </c>
      <c r="E202" s="430">
        <f>VLOOKUP(B202,正厂竞争者数据汇总!D:H,4,FALSE)</f>
        <v>0</v>
      </c>
      <c r="F202" s="430">
        <v>58031.8333333333</v>
      </c>
      <c r="G202" s="430">
        <v>1355.75</v>
      </c>
      <c r="H202" s="430">
        <v>65360.75</v>
      </c>
      <c r="I202" s="453">
        <f t="shared" si="5"/>
        <v>41.804228901592</v>
      </c>
      <c r="J202" s="451">
        <v>0.592452753138872</v>
      </c>
      <c r="K202" s="451">
        <v>0.593062104057627</v>
      </c>
      <c r="L202" s="451">
        <v>0.661187495838605</v>
      </c>
      <c r="M202" s="451">
        <f t="shared" ref="M202:M205" si="6">J202-K203</f>
        <v>0.589318898106282</v>
      </c>
      <c r="N202" s="459"/>
      <c r="O202" s="430"/>
      <c r="P202" s="509">
        <f>VLOOKUP(B202,正厂竞争者数据汇总!D:M,6,FALSE)</f>
        <v>0</v>
      </c>
      <c r="Q202" s="429" t="s">
        <v>180</v>
      </c>
      <c r="R202" s="421" t="s">
        <v>180</v>
      </c>
      <c r="S202" s="473">
        <f>VLOOKUP(B202,正厂竞争者数据汇总!$D$2:$CL$243,25,FALSE)</f>
        <v>44201</v>
      </c>
      <c r="T202" s="466"/>
      <c r="U202" s="466"/>
      <c r="V202" s="421"/>
      <c r="W202" s="421"/>
    </row>
    <row r="203" s="408" customFormat="1" hidden="1" spans="1:23">
      <c r="A203" s="428" t="s">
        <v>230</v>
      </c>
      <c r="B203" s="438" t="s">
        <v>473</v>
      </c>
      <c r="C203" s="429" t="s">
        <v>233</v>
      </c>
      <c r="D203" s="421" t="s">
        <v>420</v>
      </c>
      <c r="E203" s="430" t="e">
        <f>VLOOKUP(B203,正厂竞争者数据汇总!D:H,4,FALSE)</f>
        <v>#N/A</v>
      </c>
      <c r="F203" s="430">
        <v>128</v>
      </c>
      <c r="G203" s="430">
        <v>31231.8333333333</v>
      </c>
      <c r="H203" s="430">
        <v>2194.5</v>
      </c>
      <c r="I203" s="453">
        <f t="shared" si="5"/>
        <v>-0.995901617473625</v>
      </c>
      <c r="J203" s="451">
        <v>0.0013067647193944</v>
      </c>
      <c r="K203" s="451">
        <v>0.00313385503259026</v>
      </c>
      <c r="L203" s="451">
        <v>0.0135403488914042</v>
      </c>
      <c r="M203" s="451">
        <f t="shared" si="6"/>
        <v>-0.385291014801263</v>
      </c>
      <c r="N203" s="459"/>
      <c r="O203" s="430"/>
      <c r="P203" s="509" t="e">
        <f>VLOOKUP(B203,正厂竞争者数据汇总!D:M,6,FALSE)</f>
        <v>#N/A</v>
      </c>
      <c r="Q203" s="429" t="s">
        <v>180</v>
      </c>
      <c r="R203" s="421" t="s">
        <v>180</v>
      </c>
      <c r="S203" s="473" t="e">
        <f>VLOOKUP(B203,正厂竞争者数据汇总!$D$2:$CL$243,25,FALSE)</f>
        <v>#N/A</v>
      </c>
      <c r="T203" s="466"/>
      <c r="U203" s="466"/>
      <c r="V203" s="421"/>
      <c r="W203" s="421"/>
    </row>
    <row r="204" s="408" customFormat="1" hidden="1" spans="1:23">
      <c r="A204" s="428" t="s">
        <v>230</v>
      </c>
      <c r="B204" s="482" t="s">
        <v>344</v>
      </c>
      <c r="C204" s="429" t="s">
        <v>233</v>
      </c>
      <c r="D204" s="421" t="s">
        <v>234</v>
      </c>
      <c r="E204" s="430">
        <f>VLOOKUP(B204,正厂竞争者数据汇总!D:H,4,FALSE)</f>
        <v>0</v>
      </c>
      <c r="F204" s="430">
        <v>38229.9166666667</v>
      </c>
      <c r="G204" s="430">
        <v>1336.58333333333</v>
      </c>
      <c r="H204" s="430">
        <v>26757.6666666667</v>
      </c>
      <c r="I204" s="453">
        <f t="shared" si="5"/>
        <v>27.6027183739636</v>
      </c>
      <c r="J204" s="451">
        <v>0.390293018167093</v>
      </c>
      <c r="K204" s="451">
        <v>0.386597779520657</v>
      </c>
      <c r="L204" s="451">
        <v>0.311923230574605</v>
      </c>
      <c r="M204" s="451">
        <f t="shared" si="6"/>
        <v>0.373086756777967</v>
      </c>
      <c r="N204" s="459"/>
      <c r="O204" s="430"/>
      <c r="P204" s="509">
        <f>VLOOKUP(B204,正厂竞争者数据汇总!D:M,6,FALSE)</f>
        <v>0</v>
      </c>
      <c r="Q204" s="429" t="s">
        <v>180</v>
      </c>
      <c r="R204" s="421" t="s">
        <v>180</v>
      </c>
      <c r="S204" s="473">
        <f>VLOOKUP(B204,正厂竞争者数据汇总!$D$2:$CL$243,25,FALSE)</f>
        <v>63249</v>
      </c>
      <c r="T204" s="466"/>
      <c r="U204" s="466"/>
      <c r="V204" s="421"/>
      <c r="W204" s="421"/>
    </row>
    <row r="205" s="408" customFormat="1" hidden="1" spans="1:23">
      <c r="A205" s="428" t="s">
        <v>230</v>
      </c>
      <c r="B205" s="438" t="s">
        <v>474</v>
      </c>
      <c r="C205" s="429" t="s">
        <v>233</v>
      </c>
      <c r="D205" s="421" t="s">
        <v>420</v>
      </c>
      <c r="E205" s="430">
        <f>VLOOKUP(B204,正厂竞争者数据汇总!D:H,4,FALSE)</f>
        <v>0</v>
      </c>
      <c r="F205" s="430">
        <v>1562.08333333333</v>
      </c>
      <c r="G205" s="430"/>
      <c r="H205" s="430">
        <v>2547.58333333333</v>
      </c>
      <c r="I205" s="453" t="e">
        <f t="shared" si="5"/>
        <v>#DIV/0!</v>
      </c>
      <c r="J205" s="451">
        <v>0.0159474639746406</v>
      </c>
      <c r="K205" s="451">
        <v>0.0172062613891262</v>
      </c>
      <c r="L205" s="451">
        <v>0.0133489246953858</v>
      </c>
      <c r="M205" s="451">
        <f t="shared" si="6"/>
        <v>0.0159474639746406</v>
      </c>
      <c r="N205" s="459"/>
      <c r="O205" s="430"/>
      <c r="P205" s="509"/>
      <c r="Q205" s="429" t="s">
        <v>180</v>
      </c>
      <c r="R205" s="421" t="s">
        <v>180</v>
      </c>
      <c r="S205" s="473">
        <f>VLOOKUP(B205,正厂竞争者数据汇总!$D$2:$CL$243,25,FALSE)</f>
        <v>10350</v>
      </c>
      <c r="T205" s="466"/>
      <c r="U205" s="466"/>
      <c r="V205" s="421"/>
      <c r="W205" s="421"/>
    </row>
    <row r="206" s="408" customFormat="1" hidden="1" spans="1:23">
      <c r="A206" s="428"/>
      <c r="B206" s="421"/>
      <c r="C206" s="429"/>
      <c r="D206" s="421"/>
      <c r="E206" s="430"/>
      <c r="F206" s="430"/>
      <c r="G206" s="430">
        <v>100126.666666667</v>
      </c>
      <c r="H206" s="430"/>
      <c r="I206" s="453"/>
      <c r="J206" s="451"/>
      <c r="K206" s="451"/>
      <c r="L206" s="451"/>
      <c r="M206" s="451"/>
      <c r="N206" s="459"/>
      <c r="O206" s="430"/>
      <c r="P206" s="509"/>
      <c r="Q206" s="429"/>
      <c r="R206" s="421"/>
      <c r="S206" s="473"/>
      <c r="T206" s="466"/>
      <c r="U206" s="466"/>
      <c r="V206" s="421"/>
      <c r="W206" s="421"/>
    </row>
    <row r="207" s="408" customFormat="1" hidden="1" spans="1:23">
      <c r="A207" s="428"/>
      <c r="B207" s="421"/>
      <c r="C207" s="439"/>
      <c r="D207" s="421"/>
      <c r="E207" s="430"/>
      <c r="F207" s="430">
        <v>97951.8333333333</v>
      </c>
      <c r="G207" s="430"/>
      <c r="H207" s="430">
        <v>96860.5</v>
      </c>
      <c r="I207" s="453" t="e">
        <f>(F207/G207)-1</f>
        <v>#DIV/0!</v>
      </c>
      <c r="J207" s="430"/>
      <c r="K207" s="430"/>
      <c r="L207" s="430"/>
      <c r="M207" s="451"/>
      <c r="N207" s="459"/>
      <c r="O207" s="430"/>
      <c r="P207" s="509"/>
      <c r="Q207" s="429"/>
      <c r="R207" s="421"/>
      <c r="S207" s="473"/>
      <c r="T207" s="466"/>
      <c r="U207" s="466"/>
      <c r="V207" s="421"/>
      <c r="W207" s="421"/>
    </row>
    <row r="208" s="408" customFormat="1" spans="1:23">
      <c r="A208" s="428"/>
      <c r="B208" s="421"/>
      <c r="C208" s="439"/>
      <c r="D208" s="421"/>
      <c r="E208" s="421"/>
      <c r="F208" s="430"/>
      <c r="G208" s="430"/>
      <c r="H208" s="430"/>
      <c r="I208" s="453"/>
      <c r="J208" s="430"/>
      <c r="K208" s="430"/>
      <c r="L208" s="430"/>
      <c r="M208" s="451"/>
      <c r="N208" s="459"/>
      <c r="O208" s="430"/>
      <c r="P208" s="509"/>
      <c r="Q208" s="429"/>
      <c r="R208" s="421"/>
      <c r="S208" s="473"/>
      <c r="T208" s="466"/>
      <c r="U208" s="466"/>
      <c r="V208" s="421"/>
      <c r="W208" s="421"/>
    </row>
    <row r="209" s="408" customFormat="1" ht="17.4" spans="1:23">
      <c r="A209" s="418" t="s">
        <v>193</v>
      </c>
      <c r="B209" s="419"/>
      <c r="C209" s="420"/>
      <c r="D209" s="421"/>
      <c r="E209" s="422" t="s">
        <v>202</v>
      </c>
      <c r="F209" s="422"/>
      <c r="G209" s="422" t="s">
        <v>213</v>
      </c>
      <c r="H209" s="422"/>
      <c r="I209" s="422"/>
      <c r="J209" s="422"/>
      <c r="K209" s="422"/>
      <c r="L209" s="422"/>
      <c r="M209" s="443"/>
      <c r="N209" s="422"/>
      <c r="O209" s="422"/>
      <c r="P209" s="509"/>
      <c r="Q209" s="465"/>
      <c r="R209" s="424"/>
      <c r="S209" s="473"/>
      <c r="T209" s="467"/>
      <c r="U209" s="467"/>
      <c r="V209" s="467"/>
      <c r="W209" s="467"/>
    </row>
    <row r="210" s="409" customFormat="1" ht="46.8" hidden="1" spans="1:23">
      <c r="A210" s="423" t="s">
        <v>206</v>
      </c>
      <c r="B210" s="424" t="s">
        <v>207</v>
      </c>
      <c r="C210" s="425" t="s">
        <v>447</v>
      </c>
      <c r="D210" s="424" t="s">
        <v>209</v>
      </c>
      <c r="E210" s="426" t="s">
        <v>210</v>
      </c>
      <c r="F210" s="427" t="s">
        <v>211</v>
      </c>
      <c r="G210" s="427">
        <v>251855.833333333</v>
      </c>
      <c r="H210" s="427" t="s">
        <v>396</v>
      </c>
      <c r="I210" s="427" t="s">
        <v>386</v>
      </c>
      <c r="J210" s="446" t="s">
        <v>215</v>
      </c>
      <c r="K210" s="446" t="s">
        <v>216</v>
      </c>
      <c r="L210" s="446" t="s">
        <v>217</v>
      </c>
      <c r="M210" s="447" t="s">
        <v>436</v>
      </c>
      <c r="N210" s="448" t="s">
        <v>219</v>
      </c>
      <c r="O210" s="449" t="s">
        <v>220</v>
      </c>
      <c r="P210" s="508" t="s">
        <v>221</v>
      </c>
      <c r="Q210" s="469" t="s">
        <v>222</v>
      </c>
      <c r="R210" s="426" t="s">
        <v>223</v>
      </c>
      <c r="S210" s="470" t="s">
        <v>224</v>
      </c>
      <c r="T210" s="467" t="s">
        <v>225</v>
      </c>
      <c r="U210" s="470" t="s">
        <v>226</v>
      </c>
      <c r="V210" s="467"/>
      <c r="W210" s="467"/>
    </row>
    <row r="211" s="408" customFormat="1" ht="17.4" hidden="1" spans="1:23">
      <c r="A211" s="428" t="s">
        <v>475</v>
      </c>
      <c r="B211" s="438" t="s">
        <v>476</v>
      </c>
      <c r="C211" s="429" t="s">
        <v>233</v>
      </c>
      <c r="D211" s="421" t="s">
        <v>234</v>
      </c>
      <c r="E211" s="430">
        <f>VLOOKUP(B211,正厂竞争者数据汇总!D:H,4,FALSE)</f>
        <v>81390</v>
      </c>
      <c r="F211" s="430">
        <v>264145.583333333</v>
      </c>
      <c r="G211" s="430">
        <v>38319.6666666667</v>
      </c>
      <c r="H211" s="430">
        <v>273188.083333333</v>
      </c>
      <c r="I211" s="453"/>
      <c r="J211" s="430"/>
      <c r="K211" s="430"/>
      <c r="L211" s="430"/>
      <c r="M211" s="451"/>
      <c r="N211" s="459"/>
      <c r="O211" s="430"/>
      <c r="P211" s="509" t="str">
        <f>VLOOKUP(B211,正厂竞争者数据汇总!D:M,6,FALSE)</f>
        <v>官网</v>
      </c>
      <c r="Q211" s="429" t="s">
        <v>180</v>
      </c>
      <c r="R211" s="421" t="s">
        <v>180</v>
      </c>
      <c r="S211" s="473">
        <f>VLOOKUP(B211,正厂竞争者数据汇总!$D$2:$CL$243,25,FALSE)</f>
        <v>193993</v>
      </c>
      <c r="T211" s="466"/>
      <c r="U211" s="466"/>
      <c r="V211" s="421"/>
      <c r="W211" s="421"/>
    </row>
    <row r="212" s="408" customFormat="1" hidden="1" spans="1:23">
      <c r="A212" s="428" t="s">
        <v>230</v>
      </c>
      <c r="B212" s="421" t="s">
        <v>365</v>
      </c>
      <c r="C212" s="429" t="s">
        <v>233</v>
      </c>
      <c r="D212" s="421" t="s">
        <v>52</v>
      </c>
      <c r="E212" s="430">
        <f>VLOOKUP(B212,正厂竞争者数据汇总!D:H,4,FALSE)</f>
        <v>0</v>
      </c>
      <c r="F212" s="430">
        <v>52454.3333333333</v>
      </c>
      <c r="G212" s="430">
        <v>39781.5833333333</v>
      </c>
      <c r="H212" s="430">
        <v>52163.4166666667</v>
      </c>
      <c r="I212" s="453">
        <f t="shared" ref="I212:I214" si="7">(F212/G212)-1</f>
        <v>0.318558210562258</v>
      </c>
      <c r="J212" s="451">
        <v>0.149821901847865</v>
      </c>
      <c r="K212" s="451">
        <v>0.12051596732495</v>
      </c>
      <c r="L212" s="451">
        <v>0.1143088114803</v>
      </c>
      <c r="M212" s="451">
        <f t="shared" ref="M212:M214" si="8">J212-K213</f>
        <v>0.0566703805805103</v>
      </c>
      <c r="N212" s="459"/>
      <c r="O212" s="430"/>
      <c r="P212" s="509">
        <f>VLOOKUP(B212,正厂竞争者数据汇总!D:M,6,FALSE)</f>
        <v>0</v>
      </c>
      <c r="Q212" s="429" t="s">
        <v>180</v>
      </c>
      <c r="R212" s="421" t="s">
        <v>180</v>
      </c>
      <c r="S212" s="473">
        <f>VLOOKUP(B212,正厂竞争者数据汇总!$D$2:$CL$243,25,FALSE)</f>
        <v>110722</v>
      </c>
      <c r="T212" s="466"/>
      <c r="U212" s="466"/>
      <c r="V212" s="421"/>
      <c r="W212" s="421"/>
    </row>
    <row r="213" s="408" customFormat="1" hidden="1" spans="1:23">
      <c r="A213" s="428" t="s">
        <v>367</v>
      </c>
      <c r="B213" s="438" t="s">
        <v>368</v>
      </c>
      <c r="C213" s="429" t="s">
        <v>233</v>
      </c>
      <c r="D213" s="421" t="s">
        <v>234</v>
      </c>
      <c r="E213" s="430">
        <f>VLOOKUP(B212,正厂竞争者数据汇总!D:H,4,FALSE)</f>
        <v>0</v>
      </c>
      <c r="F213" s="430">
        <v>29206.5</v>
      </c>
      <c r="G213" s="430">
        <v>5272.25</v>
      </c>
      <c r="H213" s="430">
        <v>46192.6666666667</v>
      </c>
      <c r="I213" s="453">
        <f t="shared" si="7"/>
        <v>4.53966522831808</v>
      </c>
      <c r="J213" s="451">
        <v>0.0834206270149846</v>
      </c>
      <c r="K213" s="451">
        <v>0.0931515212673547</v>
      </c>
      <c r="L213" s="451">
        <v>0.118669756425452</v>
      </c>
      <c r="M213" s="451">
        <f t="shared" si="8"/>
        <v>0.0705841974195012</v>
      </c>
      <c r="N213" s="459"/>
      <c r="O213" s="430"/>
      <c r="P213" s="509">
        <f>VLOOKUP(B213,正厂竞争者数据汇总!D:M,6,FALSE)</f>
        <v>0</v>
      </c>
      <c r="Q213" s="429" t="s">
        <v>180</v>
      </c>
      <c r="R213" s="421" t="s">
        <v>180</v>
      </c>
      <c r="S213" s="473">
        <f>VLOOKUP(B213,正厂竞争者数据汇总!$D$2:$CL$243,25,FALSE)</f>
        <v>52681</v>
      </c>
      <c r="T213" s="466"/>
      <c r="U213" s="466"/>
      <c r="V213" s="421"/>
      <c r="W213" s="421"/>
    </row>
    <row r="214" s="408" customFormat="1" hidden="1" spans="1:23">
      <c r="A214" s="428" t="s">
        <v>230</v>
      </c>
      <c r="B214" s="421" t="s">
        <v>373</v>
      </c>
      <c r="C214" s="429" t="s">
        <v>477</v>
      </c>
      <c r="D214" s="421" t="s">
        <v>250</v>
      </c>
      <c r="E214" s="430">
        <f>VLOOKUP(B214,正厂竞争者数据汇总!D:H,4,FALSE)</f>
        <v>3939</v>
      </c>
      <c r="F214" s="430">
        <v>4304.83333333333</v>
      </c>
      <c r="G214" s="430"/>
      <c r="H214" s="430">
        <v>5718</v>
      </c>
      <c r="I214" s="453" t="e">
        <f t="shared" si="7"/>
        <v>#DIV/0!</v>
      </c>
      <c r="J214" s="451">
        <v>0.0122956155602921</v>
      </c>
      <c r="K214" s="451">
        <v>0.0128364295954834</v>
      </c>
      <c r="L214" s="451">
        <v>0.0157272931565257</v>
      </c>
      <c r="M214" s="451">
        <f t="shared" si="8"/>
        <v>0.0122956155602921</v>
      </c>
      <c r="N214" s="459"/>
      <c r="O214" s="430"/>
      <c r="P214" s="509">
        <f>VLOOKUP(B214,正厂竞争者数据汇总!D:M,6,FALSE)</f>
        <v>0</v>
      </c>
      <c r="Q214" s="429" t="s">
        <v>180</v>
      </c>
      <c r="R214" s="421" t="s">
        <v>180</v>
      </c>
      <c r="S214" s="473">
        <f>VLOOKUP(B214,正厂竞争者数据汇总!$D$2:$CL$243,25,FALSE)</f>
        <v>5939</v>
      </c>
      <c r="T214" s="466"/>
      <c r="U214" s="466"/>
      <c r="V214" s="421"/>
      <c r="W214" s="421"/>
    </row>
    <row r="215" s="410" customFormat="1" hidden="1" spans="1:23">
      <c r="A215" s="432"/>
      <c r="B215" s="435"/>
      <c r="C215" s="429"/>
      <c r="D215" s="421"/>
      <c r="E215" s="430"/>
      <c r="F215" s="436"/>
      <c r="G215" s="436">
        <v>335229.333333333</v>
      </c>
      <c r="H215" s="436"/>
      <c r="I215" s="453"/>
      <c r="J215" s="457"/>
      <c r="K215" s="457"/>
      <c r="L215" s="457"/>
      <c r="M215" s="451"/>
      <c r="N215" s="455"/>
      <c r="O215" s="436"/>
      <c r="P215" s="509"/>
      <c r="Q215" s="434"/>
      <c r="R215" s="435"/>
      <c r="S215" s="473"/>
      <c r="T215" s="466"/>
      <c r="U215" s="466"/>
      <c r="V215" s="435"/>
      <c r="W215" s="435"/>
    </row>
    <row r="216" s="408" customFormat="1" hidden="1" spans="1:23">
      <c r="A216" s="428"/>
      <c r="B216" s="421"/>
      <c r="C216" s="439"/>
      <c r="D216" s="421"/>
      <c r="E216" s="421"/>
      <c r="F216" s="496">
        <v>350111.25</v>
      </c>
      <c r="G216" s="496"/>
      <c r="H216" s="496">
        <v>377262.166666666</v>
      </c>
      <c r="I216" s="453" t="e">
        <f>(F216/G216)-1</f>
        <v>#DIV/0!</v>
      </c>
      <c r="J216" s="430"/>
      <c r="K216" s="430"/>
      <c r="L216" s="430"/>
      <c r="M216" s="451"/>
      <c r="N216" s="459"/>
      <c r="O216" s="430"/>
      <c r="P216" s="509"/>
      <c r="Q216" s="429"/>
      <c r="R216" s="421"/>
      <c r="S216" s="473"/>
      <c r="T216" s="466"/>
      <c r="U216" s="466"/>
      <c r="V216" s="421"/>
      <c r="W216" s="421"/>
    </row>
    <row r="217" s="408" customFormat="1" spans="3:21">
      <c r="C217" s="411"/>
      <c r="F217" s="502"/>
      <c r="G217" s="502"/>
      <c r="H217" s="502"/>
      <c r="I217" s="502"/>
      <c r="J217" s="412"/>
      <c r="K217" s="412"/>
      <c r="L217" s="412"/>
      <c r="M217" s="413"/>
      <c r="N217" s="414"/>
      <c r="O217" s="412"/>
      <c r="P217" s="504"/>
      <c r="T217" s="416"/>
      <c r="U217" s="416"/>
    </row>
    <row r="218" s="408" customFormat="1" spans="3:21">
      <c r="C218" s="411"/>
      <c r="E218" s="412"/>
      <c r="F218" s="412"/>
      <c r="G218" s="412"/>
      <c r="H218" s="412"/>
      <c r="I218" s="412"/>
      <c r="J218" s="412"/>
      <c r="K218" s="412"/>
      <c r="L218" s="412"/>
      <c r="M218" s="413"/>
      <c r="N218" s="414"/>
      <c r="O218" s="412"/>
      <c r="T218" s="416"/>
      <c r="U218" s="416"/>
    </row>
    <row r="219" s="408" customFormat="1" spans="3:21">
      <c r="C219" s="411"/>
      <c r="F219" s="412"/>
      <c r="G219" s="412"/>
      <c r="H219" s="412"/>
      <c r="I219" s="412"/>
      <c r="J219" s="412"/>
      <c r="K219" s="412"/>
      <c r="L219" s="412"/>
      <c r="M219" s="413"/>
      <c r="N219" s="414"/>
      <c r="O219" s="412"/>
      <c r="P219" s="504"/>
      <c r="T219" s="416"/>
      <c r="U219" s="416"/>
    </row>
    <row r="220" s="408" customFormat="1" spans="3:21">
      <c r="C220" s="411"/>
      <c r="F220" s="412"/>
      <c r="G220" s="412"/>
      <c r="H220" s="412"/>
      <c r="I220" s="412"/>
      <c r="J220" s="412"/>
      <c r="K220" s="412"/>
      <c r="L220" s="412"/>
      <c r="M220" s="413"/>
      <c r="N220" s="414"/>
      <c r="O220" s="412"/>
      <c r="P220" s="504"/>
      <c r="T220" s="416"/>
      <c r="U220" s="416"/>
    </row>
    <row r="221" s="408" customFormat="1" spans="3:21">
      <c r="C221" s="411"/>
      <c r="F221" s="412"/>
      <c r="G221" s="412"/>
      <c r="H221" s="412"/>
      <c r="I221" s="412"/>
      <c r="J221" s="412"/>
      <c r="K221" s="412"/>
      <c r="L221" s="412"/>
      <c r="M221" s="413"/>
      <c r="N221" s="414"/>
      <c r="O221" s="412"/>
      <c r="P221" s="504"/>
      <c r="T221" s="416"/>
      <c r="U221" s="416"/>
    </row>
    <row r="222" s="408" customFormat="1" spans="3:21">
      <c r="C222" s="411"/>
      <c r="F222" s="412"/>
      <c r="G222" s="412"/>
      <c r="H222" s="412"/>
      <c r="I222" s="412"/>
      <c r="J222" s="412"/>
      <c r="K222" s="412"/>
      <c r="L222" s="412"/>
      <c r="M222" s="413"/>
      <c r="N222" s="414"/>
      <c r="O222" s="412"/>
      <c r="P222" s="504"/>
      <c r="T222" s="416"/>
      <c r="U222" s="416"/>
    </row>
    <row r="223" s="408" customFormat="1" spans="3:21">
      <c r="C223" s="411"/>
      <c r="F223" s="412"/>
      <c r="G223" s="412"/>
      <c r="H223" s="412"/>
      <c r="I223" s="412"/>
      <c r="J223" s="412"/>
      <c r="K223" s="412"/>
      <c r="L223" s="412"/>
      <c r="M223" s="413"/>
      <c r="N223" s="414"/>
      <c r="O223" s="412"/>
      <c r="P223" s="504"/>
      <c r="T223" s="416"/>
      <c r="U223" s="416"/>
    </row>
    <row r="224" s="408" customFormat="1" spans="3:21">
      <c r="C224" s="411"/>
      <c r="F224" s="412"/>
      <c r="G224" s="412"/>
      <c r="H224" s="412"/>
      <c r="I224" s="412"/>
      <c r="J224" s="412"/>
      <c r="K224" s="412"/>
      <c r="L224" s="412"/>
      <c r="M224" s="413"/>
      <c r="N224" s="414"/>
      <c r="O224" s="412"/>
      <c r="P224" s="504"/>
      <c r="T224" s="416"/>
      <c r="U224" s="416"/>
    </row>
    <row r="225" s="408" customFormat="1" spans="3:21">
      <c r="C225" s="411"/>
      <c r="F225" s="412"/>
      <c r="G225" s="412"/>
      <c r="H225" s="412"/>
      <c r="I225" s="412"/>
      <c r="J225" s="412"/>
      <c r="K225" s="412"/>
      <c r="L225" s="412"/>
      <c r="M225" s="413"/>
      <c r="N225" s="414"/>
      <c r="O225" s="412"/>
      <c r="P225" s="504"/>
      <c r="T225" s="416"/>
      <c r="U225" s="416"/>
    </row>
    <row r="226" s="408" customFormat="1" spans="3:21">
      <c r="C226" s="411"/>
      <c r="F226" s="412"/>
      <c r="G226" s="412"/>
      <c r="H226" s="412"/>
      <c r="I226" s="412"/>
      <c r="J226" s="412"/>
      <c r="K226" s="412"/>
      <c r="L226" s="412"/>
      <c r="M226" s="413"/>
      <c r="N226" s="414"/>
      <c r="O226" s="412"/>
      <c r="P226" s="504"/>
      <c r="T226" s="416"/>
      <c r="U226" s="416"/>
    </row>
    <row r="227" s="408" customFormat="1" spans="3:21">
      <c r="C227" s="411"/>
      <c r="F227" s="412"/>
      <c r="G227" s="412"/>
      <c r="H227" s="412"/>
      <c r="I227" s="412"/>
      <c r="J227" s="412"/>
      <c r="K227" s="412"/>
      <c r="L227" s="412"/>
      <c r="M227" s="413"/>
      <c r="N227" s="414"/>
      <c r="O227" s="412"/>
      <c r="P227" s="504"/>
      <c r="T227" s="416"/>
      <c r="U227" s="416"/>
    </row>
    <row r="228" s="408" customFormat="1" spans="3:21">
      <c r="C228" s="411"/>
      <c r="F228" s="412"/>
      <c r="G228" s="412"/>
      <c r="H228" s="412"/>
      <c r="I228" s="412"/>
      <c r="J228" s="412"/>
      <c r="K228" s="412"/>
      <c r="L228" s="412"/>
      <c r="M228" s="413"/>
      <c r="N228" s="414"/>
      <c r="O228" s="412"/>
      <c r="P228" s="504"/>
      <c r="T228" s="416"/>
      <c r="U228" s="416"/>
    </row>
    <row r="229" s="411" customFormat="1" spans="1:23">
      <c r="A229" s="408"/>
      <c r="B229" s="503"/>
      <c r="D229" s="408"/>
      <c r="E229" s="408"/>
      <c r="F229" s="412"/>
      <c r="G229" s="412"/>
      <c r="H229" s="412"/>
      <c r="I229" s="412"/>
      <c r="J229" s="412"/>
      <c r="K229" s="412"/>
      <c r="L229" s="412"/>
      <c r="M229" s="413"/>
      <c r="N229" s="414"/>
      <c r="O229" s="412"/>
      <c r="P229" s="504"/>
      <c r="Q229" s="408"/>
      <c r="R229" s="408"/>
      <c r="S229" s="408"/>
      <c r="T229" s="416"/>
      <c r="U229" s="416"/>
      <c r="V229" s="408"/>
      <c r="W229" s="408"/>
    </row>
  </sheetData>
  <autoFilter ref="C1:C229">
    <extLst/>
  </autoFilter>
  <mergeCells count="19">
    <mergeCell ref="U1:W1"/>
    <mergeCell ref="U14:W14"/>
    <mergeCell ref="U26:W26"/>
    <mergeCell ref="U38:W38"/>
    <mergeCell ref="U51:W51"/>
    <mergeCell ref="U65:W65"/>
    <mergeCell ref="U77:W77"/>
    <mergeCell ref="U87:W87"/>
    <mergeCell ref="U98:W98"/>
    <mergeCell ref="U111:W111"/>
    <mergeCell ref="U126:W126"/>
    <mergeCell ref="U138:W138"/>
    <mergeCell ref="U151:W151"/>
    <mergeCell ref="U164:W164"/>
    <mergeCell ref="U173:W173"/>
    <mergeCell ref="U183:W183"/>
    <mergeCell ref="U193:W193"/>
    <mergeCell ref="U200:W200"/>
    <mergeCell ref="U209:W209"/>
  </mergeCells>
  <conditionalFormatting sqref="I3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{3f1f8226-f962-4665-9119-75eebfb6c2ab}</x14:id>
        </ext>
      </extLst>
    </cfRule>
  </conditionalFormatting>
  <conditionalFormatting sqref="M3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{311194f8-1b2e-406c-9403-1dbc6aa0b8b9}</x14:id>
        </ext>
      </extLst>
    </cfRule>
  </conditionalFormatting>
  <conditionalFormatting sqref="I4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{f84e7e9b-b7d3-4ed3-bcab-1cfe31fa3e58}</x14:id>
        </ext>
      </extLst>
    </cfRule>
  </conditionalFormatting>
  <conditionalFormatting sqref="M4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{0e013410-ee38-463f-8ab8-0ff86ae5b780}</x14:id>
        </ext>
      </extLst>
    </cfRule>
  </conditionalFormatting>
  <conditionalFormatting sqref="I5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{4be51366-faf8-409f-b206-ef36ed23937e}</x14:id>
        </ext>
      </extLst>
    </cfRule>
  </conditionalFormatting>
  <conditionalFormatting sqref="M5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{5b516a7f-d09c-49cb-a575-f4fe65540d9d}</x14:id>
        </ext>
      </extLst>
    </cfRule>
  </conditionalFormatting>
  <conditionalFormatting sqref="I6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{8d850c55-26fe-4dde-b12b-3cf89f9b125e}</x14:id>
        </ext>
      </extLst>
    </cfRule>
  </conditionalFormatting>
  <conditionalFormatting sqref="M6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{c0baed2d-5b62-4ed3-9df3-6b7401a7262f}</x14:id>
        </ext>
      </extLst>
    </cfRule>
  </conditionalFormatting>
  <conditionalFormatting sqref="I7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{45039e33-5197-4bb5-94cc-214748f29d8b}</x14:id>
        </ext>
      </extLst>
    </cfRule>
  </conditionalFormatting>
  <conditionalFormatting sqref="M7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{1055e9fa-93c4-4133-85c8-5f544084e4fb}</x14:id>
        </ext>
      </extLst>
    </cfRule>
  </conditionalFormatting>
  <conditionalFormatting sqref="I8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{9bfb96e4-091c-4a0a-a650-9a39538ce99d}</x14:id>
        </ext>
      </extLst>
    </cfRule>
  </conditionalFormatting>
  <conditionalFormatting sqref="M8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{79ee9636-3f9d-4fa2-a16b-e2c06ab8030a}</x14:id>
        </ext>
      </extLst>
    </cfRule>
  </conditionalFormatting>
  <conditionalFormatting sqref="I9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{19041a7f-a6b3-421f-942d-a72bb56752ee}</x14:id>
        </ext>
      </extLst>
    </cfRule>
  </conditionalFormatting>
  <conditionalFormatting sqref="M9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{51ee7dba-ce5a-462d-8cdb-1ed41cbb6701}</x14:id>
        </ext>
      </extLst>
    </cfRule>
  </conditionalFormatting>
  <conditionalFormatting sqref="I10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{055fe940-d2cf-451d-aae1-eba5803d9cbe}</x14:id>
        </ext>
      </extLst>
    </cfRule>
  </conditionalFormatting>
  <conditionalFormatting sqref="M10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{35fd145d-75ff-40f5-aee7-44ce44e17702}</x14:id>
        </ext>
      </extLst>
    </cfRule>
  </conditionalFormatting>
  <conditionalFormatting sqref="M11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{9e0f290c-b2d2-4c9e-90c1-855173ac3c52}</x14:id>
        </ext>
      </extLst>
    </cfRule>
  </conditionalFormatting>
  <conditionalFormatting sqref="B16">
    <cfRule type="duplicateValues" dxfId="0" priority="67"/>
  </conditionalFormatting>
  <conditionalFormatting sqref="M16">
    <cfRule type="dataBar" priority="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{42fd8a33-5d95-430d-a4fd-73352a0f4a6d}</x14:id>
        </ext>
      </extLst>
    </cfRule>
  </conditionalFormatting>
  <conditionalFormatting sqref="I17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{f005906a-d158-41cc-aafd-af38807a2154}</x14:id>
        </ext>
      </extLst>
    </cfRule>
  </conditionalFormatting>
  <conditionalFormatting sqref="M17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{a7dc4c4c-c28f-404c-9b44-785dfd4807ad}</x14:id>
        </ext>
      </extLst>
    </cfRule>
  </conditionalFormatting>
  <conditionalFormatting sqref="I18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{6f821edc-957f-4aab-a97a-5565389ef479}</x14:id>
        </ext>
      </extLst>
    </cfRule>
  </conditionalFormatting>
  <conditionalFormatting sqref="M18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{b022b75a-3832-4751-9287-34419a42e5cc}</x14:id>
        </ext>
      </extLst>
    </cfRule>
  </conditionalFormatting>
  <conditionalFormatting sqref="I19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{5b4f7999-da9e-4a03-8bae-6d5c119f79de}</x14:id>
        </ext>
      </extLst>
    </cfRule>
  </conditionalFormatting>
  <conditionalFormatting sqref="M19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{0e13bfd8-beb9-47e7-bb0e-019ac50c8ded}</x14:id>
        </ext>
      </extLst>
    </cfRule>
  </conditionalFormatting>
  <conditionalFormatting sqref="I20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{0b36da80-1f77-41d4-af5e-c61bd0c56b10}</x14:id>
        </ext>
      </extLst>
    </cfRule>
  </conditionalFormatting>
  <conditionalFormatting sqref="M20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{f3852507-cab1-47a4-a396-c4a03555b104}</x14:id>
        </ext>
      </extLst>
    </cfRule>
  </conditionalFormatting>
  <conditionalFormatting sqref="I21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{589c8ddf-c0be-44bd-bfcc-cf9e93ab549f}</x14:id>
        </ext>
      </extLst>
    </cfRule>
  </conditionalFormatting>
  <conditionalFormatting sqref="M21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{8dca35d9-60ef-4737-9211-6a2f5c3279c2}</x14:id>
        </ext>
      </extLst>
    </cfRule>
  </conditionalFormatting>
  <conditionalFormatting sqref="I2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{7a963d62-1013-4c71-b405-63af98fc56dd}</x14:id>
        </ext>
      </extLst>
    </cfRule>
  </conditionalFormatting>
  <conditionalFormatting sqref="M2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{5a2d124f-d268-4c7a-9155-706f5003dddd}</x14:id>
        </ext>
      </extLst>
    </cfRule>
  </conditionalFormatting>
  <conditionalFormatting sqref="M28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{6316f23b-ad37-429e-915b-accdfc26ce75}</x14:id>
        </ext>
      </extLst>
    </cfRule>
  </conditionalFormatting>
  <conditionalFormatting sqref="I29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{960412a5-59c1-4622-aa36-ea9aac73937f}</x14:id>
        </ext>
      </extLst>
    </cfRule>
  </conditionalFormatting>
  <conditionalFormatting sqref="M2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{2db7d9d7-fc5c-4a6c-9f6a-e12ddd35dbe0}</x14:id>
        </ext>
      </extLst>
    </cfRule>
  </conditionalFormatting>
  <conditionalFormatting sqref="I30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{1e04d4cf-05a5-4d1c-b01b-fe8adf5704d3}</x14:id>
        </ext>
      </extLst>
    </cfRule>
  </conditionalFormatting>
  <conditionalFormatting sqref="M3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{59f68631-896e-4c5f-92a2-94d7fef13faf}</x14:id>
        </ext>
      </extLst>
    </cfRule>
  </conditionalFormatting>
  <conditionalFormatting sqref="I31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{0d14b94a-8367-43d1-a0cf-c554d22a735b}</x14:id>
        </ext>
      </extLst>
    </cfRule>
  </conditionalFormatting>
  <conditionalFormatting sqref="M31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{d0a1c7ec-e8d1-4e2e-874f-b328c2175cfd}</x14:id>
        </ext>
      </extLst>
    </cfRule>
  </conditionalFormatting>
  <conditionalFormatting sqref="M40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{dc2aa475-cfb4-482d-af3b-77689ddf5f23}</x14:id>
        </ext>
      </extLst>
    </cfRule>
  </conditionalFormatting>
  <conditionalFormatting sqref="I41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{2e1b043b-2ae8-45aa-9184-b75a203501a1}</x14:id>
        </ext>
      </extLst>
    </cfRule>
  </conditionalFormatting>
  <conditionalFormatting sqref="M4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{7b610357-743f-4a27-a852-6221a5917703}</x14:id>
        </ext>
      </extLst>
    </cfRule>
  </conditionalFormatting>
  <conditionalFormatting sqref="I42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{b9fd77ce-f1d2-4b15-a23b-d61d4f713706}</x14:id>
        </ext>
      </extLst>
    </cfRule>
  </conditionalFormatting>
  <conditionalFormatting sqref="M4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{221c538a-3a00-42bc-b136-fcb0f99cead2}</x14:id>
        </ext>
      </extLst>
    </cfRule>
  </conditionalFormatting>
  <conditionalFormatting sqref="I43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{65eaaea4-94a8-4a68-9f60-cc3ff206e8e2}</x14:id>
        </ext>
      </extLst>
    </cfRule>
  </conditionalFormatting>
  <conditionalFormatting sqref="M4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{8b516889-6cd9-40fd-a7b1-94735b363602}</x14:id>
        </ext>
      </extLst>
    </cfRule>
  </conditionalFormatting>
  <conditionalFormatting sqref="I4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{660b73ac-a9c4-4763-b4ec-0e058b8642ff}</x14:id>
        </ext>
      </extLst>
    </cfRule>
  </conditionalFormatting>
  <conditionalFormatting sqref="M4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{458598e6-5215-4358-93d6-ebaeae83fd3d}</x14:id>
        </ext>
      </extLst>
    </cfRule>
  </conditionalFormatting>
  <conditionalFormatting sqref="I45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{97f324b1-01f1-4243-b378-c08abad453a7}</x14:id>
        </ext>
      </extLst>
    </cfRule>
  </conditionalFormatting>
  <conditionalFormatting sqref="M45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{e895a994-2ad5-45ad-ac0b-8125824e8ad1}</x14:id>
        </ext>
      </extLst>
    </cfRule>
  </conditionalFormatting>
  <conditionalFormatting sqref="I46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{5668b325-2446-4843-8044-9acadf064bfd}</x14:id>
        </ext>
      </extLst>
    </cfRule>
  </conditionalFormatting>
  <conditionalFormatting sqref="M46">
    <cfRule type="dataBar" priority="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{3ad1786e-d265-43c2-a258-0cf3819232e6}</x14:id>
        </ext>
      </extLst>
    </cfRule>
  </conditionalFormatting>
  <conditionalFormatting sqref="I47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{237a7979-eeb2-42fa-856d-3bb18a40a44b}</x14:id>
        </ext>
      </extLst>
    </cfRule>
  </conditionalFormatting>
  <conditionalFormatting sqref="M4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{6fc48df0-a576-435f-8b2d-4344dca351ca}</x14:id>
        </ext>
      </extLst>
    </cfRule>
  </conditionalFormatting>
  <conditionalFormatting sqref="M72">
    <cfRule type="dataBar" priority="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{5605c76a-6a3e-4e2d-9e92-6de6abe676b7}</x14:id>
        </ext>
      </extLst>
    </cfRule>
  </conditionalFormatting>
  <conditionalFormatting sqref="I11:I12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{990c698b-f518-4b02-bd1a-c99cc5f41f6e}</x14:id>
        </ext>
      </extLst>
    </cfRule>
  </conditionalFormatting>
  <conditionalFormatting sqref="I32:I34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{95b12d1a-f4ea-4140-80f2-ecdf28bb725a}</x14:id>
        </ext>
      </extLst>
    </cfRule>
  </conditionalFormatting>
  <conditionalFormatting sqref="I53:I63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{b0df6b7a-722c-43c9-8a13-0692e50d0def}</x14:id>
        </ext>
      </extLst>
    </cfRule>
  </conditionalFormatting>
  <conditionalFormatting sqref="I67:I75">
    <cfRule type="dataBar" priority="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{15d5e9d5-ebb3-4294-8de7-49accc7eb69f}</x14:id>
        </ext>
      </extLst>
    </cfRule>
  </conditionalFormatting>
  <conditionalFormatting sqref="I79:I85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{1e1fd1c1-78de-45c6-88bd-0305ba79d1f8}</x14:id>
        </ext>
      </extLst>
    </cfRule>
  </conditionalFormatting>
  <conditionalFormatting sqref="I89:I96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{c2480a5d-0a94-4bbb-876a-b2e7d58a16e7}</x14:id>
        </ext>
      </extLst>
    </cfRule>
  </conditionalFormatting>
  <conditionalFormatting sqref="I100:I109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{6aced29e-6c28-4d87-a7c6-cdf2259f0443}</x14:id>
        </ext>
      </extLst>
    </cfRule>
  </conditionalFormatting>
  <conditionalFormatting sqref="I113:I1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{db2a9ed1-631a-4a53-8be7-1127ccb0fbec}</x14:id>
        </ext>
      </extLst>
    </cfRule>
  </conditionalFormatting>
  <conditionalFormatting sqref="I129:I136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{1d60559d-5d22-4ad3-b51e-13e781943e27}</x14:id>
        </ext>
      </extLst>
    </cfRule>
  </conditionalFormatting>
  <conditionalFormatting sqref="I140:I149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{a369ef77-93ac-405d-a274-d1f58af6e191}</x14:id>
        </ext>
      </extLst>
    </cfRule>
  </conditionalFormatting>
  <conditionalFormatting sqref="I153:I162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{c258834d-1594-47fc-b7b9-32559b18355d}</x14:id>
        </ext>
      </extLst>
    </cfRule>
  </conditionalFormatting>
  <conditionalFormatting sqref="M32:M34">
    <cfRule type="dataBar" priority="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{05c0a453-b281-4a1e-9ad2-2d847c5e1008}</x14:id>
        </ext>
      </extLst>
    </cfRule>
  </conditionalFormatting>
  <conditionalFormatting sqref="M53:M61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{9ffec3ad-601b-4dbd-94a0-e3b88d1efeec}</x14:id>
        </ext>
      </extLst>
    </cfRule>
  </conditionalFormatting>
  <conditionalFormatting sqref="M67:M71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{ac19509e-2f81-4d0c-9622-39f4e3d20e4b}</x14:id>
        </ext>
      </extLst>
    </cfRule>
  </conditionalFormatting>
  <conditionalFormatting sqref="M79:M83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{db0cc01e-90f5-491f-92ec-db981384a6f3}</x14:id>
        </ext>
      </extLst>
    </cfRule>
  </conditionalFormatting>
  <conditionalFormatting sqref="M89:M94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{a3f75e09-ef2a-409f-a765-d53ee778b4fc}</x14:id>
        </ext>
      </extLst>
    </cfRule>
  </conditionalFormatting>
  <conditionalFormatting sqref="M100:M107">
    <cfRule type="dataBar" priority="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{a1c6488c-ab07-480e-a966-b83e3fc835b1}</x14:id>
        </ext>
      </extLst>
    </cfRule>
  </conditionalFormatting>
  <conditionalFormatting sqref="M128:M134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{7dc37284-031f-48e7-9d82-1ea2b1e25fb8}</x14:id>
        </ext>
      </extLst>
    </cfRule>
  </conditionalFormatting>
  <conditionalFormatting sqref="M140:M147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{37d4bc43-e176-4747-874e-74ce26d7eb2f}</x14:id>
        </ext>
      </extLst>
    </cfRule>
  </conditionalFormatting>
  <conditionalFormatting sqref="M153:M160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{6cc096ef-f75b-461e-adba-0c5eda900676}</x14:id>
        </ext>
      </extLst>
    </cfRule>
  </conditionalFormatting>
  <conditionalFormatting sqref="I23:I24 I16"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{9479cc29-c9a9-4603-9d45-e17e14062efd}</x14:id>
        </ext>
      </extLst>
    </cfRule>
  </conditionalFormatting>
  <conditionalFormatting sqref="I35:I36 I28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{33e48e9c-137c-48e3-9f8f-001cc4de6808}</x14:id>
        </ext>
      </extLst>
    </cfRule>
  </conditionalFormatting>
  <conditionalFormatting sqref="I48:I49 I4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{eeca8ba4-8cd1-4d1c-bc79-b1a210a67ee7}</x14:id>
        </ext>
      </extLst>
    </cfRule>
  </conditionalFormatting>
  <conditionalFormatting sqref="M119:M120 M113:M116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{fdc6ce91-4de5-46bb-9f73-6de94f10e9b0}</x14:id>
        </ext>
      </extLst>
    </cfRule>
  </conditionalFormatting>
  <hyperlinks>
    <hyperlink ref="B113" r:id="rId1" display="kiapartsnow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f1f8226-f962-4665-9119-75eebfb6c2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</xm:sqref>
        </x14:conditionalFormatting>
        <x14:conditionalFormatting xmlns:xm="http://schemas.microsoft.com/office/excel/2006/main">
          <x14:cfRule type="dataBar" id="{311194f8-1b2e-406c-9403-1dbc6aa0b8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</xm:sqref>
        </x14:conditionalFormatting>
        <x14:conditionalFormatting xmlns:xm="http://schemas.microsoft.com/office/excel/2006/main">
          <x14:cfRule type="dataBar" id="{f84e7e9b-b7d3-4ed3-bcab-1cfe31fa3e5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</xm:sqref>
        </x14:conditionalFormatting>
        <x14:conditionalFormatting xmlns:xm="http://schemas.microsoft.com/office/excel/2006/main">
          <x14:cfRule type="dataBar" id="{0e013410-ee38-463f-8ab8-0ff86ae5b78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</xm:sqref>
        </x14:conditionalFormatting>
        <x14:conditionalFormatting xmlns:xm="http://schemas.microsoft.com/office/excel/2006/main">
          <x14:cfRule type="dataBar" id="{4be51366-faf8-409f-b206-ef36ed2393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</xm:sqref>
        </x14:conditionalFormatting>
        <x14:conditionalFormatting xmlns:xm="http://schemas.microsoft.com/office/excel/2006/main">
          <x14:cfRule type="dataBar" id="{5b516a7f-d09c-49cb-a575-f4fe65540d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</xm:sqref>
        </x14:conditionalFormatting>
        <x14:conditionalFormatting xmlns:xm="http://schemas.microsoft.com/office/excel/2006/main">
          <x14:cfRule type="dataBar" id="{8d850c55-26fe-4dde-b12b-3cf89f9b12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</xm:sqref>
        </x14:conditionalFormatting>
        <x14:conditionalFormatting xmlns:xm="http://schemas.microsoft.com/office/excel/2006/main">
          <x14:cfRule type="dataBar" id="{c0baed2d-5b62-4ed3-9df3-6b7401a726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</xm:sqref>
        </x14:conditionalFormatting>
        <x14:conditionalFormatting xmlns:xm="http://schemas.microsoft.com/office/excel/2006/main">
          <x14:cfRule type="dataBar" id="{45039e33-5197-4bb5-94cc-214748f29d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</xm:sqref>
        </x14:conditionalFormatting>
        <x14:conditionalFormatting xmlns:xm="http://schemas.microsoft.com/office/excel/2006/main">
          <x14:cfRule type="dataBar" id="{1055e9fa-93c4-4133-85c8-5f544084e4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</xm:sqref>
        </x14:conditionalFormatting>
        <x14:conditionalFormatting xmlns:xm="http://schemas.microsoft.com/office/excel/2006/main">
          <x14:cfRule type="dataBar" id="{9bfb96e4-091c-4a0a-a650-9a39538ce9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</xm:sqref>
        </x14:conditionalFormatting>
        <x14:conditionalFormatting xmlns:xm="http://schemas.microsoft.com/office/excel/2006/main">
          <x14:cfRule type="dataBar" id="{79ee9636-3f9d-4fa2-a16b-e2c06ab8030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</xm:sqref>
        </x14:conditionalFormatting>
        <x14:conditionalFormatting xmlns:xm="http://schemas.microsoft.com/office/excel/2006/main">
          <x14:cfRule type="dataBar" id="{19041a7f-a6b3-421f-942d-a72bb56752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</xm:sqref>
        </x14:conditionalFormatting>
        <x14:conditionalFormatting xmlns:xm="http://schemas.microsoft.com/office/excel/2006/main">
          <x14:cfRule type="dataBar" id="{51ee7dba-ce5a-462d-8cdb-1ed41cbb67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</xm:sqref>
        </x14:conditionalFormatting>
        <x14:conditionalFormatting xmlns:xm="http://schemas.microsoft.com/office/excel/2006/main">
          <x14:cfRule type="dataBar" id="{055fe940-d2cf-451d-aae1-eba5803d9c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</xm:sqref>
        </x14:conditionalFormatting>
        <x14:conditionalFormatting xmlns:xm="http://schemas.microsoft.com/office/excel/2006/main">
          <x14:cfRule type="dataBar" id="{35fd145d-75ff-40f5-aee7-44ce44e177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</xm:sqref>
        </x14:conditionalFormatting>
        <x14:conditionalFormatting xmlns:xm="http://schemas.microsoft.com/office/excel/2006/main">
          <x14:cfRule type="dataBar" id="{9e0f290c-b2d2-4c9e-90c1-855173ac3c5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</xm:sqref>
        </x14:conditionalFormatting>
        <x14:conditionalFormatting xmlns:xm="http://schemas.microsoft.com/office/excel/2006/main">
          <x14:cfRule type="dataBar" id="{42fd8a33-5d95-430d-a4fd-73352a0f4a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M16</xm:sqref>
        </x14:conditionalFormatting>
        <x14:conditionalFormatting xmlns:xm="http://schemas.microsoft.com/office/excel/2006/main">
          <x14:cfRule type="dataBar" id="{f005906a-d158-41cc-aafd-af38807a21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I17</xm:sqref>
        </x14:conditionalFormatting>
        <x14:conditionalFormatting xmlns:xm="http://schemas.microsoft.com/office/excel/2006/main">
          <x14:cfRule type="dataBar" id="{a7dc4c4c-c28f-404c-9b44-785dfd4807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M17</xm:sqref>
        </x14:conditionalFormatting>
        <x14:conditionalFormatting xmlns:xm="http://schemas.microsoft.com/office/excel/2006/main">
          <x14:cfRule type="dataBar" id="{6f821edc-957f-4aab-a97a-5565389ef4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I18</xm:sqref>
        </x14:conditionalFormatting>
        <x14:conditionalFormatting xmlns:xm="http://schemas.microsoft.com/office/excel/2006/main">
          <x14:cfRule type="dataBar" id="{b022b75a-3832-4751-9287-34419a42e5c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M18</xm:sqref>
        </x14:conditionalFormatting>
        <x14:conditionalFormatting xmlns:xm="http://schemas.microsoft.com/office/excel/2006/main">
          <x14:cfRule type="dataBar" id="{5b4f7999-da9e-4a03-8bae-6d5c119f79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I19</xm:sqref>
        </x14:conditionalFormatting>
        <x14:conditionalFormatting xmlns:xm="http://schemas.microsoft.com/office/excel/2006/main">
          <x14:cfRule type="dataBar" id="{0e13bfd8-beb9-47e7-bb0e-019ac50c8de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M19</xm:sqref>
        </x14:conditionalFormatting>
        <x14:conditionalFormatting xmlns:xm="http://schemas.microsoft.com/office/excel/2006/main">
          <x14:cfRule type="dataBar" id="{0b36da80-1f77-41d4-af5e-c61bd0c56b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I20</xm:sqref>
        </x14:conditionalFormatting>
        <x14:conditionalFormatting xmlns:xm="http://schemas.microsoft.com/office/excel/2006/main">
          <x14:cfRule type="dataBar" id="{f3852507-cab1-47a4-a396-c4a03555b1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M20</xm:sqref>
        </x14:conditionalFormatting>
        <x14:conditionalFormatting xmlns:xm="http://schemas.microsoft.com/office/excel/2006/main">
          <x14:cfRule type="dataBar" id="{589c8ddf-c0be-44bd-bfcc-cf9e93ab54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I21</xm:sqref>
        </x14:conditionalFormatting>
        <x14:conditionalFormatting xmlns:xm="http://schemas.microsoft.com/office/excel/2006/main">
          <x14:cfRule type="dataBar" id="{8dca35d9-60ef-4737-9211-6a2f5c3279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M21</xm:sqref>
        </x14:conditionalFormatting>
        <x14:conditionalFormatting xmlns:xm="http://schemas.microsoft.com/office/excel/2006/main">
          <x14:cfRule type="dataBar" id="{7a963d62-1013-4c71-b405-63af98fc56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I22</xm:sqref>
        </x14:conditionalFormatting>
        <x14:conditionalFormatting xmlns:xm="http://schemas.microsoft.com/office/excel/2006/main">
          <x14:cfRule type="dataBar" id="{5a2d124f-d268-4c7a-9155-706f5003dd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M22</xm:sqref>
        </x14:conditionalFormatting>
        <x14:conditionalFormatting xmlns:xm="http://schemas.microsoft.com/office/excel/2006/main">
          <x14:cfRule type="dataBar" id="{6316f23b-ad37-429e-915b-accdfc26ce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M28</xm:sqref>
        </x14:conditionalFormatting>
        <x14:conditionalFormatting xmlns:xm="http://schemas.microsoft.com/office/excel/2006/main">
          <x14:cfRule type="dataBar" id="{960412a5-59c1-4622-aa36-ea9aac7393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I29</xm:sqref>
        </x14:conditionalFormatting>
        <x14:conditionalFormatting xmlns:xm="http://schemas.microsoft.com/office/excel/2006/main">
          <x14:cfRule type="dataBar" id="{2db7d9d7-fc5c-4a6c-9f6a-e12ddd35dbe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M29</xm:sqref>
        </x14:conditionalFormatting>
        <x14:conditionalFormatting xmlns:xm="http://schemas.microsoft.com/office/excel/2006/main">
          <x14:cfRule type="dataBar" id="{1e04d4cf-05a5-4d1c-b01b-fe8adf5704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I30</xm:sqref>
        </x14:conditionalFormatting>
        <x14:conditionalFormatting xmlns:xm="http://schemas.microsoft.com/office/excel/2006/main">
          <x14:cfRule type="dataBar" id="{59f68631-896e-4c5f-92a2-94d7fef13f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</xm:sqref>
        </x14:conditionalFormatting>
        <x14:conditionalFormatting xmlns:xm="http://schemas.microsoft.com/office/excel/2006/main">
          <x14:cfRule type="dataBar" id="{0d14b94a-8367-43d1-a0cf-c554d22a73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I31</xm:sqref>
        </x14:conditionalFormatting>
        <x14:conditionalFormatting xmlns:xm="http://schemas.microsoft.com/office/excel/2006/main">
          <x14:cfRule type="dataBar" id="{d0a1c7ec-e8d1-4e2e-874f-b328c2175cf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M31</xm:sqref>
        </x14:conditionalFormatting>
        <x14:conditionalFormatting xmlns:xm="http://schemas.microsoft.com/office/excel/2006/main">
          <x14:cfRule type="dataBar" id="{dc2aa475-cfb4-482d-af3b-77689ddf5f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M40</xm:sqref>
        </x14:conditionalFormatting>
        <x14:conditionalFormatting xmlns:xm="http://schemas.microsoft.com/office/excel/2006/main">
          <x14:cfRule type="dataBar" id="{2e1b043b-2ae8-45aa-9184-b75a203501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I41</xm:sqref>
        </x14:conditionalFormatting>
        <x14:conditionalFormatting xmlns:xm="http://schemas.microsoft.com/office/excel/2006/main">
          <x14:cfRule type="dataBar" id="{7b610357-743f-4a27-a852-6221a59177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M41</xm:sqref>
        </x14:conditionalFormatting>
        <x14:conditionalFormatting xmlns:xm="http://schemas.microsoft.com/office/excel/2006/main">
          <x14:cfRule type="dataBar" id="{b9fd77ce-f1d2-4b15-a23b-d61d4f7137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I42</xm:sqref>
        </x14:conditionalFormatting>
        <x14:conditionalFormatting xmlns:xm="http://schemas.microsoft.com/office/excel/2006/main">
          <x14:cfRule type="dataBar" id="{221c538a-3a00-42bc-b136-fcb0f99cea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M42</xm:sqref>
        </x14:conditionalFormatting>
        <x14:conditionalFormatting xmlns:xm="http://schemas.microsoft.com/office/excel/2006/main">
          <x14:cfRule type="dataBar" id="{65eaaea4-94a8-4a68-9f60-cc3ff206e8e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I43</xm:sqref>
        </x14:conditionalFormatting>
        <x14:conditionalFormatting xmlns:xm="http://schemas.microsoft.com/office/excel/2006/main">
          <x14:cfRule type="dataBar" id="{8b516889-6cd9-40fd-a7b1-94735b3636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M43</xm:sqref>
        </x14:conditionalFormatting>
        <x14:conditionalFormatting xmlns:xm="http://schemas.microsoft.com/office/excel/2006/main">
          <x14:cfRule type="dataBar" id="{660b73ac-a9c4-4763-b4ec-0e058b8642f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I44</xm:sqref>
        </x14:conditionalFormatting>
        <x14:conditionalFormatting xmlns:xm="http://schemas.microsoft.com/office/excel/2006/main">
          <x14:cfRule type="dataBar" id="{458598e6-5215-4358-93d6-ebaeae83fd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M44</xm:sqref>
        </x14:conditionalFormatting>
        <x14:conditionalFormatting xmlns:xm="http://schemas.microsoft.com/office/excel/2006/main">
          <x14:cfRule type="dataBar" id="{97f324b1-01f1-4243-b378-c08abad453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I45</xm:sqref>
        </x14:conditionalFormatting>
        <x14:conditionalFormatting xmlns:xm="http://schemas.microsoft.com/office/excel/2006/main">
          <x14:cfRule type="dataBar" id="{e895a994-2ad5-45ad-ac0b-8125824e8ad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M45</xm:sqref>
        </x14:conditionalFormatting>
        <x14:conditionalFormatting xmlns:xm="http://schemas.microsoft.com/office/excel/2006/main">
          <x14:cfRule type="dataBar" id="{5668b325-2446-4843-8044-9acadf064bf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I46</xm:sqref>
        </x14:conditionalFormatting>
        <x14:conditionalFormatting xmlns:xm="http://schemas.microsoft.com/office/excel/2006/main">
          <x14:cfRule type="dataBar" id="{3ad1786e-d265-43c2-a258-0cf3819232e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M46</xm:sqref>
        </x14:conditionalFormatting>
        <x14:conditionalFormatting xmlns:xm="http://schemas.microsoft.com/office/excel/2006/main">
          <x14:cfRule type="dataBar" id="{237a7979-eeb2-42fa-856d-3bb18a40a44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I47</xm:sqref>
        </x14:conditionalFormatting>
        <x14:conditionalFormatting xmlns:xm="http://schemas.microsoft.com/office/excel/2006/main">
          <x14:cfRule type="dataBar" id="{6fc48df0-a576-435f-8b2d-4344dca351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M47</xm:sqref>
        </x14:conditionalFormatting>
        <x14:conditionalFormatting xmlns:xm="http://schemas.microsoft.com/office/excel/2006/main">
          <x14:cfRule type="dataBar" id="{5605c76a-6a3e-4e2d-9e92-6de6abe676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M72</xm:sqref>
        </x14:conditionalFormatting>
        <x14:conditionalFormatting xmlns:xm="http://schemas.microsoft.com/office/excel/2006/main">
          <x14:cfRule type="dataBar" id="{990c698b-f518-4b02-bd1a-c99cc5f41f6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I11:I12</xm:sqref>
        </x14:conditionalFormatting>
        <x14:conditionalFormatting xmlns:xm="http://schemas.microsoft.com/office/excel/2006/main">
          <x14:cfRule type="dataBar" id="{95b12d1a-f4ea-4140-80f2-ecdf28bb72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I32:I34</xm:sqref>
        </x14:conditionalFormatting>
        <x14:conditionalFormatting xmlns:xm="http://schemas.microsoft.com/office/excel/2006/main">
          <x14:cfRule type="dataBar" id="{b0df6b7a-722c-43c9-8a13-0692e50d0de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I53:I63</xm:sqref>
        </x14:conditionalFormatting>
        <x14:conditionalFormatting xmlns:xm="http://schemas.microsoft.com/office/excel/2006/main">
          <x14:cfRule type="dataBar" id="{15d5e9d5-ebb3-4294-8de7-49accc7eb6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I67:I75</xm:sqref>
        </x14:conditionalFormatting>
        <x14:conditionalFormatting xmlns:xm="http://schemas.microsoft.com/office/excel/2006/main">
          <x14:cfRule type="dataBar" id="{1e1fd1c1-78de-45c6-88bd-0305ba79d1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I79:I85</xm:sqref>
        </x14:conditionalFormatting>
        <x14:conditionalFormatting xmlns:xm="http://schemas.microsoft.com/office/excel/2006/main">
          <x14:cfRule type="dataBar" id="{c2480a5d-0a94-4bbb-876a-b2e7d58a16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I89:I96</xm:sqref>
        </x14:conditionalFormatting>
        <x14:conditionalFormatting xmlns:xm="http://schemas.microsoft.com/office/excel/2006/main">
          <x14:cfRule type="dataBar" id="{6aced29e-6c28-4d87-a7c6-cdf2259f04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I100:I109</xm:sqref>
        </x14:conditionalFormatting>
        <x14:conditionalFormatting xmlns:xm="http://schemas.microsoft.com/office/excel/2006/main">
          <x14:cfRule type="dataBar" id="{db2a9ed1-631a-4a53-8be7-1127ccb0fb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I113:I124</xm:sqref>
        </x14:conditionalFormatting>
        <x14:conditionalFormatting xmlns:xm="http://schemas.microsoft.com/office/excel/2006/main">
          <x14:cfRule type="dataBar" id="{1d60559d-5d22-4ad3-b51e-13e781943e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I129:I136</xm:sqref>
        </x14:conditionalFormatting>
        <x14:conditionalFormatting xmlns:xm="http://schemas.microsoft.com/office/excel/2006/main">
          <x14:cfRule type="dataBar" id="{a369ef77-93ac-405d-a274-d1f58af6e1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I140:I149</xm:sqref>
        </x14:conditionalFormatting>
        <x14:conditionalFormatting xmlns:xm="http://schemas.microsoft.com/office/excel/2006/main">
          <x14:cfRule type="dataBar" id="{c258834d-1594-47fc-b7b9-32559b18355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I153:I162</xm:sqref>
        </x14:conditionalFormatting>
        <x14:conditionalFormatting xmlns:xm="http://schemas.microsoft.com/office/excel/2006/main">
          <x14:cfRule type="dataBar" id="{05c0a453-b281-4a1e-9ad2-2d847c5e10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M32:M34</xm:sqref>
        </x14:conditionalFormatting>
        <x14:conditionalFormatting xmlns:xm="http://schemas.microsoft.com/office/excel/2006/main">
          <x14:cfRule type="dataBar" id="{9ffec3ad-601b-4dbd-94a0-e3b88d1efe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M53:M61</xm:sqref>
        </x14:conditionalFormatting>
        <x14:conditionalFormatting xmlns:xm="http://schemas.microsoft.com/office/excel/2006/main">
          <x14:cfRule type="dataBar" id="{ac19509e-2f81-4d0c-9622-39f4e3d20e4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M67:M71</xm:sqref>
        </x14:conditionalFormatting>
        <x14:conditionalFormatting xmlns:xm="http://schemas.microsoft.com/office/excel/2006/main">
          <x14:cfRule type="dataBar" id="{db0cc01e-90f5-491f-92ec-db981384a6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M79:M83</xm:sqref>
        </x14:conditionalFormatting>
        <x14:conditionalFormatting xmlns:xm="http://schemas.microsoft.com/office/excel/2006/main">
          <x14:cfRule type="dataBar" id="{a3f75e09-ef2a-409f-a765-d53ee778b4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M89:M94</xm:sqref>
        </x14:conditionalFormatting>
        <x14:conditionalFormatting xmlns:xm="http://schemas.microsoft.com/office/excel/2006/main">
          <x14:cfRule type="dataBar" id="{a1c6488c-ab07-480e-a966-b83e3fc835b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M100:M107</xm:sqref>
        </x14:conditionalFormatting>
        <x14:conditionalFormatting xmlns:xm="http://schemas.microsoft.com/office/excel/2006/main">
          <x14:cfRule type="dataBar" id="{7dc37284-031f-48e7-9d82-1ea2b1e25f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M128:M134</xm:sqref>
        </x14:conditionalFormatting>
        <x14:conditionalFormatting xmlns:xm="http://schemas.microsoft.com/office/excel/2006/main">
          <x14:cfRule type="dataBar" id="{37d4bc43-e176-4747-874e-74ce26d7eb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M140:M147</xm:sqref>
        </x14:conditionalFormatting>
        <x14:conditionalFormatting xmlns:xm="http://schemas.microsoft.com/office/excel/2006/main">
          <x14:cfRule type="dataBar" id="{6cc096ef-f75b-461e-adba-0c5eda9006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M153:M160</xm:sqref>
        </x14:conditionalFormatting>
        <x14:conditionalFormatting xmlns:xm="http://schemas.microsoft.com/office/excel/2006/main">
          <x14:cfRule type="dataBar" id="{9479cc29-c9a9-4603-9d45-e17e14062ef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I23:I24 I16</xm:sqref>
        </x14:conditionalFormatting>
        <x14:conditionalFormatting xmlns:xm="http://schemas.microsoft.com/office/excel/2006/main">
          <x14:cfRule type="dataBar" id="{33e48e9c-137c-48e3-9f8f-001cc4de68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I35:I36 I28</xm:sqref>
        </x14:conditionalFormatting>
        <x14:conditionalFormatting xmlns:xm="http://schemas.microsoft.com/office/excel/2006/main">
          <x14:cfRule type="dataBar" id="{eeca8ba4-8cd1-4d1c-bc79-b1a210a67e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I48:I49 I40</xm:sqref>
        </x14:conditionalFormatting>
        <x14:conditionalFormatting xmlns:xm="http://schemas.microsoft.com/office/excel/2006/main">
          <x14:cfRule type="dataBar" id="{fdc6ce91-4de5-46bb-9f73-6de94f10e9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M119:M120 M113:M116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29"/>
  <sheetViews>
    <sheetView workbookViewId="0">
      <selection activeCell="A1" sqref="A1"/>
    </sheetView>
  </sheetViews>
  <sheetFormatPr defaultColWidth="9" defaultRowHeight="15.6"/>
  <cols>
    <col min="1" max="1" width="13.4444444444444" style="408" customWidth="1"/>
    <col min="2" max="2" width="31.6666666666667" style="408" customWidth="1"/>
    <col min="3" max="3" width="11.3333333333333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19.2222222222222" style="413" hidden="1" customWidth="1"/>
    <col min="14" max="14" width="7.33333333333333" style="414" hidden="1" customWidth="1"/>
    <col min="15" max="15" width="16.3333333333333" style="412" hidden="1" customWidth="1"/>
    <col min="16" max="16" width="96.4444444444444" style="504" customWidth="1"/>
    <col min="17" max="17" width="31.6666666666667" style="408" customWidth="1"/>
    <col min="18" max="18" width="14.8888888888889" style="408" customWidth="1"/>
    <col min="19" max="19" width="10.1111111111111" style="408" customWidth="1"/>
    <col min="20" max="20" width="17.1111111111111" style="416" customWidth="1"/>
    <col min="21" max="21" width="16.8888888888889" style="416" customWidth="1"/>
    <col min="22" max="22" width="10.8888888888889" style="408" hidden="1" customWidth="1"/>
    <col min="23" max="23" width="11.1111111111111" style="408" hidden="1" customWidth="1"/>
    <col min="24" max="16384" width="9" style="417"/>
  </cols>
  <sheetData>
    <row r="1" s="408" customFormat="1" ht="17.4" spans="1:23">
      <c r="A1" s="418" t="s">
        <v>145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43"/>
      <c r="N1" s="444"/>
      <c r="O1" s="422"/>
      <c r="P1" s="507"/>
      <c r="Q1" s="465"/>
      <c r="R1" s="424"/>
      <c r="S1" s="421"/>
      <c r="T1" s="466"/>
      <c r="U1" s="467"/>
      <c r="V1" s="467"/>
      <c r="W1" s="467"/>
    </row>
    <row r="2" s="409" customFormat="1" ht="46.8" spans="1:23">
      <c r="A2" s="423" t="s">
        <v>206</v>
      </c>
      <c r="B2" s="424" t="s">
        <v>207</v>
      </c>
      <c r="C2" s="425" t="s">
        <v>447</v>
      </c>
      <c r="D2" s="424" t="s">
        <v>209</v>
      </c>
      <c r="E2" s="426" t="s">
        <v>210</v>
      </c>
      <c r="F2" s="427" t="s">
        <v>385</v>
      </c>
      <c r="G2" s="427" t="s">
        <v>213</v>
      </c>
      <c r="H2" s="427" t="s">
        <v>396</v>
      </c>
      <c r="I2" s="445" t="s">
        <v>386</v>
      </c>
      <c r="J2" s="446" t="s">
        <v>216</v>
      </c>
      <c r="K2" s="446" t="s">
        <v>217</v>
      </c>
      <c r="L2" s="446" t="s">
        <v>387</v>
      </c>
      <c r="M2" s="447" t="s">
        <v>436</v>
      </c>
      <c r="N2" s="448" t="s">
        <v>219</v>
      </c>
      <c r="O2" s="449" t="s">
        <v>220</v>
      </c>
      <c r="P2" s="508" t="s">
        <v>221</v>
      </c>
      <c r="Q2" s="469" t="s">
        <v>222</v>
      </c>
      <c r="R2" s="426" t="s">
        <v>223</v>
      </c>
      <c r="S2" s="470" t="s">
        <v>224</v>
      </c>
      <c r="T2" s="467" t="s">
        <v>225</v>
      </c>
      <c r="U2" s="470" t="s">
        <v>226</v>
      </c>
      <c r="V2" s="467"/>
      <c r="W2" s="467"/>
    </row>
    <row r="3" s="408" customFormat="1" spans="1:23">
      <c r="A3" s="428" t="s">
        <v>230</v>
      </c>
      <c r="B3" s="421" t="s">
        <v>251</v>
      </c>
      <c r="C3" s="429" t="s">
        <v>233</v>
      </c>
      <c r="D3" s="421" t="s">
        <v>417</v>
      </c>
      <c r="E3" s="430"/>
      <c r="F3" s="430">
        <v>530157.583333333</v>
      </c>
      <c r="G3" s="430"/>
      <c r="H3" s="430"/>
      <c r="I3" s="450"/>
      <c r="J3" s="451">
        <v>0.22748044073784</v>
      </c>
      <c r="K3" s="451">
        <v>0.249870932563097</v>
      </c>
      <c r="L3" s="451">
        <v>0.229910805017746</v>
      </c>
      <c r="M3" s="452"/>
      <c r="N3" s="451"/>
      <c r="O3" s="430"/>
      <c r="P3" s="509">
        <f t="array" ref="P3">INDEX(正厂竞争者数据汇总!I:I,MATCH($A$1&amp;B3,正厂竞争者数据汇总!A:A&amp;正厂竞争者数据汇总!D:D,0))</f>
        <v>0</v>
      </c>
      <c r="Q3" s="429" t="s">
        <v>180</v>
      </c>
      <c r="R3" s="421" t="s">
        <v>180</v>
      </c>
      <c r="S3" s="472"/>
      <c r="T3" s="466"/>
      <c r="U3" s="466"/>
      <c r="V3" s="466"/>
      <c r="W3" s="466"/>
    </row>
    <row r="4" s="408" customFormat="1" ht="17.4" spans="1:23">
      <c r="A4" s="428" t="s">
        <v>230</v>
      </c>
      <c r="B4" s="421" t="s">
        <v>450</v>
      </c>
      <c r="C4" s="429" t="s">
        <v>233</v>
      </c>
      <c r="D4" s="421" t="s">
        <v>60</v>
      </c>
      <c r="E4" s="430"/>
      <c r="F4" s="430">
        <v>441346.666666667</v>
      </c>
      <c r="G4" s="430"/>
      <c r="H4" s="430"/>
      <c r="I4" s="450"/>
      <c r="J4" s="451">
        <v>0.189373381439279</v>
      </c>
      <c r="K4" s="451">
        <v>0.207968739711413</v>
      </c>
      <c r="L4" s="451">
        <v>0.22127584244331</v>
      </c>
      <c r="M4" s="452"/>
      <c r="N4" s="451"/>
      <c r="O4" s="430"/>
      <c r="P4" s="509" t="str">
        <f t="array" ref="P4">INDEX(正厂竞争者数据汇总!I:I,MATCH($A$1&amp;B4,正厂竞争者数据汇总!A:A&amp;正厂竞争者数据汇总!D:D,0))</f>
        <v>原gmpartsonline.net，202305网站导流到autopartspress.net。自2023年7月报告更新，将此竞品更名为autopartsexpress.net</v>
      </c>
      <c r="Q4" s="429" t="s">
        <v>254</v>
      </c>
      <c r="R4" s="421" t="s">
        <v>229</v>
      </c>
      <c r="S4" s="472"/>
      <c r="T4" s="466"/>
      <c r="U4" s="466"/>
      <c r="V4" s="466"/>
      <c r="W4" s="466"/>
    </row>
    <row r="5" s="410" customFormat="1" spans="1:23">
      <c r="A5" s="432" t="s">
        <v>227</v>
      </c>
      <c r="B5" s="435" t="s">
        <v>146</v>
      </c>
      <c r="C5" s="505" t="s">
        <v>441</v>
      </c>
      <c r="D5" s="435" t="s">
        <v>58</v>
      </c>
      <c r="E5" s="436"/>
      <c r="F5" s="436">
        <v>425861</v>
      </c>
      <c r="G5" s="436"/>
      <c r="H5" s="436"/>
      <c r="I5" s="510"/>
      <c r="J5" s="457">
        <v>0.182728779175356</v>
      </c>
      <c r="K5" s="457">
        <v>0.189537325237364</v>
      </c>
      <c r="L5" s="457">
        <v>0.202010059313285</v>
      </c>
      <c r="M5" s="461"/>
      <c r="N5" s="457"/>
      <c r="O5" s="436"/>
      <c r="P5" s="511">
        <f t="array" ref="P5">INDEX(正厂竞争者数据汇总!I:I,MATCH($A$1&amp;B5,正厂竞争者数据汇总!A:A&amp;正厂竞争者数据汇总!D:D,0))</f>
        <v>0</v>
      </c>
      <c r="Q5" s="434"/>
      <c r="R5" s="435"/>
      <c r="S5" s="476"/>
      <c r="T5" s="477"/>
      <c r="U5" s="477"/>
      <c r="V5" s="477"/>
      <c r="W5" s="477"/>
    </row>
    <row r="6" s="408" customFormat="1" spans="1:23">
      <c r="A6" s="428" t="s">
        <v>230</v>
      </c>
      <c r="B6" s="421" t="s">
        <v>252</v>
      </c>
      <c r="C6" s="429" t="s">
        <v>233</v>
      </c>
      <c r="D6" s="421" t="s">
        <v>58</v>
      </c>
      <c r="E6" s="430"/>
      <c r="F6" s="430">
        <v>224887.083333333</v>
      </c>
      <c r="G6" s="430"/>
      <c r="H6" s="430"/>
      <c r="I6" s="450"/>
      <c r="J6" s="451">
        <v>0.0964947299466413</v>
      </c>
      <c r="K6" s="451">
        <v>0.11968243269738</v>
      </c>
      <c r="L6" s="451">
        <v>0.127007683335162</v>
      </c>
      <c r="M6" s="452"/>
      <c r="N6" s="451"/>
      <c r="O6" s="430"/>
      <c r="P6" s="509">
        <f t="array" ref="P6">INDEX(正厂竞争者数据汇总!I:I,MATCH($A$1&amp;B6,正厂竞争者数据汇总!A:A&amp;正厂竞争者数据汇总!D:D,0))</f>
        <v>0</v>
      </c>
      <c r="Q6" s="429" t="s">
        <v>180</v>
      </c>
      <c r="R6" s="421" t="s">
        <v>180</v>
      </c>
      <c r="S6" s="472"/>
      <c r="T6" s="466"/>
      <c r="U6" s="466"/>
      <c r="V6" s="466"/>
      <c r="W6" s="466"/>
    </row>
    <row r="7" s="408" customFormat="1" spans="1:23">
      <c r="A7" s="428" t="s">
        <v>230</v>
      </c>
      <c r="B7" s="421" t="s">
        <v>258</v>
      </c>
      <c r="C7" s="429" t="s">
        <v>233</v>
      </c>
      <c r="D7" s="421" t="s">
        <v>59</v>
      </c>
      <c r="E7" s="430"/>
      <c r="F7" s="430">
        <v>202999.916666667</v>
      </c>
      <c r="G7" s="430"/>
      <c r="H7" s="430"/>
      <c r="I7" s="450"/>
      <c r="J7" s="451">
        <v>0.0871033669324006</v>
      </c>
      <c r="K7" s="451">
        <v>0.0858025079552747</v>
      </c>
      <c r="L7" s="451">
        <v>0.0882085241296484</v>
      </c>
      <c r="M7" s="452"/>
      <c r="N7" s="451"/>
      <c r="O7" s="430"/>
      <c r="P7" s="509">
        <f t="array" ref="P7">INDEX(正厂竞争者数据汇总!I:I,MATCH($A$1&amp;B7,正厂竞争者数据汇总!A:A&amp;正厂竞争者数据汇总!D:D,0))</f>
        <v>0</v>
      </c>
      <c r="Q7" s="429" t="s">
        <v>180</v>
      </c>
      <c r="R7" s="421"/>
      <c r="S7" s="472"/>
      <c r="T7" s="466"/>
      <c r="U7" s="466"/>
      <c r="V7" s="466"/>
      <c r="W7" s="466"/>
    </row>
    <row r="8" s="408" customFormat="1" spans="1:23">
      <c r="A8" s="428" t="s">
        <v>230</v>
      </c>
      <c r="B8" s="421" t="s">
        <v>437</v>
      </c>
      <c r="C8" s="429" t="s">
        <v>233</v>
      </c>
      <c r="D8" s="421" t="s">
        <v>451</v>
      </c>
      <c r="E8" s="430"/>
      <c r="F8" s="430">
        <v>160025.25</v>
      </c>
      <c r="G8" s="430"/>
      <c r="H8" s="430"/>
      <c r="I8" s="450"/>
      <c r="J8" s="451">
        <v>0.0686637625181249</v>
      </c>
      <c r="K8" s="451">
        <v>0.0619102720515177</v>
      </c>
      <c r="L8" s="451">
        <v>0.0524462903509985</v>
      </c>
      <c r="M8" s="452"/>
      <c r="N8" s="451"/>
      <c r="O8" s="430"/>
      <c r="P8" s="509">
        <f t="array" ref="P8">INDEX(正厂竞争者数据汇总!I:I,MATCH($A$1&amp;B8,正厂竞争者数据汇总!A:A&amp;正厂竞争者数据汇总!D:D,0))</f>
        <v>0</v>
      </c>
      <c r="Q8" s="429" t="s">
        <v>180</v>
      </c>
      <c r="R8" s="421" t="s">
        <v>180</v>
      </c>
      <c r="S8" s="472"/>
      <c r="T8" s="466"/>
      <c r="U8" s="466"/>
      <c r="V8" s="466"/>
      <c r="W8" s="466"/>
    </row>
    <row r="9" s="408" customFormat="1" spans="1:23">
      <c r="A9" s="428" t="s">
        <v>230</v>
      </c>
      <c r="B9" s="421" t="s">
        <v>255</v>
      </c>
      <c r="C9" s="429" t="s">
        <v>233</v>
      </c>
      <c r="D9" s="421" t="s">
        <v>419</v>
      </c>
      <c r="E9" s="430"/>
      <c r="F9" s="430">
        <v>148032.04</v>
      </c>
      <c r="G9" s="430"/>
      <c r="H9" s="430"/>
      <c r="I9" s="450"/>
      <c r="J9" s="451">
        <v>0.0635177063596749</v>
      </c>
      <c r="K9" s="451">
        <v>0.0676206834174423</v>
      </c>
      <c r="L9" s="451">
        <v>0.0601767364146226</v>
      </c>
      <c r="M9" s="452"/>
      <c r="N9" s="451"/>
      <c r="O9" s="430"/>
      <c r="P9" s="509" t="str">
        <f t="array" ref="P9">INDEX(正厂竞争者数据汇总!I:I,MATCH($A$1&amp;B9,正厂竞争者数据汇总!A:A&amp;正厂竞争者数据汇总!D:D,0))</f>
        <v>2023年1月，各 Brand 流量折算比例：Acura:0%,Ford:36%,GM:25%,Honda:0%,Hyundai:1%,Infiniti:1%,Kia:4%,Lexus:0%,Mopar:25%,Nissan:5%,Subaru:2%,Toyota:0%，折算比例为0，按照除0外的最低折算比例计</v>
      </c>
      <c r="Q9" s="429" t="s">
        <v>180</v>
      </c>
      <c r="R9" s="421" t="s">
        <v>180</v>
      </c>
      <c r="S9" s="472"/>
      <c r="T9" s="466"/>
      <c r="U9" s="466"/>
      <c r="V9" s="466"/>
      <c r="W9" s="466"/>
    </row>
    <row r="10" s="408" customFormat="1" spans="1:23">
      <c r="A10" s="428" t="s">
        <v>487</v>
      </c>
      <c r="B10" s="421" t="s">
        <v>256</v>
      </c>
      <c r="C10" s="429" t="s">
        <v>441</v>
      </c>
      <c r="D10" s="421" t="s">
        <v>418</v>
      </c>
      <c r="E10" s="430"/>
      <c r="F10" s="430">
        <v>110864.666666667</v>
      </c>
      <c r="G10" s="430"/>
      <c r="H10" s="430"/>
      <c r="I10" s="450"/>
      <c r="J10" s="451">
        <v>0.0475699000229718</v>
      </c>
      <c r="K10" s="451">
        <v>0.0487085117921544</v>
      </c>
      <c r="L10" s="451">
        <v>0.0484307237131196</v>
      </c>
      <c r="M10" s="452"/>
      <c r="N10" s="451"/>
      <c r="O10" s="430"/>
      <c r="P10" s="509">
        <f t="array" ref="P10">INDEX(正厂竞争者数据汇总!I:I,MATCH($A$1&amp;B10,正厂竞争者数据汇总!A:A&amp;正厂竞争者数据汇总!D:D,0))</f>
        <v>0</v>
      </c>
      <c r="Q10" s="429" t="s">
        <v>257</v>
      </c>
      <c r="R10" s="421" t="s">
        <v>229</v>
      </c>
      <c r="S10" s="472"/>
      <c r="T10" s="466"/>
      <c r="U10" s="466"/>
      <c r="V10" s="466"/>
      <c r="W10" s="466"/>
    </row>
    <row r="11" s="408" customFormat="1" spans="1:23">
      <c r="A11" s="428" t="s">
        <v>230</v>
      </c>
      <c r="B11" s="421" t="s">
        <v>490</v>
      </c>
      <c r="C11" s="429" t="s">
        <v>233</v>
      </c>
      <c r="D11" s="421" t="s">
        <v>58</v>
      </c>
      <c r="E11" s="430"/>
      <c r="F11" s="430">
        <v>86389.1666666667</v>
      </c>
      <c r="G11" s="430"/>
      <c r="H11" s="430"/>
      <c r="I11" s="450"/>
      <c r="J11" s="451">
        <v>0.0370679328677112</v>
      </c>
      <c r="K11" s="451">
        <v>0.0360522084995846</v>
      </c>
      <c r="L11" s="451">
        <v>0.029999496081763</v>
      </c>
      <c r="M11" s="452"/>
      <c r="N11" s="451"/>
      <c r="O11" s="430"/>
      <c r="P11" s="509">
        <f t="array" ref="P11">INDEX(正厂竞争者数据汇总!I:I,MATCH($A$1&amp;B11,正厂竞争者数据汇总!A:A&amp;正厂竞争者数据汇总!D:D,0))</f>
        <v>0</v>
      </c>
      <c r="Q11" s="429"/>
      <c r="R11" s="421"/>
      <c r="S11" s="472"/>
      <c r="T11" s="466"/>
      <c r="U11" s="466"/>
      <c r="V11" s="466"/>
      <c r="W11" s="466"/>
    </row>
    <row r="12" s="410" customFormat="1" spans="1:23">
      <c r="A12" s="428"/>
      <c r="B12" s="431"/>
      <c r="C12" s="429"/>
      <c r="D12" s="421"/>
      <c r="E12" s="430"/>
      <c r="F12" s="430"/>
      <c r="G12" s="430"/>
      <c r="H12" s="430"/>
      <c r="I12" s="450"/>
      <c r="J12" s="455"/>
      <c r="K12" s="455"/>
      <c r="L12" s="455"/>
      <c r="M12" s="452"/>
      <c r="N12" s="457"/>
      <c r="O12" s="436"/>
      <c r="P12" s="509"/>
      <c r="Q12" s="434"/>
      <c r="R12" s="435"/>
      <c r="S12" s="473"/>
      <c r="T12" s="477"/>
      <c r="U12" s="466"/>
      <c r="V12" s="435"/>
      <c r="W12" s="435"/>
    </row>
    <row r="13" s="408" customFormat="1" spans="1:23">
      <c r="A13" s="428"/>
      <c r="B13" s="421"/>
      <c r="C13" s="439"/>
      <c r="D13" s="421"/>
      <c r="E13" s="430"/>
      <c r="F13" s="430">
        <v>2330563.37333333</v>
      </c>
      <c r="G13" s="430"/>
      <c r="H13" s="430"/>
      <c r="I13" s="453"/>
      <c r="J13" s="430"/>
      <c r="K13" s="430"/>
      <c r="L13" s="430"/>
      <c r="M13" s="451"/>
      <c r="N13" s="451"/>
      <c r="O13" s="430"/>
      <c r="P13" s="509"/>
      <c r="Q13" s="429"/>
      <c r="R13" s="421"/>
      <c r="S13" s="473"/>
      <c r="T13" s="466"/>
      <c r="U13" s="466"/>
      <c r="V13" s="421"/>
      <c r="W13" s="421"/>
    </row>
    <row r="14" s="408" customFormat="1" spans="1:23">
      <c r="A14" s="428"/>
      <c r="B14" s="421"/>
      <c r="C14" s="439"/>
      <c r="D14" s="421"/>
      <c r="E14" s="430"/>
      <c r="F14" s="430"/>
      <c r="G14" s="430"/>
      <c r="H14" s="430"/>
      <c r="I14" s="453"/>
      <c r="J14" s="430"/>
      <c r="K14" s="430"/>
      <c r="L14" s="430"/>
      <c r="M14" s="451"/>
      <c r="N14" s="451"/>
      <c r="O14" s="430"/>
      <c r="P14" s="509"/>
      <c r="Q14" s="429"/>
      <c r="R14" s="421"/>
      <c r="S14" s="473"/>
      <c r="T14" s="466"/>
      <c r="U14" s="466"/>
      <c r="V14" s="421"/>
      <c r="W14" s="421"/>
    </row>
    <row r="15" s="408" customFormat="1" ht="17.4" spans="1:23">
      <c r="A15" s="418" t="s">
        <v>138</v>
      </c>
      <c r="B15" s="419"/>
      <c r="C15" s="420"/>
      <c r="D15" s="421"/>
      <c r="E15" s="422" t="s">
        <v>202</v>
      </c>
      <c r="F15" s="422"/>
      <c r="G15" s="422"/>
      <c r="H15" s="422"/>
      <c r="I15" s="422"/>
      <c r="J15" s="422"/>
      <c r="K15" s="422"/>
      <c r="L15" s="422"/>
      <c r="M15" s="443"/>
      <c r="N15" s="444"/>
      <c r="O15" s="422"/>
      <c r="P15" s="509"/>
      <c r="Q15" s="465"/>
      <c r="R15" s="424"/>
      <c r="S15" s="473"/>
      <c r="T15" s="467"/>
      <c r="U15" s="467"/>
      <c r="V15" s="467"/>
      <c r="W15" s="467"/>
    </row>
    <row r="16" s="409" customFormat="1" ht="46.8" spans="1:23">
      <c r="A16" s="423" t="s">
        <v>206</v>
      </c>
      <c r="B16" s="424" t="s">
        <v>207</v>
      </c>
      <c r="C16" s="425" t="s">
        <v>447</v>
      </c>
      <c r="D16" s="424" t="s">
        <v>209</v>
      </c>
      <c r="E16" s="426" t="s">
        <v>210</v>
      </c>
      <c r="F16" s="427" t="s">
        <v>385</v>
      </c>
      <c r="G16" s="427" t="s">
        <v>213</v>
      </c>
      <c r="H16" s="427" t="s">
        <v>396</v>
      </c>
      <c r="I16" s="427" t="s">
        <v>386</v>
      </c>
      <c r="J16" s="446" t="s">
        <v>216</v>
      </c>
      <c r="K16" s="446" t="s">
        <v>217</v>
      </c>
      <c r="L16" s="446" t="s">
        <v>387</v>
      </c>
      <c r="M16" s="447" t="s">
        <v>436</v>
      </c>
      <c r="N16" s="448" t="s">
        <v>219</v>
      </c>
      <c r="O16" s="449" t="s">
        <v>220</v>
      </c>
      <c r="P16" s="508" t="s">
        <v>221</v>
      </c>
      <c r="Q16" s="469" t="s">
        <v>222</v>
      </c>
      <c r="R16" s="426" t="s">
        <v>223</v>
      </c>
      <c r="S16" s="470" t="s">
        <v>224</v>
      </c>
      <c r="T16" s="467" t="s">
        <v>225</v>
      </c>
      <c r="U16" s="470" t="s">
        <v>226</v>
      </c>
      <c r="V16" s="467"/>
      <c r="W16" s="467"/>
    </row>
    <row r="17" s="410" customFormat="1" ht="17.4" spans="1:23">
      <c r="A17" s="432" t="s">
        <v>227</v>
      </c>
      <c r="B17" s="435" t="s">
        <v>139</v>
      </c>
      <c r="C17" s="434" t="s">
        <v>441</v>
      </c>
      <c r="D17" s="435" t="s">
        <v>49</v>
      </c>
      <c r="E17" s="436">
        <f>VLOOKUP(B17,正厂竞争者数据汇总!D:H,4,FALSE)</f>
        <v>0</v>
      </c>
      <c r="F17" s="436">
        <v>1149583.33333333</v>
      </c>
      <c r="G17" s="436">
        <v>1150833.33333333</v>
      </c>
      <c r="H17" s="436">
        <v>1200750</v>
      </c>
      <c r="I17" s="454">
        <f>(F17/G17)-1</f>
        <v>-0.001086169442433</v>
      </c>
      <c r="J17" s="455">
        <v>0.507611194743587</v>
      </c>
      <c r="K17" s="455">
        <v>0.54213648884773</v>
      </c>
      <c r="L17" s="455">
        <v>0.53064290615984</v>
      </c>
      <c r="M17" s="456">
        <f>J17-K17</f>
        <v>-0.0345252941041431</v>
      </c>
      <c r="N17" s="455" t="str">
        <f>IFERROR(O17*0.5/$F$17,"")</f>
        <v/>
      </c>
      <c r="O17" s="436" t="s">
        <v>180</v>
      </c>
      <c r="P17" s="509">
        <f t="array" ref="P17">INDEX(正厂竞争者数据汇总!I:I,MATCH($A$15&amp;B17,正厂竞争者数据汇总!A:A&amp;正厂竞争者数据汇总!D:D,0))</f>
        <v>0</v>
      </c>
      <c r="Q17" s="434" t="s">
        <v>228</v>
      </c>
      <c r="R17" s="435" t="s">
        <v>229</v>
      </c>
      <c r="S17" s="476"/>
      <c r="T17" s="477"/>
      <c r="U17" s="477"/>
      <c r="V17" s="477"/>
      <c r="W17" s="477"/>
    </row>
    <row r="18" s="408" customFormat="1" spans="1:23">
      <c r="A18" s="428" t="s">
        <v>230</v>
      </c>
      <c r="B18" s="421" t="s">
        <v>231</v>
      </c>
      <c r="C18" s="429" t="s">
        <v>441</v>
      </c>
      <c r="D18" s="421" t="s">
        <v>60</v>
      </c>
      <c r="E18" s="430"/>
      <c r="F18" s="430">
        <v>331747.25</v>
      </c>
      <c r="G18" s="430"/>
      <c r="H18" s="430"/>
      <c r="I18" s="450"/>
      <c r="J18" s="451">
        <v>0.146486655679942</v>
      </c>
      <c r="K18" s="451">
        <v>0.160508399189897</v>
      </c>
      <c r="L18" s="451">
        <v>0.163420117085405</v>
      </c>
      <c r="M18" s="452"/>
      <c r="N18" s="451"/>
      <c r="O18" s="430"/>
      <c r="P18" s="509">
        <f t="array" ref="P18">INDEX(正厂竞争者数据汇总!I:I,MATCH($A$15&amp;B18,正厂竞争者数据汇总!A:A&amp;正厂竞争者数据汇总!D:D,0))</f>
        <v>0</v>
      </c>
      <c r="Q18" s="429"/>
      <c r="R18" s="421"/>
      <c r="S18" s="472"/>
      <c r="T18" s="466"/>
      <c r="U18" s="466"/>
      <c r="V18" s="466"/>
      <c r="W18" s="466"/>
    </row>
    <row r="19" s="408" customFormat="1" spans="1:23">
      <c r="A19" s="428" t="s">
        <v>230</v>
      </c>
      <c r="B19" s="421" t="s">
        <v>235</v>
      </c>
      <c r="C19" s="429" t="s">
        <v>441</v>
      </c>
      <c r="D19" s="421" t="s">
        <v>411</v>
      </c>
      <c r="E19" s="430"/>
      <c r="F19" s="430">
        <v>212618.083333333</v>
      </c>
      <c r="G19" s="430"/>
      <c r="H19" s="430"/>
      <c r="I19" s="450"/>
      <c r="J19" s="451">
        <v>0.0938838587647045</v>
      </c>
      <c r="K19" s="451">
        <v>0.0891041950215305</v>
      </c>
      <c r="L19" s="451">
        <v>0.0892088835713708</v>
      </c>
      <c r="M19" s="452"/>
      <c r="N19" s="451"/>
      <c r="O19" s="430"/>
      <c r="P19" s="509" t="str">
        <f t="array" ref="P19">INDEX(正厂竞争者数据汇总!I:I,MATCH($A$15&amp;B19,正厂竞争者数据汇总!A:A&amp;正厂竞争者数据汇总!D:D,0))</f>
        <v>2021年06月新加竞争者</v>
      </c>
      <c r="Q19" s="429"/>
      <c r="R19" s="421"/>
      <c r="S19" s="472"/>
      <c r="T19" s="466"/>
      <c r="U19" s="466"/>
      <c r="V19" s="466"/>
      <c r="W19" s="466"/>
    </row>
    <row r="20" s="408" customFormat="1" spans="1:23">
      <c r="A20" s="428" t="s">
        <v>230</v>
      </c>
      <c r="B20" s="421" t="s">
        <v>236</v>
      </c>
      <c r="C20" s="429" t="s">
        <v>441</v>
      </c>
      <c r="D20" s="421" t="s">
        <v>412</v>
      </c>
      <c r="E20" s="430"/>
      <c r="F20" s="430">
        <v>183964.333333333</v>
      </c>
      <c r="G20" s="430"/>
      <c r="H20" s="430"/>
      <c r="I20" s="450"/>
      <c r="J20" s="451">
        <v>0.0812314795507423</v>
      </c>
      <c r="K20" s="451">
        <v>0.0681062791653534</v>
      </c>
      <c r="L20" s="451">
        <v>0.0672216179699574</v>
      </c>
      <c r="M20" s="452"/>
      <c r="N20" s="451"/>
      <c r="O20" s="430"/>
      <c r="P20" s="509" t="str">
        <f t="array" ref="P20">INDEX(正厂竞争者数据汇总!I:I,MATCH($A$15&amp;B20,正厂竞争者数据汇总!A:A&amp;正厂竞争者数据汇总!D:D,0))</f>
        <v>2022年1月 新加入 CompetitorSites
2022年1月 新加入 MarketingShare</v>
      </c>
      <c r="Q20" s="429"/>
      <c r="R20" s="421"/>
      <c r="S20" s="472"/>
      <c r="T20" s="466"/>
      <c r="U20" s="466"/>
      <c r="V20" s="466"/>
      <c r="W20" s="466"/>
    </row>
    <row r="21" s="408" customFormat="1" spans="1:23">
      <c r="A21" s="428" t="s">
        <v>238</v>
      </c>
      <c r="B21" s="421" t="s">
        <v>239</v>
      </c>
      <c r="C21" s="429" t="s">
        <v>441</v>
      </c>
      <c r="D21" s="421" t="s">
        <v>250</v>
      </c>
      <c r="E21" s="430"/>
      <c r="F21" s="430">
        <v>118440.916666667</v>
      </c>
      <c r="G21" s="430"/>
      <c r="H21" s="430"/>
      <c r="I21" s="450"/>
      <c r="J21" s="451">
        <v>0.052298892539928</v>
      </c>
      <c r="K21" s="451">
        <v>0.0610795072014649</v>
      </c>
      <c r="L21" s="451">
        <v>0.0595539402988616</v>
      </c>
      <c r="M21" s="452"/>
      <c r="N21" s="451"/>
      <c r="O21" s="430"/>
      <c r="P21" s="509" t="str">
        <f t="array" ref="P21">INDEX(正厂竞争者数据汇总!I:I,MATCH($A$15&amp;B21,正厂竞争者数据汇总!A:A&amp;正厂竞争者数据汇总!D:D,0))</f>
        <v>2023年10月，Semrush中仅能获取acura子域名流量</v>
      </c>
      <c r="Q21" s="429"/>
      <c r="R21" s="421"/>
      <c r="S21" s="472"/>
      <c r="T21" s="466"/>
      <c r="U21" s="466"/>
      <c r="V21" s="466"/>
      <c r="W21" s="466"/>
    </row>
    <row r="22" s="408" customFormat="1" spans="1:23">
      <c r="A22" s="428" t="s">
        <v>230</v>
      </c>
      <c r="B22" s="421" t="s">
        <v>491</v>
      </c>
      <c r="C22" s="429" t="s">
        <v>441</v>
      </c>
      <c r="D22" s="421" t="s">
        <v>250</v>
      </c>
      <c r="E22" s="430"/>
      <c r="F22" s="430">
        <v>90848.9166666667</v>
      </c>
      <c r="G22" s="430"/>
      <c r="H22" s="430"/>
      <c r="I22" s="450"/>
      <c r="J22" s="451">
        <v>0.0401153407440324</v>
      </c>
      <c r="K22" s="451">
        <v>0.0343766745481248</v>
      </c>
      <c r="L22" s="451">
        <v>0.034523902205558</v>
      </c>
      <c r="M22" s="452"/>
      <c r="N22" s="451"/>
      <c r="O22" s="430"/>
      <c r="P22" s="509" t="str">
        <f t="array" ref="P22">INDEX(正厂竞争者数据汇总!I:I,MATCH($A$15&amp;B22,正厂竞争者数据汇总!A:A&amp;正厂竞争者数据汇总!D:D,0))</f>
        <v>2022年1月 新加入 CompetitorSites
2022年1月 新加入 MarketingShare</v>
      </c>
      <c r="Q22" s="429"/>
      <c r="R22" s="421"/>
      <c r="S22" s="472"/>
      <c r="T22" s="466"/>
      <c r="U22" s="466"/>
      <c r="V22" s="466"/>
      <c r="W22" s="466"/>
    </row>
    <row r="23" s="408" customFormat="1" spans="1:23">
      <c r="A23" s="428" t="s">
        <v>230</v>
      </c>
      <c r="B23" s="421" t="s">
        <v>237</v>
      </c>
      <c r="C23" s="429" t="s">
        <v>441</v>
      </c>
      <c r="D23" s="421" t="s">
        <v>250</v>
      </c>
      <c r="E23" s="430"/>
      <c r="F23" s="430">
        <v>89424.5</v>
      </c>
      <c r="G23" s="430"/>
      <c r="H23" s="430"/>
      <c r="I23" s="450"/>
      <c r="J23" s="451">
        <v>0.0394863738609768</v>
      </c>
      <c r="K23" s="451">
        <v>0.0446884560259002</v>
      </c>
      <c r="L23" s="451">
        <v>0.0554286327090068</v>
      </c>
      <c r="M23" s="452"/>
      <c r="N23" s="451"/>
      <c r="O23" s="430"/>
      <c r="P23" s="509">
        <f t="array" ref="P23">INDEX(正厂竞争者数据汇总!I:I,MATCH($A$15&amp;B23,正厂竞争者数据汇总!A:A&amp;正厂竞争者数据汇总!D:D,0))</f>
        <v>0</v>
      </c>
      <c r="Q23" s="429"/>
      <c r="R23" s="421"/>
      <c r="S23" s="472"/>
      <c r="T23" s="466"/>
      <c r="U23" s="466"/>
      <c r="V23" s="466"/>
      <c r="W23" s="466"/>
    </row>
    <row r="24" s="408" customFormat="1" spans="1:23">
      <c r="A24" s="428" t="s">
        <v>230</v>
      </c>
      <c r="B24" s="421" t="s">
        <v>232</v>
      </c>
      <c r="C24" s="429" t="s">
        <v>233</v>
      </c>
      <c r="D24" s="421" t="s">
        <v>234</v>
      </c>
      <c r="E24" s="430"/>
      <c r="F24" s="430">
        <v>88065.3</v>
      </c>
      <c r="G24" s="430"/>
      <c r="H24" s="430"/>
      <c r="I24" s="450"/>
      <c r="J24" s="451">
        <v>0.0388862041160876</v>
      </c>
      <c r="K24" s="451"/>
      <c r="L24" s="451"/>
      <c r="M24" s="452"/>
      <c r="N24" s="451"/>
      <c r="O24" s="430"/>
      <c r="P24" s="509" t="str">
        <f t="array" ref="P24">INDEX(正厂竞争者数据汇总!I:I,MATCH($A$15&amp;B24,正厂竞争者数据汇总!A:A&amp;正厂竞争者数据汇总!D:D,0))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流量折算比例：Acura:8%,BMW:0%,Ford:20%,GM:5%,Honda:17%,Hyundai:8%,Infiniti:2%,Kia:5%,Lexus:2%,Mopar:9%,Nissan:14%,Subaru:5%,Toyota:6%，折算比例为0的网站按照除0外最低折算比例计。2024年1月因为市场份额超过5%加入MS监控</v>
      </c>
      <c r="Q24" s="429"/>
      <c r="R24" s="421"/>
      <c r="S24" s="472"/>
      <c r="T24" s="466"/>
      <c r="U24" s="466"/>
      <c r="V24" s="466"/>
      <c r="W24" s="466"/>
    </row>
    <row r="25" s="410" customFormat="1" spans="1:23">
      <c r="A25" s="432"/>
      <c r="B25" s="435"/>
      <c r="C25" s="434"/>
      <c r="D25" s="435"/>
      <c r="E25" s="430"/>
      <c r="F25" s="430"/>
      <c r="G25" s="430"/>
      <c r="H25" s="430"/>
      <c r="I25" s="453"/>
      <c r="J25" s="436"/>
      <c r="K25" s="436"/>
      <c r="L25" s="436"/>
      <c r="M25" s="451"/>
      <c r="N25" s="455"/>
      <c r="O25" s="436"/>
      <c r="P25" s="509"/>
      <c r="Q25" s="434"/>
      <c r="R25" s="435"/>
      <c r="S25" s="473"/>
      <c r="T25" s="477"/>
      <c r="U25" s="466"/>
      <c r="V25" s="435"/>
      <c r="W25" s="435"/>
    </row>
    <row r="26" s="408" customFormat="1" spans="1:23">
      <c r="A26" s="428"/>
      <c r="B26" s="421"/>
      <c r="C26" s="439"/>
      <c r="D26" s="421"/>
      <c r="E26" s="430"/>
      <c r="F26" s="430">
        <v>2264692.63333333</v>
      </c>
      <c r="G26" s="430">
        <v>2122774.16666666</v>
      </c>
      <c r="H26" s="430">
        <v>2262821.16666667</v>
      </c>
      <c r="I26" s="453">
        <f>(F26/G26)-1</f>
        <v>0.0668551883168624</v>
      </c>
      <c r="J26" s="451"/>
      <c r="K26" s="451"/>
      <c r="L26" s="451"/>
      <c r="M26" s="451"/>
      <c r="N26" s="451">
        <f>SUM(N17:N18)</f>
        <v>0</v>
      </c>
      <c r="O26" s="451"/>
      <c r="P26" s="509"/>
      <c r="Q26" s="429"/>
      <c r="R26" s="421"/>
      <c r="S26" s="473"/>
      <c r="T26" s="466"/>
      <c r="U26" s="466"/>
      <c r="V26" s="421"/>
      <c r="W26" s="421"/>
    </row>
    <row r="27" s="408" customFormat="1" spans="1:23">
      <c r="A27" s="428"/>
      <c r="B27" s="421"/>
      <c r="C27" s="439"/>
      <c r="D27" s="421"/>
      <c r="E27" s="430"/>
      <c r="F27" s="430"/>
      <c r="G27" s="430"/>
      <c r="H27" s="430"/>
      <c r="I27" s="453"/>
      <c r="J27" s="430"/>
      <c r="K27" s="430"/>
      <c r="L27" s="430"/>
      <c r="M27" s="451"/>
      <c r="N27" s="451"/>
      <c r="O27" s="430"/>
      <c r="P27" s="509"/>
      <c r="Q27" s="429"/>
      <c r="R27" s="421"/>
      <c r="S27" s="473"/>
      <c r="T27" s="466"/>
      <c r="U27" s="466"/>
      <c r="V27" s="421"/>
      <c r="W27" s="421"/>
    </row>
    <row r="28" s="408" customFormat="1" ht="17.4" spans="1:23">
      <c r="A28" s="418" t="s">
        <v>141</v>
      </c>
      <c r="B28" s="441"/>
      <c r="C28" s="420"/>
      <c r="D28" s="421"/>
      <c r="E28" s="422" t="s">
        <v>202</v>
      </c>
      <c r="F28" s="422"/>
      <c r="G28" s="422"/>
      <c r="H28" s="422"/>
      <c r="I28" s="422"/>
      <c r="J28" s="422"/>
      <c r="K28" s="422"/>
      <c r="L28" s="422"/>
      <c r="M28" s="443"/>
      <c r="N28" s="444"/>
      <c r="O28" s="422"/>
      <c r="P28" s="509"/>
      <c r="Q28" s="465"/>
      <c r="R28" s="424"/>
      <c r="S28" s="473"/>
      <c r="T28" s="467"/>
      <c r="U28" s="467"/>
      <c r="V28" s="467"/>
      <c r="W28" s="467"/>
    </row>
    <row r="29" s="409" customFormat="1" ht="46.8" spans="1:23">
      <c r="A29" s="423" t="s">
        <v>206</v>
      </c>
      <c r="B29" s="424" t="s">
        <v>207</v>
      </c>
      <c r="C29" s="425" t="s">
        <v>447</v>
      </c>
      <c r="D29" s="424" t="s">
        <v>209</v>
      </c>
      <c r="E29" s="426" t="s">
        <v>210</v>
      </c>
      <c r="F29" s="427" t="s">
        <v>385</v>
      </c>
      <c r="G29" s="427" t="s">
        <v>213</v>
      </c>
      <c r="H29" s="427" t="s">
        <v>396</v>
      </c>
      <c r="I29" s="427" t="s">
        <v>386</v>
      </c>
      <c r="J29" s="446" t="s">
        <v>216</v>
      </c>
      <c r="K29" s="446" t="s">
        <v>217</v>
      </c>
      <c r="L29" s="446" t="s">
        <v>387</v>
      </c>
      <c r="M29" s="447" t="s">
        <v>436</v>
      </c>
      <c r="N29" s="448" t="s">
        <v>219</v>
      </c>
      <c r="O29" s="449" t="s">
        <v>220</v>
      </c>
      <c r="P29" s="508" t="s">
        <v>221</v>
      </c>
      <c r="Q29" s="469" t="s">
        <v>222</v>
      </c>
      <c r="R29" s="426" t="s">
        <v>223</v>
      </c>
      <c r="S29" s="470" t="s">
        <v>224</v>
      </c>
      <c r="T29" s="467" t="s">
        <v>225</v>
      </c>
      <c r="U29" s="470" t="s">
        <v>226</v>
      </c>
      <c r="V29" s="467"/>
      <c r="W29" s="467"/>
    </row>
    <row r="30" s="410" customFormat="1" ht="17.4" spans="1:23">
      <c r="A30" s="432" t="s">
        <v>227</v>
      </c>
      <c r="B30" s="433" t="s">
        <v>142</v>
      </c>
      <c r="C30" s="434" t="s">
        <v>441</v>
      </c>
      <c r="D30" s="435" t="s">
        <v>49</v>
      </c>
      <c r="E30" s="436">
        <f>VLOOKUP(B30,正厂竞争者数据汇总!D:H,4,FALSE)</f>
        <v>0</v>
      </c>
      <c r="F30" s="436">
        <v>524740.333333333</v>
      </c>
      <c r="G30" s="436">
        <v>506654</v>
      </c>
      <c r="H30" s="436">
        <v>541471.75</v>
      </c>
      <c r="I30" s="454">
        <f>(F30/G30)-1</f>
        <v>0.0356976029663894</v>
      </c>
      <c r="J30" s="455">
        <v>0.352515702409014</v>
      </c>
      <c r="K30" s="455">
        <v>0.344259141423053</v>
      </c>
      <c r="L30" s="455">
        <v>0.358216318392179</v>
      </c>
      <c r="M30" s="456">
        <f>J30-K30</f>
        <v>0.008256560985961</v>
      </c>
      <c r="N30" s="455" t="str">
        <f>IFERROR(O30*0.5/#REF!,"")</f>
        <v/>
      </c>
      <c r="O30" s="436" t="s">
        <v>180</v>
      </c>
      <c r="P30" s="511">
        <f t="array" ref="P30">INDEX(正厂竞争者数据汇总!$I$2:$I$243,MATCH($A$28&amp;$B30,正厂竞争者数据汇总!$A$2:$A$243&amp;正厂竞争者数据汇总!$D$2:$D$243,0))</f>
        <v>0</v>
      </c>
      <c r="Q30" s="434" t="s">
        <v>241</v>
      </c>
      <c r="R30" s="435" t="s">
        <v>229</v>
      </c>
      <c r="S30" s="476"/>
      <c r="T30" s="477"/>
      <c r="U30" s="477"/>
      <c r="V30" s="435"/>
      <c r="W30" s="435"/>
    </row>
    <row r="31" s="408" customFormat="1" spans="1:23">
      <c r="A31" s="428" t="s">
        <v>230</v>
      </c>
      <c r="B31" s="421" t="s">
        <v>242</v>
      </c>
      <c r="C31" s="429" t="s">
        <v>233</v>
      </c>
      <c r="D31" s="421" t="s">
        <v>414</v>
      </c>
      <c r="E31" s="430"/>
      <c r="F31" s="430">
        <v>420339.666666667</v>
      </c>
      <c r="G31" s="430"/>
      <c r="H31" s="430"/>
      <c r="I31" s="450"/>
      <c r="J31" s="512">
        <v>0.282380300184099</v>
      </c>
      <c r="K31" s="451">
        <v>0.296992765050199</v>
      </c>
      <c r="L31" s="451">
        <v>0.287107386098701</v>
      </c>
      <c r="M31" s="452"/>
      <c r="N31" s="451"/>
      <c r="O31" s="430"/>
      <c r="P31" s="509"/>
      <c r="Q31" s="429"/>
      <c r="R31" s="421"/>
      <c r="S31" s="472"/>
      <c r="T31" s="466"/>
      <c r="U31" s="466"/>
      <c r="V31" s="466"/>
      <c r="W31" s="466"/>
    </row>
    <row r="32" s="408" customFormat="1" spans="1:23">
      <c r="A32" s="428" t="s">
        <v>243</v>
      </c>
      <c r="B32" s="421" t="s">
        <v>244</v>
      </c>
      <c r="C32" s="429" t="s">
        <v>454</v>
      </c>
      <c r="D32" s="421" t="s">
        <v>266</v>
      </c>
      <c r="E32" s="430"/>
      <c r="F32" s="430">
        <v>211444.583333333</v>
      </c>
      <c r="G32" s="430"/>
      <c r="H32" s="430"/>
      <c r="I32" s="450"/>
      <c r="J32" s="512">
        <v>0.142046515351398</v>
      </c>
      <c r="K32" s="451">
        <v>0.145253470934615</v>
      </c>
      <c r="L32" s="451">
        <v>0.154813149441222</v>
      </c>
      <c r="M32" s="452"/>
      <c r="N32" s="451"/>
      <c r="O32" s="430"/>
      <c r="P32" s="509"/>
      <c r="Q32" s="429"/>
      <c r="R32" s="421"/>
      <c r="S32" s="472"/>
      <c r="T32" s="466"/>
      <c r="U32" s="466"/>
      <c r="V32" s="466"/>
      <c r="W32" s="466"/>
    </row>
    <row r="33" s="408" customFormat="1" spans="1:23">
      <c r="A33" s="428" t="s">
        <v>230</v>
      </c>
      <c r="B33" s="421" t="s">
        <v>245</v>
      </c>
      <c r="C33" s="429" t="s">
        <v>233</v>
      </c>
      <c r="D33" s="421" t="s">
        <v>415</v>
      </c>
      <c r="E33" s="430"/>
      <c r="F33" s="430">
        <v>166119</v>
      </c>
      <c r="G33" s="430"/>
      <c r="H33" s="430"/>
      <c r="I33" s="450"/>
      <c r="J33" s="512">
        <v>0.111597207701745</v>
      </c>
      <c r="K33" s="451">
        <v>0.0998769999283561</v>
      </c>
      <c r="L33" s="451">
        <v>0.0923973976885076</v>
      </c>
      <c r="M33" s="452"/>
      <c r="N33" s="451"/>
      <c r="O33" s="430"/>
      <c r="P33" s="509"/>
      <c r="Q33" s="429"/>
      <c r="R33" s="421"/>
      <c r="S33" s="472"/>
      <c r="T33" s="466"/>
      <c r="U33" s="466"/>
      <c r="V33" s="466"/>
      <c r="W33" s="466"/>
    </row>
    <row r="34" s="408" customFormat="1" spans="1:23">
      <c r="A34" s="428" t="s">
        <v>230</v>
      </c>
      <c r="B34" s="421" t="s">
        <v>416</v>
      </c>
      <c r="C34" s="429" t="s">
        <v>233</v>
      </c>
      <c r="D34" s="421" t="s">
        <v>291</v>
      </c>
      <c r="E34" s="430"/>
      <c r="F34" s="430">
        <v>165915.166666667</v>
      </c>
      <c r="G34" s="430"/>
      <c r="H34" s="430"/>
      <c r="I34" s="450"/>
      <c r="J34" s="512">
        <v>0.111460274353744</v>
      </c>
      <c r="K34" s="451">
        <v>0.110735419871301</v>
      </c>
      <c r="L34" s="451">
        <v>0.103259228658493</v>
      </c>
      <c r="M34" s="452"/>
      <c r="N34" s="451"/>
      <c r="O34" s="430"/>
      <c r="P34" s="509"/>
      <c r="Q34" s="429"/>
      <c r="R34" s="421"/>
      <c r="S34" s="472"/>
      <c r="T34" s="466"/>
      <c r="U34" s="466"/>
      <c r="V34" s="466"/>
      <c r="W34" s="466"/>
    </row>
    <row r="35" s="410" customFormat="1" spans="1:23">
      <c r="A35" s="428"/>
      <c r="B35" s="438"/>
      <c r="C35" s="429"/>
      <c r="D35" s="421"/>
      <c r="E35" s="430"/>
      <c r="F35" s="430"/>
      <c r="G35" s="430"/>
      <c r="H35" s="430"/>
      <c r="I35" s="453"/>
      <c r="J35" s="463"/>
      <c r="K35" s="463"/>
      <c r="L35" s="463"/>
      <c r="M35" s="451"/>
      <c r="N35" s="459"/>
      <c r="O35" s="430"/>
      <c r="P35" s="509"/>
      <c r="Q35" s="429"/>
      <c r="R35" s="435"/>
      <c r="S35" s="473"/>
      <c r="T35" s="466"/>
      <c r="U35" s="466"/>
      <c r="V35" s="421"/>
      <c r="W35" s="421"/>
    </row>
    <row r="36" s="408" customFormat="1" spans="1:23">
      <c r="A36" s="428"/>
      <c r="B36" s="421"/>
      <c r="C36" s="439"/>
      <c r="D36" s="421"/>
      <c r="E36" s="430"/>
      <c r="F36" s="430">
        <v>1488558.75</v>
      </c>
      <c r="G36" s="430">
        <v>1471722.72</v>
      </c>
      <c r="H36" s="430">
        <v>1511577.56416667</v>
      </c>
      <c r="I36" s="453">
        <f>(F36/G36)-1</f>
        <v>0.0114396752670911</v>
      </c>
      <c r="J36" s="430"/>
      <c r="K36" s="513"/>
      <c r="L36" s="430"/>
      <c r="M36" s="451"/>
      <c r="N36" s="459"/>
      <c r="O36" s="430"/>
      <c r="P36" s="509"/>
      <c r="Q36" s="429" t="s">
        <v>180</v>
      </c>
      <c r="R36" s="421"/>
      <c r="S36" s="473"/>
      <c r="T36" s="466"/>
      <c r="U36" s="466"/>
      <c r="V36" s="421"/>
      <c r="W36" s="421"/>
    </row>
    <row r="37" s="408" customFormat="1" spans="1:23">
      <c r="A37" s="428"/>
      <c r="B37" s="421"/>
      <c r="C37" s="439"/>
      <c r="D37" s="421"/>
      <c r="E37" s="430"/>
      <c r="F37" s="430"/>
      <c r="G37" s="430"/>
      <c r="H37" s="430"/>
      <c r="I37" s="453"/>
      <c r="J37" s="430"/>
      <c r="K37" s="430"/>
      <c r="L37" s="430"/>
      <c r="M37" s="451"/>
      <c r="N37" s="451"/>
      <c r="O37" s="430"/>
      <c r="P37" s="509"/>
      <c r="Q37" s="429"/>
      <c r="R37" s="421"/>
      <c r="S37" s="473"/>
      <c r="T37" s="466"/>
      <c r="U37" s="466"/>
      <c r="V37" s="421"/>
      <c r="W37" s="421"/>
    </row>
    <row r="38" s="408" customFormat="1" ht="17.4" spans="1:23">
      <c r="A38" s="418" t="s">
        <v>149</v>
      </c>
      <c r="B38" s="419"/>
      <c r="C38" s="420"/>
      <c r="D38" s="421"/>
      <c r="E38" s="422" t="s">
        <v>202</v>
      </c>
      <c r="F38" s="422"/>
      <c r="G38" s="422"/>
      <c r="H38" s="422"/>
      <c r="I38" s="422"/>
      <c r="J38" s="422"/>
      <c r="K38" s="422"/>
      <c r="L38" s="422"/>
      <c r="M38" s="443"/>
      <c r="N38" s="444"/>
      <c r="O38" s="422"/>
      <c r="P38" s="509"/>
      <c r="Q38" s="465"/>
      <c r="R38" s="424"/>
      <c r="S38" s="473"/>
      <c r="T38" s="467"/>
      <c r="U38" s="467"/>
      <c r="V38" s="467"/>
      <c r="W38" s="467"/>
    </row>
    <row r="39" s="409" customFormat="1" ht="46.8" spans="1:23">
      <c r="A39" s="423" t="s">
        <v>206</v>
      </c>
      <c r="B39" s="424" t="s">
        <v>207</v>
      </c>
      <c r="C39" s="425" t="s">
        <v>447</v>
      </c>
      <c r="D39" s="424" t="s">
        <v>209</v>
      </c>
      <c r="E39" s="426" t="s">
        <v>210</v>
      </c>
      <c r="F39" s="427" t="s">
        <v>385</v>
      </c>
      <c r="G39" s="427" t="s">
        <v>213</v>
      </c>
      <c r="H39" s="427" t="s">
        <v>396</v>
      </c>
      <c r="I39" s="427" t="s">
        <v>386</v>
      </c>
      <c r="J39" s="446" t="s">
        <v>216</v>
      </c>
      <c r="K39" s="446" t="s">
        <v>217</v>
      </c>
      <c r="L39" s="446" t="s">
        <v>387</v>
      </c>
      <c r="M39" s="447" t="s">
        <v>436</v>
      </c>
      <c r="N39" s="448" t="s">
        <v>219</v>
      </c>
      <c r="O39" s="449" t="s">
        <v>220</v>
      </c>
      <c r="P39" s="508" t="s">
        <v>221</v>
      </c>
      <c r="Q39" s="469" t="s">
        <v>222</v>
      </c>
      <c r="R39" s="426" t="s">
        <v>223</v>
      </c>
      <c r="S39" s="470" t="s">
        <v>224</v>
      </c>
      <c r="T39" s="467" t="s">
        <v>225</v>
      </c>
      <c r="U39" s="470" t="s">
        <v>226</v>
      </c>
      <c r="V39" s="467"/>
      <c r="W39" s="467"/>
    </row>
    <row r="40" s="410" customFormat="1" ht="17.4" spans="1:23">
      <c r="A40" s="432" t="s">
        <v>227</v>
      </c>
      <c r="B40" s="433" t="s">
        <v>150</v>
      </c>
      <c r="C40" s="434" t="s">
        <v>441</v>
      </c>
      <c r="D40" s="435" t="s">
        <v>58</v>
      </c>
      <c r="E40" s="436">
        <f>VLOOKUP(B40,正厂竞争者数据汇总!D:H,4,FALSE)</f>
        <v>0</v>
      </c>
      <c r="F40" s="436">
        <v>500212.916666667</v>
      </c>
      <c r="G40" s="436">
        <v>521458.083333333</v>
      </c>
      <c r="H40" s="436">
        <v>566477.333333333</v>
      </c>
      <c r="I40" s="454">
        <f>(F40/G40)-1</f>
        <v>-0.0407418493368823</v>
      </c>
      <c r="J40" s="455">
        <v>0.308349215171546</v>
      </c>
      <c r="K40" s="455">
        <v>0.355076451443855</v>
      </c>
      <c r="L40" s="455">
        <v>0.372798507457305</v>
      </c>
      <c r="M40" s="456">
        <f>J40-K40</f>
        <v>-0.046727236272309</v>
      </c>
      <c r="N40" s="457" t="str">
        <f>IFERROR(O40*0.5/F$43,"")</f>
        <v/>
      </c>
      <c r="O40" s="436" t="s">
        <v>180</v>
      </c>
      <c r="P40" s="509">
        <f t="array" ref="P40">INDEX(正厂竞争者数据汇总!$I$2:$I$243,MATCH($A$38&amp;$B40,正厂竞争者数据汇总!$A$2:$A$243&amp;正厂竞争者数据汇总!$D$2:$D$243,0))</f>
        <v>0</v>
      </c>
      <c r="Q40" s="434" t="s">
        <v>259</v>
      </c>
      <c r="R40" s="435" t="s">
        <v>229</v>
      </c>
      <c r="S40" s="476"/>
      <c r="T40" s="477"/>
      <c r="U40" s="477"/>
      <c r="V40" s="477"/>
      <c r="W40" s="477"/>
    </row>
    <row r="41" s="410" customFormat="1" spans="1:23">
      <c r="A41" s="428" t="s">
        <v>230</v>
      </c>
      <c r="B41" s="438" t="s">
        <v>260</v>
      </c>
      <c r="C41" s="494" t="s">
        <v>233</v>
      </c>
      <c r="D41" s="431" t="s">
        <v>60</v>
      </c>
      <c r="E41" s="430"/>
      <c r="F41" s="486">
        <v>246491.25</v>
      </c>
      <c r="G41" s="430"/>
      <c r="H41" s="430"/>
      <c r="I41" s="453"/>
      <c r="J41" s="512">
        <v>0.151946063269698</v>
      </c>
      <c r="K41" s="451">
        <v>0.151923823861817</v>
      </c>
      <c r="L41" s="451">
        <v>0.141887151599719</v>
      </c>
      <c r="M41" s="451"/>
      <c r="N41" s="459"/>
      <c r="O41" s="430"/>
      <c r="P41" s="509">
        <f t="array" ref="P41">INDEX(正厂竞争者数据汇总!$I$2:$I$243,MATCH($A$38&amp;$B41,正厂竞争者数据汇总!$A$2:$A$243&amp;正厂竞争者数据汇总!$D$2:$D$243,0))</f>
        <v>0</v>
      </c>
      <c r="Q41" s="429"/>
      <c r="R41" s="435"/>
      <c r="S41" s="473"/>
      <c r="T41" s="466"/>
      <c r="U41" s="466"/>
      <c r="V41" s="421"/>
      <c r="W41" s="421"/>
    </row>
    <row r="42" s="410" customFormat="1" spans="1:23">
      <c r="A42" s="428" t="s">
        <v>230</v>
      </c>
      <c r="B42" s="438" t="s">
        <v>255</v>
      </c>
      <c r="C42" s="494" t="s">
        <v>233</v>
      </c>
      <c r="D42" s="431" t="s">
        <v>419</v>
      </c>
      <c r="E42" s="430"/>
      <c r="F42" s="486">
        <v>225943.64</v>
      </c>
      <c r="G42" s="430"/>
      <c r="H42" s="430"/>
      <c r="I42" s="453"/>
      <c r="J42" s="512">
        <v>0.139279778161804</v>
      </c>
      <c r="K42" s="451">
        <v>0.158317694688341</v>
      </c>
      <c r="L42" s="451">
        <v>0.138543630506144</v>
      </c>
      <c r="M42" s="451"/>
      <c r="N42" s="459"/>
      <c r="O42" s="430"/>
      <c r="P42" s="509" t="str">
        <f t="array" ref="P42">INDEX(正厂竞争者数据汇总!$I$2:$I$243,MATCH($A$38&amp;$B42,正厂竞争者数据汇总!$A$2:$A$243&amp;正厂竞争者数据汇总!$D$2:$D$243,0))</f>
        <v>2023年1月，各 Brand 流量折算比例：Acura:0%,Ford:36%,GM:25%,Honda:0%,Hyundai:1%,Infiniti:1%,Kia:4%,Lexus:0%,Mopar:25%,Nissan:5%,Subaru:2%,Toyota:0%，折算比例为0，按照除0外的最低折算比例计</v>
      </c>
      <c r="Q42" s="429"/>
      <c r="R42" s="435"/>
      <c r="S42" s="473"/>
      <c r="T42" s="466"/>
      <c r="U42" s="466"/>
      <c r="V42" s="421"/>
      <c r="W42" s="421"/>
    </row>
    <row r="43" s="410" customFormat="1" spans="1:23">
      <c r="A43" s="428" t="s">
        <v>243</v>
      </c>
      <c r="B43" s="438" t="s">
        <v>438</v>
      </c>
      <c r="C43" s="494" t="s">
        <v>441</v>
      </c>
      <c r="D43" s="431" t="s">
        <v>455</v>
      </c>
      <c r="E43" s="430"/>
      <c r="F43" s="486">
        <v>156562.166666667</v>
      </c>
      <c r="G43" s="430"/>
      <c r="H43" s="430"/>
      <c r="I43" s="453"/>
      <c r="J43" s="512">
        <v>0.0965105450273561</v>
      </c>
      <c r="K43" s="451">
        <v>0.0461748845337072</v>
      </c>
      <c r="L43" s="451">
        <v>0.0501732942695719</v>
      </c>
      <c r="M43" s="451"/>
      <c r="N43" s="459"/>
      <c r="O43" s="430"/>
      <c r="P43" s="509" t="str">
        <f t="array" ref="P43">INDEX(正厂竞争者数据汇总!$I$2:$I$243,MATCH($A$38&amp;$B43,正厂竞争者数据汇总!$A$2:$A$243&amp;正厂竞争者数据汇总!$D$2:$D$243,0))</f>
        <v>2022年1月 新加入 CompetitorSites
2022年1月 新加入 MarketingShare</v>
      </c>
      <c r="Q43" s="429"/>
      <c r="R43" s="435"/>
      <c r="S43" s="473"/>
      <c r="T43" s="466"/>
      <c r="U43" s="466"/>
      <c r="V43" s="421"/>
      <c r="W43" s="421"/>
    </row>
    <row r="44" s="410" customFormat="1" spans="1:23">
      <c r="A44" s="428" t="s">
        <v>230</v>
      </c>
      <c r="B44" s="438" t="s">
        <v>261</v>
      </c>
      <c r="C44" s="494" t="s">
        <v>233</v>
      </c>
      <c r="D44" s="431" t="s">
        <v>272</v>
      </c>
      <c r="E44" s="430"/>
      <c r="F44" s="486">
        <v>156061.166666667</v>
      </c>
      <c r="G44" s="430"/>
      <c r="H44" s="430"/>
      <c r="I44" s="453"/>
      <c r="J44" s="512">
        <v>0.0962017106257369</v>
      </c>
      <c r="K44" s="451">
        <v>0.107777997232689</v>
      </c>
      <c r="L44" s="451">
        <v>0.106666922272552</v>
      </c>
      <c r="M44" s="451"/>
      <c r="N44" s="459"/>
      <c r="O44" s="430"/>
      <c r="P44" s="509" t="str">
        <f t="array" ref="P44">INDEX(正厂竞争者数据汇总!$I$2:$I$243,MATCH($A$38&amp;$B44,正厂竞争者数据汇总!$A$2:$A$243&amp;正厂竞争者数据汇总!$D$2:$D$243,0))</f>
        <v>2022年1月 新加入 CompetitorSites
2022年1月 新加入 MarketingShare</v>
      </c>
      <c r="Q44" s="429"/>
      <c r="R44" s="435"/>
      <c r="S44" s="473"/>
      <c r="T44" s="466"/>
      <c r="U44" s="466"/>
      <c r="V44" s="421"/>
      <c r="W44" s="421"/>
    </row>
    <row r="45" s="410" customFormat="1" spans="1:23">
      <c r="A45" s="428" t="s">
        <v>230</v>
      </c>
      <c r="B45" s="438" t="s">
        <v>267</v>
      </c>
      <c r="C45" s="494" t="s">
        <v>441</v>
      </c>
      <c r="D45" s="431" t="s">
        <v>58</v>
      </c>
      <c r="E45" s="430"/>
      <c r="F45" s="486">
        <v>141255.5</v>
      </c>
      <c r="G45" s="430"/>
      <c r="H45" s="430"/>
      <c r="I45" s="453"/>
      <c r="J45" s="512">
        <v>0.0870749657044328</v>
      </c>
      <c r="K45" s="451">
        <v>0.081395250986513</v>
      </c>
      <c r="L45" s="451">
        <v>0.0795517927986916</v>
      </c>
      <c r="M45" s="451"/>
      <c r="N45" s="459"/>
      <c r="O45" s="430"/>
      <c r="P45" s="509" t="str">
        <f t="array" ref="P45">INDEX(正厂竞争者数据汇总!$I$2:$I$243,MATCH($A$38&amp;$B45,正厂竞争者数据汇总!$A$2:$A$243&amp;正厂竞争者数据汇总!$D$2:$D$243,0))</f>
        <v>2022年1月 新加入 CompetitorSites</v>
      </c>
      <c r="Q45" s="429"/>
      <c r="R45" s="435"/>
      <c r="S45" s="473"/>
      <c r="T45" s="466"/>
      <c r="U45" s="466"/>
      <c r="V45" s="421"/>
      <c r="W45" s="421"/>
    </row>
    <row r="46" s="410" customFormat="1" spans="1:23">
      <c r="A46" s="428" t="s">
        <v>243</v>
      </c>
      <c r="B46" s="438" t="s">
        <v>262</v>
      </c>
      <c r="C46" s="506" t="s">
        <v>441</v>
      </c>
      <c r="D46" s="431" t="s">
        <v>266</v>
      </c>
      <c r="E46" s="430"/>
      <c r="F46" s="486">
        <v>117149.333333333</v>
      </c>
      <c r="G46" s="430"/>
      <c r="H46" s="430"/>
      <c r="I46" s="453"/>
      <c r="J46" s="512">
        <v>0.0722150584033696</v>
      </c>
      <c r="K46" s="451">
        <v>0.0790999494528635</v>
      </c>
      <c r="L46" s="451">
        <v>0.0781131870693037</v>
      </c>
      <c r="M46" s="451"/>
      <c r="N46" s="459"/>
      <c r="O46" s="430"/>
      <c r="P46" s="509" t="str">
        <f t="array" ref="P46">INDEX(正厂竞争者数据汇总!$I$2:$I$243,MATCH($A$38&amp;$B46,正厂竞争者数据汇总!$A$2:$A$243&amp;正厂竞争者数据汇总!$D$2:$D$243,0))</f>
        <v>变为精确运费</v>
      </c>
      <c r="Q46" s="429"/>
      <c r="R46" s="435"/>
      <c r="S46" s="473"/>
      <c r="T46" s="466"/>
      <c r="U46" s="466"/>
      <c r="V46" s="421"/>
      <c r="W46" s="421"/>
    </row>
    <row r="47" s="410" customFormat="1" spans="1:23">
      <c r="A47" s="428" t="s">
        <v>230</v>
      </c>
      <c r="B47" s="438" t="s">
        <v>482</v>
      </c>
      <c r="C47" s="494" t="s">
        <v>441</v>
      </c>
      <c r="D47" s="431" t="s">
        <v>426</v>
      </c>
      <c r="E47" s="430"/>
      <c r="F47" s="486">
        <v>78552.63</v>
      </c>
      <c r="G47" s="430"/>
      <c r="H47" s="430"/>
      <c r="I47" s="453"/>
      <c r="J47" s="512">
        <v>0.0484226636360567</v>
      </c>
      <c r="K47" s="451"/>
      <c r="L47" s="451"/>
      <c r="M47" s="451"/>
      <c r="N47" s="459"/>
      <c r="O47" s="430"/>
      <c r="P47" s="509" t="str">
        <f t="array" ref="P47">INDEX(正厂竞争者数据汇总!$I$2:$I$243,MATCH($A$38&amp;$B47,正厂竞争者数据汇总!$A$2:$A$243&amp;正厂竞争者数据汇总!$D$2:$D$243,0))</f>
        <v>同时经营多品牌零件，折算比例为：mopar：21%，toyota：6%，</v>
      </c>
      <c r="Q47" s="429"/>
      <c r="R47" s="435"/>
      <c r="S47" s="473"/>
      <c r="T47" s="466"/>
      <c r="U47" s="466"/>
      <c r="V47" s="421"/>
      <c r="W47" s="421"/>
    </row>
    <row r="48" s="410" customFormat="1" spans="1:23">
      <c r="A48" s="428"/>
      <c r="B48" s="431"/>
      <c r="C48" s="429"/>
      <c r="D48" s="421"/>
      <c r="E48" s="430"/>
      <c r="F48" s="430"/>
      <c r="G48" s="430"/>
      <c r="H48" s="430"/>
      <c r="I48" s="453"/>
      <c r="J48" s="451"/>
      <c r="K48" s="451"/>
      <c r="L48" s="451"/>
      <c r="M48" s="451"/>
      <c r="N48" s="455"/>
      <c r="O48" s="436"/>
      <c r="P48" s="509"/>
      <c r="Q48" s="434"/>
      <c r="R48" s="435"/>
      <c r="S48" s="473"/>
      <c r="T48" s="477"/>
      <c r="U48" s="466"/>
      <c r="V48" s="435"/>
      <c r="W48" s="435"/>
    </row>
    <row r="49" s="408" customFormat="1" spans="1:23">
      <c r="A49" s="428"/>
      <c r="B49" s="421"/>
      <c r="C49" s="439"/>
      <c r="D49" s="421"/>
      <c r="E49" s="430"/>
      <c r="F49" s="430">
        <v>1622228.60333333</v>
      </c>
      <c r="G49" s="430">
        <v>1468579.74166667</v>
      </c>
      <c r="H49" s="430">
        <v>1519526.8275</v>
      </c>
      <c r="I49" s="453">
        <f>(F49/G49)-1</f>
        <v>0.104624119009218</v>
      </c>
      <c r="J49" s="512"/>
      <c r="K49" s="430"/>
      <c r="L49" s="430"/>
      <c r="M49" s="451"/>
      <c r="N49" s="451"/>
      <c r="O49" s="430"/>
      <c r="P49" s="509"/>
      <c r="Q49" s="429"/>
      <c r="R49" s="421"/>
      <c r="S49" s="473"/>
      <c r="T49" s="466"/>
      <c r="U49" s="466"/>
      <c r="V49" s="421"/>
      <c r="W49" s="421"/>
    </row>
    <row r="50" s="408" customFormat="1" spans="1:23">
      <c r="A50" s="428"/>
      <c r="B50" s="421"/>
      <c r="C50" s="439"/>
      <c r="D50" s="421"/>
      <c r="E50" s="430"/>
      <c r="F50" s="430"/>
      <c r="G50" s="430"/>
      <c r="H50" s="430"/>
      <c r="I50" s="453"/>
      <c r="J50" s="430"/>
      <c r="K50" s="430"/>
      <c r="L50" s="430"/>
      <c r="M50" s="451"/>
      <c r="N50" s="451"/>
      <c r="O50" s="430"/>
      <c r="P50" s="509"/>
      <c r="Q50" s="429"/>
      <c r="R50" s="421"/>
      <c r="S50" s="473"/>
      <c r="T50" s="466"/>
      <c r="U50" s="466"/>
      <c r="V50" s="421"/>
      <c r="W50" s="421"/>
    </row>
    <row r="51" s="408" customFormat="1" ht="17.4" spans="1:23">
      <c r="A51" s="418" t="s">
        <v>152</v>
      </c>
      <c r="B51" s="419"/>
      <c r="C51" s="420"/>
      <c r="D51" s="421"/>
      <c r="E51" s="422" t="s">
        <v>202</v>
      </c>
      <c r="F51" s="422"/>
      <c r="G51" s="422"/>
      <c r="H51" s="422"/>
      <c r="I51" s="422"/>
      <c r="J51" s="422"/>
      <c r="K51" s="422"/>
      <c r="L51" s="422"/>
      <c r="M51" s="443"/>
      <c r="N51" s="444"/>
      <c r="O51" s="422"/>
      <c r="P51" s="509"/>
      <c r="Q51" s="465"/>
      <c r="R51" s="424"/>
      <c r="S51" s="473"/>
      <c r="T51" s="467"/>
      <c r="U51" s="467"/>
      <c r="V51" s="467"/>
      <c r="W51" s="467"/>
    </row>
    <row r="52" s="409" customFormat="1" ht="46.8" spans="1:23">
      <c r="A52" s="423" t="s">
        <v>206</v>
      </c>
      <c r="B52" s="424" t="s">
        <v>207</v>
      </c>
      <c r="C52" s="425" t="s">
        <v>447</v>
      </c>
      <c r="D52" s="424" t="s">
        <v>209</v>
      </c>
      <c r="E52" s="426" t="s">
        <v>210</v>
      </c>
      <c r="F52" s="427" t="s">
        <v>385</v>
      </c>
      <c r="G52" s="427" t="s">
        <v>213</v>
      </c>
      <c r="H52" s="427" t="s">
        <v>396</v>
      </c>
      <c r="I52" s="427" t="s">
        <v>386</v>
      </c>
      <c r="J52" s="446" t="s">
        <v>216</v>
      </c>
      <c r="K52" s="446" t="s">
        <v>217</v>
      </c>
      <c r="L52" s="446" t="s">
        <v>387</v>
      </c>
      <c r="M52" s="447" t="s">
        <v>436</v>
      </c>
      <c r="N52" s="448" t="s">
        <v>219</v>
      </c>
      <c r="O52" s="449" t="s">
        <v>220</v>
      </c>
      <c r="P52" s="508" t="s">
        <v>221</v>
      </c>
      <c r="Q52" s="469" t="s">
        <v>222</v>
      </c>
      <c r="R52" s="426" t="s">
        <v>223</v>
      </c>
      <c r="S52" s="470" t="s">
        <v>224</v>
      </c>
      <c r="T52" s="467" t="s">
        <v>225</v>
      </c>
      <c r="U52" s="470" t="s">
        <v>226</v>
      </c>
      <c r="V52" s="467"/>
      <c r="W52" s="467"/>
    </row>
    <row r="53" s="410" customFormat="1" ht="17.4" spans="1:23">
      <c r="A53" s="432" t="s">
        <v>227</v>
      </c>
      <c r="B53" s="435" t="s">
        <v>153</v>
      </c>
      <c r="C53" s="434" t="s">
        <v>441</v>
      </c>
      <c r="D53" s="435" t="s">
        <v>49</v>
      </c>
      <c r="E53" s="436">
        <f>VLOOKUP(B53,正厂竞争者数据汇总!D:H,4,FALSE)</f>
        <v>0</v>
      </c>
      <c r="F53" s="436">
        <v>382755.416666667</v>
      </c>
      <c r="G53" s="436">
        <v>436555.583333333</v>
      </c>
      <c r="H53" s="436">
        <v>490593.833333333</v>
      </c>
      <c r="I53" s="454">
        <f>(F53/G53)-1</f>
        <v>-0.123237838938797</v>
      </c>
      <c r="J53" s="457">
        <v>0.26545031168208</v>
      </c>
      <c r="K53" s="457">
        <v>0.343631089029878</v>
      </c>
      <c r="L53" s="457">
        <v>0.389473954597223</v>
      </c>
      <c r="M53" s="456">
        <f>J53-K53</f>
        <v>-0.078180777347798</v>
      </c>
      <c r="N53" s="457" t="str">
        <f>IFERROR(O53*0.5/#REF!,"")</f>
        <v/>
      </c>
      <c r="O53" s="436" t="s">
        <v>180</v>
      </c>
      <c r="P53" s="509">
        <f t="array" ref="P53">INDEX(正厂竞争者数据汇总!$I$2:$I$243,MATCH($A$51&amp;$B53,正厂竞争者数据汇总!$A$2:$A$243&amp;正厂竞争者数据汇总!$D$2:$D$243,0))</f>
        <v>0</v>
      </c>
      <c r="Q53" s="434" t="s">
        <v>268</v>
      </c>
      <c r="R53" s="435" t="s">
        <v>229</v>
      </c>
      <c r="S53" s="476"/>
      <c r="T53" s="477"/>
      <c r="U53" s="477"/>
      <c r="V53" s="477"/>
      <c r="W53" s="477"/>
    </row>
    <row r="54" s="408" customFormat="1" spans="1:23">
      <c r="A54" s="428" t="s">
        <v>230</v>
      </c>
      <c r="B54" s="428" t="s">
        <v>255</v>
      </c>
      <c r="C54" s="429" t="s">
        <v>233</v>
      </c>
      <c r="D54" s="431" t="s">
        <v>419</v>
      </c>
      <c r="E54" s="430"/>
      <c r="F54" s="486">
        <v>249317.12</v>
      </c>
      <c r="G54" s="430"/>
      <c r="H54" s="430"/>
      <c r="I54" s="453"/>
      <c r="J54" s="490">
        <v>0.172907565327323</v>
      </c>
      <c r="K54" s="451">
        <v>0.201944426860393</v>
      </c>
      <c r="L54" s="451">
        <v>0.184417976238084</v>
      </c>
      <c r="M54" s="451"/>
      <c r="N54" s="451"/>
      <c r="O54" s="430"/>
      <c r="P54" s="509" t="str">
        <f t="array" ref="P54">INDEX(正厂竞争者数据汇总!$I$2:$I$243,MATCH($A$51&amp;$B54,正厂竞争者数据汇总!$A$2:$A$243&amp;正厂竞争者数据汇总!$D$2:$D$243,0))</f>
        <v>2023年1月，各 Brand 流量折算比例：Acura:0%,Ford:36%,GM:25%,Honda:0%,Hyundai:1%,Infiniti:1%,Kia:4%,Lexus:0%,Mopar:25%,Nissan:5%,Subaru:2%,Toyota:0%，折算比例为0，按照除0外的最低折算比例计</v>
      </c>
      <c r="Q54" s="429"/>
      <c r="R54" s="421"/>
      <c r="S54" s="473"/>
      <c r="T54" s="466"/>
      <c r="U54" s="466"/>
      <c r="V54" s="421"/>
      <c r="W54" s="421"/>
    </row>
    <row r="55" s="408" customFormat="1" spans="1:23">
      <c r="A55" s="428" t="s">
        <v>243</v>
      </c>
      <c r="B55" s="438" t="s">
        <v>270</v>
      </c>
      <c r="C55" s="429" t="s">
        <v>233</v>
      </c>
      <c r="D55" s="431" t="s">
        <v>266</v>
      </c>
      <c r="E55" s="430"/>
      <c r="F55" s="486">
        <v>226193.5</v>
      </c>
      <c r="G55" s="430"/>
      <c r="H55" s="430"/>
      <c r="I55" s="453"/>
      <c r="J55" s="490">
        <v>0.156870765143869</v>
      </c>
      <c r="K55" s="451">
        <v>0.193169090824122</v>
      </c>
      <c r="L55" s="451">
        <v>0.179168871491164</v>
      </c>
      <c r="M55" s="451"/>
      <c r="N55" s="451"/>
      <c r="O55" s="430"/>
      <c r="P55" s="509">
        <f t="array" ref="P55">INDEX(正厂竞争者数据汇总!$I$2:$I$243,MATCH($A$51&amp;$B55,正厂竞争者数据汇总!$A$2:$A$243&amp;正厂竞争者数据汇总!$D$2:$D$243,0))</f>
        <v>0</v>
      </c>
      <c r="Q55" s="429"/>
      <c r="R55" s="421"/>
      <c r="S55" s="473"/>
      <c r="T55" s="466"/>
      <c r="U55" s="466"/>
      <c r="V55" s="421"/>
      <c r="W55" s="421"/>
    </row>
    <row r="56" s="408" customFormat="1" spans="1:23">
      <c r="A56" s="428" t="s">
        <v>230</v>
      </c>
      <c r="B56" s="431" t="s">
        <v>273</v>
      </c>
      <c r="C56" s="429" t="s">
        <v>233</v>
      </c>
      <c r="D56" s="431" t="s">
        <v>420</v>
      </c>
      <c r="E56" s="430"/>
      <c r="F56" s="486">
        <v>117095.333333333</v>
      </c>
      <c r="G56" s="430"/>
      <c r="H56" s="430"/>
      <c r="I56" s="453"/>
      <c r="J56" s="490">
        <v>0.0812084986296089</v>
      </c>
      <c r="K56" s="451">
        <v>0.0817533861350367</v>
      </c>
      <c r="L56" s="451">
        <v>0.0751637550600934</v>
      </c>
      <c r="M56" s="451"/>
      <c r="N56" s="451"/>
      <c r="O56" s="430"/>
      <c r="P56" s="509">
        <f t="array" ref="P56">INDEX(正厂竞争者数据汇总!$I$2:$I$243,MATCH($A$51&amp;$B56,正厂竞争者数据汇总!$A$2:$A$243&amp;正厂竞争者数据汇总!$D$2:$D$243,0))</f>
        <v>0</v>
      </c>
      <c r="Q56" s="429"/>
      <c r="R56" s="421"/>
      <c r="S56" s="473"/>
      <c r="T56" s="466"/>
      <c r="U56" s="466"/>
      <c r="V56" s="421"/>
      <c r="W56" s="421"/>
    </row>
    <row r="57" s="408" customFormat="1" spans="1:23">
      <c r="A57" s="428" t="s">
        <v>230</v>
      </c>
      <c r="B57" s="431" t="s">
        <v>269</v>
      </c>
      <c r="C57" s="494" t="s">
        <v>233</v>
      </c>
      <c r="D57" s="431" t="s">
        <v>234</v>
      </c>
      <c r="E57" s="430"/>
      <c r="F57" s="486">
        <v>113564.6</v>
      </c>
      <c r="G57" s="430"/>
      <c r="H57" s="430"/>
      <c r="I57" s="453"/>
      <c r="J57" s="490">
        <v>0.0787598480736957</v>
      </c>
      <c r="K57" s="451"/>
      <c r="L57" s="451"/>
      <c r="M57" s="451"/>
      <c r="N57" s="451"/>
      <c r="O57" s="430"/>
      <c r="P57" s="509" t="str">
        <f t="array" ref="P57">INDEX(正厂竞争者数据汇总!$I$2:$I$243,MATCH($A$51&amp;$B57,正厂竞争者数据汇总!$A$2:$A$243&amp;正厂竞争者数据汇总!$D$2:$D$243,0))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57" s="429"/>
      <c r="R57" s="421"/>
      <c r="S57" s="473"/>
      <c r="T57" s="466"/>
      <c r="U57" s="466"/>
      <c r="V57" s="421"/>
      <c r="W57" s="421"/>
    </row>
    <row r="58" s="408" customFormat="1" spans="1:23">
      <c r="A58" s="428" t="s">
        <v>230</v>
      </c>
      <c r="B58" s="438" t="s">
        <v>400</v>
      </c>
      <c r="C58" s="429" t="s">
        <v>233</v>
      </c>
      <c r="D58" s="431" t="s">
        <v>272</v>
      </c>
      <c r="E58" s="430"/>
      <c r="F58" s="486">
        <v>92873.3333333333</v>
      </c>
      <c r="G58" s="430"/>
      <c r="H58" s="430"/>
      <c r="I58" s="453"/>
      <c r="J58" s="490">
        <v>0.0644099448545676</v>
      </c>
      <c r="K58" s="451">
        <v>0.0821373144824755</v>
      </c>
      <c r="L58" s="451">
        <v>0.0729912950650019</v>
      </c>
      <c r="M58" s="451"/>
      <c r="N58" s="451"/>
      <c r="O58" s="430"/>
      <c r="P58" s="509">
        <f t="array" ref="P58">INDEX(正厂竞争者数据汇总!$I$2:$I$243,MATCH($A$51&amp;$B58,正厂竞争者数据汇总!$A$2:$A$243&amp;正厂竞争者数据汇总!$D$2:$D$243,0))</f>
        <v>0</v>
      </c>
      <c r="Q58" s="429"/>
      <c r="R58" s="421"/>
      <c r="S58" s="473"/>
      <c r="T58" s="466"/>
      <c r="U58" s="466"/>
      <c r="V58" s="421"/>
      <c r="W58" s="421"/>
    </row>
    <row r="59" s="408" customFormat="1" spans="1:23">
      <c r="A59" s="428" t="s">
        <v>230</v>
      </c>
      <c r="B59" s="438" t="s">
        <v>292</v>
      </c>
      <c r="C59" s="429" t="s">
        <v>233</v>
      </c>
      <c r="D59" s="431" t="s">
        <v>250</v>
      </c>
      <c r="E59" s="430"/>
      <c r="F59" s="486">
        <v>82297.6658333333</v>
      </c>
      <c r="G59" s="430"/>
      <c r="H59" s="430"/>
      <c r="I59" s="453"/>
      <c r="J59" s="490">
        <v>0.0570754588829011</v>
      </c>
      <c r="K59" s="451">
        <v>0.060913998794027</v>
      </c>
      <c r="L59" s="451">
        <v>0.0602560280027409</v>
      </c>
      <c r="M59" s="451"/>
      <c r="N59" s="451"/>
      <c r="O59" s="430"/>
      <c r="P59" s="509" t="str">
        <f t="array" ref="P59">INDEX(正厂竞争者数据汇总!$I$2:$I$243,MATCH($A$51&amp;$B59,正厂竞争者数据汇总!$A$2:$A$243&amp;正厂竞争者数据汇总!$D$2:$D$243,0))</f>
        <v>同时经营多品牌，流量折算比例为Ford:23%,GM:23%,Infiniti:0%,Kia:13%,Mopar:31%,Nissan:10%</v>
      </c>
      <c r="Q59" s="429"/>
      <c r="R59" s="421"/>
      <c r="S59" s="473"/>
      <c r="T59" s="466"/>
      <c r="U59" s="466"/>
      <c r="V59" s="421"/>
      <c r="W59" s="421"/>
    </row>
    <row r="60" s="408" customFormat="1" spans="1:23">
      <c r="A60" s="428" t="s">
        <v>230</v>
      </c>
      <c r="B60" s="438" t="s">
        <v>459</v>
      </c>
      <c r="C60" s="494" t="s">
        <v>233</v>
      </c>
      <c r="D60" s="431" t="s">
        <v>419</v>
      </c>
      <c r="E60" s="430"/>
      <c r="F60" s="486">
        <v>65701.205</v>
      </c>
      <c r="G60" s="430"/>
      <c r="H60" s="430"/>
      <c r="I60" s="453"/>
      <c r="J60" s="490">
        <v>0.0455654043959009</v>
      </c>
      <c r="K60" s="451"/>
      <c r="L60" s="451"/>
      <c r="M60" s="451"/>
      <c r="N60" s="451"/>
      <c r="O60" s="430"/>
      <c r="P60" s="509" t="str">
        <f t="array" ref="P60">INDEX(正厂竞争者数据汇总!$I$2:$I$243,MATCH($A$51&amp;$B60,正厂竞争者数据汇总!$A$2:$A$243&amp;正厂竞争者数据汇总!$D$2:$D$243,0))</f>
        <v>经营多品牌零件，折算比例为：Ford:33%,GM:17%,Hyundai:0%,Infiniti:0%,Kia:17%,Mopar:33%,Subaru:0%</v>
      </c>
      <c r="Q60" s="429"/>
      <c r="R60" s="421"/>
      <c r="S60" s="473"/>
      <c r="T60" s="466"/>
      <c r="U60" s="466"/>
      <c r="V60" s="421"/>
      <c r="W60" s="421"/>
    </row>
    <row r="61" s="408" customFormat="1" spans="1:23">
      <c r="A61" s="428" t="s">
        <v>230</v>
      </c>
      <c r="B61" s="431" t="s">
        <v>483</v>
      </c>
      <c r="C61" s="494" t="s">
        <v>233</v>
      </c>
      <c r="D61" s="431" t="s">
        <v>423</v>
      </c>
      <c r="E61" s="430"/>
      <c r="F61" s="486">
        <v>58641.5</v>
      </c>
      <c r="G61" s="430"/>
      <c r="H61" s="430"/>
      <c r="I61" s="453"/>
      <c r="J61" s="490">
        <v>0.0406693250433112</v>
      </c>
      <c r="K61" s="451"/>
      <c r="L61" s="451"/>
      <c r="M61" s="451"/>
      <c r="N61" s="451"/>
      <c r="O61" s="430"/>
      <c r="P61" s="509">
        <f t="array" ref="P61">INDEX(正厂竞争者数据汇总!$I$2:$I$243,MATCH($A$51&amp;$B61,正厂竞争者数据汇总!$A$2:$A$243&amp;正厂竞争者数据汇总!$D$2:$D$243,0))</f>
        <v>0</v>
      </c>
      <c r="Q61" s="429"/>
      <c r="R61" s="421"/>
      <c r="S61" s="473"/>
      <c r="T61" s="466"/>
      <c r="U61" s="466"/>
      <c r="V61" s="421"/>
      <c r="W61" s="421"/>
    </row>
    <row r="62" spans="1:23">
      <c r="A62" s="440" t="s">
        <v>230</v>
      </c>
      <c r="B62" s="431" t="s">
        <v>492</v>
      </c>
      <c r="C62" s="494" t="s">
        <v>233</v>
      </c>
      <c r="D62" s="431" t="s">
        <v>451</v>
      </c>
      <c r="E62" s="486"/>
      <c r="F62" s="486">
        <v>53470.1666666667</v>
      </c>
      <c r="G62" s="486"/>
      <c r="H62" s="486"/>
      <c r="I62" s="514"/>
      <c r="J62" s="490">
        <v>0.0370828779667419</v>
      </c>
      <c r="K62" s="451">
        <v>0.0357481699374443</v>
      </c>
      <c r="L62" s="451">
        <v>0.035073737468718</v>
      </c>
      <c r="M62" s="515"/>
      <c r="N62" s="490"/>
      <c r="O62" s="486"/>
      <c r="P62" s="509">
        <f t="array" ref="P62">INDEX(正厂竞争者数据汇总!$I$2:$I$243,MATCH($A$51&amp;$B62,正厂竞争者数据汇总!$A$2:$A$243&amp;正厂竞争者数据汇总!$D$2:$D$243,0))</f>
        <v>0</v>
      </c>
      <c r="Q62" s="494"/>
      <c r="R62" s="431"/>
      <c r="S62" s="473"/>
      <c r="T62" s="495"/>
      <c r="U62" s="495"/>
      <c r="V62" s="431"/>
      <c r="W62" s="431"/>
    </row>
    <row r="63" s="408" customFormat="1" spans="1:23">
      <c r="A63" s="428"/>
      <c r="B63" s="421"/>
      <c r="C63" s="429"/>
      <c r="D63" s="421"/>
      <c r="E63" s="430"/>
      <c r="F63" s="430"/>
      <c r="G63" s="430"/>
      <c r="H63" s="430"/>
      <c r="I63" s="450"/>
      <c r="J63" s="451"/>
      <c r="K63" s="451"/>
      <c r="L63" s="451"/>
      <c r="M63" s="452"/>
      <c r="N63" s="451"/>
      <c r="O63" s="430"/>
      <c r="P63" s="509"/>
      <c r="Q63" s="429"/>
      <c r="R63" s="421"/>
      <c r="S63" s="472"/>
      <c r="T63" s="466"/>
      <c r="U63" s="466"/>
      <c r="V63" s="421"/>
      <c r="W63" s="421"/>
    </row>
    <row r="64" s="408" customFormat="1" spans="1:23">
      <c r="A64" s="428"/>
      <c r="B64" s="421"/>
      <c r="C64" s="439"/>
      <c r="D64" s="421"/>
      <c r="E64" s="430"/>
      <c r="F64" s="430">
        <v>1441909.84083333</v>
      </c>
      <c r="G64" s="430">
        <v>1270419.34583333</v>
      </c>
      <c r="H64" s="430">
        <v>1259631.94083333</v>
      </c>
      <c r="I64" s="453">
        <f>(F64/G64)-1</f>
        <v>0.134987313883756</v>
      </c>
      <c r="J64" s="430"/>
      <c r="K64" s="451">
        <f>K56-J56</f>
        <v>0.000544887505427805</v>
      </c>
      <c r="L64" s="430"/>
      <c r="M64" s="451"/>
      <c r="N64" s="459">
        <f>SUM(N53:N62)</f>
        <v>0</v>
      </c>
      <c r="O64" s="430" t="s">
        <v>180</v>
      </c>
      <c r="P64" s="509"/>
      <c r="Q64" s="429"/>
      <c r="R64" s="421"/>
      <c r="S64" s="473"/>
      <c r="T64" s="466"/>
      <c r="U64" s="466"/>
      <c r="V64" s="421"/>
      <c r="W64" s="421"/>
    </row>
    <row r="65" s="408" customFormat="1" spans="1:23">
      <c r="A65" s="428"/>
      <c r="B65" s="421"/>
      <c r="C65" s="439"/>
      <c r="D65" s="421"/>
      <c r="E65" s="430"/>
      <c r="F65" s="430"/>
      <c r="G65" s="430"/>
      <c r="H65" s="430"/>
      <c r="I65" s="453"/>
      <c r="J65" s="430"/>
      <c r="K65" s="430"/>
      <c r="L65" s="430"/>
      <c r="M65" s="451"/>
      <c r="N65" s="459"/>
      <c r="O65" s="430"/>
      <c r="P65" s="509"/>
      <c r="Q65" s="429"/>
      <c r="R65" s="421"/>
      <c r="S65" s="473"/>
      <c r="T65" s="466"/>
      <c r="U65" s="466"/>
      <c r="V65" s="421"/>
      <c r="W65" s="421"/>
    </row>
    <row r="66" s="408" customFormat="1" ht="17.4" spans="1:23">
      <c r="A66" s="418" t="s">
        <v>159</v>
      </c>
      <c r="B66" s="419"/>
      <c r="C66" s="420"/>
      <c r="D66" s="421"/>
      <c r="E66" s="422" t="s">
        <v>202</v>
      </c>
      <c r="F66" s="422"/>
      <c r="G66" s="422"/>
      <c r="H66" s="422"/>
      <c r="I66" s="422"/>
      <c r="J66" s="422"/>
      <c r="K66" s="422"/>
      <c r="L66" s="422"/>
      <c r="M66" s="443"/>
      <c r="N66" s="444"/>
      <c r="O66" s="422"/>
      <c r="P66" s="509"/>
      <c r="Q66" s="465"/>
      <c r="R66" s="424"/>
      <c r="S66" s="473"/>
      <c r="T66" s="467"/>
      <c r="U66" s="467"/>
      <c r="V66" s="467"/>
      <c r="W66" s="467"/>
    </row>
    <row r="67" s="409" customFormat="1" ht="46.8" spans="1:23">
      <c r="A67" s="423" t="s">
        <v>206</v>
      </c>
      <c r="B67" s="424" t="s">
        <v>207</v>
      </c>
      <c r="C67" s="425" t="s">
        <v>447</v>
      </c>
      <c r="D67" s="424" t="s">
        <v>209</v>
      </c>
      <c r="E67" s="426" t="s">
        <v>210</v>
      </c>
      <c r="F67" s="427" t="s">
        <v>385</v>
      </c>
      <c r="G67" s="427" t="s">
        <v>213</v>
      </c>
      <c r="H67" s="427" t="s">
        <v>396</v>
      </c>
      <c r="I67" s="427" t="s">
        <v>386</v>
      </c>
      <c r="J67" s="446" t="s">
        <v>216</v>
      </c>
      <c r="K67" s="446" t="s">
        <v>217</v>
      </c>
      <c r="L67" s="446" t="s">
        <v>387</v>
      </c>
      <c r="M67" s="447" t="s">
        <v>436</v>
      </c>
      <c r="N67" s="448" t="s">
        <v>219</v>
      </c>
      <c r="O67" s="449" t="s">
        <v>220</v>
      </c>
      <c r="P67" s="508" t="s">
        <v>221</v>
      </c>
      <c r="Q67" s="469" t="s">
        <v>222</v>
      </c>
      <c r="R67" s="426" t="s">
        <v>223</v>
      </c>
      <c r="S67" s="470" t="s">
        <v>224</v>
      </c>
      <c r="T67" s="467" t="s">
        <v>225</v>
      </c>
      <c r="U67" s="470" t="s">
        <v>226</v>
      </c>
      <c r="V67" s="467"/>
      <c r="W67" s="467"/>
    </row>
    <row r="68" s="410" customFormat="1" ht="17.4" spans="1:23">
      <c r="A68" s="432" t="s">
        <v>227</v>
      </c>
      <c r="B68" s="479" t="s">
        <v>160</v>
      </c>
      <c r="C68" s="434" t="s">
        <v>441</v>
      </c>
      <c r="D68" s="435" t="s">
        <v>49</v>
      </c>
      <c r="E68" s="436">
        <f>VLOOKUP(B68,正厂竞争者数据汇总!D:H,4,FALSE)</f>
        <v>0</v>
      </c>
      <c r="F68" s="436">
        <v>397256.916666667</v>
      </c>
      <c r="G68" s="436">
        <v>369856.833333333</v>
      </c>
      <c r="H68" s="436">
        <v>370810.25</v>
      </c>
      <c r="I68" s="454">
        <f>(F68/G68)-1</f>
        <v>0.0740829447069853</v>
      </c>
      <c r="J68" s="455">
        <v>0.489210581269666</v>
      </c>
      <c r="K68" s="455">
        <v>0.547638900515296</v>
      </c>
      <c r="L68" s="455">
        <v>0.564460050660259</v>
      </c>
      <c r="M68" s="456">
        <f>J68-K68</f>
        <v>-0.05842831924563</v>
      </c>
      <c r="N68" s="455" t="str">
        <f>IFERROR(O68*0.5/$F$68,"")</f>
        <v/>
      </c>
      <c r="O68" s="436" t="s">
        <v>180</v>
      </c>
      <c r="P68" s="509">
        <f t="array" ref="P68">INDEX(正厂竞争者数据汇总!$I$2:$I$243,MATCH($A$66&amp;$B68,正厂竞争者数据汇总!$A$2:$A$243&amp;正厂竞争者数据汇总!$D$2:$D$243,0))</f>
        <v>0</v>
      </c>
      <c r="Q68" s="434" t="s">
        <v>280</v>
      </c>
      <c r="R68" s="435" t="s">
        <v>229</v>
      </c>
      <c r="S68" s="476"/>
      <c r="T68" s="477"/>
      <c r="U68" s="477"/>
      <c r="V68" s="435"/>
      <c r="W68" s="435"/>
    </row>
    <row r="69" s="408" customFormat="1" spans="1:23">
      <c r="A69" s="428" t="s">
        <v>230</v>
      </c>
      <c r="B69" s="421" t="s">
        <v>282</v>
      </c>
      <c r="C69" s="494" t="s">
        <v>441</v>
      </c>
      <c r="D69" s="431" t="s">
        <v>250</v>
      </c>
      <c r="E69" s="486"/>
      <c r="F69" s="486">
        <v>117866.083333333</v>
      </c>
      <c r="G69" s="430"/>
      <c r="H69" s="430"/>
      <c r="I69" s="453"/>
      <c r="J69" s="512">
        <v>0.145148725472946</v>
      </c>
      <c r="K69" s="451">
        <v>0.189189197793129</v>
      </c>
      <c r="L69" s="451">
        <v>0.196409694908795</v>
      </c>
      <c r="M69" s="451"/>
      <c r="N69" s="459"/>
      <c r="O69" s="430"/>
      <c r="P69" s="509" t="str">
        <f t="array" ref="P69">INDEX(正厂竞争者数据汇总!$I$2:$I$243,MATCH($A$66&amp;$B69,正厂竞争者数据汇总!$A$2:$A$243&amp;正厂竞争者数据汇总!$D$2:$D$243,0))</f>
        <v>2021年08月新增竞争者</v>
      </c>
      <c r="Q69" s="429"/>
      <c r="R69" s="421"/>
      <c r="S69" s="473"/>
      <c r="T69" s="466"/>
      <c r="U69" s="466"/>
      <c r="V69" s="421"/>
      <c r="W69" s="421"/>
    </row>
    <row r="70" s="408" customFormat="1" spans="1:23">
      <c r="A70" s="428" t="s">
        <v>230</v>
      </c>
      <c r="B70" s="438" t="s">
        <v>255</v>
      </c>
      <c r="C70" s="494" t="s">
        <v>233</v>
      </c>
      <c r="D70" s="431" t="s">
        <v>419</v>
      </c>
      <c r="E70" s="486"/>
      <c r="F70" s="486">
        <v>109076.24</v>
      </c>
      <c r="G70" s="430"/>
      <c r="H70" s="430"/>
      <c r="I70" s="453"/>
      <c r="J70" s="512">
        <v>0.134324283692421</v>
      </c>
      <c r="K70" s="451">
        <v>0.166194891787519</v>
      </c>
      <c r="L70" s="451">
        <v>0.154705749360411</v>
      </c>
      <c r="M70" s="451"/>
      <c r="N70" s="459"/>
      <c r="O70" s="430"/>
      <c r="P70" s="509" t="str">
        <f t="array" ref="P70">INDEX(正厂竞争者数据汇总!$I$2:$I$243,MATCH($A$66&amp;$B70,正厂竞争者数据汇总!$A$2:$A$243&amp;正厂竞争者数据汇总!$D$2:$D$243,0))</f>
        <v>2023年1月，各 Brand 流量折算比例：Acura:0%,Ford:36%,GM:25%,Honda:0%,Hyundai:1%,Infiniti:1%,Kia:4%,Lexus:0%,Mopar:25%,Nissan:5%,Subaru:2%,Toyota:0%，折算比例为0，按照除0外的最低折算比例计</v>
      </c>
      <c r="Q70" s="429"/>
      <c r="R70" s="421"/>
      <c r="S70" s="473"/>
      <c r="T70" s="466"/>
      <c r="U70" s="466"/>
      <c r="V70" s="421"/>
      <c r="W70" s="421"/>
    </row>
    <row r="71" s="408" customFormat="1" spans="1:23">
      <c r="A71" s="428" t="s">
        <v>230</v>
      </c>
      <c r="B71" s="431" t="s">
        <v>283</v>
      </c>
      <c r="C71" s="494" t="s">
        <v>233</v>
      </c>
      <c r="D71" s="431" t="s">
        <v>50</v>
      </c>
      <c r="E71" s="486"/>
      <c r="F71" s="486">
        <v>43832.25</v>
      </c>
      <c r="G71" s="430"/>
      <c r="H71" s="430"/>
      <c r="I71" s="453"/>
      <c r="J71" s="512">
        <v>0.053978167783168</v>
      </c>
      <c r="K71" s="451">
        <v>0.0644519419565413</v>
      </c>
      <c r="L71" s="451">
        <v>0.0514270339430171</v>
      </c>
      <c r="M71" s="451"/>
      <c r="N71" s="459"/>
      <c r="O71" s="430"/>
      <c r="P71" s="509" t="str">
        <f t="array" ref="P71">INDEX(正厂竞争者数据汇总!$I$2:$I$243,MATCH($A$66&amp;$B71,正厂竞争者数据汇总!$A$2:$A$243&amp;正厂竞争者数据汇总!$D$2:$D$243,0))</f>
        <v>2020年10月起加入MarketingShare.2023年8月，因为连续半年市场份额低于5%移除；2024年2月因市场份额大于5%重新加入监控</v>
      </c>
      <c r="Q71" s="429"/>
      <c r="R71" s="421"/>
      <c r="S71" s="473"/>
      <c r="T71" s="466"/>
      <c r="U71" s="466"/>
      <c r="V71" s="421"/>
      <c r="W71" s="421"/>
    </row>
    <row r="72" s="408" customFormat="1" spans="1:23">
      <c r="A72" s="428" t="s">
        <v>230</v>
      </c>
      <c r="B72" s="431" t="s">
        <v>457</v>
      </c>
      <c r="C72" s="494" t="s">
        <v>233</v>
      </c>
      <c r="D72" s="431" t="s">
        <v>58</v>
      </c>
      <c r="E72" s="486"/>
      <c r="F72" s="486">
        <v>42807.9166666667</v>
      </c>
      <c r="G72" s="430"/>
      <c r="H72" s="430"/>
      <c r="I72" s="453"/>
      <c r="J72" s="512">
        <v>0.0527167304503239</v>
      </c>
      <c r="K72" s="451">
        <v>0.0497987816502124</v>
      </c>
      <c r="L72" s="451">
        <v>0.0435460468417144</v>
      </c>
      <c r="M72" s="451"/>
      <c r="N72" s="459"/>
      <c r="O72" s="430"/>
      <c r="P72" s="509">
        <f t="array" ref="P72">INDEX(正厂竞争者数据汇总!$I$2:$I$243,MATCH($A$66&amp;$B72,正厂竞争者数据汇总!$A$2:$A$243&amp;正厂竞争者数据汇总!$D$2:$D$243,0))</f>
        <v>0</v>
      </c>
      <c r="Q72" s="429"/>
      <c r="R72" s="421"/>
      <c r="S72" s="473"/>
      <c r="T72" s="466"/>
      <c r="U72" s="466"/>
      <c r="V72" s="421"/>
      <c r="W72" s="435"/>
    </row>
    <row r="73" s="408" customFormat="1" spans="1:23">
      <c r="A73" s="428" t="s">
        <v>243</v>
      </c>
      <c r="B73" s="431" t="s">
        <v>401</v>
      </c>
      <c r="C73" s="494" t="s">
        <v>233</v>
      </c>
      <c r="D73" s="431" t="s">
        <v>266</v>
      </c>
      <c r="E73" s="486"/>
      <c r="F73" s="486">
        <v>39917</v>
      </c>
      <c r="G73" s="430"/>
      <c r="H73" s="430"/>
      <c r="I73" s="453"/>
      <c r="J73" s="512">
        <v>0.0491566488920993</v>
      </c>
      <c r="K73" s="451"/>
      <c r="L73" s="451"/>
      <c r="M73" s="451"/>
      <c r="N73" s="459"/>
      <c r="O73" s="430"/>
      <c r="P73" s="509" t="str">
        <f t="array" ref="P73">INDEX(正厂竞争者数据汇总!$I$2:$I$243,MATCH($A$66&amp;$B73,正厂竞争者数据汇总!$A$2:$A$243&amp;正厂竞争者数据汇总!$D$2:$D$243,0))</f>
        <v>2023年1月新增</v>
      </c>
      <c r="Q73" s="429"/>
      <c r="R73" s="421"/>
      <c r="S73" s="473"/>
      <c r="T73" s="466"/>
      <c r="U73" s="466"/>
      <c r="V73" s="421"/>
      <c r="W73" s="435"/>
    </row>
    <row r="74" s="408" customFormat="1" spans="1:23">
      <c r="A74" s="428" t="s">
        <v>230</v>
      </c>
      <c r="B74" s="421" t="s">
        <v>281</v>
      </c>
      <c r="C74" s="494" t="s">
        <v>233</v>
      </c>
      <c r="D74" s="431" t="s">
        <v>234</v>
      </c>
      <c r="E74" s="486"/>
      <c r="F74" s="486">
        <v>32934.9</v>
      </c>
      <c r="G74" s="430"/>
      <c r="H74" s="430"/>
      <c r="I74" s="453"/>
      <c r="J74" s="512">
        <v>0.0405583915523812</v>
      </c>
      <c r="K74" s="451"/>
      <c r="L74" s="451"/>
      <c r="M74" s="451"/>
      <c r="N74" s="459"/>
      <c r="O74" s="430"/>
      <c r="P74" s="509" t="str">
        <f t="array" ref="P74">INDEX(正厂竞争者数据汇总!$I$2:$I$243,MATCH($A$66&amp;$B74,正厂竞争者数据汇总!$A$2:$A$243&amp;正厂竞争者数据汇总!$D$2:$D$243,0))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74" s="429"/>
      <c r="R74" s="421"/>
      <c r="S74" s="473"/>
      <c r="T74" s="466"/>
      <c r="U74" s="466"/>
      <c r="V74" s="421"/>
      <c r="W74" s="421"/>
    </row>
    <row r="75" s="408" customFormat="1" spans="1:23">
      <c r="A75" s="428" t="s">
        <v>230</v>
      </c>
      <c r="B75" s="442" t="s">
        <v>493</v>
      </c>
      <c r="C75" s="494" t="s">
        <v>233</v>
      </c>
      <c r="D75" s="431" t="s">
        <v>60</v>
      </c>
      <c r="E75" s="486"/>
      <c r="F75" s="486">
        <v>28345.3333333333</v>
      </c>
      <c r="G75" s="430"/>
      <c r="H75" s="430"/>
      <c r="I75" s="453"/>
      <c r="J75" s="512">
        <v>0.0349064708869951</v>
      </c>
      <c r="K75" s="451">
        <v>0.0325250679475143</v>
      </c>
      <c r="L75" s="451">
        <v>0.0329974711275172</v>
      </c>
      <c r="M75" s="451"/>
      <c r="N75" s="459"/>
      <c r="O75" s="430"/>
      <c r="P75" s="509">
        <f t="array" ref="P75">INDEX(正厂竞争者数据汇总!$I$2:$I$243,MATCH($A$66&amp;$B75,正厂竞争者数据汇总!$A$2:$A$243&amp;正厂竞争者数据汇总!$D$2:$D$243,0))</f>
        <v>0</v>
      </c>
      <c r="Q75" s="429"/>
      <c r="R75" s="421"/>
      <c r="S75" s="473"/>
      <c r="T75" s="466"/>
      <c r="U75" s="466"/>
      <c r="V75" s="421"/>
      <c r="W75" s="421"/>
    </row>
    <row r="76" s="408" customFormat="1" spans="1:23">
      <c r="A76" s="428"/>
      <c r="B76" s="421"/>
      <c r="C76" s="429"/>
      <c r="D76" s="421"/>
      <c r="E76" s="430"/>
      <c r="F76" s="430"/>
      <c r="G76" s="430"/>
      <c r="H76" s="430"/>
      <c r="I76" s="453"/>
      <c r="J76" s="451"/>
      <c r="K76" s="451"/>
      <c r="L76" s="451"/>
      <c r="M76" s="451"/>
      <c r="N76" s="451"/>
      <c r="O76" s="430"/>
      <c r="P76" s="509"/>
      <c r="Q76" s="429"/>
      <c r="R76" s="421"/>
      <c r="S76" s="473"/>
      <c r="T76" s="466"/>
      <c r="U76" s="466"/>
      <c r="V76" s="421"/>
      <c r="W76" s="421"/>
    </row>
    <row r="77" s="408" customFormat="1" spans="1:23">
      <c r="A77" s="428"/>
      <c r="B77" s="421"/>
      <c r="C77" s="429"/>
      <c r="D77" s="421"/>
      <c r="E77" s="430"/>
      <c r="F77" s="430">
        <v>812036.64</v>
      </c>
      <c r="G77" s="430">
        <v>675366.255</v>
      </c>
      <c r="H77" s="430">
        <v>656929.13</v>
      </c>
      <c r="I77" s="453">
        <f>(F77/G77)-1</f>
        <v>0.202364841281565</v>
      </c>
      <c r="J77" s="451"/>
      <c r="K77" s="451"/>
      <c r="L77" s="451"/>
      <c r="M77" s="451"/>
      <c r="N77" s="451">
        <f>SUM(N68:N75)</f>
        <v>0</v>
      </c>
      <c r="O77" s="430"/>
      <c r="P77" s="509"/>
      <c r="Q77" s="429"/>
      <c r="R77" s="421"/>
      <c r="S77" s="473"/>
      <c r="T77" s="466"/>
      <c r="U77" s="466"/>
      <c r="V77" s="421"/>
      <c r="W77" s="421"/>
    </row>
    <row r="78" s="408" customFormat="1" spans="1:23">
      <c r="A78" s="428"/>
      <c r="B78" s="421"/>
      <c r="C78" s="429"/>
      <c r="D78" s="421"/>
      <c r="E78" s="430"/>
      <c r="F78" s="430"/>
      <c r="G78" s="430"/>
      <c r="H78" s="430"/>
      <c r="I78" s="453"/>
      <c r="J78" s="451"/>
      <c r="K78" s="451"/>
      <c r="L78" s="451"/>
      <c r="M78" s="451"/>
      <c r="N78" s="451"/>
      <c r="O78" s="430"/>
      <c r="P78" s="509"/>
      <c r="Q78" s="429"/>
      <c r="R78" s="421"/>
      <c r="S78" s="473"/>
      <c r="T78" s="466"/>
      <c r="U78" s="466"/>
      <c r="V78" s="421"/>
      <c r="W78" s="421"/>
    </row>
    <row r="79" s="408" customFormat="1" ht="17.4" spans="1:23">
      <c r="A79" s="418" t="s">
        <v>274</v>
      </c>
      <c r="B79" s="419"/>
      <c r="C79" s="420"/>
      <c r="D79" s="421"/>
      <c r="E79" s="422" t="s">
        <v>202</v>
      </c>
      <c r="F79" s="422"/>
      <c r="G79" s="422"/>
      <c r="H79" s="422"/>
      <c r="I79" s="422"/>
      <c r="J79" s="422"/>
      <c r="K79" s="422"/>
      <c r="L79" s="422"/>
      <c r="M79" s="443"/>
      <c r="N79" s="444"/>
      <c r="O79" s="422"/>
      <c r="P79" s="509"/>
      <c r="Q79" s="465"/>
      <c r="R79" s="424"/>
      <c r="S79" s="473"/>
      <c r="T79" s="467"/>
      <c r="U79" s="467"/>
      <c r="V79" s="467"/>
      <c r="W79" s="467"/>
    </row>
    <row r="80" s="409" customFormat="1" ht="46.8" spans="1:23">
      <c r="A80" s="423" t="s">
        <v>206</v>
      </c>
      <c r="B80" s="424" t="s">
        <v>207</v>
      </c>
      <c r="C80" s="425" t="s">
        <v>447</v>
      </c>
      <c r="D80" s="424" t="s">
        <v>209</v>
      </c>
      <c r="E80" s="426" t="s">
        <v>210</v>
      </c>
      <c r="F80" s="427" t="s">
        <v>385</v>
      </c>
      <c r="G80" s="427" t="s">
        <v>213</v>
      </c>
      <c r="H80" s="427" t="s">
        <v>396</v>
      </c>
      <c r="I80" s="427" t="s">
        <v>386</v>
      </c>
      <c r="J80" s="446" t="s">
        <v>216</v>
      </c>
      <c r="K80" s="446" t="s">
        <v>217</v>
      </c>
      <c r="L80" s="446" t="s">
        <v>387</v>
      </c>
      <c r="M80" s="447" t="s">
        <v>436</v>
      </c>
      <c r="N80" s="448" t="s">
        <v>219</v>
      </c>
      <c r="O80" s="449" t="s">
        <v>220</v>
      </c>
      <c r="P80" s="508" t="s">
        <v>221</v>
      </c>
      <c r="Q80" s="469" t="s">
        <v>222</v>
      </c>
      <c r="R80" s="426" t="s">
        <v>223</v>
      </c>
      <c r="S80" s="470" t="s">
        <v>224</v>
      </c>
      <c r="T80" s="467" t="s">
        <v>225</v>
      </c>
      <c r="U80" s="470" t="s">
        <v>226</v>
      </c>
      <c r="V80" s="467"/>
      <c r="W80" s="467"/>
    </row>
    <row r="81" s="410" customFormat="1" ht="17.4" spans="1:23">
      <c r="A81" s="432" t="s">
        <v>227</v>
      </c>
      <c r="B81" s="435" t="s">
        <v>157</v>
      </c>
      <c r="C81" s="434" t="s">
        <v>441</v>
      </c>
      <c r="D81" s="435" t="s">
        <v>49</v>
      </c>
      <c r="E81" s="436">
        <f>VLOOKUP(B81,正厂竞争者数据汇总!D:H,4,FALSE)</f>
        <v>0</v>
      </c>
      <c r="F81" s="436">
        <v>253695.75</v>
      </c>
      <c r="G81" s="436">
        <v>278909.416666667</v>
      </c>
      <c r="H81" s="436">
        <v>329867.416666667</v>
      </c>
      <c r="I81" s="454">
        <f>(F81/G81)-1</f>
        <v>-0.0904009157094922</v>
      </c>
      <c r="J81" s="457">
        <v>0.367091785143092</v>
      </c>
      <c r="K81" s="457">
        <v>0.395706607668159</v>
      </c>
      <c r="L81" s="457">
        <v>0.431318061370065</v>
      </c>
      <c r="M81" s="456">
        <f>J81-K81</f>
        <v>-0.028614822525067</v>
      </c>
      <c r="N81" s="457" t="str">
        <f>IFERROR(O81*0.5/$F$81,"")</f>
        <v/>
      </c>
      <c r="O81" s="436" t="s">
        <v>180</v>
      </c>
      <c r="P81" s="509">
        <f t="array" ref="P81">INDEX(正厂竞争者数据汇总!$I$2:$I$243,MATCH($A$79&amp;$B81,正厂竞争者数据汇总!$A$2:$A$243&amp;正厂竞争者数据汇总!$D$2:$D$243,0))</f>
        <v>0</v>
      </c>
      <c r="Q81" s="434" t="s">
        <v>275</v>
      </c>
      <c r="R81" s="435" t="s">
        <v>229</v>
      </c>
      <c r="S81" s="476"/>
      <c r="T81" s="477"/>
      <c r="U81" s="477"/>
      <c r="V81" s="435"/>
      <c r="W81" s="435"/>
    </row>
    <row r="82" s="408" customFormat="1" spans="1:23">
      <c r="A82" s="428" t="s">
        <v>230</v>
      </c>
      <c r="B82" s="431" t="s">
        <v>276</v>
      </c>
      <c r="C82" s="494" t="s">
        <v>233</v>
      </c>
      <c r="D82" s="431" t="s">
        <v>234</v>
      </c>
      <c r="E82" s="486"/>
      <c r="F82" s="486">
        <v>188179.9</v>
      </c>
      <c r="G82" s="486"/>
      <c r="H82" s="486"/>
      <c r="I82" s="518"/>
      <c r="J82" s="490">
        <v>0.272291890656617</v>
      </c>
      <c r="K82" s="451">
        <v>0.22070409231802</v>
      </c>
      <c r="L82" s="451">
        <v>0.154203701651578</v>
      </c>
      <c r="M82" s="451"/>
      <c r="N82" s="457"/>
      <c r="O82" s="430"/>
      <c r="P82" s="509" t="str">
        <f t="array" ref="P82">INDEX(正厂竞争者数据汇总!$I$2:$I$243,MATCH($A$79&amp;$B82,正厂竞争者数据汇总!$A$2:$A$243&amp;正厂竞争者数据汇总!$D$2:$D$243,0))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82" s="429"/>
      <c r="R82" s="435"/>
      <c r="S82" s="473"/>
      <c r="T82" s="466"/>
      <c r="U82" s="466"/>
      <c r="V82" s="421"/>
      <c r="W82" s="421"/>
    </row>
    <row r="83" s="408" customFormat="1" spans="1:23">
      <c r="A83" s="428" t="s">
        <v>230</v>
      </c>
      <c r="B83" s="431" t="s">
        <v>278</v>
      </c>
      <c r="C83" s="494" t="s">
        <v>65</v>
      </c>
      <c r="D83" s="431" t="s">
        <v>59</v>
      </c>
      <c r="E83" s="486"/>
      <c r="F83" s="486">
        <v>103131.5</v>
      </c>
      <c r="G83" s="486"/>
      <c r="H83" s="486"/>
      <c r="I83" s="518"/>
      <c r="J83" s="490">
        <v>0.149228855585814</v>
      </c>
      <c r="K83" s="451">
        <v>0.146201844936911</v>
      </c>
      <c r="L83" s="451">
        <v>0.142178275474801</v>
      </c>
      <c r="M83" s="451"/>
      <c r="N83" s="457"/>
      <c r="O83" s="430"/>
      <c r="P83" s="509" t="str">
        <f t="array" ref="P83">INDEX(正厂竞争者数据汇总!$I$2:$I$243,MATCH($A$79&amp;$B83,正厂竞争者数据汇总!$A$2:$A$243&amp;正厂竞争者数据汇总!$D$2:$D$243,0))</f>
        <v>2020年11月新增竞争者</v>
      </c>
      <c r="Q83" s="429"/>
      <c r="R83" s="435"/>
      <c r="S83" s="473"/>
      <c r="T83" s="466"/>
      <c r="U83" s="466"/>
      <c r="V83" s="474"/>
      <c r="W83" s="474"/>
    </row>
    <row r="84" s="408" customFormat="1" spans="1:23">
      <c r="A84" s="428" t="s">
        <v>391</v>
      </c>
      <c r="B84" s="431" t="s">
        <v>277</v>
      </c>
      <c r="C84" s="506" t="s">
        <v>233</v>
      </c>
      <c r="D84" s="431" t="s">
        <v>266</v>
      </c>
      <c r="E84" s="486"/>
      <c r="F84" s="486">
        <v>100705.583333333</v>
      </c>
      <c r="G84" s="486"/>
      <c r="H84" s="486"/>
      <c r="I84" s="518"/>
      <c r="J84" s="490">
        <v>0.145718611209331</v>
      </c>
      <c r="K84" s="451">
        <v>0.187200337854973</v>
      </c>
      <c r="L84" s="451">
        <v>0.218297611618713</v>
      </c>
      <c r="M84" s="451"/>
      <c r="N84" s="457"/>
      <c r="O84" s="430"/>
      <c r="P84" s="509">
        <f t="array" ref="P84">INDEX(正厂竞争者数据汇总!$I$2:$I$243,MATCH($A$79&amp;$B84,正厂竞争者数据汇总!$A$2:$A$243&amp;正厂竞争者数据汇总!$D$2:$D$243,0))</f>
        <v>0</v>
      </c>
      <c r="Q84" s="429"/>
      <c r="R84" s="435"/>
      <c r="S84" s="473"/>
      <c r="T84" s="466"/>
      <c r="U84" s="466"/>
      <c r="V84" s="421"/>
      <c r="W84" s="421"/>
    </row>
    <row r="85" s="408" customFormat="1" spans="1:23">
      <c r="A85" s="428" t="s">
        <v>230</v>
      </c>
      <c r="B85" s="431" t="s">
        <v>279</v>
      </c>
      <c r="C85" s="494" t="s">
        <v>233</v>
      </c>
      <c r="D85" s="431" t="s">
        <v>234</v>
      </c>
      <c r="E85" s="486"/>
      <c r="F85" s="486">
        <v>45383.5</v>
      </c>
      <c r="G85" s="486"/>
      <c r="H85" s="486"/>
      <c r="I85" s="518"/>
      <c r="J85" s="490">
        <v>0.0656688574051457</v>
      </c>
      <c r="K85" s="451"/>
      <c r="L85" s="457"/>
      <c r="M85" s="451"/>
      <c r="N85" s="457"/>
      <c r="O85" s="430"/>
      <c r="P85" s="509" t="str">
        <f t="array" ref="P85">INDEX(正厂竞争者数据汇总!$I$2:$I$243,MATCH($A$79&amp;$B85,正厂竞争者数据汇总!$A$2:$A$243&amp;正厂竞争者数据汇总!$D$2:$D$243,0))</f>
        <v>同时经营多品牌零件，semrush流量折算比例：Ford:0%, GM:36%, Honda:25%, Hyundai:0%, Infiniti:1%, Kia:1%, Lexus:4%, Mopar:0%, Nissan:25%, Subaru:5%, Toyota:2%</v>
      </c>
      <c r="Q85" s="429"/>
      <c r="R85" s="435"/>
      <c r="S85" s="473"/>
      <c r="T85" s="466"/>
      <c r="U85" s="466"/>
      <c r="V85" s="421"/>
      <c r="W85" s="421"/>
    </row>
    <row r="86" s="408" customFormat="1" spans="1:23">
      <c r="A86" s="428"/>
      <c r="B86" s="431"/>
      <c r="C86" s="429"/>
      <c r="D86" s="421"/>
      <c r="E86" s="430"/>
      <c r="F86" s="430"/>
      <c r="G86" s="430"/>
      <c r="H86" s="430"/>
      <c r="I86" s="453"/>
      <c r="J86" s="451"/>
      <c r="K86" s="451"/>
      <c r="L86" s="451"/>
      <c r="M86" s="451"/>
      <c r="N86" s="451"/>
      <c r="O86" s="430"/>
      <c r="P86" s="509"/>
      <c r="Q86" s="429"/>
      <c r="R86" s="435"/>
      <c r="S86" s="473"/>
      <c r="T86" s="466"/>
      <c r="U86" s="466"/>
      <c r="V86" s="421"/>
      <c r="W86" s="421"/>
    </row>
    <row r="87" s="408" customFormat="1" spans="1:23">
      <c r="A87" s="428"/>
      <c r="B87" s="421"/>
      <c r="C87" s="439"/>
      <c r="D87" s="421"/>
      <c r="E87" s="430"/>
      <c r="F87" s="430">
        <v>691096.233333333</v>
      </c>
      <c r="G87" s="430">
        <v>704838.916666666</v>
      </c>
      <c r="H87" s="430">
        <v>764789.250000002</v>
      </c>
      <c r="I87" s="453">
        <f>(F87/G87)-1</f>
        <v>-0.0194976228019944</v>
      </c>
      <c r="J87" s="490">
        <v>0.00302701064890298</v>
      </c>
      <c r="K87" s="480"/>
      <c r="L87" s="480"/>
      <c r="M87" s="451"/>
      <c r="N87" s="451">
        <f>SUM(N81:N85)</f>
        <v>0</v>
      </c>
      <c r="O87" s="430"/>
      <c r="P87" s="509"/>
      <c r="Q87" s="429"/>
      <c r="R87" s="421"/>
      <c r="S87" s="473"/>
      <c r="T87" s="466"/>
      <c r="U87" s="466"/>
      <c r="V87" s="421"/>
      <c r="W87" s="421"/>
    </row>
    <row r="88" s="408" customFormat="1" spans="1:23">
      <c r="A88" s="428"/>
      <c r="B88" s="421"/>
      <c r="C88" s="439"/>
      <c r="D88" s="421"/>
      <c r="E88" s="430"/>
      <c r="F88" s="430"/>
      <c r="G88" s="430"/>
      <c r="H88" s="430"/>
      <c r="I88" s="453"/>
      <c r="J88" s="430"/>
      <c r="K88" s="430"/>
      <c r="L88" s="430"/>
      <c r="M88" s="451"/>
      <c r="N88" s="459"/>
      <c r="O88" s="430"/>
      <c r="P88" s="509"/>
      <c r="Q88" s="429"/>
      <c r="R88" s="421"/>
      <c r="S88" s="473"/>
      <c r="T88" s="466"/>
      <c r="U88" s="466"/>
      <c r="V88" s="421"/>
      <c r="W88" s="421"/>
    </row>
    <row r="89" s="408" customFormat="1" ht="17.4" spans="1:23">
      <c r="A89" s="418" t="s">
        <v>165</v>
      </c>
      <c r="B89" s="419"/>
      <c r="C89" s="420"/>
      <c r="D89" s="421"/>
      <c r="E89" s="422" t="s">
        <v>202</v>
      </c>
      <c r="F89" s="422"/>
      <c r="G89" s="422"/>
      <c r="H89" s="422"/>
      <c r="I89" s="422"/>
      <c r="J89" s="422"/>
      <c r="K89" s="422"/>
      <c r="L89" s="422"/>
      <c r="M89" s="443"/>
      <c r="N89" s="444"/>
      <c r="O89" s="422"/>
      <c r="P89" s="509"/>
      <c r="Q89" s="465"/>
      <c r="R89" s="424"/>
      <c r="S89" s="473"/>
      <c r="T89" s="467"/>
      <c r="U89" s="467"/>
      <c r="V89" s="467"/>
      <c r="W89" s="467"/>
    </row>
    <row r="90" s="409" customFormat="1" ht="46.8" spans="1:23">
      <c r="A90" s="423" t="s">
        <v>206</v>
      </c>
      <c r="B90" s="424" t="s">
        <v>207</v>
      </c>
      <c r="C90" s="425" t="s">
        <v>447</v>
      </c>
      <c r="D90" s="424" t="s">
        <v>209</v>
      </c>
      <c r="E90" s="426" t="s">
        <v>210</v>
      </c>
      <c r="F90" s="427" t="s">
        <v>385</v>
      </c>
      <c r="G90" s="427" t="s">
        <v>213</v>
      </c>
      <c r="H90" s="427" t="s">
        <v>396</v>
      </c>
      <c r="I90" s="427" t="s">
        <v>386</v>
      </c>
      <c r="J90" s="446" t="s">
        <v>216</v>
      </c>
      <c r="K90" s="446" t="s">
        <v>217</v>
      </c>
      <c r="L90" s="446" t="s">
        <v>387</v>
      </c>
      <c r="M90" s="447" t="s">
        <v>436</v>
      </c>
      <c r="N90" s="448" t="s">
        <v>219</v>
      </c>
      <c r="O90" s="449" t="s">
        <v>220</v>
      </c>
      <c r="P90" s="508" t="s">
        <v>221</v>
      </c>
      <c r="Q90" s="469" t="s">
        <v>222</v>
      </c>
      <c r="R90" s="426" t="s">
        <v>223</v>
      </c>
      <c r="S90" s="470" t="s">
        <v>224</v>
      </c>
      <c r="T90" s="467" t="s">
        <v>225</v>
      </c>
      <c r="U90" s="470" t="s">
        <v>226</v>
      </c>
      <c r="V90" s="467"/>
      <c r="W90" s="467"/>
    </row>
    <row r="91" spans="1:23">
      <c r="A91" s="428" t="s">
        <v>230</v>
      </c>
      <c r="B91" s="431" t="s">
        <v>293</v>
      </c>
      <c r="C91" s="429" t="s">
        <v>233</v>
      </c>
      <c r="D91" s="421" t="s">
        <v>50</v>
      </c>
      <c r="E91" s="486"/>
      <c r="F91" s="430">
        <v>170051.25</v>
      </c>
      <c r="G91" s="486"/>
      <c r="H91" s="486"/>
      <c r="I91" s="514"/>
      <c r="J91" s="451">
        <v>0.318683117212088</v>
      </c>
      <c r="K91" s="451">
        <v>0.415120952574367</v>
      </c>
      <c r="L91" s="451">
        <v>0.450059922851219</v>
      </c>
      <c r="M91" s="515"/>
      <c r="N91" s="490"/>
      <c r="O91" s="486"/>
      <c r="P91" s="509">
        <f t="array" ref="P91">INDEX(正厂竞争者数据汇总!$I$2:$I$243,MATCH($A$89&amp;$B91,正厂竞争者数据汇总!$A$2:$A$243&amp;正厂竞争者数据汇总!$D$2:$D$243,0))</f>
        <v>0</v>
      </c>
      <c r="Q91" s="494"/>
      <c r="R91" s="431"/>
      <c r="S91" s="473"/>
      <c r="T91" s="495"/>
      <c r="U91" s="495"/>
      <c r="V91" s="431"/>
      <c r="W91" s="431"/>
    </row>
    <row r="92" spans="1:23">
      <c r="A92" s="440" t="s">
        <v>230</v>
      </c>
      <c r="B92" s="431" t="s">
        <v>494</v>
      </c>
      <c r="C92" s="494" t="s">
        <v>233</v>
      </c>
      <c r="D92" s="431" t="s">
        <v>423</v>
      </c>
      <c r="E92" s="486"/>
      <c r="F92" s="486">
        <v>132803.75</v>
      </c>
      <c r="G92" s="486"/>
      <c r="H92" s="486"/>
      <c r="I92" s="518"/>
      <c r="J92" s="490">
        <v>0.248879752589028</v>
      </c>
      <c r="K92" s="451">
        <v>0.291179791902088</v>
      </c>
      <c r="L92" s="451">
        <v>0.265064960940113</v>
      </c>
      <c r="M92" s="490"/>
      <c r="N92" s="490"/>
      <c r="O92" s="486"/>
      <c r="P92" s="509" t="e">
        <f t="array" ref="P92">INDEX(正厂竞争者数据汇总!$I$2:$I$243,MATCH($A$89&amp;$B92,正厂竞争者数据汇总!$A$2:$A$243&amp;正厂竞争者数据汇总!$D$2:$D$243,0))</f>
        <v>#N/A</v>
      </c>
      <c r="Q92" s="494"/>
      <c r="R92" s="431"/>
      <c r="S92" s="473"/>
      <c r="T92" s="495"/>
      <c r="U92" s="495"/>
      <c r="V92" s="431"/>
      <c r="W92" s="431"/>
    </row>
    <row r="93" s="410" customFormat="1" spans="1:23">
      <c r="A93" s="432" t="s">
        <v>227</v>
      </c>
      <c r="B93" s="435" t="s">
        <v>166</v>
      </c>
      <c r="C93" s="505" t="s">
        <v>441</v>
      </c>
      <c r="D93" s="435" t="s">
        <v>58</v>
      </c>
      <c r="E93" s="462"/>
      <c r="F93" s="462">
        <v>100728.833333333</v>
      </c>
      <c r="G93" s="462"/>
      <c r="H93" s="462"/>
      <c r="I93" s="510"/>
      <c r="J93" s="461">
        <v>0.188770024329745</v>
      </c>
      <c r="K93" s="457">
        <v>0.223909898819963</v>
      </c>
      <c r="L93" s="457">
        <v>0.21293913605595</v>
      </c>
      <c r="M93" s="461"/>
      <c r="N93" s="461"/>
      <c r="O93" s="462"/>
      <c r="P93" s="511">
        <f t="array" ref="P93">INDEX(正厂竞争者数据汇总!$I$2:$I$243,MATCH($A$89&amp;$B93,正厂竞争者数据汇总!$A$2:$A$243&amp;正厂竞争者数据汇总!$D$2:$D$243,0))</f>
        <v>0</v>
      </c>
      <c r="Q93" s="434"/>
      <c r="R93" s="435"/>
      <c r="S93" s="476"/>
      <c r="T93" s="477"/>
      <c r="U93" s="477"/>
      <c r="V93" s="435"/>
      <c r="W93" s="435"/>
    </row>
    <row r="94" s="408" customFormat="1" spans="1:23">
      <c r="A94" s="421" t="s">
        <v>391</v>
      </c>
      <c r="B94" s="421" t="s">
        <v>298</v>
      </c>
      <c r="C94" s="429" t="s">
        <v>441</v>
      </c>
      <c r="D94" s="421" t="s">
        <v>422</v>
      </c>
      <c r="E94" s="430"/>
      <c r="F94" s="430">
        <v>50640</v>
      </c>
      <c r="G94" s="430"/>
      <c r="H94" s="430"/>
      <c r="I94" s="453"/>
      <c r="J94" s="451">
        <v>0.094901466796746</v>
      </c>
      <c r="K94" s="451"/>
      <c r="L94" s="451"/>
      <c r="M94" s="451"/>
      <c r="N94" s="451"/>
      <c r="O94" s="430"/>
      <c r="P94" s="509">
        <f t="array" ref="P94">INDEX(正厂竞争者数据汇总!$I$2:$I$243,MATCH($A$89&amp;$B94,正厂竞争者数据汇总!$A$2:$A$243&amp;正厂竞争者数据汇总!$D$2:$D$243,0))</f>
        <v>0</v>
      </c>
      <c r="Q94" s="429"/>
      <c r="R94" s="421"/>
      <c r="S94" s="473"/>
      <c r="T94" s="466"/>
      <c r="U94" s="477"/>
      <c r="V94" s="421"/>
      <c r="W94" s="421"/>
    </row>
    <row r="95" s="408" customFormat="1" spans="1:23">
      <c r="A95" s="428" t="s">
        <v>230</v>
      </c>
      <c r="B95" s="421" t="s">
        <v>294</v>
      </c>
      <c r="C95" s="429" t="s">
        <v>233</v>
      </c>
      <c r="D95" s="421" t="s">
        <v>250</v>
      </c>
      <c r="E95" s="430"/>
      <c r="F95" s="430">
        <v>37837.9166666667</v>
      </c>
      <c r="G95" s="430"/>
      <c r="H95" s="430"/>
      <c r="I95" s="453"/>
      <c r="J95" s="451">
        <v>0.0709098300197415</v>
      </c>
      <c r="K95" s="451">
        <v>0.10314930029192</v>
      </c>
      <c r="L95" s="451">
        <v>0.0971249126860053</v>
      </c>
      <c r="M95" s="451"/>
      <c r="N95" s="451"/>
      <c r="O95" s="430"/>
      <c r="P95" s="509" t="str">
        <f t="array" ref="P95">INDEX(正厂竞争者数据汇总!$I$2:$I$243,MATCH($A$89&amp;$B95,正厂竞争者数据汇总!$A$2:$A$243&amp;正厂竞争者数据汇总!$D$2:$D$243,0))</f>
        <v>2022年1月 新加入 CompetitorSites</v>
      </c>
      <c r="Q95" s="429"/>
      <c r="R95" s="421"/>
      <c r="S95" s="473"/>
      <c r="T95" s="466"/>
      <c r="U95" s="466"/>
      <c r="V95" s="421"/>
      <c r="W95" s="421"/>
    </row>
    <row r="96" s="408" customFormat="1" spans="1:23">
      <c r="A96" s="428" t="s">
        <v>230</v>
      </c>
      <c r="B96" s="421" t="s">
        <v>440</v>
      </c>
      <c r="C96" s="429" t="s">
        <v>233</v>
      </c>
      <c r="D96" s="421" t="s">
        <v>417</v>
      </c>
      <c r="E96" s="430"/>
      <c r="F96" s="430">
        <v>23700.5</v>
      </c>
      <c r="G96" s="430"/>
      <c r="H96" s="430"/>
      <c r="I96" s="453"/>
      <c r="J96" s="451">
        <v>0.0444157230216485</v>
      </c>
      <c r="K96" s="451"/>
      <c r="L96" s="451"/>
      <c r="M96" s="451"/>
      <c r="N96" s="451"/>
      <c r="O96" s="430"/>
      <c r="P96" s="509" t="str">
        <f t="array" ref="P96">INDEX(正厂竞争者数据汇总!$I$2:$I$243,MATCH($A$89&amp;$B96,正厂竞争者数据汇总!$A$2:$A$243&amp;正厂竞争者数据汇总!$D$2:$D$243,0))</f>
        <v>202307，Semrush无法正常获取流量</v>
      </c>
      <c r="Q96" s="429"/>
      <c r="R96" s="421"/>
      <c r="S96" s="473"/>
      <c r="T96" s="466"/>
      <c r="U96" s="466"/>
      <c r="V96" s="421"/>
      <c r="W96" s="421"/>
    </row>
    <row r="97" s="408" customFormat="1" spans="1:23">
      <c r="A97" s="428" t="s">
        <v>230</v>
      </c>
      <c r="B97" s="421" t="s">
        <v>495</v>
      </c>
      <c r="C97" s="429" t="s">
        <v>233</v>
      </c>
      <c r="D97" s="421" t="s">
        <v>421</v>
      </c>
      <c r="E97" s="430"/>
      <c r="F97" s="430">
        <v>17843.8333333333</v>
      </c>
      <c r="G97" s="430"/>
      <c r="H97" s="430"/>
      <c r="I97" s="453"/>
      <c r="J97" s="451">
        <v>0.0334400860310032</v>
      </c>
      <c r="K97" s="451">
        <v>0.035872195934634</v>
      </c>
      <c r="L97" s="451">
        <v>0.0326750051321647</v>
      </c>
      <c r="M97" s="451"/>
      <c r="N97" s="451"/>
      <c r="O97" s="430"/>
      <c r="P97" s="509">
        <f t="array" ref="P97">INDEX(正厂竞争者数据汇总!$I$2:$I$243,MATCH($A$89&amp;$B97,正厂竞争者数据汇总!$A$2:$A$243&amp;正厂竞争者数据汇总!$D$2:$D$243,0))</f>
        <v>0</v>
      </c>
      <c r="Q97" s="429"/>
      <c r="R97" s="421"/>
      <c r="S97" s="473"/>
      <c r="T97" s="466"/>
      <c r="U97" s="466"/>
      <c r="V97" s="421"/>
      <c r="W97" s="421"/>
    </row>
    <row r="98" s="408" customFormat="1" spans="1:23">
      <c r="A98" s="428"/>
      <c r="B98" s="421"/>
      <c r="C98" s="429"/>
      <c r="D98" s="421"/>
      <c r="E98" s="430"/>
      <c r="F98" s="481"/>
      <c r="G98" s="481"/>
      <c r="H98" s="481"/>
      <c r="I98" s="453"/>
      <c r="J98" s="451"/>
      <c r="K98" s="451"/>
      <c r="L98" s="451"/>
      <c r="M98" s="451"/>
      <c r="N98" s="451"/>
      <c r="O98" s="430"/>
      <c r="P98" s="509"/>
      <c r="Q98" s="429"/>
      <c r="R98" s="421"/>
      <c r="S98" s="473"/>
      <c r="T98" s="466"/>
      <c r="U98" s="466"/>
      <c r="V98" s="421"/>
      <c r="W98" s="421"/>
    </row>
    <row r="99" s="408" customFormat="1" spans="1:23">
      <c r="A99" s="428"/>
      <c r="B99" s="421"/>
      <c r="C99" s="439"/>
      <c r="D99" s="421"/>
      <c r="E99" s="421"/>
      <c r="F99" s="481">
        <v>533606.083333333</v>
      </c>
      <c r="G99" s="481">
        <v>427571.166666666</v>
      </c>
      <c r="H99" s="481">
        <v>496054.5</v>
      </c>
      <c r="I99" s="453">
        <f>(F99/G99)-1</f>
        <v>0.247993608861216</v>
      </c>
      <c r="J99" s="430"/>
      <c r="K99" s="430"/>
      <c r="L99" s="430"/>
      <c r="M99" s="451"/>
      <c r="N99" s="451">
        <f>SUM(N91:N94)</f>
        <v>0</v>
      </c>
      <c r="O99" s="430"/>
      <c r="P99" s="509"/>
      <c r="Q99" s="429"/>
      <c r="R99" s="421"/>
      <c r="S99" s="473"/>
      <c r="T99" s="466"/>
      <c r="U99" s="466"/>
      <c r="V99" s="421"/>
      <c r="W99" s="421"/>
    </row>
    <row r="100" s="408" customFormat="1" spans="1:23">
      <c r="A100" s="428"/>
      <c r="B100" s="421"/>
      <c r="C100" s="429"/>
      <c r="D100" s="421"/>
      <c r="E100" s="430"/>
      <c r="F100" s="451"/>
      <c r="G100" s="451"/>
      <c r="H100" s="451"/>
      <c r="I100" s="453"/>
      <c r="J100" s="451"/>
      <c r="K100" s="451"/>
      <c r="L100" s="451"/>
      <c r="M100" s="451"/>
      <c r="N100" s="451"/>
      <c r="O100" s="451"/>
      <c r="P100" s="509"/>
      <c r="Q100" s="429"/>
      <c r="R100" s="421"/>
      <c r="S100" s="473"/>
      <c r="T100" s="466"/>
      <c r="U100" s="466"/>
      <c r="V100" s="421"/>
      <c r="W100" s="421"/>
    </row>
    <row r="101" s="408" customFormat="1" ht="17.4" spans="1:23">
      <c r="A101" s="418" t="s">
        <v>171</v>
      </c>
      <c r="B101" s="419"/>
      <c r="C101" s="420"/>
      <c r="D101" s="421"/>
      <c r="E101" s="422" t="s">
        <v>202</v>
      </c>
      <c r="F101" s="422"/>
      <c r="G101" s="422"/>
      <c r="H101" s="422"/>
      <c r="I101" s="422"/>
      <c r="J101" s="422"/>
      <c r="K101" s="422"/>
      <c r="L101" s="422"/>
      <c r="M101" s="443"/>
      <c r="N101" s="422"/>
      <c r="O101" s="422"/>
      <c r="P101" s="509"/>
      <c r="Q101" s="465"/>
      <c r="R101" s="424"/>
      <c r="S101" s="473"/>
      <c r="T101" s="467"/>
      <c r="U101" s="467"/>
      <c r="V101" s="467"/>
      <c r="W101" s="467"/>
    </row>
    <row r="102" s="409" customFormat="1" ht="46.8" spans="1:23">
      <c r="A102" s="423" t="s">
        <v>206</v>
      </c>
      <c r="B102" s="424" t="s">
        <v>207</v>
      </c>
      <c r="C102" s="425" t="s">
        <v>447</v>
      </c>
      <c r="D102" s="424" t="s">
        <v>209</v>
      </c>
      <c r="E102" s="426" t="s">
        <v>210</v>
      </c>
      <c r="F102" s="427" t="s">
        <v>385</v>
      </c>
      <c r="G102" s="427" t="s">
        <v>213</v>
      </c>
      <c r="H102" s="427" t="s">
        <v>396</v>
      </c>
      <c r="I102" s="427" t="s">
        <v>386</v>
      </c>
      <c r="J102" s="446" t="s">
        <v>216</v>
      </c>
      <c r="K102" s="446" t="s">
        <v>217</v>
      </c>
      <c r="L102" s="446" t="s">
        <v>387</v>
      </c>
      <c r="M102" s="447" t="s">
        <v>436</v>
      </c>
      <c r="N102" s="448" t="s">
        <v>219</v>
      </c>
      <c r="O102" s="449" t="s">
        <v>220</v>
      </c>
      <c r="P102" s="508" t="s">
        <v>221</v>
      </c>
      <c r="Q102" s="469" t="s">
        <v>222</v>
      </c>
      <c r="R102" s="426" t="s">
        <v>223</v>
      </c>
      <c r="S102" s="470" t="s">
        <v>224</v>
      </c>
      <c r="T102" s="467" t="s">
        <v>225</v>
      </c>
      <c r="U102" s="470" t="s">
        <v>226</v>
      </c>
      <c r="V102" s="467"/>
      <c r="W102" s="467"/>
    </row>
    <row r="103" s="410" customFormat="1" spans="1:23">
      <c r="A103" s="432" t="s">
        <v>227</v>
      </c>
      <c r="B103" s="433" t="s">
        <v>172</v>
      </c>
      <c r="C103" s="434" t="s">
        <v>441</v>
      </c>
      <c r="D103" s="477" t="s">
        <v>49</v>
      </c>
      <c r="E103" s="436">
        <f>VLOOKUP(B103,正厂竞争者数据汇总!D:H,4,FALSE)</f>
        <v>0</v>
      </c>
      <c r="F103" s="436">
        <v>128986.833333333</v>
      </c>
      <c r="G103" s="436">
        <v>132262.583333333</v>
      </c>
      <c r="H103" s="436">
        <v>137115.416666667</v>
      </c>
      <c r="I103" s="454">
        <f>(F103/G103)-1</f>
        <v>-0.024767019647154</v>
      </c>
      <c r="J103" s="457">
        <v>0.221995550743567</v>
      </c>
      <c r="K103" s="457">
        <v>0.29295303636222</v>
      </c>
      <c r="L103" s="457">
        <v>0.299745030406527</v>
      </c>
      <c r="M103" s="456">
        <f>J103-K103</f>
        <v>-0.070957485618653</v>
      </c>
      <c r="N103" s="455"/>
      <c r="O103" s="436"/>
      <c r="P103" s="509">
        <f t="array" ref="P103">INDEX(正厂竞争者数据汇总!$I$2:$I$243,MATCH($A$101&amp;$B103,正厂竞争者数据汇总!$A$2:$A$243&amp;正厂竞争者数据汇总!$D$2:$D$243,0))</f>
        <v>0</v>
      </c>
      <c r="Q103" s="491" t="s">
        <v>313</v>
      </c>
      <c r="R103" s="435" t="s">
        <v>180</v>
      </c>
      <c r="S103" s="476"/>
      <c r="T103" s="477"/>
      <c r="U103" s="477"/>
      <c r="V103" s="435"/>
      <c r="W103" s="435"/>
    </row>
    <row r="104" spans="1:23">
      <c r="A104" s="440" t="s">
        <v>230</v>
      </c>
      <c r="B104" s="442" t="s">
        <v>310</v>
      </c>
      <c r="C104" s="494" t="s">
        <v>233</v>
      </c>
      <c r="D104" s="495" t="s">
        <v>371</v>
      </c>
      <c r="E104" s="486"/>
      <c r="F104" s="486">
        <v>117489.083333333</v>
      </c>
      <c r="G104" s="486"/>
      <c r="H104" s="486"/>
      <c r="I104" s="518"/>
      <c r="J104" s="490">
        <v>0.202207101972477</v>
      </c>
      <c r="K104" s="451">
        <v>0.262281169027972</v>
      </c>
      <c r="L104" s="451">
        <v>0.246273374186277</v>
      </c>
      <c r="M104" s="490"/>
      <c r="N104" s="512"/>
      <c r="O104" s="486"/>
      <c r="P104" s="509">
        <f t="array" ref="P104">INDEX(正厂竞争者数据汇总!$I$2:$I$243,MATCH($A$101&amp;$B104,正厂竞争者数据汇总!$A$2:$A$243&amp;正厂竞争者数据汇总!$D$2:$D$243,0))</f>
        <v>0</v>
      </c>
      <c r="Q104" s="494"/>
      <c r="R104" s="431"/>
      <c r="S104" s="473"/>
      <c r="T104" s="495"/>
      <c r="U104" s="495"/>
      <c r="V104" s="431"/>
      <c r="W104" s="431"/>
    </row>
    <row r="105" spans="1:23">
      <c r="A105" s="440" t="s">
        <v>243</v>
      </c>
      <c r="B105" s="431" t="s">
        <v>311</v>
      </c>
      <c r="C105" s="506" t="s">
        <v>441</v>
      </c>
      <c r="D105" s="495" t="s">
        <v>420</v>
      </c>
      <c r="E105" s="486"/>
      <c r="F105" s="486">
        <v>91423.25</v>
      </c>
      <c r="G105" s="486"/>
      <c r="H105" s="486"/>
      <c r="I105" s="518"/>
      <c r="J105" s="490">
        <v>0.157345941520001</v>
      </c>
      <c r="K105" s="451">
        <v>0.256688273358429</v>
      </c>
      <c r="L105" s="451">
        <v>0.280842011760373</v>
      </c>
      <c r="M105" s="490"/>
      <c r="N105" s="512"/>
      <c r="O105" s="486"/>
      <c r="P105" s="509">
        <f t="array" ref="P105">INDEX(正厂竞争者数据汇总!$I$2:$I$243,MATCH($A$101&amp;$B105,正厂竞争者数据汇总!$A$2:$A$243&amp;正厂竞争者数据汇总!$D$2:$D$243,0))</f>
        <v>0</v>
      </c>
      <c r="Q105" s="494"/>
      <c r="R105" s="431"/>
      <c r="S105" s="473"/>
      <c r="T105" s="495"/>
      <c r="U105" s="495"/>
      <c r="V105" s="431"/>
      <c r="W105" s="431"/>
    </row>
    <row r="106" spans="1:23">
      <c r="A106" s="440" t="s">
        <v>243</v>
      </c>
      <c r="B106" s="431" t="s">
        <v>314</v>
      </c>
      <c r="C106" s="506" t="s">
        <v>441</v>
      </c>
      <c r="D106" s="495" t="s">
        <v>50</v>
      </c>
      <c r="E106" s="516"/>
      <c r="F106" s="486">
        <v>82393.6666666667</v>
      </c>
      <c r="G106" s="516"/>
      <c r="H106" s="516"/>
      <c r="I106" s="519"/>
      <c r="J106" s="490">
        <v>0.141805383826891</v>
      </c>
      <c r="K106" s="451">
        <v>0.124232571137255</v>
      </c>
      <c r="L106" s="451">
        <v>0.117415720307319</v>
      </c>
      <c r="M106" s="520"/>
      <c r="N106" s="521"/>
      <c r="O106" s="516"/>
      <c r="P106" s="509">
        <f t="array" ref="P106">INDEX(正厂竞争者数据汇总!$I$2:$I$243,MATCH($A$101&amp;$B106,正厂竞争者数据汇总!$A$2:$A$243&amp;正厂竞争者数据汇总!$D$2:$D$243,0))</f>
        <v>0</v>
      </c>
      <c r="Q106" s="494"/>
      <c r="R106" s="431"/>
      <c r="S106" s="473"/>
      <c r="T106" s="495"/>
      <c r="U106" s="495"/>
      <c r="V106" s="431"/>
      <c r="W106" s="431"/>
    </row>
    <row r="107" spans="1:23">
      <c r="A107" s="440" t="s">
        <v>230</v>
      </c>
      <c r="B107" s="431" t="s">
        <v>392</v>
      </c>
      <c r="C107" s="494" t="s">
        <v>233</v>
      </c>
      <c r="D107" s="495" t="s">
        <v>425</v>
      </c>
      <c r="E107" s="486"/>
      <c r="F107" s="486">
        <v>64168</v>
      </c>
      <c r="G107" s="486"/>
      <c r="H107" s="486"/>
      <c r="I107" s="518"/>
      <c r="J107" s="490">
        <v>0.110437710051387</v>
      </c>
      <c r="K107" s="451"/>
      <c r="L107" s="451"/>
      <c r="M107" s="490"/>
      <c r="N107" s="512"/>
      <c r="O107" s="486"/>
      <c r="P107" s="509">
        <f t="array" ref="P107">INDEX(正厂竞争者数据汇总!$I$2:$I$243,MATCH($A$101&amp;$B107,正厂竞争者数据汇总!$A$2:$A$243&amp;正厂竞争者数据汇总!$D$2:$D$243,0))</f>
        <v>0</v>
      </c>
      <c r="Q107" s="494"/>
      <c r="R107" s="431"/>
      <c r="S107" s="473"/>
      <c r="T107" s="495"/>
      <c r="U107" s="495"/>
      <c r="V107" s="431"/>
      <c r="W107" s="431"/>
    </row>
    <row r="108" spans="1:23">
      <c r="A108" s="440" t="s">
        <v>230</v>
      </c>
      <c r="B108" s="431" t="s">
        <v>315</v>
      </c>
      <c r="C108" s="494" t="s">
        <v>233</v>
      </c>
      <c r="D108" s="495" t="s">
        <v>422</v>
      </c>
      <c r="E108" s="486"/>
      <c r="F108" s="486">
        <v>48974</v>
      </c>
      <c r="G108" s="486"/>
      <c r="H108" s="486"/>
      <c r="I108" s="518"/>
      <c r="J108" s="490">
        <v>0.0842877510917688</v>
      </c>
      <c r="K108" s="451"/>
      <c r="L108" s="451"/>
      <c r="M108" s="490"/>
      <c r="N108" s="512"/>
      <c r="O108" s="486"/>
      <c r="P108" s="509">
        <f t="array" ref="P108">INDEX(正厂竞争者数据汇总!$I$2:$I$243,MATCH($A$101&amp;$B108,正厂竞争者数据汇总!$A$2:$A$243&amp;正厂竞争者数据汇总!$D$2:$D$243,0))</f>
        <v>0</v>
      </c>
      <c r="Q108" s="494"/>
      <c r="R108" s="431"/>
      <c r="S108" s="473"/>
      <c r="T108" s="495"/>
      <c r="U108" s="495"/>
      <c r="V108" s="431"/>
      <c r="W108" s="431"/>
    </row>
    <row r="109" spans="1:23">
      <c r="A109" s="440" t="s">
        <v>230</v>
      </c>
      <c r="B109" s="431" t="s">
        <v>317</v>
      </c>
      <c r="C109" s="494" t="s">
        <v>233</v>
      </c>
      <c r="D109" s="495" t="s">
        <v>424</v>
      </c>
      <c r="E109" s="486"/>
      <c r="F109" s="486">
        <v>26970</v>
      </c>
      <c r="G109" s="486"/>
      <c r="H109" s="486"/>
      <c r="I109" s="518"/>
      <c r="J109" s="490">
        <v>0.0464172958497367</v>
      </c>
      <c r="K109" s="451"/>
      <c r="L109" s="451"/>
      <c r="M109" s="490"/>
      <c r="N109" s="512"/>
      <c r="O109" s="486"/>
      <c r="P109" s="509">
        <f t="array" ref="P109">INDEX(正厂竞争者数据汇总!$I$2:$I$243,MATCH($A$101&amp;$B109,正厂竞争者数据汇总!$A$2:$A$243&amp;正厂竞争者数据汇总!$D$2:$D$243,0))</f>
        <v>0</v>
      </c>
      <c r="Q109" s="494"/>
      <c r="R109" s="431"/>
      <c r="S109" s="473"/>
      <c r="T109" s="495"/>
      <c r="U109" s="495"/>
      <c r="V109" s="431"/>
      <c r="W109" s="431"/>
    </row>
    <row r="110" spans="1:23">
      <c r="A110" s="440" t="s">
        <v>230</v>
      </c>
      <c r="B110" s="517" t="s">
        <v>393</v>
      </c>
      <c r="C110" s="494" t="s">
        <v>233</v>
      </c>
      <c r="D110" s="495" t="s">
        <v>60</v>
      </c>
      <c r="E110" s="516"/>
      <c r="F110" s="486">
        <v>20628.5833333333</v>
      </c>
      <c r="G110" s="486"/>
      <c r="H110" s="486"/>
      <c r="I110" s="519"/>
      <c r="J110" s="490">
        <v>0.0355032649441706</v>
      </c>
      <c r="K110" s="451">
        <v>0.0445118892178068</v>
      </c>
      <c r="L110" s="451">
        <v>0.0479015288338257</v>
      </c>
      <c r="M110" s="520"/>
      <c r="N110" s="521"/>
      <c r="O110" s="516"/>
      <c r="P110" s="509" t="str">
        <f t="array" ref="P110">INDEX(正厂竞争者数据汇总!$I$2:$I$243,MATCH($A$101&amp;$B110,正厂竞争者数据汇总!$A$2:$A$243&amp;正厂竞争者数据汇总!$D$2:$D$243,0))</f>
        <v>2022年1月加入CompetitorSites，202305因流量大于MS5%，加入MS计算基准</v>
      </c>
      <c r="Q110" s="522"/>
      <c r="R110" s="431"/>
      <c r="S110" s="473"/>
      <c r="T110" s="495"/>
      <c r="U110" s="495"/>
      <c r="V110" s="431"/>
      <c r="W110" s="431"/>
    </row>
    <row r="111" s="408" customFormat="1" spans="1:23">
      <c r="A111" s="428"/>
      <c r="B111" s="438"/>
      <c r="C111" s="429"/>
      <c r="D111" s="466"/>
      <c r="E111" s="430"/>
      <c r="F111" s="430"/>
      <c r="G111" s="430"/>
      <c r="H111" s="430"/>
      <c r="I111" s="453"/>
      <c r="J111" s="451"/>
      <c r="K111" s="451"/>
      <c r="L111" s="451"/>
      <c r="M111" s="451"/>
      <c r="N111" s="459"/>
      <c r="O111" s="430"/>
      <c r="P111" s="509"/>
      <c r="Q111" s="492"/>
      <c r="R111" s="421"/>
      <c r="S111" s="473"/>
      <c r="T111" s="466"/>
      <c r="U111" s="466"/>
      <c r="V111" s="421"/>
      <c r="W111" s="421"/>
    </row>
    <row r="112" s="408" customFormat="1" spans="1:23">
      <c r="A112" s="428"/>
      <c r="B112" s="421"/>
      <c r="C112" s="439"/>
      <c r="D112" s="421"/>
      <c r="E112" s="430"/>
      <c r="F112" s="430">
        <v>581033.416666667</v>
      </c>
      <c r="G112" s="430">
        <v>451480.499999999</v>
      </c>
      <c r="H112" s="430">
        <v>457440.166666667</v>
      </c>
      <c r="I112" s="453">
        <f>(F112/G112)-1</f>
        <v>0.286951300591428</v>
      </c>
      <c r="J112" s="430"/>
      <c r="K112" s="430"/>
      <c r="L112" s="430"/>
      <c r="M112" s="451"/>
      <c r="N112" s="451"/>
      <c r="O112" s="430"/>
      <c r="P112" s="509"/>
      <c r="Q112" s="493"/>
      <c r="R112" s="421"/>
      <c r="S112" s="473"/>
      <c r="T112" s="466"/>
      <c r="U112" s="466"/>
      <c r="V112" s="421"/>
      <c r="W112" s="421"/>
    </row>
    <row r="113" s="408" customFormat="1" spans="1:23">
      <c r="A113" s="428"/>
      <c r="B113" s="421"/>
      <c r="C113" s="439"/>
      <c r="D113" s="421"/>
      <c r="E113" s="430"/>
      <c r="F113" s="430"/>
      <c r="G113" s="430"/>
      <c r="H113" s="430"/>
      <c r="I113" s="453"/>
      <c r="J113" s="430"/>
      <c r="K113" s="430"/>
      <c r="L113" s="430"/>
      <c r="M113" s="451"/>
      <c r="N113" s="451"/>
      <c r="O113" s="430"/>
      <c r="P113" s="509"/>
      <c r="Q113" s="493"/>
      <c r="R113" s="421"/>
      <c r="S113" s="473"/>
      <c r="T113" s="466"/>
      <c r="U113" s="466"/>
      <c r="V113" s="421"/>
      <c r="W113" s="421"/>
    </row>
    <row r="114" s="408" customFormat="1" ht="17.4" spans="1:23">
      <c r="A114" s="418" t="s">
        <v>162</v>
      </c>
      <c r="B114" s="419"/>
      <c r="C114" s="420"/>
      <c r="D114" s="421"/>
      <c r="E114" s="422" t="s">
        <v>202</v>
      </c>
      <c r="F114" s="422"/>
      <c r="G114" s="422"/>
      <c r="H114" s="422"/>
      <c r="I114" s="422"/>
      <c r="J114" s="422"/>
      <c r="K114" s="422"/>
      <c r="L114" s="422"/>
      <c r="M114" s="443"/>
      <c r="N114" s="444"/>
      <c r="O114" s="422"/>
      <c r="P114" s="509"/>
      <c r="Q114" s="465"/>
      <c r="R114" s="424"/>
      <c r="S114" s="473"/>
      <c r="T114" s="467"/>
      <c r="U114" s="467"/>
      <c r="V114" s="467"/>
      <c r="W114" s="467"/>
    </row>
    <row r="115" s="409" customFormat="1" ht="46.8" spans="1:23">
      <c r="A115" s="423" t="s">
        <v>206</v>
      </c>
      <c r="B115" s="424" t="s">
        <v>207</v>
      </c>
      <c r="C115" s="425" t="s">
        <v>447</v>
      </c>
      <c r="D115" s="424" t="s">
        <v>209</v>
      </c>
      <c r="E115" s="426" t="s">
        <v>210</v>
      </c>
      <c r="F115" s="427" t="s">
        <v>385</v>
      </c>
      <c r="G115" s="427" t="s">
        <v>213</v>
      </c>
      <c r="H115" s="427" t="s">
        <v>396</v>
      </c>
      <c r="I115" s="427" t="s">
        <v>386</v>
      </c>
      <c r="J115" s="446" t="s">
        <v>216</v>
      </c>
      <c r="K115" s="446" t="s">
        <v>217</v>
      </c>
      <c r="L115" s="446" t="s">
        <v>387</v>
      </c>
      <c r="M115" s="447" t="s">
        <v>436</v>
      </c>
      <c r="N115" s="448" t="s">
        <v>219</v>
      </c>
      <c r="O115" s="449" t="s">
        <v>220</v>
      </c>
      <c r="P115" s="508" t="s">
        <v>221</v>
      </c>
      <c r="Q115" s="469" t="s">
        <v>222</v>
      </c>
      <c r="R115" s="426" t="s">
        <v>223</v>
      </c>
      <c r="S115" s="470" t="s">
        <v>224</v>
      </c>
      <c r="T115" s="467" t="s">
        <v>225</v>
      </c>
      <c r="U115" s="470" t="s">
        <v>226</v>
      </c>
      <c r="V115" s="467"/>
      <c r="W115" s="467"/>
    </row>
    <row r="116" s="410" customFormat="1" ht="17.4" spans="1:23">
      <c r="A116" s="432" t="s">
        <v>227</v>
      </c>
      <c r="B116" s="435" t="s">
        <v>163</v>
      </c>
      <c r="C116" s="434" t="s">
        <v>441</v>
      </c>
      <c r="D116" s="435" t="s">
        <v>49</v>
      </c>
      <c r="E116" s="436">
        <f>VLOOKUP(B116,正厂竞争者数据汇总!D:H,4,FALSE)</f>
        <v>0</v>
      </c>
      <c r="F116" s="436">
        <v>203096.25</v>
      </c>
      <c r="G116" s="436">
        <v>213503.583333333</v>
      </c>
      <c r="H116" s="436">
        <v>235149.083333333</v>
      </c>
      <c r="I116" s="454">
        <f>(F116/G116)-1</f>
        <v>-0.0487454738269405</v>
      </c>
      <c r="J116" s="457">
        <v>0.395032604415077</v>
      </c>
      <c r="K116" s="457">
        <v>0.479341358160034</v>
      </c>
      <c r="L116" s="457">
        <v>0.548576888644367</v>
      </c>
      <c r="M116" s="456">
        <f>J116-K116</f>
        <v>-0.084308753744957</v>
      </c>
      <c r="N116" s="457" t="str">
        <f>IFERROR(O116*0.5/$F$116,"")</f>
        <v/>
      </c>
      <c r="O116" s="436" t="s">
        <v>180</v>
      </c>
      <c r="P116" s="509">
        <f t="array" ref="P116">INDEX(正厂竞争者数据汇总!$I$2:$I$243,MATCH($A$114&amp;$B116,正厂竞争者数据汇总!$A$2:$A$243&amp;正厂竞争者数据汇总!$D$2:$D$243,0))</f>
        <v>0</v>
      </c>
      <c r="Q116" s="434" t="s">
        <v>284</v>
      </c>
      <c r="R116" s="435" t="s">
        <v>229</v>
      </c>
      <c r="S116" s="476"/>
      <c r="T116" s="477"/>
      <c r="U116" s="477"/>
      <c r="V116" s="435"/>
      <c r="W116" s="435"/>
    </row>
    <row r="117" spans="1:23">
      <c r="A117" s="440" t="s">
        <v>230</v>
      </c>
      <c r="B117" s="440" t="s">
        <v>285</v>
      </c>
      <c r="C117" s="494" t="s">
        <v>233</v>
      </c>
      <c r="D117" s="431" t="s">
        <v>58</v>
      </c>
      <c r="E117" s="486"/>
      <c r="F117" s="486">
        <v>100991.416666667</v>
      </c>
      <c r="G117" s="486"/>
      <c r="H117" s="486"/>
      <c r="I117" s="518"/>
      <c r="J117" s="490">
        <v>0.196433475996733</v>
      </c>
      <c r="K117" s="451">
        <v>0.232586667798906</v>
      </c>
      <c r="L117" s="451">
        <v>0.299895894794448</v>
      </c>
      <c r="M117" s="452"/>
      <c r="N117" s="490"/>
      <c r="O117" s="486"/>
      <c r="P117" s="509">
        <f t="array" ref="P117">INDEX(正厂竞争者数据汇总!$I$2:$I$243,MATCH($A$114&amp;$B117,正厂竞争者数据汇总!$A$2:$A$243&amp;正厂竞争者数据汇总!$D$2:$D$243,0))</f>
        <v>0</v>
      </c>
      <c r="Q117" s="494"/>
      <c r="R117" s="431"/>
      <c r="S117" s="473"/>
      <c r="T117" s="495"/>
      <c r="U117" s="466"/>
      <c r="V117" s="431"/>
      <c r="W117" s="431"/>
    </row>
    <row r="118" spans="1:23">
      <c r="A118" s="440" t="s">
        <v>230</v>
      </c>
      <c r="B118" s="440" t="s">
        <v>255</v>
      </c>
      <c r="C118" s="494" t="s">
        <v>233</v>
      </c>
      <c r="D118" s="431" t="s">
        <v>419</v>
      </c>
      <c r="E118" s="486"/>
      <c r="F118" s="486">
        <v>46746.96</v>
      </c>
      <c r="G118" s="486"/>
      <c r="H118" s="486"/>
      <c r="I118" s="518"/>
      <c r="J118" s="490">
        <v>0.0909252305608175</v>
      </c>
      <c r="K118" s="451">
        <v>0.107999060259743</v>
      </c>
      <c r="L118" s="451">
        <v>0.101611393055959</v>
      </c>
      <c r="M118" s="452"/>
      <c r="N118" s="490"/>
      <c r="O118" s="486"/>
      <c r="P118" s="509" t="str">
        <f t="array" ref="P118">INDEX(正厂竞争者数据汇总!$I$2:$I$243,MATCH($A$114&amp;$B118,正厂竞争者数据汇总!$A$2:$A$243&amp;正厂竞争者数据汇总!$D$2:$D$243,0))</f>
        <v>2023年1月，各 Brand 流量折算比例：Acura:0%,Ford:36%,GM:25%,Honda:0%,Hyundai:1%,Infiniti:1%,Kia:4%,Lexus:0%,Mopar:25%,Nissan:5%,Subaru:2%,Toyota:0%，折算比例为0，按照除0外的最低折算比例计</v>
      </c>
      <c r="Q118" s="494"/>
      <c r="R118" s="431"/>
      <c r="S118" s="473"/>
      <c r="T118" s="495"/>
      <c r="U118" s="466"/>
      <c r="V118" s="431"/>
      <c r="W118" s="431"/>
    </row>
    <row r="119" spans="1:23">
      <c r="A119" s="440" t="s">
        <v>230</v>
      </c>
      <c r="B119" s="440" t="s">
        <v>287</v>
      </c>
      <c r="C119" s="494" t="s">
        <v>233</v>
      </c>
      <c r="D119" s="431" t="s">
        <v>49</v>
      </c>
      <c r="E119" s="486"/>
      <c r="F119" s="486">
        <v>31281.5</v>
      </c>
      <c r="G119" s="486"/>
      <c r="H119" s="486"/>
      <c r="I119" s="518"/>
      <c r="J119" s="490">
        <v>0.0608441190569015</v>
      </c>
      <c r="K119" s="451"/>
      <c r="L119" s="451"/>
      <c r="M119" s="452"/>
      <c r="N119" s="490"/>
      <c r="O119" s="486"/>
      <c r="P119" s="509">
        <f t="array" ref="P119">INDEX(正厂竞争者数据汇总!$I$2:$I$243,MATCH($A$114&amp;$B119,正厂竞争者数据汇总!$A$2:$A$243&amp;正厂竞争者数据汇总!$D$2:$D$243,0))</f>
        <v>0</v>
      </c>
      <c r="Q119" s="494"/>
      <c r="R119" s="431"/>
      <c r="S119" s="473"/>
      <c r="T119" s="495"/>
      <c r="U119" s="466"/>
      <c r="V119" s="431"/>
      <c r="W119" s="431"/>
    </row>
    <row r="120" spans="1:23">
      <c r="A120" s="440" t="s">
        <v>230</v>
      </c>
      <c r="B120" s="440" t="s">
        <v>292</v>
      </c>
      <c r="C120" s="494" t="s">
        <v>233</v>
      </c>
      <c r="D120" s="431" t="s">
        <v>250</v>
      </c>
      <c r="E120" s="486"/>
      <c r="F120" s="486">
        <v>31264.7691666667</v>
      </c>
      <c r="G120" s="486"/>
      <c r="H120" s="486"/>
      <c r="I120" s="518"/>
      <c r="J120" s="490">
        <v>0.0608115767294794</v>
      </c>
      <c r="K120" s="451">
        <v>0.0663008506577886</v>
      </c>
      <c r="L120" s="451">
        <v>0.0634024555608802</v>
      </c>
      <c r="M120" s="452"/>
      <c r="N120" s="490"/>
      <c r="O120" s="486"/>
      <c r="P120" s="509" t="str">
        <f t="array" ref="P120">INDEX(正厂竞争者数据汇总!$I$2:$I$243,MATCH($A$114&amp;$B120,正厂竞争者数据汇总!$A$2:$A$243&amp;正厂竞争者数据汇总!$D$2:$D$243,0))</f>
        <v>同时经营多品牌，流量折算比例为Ford:23%,GM:23%,Infiniti:0%,Kia:13%,Mopar:31%,Nissan:10%</v>
      </c>
      <c r="Q120" s="494"/>
      <c r="R120" s="431"/>
      <c r="S120" s="473"/>
      <c r="T120" s="495"/>
      <c r="U120" s="466"/>
      <c r="V120" s="431"/>
      <c r="W120" s="431"/>
    </row>
    <row r="121" spans="1:23">
      <c r="A121" s="440" t="s">
        <v>230</v>
      </c>
      <c r="B121" s="440" t="s">
        <v>288</v>
      </c>
      <c r="C121" s="494" t="s">
        <v>441</v>
      </c>
      <c r="D121" s="431" t="s">
        <v>421</v>
      </c>
      <c r="E121" s="486"/>
      <c r="F121" s="486">
        <v>30781.8333333333</v>
      </c>
      <c r="G121" s="486"/>
      <c r="H121" s="486"/>
      <c r="I121" s="518"/>
      <c r="J121" s="490">
        <v>0.0598722418081944</v>
      </c>
      <c r="K121" s="451">
        <v>0.0618598162859099</v>
      </c>
      <c r="L121" s="451">
        <v>0.0762011223143824</v>
      </c>
      <c r="M121" s="452"/>
      <c r="N121" s="490"/>
      <c r="O121" s="486"/>
      <c r="P121" s="509" t="str">
        <f t="array" ref="P121">INDEX(正厂竞争者数据汇总!$I$2:$I$243,MATCH($A$114&amp;$B121,正厂竞争者数据汇总!$A$2:$A$243&amp;正厂竞争者数据汇总!$D$2:$D$243,0))</f>
        <v>2022年1月 新加入 CompetitorSites
2022年1月 新加入 MarketingShare</v>
      </c>
      <c r="Q121" s="494"/>
      <c r="R121" s="431"/>
      <c r="S121" s="473"/>
      <c r="T121" s="495"/>
      <c r="U121" s="466"/>
      <c r="V121" s="431"/>
      <c r="W121" s="431"/>
    </row>
    <row r="122" spans="1:23">
      <c r="A122" s="440" t="s">
        <v>230</v>
      </c>
      <c r="B122" s="440" t="s">
        <v>286</v>
      </c>
      <c r="C122" s="494" t="s">
        <v>233</v>
      </c>
      <c r="D122" s="431" t="s">
        <v>234</v>
      </c>
      <c r="E122" s="486"/>
      <c r="F122" s="486">
        <v>25548.4</v>
      </c>
      <c r="G122" s="486"/>
      <c r="H122" s="486"/>
      <c r="I122" s="518"/>
      <c r="J122" s="490">
        <v>0.0496929460324263</v>
      </c>
      <c r="K122" s="451"/>
      <c r="L122" s="451"/>
      <c r="M122" s="451"/>
      <c r="N122" s="490"/>
      <c r="O122" s="486"/>
      <c r="P122" s="509" t="str">
        <f t="array" ref="P122">INDEX(正厂竞争者数据汇总!$I$2:$I$243,MATCH($A$114&amp;$B122,正厂竞争者数据汇总!$A$2:$A$243&amp;正厂竞争者数据汇总!$D$2:$D$243,0))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22" s="494"/>
      <c r="R122" s="431"/>
      <c r="S122" s="473"/>
      <c r="T122" s="495"/>
      <c r="U122" s="466"/>
      <c r="V122" s="431"/>
      <c r="W122" s="431"/>
    </row>
    <row r="123" spans="1:23">
      <c r="A123" s="440" t="s">
        <v>230</v>
      </c>
      <c r="B123" s="440" t="s">
        <v>289</v>
      </c>
      <c r="C123" s="494" t="s">
        <v>233</v>
      </c>
      <c r="D123" s="431" t="s">
        <v>50</v>
      </c>
      <c r="E123" s="486"/>
      <c r="F123" s="486">
        <v>24551</v>
      </c>
      <c r="G123" s="486"/>
      <c r="H123" s="486"/>
      <c r="I123" s="518"/>
      <c r="J123" s="490">
        <v>0.0477529519673286</v>
      </c>
      <c r="K123" s="451">
        <v>0.0519122468376177</v>
      </c>
      <c r="L123" s="451">
        <v>0.0753260942468023</v>
      </c>
      <c r="M123" s="451"/>
      <c r="N123" s="490"/>
      <c r="O123" s="486"/>
      <c r="P123" s="509" t="str">
        <f t="array" ref="P123">INDEX(正厂竞争者数据汇总!$I$2:$I$243,MATCH($A$114&amp;$B123,正厂竞争者数据汇总!$A$2:$A$243&amp;正厂竞争者数据汇总!$D$2:$D$243,0))</f>
        <v>2021年11月重开
2021年10月临时关站
2020年10月从PartSites变成Revolution，加入MarketingShare</v>
      </c>
      <c r="Q123" s="494"/>
      <c r="R123" s="431"/>
      <c r="S123" s="473"/>
      <c r="T123" s="495"/>
      <c r="U123" s="466"/>
      <c r="V123" s="431"/>
      <c r="W123" s="431"/>
    </row>
    <row r="124" spans="1:23">
      <c r="A124" s="440" t="s">
        <v>230</v>
      </c>
      <c r="B124" s="431" t="s">
        <v>459</v>
      </c>
      <c r="C124" s="494" t="s">
        <v>233</v>
      </c>
      <c r="D124" s="431" t="s">
        <v>419</v>
      </c>
      <c r="E124" s="486"/>
      <c r="F124" s="486">
        <v>19863.155</v>
      </c>
      <c r="G124" s="486"/>
      <c r="H124" s="486"/>
      <c r="I124" s="518"/>
      <c r="J124" s="490">
        <v>0.0386348534330415</v>
      </c>
      <c r="K124" s="451"/>
      <c r="L124" s="451"/>
      <c r="M124" s="451"/>
      <c r="N124" s="490"/>
      <c r="O124" s="486"/>
      <c r="P124" s="509" t="str">
        <f t="array" ref="P124">INDEX(正厂竞争者数据汇总!$I$2:$I$243,MATCH($A$114&amp;$B124,正厂竞争者数据汇总!$A$2:$A$243&amp;正厂竞争者数据汇总!$D$2:$D$243,0))</f>
        <v>经营多品牌零件，折算比例为：Ford:33%,GM:17%,Hyundai:0%,Infiniti:0%,Kia:17%,Mopar:33%,Subaru:0%</v>
      </c>
      <c r="Q124" s="494"/>
      <c r="R124" s="431"/>
      <c r="S124" s="473"/>
      <c r="T124" s="495"/>
      <c r="U124" s="466"/>
      <c r="V124" s="431"/>
      <c r="W124" s="431"/>
    </row>
    <row r="125" s="408" customFormat="1" spans="1:23">
      <c r="A125" s="428"/>
      <c r="B125" s="421"/>
      <c r="C125" s="439"/>
      <c r="D125" s="421"/>
      <c r="E125" s="421"/>
      <c r="F125" s="430"/>
      <c r="G125" s="430"/>
      <c r="H125" s="430"/>
      <c r="I125" s="453"/>
      <c r="J125" s="430"/>
      <c r="K125" s="430"/>
      <c r="L125" s="430"/>
      <c r="M125" s="451"/>
      <c r="N125" s="451"/>
      <c r="O125" s="430"/>
      <c r="P125" s="509"/>
      <c r="Q125" s="429"/>
      <c r="R125" s="421"/>
      <c r="S125" s="473"/>
      <c r="T125" s="466"/>
      <c r="U125" s="466"/>
      <c r="V125" s="421"/>
      <c r="W125" s="421"/>
    </row>
    <row r="126" s="408" customFormat="1" spans="1:23">
      <c r="A126" s="428"/>
      <c r="B126" s="421"/>
      <c r="C126" s="439"/>
      <c r="D126" s="421"/>
      <c r="E126" s="421"/>
      <c r="F126" s="430">
        <v>514125.284166667</v>
      </c>
      <c r="G126" s="430">
        <v>445410.310833333</v>
      </c>
      <c r="H126" s="430">
        <v>428652.916666666</v>
      </c>
      <c r="I126" s="453">
        <f>(F126/G126)-1</f>
        <v>0.154273423093356</v>
      </c>
      <c r="J126" s="430"/>
      <c r="K126" s="430"/>
      <c r="L126" s="430"/>
      <c r="M126" s="451"/>
      <c r="N126" s="451">
        <f>SUM(N116:N117)</f>
        <v>0</v>
      </c>
      <c r="O126" s="430"/>
      <c r="P126" s="509"/>
      <c r="Q126" s="429"/>
      <c r="R126" s="421"/>
      <c r="S126" s="473"/>
      <c r="T126" s="466"/>
      <c r="U126" s="466"/>
      <c r="V126" s="421"/>
      <c r="W126" s="421"/>
    </row>
    <row r="127" s="408" customFormat="1" spans="1:23">
      <c r="A127" s="428"/>
      <c r="B127" s="421"/>
      <c r="C127" s="485"/>
      <c r="D127" s="421"/>
      <c r="E127" s="430"/>
      <c r="F127" s="451"/>
      <c r="G127" s="451"/>
      <c r="H127" s="451"/>
      <c r="I127" s="453"/>
      <c r="J127" s="451"/>
      <c r="K127" s="451"/>
      <c r="L127" s="451"/>
      <c r="M127" s="451"/>
      <c r="N127" s="451"/>
      <c r="O127" s="451"/>
      <c r="P127" s="509"/>
      <c r="Q127" s="429"/>
      <c r="R127" s="421"/>
      <c r="S127" s="473"/>
      <c r="T127" s="466"/>
      <c r="U127" s="466"/>
      <c r="V127" s="421"/>
      <c r="W127" s="421"/>
    </row>
    <row r="128" s="408" customFormat="1" ht="17.4" spans="1:23">
      <c r="A128" s="418" t="s">
        <v>174</v>
      </c>
      <c r="B128" s="419"/>
      <c r="C128" s="420"/>
      <c r="D128" s="421"/>
      <c r="E128" s="422" t="s">
        <v>202</v>
      </c>
      <c r="F128" s="422"/>
      <c r="G128" s="422"/>
      <c r="H128" s="422"/>
      <c r="I128" s="422"/>
      <c r="J128" s="422"/>
      <c r="K128" s="422"/>
      <c r="L128" s="422"/>
      <c r="M128" s="443"/>
      <c r="N128" s="444"/>
      <c r="O128" s="422"/>
      <c r="P128" s="509"/>
      <c r="Q128" s="465"/>
      <c r="R128" s="424"/>
      <c r="S128" s="473"/>
      <c r="T128" s="467"/>
      <c r="U128" s="467"/>
      <c r="V128" s="467"/>
      <c r="W128" s="467"/>
    </row>
    <row r="129" s="409" customFormat="1" ht="46.8" spans="1:23">
      <c r="A129" s="423" t="s">
        <v>206</v>
      </c>
      <c r="B129" s="424" t="s">
        <v>207</v>
      </c>
      <c r="C129" s="425" t="s">
        <v>447</v>
      </c>
      <c r="D129" s="424" t="s">
        <v>209</v>
      </c>
      <c r="E129" s="426" t="s">
        <v>210</v>
      </c>
      <c r="F129" s="427" t="s">
        <v>385</v>
      </c>
      <c r="G129" s="427" t="s">
        <v>213</v>
      </c>
      <c r="H129" s="427" t="s">
        <v>396</v>
      </c>
      <c r="I129" s="427" t="s">
        <v>386</v>
      </c>
      <c r="J129" s="446" t="s">
        <v>216</v>
      </c>
      <c r="K129" s="446" t="s">
        <v>217</v>
      </c>
      <c r="L129" s="446" t="s">
        <v>387</v>
      </c>
      <c r="M129" s="447" t="s">
        <v>436</v>
      </c>
      <c r="N129" s="448" t="s">
        <v>219</v>
      </c>
      <c r="O129" s="449" t="s">
        <v>220</v>
      </c>
      <c r="P129" s="508" t="s">
        <v>221</v>
      </c>
      <c r="Q129" s="469" t="s">
        <v>222</v>
      </c>
      <c r="R129" s="426" t="s">
        <v>223</v>
      </c>
      <c r="S129" s="470" t="s">
        <v>224</v>
      </c>
      <c r="T129" s="467" t="s">
        <v>225</v>
      </c>
      <c r="U129" s="470" t="s">
        <v>226</v>
      </c>
      <c r="V129" s="467"/>
      <c r="W129" s="467"/>
    </row>
    <row r="130" s="410" customFormat="1" ht="17.4" spans="1:23">
      <c r="A130" s="435" t="s">
        <v>227</v>
      </c>
      <c r="B130" s="435" t="s">
        <v>175</v>
      </c>
      <c r="C130" s="435" t="s">
        <v>441</v>
      </c>
      <c r="D130" s="435" t="s">
        <v>49</v>
      </c>
      <c r="E130" s="436">
        <f>VLOOKUP(B130,正厂竞争者数据汇总!D:H,4,FALSE)</f>
        <v>325311</v>
      </c>
      <c r="F130" s="436">
        <v>204284.416666667</v>
      </c>
      <c r="G130" s="436">
        <v>187069.166666667</v>
      </c>
      <c r="H130" s="436">
        <v>185523.083333333</v>
      </c>
      <c r="I130" s="454">
        <f>(F130/G130)-1</f>
        <v>0.0920261222453369</v>
      </c>
      <c r="J130" s="457">
        <v>0.402116894567786</v>
      </c>
      <c r="K130" s="457">
        <v>0.457190770523565</v>
      </c>
      <c r="L130" s="457">
        <v>0.416979206077474</v>
      </c>
      <c r="M130" s="456">
        <f>J130-K130</f>
        <v>-0.055073875955779</v>
      </c>
      <c r="N130" s="457" t="str">
        <f>IFERROR(O130*0.5/$F$130,"")</f>
        <v/>
      </c>
      <c r="O130" s="436" t="s">
        <v>180</v>
      </c>
      <c r="P130" s="509">
        <f t="array" ref="P130">INDEX(正厂竞争者数据汇总!$I$2:$I$243,MATCH($A$128&amp;$B130,正厂竞争者数据汇总!$A$2:$A$243&amp;正厂竞争者数据汇总!$D$2:$D$243,0))</f>
        <v>0</v>
      </c>
      <c r="Q130" s="434" t="s">
        <v>318</v>
      </c>
      <c r="R130" s="435" t="s">
        <v>229</v>
      </c>
      <c r="S130" s="476"/>
      <c r="T130" s="477"/>
      <c r="U130" s="477"/>
      <c r="V130" s="435"/>
      <c r="W130" s="435"/>
    </row>
    <row r="131" spans="1:23">
      <c r="A131" s="431" t="s">
        <v>230</v>
      </c>
      <c r="B131" s="431" t="s">
        <v>320</v>
      </c>
      <c r="C131" s="523" t="s">
        <v>441</v>
      </c>
      <c r="D131" s="431" t="s">
        <v>58</v>
      </c>
      <c r="E131" s="486"/>
      <c r="F131" s="486">
        <v>74952</v>
      </c>
      <c r="G131" s="486"/>
      <c r="H131" s="486"/>
      <c r="I131" s="518"/>
      <c r="J131" s="490">
        <v>0.147536782165933</v>
      </c>
      <c r="K131" s="451">
        <v>0.281617645112036</v>
      </c>
      <c r="L131" s="451">
        <v>0.350823365910854</v>
      </c>
      <c r="M131" s="490"/>
      <c r="N131" s="490"/>
      <c r="O131" s="486"/>
      <c r="P131" s="509">
        <f t="array" ref="P131">INDEX(正厂竞争者数据汇总!$I$2:$I$243,MATCH($A$128&amp;$B131,正厂竞争者数据汇总!$A$2:$A$243&amp;正厂竞争者数据汇总!$D$2:$D$243,0))</f>
        <v>0</v>
      </c>
      <c r="Q131" s="494"/>
      <c r="R131" s="431"/>
      <c r="S131" s="473"/>
      <c r="T131" s="495"/>
      <c r="U131" s="495"/>
      <c r="V131" s="431"/>
      <c r="W131" s="431"/>
    </row>
    <row r="132" spans="1:23">
      <c r="A132" s="431" t="s">
        <v>230</v>
      </c>
      <c r="B132" s="431" t="s">
        <v>319</v>
      </c>
      <c r="C132" s="431" t="s">
        <v>233</v>
      </c>
      <c r="D132" s="431" t="s">
        <v>234</v>
      </c>
      <c r="E132" s="486"/>
      <c r="F132" s="486">
        <v>61983.9333333333</v>
      </c>
      <c r="G132" s="486"/>
      <c r="H132" s="486"/>
      <c r="I132" s="518"/>
      <c r="J132" s="490">
        <v>0.12201022080782</v>
      </c>
      <c r="K132" s="451"/>
      <c r="L132" s="451"/>
      <c r="M132" s="490"/>
      <c r="N132" s="490"/>
      <c r="O132" s="486"/>
      <c r="P132" s="509" t="str">
        <f t="array" ref="P132">INDEX(正厂竞争者数据汇总!$I$2:$I$243,MATCH($A$128&amp;$B132,正厂竞争者数据汇总!$A$2:$A$243&amp;正厂竞争者数据汇总!$D$2:$D$243,0))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32" s="494"/>
      <c r="R132" s="431"/>
      <c r="S132" s="473"/>
      <c r="T132" s="495"/>
      <c r="U132" s="495"/>
      <c r="V132" s="431"/>
      <c r="W132" s="431"/>
    </row>
    <row r="133" spans="1:23">
      <c r="A133" s="431" t="s">
        <v>230</v>
      </c>
      <c r="B133" s="431" t="s">
        <v>323</v>
      </c>
      <c r="C133" s="431" t="s">
        <v>441</v>
      </c>
      <c r="D133" s="431" t="s">
        <v>411</v>
      </c>
      <c r="E133" s="486"/>
      <c r="F133" s="486">
        <v>54875.5</v>
      </c>
      <c r="G133" s="486"/>
      <c r="H133" s="486"/>
      <c r="I133" s="518"/>
      <c r="J133" s="490">
        <v>0.108017860627424</v>
      </c>
      <c r="K133" s="451">
        <v>0.100933371160503</v>
      </c>
      <c r="L133" s="451">
        <v>0.094963158308766</v>
      </c>
      <c r="M133" s="490"/>
      <c r="N133" s="490"/>
      <c r="O133" s="486"/>
      <c r="P133" s="509" t="str">
        <f t="array" ref="P133">INDEX(正厂竞争者数据汇总!$I$2:$I$243,MATCH($A$128&amp;$B133,正厂竞争者数据汇总!$A$2:$A$243&amp;正厂竞争者数据汇总!$D$2:$D$243,0))</f>
        <v>2022年1月 新加入 CompetitorSites
2022年1月 新加入 MarketingShare</v>
      </c>
      <c r="Q133" s="494"/>
      <c r="R133" s="431"/>
      <c r="S133" s="473"/>
      <c r="T133" s="495"/>
      <c r="U133" s="495"/>
      <c r="V133" s="431"/>
      <c r="W133" s="431"/>
    </row>
    <row r="134" spans="1:23">
      <c r="A134" s="431" t="s">
        <v>230</v>
      </c>
      <c r="B134" s="431" t="s">
        <v>321</v>
      </c>
      <c r="C134" s="431" t="s">
        <v>441</v>
      </c>
      <c r="D134" s="431" t="s">
        <v>57</v>
      </c>
      <c r="E134" s="486"/>
      <c r="F134" s="486">
        <v>41317</v>
      </c>
      <c r="G134" s="486"/>
      <c r="H134" s="486"/>
      <c r="I134" s="518"/>
      <c r="J134" s="490">
        <v>0.0813290803280747</v>
      </c>
      <c r="K134" s="451"/>
      <c r="L134" s="451"/>
      <c r="M134" s="490"/>
      <c r="N134" s="490"/>
      <c r="O134" s="486"/>
      <c r="P134" s="509" t="str">
        <f t="array" ref="P134">INDEX(正厂竞争者数据汇总!$I$2:$I$243,MATCH($A$128&amp;$B134,正厂竞争者数据汇总!$A$2:$A$243&amp;正厂竞争者数据汇总!$D$2:$D$243,0))</f>
        <v>同时经营honda/acura，折算比例：acura75%，honda25%</v>
      </c>
      <c r="Q134" s="494"/>
      <c r="R134" s="431"/>
      <c r="S134" s="473"/>
      <c r="T134" s="495"/>
      <c r="U134" s="495"/>
      <c r="V134" s="431"/>
      <c r="W134" s="431"/>
    </row>
    <row r="135" spans="1:23">
      <c r="A135" s="431" t="s">
        <v>238</v>
      </c>
      <c r="B135" s="431" t="s">
        <v>322</v>
      </c>
      <c r="C135" s="523" t="s">
        <v>441</v>
      </c>
      <c r="D135" s="431" t="s">
        <v>250</v>
      </c>
      <c r="E135" s="486"/>
      <c r="F135" s="486">
        <v>39220.4166666667</v>
      </c>
      <c r="G135" s="486"/>
      <c r="H135" s="486"/>
      <c r="I135" s="518"/>
      <c r="J135" s="490">
        <v>0.0772021302994867</v>
      </c>
      <c r="K135" s="451">
        <v>0.118014660132858</v>
      </c>
      <c r="L135" s="451">
        <v>0.0853215734604967</v>
      </c>
      <c r="M135" s="490"/>
      <c r="N135" s="490"/>
      <c r="O135" s="486"/>
      <c r="P135" s="509">
        <f t="array" ref="P135">INDEX(正厂竞争者数据汇总!$I$2:$I$243,MATCH($A$128&amp;$B135,正厂竞争者数据汇总!$A$2:$A$243&amp;正厂竞争者数据汇总!$D$2:$D$243,0))</f>
        <v>0</v>
      </c>
      <c r="Q135" s="494"/>
      <c r="R135" s="431"/>
      <c r="S135" s="473"/>
      <c r="T135" s="495"/>
      <c r="U135" s="495"/>
      <c r="V135" s="431"/>
      <c r="W135" s="431"/>
    </row>
    <row r="136" spans="1:23">
      <c r="A136" s="431" t="s">
        <v>230</v>
      </c>
      <c r="B136" s="431" t="s">
        <v>439</v>
      </c>
      <c r="C136" s="431" t="s">
        <v>441</v>
      </c>
      <c r="D136" s="431" t="s">
        <v>460</v>
      </c>
      <c r="E136" s="486"/>
      <c r="F136" s="486">
        <v>31389.2</v>
      </c>
      <c r="G136" s="486"/>
      <c r="H136" s="486"/>
      <c r="I136" s="518"/>
      <c r="J136" s="490">
        <v>0.0617870312034756</v>
      </c>
      <c r="K136" s="451"/>
      <c r="L136" s="451"/>
      <c r="M136" s="490"/>
      <c r="N136" s="490"/>
      <c r="O136" s="486"/>
      <c r="P136" s="509" t="str">
        <f t="array" ref="P136">INDEX(正厂竞争者数据汇总!$I$2:$I$243,MATCH($A$128&amp;$B136,正厂竞争者数据汇总!$A$2:$A$243&amp;正厂竞争者数据汇总!$D$2:$D$243,0))</f>
        <v>同时经营honda/acura，折算比例：acura:80%,honda:20%</v>
      </c>
      <c r="Q136" s="494"/>
      <c r="R136" s="431"/>
      <c r="S136" s="473"/>
      <c r="T136" s="495"/>
      <c r="U136" s="495"/>
      <c r="V136" s="431"/>
      <c r="W136" s="431"/>
    </row>
    <row r="137" s="408" customFormat="1" spans="1:23">
      <c r="A137" s="428"/>
      <c r="B137" s="438"/>
      <c r="C137" s="429"/>
      <c r="D137" s="421"/>
      <c r="E137" s="430"/>
      <c r="F137" s="486"/>
      <c r="G137" s="486">
        <v>409170.916666667</v>
      </c>
      <c r="H137" s="486"/>
      <c r="I137" s="453"/>
      <c r="J137" s="451"/>
      <c r="K137" s="430"/>
      <c r="L137" s="430"/>
      <c r="M137" s="451"/>
      <c r="N137" s="451"/>
      <c r="O137" s="430"/>
      <c r="P137" s="509"/>
      <c r="Q137" s="429"/>
      <c r="R137" s="421"/>
      <c r="S137" s="473"/>
      <c r="T137" s="466"/>
      <c r="U137" s="466"/>
      <c r="V137" s="421"/>
      <c r="W137" s="421"/>
    </row>
    <row r="138" s="408" customFormat="1" spans="1:23">
      <c r="A138" s="428"/>
      <c r="B138" s="421"/>
      <c r="C138" s="439"/>
      <c r="D138" s="421"/>
      <c r="E138" s="421"/>
      <c r="F138" s="430">
        <v>508022.466666667</v>
      </c>
      <c r="G138" s="430"/>
      <c r="H138" s="430">
        <v>444921.666666667</v>
      </c>
      <c r="I138" s="453" t="e">
        <f>(F138/G138)-1</f>
        <v>#DIV/0!</v>
      </c>
      <c r="J138" s="430"/>
      <c r="K138" s="430"/>
      <c r="L138" s="430"/>
      <c r="M138" s="451"/>
      <c r="N138" s="451">
        <f>SUM(N130:N137)</f>
        <v>0</v>
      </c>
      <c r="O138" s="430"/>
      <c r="P138" s="509"/>
      <c r="Q138" s="429" t="s">
        <v>180</v>
      </c>
      <c r="R138" s="421" t="s">
        <v>180</v>
      </c>
      <c r="S138" s="473"/>
      <c r="T138" s="466"/>
      <c r="U138" s="466"/>
      <c r="V138" s="421"/>
      <c r="W138" s="421"/>
    </row>
    <row r="139" s="408" customFormat="1" spans="1:23">
      <c r="A139" s="428"/>
      <c r="B139" s="421"/>
      <c r="C139" s="439"/>
      <c r="D139" s="421"/>
      <c r="E139" s="430"/>
      <c r="F139" s="430"/>
      <c r="G139" s="430"/>
      <c r="H139" s="430"/>
      <c r="I139" s="453"/>
      <c r="J139" s="430"/>
      <c r="K139" s="430"/>
      <c r="L139" s="430"/>
      <c r="M139" s="451"/>
      <c r="N139" s="459"/>
      <c r="O139" s="430"/>
      <c r="P139" s="509"/>
      <c r="Q139" s="429"/>
      <c r="R139" s="421" t="s">
        <v>180</v>
      </c>
      <c r="S139" s="473"/>
      <c r="T139" s="466"/>
      <c r="U139" s="466"/>
      <c r="V139" s="421"/>
      <c r="W139" s="421"/>
    </row>
    <row r="140" s="408" customFormat="1" ht="17.4" spans="1:23">
      <c r="A140" s="418" t="s">
        <v>168</v>
      </c>
      <c r="B140" s="487"/>
      <c r="C140" s="420"/>
      <c r="D140" s="421"/>
      <c r="E140" s="422" t="s">
        <v>202</v>
      </c>
      <c r="F140" s="422"/>
      <c r="G140" s="422" t="s">
        <v>213</v>
      </c>
      <c r="H140" s="422"/>
      <c r="I140" s="422"/>
      <c r="J140" s="422"/>
      <c r="K140" s="422"/>
      <c r="L140" s="422"/>
      <c r="M140" s="443"/>
      <c r="N140" s="444"/>
      <c r="O140" s="422"/>
      <c r="P140" s="509"/>
      <c r="Q140" s="465"/>
      <c r="R140" s="424"/>
      <c r="S140" s="473"/>
      <c r="T140" s="467"/>
      <c r="U140" s="467"/>
      <c r="V140" s="467"/>
      <c r="W140" s="467"/>
    </row>
    <row r="141" s="409" customFormat="1" ht="46.8" spans="1:23">
      <c r="A141" s="423" t="s">
        <v>206</v>
      </c>
      <c r="B141" s="424" t="s">
        <v>207</v>
      </c>
      <c r="C141" s="425" t="s">
        <v>447</v>
      </c>
      <c r="D141" s="424" t="s">
        <v>209</v>
      </c>
      <c r="E141" s="426" t="s">
        <v>210</v>
      </c>
      <c r="F141" s="427" t="s">
        <v>385</v>
      </c>
      <c r="G141" s="427">
        <v>197584.75</v>
      </c>
      <c r="H141" s="427" t="s">
        <v>396</v>
      </c>
      <c r="I141" s="427" t="s">
        <v>386</v>
      </c>
      <c r="J141" s="446" t="s">
        <v>216</v>
      </c>
      <c r="K141" s="446" t="s">
        <v>217</v>
      </c>
      <c r="L141" s="446" t="s">
        <v>387</v>
      </c>
      <c r="M141" s="447" t="s">
        <v>436</v>
      </c>
      <c r="N141" s="448" t="s">
        <v>219</v>
      </c>
      <c r="O141" s="449" t="s">
        <v>220</v>
      </c>
      <c r="P141" s="508" t="s">
        <v>221</v>
      </c>
      <c r="Q141" s="469" t="s">
        <v>222</v>
      </c>
      <c r="R141" s="426" t="s">
        <v>223</v>
      </c>
      <c r="S141" s="470" t="s">
        <v>224</v>
      </c>
      <c r="T141" s="467" t="s">
        <v>225</v>
      </c>
      <c r="U141" s="470" t="s">
        <v>226</v>
      </c>
      <c r="V141" s="467"/>
      <c r="W141" s="467"/>
    </row>
    <row r="142" s="410" customFormat="1" ht="17.4" spans="1:23">
      <c r="A142" s="432" t="s">
        <v>227</v>
      </c>
      <c r="B142" s="488" t="s">
        <v>169</v>
      </c>
      <c r="C142" s="434" t="s">
        <v>441</v>
      </c>
      <c r="D142" s="435" t="s">
        <v>49</v>
      </c>
      <c r="E142" s="436">
        <f>VLOOKUP(B142,正厂竞争者数据汇总!D:H,4,FALSE)</f>
        <v>0</v>
      </c>
      <c r="F142" s="436">
        <v>233390.333333333</v>
      </c>
      <c r="G142" s="436">
        <v>39089.5833333333</v>
      </c>
      <c r="H142" s="436">
        <v>201623.666666667</v>
      </c>
      <c r="I142" s="454">
        <f>(F142/G142)-1</f>
        <v>4.9706528806694</v>
      </c>
      <c r="J142" s="457">
        <v>0.620148369158349</v>
      </c>
      <c r="K142" s="457">
        <v>0.761590727097114</v>
      </c>
      <c r="L142" s="457">
        <v>0.790857050212809</v>
      </c>
      <c r="M142" s="456">
        <f>J142-K143</f>
        <v>0.469477509222263</v>
      </c>
      <c r="N142" s="457" t="str">
        <f t="shared" ref="N142" si="0">IFERROR(O142*0.5/$F$142,"")</f>
        <v/>
      </c>
      <c r="O142" s="436" t="s">
        <v>180</v>
      </c>
      <c r="P142" s="509">
        <f t="array" ref="P142">INDEX(正厂竞争者数据汇总!$I$2:$I$243,MATCH($A$140&amp;$B142,正厂竞争者数据汇总!$A$2:$A$243&amp;正厂竞争者数据汇总!$D$2:$D$243,0))</f>
        <v>0</v>
      </c>
      <c r="Q142" s="434" t="s">
        <v>299</v>
      </c>
      <c r="R142" s="435" t="s">
        <v>229</v>
      </c>
      <c r="S142" s="476"/>
      <c r="T142" s="477"/>
      <c r="U142" s="477"/>
      <c r="V142" s="435"/>
      <c r="W142" s="435"/>
    </row>
    <row r="143" s="408" customFormat="1" spans="1:23">
      <c r="A143" s="255" t="s">
        <v>305</v>
      </c>
      <c r="B143" s="524" t="s">
        <v>306</v>
      </c>
      <c r="C143" s="494" t="s">
        <v>233</v>
      </c>
      <c r="D143" s="431" t="s">
        <v>49</v>
      </c>
      <c r="E143" s="486"/>
      <c r="F143" s="486">
        <v>48964.4166666667</v>
      </c>
      <c r="G143" s="486"/>
      <c r="H143" s="486"/>
      <c r="I143" s="518"/>
      <c r="J143" s="490">
        <v>0.130104802152431</v>
      </c>
      <c r="K143" s="451">
        <v>0.150670859936086</v>
      </c>
      <c r="L143" s="451">
        <v>0.11640924009559</v>
      </c>
      <c r="M143" s="451"/>
      <c r="N143" s="451"/>
      <c r="O143" s="430"/>
      <c r="P143" s="509">
        <f t="array" ref="P143">INDEX(正厂竞争者数据汇总!$I$2:$I$243,MATCH($A$140&amp;$B143,正厂竞争者数据汇总!$A$2:$A$243&amp;正厂竞争者数据汇总!$D$2:$D$243,0))</f>
        <v>0</v>
      </c>
      <c r="Q143" s="429"/>
      <c r="R143" s="421"/>
      <c r="S143" s="473"/>
      <c r="T143" s="477"/>
      <c r="U143" s="466"/>
      <c r="V143" s="421"/>
      <c r="W143" s="421"/>
    </row>
    <row r="144" s="408" customFormat="1" spans="1:23">
      <c r="A144" s="255" t="s">
        <v>230</v>
      </c>
      <c r="B144" s="431" t="s">
        <v>308</v>
      </c>
      <c r="C144" s="494" t="s">
        <v>233</v>
      </c>
      <c r="D144" s="431" t="s">
        <v>426</v>
      </c>
      <c r="E144" s="486"/>
      <c r="F144" s="486">
        <v>35605.5</v>
      </c>
      <c r="G144" s="486"/>
      <c r="H144" s="486"/>
      <c r="I144" s="518"/>
      <c r="J144" s="490">
        <v>0.094608428904086</v>
      </c>
      <c r="K144" s="451"/>
      <c r="L144" s="451"/>
      <c r="M144" s="451"/>
      <c r="N144" s="451"/>
      <c r="O144" s="430"/>
      <c r="P144" s="509">
        <f t="array" ref="P144">INDEX(正厂竞争者数据汇总!$I$2:$I$243,MATCH($A$140&amp;$B144,正厂竞争者数据汇总!$A$2:$A$243&amp;正厂竞争者数据汇总!$D$2:$D$243,0))</f>
        <v>0</v>
      </c>
      <c r="Q144" s="429"/>
      <c r="R144" s="421"/>
      <c r="S144" s="473"/>
      <c r="T144" s="466"/>
      <c r="U144" s="466"/>
      <c r="V144" s="421"/>
      <c r="W144" s="421"/>
    </row>
    <row r="145" s="408" customFormat="1" spans="1:23">
      <c r="A145" s="255" t="s">
        <v>230</v>
      </c>
      <c r="B145" s="431" t="s">
        <v>309</v>
      </c>
      <c r="C145" s="494" t="s">
        <v>233</v>
      </c>
      <c r="D145" s="431" t="s">
        <v>266</v>
      </c>
      <c r="E145" s="486"/>
      <c r="F145" s="486">
        <v>19860.96</v>
      </c>
      <c r="G145" s="486"/>
      <c r="H145" s="486"/>
      <c r="I145" s="518"/>
      <c r="J145" s="490">
        <v>0.0527731452198929</v>
      </c>
      <c r="K145" s="451"/>
      <c r="L145" s="451"/>
      <c r="M145" s="451"/>
      <c r="N145" s="451"/>
      <c r="O145" s="430"/>
      <c r="P145" s="509" t="str">
        <f t="array" ref="P145">INDEX(正厂竞争者数据汇总!$I$2:$I$243,MATCH($A$140&amp;$B145,正厂竞争者数据汇总!$A$2:$A$243&amp;正厂竞争者数据汇总!$D$2:$D$243,0))</f>
        <v>同时经营多品牌网站零件，折算比例为：toyota：33%，lexus：42%，subaru:25%</v>
      </c>
      <c r="Q145" s="429"/>
      <c r="R145" s="421"/>
      <c r="S145" s="473"/>
      <c r="T145" s="466"/>
      <c r="U145" s="466"/>
      <c r="V145" s="421"/>
      <c r="W145" s="421"/>
    </row>
    <row r="146" s="408" customFormat="1" spans="1:23">
      <c r="A146" s="255" t="s">
        <v>230</v>
      </c>
      <c r="B146" s="431" t="s">
        <v>304</v>
      </c>
      <c r="C146" s="494" t="s">
        <v>233</v>
      </c>
      <c r="D146" s="431" t="s">
        <v>49</v>
      </c>
      <c r="E146" s="486"/>
      <c r="F146" s="486">
        <v>19659.5833333333</v>
      </c>
      <c r="G146" s="486"/>
      <c r="H146" s="486"/>
      <c r="I146" s="518"/>
      <c r="J146" s="490">
        <v>0.0522380613128764</v>
      </c>
      <c r="K146" s="451">
        <v>0.0781455222094772</v>
      </c>
      <c r="L146" s="451">
        <v>0.0837974072007526</v>
      </c>
      <c r="M146" s="451"/>
      <c r="N146" s="451"/>
      <c r="O146" s="430"/>
      <c r="P146" s="509">
        <f t="array" ref="P146">INDEX(正厂竞争者数据汇总!$I$2:$I$243,MATCH($A$140&amp;$B146,正厂竞争者数据汇总!$A$2:$A$243&amp;正厂竞争者数据汇总!$D$2:$D$243,0))</f>
        <v>0</v>
      </c>
      <c r="Q146" s="429"/>
      <c r="R146" s="421"/>
      <c r="S146" s="473"/>
      <c r="T146" s="466"/>
      <c r="U146" s="466"/>
      <c r="V146" s="421"/>
      <c r="W146" s="421"/>
    </row>
    <row r="147" s="408" customFormat="1" spans="1:23">
      <c r="A147" s="255" t="s">
        <v>230</v>
      </c>
      <c r="B147" s="431" t="s">
        <v>461</v>
      </c>
      <c r="C147" s="494" t="s">
        <v>441</v>
      </c>
      <c r="D147" s="431" t="s">
        <v>49</v>
      </c>
      <c r="E147" s="486"/>
      <c r="F147" s="486">
        <v>18865.1666666667</v>
      </c>
      <c r="G147" s="486"/>
      <c r="H147" s="486"/>
      <c r="I147" s="518"/>
      <c r="J147" s="490">
        <v>0.0501271932523646</v>
      </c>
      <c r="K147" s="451"/>
      <c r="L147" s="451"/>
      <c r="M147" s="451"/>
      <c r="N147" s="451"/>
      <c r="O147" s="430"/>
      <c r="P147" s="509" t="str">
        <f t="array" ref="P147">INDEX(正厂竞争者数据汇总!$I$2:$I$243,MATCH($A$140&amp;$B147,正厂竞争者数据汇总!$A$2:$A$243&amp;正厂竞争者数据汇总!$D$2:$D$243,0))</f>
        <v>2023年3月新增正厂</v>
      </c>
      <c r="Q147" s="429"/>
      <c r="R147" s="421"/>
      <c r="S147" s="473"/>
      <c r="T147" s="466"/>
      <c r="U147" s="466"/>
      <c r="V147" s="421"/>
      <c r="W147" s="421"/>
    </row>
    <row r="148" s="408" customFormat="1" spans="1:23">
      <c r="A148" s="440"/>
      <c r="B148" s="431"/>
      <c r="C148" s="429"/>
      <c r="D148" s="421"/>
      <c r="E148" s="430"/>
      <c r="F148" s="430"/>
      <c r="G148" s="430">
        <v>259436.916666667</v>
      </c>
      <c r="H148" s="430"/>
      <c r="I148" s="453"/>
      <c r="J148" s="451"/>
      <c r="K148" s="451"/>
      <c r="L148" s="451"/>
      <c r="M148" s="451"/>
      <c r="N148" s="451"/>
      <c r="O148" s="430"/>
      <c r="P148" s="509"/>
      <c r="Q148" s="429"/>
      <c r="R148" s="421"/>
      <c r="S148" s="473"/>
      <c r="T148" s="466"/>
      <c r="U148" s="466"/>
      <c r="V148" s="421"/>
      <c r="W148" s="421"/>
    </row>
    <row r="149" s="408" customFormat="1" spans="1:23">
      <c r="A149" s="428"/>
      <c r="B149" s="421"/>
      <c r="C149" s="439"/>
      <c r="D149" s="421"/>
      <c r="E149" s="430"/>
      <c r="F149" s="430">
        <v>376345.96</v>
      </c>
      <c r="G149" s="430"/>
      <c r="H149" s="430">
        <v>254943.25</v>
      </c>
      <c r="I149" s="453" t="e">
        <f>(F149/G149)-1</f>
        <v>#DIV/0!</v>
      </c>
      <c r="J149" s="430"/>
      <c r="K149" s="430"/>
      <c r="L149" s="430"/>
      <c r="M149" s="451"/>
      <c r="N149" s="451">
        <f>SUM(N142:N144)</f>
        <v>0</v>
      </c>
      <c r="O149" s="430"/>
      <c r="P149" s="509"/>
      <c r="Q149" s="429"/>
      <c r="R149" s="421"/>
      <c r="S149" s="473"/>
      <c r="T149" s="466"/>
      <c r="U149" s="466"/>
      <c r="V149" s="421"/>
      <c r="W149" s="421"/>
    </row>
    <row r="150" s="408" customFormat="1" spans="1:23">
      <c r="A150" s="428"/>
      <c r="B150" s="421"/>
      <c r="C150" s="439"/>
      <c r="D150" s="421"/>
      <c r="E150" s="430"/>
      <c r="F150" s="451"/>
      <c r="G150" s="451"/>
      <c r="H150" s="451"/>
      <c r="I150" s="453"/>
      <c r="J150" s="451"/>
      <c r="K150" s="451"/>
      <c r="L150" s="451"/>
      <c r="M150" s="451"/>
      <c r="N150" s="451"/>
      <c r="O150" s="451"/>
      <c r="P150" s="509"/>
      <c r="Q150" s="429"/>
      <c r="R150" s="421"/>
      <c r="S150" s="473"/>
      <c r="T150" s="466"/>
      <c r="U150" s="466"/>
      <c r="V150" s="421"/>
      <c r="W150" s="421"/>
    </row>
    <row r="151" s="408" customFormat="1" ht="17.4" spans="1:23">
      <c r="A151" s="418" t="s">
        <v>177</v>
      </c>
      <c r="B151" s="419"/>
      <c r="C151" s="420"/>
      <c r="D151" s="421"/>
      <c r="E151" s="422" t="s">
        <v>202</v>
      </c>
      <c r="F151" s="422"/>
      <c r="G151" s="422" t="s">
        <v>213</v>
      </c>
      <c r="H151" s="422"/>
      <c r="I151" s="422"/>
      <c r="J151" s="422"/>
      <c r="K151" s="422"/>
      <c r="L151" s="422"/>
      <c r="M151" s="443"/>
      <c r="N151" s="444"/>
      <c r="O151" s="422"/>
      <c r="P151" s="509"/>
      <c r="Q151" s="465"/>
      <c r="R151" s="424"/>
      <c r="S151" s="473"/>
      <c r="T151" s="467"/>
      <c r="U151" s="467"/>
      <c r="V151" s="467"/>
      <c r="W151" s="467"/>
    </row>
    <row r="152" s="409" customFormat="1" ht="46.8" spans="1:23">
      <c r="A152" s="423" t="s">
        <v>206</v>
      </c>
      <c r="B152" s="424" t="s">
        <v>207</v>
      </c>
      <c r="C152" s="425" t="s">
        <v>447</v>
      </c>
      <c r="D152" s="424" t="s">
        <v>209</v>
      </c>
      <c r="E152" s="426" t="s">
        <v>210</v>
      </c>
      <c r="F152" s="427" t="s">
        <v>385</v>
      </c>
      <c r="G152" s="427">
        <v>93920.4166666667</v>
      </c>
      <c r="H152" s="427" t="s">
        <v>396</v>
      </c>
      <c r="I152" s="427" t="s">
        <v>386</v>
      </c>
      <c r="J152" s="446" t="s">
        <v>216</v>
      </c>
      <c r="K152" s="446" t="s">
        <v>217</v>
      </c>
      <c r="L152" s="446" t="s">
        <v>387</v>
      </c>
      <c r="M152" s="447" t="s">
        <v>436</v>
      </c>
      <c r="N152" s="448" t="s">
        <v>219</v>
      </c>
      <c r="O152" s="449" t="s">
        <v>220</v>
      </c>
      <c r="P152" s="508" t="s">
        <v>221</v>
      </c>
      <c r="Q152" s="469" t="s">
        <v>222</v>
      </c>
      <c r="R152" s="426" t="s">
        <v>223</v>
      </c>
      <c r="S152" s="470" t="s">
        <v>224</v>
      </c>
      <c r="T152" s="467" t="s">
        <v>225</v>
      </c>
      <c r="U152" s="470" t="s">
        <v>226</v>
      </c>
      <c r="V152" s="467"/>
      <c r="W152" s="467"/>
    </row>
    <row r="153" s="410" customFormat="1" ht="17.4" spans="1:23">
      <c r="A153" s="432" t="s">
        <v>227</v>
      </c>
      <c r="B153" s="435" t="s">
        <v>178</v>
      </c>
      <c r="C153" s="434" t="s">
        <v>441</v>
      </c>
      <c r="D153" s="435" t="s">
        <v>49</v>
      </c>
      <c r="E153" s="436">
        <f>VLOOKUP(B153,正厂竞争者数据汇总!D:H,4,FALSE)</f>
        <v>0</v>
      </c>
      <c r="F153" s="436">
        <v>84181.0833333333</v>
      </c>
      <c r="G153" s="436">
        <v>19160.4166666667</v>
      </c>
      <c r="H153" s="436">
        <v>93560.5000000002</v>
      </c>
      <c r="I153" s="454">
        <f>(F153/G153)-1</f>
        <v>3.39348918125475</v>
      </c>
      <c r="J153" s="457">
        <v>0.428917087457097</v>
      </c>
      <c r="K153" s="457">
        <v>0.580837258681289</v>
      </c>
      <c r="L153" s="457">
        <v>0.557215643961992</v>
      </c>
      <c r="M153" s="456">
        <f>J153-K154</f>
        <v>0.428917087457097</v>
      </c>
      <c r="N153" s="457" t="str">
        <f>IFERROR(O153*0.5/#REF!,"")</f>
        <v/>
      </c>
      <c r="O153" s="436" t="s">
        <v>180</v>
      </c>
      <c r="P153" s="509">
        <f t="array" ref="P153">INDEX(正厂竞争者数据汇总!$I$2:$I$243,MATCH($A$151&amp;$B153,正厂竞争者数据汇总!$A$2:$A$243&amp;正厂竞争者数据汇总!$D$2:$D$243,0))</f>
        <v>0</v>
      </c>
      <c r="Q153" s="434" t="s">
        <v>324</v>
      </c>
      <c r="R153" s="435" t="s">
        <v>229</v>
      </c>
      <c r="S153" s="476"/>
      <c r="T153" s="477"/>
      <c r="U153" s="477"/>
      <c r="V153" s="435"/>
      <c r="W153" s="435"/>
    </row>
    <row r="154" s="408" customFormat="1" spans="1:23">
      <c r="A154" s="428" t="s">
        <v>325</v>
      </c>
      <c r="B154" s="431" t="s">
        <v>442</v>
      </c>
      <c r="C154" s="494" t="s">
        <v>441</v>
      </c>
      <c r="D154" s="431" t="s">
        <v>60</v>
      </c>
      <c r="E154" s="486"/>
      <c r="F154" s="486">
        <v>24157</v>
      </c>
      <c r="G154" s="486"/>
      <c r="H154" s="486"/>
      <c r="I154" s="518"/>
      <c r="J154" s="490">
        <v>0.12308406676917</v>
      </c>
      <c r="K154" s="451"/>
      <c r="L154" s="451"/>
      <c r="M154" s="451"/>
      <c r="N154" s="451"/>
      <c r="O154" s="430"/>
      <c r="P154" s="509" t="str">
        <f t="array" ref="P154">INDEX(正厂竞争者数据汇总!$I$2:$I$243,MATCH($A$151&amp;$B154,正厂竞争者数据汇总!$A$2:$A$243&amp;正厂竞争者数据汇总!$D$2:$D$243,0))</f>
        <v>202305流量太低，无法正常获取流量</v>
      </c>
      <c r="Q154" s="429"/>
      <c r="R154" s="421"/>
      <c r="S154" s="473"/>
      <c r="T154" s="466"/>
      <c r="U154" s="466"/>
      <c r="V154" s="421"/>
      <c r="W154" s="421"/>
    </row>
    <row r="155" s="408" customFormat="1" spans="1:23">
      <c r="A155" s="428" t="s">
        <v>230</v>
      </c>
      <c r="B155" s="431" t="s">
        <v>407</v>
      </c>
      <c r="C155" s="494" t="s">
        <v>233</v>
      </c>
      <c r="D155" s="431" t="s">
        <v>417</v>
      </c>
      <c r="E155" s="486"/>
      <c r="F155" s="486">
        <v>21668.6666666667</v>
      </c>
      <c r="G155" s="486"/>
      <c r="H155" s="486"/>
      <c r="I155" s="518"/>
      <c r="J155" s="490">
        <v>0.110405580775713</v>
      </c>
      <c r="K155" s="451">
        <v>0.126950906523465</v>
      </c>
      <c r="L155" s="451">
        <v>0.11346249862275</v>
      </c>
      <c r="M155" s="451"/>
      <c r="N155" s="451"/>
      <c r="O155" s="430"/>
      <c r="P155" s="509" t="str">
        <f t="array" ref="P155">INDEX(正厂竞争者数据汇总!$I$2:$I$243,MATCH($A$151&amp;$B155,正厂竞争者数据汇总!$A$2:$A$243&amp;正厂竞争者数据汇总!$D$2:$D$243,0))</f>
        <v>202112新增竞争者</v>
      </c>
      <c r="Q155" s="429"/>
      <c r="R155" s="421"/>
      <c r="S155" s="473"/>
      <c r="T155" s="466"/>
      <c r="U155" s="466"/>
      <c r="V155" s="421"/>
      <c r="W155" s="421"/>
    </row>
    <row r="156" s="408" customFormat="1" spans="1:23">
      <c r="A156" s="428" t="s">
        <v>325</v>
      </c>
      <c r="B156" s="428" t="s">
        <v>326</v>
      </c>
      <c r="C156" s="494" t="s">
        <v>441</v>
      </c>
      <c r="D156" s="431" t="s">
        <v>422</v>
      </c>
      <c r="E156" s="486"/>
      <c r="F156" s="486">
        <v>18733.5</v>
      </c>
      <c r="G156" s="486"/>
      <c r="H156" s="486"/>
      <c r="I156" s="518"/>
      <c r="J156" s="490">
        <v>0.0954504021534234</v>
      </c>
      <c r="K156" s="451"/>
      <c r="L156" s="451"/>
      <c r="M156" s="451"/>
      <c r="N156" s="451"/>
      <c r="O156" s="430"/>
      <c r="P156" s="509">
        <f t="array" ref="P156">INDEX(正厂竞争者数据汇总!$I$2:$I$243,MATCH($A$151&amp;$B156,正厂竞争者数据汇总!$A$2:$A$243&amp;正厂竞争者数据汇总!$D$2:$D$243,0))</f>
        <v>0</v>
      </c>
      <c r="Q156" s="429"/>
      <c r="R156" s="421"/>
      <c r="S156" s="473"/>
      <c r="T156" s="466"/>
      <c r="U156" s="466"/>
      <c r="V156" s="421"/>
      <c r="W156" s="421"/>
    </row>
    <row r="157" s="408" customFormat="1" spans="1:23">
      <c r="A157" s="428" t="s">
        <v>230</v>
      </c>
      <c r="B157" s="428" t="s">
        <v>329</v>
      </c>
      <c r="C157" s="494" t="s">
        <v>233</v>
      </c>
      <c r="D157" s="431" t="s">
        <v>58</v>
      </c>
      <c r="E157" s="486"/>
      <c r="F157" s="486">
        <v>14021.8333333333</v>
      </c>
      <c r="G157" s="486"/>
      <c r="H157" s="486"/>
      <c r="I157" s="518"/>
      <c r="J157" s="490">
        <v>0.0714436507110227</v>
      </c>
      <c r="K157" s="451">
        <v>0.11849483090941</v>
      </c>
      <c r="L157" s="451">
        <v>0.158005465321611</v>
      </c>
      <c r="M157" s="451"/>
      <c r="N157" s="451"/>
      <c r="O157" s="430"/>
      <c r="P157" s="509">
        <f t="array" ref="P157">INDEX(正厂竞争者数据汇总!$I$2:$I$243,MATCH($A$151&amp;$B157,正厂竞争者数据汇总!$A$2:$A$243&amp;正厂竞争者数据汇总!$D$2:$D$243,0))</f>
        <v>0</v>
      </c>
      <c r="Q157" s="429"/>
      <c r="R157" s="421"/>
      <c r="S157" s="473"/>
      <c r="T157" s="466"/>
      <c r="U157" s="466"/>
      <c r="V157" s="421"/>
      <c r="W157" s="421"/>
    </row>
    <row r="158" s="408" customFormat="1" spans="1:23">
      <c r="A158" s="428" t="s">
        <v>230</v>
      </c>
      <c r="B158" s="417" t="s">
        <v>328</v>
      </c>
      <c r="C158" s="494" t="s">
        <v>233</v>
      </c>
      <c r="D158" s="431" t="s">
        <v>58</v>
      </c>
      <c r="E158" s="486"/>
      <c r="F158" s="486">
        <v>12006</v>
      </c>
      <c r="G158" s="486"/>
      <c r="H158" s="486"/>
      <c r="I158" s="518"/>
      <c r="J158" s="490">
        <v>0.0611726334242935</v>
      </c>
      <c r="K158" s="451">
        <v>0.0761933229573588</v>
      </c>
      <c r="L158" s="451">
        <v>0.0954972142344531</v>
      </c>
      <c r="M158" s="451"/>
      <c r="N158" s="451"/>
      <c r="O158" s="430"/>
      <c r="P158" s="509" t="str">
        <f t="array" ref="P158">INDEX(正厂竞争者数据汇总!$I$2:$I$243,MATCH($A$151&amp;$B158,正厂竞争者数据汇总!$A$2:$A$243&amp;正厂竞争者数据汇总!$D$2:$D$243,0))</f>
        <v>2022年1月 新加入 MarketingShare</v>
      </c>
      <c r="Q158" s="429"/>
      <c r="R158" s="421"/>
      <c r="S158" s="473"/>
      <c r="T158" s="466"/>
      <c r="U158" s="466"/>
      <c r="V158" s="421"/>
      <c r="W158" s="421"/>
    </row>
    <row r="159" s="408" customFormat="1" spans="1:23">
      <c r="A159" s="428" t="s">
        <v>230</v>
      </c>
      <c r="B159" s="431" t="s">
        <v>327</v>
      </c>
      <c r="C159" s="494" t="s">
        <v>233</v>
      </c>
      <c r="D159" s="431" t="s">
        <v>234</v>
      </c>
      <c r="E159" s="486"/>
      <c r="F159" s="486">
        <v>11298.4</v>
      </c>
      <c r="G159" s="486"/>
      <c r="H159" s="486"/>
      <c r="I159" s="518"/>
      <c r="J159" s="490">
        <v>0.0575672898118472</v>
      </c>
      <c r="K159" s="451"/>
      <c r="L159" s="451"/>
      <c r="M159" s="451"/>
      <c r="N159" s="451"/>
      <c r="O159" s="430"/>
      <c r="P159" s="509" t="str">
        <f t="array" ref="P159">INDEX(正厂竞争者数据汇总!$I$2:$I$243,MATCH($A$151&amp;$B159,正厂竞争者数据汇总!$A$2:$A$243&amp;正厂竞争者数据汇总!$D$2:$D$243,0))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59" s="429"/>
      <c r="R159" s="421"/>
      <c r="S159" s="473"/>
      <c r="T159" s="466"/>
      <c r="U159" s="466"/>
      <c r="V159" s="421"/>
      <c r="W159" s="421"/>
    </row>
    <row r="160" s="408" customFormat="1" spans="1:23">
      <c r="A160" s="428" t="s">
        <v>230</v>
      </c>
      <c r="B160" s="431" t="s">
        <v>463</v>
      </c>
      <c r="C160" s="494" t="s">
        <v>233</v>
      </c>
      <c r="D160" s="431" t="s">
        <v>58</v>
      </c>
      <c r="E160" s="486"/>
      <c r="F160" s="486">
        <v>10197.75</v>
      </c>
      <c r="G160" s="486"/>
      <c r="H160" s="486"/>
      <c r="I160" s="518"/>
      <c r="J160" s="490">
        <v>0.0519592888974337</v>
      </c>
      <c r="K160" s="451">
        <v>0.0531313454065701</v>
      </c>
      <c r="L160" s="451">
        <v>0.0311754610434535</v>
      </c>
      <c r="M160" s="451"/>
      <c r="N160" s="451"/>
      <c r="O160" s="430"/>
      <c r="P160" s="509">
        <f t="array" ref="P160">INDEX(正厂竞争者数据汇总!$I$2:$I$243,MATCH($A$151&amp;$B160,正厂竞争者数据汇总!$A$2:$A$243&amp;正厂竞争者数据汇总!$D$2:$D$243,0))</f>
        <v>0</v>
      </c>
      <c r="Q160" s="429"/>
      <c r="R160" s="421"/>
      <c r="S160" s="473"/>
      <c r="T160" s="466"/>
      <c r="U160" s="466"/>
      <c r="V160" s="421"/>
      <c r="W160" s="421"/>
    </row>
    <row r="161" s="408" customFormat="1" spans="1:23">
      <c r="A161" s="428"/>
      <c r="B161" s="431"/>
      <c r="C161" s="429"/>
      <c r="D161" s="421"/>
      <c r="E161" s="430"/>
      <c r="F161" s="430"/>
      <c r="G161" s="430">
        <v>161698.333333333</v>
      </c>
      <c r="H161" s="430"/>
      <c r="I161" s="453"/>
      <c r="J161" s="451"/>
      <c r="K161" s="451"/>
      <c r="L161" s="451"/>
      <c r="M161" s="451"/>
      <c r="N161" s="451"/>
      <c r="O161" s="430"/>
      <c r="P161" s="509"/>
      <c r="Q161" s="429"/>
      <c r="R161" s="421"/>
      <c r="S161" s="473"/>
      <c r="T161" s="466"/>
      <c r="U161" s="466"/>
      <c r="V161" s="421"/>
      <c r="W161" s="421"/>
    </row>
    <row r="162" s="408" customFormat="1" spans="1:23">
      <c r="A162" s="428"/>
      <c r="B162" s="421"/>
      <c r="C162" s="439"/>
      <c r="D162" s="421"/>
      <c r="E162" s="430"/>
      <c r="F162" s="430">
        <v>196264.233333333</v>
      </c>
      <c r="G162" s="430"/>
      <c r="H162" s="430">
        <v>167907.166666667</v>
      </c>
      <c r="I162" s="453" t="e">
        <f>(F162/G162)-1</f>
        <v>#DIV/0!</v>
      </c>
      <c r="J162" s="430"/>
      <c r="K162" s="430"/>
      <c r="L162" s="430"/>
      <c r="M162" s="451"/>
      <c r="N162" s="451">
        <f>SUM(N153:N159)</f>
        <v>0</v>
      </c>
      <c r="O162" s="430"/>
      <c r="P162" s="509"/>
      <c r="Q162" s="493"/>
      <c r="R162" s="421"/>
      <c r="S162" s="473"/>
      <c r="T162" s="466"/>
      <c r="U162" s="466"/>
      <c r="V162" s="421"/>
      <c r="W162" s="421"/>
    </row>
    <row r="163" s="408" customFormat="1" spans="1:23">
      <c r="A163" s="428"/>
      <c r="B163" s="421"/>
      <c r="C163" s="439"/>
      <c r="D163" s="421"/>
      <c r="E163" s="430"/>
      <c r="F163" s="430"/>
      <c r="G163" s="430"/>
      <c r="H163" s="430"/>
      <c r="I163" s="453"/>
      <c r="J163" s="430"/>
      <c r="K163" s="430"/>
      <c r="L163" s="430"/>
      <c r="M163" s="451"/>
      <c r="N163" s="451"/>
      <c r="O163" s="430"/>
      <c r="P163" s="509"/>
      <c r="Q163" s="493"/>
      <c r="R163" s="421"/>
      <c r="S163" s="473"/>
      <c r="T163" s="466"/>
      <c r="U163" s="466"/>
      <c r="V163" s="421"/>
      <c r="W163" s="421"/>
    </row>
    <row r="164" s="408" customFormat="1" ht="17.4" spans="1:23">
      <c r="A164" s="418" t="s">
        <v>191</v>
      </c>
      <c r="B164" s="419"/>
      <c r="C164" s="420"/>
      <c r="D164" s="421"/>
      <c r="E164" s="422" t="s">
        <v>202</v>
      </c>
      <c r="F164" s="422"/>
      <c r="G164" s="422" t="s">
        <v>213</v>
      </c>
      <c r="H164" s="422"/>
      <c r="I164" s="422"/>
      <c r="J164" s="422"/>
      <c r="K164" s="422"/>
      <c r="L164" s="422"/>
      <c r="M164" s="443"/>
      <c r="N164" s="422"/>
      <c r="O164" s="422"/>
      <c r="P164" s="509"/>
      <c r="Q164" s="465"/>
      <c r="R164" s="424"/>
      <c r="S164" s="473"/>
      <c r="T164" s="467"/>
      <c r="U164" s="467"/>
      <c r="V164" s="467"/>
      <c r="W164" s="467"/>
    </row>
    <row r="165" s="409" customFormat="1" ht="46.8" hidden="1" spans="1:23">
      <c r="A165" s="423" t="s">
        <v>206</v>
      </c>
      <c r="B165" s="424" t="s">
        <v>207</v>
      </c>
      <c r="C165" s="425" t="s">
        <v>447</v>
      </c>
      <c r="D165" s="424" t="s">
        <v>209</v>
      </c>
      <c r="E165" s="426" t="s">
        <v>210</v>
      </c>
      <c r="F165" s="427" t="s">
        <v>385</v>
      </c>
      <c r="G165" s="427">
        <v>116448.583333333</v>
      </c>
      <c r="H165" s="427" t="s">
        <v>396</v>
      </c>
      <c r="I165" s="427" t="s">
        <v>386</v>
      </c>
      <c r="J165" s="446" t="s">
        <v>216</v>
      </c>
      <c r="K165" s="446" t="s">
        <v>217</v>
      </c>
      <c r="L165" s="446" t="s">
        <v>387</v>
      </c>
      <c r="M165" s="447" t="s">
        <v>436</v>
      </c>
      <c r="N165" s="448" t="s">
        <v>219</v>
      </c>
      <c r="O165" s="449" t="s">
        <v>220</v>
      </c>
      <c r="P165" s="508" t="s">
        <v>221</v>
      </c>
      <c r="Q165" s="469" t="s">
        <v>222</v>
      </c>
      <c r="R165" s="426" t="s">
        <v>223</v>
      </c>
      <c r="S165" s="470" t="s">
        <v>224</v>
      </c>
      <c r="T165" s="467" t="s">
        <v>225</v>
      </c>
      <c r="U165" s="470" t="s">
        <v>226</v>
      </c>
      <c r="V165" s="467"/>
      <c r="W165" s="467"/>
    </row>
    <row r="166" s="408" customFormat="1" hidden="1" spans="1:23">
      <c r="A166" s="428" t="s">
        <v>325</v>
      </c>
      <c r="B166" s="421" t="s">
        <v>357</v>
      </c>
      <c r="C166" s="429" t="s">
        <v>441</v>
      </c>
      <c r="D166" s="421" t="s">
        <v>422</v>
      </c>
      <c r="E166" s="430">
        <f>VLOOKUP(B166,正厂竞争者数据汇总!D:H,4,FALSE)</f>
        <v>0</v>
      </c>
      <c r="F166" s="430">
        <v>107285.5</v>
      </c>
      <c r="G166" s="430">
        <v>0</v>
      </c>
      <c r="H166" s="430">
        <v>99768.6666666667</v>
      </c>
      <c r="I166" s="453" t="e">
        <f>(F166/G166)-1</f>
        <v>#DIV/0!</v>
      </c>
      <c r="J166" s="451" t="e">
        <v>#N/A</v>
      </c>
      <c r="K166" s="451">
        <v>0.888407896970386</v>
      </c>
      <c r="L166" s="451">
        <v>0.846811047932421</v>
      </c>
      <c r="M166" s="451" t="e">
        <f>J166-K167</f>
        <v>#N/A</v>
      </c>
      <c r="N166" s="459"/>
      <c r="O166" s="430"/>
      <c r="P166" s="509">
        <f>VLOOKUP(B166,正厂竞争者数据汇总!D:M,6,FALSE)</f>
        <v>0</v>
      </c>
      <c r="Q166" s="429" t="s">
        <v>180</v>
      </c>
      <c r="R166" s="421" t="s">
        <v>180</v>
      </c>
      <c r="S166" s="473">
        <f>VLOOKUP(B166,正厂竞争者数据汇总!$D$2:$CL$243,25,FALSE)</f>
        <v>129482</v>
      </c>
      <c r="T166" s="466"/>
      <c r="U166" s="466"/>
      <c r="V166" s="421"/>
      <c r="W166" s="421"/>
    </row>
    <row r="167" s="408" customFormat="1" hidden="1" spans="1:23">
      <c r="A167" s="428" t="s">
        <v>230</v>
      </c>
      <c r="B167" s="421" t="s">
        <v>360</v>
      </c>
      <c r="C167" s="429" t="e">
        <v>#N/A</v>
      </c>
      <c r="D167" s="421" t="e">
        <v>#N/A</v>
      </c>
      <c r="E167" s="430">
        <f>VLOOKUP(B167,正厂竞争者数据汇总!D:H,4,FALSE)</f>
        <v>0</v>
      </c>
      <c r="F167" s="430" t="e">
        <v>#N/A</v>
      </c>
      <c r="G167" s="430">
        <v>207722.25</v>
      </c>
      <c r="H167" s="430">
        <v>0</v>
      </c>
      <c r="I167" s="453"/>
      <c r="J167" s="451"/>
      <c r="K167" s="451"/>
      <c r="L167" s="451"/>
      <c r="M167" s="451"/>
      <c r="N167" s="459"/>
      <c r="O167" s="430"/>
      <c r="P167" s="509" t="str">
        <f>VLOOKUP(B167,正厂竞争者数据汇总!D:M,6,FALSE)</f>
        <v>2023年12月新增</v>
      </c>
      <c r="Q167" s="429" t="s">
        <v>180</v>
      </c>
      <c r="R167" s="421" t="s">
        <v>180</v>
      </c>
      <c r="S167" s="473" t="e">
        <f>VLOOKUP(B167,正厂竞争者数据汇总!$D$2:$CL$243,25,FALSE)</f>
        <v>#N/A</v>
      </c>
      <c r="T167" s="466"/>
      <c r="U167" s="466"/>
      <c r="V167" s="421"/>
      <c r="W167" s="421"/>
    </row>
    <row r="168" s="408" customFormat="1" ht="17.4" hidden="1" spans="1:23">
      <c r="A168" s="428" t="s">
        <v>464</v>
      </c>
      <c r="B168" s="431" t="s">
        <v>465</v>
      </c>
      <c r="C168" s="429" t="s">
        <v>441</v>
      </c>
      <c r="D168" s="421" t="s">
        <v>234</v>
      </c>
      <c r="E168" s="430">
        <f>VLOOKUP(B168,正厂竞争者数据汇总!D:H,4,FALSE)</f>
        <v>0</v>
      </c>
      <c r="F168" s="430">
        <v>246145.916666667</v>
      </c>
      <c r="G168" s="430">
        <v>14627</v>
      </c>
      <c r="H168" s="430">
        <v>199184.666666667</v>
      </c>
      <c r="I168" s="453"/>
      <c r="J168" s="451"/>
      <c r="K168" s="451"/>
      <c r="L168" s="451"/>
      <c r="M168" s="451"/>
      <c r="N168" s="459"/>
      <c r="O168" s="430"/>
      <c r="P168" s="509">
        <f>VLOOKUP(B168,正厂竞争者数据汇总!D:M,6,FALSE)</f>
        <v>0</v>
      </c>
      <c r="Q168" s="429" t="s">
        <v>180</v>
      </c>
      <c r="R168" s="421" t="s">
        <v>180</v>
      </c>
      <c r="S168" s="473">
        <f>VLOOKUP(B168,正厂竞争者数据汇总!$D$2:$CL$243,25,FALSE)</f>
        <v>181727</v>
      </c>
      <c r="T168" s="466"/>
      <c r="U168" s="466"/>
      <c r="V168" s="421"/>
      <c r="W168" s="421"/>
    </row>
    <row r="169" s="408" customFormat="1" hidden="1" spans="1:23">
      <c r="A169" s="428" t="s">
        <v>325</v>
      </c>
      <c r="B169" s="438" t="s">
        <v>362</v>
      </c>
      <c r="C169" s="429" t="s">
        <v>441</v>
      </c>
      <c r="D169" s="421" t="s">
        <v>49</v>
      </c>
      <c r="E169" s="430">
        <f>VLOOKUP(B168,正厂竞争者数据汇总!D:H,4,FALSE)</f>
        <v>0</v>
      </c>
      <c r="F169" s="430">
        <v>11204.6666666667</v>
      </c>
      <c r="G169" s="430"/>
      <c r="H169" s="430">
        <v>18048.25</v>
      </c>
      <c r="I169" s="453" t="e">
        <f>(F169/G169)-1</f>
        <v>#DIV/0!</v>
      </c>
      <c r="J169" s="451" t="e">
        <v>#N/A</v>
      </c>
      <c r="K169" s="451">
        <v>0.111592103029614</v>
      </c>
      <c r="L169" s="451">
        <v>0.153188952067579</v>
      </c>
      <c r="M169" s="451" t="e">
        <f>J169-K170</f>
        <v>#N/A</v>
      </c>
      <c r="N169" s="459"/>
      <c r="O169" s="430"/>
      <c r="P169" s="509">
        <f>VLOOKUP(B169,正厂竞争者数据汇总!D:M,6,FALSE)</f>
        <v>0</v>
      </c>
      <c r="Q169" s="429" t="s">
        <v>180</v>
      </c>
      <c r="R169" s="421" t="s">
        <v>180</v>
      </c>
      <c r="S169" s="473">
        <f>VLOOKUP(B169,正厂竞争者数据汇总!$D$2:$CL$243,25,FALSE)</f>
        <v>23963</v>
      </c>
      <c r="T169" s="466"/>
      <c r="U169" s="466"/>
      <c r="V169" s="421"/>
      <c r="W169" s="421"/>
    </row>
    <row r="170" s="408" customFormat="1" hidden="1" spans="1:23">
      <c r="A170" s="428"/>
      <c r="B170" s="438"/>
      <c r="C170" s="429"/>
      <c r="D170" s="421"/>
      <c r="E170" s="430"/>
      <c r="F170" s="430"/>
      <c r="G170" s="430">
        <v>131075.583333333</v>
      </c>
      <c r="H170" s="430"/>
      <c r="I170" s="453"/>
      <c r="J170" s="451"/>
      <c r="K170" s="451"/>
      <c r="L170" s="451"/>
      <c r="M170" s="451"/>
      <c r="N170" s="459"/>
      <c r="O170" s="430"/>
      <c r="P170" s="509"/>
      <c r="Q170" s="429"/>
      <c r="R170" s="421"/>
      <c r="S170" s="473"/>
      <c r="T170" s="466"/>
      <c r="U170" s="466"/>
      <c r="V170" s="421"/>
      <c r="W170" s="421"/>
    </row>
    <row r="171" s="408" customFormat="1" hidden="1" spans="1:23">
      <c r="A171" s="428"/>
      <c r="B171" s="421"/>
      <c r="C171" s="439"/>
      <c r="D171" s="421"/>
      <c r="E171" s="421"/>
      <c r="F171" s="496" t="e">
        <v>#N/A</v>
      </c>
      <c r="G171" s="496"/>
      <c r="H171" s="496">
        <v>117816.916666667</v>
      </c>
      <c r="I171" s="453" t="e">
        <f>(F171/G171)-1</f>
        <v>#N/A</v>
      </c>
      <c r="J171" s="430"/>
      <c r="K171" s="430"/>
      <c r="L171" s="430"/>
      <c r="M171" s="451"/>
      <c r="N171" s="459"/>
      <c r="O171" s="430"/>
      <c r="P171" s="509"/>
      <c r="Q171" s="429"/>
      <c r="R171" s="421"/>
      <c r="S171" s="473"/>
      <c r="T171" s="466"/>
      <c r="U171" s="466"/>
      <c r="V171" s="421"/>
      <c r="W171" s="421"/>
    </row>
    <row r="172" s="408" customFormat="1" spans="1:23">
      <c r="A172" s="428"/>
      <c r="B172" s="438"/>
      <c r="C172" s="439"/>
      <c r="D172" s="421"/>
      <c r="E172" s="430"/>
      <c r="F172" s="430"/>
      <c r="G172" s="430"/>
      <c r="H172" s="430"/>
      <c r="I172" s="453"/>
      <c r="J172" s="430"/>
      <c r="K172" s="430"/>
      <c r="L172" s="430"/>
      <c r="M172" s="451"/>
      <c r="N172" s="459"/>
      <c r="O172" s="430"/>
      <c r="P172" s="509"/>
      <c r="Q172" s="429"/>
      <c r="R172" s="421"/>
      <c r="S172" s="473"/>
      <c r="T172" s="466"/>
      <c r="U172" s="466"/>
      <c r="V172" s="421"/>
      <c r="W172" s="421"/>
    </row>
    <row r="173" s="408" customFormat="1" ht="17.4" spans="1:23">
      <c r="A173" s="418" t="s">
        <v>189</v>
      </c>
      <c r="B173" s="419"/>
      <c r="C173" s="420"/>
      <c r="D173" s="421"/>
      <c r="E173" s="422" t="s">
        <v>202</v>
      </c>
      <c r="F173" s="422"/>
      <c r="G173" s="422" t="s">
        <v>213</v>
      </c>
      <c r="H173" s="422"/>
      <c r="I173" s="422"/>
      <c r="J173" s="422"/>
      <c r="K173" s="422"/>
      <c r="L173" s="422"/>
      <c r="M173" s="443"/>
      <c r="N173" s="422"/>
      <c r="O173" s="422"/>
      <c r="P173" s="509"/>
      <c r="Q173" s="465"/>
      <c r="R173" s="424"/>
      <c r="S173" s="473"/>
      <c r="T173" s="467"/>
      <c r="U173" s="467"/>
      <c r="V173" s="467"/>
      <c r="W173" s="467"/>
    </row>
    <row r="174" s="409" customFormat="1" ht="46.8" hidden="1" spans="1:23">
      <c r="A174" s="423" t="s">
        <v>206</v>
      </c>
      <c r="B174" s="424" t="s">
        <v>207</v>
      </c>
      <c r="C174" s="425" t="s">
        <v>447</v>
      </c>
      <c r="D174" s="424" t="s">
        <v>209</v>
      </c>
      <c r="E174" s="426" t="s">
        <v>210</v>
      </c>
      <c r="F174" s="427" t="s">
        <v>385</v>
      </c>
      <c r="G174" s="427">
        <v>530347.5</v>
      </c>
      <c r="H174" s="427" t="s">
        <v>396</v>
      </c>
      <c r="I174" s="427" t="s">
        <v>386</v>
      </c>
      <c r="J174" s="446" t="s">
        <v>216</v>
      </c>
      <c r="K174" s="446" t="s">
        <v>217</v>
      </c>
      <c r="L174" s="446" t="s">
        <v>387</v>
      </c>
      <c r="M174" s="447" t="s">
        <v>436</v>
      </c>
      <c r="N174" s="448" t="s">
        <v>219</v>
      </c>
      <c r="O174" s="449" t="s">
        <v>220</v>
      </c>
      <c r="P174" s="508" t="s">
        <v>221</v>
      </c>
      <c r="Q174" s="469" t="s">
        <v>222</v>
      </c>
      <c r="R174" s="426" t="s">
        <v>223</v>
      </c>
      <c r="S174" s="470" t="s">
        <v>224</v>
      </c>
      <c r="T174" s="467" t="s">
        <v>225</v>
      </c>
      <c r="U174" s="470" t="s">
        <v>226</v>
      </c>
      <c r="V174" s="467"/>
      <c r="W174" s="467"/>
    </row>
    <row r="175" s="408" customFormat="1" hidden="1" spans="1:23">
      <c r="A175" s="428" t="s">
        <v>325</v>
      </c>
      <c r="B175" s="421" t="s">
        <v>466</v>
      </c>
      <c r="C175" s="429" t="s">
        <v>467</v>
      </c>
      <c r="D175" s="421" t="s">
        <v>234</v>
      </c>
      <c r="E175" s="430">
        <f>VLOOKUP(B175,正厂竞争者数据汇总!D:H,4,FALSE)</f>
        <v>0</v>
      </c>
      <c r="F175" s="430">
        <v>512515</v>
      </c>
      <c r="G175" s="430">
        <v>164695.833333333</v>
      </c>
      <c r="H175" s="430">
        <v>572372.833333333</v>
      </c>
      <c r="I175" s="453">
        <f>(F175/G175)-1</f>
        <v>2.11188807650467</v>
      </c>
      <c r="J175" s="451">
        <v>0.656724118912919</v>
      </c>
      <c r="K175" s="451">
        <v>0.707246538512958</v>
      </c>
      <c r="L175" s="451">
        <v>0.690276486501995</v>
      </c>
      <c r="M175" s="451"/>
      <c r="N175" s="459"/>
      <c r="O175" s="430"/>
      <c r="P175" s="509" t="str">
        <f>VLOOKUP(B175,正厂竞争者数据汇总!D:M,6,FALSE)</f>
        <v>官网</v>
      </c>
      <c r="Q175" s="429" t="s">
        <v>180</v>
      </c>
      <c r="R175" s="421" t="s">
        <v>180</v>
      </c>
      <c r="S175" s="473">
        <f>VLOOKUP(B175,正厂竞争者数据汇总!$D$2:$CL$243,25,FALSE)</f>
        <v>387977</v>
      </c>
      <c r="T175" s="466"/>
      <c r="U175" s="466"/>
      <c r="V175" s="421"/>
      <c r="W175" s="421"/>
    </row>
    <row r="176" s="408" customFormat="1" hidden="1" spans="1:23">
      <c r="A176" s="428" t="s">
        <v>230</v>
      </c>
      <c r="B176" s="431" t="s">
        <v>354</v>
      </c>
      <c r="C176" s="429" t="s">
        <v>233</v>
      </c>
      <c r="D176" s="421" t="s">
        <v>411</v>
      </c>
      <c r="E176" s="430">
        <f>VLOOKUP(B176,正厂竞争者数据汇总!D:H,4,FALSE)</f>
        <v>0</v>
      </c>
      <c r="F176" s="430">
        <v>187893.083333333</v>
      </c>
      <c r="G176" s="430">
        <v>23846.5</v>
      </c>
      <c r="H176" s="430">
        <v>201650.166666667</v>
      </c>
      <c r="I176" s="453">
        <f>(F176/G176)-1</f>
        <v>6.87927298904799</v>
      </c>
      <c r="J176" s="451">
        <v>0.240761576933192</v>
      </c>
      <c r="K176" s="451">
        <v>0.219630634692361</v>
      </c>
      <c r="L176" s="451">
        <v>0.243188286450601</v>
      </c>
      <c r="M176" s="451">
        <f>J176-K177</f>
        <v>0.208961003572048</v>
      </c>
      <c r="N176" s="459"/>
      <c r="O176" s="430"/>
      <c r="P176" s="509">
        <f>VLOOKUP(B176,正厂竞争者数据汇总!D:M,6,FALSE)</f>
        <v>0</v>
      </c>
      <c r="Q176" s="429" t="s">
        <v>180</v>
      </c>
      <c r="R176" s="421" t="s">
        <v>180</v>
      </c>
      <c r="S176" s="473">
        <f>VLOOKUP(B176,正厂竞争者数据汇总!$D$2:$CL$243,25,FALSE)</f>
        <v>734766</v>
      </c>
      <c r="T176" s="466"/>
      <c r="U176" s="466"/>
      <c r="V176" s="421"/>
      <c r="W176" s="421"/>
    </row>
    <row r="177" s="408" customFormat="1" hidden="1" spans="1:23">
      <c r="A177" s="428" t="s">
        <v>243</v>
      </c>
      <c r="B177" s="421" t="s">
        <v>355</v>
      </c>
      <c r="C177" s="429" t="s">
        <v>454</v>
      </c>
      <c r="D177" s="421" t="s">
        <v>420</v>
      </c>
      <c r="E177" s="430">
        <f>VLOOKUP(B177,正厂竞争者数据汇总!D:H,4,FALSE)</f>
        <v>0</v>
      </c>
      <c r="F177" s="430">
        <v>32691.5833333333</v>
      </c>
      <c r="G177" s="430">
        <v>30859.5833333333</v>
      </c>
      <c r="H177" s="430">
        <v>27170.3333333334</v>
      </c>
      <c r="I177" s="453">
        <f>(F177/G177)-1</f>
        <v>0.0593656751684377</v>
      </c>
      <c r="J177" s="451">
        <v>0.0418901910391923</v>
      </c>
      <c r="K177" s="451">
        <v>0.0318005733611439</v>
      </c>
      <c r="L177" s="451">
        <v>0.0327671775077051</v>
      </c>
      <c r="M177" s="451">
        <f>J177-K178</f>
        <v>0.000737298845956504</v>
      </c>
      <c r="N177" s="459"/>
      <c r="O177" s="430"/>
      <c r="P177" s="509">
        <f>VLOOKUP(B177,正厂竞争者数据汇总!D:M,6,FALSE)</f>
        <v>0</v>
      </c>
      <c r="Q177" s="429" t="s">
        <v>180</v>
      </c>
      <c r="R177" s="421" t="s">
        <v>180</v>
      </c>
      <c r="S177" s="473">
        <f>VLOOKUP(B177,正厂竞争者数据汇总!$D$2:$CL$243,25,FALSE)</f>
        <v>33968</v>
      </c>
      <c r="T177" s="466"/>
      <c r="U177" s="466"/>
      <c r="V177" s="421"/>
      <c r="W177" s="421"/>
    </row>
    <row r="178" s="408" customFormat="1" hidden="1" spans="1:23">
      <c r="A178" s="428" t="s">
        <v>230</v>
      </c>
      <c r="B178" s="421" t="s">
        <v>356</v>
      </c>
      <c r="C178" s="429" t="s">
        <v>233</v>
      </c>
      <c r="D178" s="421" t="s">
        <v>414</v>
      </c>
      <c r="E178" s="430">
        <f>VLOOKUP(B177,正厂竞争者数据汇总!D:H,4,FALSE)</f>
        <v>0</v>
      </c>
      <c r="F178" s="430">
        <v>47245</v>
      </c>
      <c r="G178" s="430">
        <v>127</v>
      </c>
      <c r="H178" s="430">
        <v>27910.6666666667</v>
      </c>
      <c r="I178" s="453">
        <f>(F178/G178)-1</f>
        <v>371.007874015748</v>
      </c>
      <c r="J178" s="451">
        <v>0.0605385813059928</v>
      </c>
      <c r="K178" s="451">
        <v>0.0411528921932358</v>
      </c>
      <c r="L178" s="451">
        <v>0.0336600128458142</v>
      </c>
      <c r="M178" s="451">
        <f>J178-K179</f>
        <v>0.0603692200656906</v>
      </c>
      <c r="N178" s="459"/>
      <c r="O178" s="430"/>
      <c r="P178" s="509">
        <f>VLOOKUP(B178,正厂竞争者数据汇总!D:M,6,FALSE)</f>
        <v>0</v>
      </c>
      <c r="Q178" s="429" t="s">
        <v>180</v>
      </c>
      <c r="R178" s="421" t="s">
        <v>180</v>
      </c>
      <c r="S178" s="473">
        <f>VLOOKUP(B178,正厂竞争者数据汇总!$D$2:$CL$243,25,FALSE)</f>
        <v>19078</v>
      </c>
      <c r="T178" s="466"/>
      <c r="U178" s="466"/>
      <c r="V178" s="421"/>
      <c r="W178" s="421"/>
    </row>
    <row r="179" s="408" customFormat="1" hidden="1" spans="1:23">
      <c r="A179" s="428" t="s">
        <v>468</v>
      </c>
      <c r="B179" s="431" t="s">
        <v>469</v>
      </c>
      <c r="C179" s="429" t="s">
        <v>233</v>
      </c>
      <c r="D179" s="421" t="s">
        <v>49</v>
      </c>
      <c r="E179" s="430" t="e">
        <f>VLOOKUP(B179,正厂竞争者数据汇总!D:H,4,FALSE)</f>
        <v>#N/A</v>
      </c>
      <c r="F179" s="430">
        <v>66.75</v>
      </c>
      <c r="G179" s="430"/>
      <c r="H179" s="430">
        <v>89.5833333333335</v>
      </c>
      <c r="I179" s="453"/>
      <c r="J179" s="451">
        <v>8.55318087030377e-5</v>
      </c>
      <c r="K179" s="451">
        <v>0.000169361240302152</v>
      </c>
      <c r="L179" s="451">
        <v>0.000108036693884209</v>
      </c>
      <c r="M179" s="451"/>
      <c r="N179" s="459"/>
      <c r="O179" s="430"/>
      <c r="P179" s="509" t="e">
        <f>VLOOKUP(B179,正厂竞争者数据汇总!D:M,6,FALSE)</f>
        <v>#N/A</v>
      </c>
      <c r="Q179" s="429" t="s">
        <v>180</v>
      </c>
      <c r="R179" s="421" t="s">
        <v>180</v>
      </c>
      <c r="S179" s="473" t="e">
        <f>VLOOKUP(B179,正厂竞争者数据汇总!$D$2:$CL$243,25,FALSE)</f>
        <v>#N/A</v>
      </c>
      <c r="T179" s="466"/>
      <c r="U179" s="466"/>
      <c r="V179" s="421"/>
      <c r="W179" s="421"/>
    </row>
    <row r="180" s="410" customFormat="1" hidden="1" spans="1:23">
      <c r="A180" s="432"/>
      <c r="B180" s="433"/>
      <c r="C180" s="434"/>
      <c r="D180" s="421"/>
      <c r="E180" s="436"/>
      <c r="F180" s="436"/>
      <c r="G180" s="436">
        <v>749876.416666666</v>
      </c>
      <c r="H180" s="436"/>
      <c r="I180" s="453"/>
      <c r="J180" s="457"/>
      <c r="K180" s="457"/>
      <c r="L180" s="457"/>
      <c r="M180" s="451"/>
      <c r="N180" s="455"/>
      <c r="O180" s="436"/>
      <c r="P180" s="509"/>
      <c r="Q180" s="434"/>
      <c r="R180" s="435"/>
      <c r="S180" s="473"/>
      <c r="T180" s="466"/>
      <c r="U180" s="466"/>
      <c r="V180" s="435"/>
      <c r="W180" s="435"/>
    </row>
    <row r="181" s="408" customFormat="1" hidden="1" spans="1:23">
      <c r="A181" s="428"/>
      <c r="B181" s="421"/>
      <c r="C181" s="439"/>
      <c r="D181" s="421"/>
      <c r="E181" s="430"/>
      <c r="F181" s="430">
        <v>780411.416666667</v>
      </c>
      <c r="G181" s="430"/>
      <c r="H181" s="430">
        <v>829193.583333334</v>
      </c>
      <c r="I181" s="453" t="e">
        <f>(F181/G181)-1</f>
        <v>#DIV/0!</v>
      </c>
      <c r="J181" s="430"/>
      <c r="K181" s="430"/>
      <c r="L181" s="430"/>
      <c r="M181" s="451"/>
      <c r="N181" s="459"/>
      <c r="O181" s="430"/>
      <c r="P181" s="509"/>
      <c r="Q181" s="429"/>
      <c r="R181" s="421"/>
      <c r="S181" s="473"/>
      <c r="T181" s="466"/>
      <c r="U181" s="466"/>
      <c r="V181" s="421"/>
      <c r="W181" s="421"/>
    </row>
    <row r="182" s="408" customFormat="1" spans="1:23">
      <c r="A182" s="428"/>
      <c r="B182" s="421"/>
      <c r="C182" s="439"/>
      <c r="D182" s="421"/>
      <c r="E182" s="430"/>
      <c r="F182" s="430"/>
      <c r="G182" s="430"/>
      <c r="H182" s="430"/>
      <c r="I182" s="453"/>
      <c r="J182" s="430"/>
      <c r="K182" s="430"/>
      <c r="L182" s="430"/>
      <c r="M182" s="451"/>
      <c r="N182" s="459"/>
      <c r="O182" s="430"/>
      <c r="P182" s="509"/>
      <c r="Q182" s="429"/>
      <c r="R182" s="421"/>
      <c r="S182" s="473"/>
      <c r="T182" s="466"/>
      <c r="U182" s="466"/>
      <c r="V182" s="421"/>
      <c r="W182" s="421"/>
    </row>
    <row r="183" s="408" customFormat="1" ht="17.4" spans="1:23">
      <c r="A183" s="418" t="s">
        <v>185</v>
      </c>
      <c r="B183" s="419"/>
      <c r="C183" s="420"/>
      <c r="D183" s="421"/>
      <c r="E183" s="422" t="s">
        <v>202</v>
      </c>
      <c r="F183" s="422"/>
      <c r="G183" s="422" t="s">
        <v>213</v>
      </c>
      <c r="H183" s="422"/>
      <c r="I183" s="422"/>
      <c r="J183" s="422"/>
      <c r="K183" s="422"/>
      <c r="L183" s="422"/>
      <c r="M183" s="443"/>
      <c r="N183" s="444"/>
      <c r="O183" s="422"/>
      <c r="P183" s="509"/>
      <c r="Q183" s="465"/>
      <c r="R183" s="424"/>
      <c r="S183" s="473"/>
      <c r="T183" s="467"/>
      <c r="U183" s="467"/>
      <c r="V183" s="467"/>
      <c r="W183" s="467"/>
    </row>
    <row r="184" s="409" customFormat="1" ht="46.8" hidden="1" spans="1:23">
      <c r="A184" s="423" t="s">
        <v>206</v>
      </c>
      <c r="B184" s="424" t="s">
        <v>207</v>
      </c>
      <c r="C184" s="425" t="s">
        <v>447</v>
      </c>
      <c r="D184" s="424" t="s">
        <v>209</v>
      </c>
      <c r="E184" s="426" t="s">
        <v>210</v>
      </c>
      <c r="F184" s="427" t="s">
        <v>385</v>
      </c>
      <c r="G184" s="427">
        <v>83649.6666666667</v>
      </c>
      <c r="H184" s="427" t="s">
        <v>396</v>
      </c>
      <c r="I184" s="427" t="s">
        <v>386</v>
      </c>
      <c r="J184" s="446" t="s">
        <v>216</v>
      </c>
      <c r="K184" s="446" t="s">
        <v>217</v>
      </c>
      <c r="L184" s="446" t="s">
        <v>387</v>
      </c>
      <c r="M184" s="447" t="s">
        <v>436</v>
      </c>
      <c r="N184" s="448" t="s">
        <v>219</v>
      </c>
      <c r="O184" s="449" t="s">
        <v>220</v>
      </c>
      <c r="P184" s="508" t="s">
        <v>221</v>
      </c>
      <c r="Q184" s="469" t="s">
        <v>222</v>
      </c>
      <c r="R184" s="426" t="s">
        <v>223</v>
      </c>
      <c r="S184" s="470" t="s">
        <v>224</v>
      </c>
      <c r="T184" s="467" t="s">
        <v>225</v>
      </c>
      <c r="U184" s="470" t="s">
        <v>226</v>
      </c>
      <c r="V184" s="467"/>
      <c r="W184" s="467"/>
    </row>
    <row r="185" s="408" customFormat="1" hidden="1" spans="1:23">
      <c r="A185" s="497" t="s">
        <v>243</v>
      </c>
      <c r="B185" s="438" t="s">
        <v>331</v>
      </c>
      <c r="C185" s="429" t="s">
        <v>441</v>
      </c>
      <c r="D185" s="421" t="s">
        <v>420</v>
      </c>
      <c r="E185" s="430" t="str">
        <f>VLOOKUP(B184,正厂竞争者数据汇总!D:H,4,FALSE)</f>
        <v>Alexa Traffic Rank</v>
      </c>
      <c r="F185" s="430">
        <v>101587.5</v>
      </c>
      <c r="G185" s="430">
        <v>148204.583333333</v>
      </c>
      <c r="H185" s="430">
        <v>93790.0833333333</v>
      </c>
      <c r="I185" s="453">
        <f>(F185/G185)-1</f>
        <v>-0.314545490327277</v>
      </c>
      <c r="J185" s="451">
        <v>0.214952422347435</v>
      </c>
      <c r="K185" s="451">
        <v>0.200344806801612</v>
      </c>
      <c r="L185" s="451">
        <v>0.193520238122463</v>
      </c>
      <c r="M185" s="451">
        <f>J185-K186</f>
        <v>-0.140004384992263</v>
      </c>
      <c r="N185" s="459"/>
      <c r="O185" s="430"/>
      <c r="P185" s="509">
        <f>VLOOKUP(B185,正厂竞争者数据汇总!D:M,6,FALSE)</f>
        <v>0</v>
      </c>
      <c r="Q185" s="429" t="s">
        <v>180</v>
      </c>
      <c r="R185" s="421" t="s">
        <v>180</v>
      </c>
      <c r="S185" s="473">
        <f>VLOOKUP(B185,正厂竞争者数据汇总!$D$2:$CL$243,25,FALSE)</f>
        <v>67302</v>
      </c>
      <c r="T185" s="466"/>
      <c r="U185" s="466"/>
      <c r="V185" s="421"/>
      <c r="W185" s="421"/>
    </row>
    <row r="186" s="408" customFormat="1" hidden="1" spans="1:23">
      <c r="A186" s="428" t="s">
        <v>230</v>
      </c>
      <c r="B186" s="431" t="s">
        <v>330</v>
      </c>
      <c r="C186" s="429" t="s">
        <v>233</v>
      </c>
      <c r="D186" s="421" t="s">
        <v>59</v>
      </c>
      <c r="E186" s="430">
        <f>VLOOKUP(B186,正厂竞争者数据汇总!D:H,4,FALSE)</f>
        <v>0</v>
      </c>
      <c r="F186" s="430">
        <v>189452.5</v>
      </c>
      <c r="G186" s="430">
        <v>32696.5833333333</v>
      </c>
      <c r="H186" s="430">
        <v>153405.25</v>
      </c>
      <c r="I186" s="453">
        <f>(F186/G186)-1</f>
        <v>4.79425984876096</v>
      </c>
      <c r="J186" s="451">
        <v>0.400868943470184</v>
      </c>
      <c r="K186" s="451">
        <v>0.354956807339698</v>
      </c>
      <c r="L186" s="451">
        <v>0.316526219554867</v>
      </c>
      <c r="M186" s="451">
        <f>J186-K187</f>
        <v>0.322559119510063</v>
      </c>
      <c r="N186" s="459"/>
      <c r="O186" s="430"/>
      <c r="P186" s="509">
        <f>VLOOKUP(B186,正厂竞争者数据汇总!D:M,6,FALSE)</f>
        <v>0</v>
      </c>
      <c r="Q186" s="429" t="s">
        <v>180</v>
      </c>
      <c r="R186" s="421" t="s">
        <v>180</v>
      </c>
      <c r="S186" s="473">
        <f>VLOOKUP(B186,正厂竞争者数据汇总!$D$2:$CL$243,25,FALSE)</f>
        <v>138509</v>
      </c>
      <c r="T186" s="466"/>
      <c r="U186" s="466"/>
      <c r="V186" s="421"/>
      <c r="W186" s="421"/>
    </row>
    <row r="187" s="408" customFormat="1" hidden="1" spans="1:23">
      <c r="A187" s="428"/>
      <c r="B187" s="430" t="s">
        <v>340</v>
      </c>
      <c r="C187" s="429" t="s">
        <v>233</v>
      </c>
      <c r="D187" s="421" t="s">
        <v>417</v>
      </c>
      <c r="E187" s="430">
        <f>VLOOKUP(B187,正厂竞争者数据汇总!D:H,4,FALSE)</f>
        <v>0</v>
      </c>
      <c r="F187" s="430">
        <v>20194.3333333333</v>
      </c>
      <c r="G187" s="430">
        <v>46040.75</v>
      </c>
      <c r="H187" s="430">
        <v>64506.0833333334</v>
      </c>
      <c r="I187" s="453">
        <f>(F187/G187)-1</f>
        <v>-0.56138131256912</v>
      </c>
      <c r="J187" s="451">
        <v>0.0427298719595575</v>
      </c>
      <c r="K187" s="451">
        <v>0.0783098239601208</v>
      </c>
      <c r="L187" s="451">
        <v>0.133097574534061</v>
      </c>
      <c r="M187" s="451">
        <f>J187-K188</f>
        <v>0.0427298719595575</v>
      </c>
      <c r="N187" s="459"/>
      <c r="O187" s="430"/>
      <c r="P187" s="509">
        <f>VLOOKUP(B187,正厂竞争者数据汇总!D:M,6,FALSE)</f>
        <v>0</v>
      </c>
      <c r="Q187" s="429" t="s">
        <v>180</v>
      </c>
      <c r="R187" s="421" t="s">
        <v>180</v>
      </c>
      <c r="S187" s="473">
        <f>VLOOKUP(B187,正厂竞争者数据汇总!$D$2:$CL$243,25,FALSE)</f>
        <v>10925</v>
      </c>
      <c r="T187" s="466"/>
      <c r="U187" s="466"/>
      <c r="V187" s="421"/>
      <c r="W187" s="421"/>
    </row>
    <row r="188" s="408" customFormat="1" hidden="1" spans="1:23">
      <c r="A188" s="428"/>
      <c r="B188" s="498" t="s">
        <v>337</v>
      </c>
      <c r="C188" s="429" t="s">
        <v>470</v>
      </c>
      <c r="D188" s="421" t="s">
        <v>412</v>
      </c>
      <c r="E188" s="430">
        <f>VLOOKUP(B188,正厂竞争者数据汇总!D:H,4,FALSE)</f>
        <v>0</v>
      </c>
      <c r="F188" s="430">
        <v>46919.9166666667</v>
      </c>
      <c r="G188" s="430">
        <v>106936.916666667</v>
      </c>
      <c r="H188" s="430">
        <v>49980.9166666666</v>
      </c>
      <c r="I188" s="453"/>
      <c r="J188" s="451"/>
      <c r="K188" s="451"/>
      <c r="L188" s="451"/>
      <c r="M188" s="451"/>
      <c r="N188" s="459"/>
      <c r="O188" s="430"/>
      <c r="P188" s="509" t="str">
        <f>VLOOKUP(B188,正厂竞争者数据汇总!D:M,6,FALSE)</f>
        <v>主营Acc</v>
      </c>
      <c r="Q188" s="429" t="s">
        <v>180</v>
      </c>
      <c r="R188" s="421" t="s">
        <v>180</v>
      </c>
      <c r="S188" s="473">
        <f>VLOOKUP(B188,正厂竞争者数据汇总!$D$2:$CL$243,25,FALSE)</f>
        <v>41304</v>
      </c>
      <c r="T188" s="466"/>
      <c r="U188" s="466"/>
      <c r="V188" s="421"/>
      <c r="W188" s="421"/>
    </row>
    <row r="189" s="408" customFormat="1" hidden="1" spans="1:23">
      <c r="A189" s="428" t="s">
        <v>446</v>
      </c>
      <c r="B189" s="499" t="s">
        <v>334</v>
      </c>
      <c r="C189" s="429" t="s">
        <v>233</v>
      </c>
      <c r="D189" s="421" t="s">
        <v>50</v>
      </c>
      <c r="E189" s="430">
        <f>VLOOKUP(B189,正厂竞争者数据汇总!D:H,4,FALSE)</f>
        <v>0</v>
      </c>
      <c r="F189" s="430">
        <v>114450.333333333</v>
      </c>
      <c r="G189" s="430"/>
      <c r="H189" s="430">
        <v>122970.25</v>
      </c>
      <c r="I189" s="453" t="e">
        <f>(F189/G189)-1</f>
        <v>#DIV/0!</v>
      </c>
      <c r="J189" s="451">
        <v>0.24216932583705</v>
      </c>
      <c r="K189" s="451">
        <v>0.256118843783519</v>
      </c>
      <c r="L189" s="451">
        <v>0.253728658896725</v>
      </c>
      <c r="M189" s="451">
        <f>J189-K190</f>
        <v>0.24216932583705</v>
      </c>
      <c r="N189" s="459"/>
      <c r="O189" s="430"/>
      <c r="P189" s="509">
        <f>VLOOKUP(B189,正厂竞争者数据汇总!D:M,6,FALSE)</f>
        <v>0</v>
      </c>
      <c r="Q189" s="429" t="s">
        <v>180</v>
      </c>
      <c r="R189" s="421" t="s">
        <v>180</v>
      </c>
      <c r="S189" s="473">
        <f>VLOOKUP(B189,正厂竞争者数据汇总!$D$2:$CL$243,25,FALSE)</f>
        <v>121043</v>
      </c>
      <c r="T189" s="466"/>
      <c r="U189" s="466"/>
      <c r="V189" s="421"/>
      <c r="W189" s="421"/>
    </row>
    <row r="190" s="410" customFormat="1" hidden="1" spans="1:23">
      <c r="A190" s="432"/>
      <c r="B190" s="433"/>
      <c r="C190" s="434"/>
      <c r="D190" s="421"/>
      <c r="E190" s="436"/>
      <c r="F190" s="436"/>
      <c r="G190" s="436">
        <v>417528.5</v>
      </c>
      <c r="H190" s="436"/>
      <c r="I190" s="453"/>
      <c r="J190" s="457"/>
      <c r="K190" s="457"/>
      <c r="L190" s="457"/>
      <c r="M190" s="451"/>
      <c r="N190" s="455"/>
      <c r="O190" s="436"/>
      <c r="P190" s="509"/>
      <c r="Q190" s="500"/>
      <c r="R190" s="501"/>
      <c r="S190" s="473"/>
      <c r="T190" s="466"/>
      <c r="U190" s="466"/>
      <c r="V190" s="435"/>
      <c r="W190" s="435"/>
    </row>
    <row r="191" s="408" customFormat="1" hidden="1" spans="1:23">
      <c r="A191" s="428"/>
      <c r="B191" s="421"/>
      <c r="C191" s="439"/>
      <c r="D191" s="421"/>
      <c r="E191" s="430"/>
      <c r="F191" s="430">
        <v>472604.583333333</v>
      </c>
      <c r="G191" s="430"/>
      <c r="H191" s="430">
        <v>484652.583333333</v>
      </c>
      <c r="I191" s="453" t="e">
        <f>(F191/G191)-1</f>
        <v>#DIV/0!</v>
      </c>
      <c r="J191" s="430"/>
      <c r="K191" s="430"/>
      <c r="L191" s="430"/>
      <c r="M191" s="451"/>
      <c r="N191" s="459"/>
      <c r="O191" s="430"/>
      <c r="P191" s="509"/>
      <c r="Q191" s="429"/>
      <c r="R191" s="421"/>
      <c r="S191" s="473"/>
      <c r="T191" s="466"/>
      <c r="U191" s="466"/>
      <c r="V191" s="421"/>
      <c r="W191" s="421"/>
    </row>
    <row r="192" s="408" customFormat="1" spans="1:23">
      <c r="A192" s="423"/>
      <c r="B192" s="421"/>
      <c r="C192" s="425"/>
      <c r="D192" s="421"/>
      <c r="E192" s="430"/>
      <c r="F192" s="430"/>
      <c r="G192" s="430"/>
      <c r="H192" s="430"/>
      <c r="I192" s="453"/>
      <c r="J192" s="430"/>
      <c r="K192" s="430"/>
      <c r="L192" s="430"/>
      <c r="M192" s="451"/>
      <c r="N192" s="459"/>
      <c r="O192" s="430"/>
      <c r="P192" s="509"/>
      <c r="Q192" s="429"/>
      <c r="R192" s="421"/>
      <c r="S192" s="473"/>
      <c r="T192" s="466"/>
      <c r="U192" s="466"/>
      <c r="V192" s="421"/>
      <c r="W192" s="421"/>
    </row>
    <row r="193" s="408" customFormat="1" ht="17.4" spans="1:23">
      <c r="A193" s="418" t="s">
        <v>195</v>
      </c>
      <c r="B193" s="419"/>
      <c r="C193" s="420"/>
      <c r="D193" s="421"/>
      <c r="E193" s="422" t="s">
        <v>202</v>
      </c>
      <c r="F193" s="422"/>
      <c r="G193" s="422" t="s">
        <v>213</v>
      </c>
      <c r="H193" s="422"/>
      <c r="I193" s="422"/>
      <c r="J193" s="422"/>
      <c r="K193" s="422"/>
      <c r="L193" s="422"/>
      <c r="M193" s="443"/>
      <c r="N193" s="444"/>
      <c r="O193" s="422"/>
      <c r="P193" s="509"/>
      <c r="Q193" s="465"/>
      <c r="R193" s="424"/>
      <c r="S193" s="473"/>
      <c r="T193" s="467"/>
      <c r="U193" s="467"/>
      <c r="V193" s="467"/>
      <c r="W193" s="467"/>
    </row>
    <row r="194" s="409" customFormat="1" ht="46.8" hidden="1" spans="1:23">
      <c r="A194" s="423" t="s">
        <v>206</v>
      </c>
      <c r="B194" s="424" t="s">
        <v>207</v>
      </c>
      <c r="C194" s="425" t="s">
        <v>447</v>
      </c>
      <c r="D194" s="424" t="s">
        <v>209</v>
      </c>
      <c r="E194" s="426" t="s">
        <v>210</v>
      </c>
      <c r="F194" s="427" t="s">
        <v>385</v>
      </c>
      <c r="G194" s="427">
        <v>83178</v>
      </c>
      <c r="H194" s="427" t="s">
        <v>396</v>
      </c>
      <c r="I194" s="427" t="s">
        <v>386</v>
      </c>
      <c r="J194" s="446" t="s">
        <v>216</v>
      </c>
      <c r="K194" s="446" t="s">
        <v>217</v>
      </c>
      <c r="L194" s="446" t="s">
        <v>387</v>
      </c>
      <c r="M194" s="447" t="s">
        <v>436</v>
      </c>
      <c r="N194" s="448" t="s">
        <v>219</v>
      </c>
      <c r="O194" s="449" t="s">
        <v>220</v>
      </c>
      <c r="P194" s="508" t="s">
        <v>221</v>
      </c>
      <c r="Q194" s="469" t="s">
        <v>222</v>
      </c>
      <c r="R194" s="426" t="s">
        <v>223</v>
      </c>
      <c r="S194" s="470" t="s">
        <v>224</v>
      </c>
      <c r="T194" s="467" t="s">
        <v>225</v>
      </c>
      <c r="U194" s="470" t="s">
        <v>226</v>
      </c>
      <c r="V194" s="467"/>
      <c r="W194" s="467"/>
    </row>
    <row r="195" s="408" customFormat="1" hidden="1" spans="1:23">
      <c r="A195" s="428" t="s">
        <v>230</v>
      </c>
      <c r="B195" s="421" t="s">
        <v>378</v>
      </c>
      <c r="C195" s="429" t="s">
        <v>233</v>
      </c>
      <c r="D195" s="421" t="s">
        <v>266</v>
      </c>
      <c r="E195" s="430" t="str">
        <f>VLOOKUP(B194,正厂竞争者数据汇总!D:H,4,FALSE)</f>
        <v>Alexa Traffic Rank</v>
      </c>
      <c r="F195" s="430">
        <v>84240</v>
      </c>
      <c r="G195" s="430">
        <v>0</v>
      </c>
      <c r="H195" s="430">
        <v>88546.8333333332</v>
      </c>
      <c r="I195" s="453" t="e">
        <f>(F195/G195)-1</f>
        <v>#DIV/0!</v>
      </c>
      <c r="J195" s="451" t="e">
        <v>#N/A</v>
      </c>
      <c r="K195" s="451">
        <v>1</v>
      </c>
      <c r="L195" s="451">
        <v>1</v>
      </c>
      <c r="M195" s="451" t="e">
        <f>J195-K196</f>
        <v>#N/A</v>
      </c>
      <c r="N195" s="459"/>
      <c r="O195" s="430"/>
      <c r="P195" s="509">
        <f>VLOOKUP(B195,正厂竞争者数据汇总!D:M,6,FALSE)</f>
        <v>0</v>
      </c>
      <c r="Q195" s="429" t="s">
        <v>180</v>
      </c>
      <c r="R195" s="421" t="s">
        <v>180</v>
      </c>
      <c r="S195" s="473">
        <f>VLOOKUP(B195,正厂竞争者数据汇总!$D$2:$CL$243,25,FALSE)</f>
        <v>83797</v>
      </c>
      <c r="T195" s="466"/>
      <c r="U195" s="466"/>
      <c r="V195" s="421"/>
      <c r="W195" s="421"/>
    </row>
    <row r="196" s="408" customFormat="1" hidden="1" spans="1:23">
      <c r="A196" s="428" t="s">
        <v>446</v>
      </c>
      <c r="B196" s="421" t="s">
        <v>471</v>
      </c>
      <c r="C196" s="429" t="e">
        <v>#N/A</v>
      </c>
      <c r="D196" s="421" t="e">
        <v>#N/A</v>
      </c>
      <c r="E196" s="430" t="e">
        <f>VLOOKUP(B196,正厂竞争者数据汇总!D:H,4,FALSE)</f>
        <v>#N/A</v>
      </c>
      <c r="F196" s="430" t="e">
        <v>#N/A</v>
      </c>
      <c r="G196" s="430">
        <v>0</v>
      </c>
      <c r="H196" s="430">
        <v>0</v>
      </c>
      <c r="I196" s="453"/>
      <c r="J196" s="451"/>
      <c r="K196" s="451"/>
      <c r="L196" s="451"/>
      <c r="M196" s="451"/>
      <c r="N196" s="459"/>
      <c r="O196" s="430"/>
      <c r="P196" s="509" t="e">
        <f>VLOOKUP(B196,正厂竞争者数据汇总!D:M,6,FALSE)</f>
        <v>#N/A</v>
      </c>
      <c r="Q196" s="429" t="s">
        <v>180</v>
      </c>
      <c r="R196" s="421" t="s">
        <v>180</v>
      </c>
      <c r="S196" s="473" t="e">
        <f>VLOOKUP(B196,正厂竞争者数据汇总!$D$2:$CL$243,25,FALSE)</f>
        <v>#N/A</v>
      </c>
      <c r="T196" s="466"/>
      <c r="U196" s="466"/>
      <c r="V196" s="421"/>
      <c r="W196" s="421"/>
    </row>
    <row r="197" s="408" customFormat="1" hidden="1" spans="1:23">
      <c r="A197" s="428" t="s">
        <v>446</v>
      </c>
      <c r="B197" s="421" t="s">
        <v>472</v>
      </c>
      <c r="C197" s="429" t="e">
        <v>#N/A</v>
      </c>
      <c r="D197" s="421" t="e">
        <v>#N/A</v>
      </c>
      <c r="E197" s="430" t="e">
        <f>VLOOKUP(B197,正厂竞争者数据汇总!D:H,4,FALSE)</f>
        <v>#N/A</v>
      </c>
      <c r="F197" s="430" t="e">
        <v>#N/A</v>
      </c>
      <c r="G197" s="430">
        <v>83178</v>
      </c>
      <c r="H197" s="430">
        <v>0</v>
      </c>
      <c r="I197" s="453"/>
      <c r="J197" s="451"/>
      <c r="K197" s="451"/>
      <c r="L197" s="451"/>
      <c r="M197" s="451"/>
      <c r="N197" s="459"/>
      <c r="O197" s="430"/>
      <c r="P197" s="509" t="e">
        <f>VLOOKUP(B197,正厂竞争者数据汇总!D:M,6,FALSE)</f>
        <v>#N/A</v>
      </c>
      <c r="Q197" s="429" t="s">
        <v>180</v>
      </c>
      <c r="R197" s="421" t="s">
        <v>180</v>
      </c>
      <c r="S197" s="473" t="e">
        <f>VLOOKUP(B197,正厂竞争者数据汇总!$D$2:$CL$243,25,FALSE)</f>
        <v>#N/A</v>
      </c>
      <c r="T197" s="466"/>
      <c r="U197" s="466"/>
      <c r="V197" s="421"/>
      <c r="W197" s="421"/>
    </row>
    <row r="198" s="408" customFormat="1" hidden="1" spans="1:23">
      <c r="A198" s="428"/>
      <c r="B198" s="421"/>
      <c r="C198" s="439"/>
      <c r="D198" s="421"/>
      <c r="E198" s="430"/>
      <c r="F198" s="430" t="e">
        <v>#N/A</v>
      </c>
      <c r="G198" s="430"/>
      <c r="H198" s="430">
        <v>88546.8333333332</v>
      </c>
      <c r="I198" s="453" t="e">
        <f>(F198/G198)-1</f>
        <v>#N/A</v>
      </c>
      <c r="J198" s="430"/>
      <c r="K198" s="430"/>
      <c r="L198" s="430"/>
      <c r="M198" s="451"/>
      <c r="N198" s="459"/>
      <c r="O198" s="430"/>
      <c r="P198" s="509"/>
      <c r="Q198" s="429"/>
      <c r="R198" s="421"/>
      <c r="S198" s="473"/>
      <c r="T198" s="466"/>
      <c r="U198" s="466"/>
      <c r="V198" s="421"/>
      <c r="W198" s="421"/>
    </row>
    <row r="199" s="408" customFormat="1" spans="1:23">
      <c r="A199" s="423"/>
      <c r="B199" s="421"/>
      <c r="C199" s="425"/>
      <c r="D199" s="421"/>
      <c r="E199" s="430"/>
      <c r="F199" s="430"/>
      <c r="G199" s="430"/>
      <c r="H199" s="430"/>
      <c r="I199" s="453"/>
      <c r="J199" s="430"/>
      <c r="K199" s="430"/>
      <c r="L199" s="430"/>
      <c r="M199" s="451"/>
      <c r="N199" s="459"/>
      <c r="O199" s="430"/>
      <c r="P199" s="509"/>
      <c r="Q199" s="429"/>
      <c r="R199" s="421"/>
      <c r="S199" s="473"/>
      <c r="T199" s="466"/>
      <c r="U199" s="466"/>
      <c r="V199" s="421"/>
      <c r="W199" s="421"/>
    </row>
    <row r="200" s="408" customFormat="1" ht="17.4" spans="1:23">
      <c r="A200" s="418" t="s">
        <v>187</v>
      </c>
      <c r="B200" s="419"/>
      <c r="C200" s="420"/>
      <c r="D200" s="421"/>
      <c r="E200" s="422" t="s">
        <v>202</v>
      </c>
      <c r="F200" s="422"/>
      <c r="G200" s="422" t="s">
        <v>213</v>
      </c>
      <c r="H200" s="422"/>
      <c r="I200" s="422"/>
      <c r="J200" s="422"/>
      <c r="K200" s="422"/>
      <c r="L200" s="422"/>
      <c r="M200" s="443"/>
      <c r="N200" s="422"/>
      <c r="O200" s="422"/>
      <c r="P200" s="509"/>
      <c r="Q200" s="465"/>
      <c r="R200" s="424"/>
      <c r="S200" s="473"/>
      <c r="T200" s="467"/>
      <c r="U200" s="467"/>
      <c r="V200" s="467"/>
      <c r="W200" s="467"/>
    </row>
    <row r="201" s="409" customFormat="1" ht="46.8" hidden="1" spans="1:23">
      <c r="A201" s="423" t="s">
        <v>206</v>
      </c>
      <c r="B201" s="424" t="s">
        <v>207</v>
      </c>
      <c r="C201" s="425" t="s">
        <v>447</v>
      </c>
      <c r="D201" s="424" t="s">
        <v>209</v>
      </c>
      <c r="E201" s="426" t="s">
        <v>210</v>
      </c>
      <c r="F201" s="427" t="s">
        <v>385</v>
      </c>
      <c r="G201" s="427">
        <v>66202.5</v>
      </c>
      <c r="H201" s="427" t="s">
        <v>396</v>
      </c>
      <c r="I201" s="427" t="s">
        <v>386</v>
      </c>
      <c r="J201" s="446" t="s">
        <v>216</v>
      </c>
      <c r="K201" s="446" t="s">
        <v>217</v>
      </c>
      <c r="L201" s="446" t="s">
        <v>387</v>
      </c>
      <c r="M201" s="447" t="s">
        <v>436</v>
      </c>
      <c r="N201" s="448" t="s">
        <v>219</v>
      </c>
      <c r="O201" s="449" t="s">
        <v>220</v>
      </c>
      <c r="P201" s="508" t="s">
        <v>221</v>
      </c>
      <c r="Q201" s="469" t="s">
        <v>222</v>
      </c>
      <c r="R201" s="426" t="s">
        <v>223</v>
      </c>
      <c r="S201" s="470" t="s">
        <v>224</v>
      </c>
      <c r="T201" s="467" t="s">
        <v>225</v>
      </c>
      <c r="U201" s="470" t="s">
        <v>226</v>
      </c>
      <c r="V201" s="467"/>
      <c r="W201" s="467"/>
    </row>
    <row r="202" s="408" customFormat="1" hidden="1" spans="1:23">
      <c r="A202" s="428" t="s">
        <v>230</v>
      </c>
      <c r="B202" s="438" t="s">
        <v>341</v>
      </c>
      <c r="C202" s="429" t="s">
        <v>233</v>
      </c>
      <c r="D202" s="421" t="s">
        <v>422</v>
      </c>
      <c r="E202" s="430">
        <f>VLOOKUP(B202,正厂竞争者数据汇总!D:H,4,FALSE)</f>
        <v>0</v>
      </c>
      <c r="F202" s="430">
        <v>59422.5</v>
      </c>
      <c r="G202" s="430">
        <v>1355.75</v>
      </c>
      <c r="H202" s="430">
        <v>65360.75</v>
      </c>
      <c r="I202" s="453">
        <f>(F202/G202)-1</f>
        <v>42.8299834040199</v>
      </c>
      <c r="J202" s="451">
        <v>0.593062104057627</v>
      </c>
      <c r="K202" s="451">
        <v>0.661187495838605</v>
      </c>
      <c r="L202" s="451">
        <v>0.674792614120307</v>
      </c>
      <c r="M202" s="451">
        <f>J202-K203</f>
        <v>0.579521755166223</v>
      </c>
      <c r="N202" s="459"/>
      <c r="O202" s="430"/>
      <c r="P202" s="509">
        <f>VLOOKUP(B202,正厂竞争者数据汇总!D:M,6,FALSE)</f>
        <v>0</v>
      </c>
      <c r="Q202" s="429" t="s">
        <v>180</v>
      </c>
      <c r="R202" s="421" t="s">
        <v>180</v>
      </c>
      <c r="S202" s="473">
        <f>VLOOKUP(B202,正厂竞争者数据汇总!$D$2:$CL$243,25,FALSE)</f>
        <v>44201</v>
      </c>
      <c r="T202" s="466"/>
      <c r="U202" s="466"/>
      <c r="V202" s="421"/>
      <c r="W202" s="421"/>
    </row>
    <row r="203" s="408" customFormat="1" hidden="1" spans="1:23">
      <c r="A203" s="428" t="s">
        <v>230</v>
      </c>
      <c r="B203" s="438" t="s">
        <v>473</v>
      </c>
      <c r="C203" s="429" t="s">
        <v>233</v>
      </c>
      <c r="D203" s="421" t="s">
        <v>420</v>
      </c>
      <c r="E203" s="430" t="e">
        <f>VLOOKUP(B203,正厂竞争者数据汇总!D:H,4,FALSE)</f>
        <v>#N/A</v>
      </c>
      <c r="F203" s="430">
        <v>314</v>
      </c>
      <c r="G203" s="430">
        <v>31231.8333333333</v>
      </c>
      <c r="H203" s="430">
        <v>2194.5</v>
      </c>
      <c r="I203" s="453">
        <f>(F203/G203)-1</f>
        <v>-0.989946155364986</v>
      </c>
      <c r="J203" s="451">
        <v>0.00313385503259026</v>
      </c>
      <c r="K203" s="451">
        <v>0.0135403488914042</v>
      </c>
      <c r="L203" s="451">
        <v>0.0226562943614786</v>
      </c>
      <c r="M203" s="451">
        <f>J203-K204</f>
        <v>-0.308789375542015</v>
      </c>
      <c r="N203" s="459"/>
      <c r="O203" s="430"/>
      <c r="P203" s="509" t="e">
        <f>VLOOKUP(B203,正厂竞争者数据汇总!D:M,6,FALSE)</f>
        <v>#N/A</v>
      </c>
      <c r="Q203" s="429" t="s">
        <v>180</v>
      </c>
      <c r="R203" s="421" t="s">
        <v>180</v>
      </c>
      <c r="S203" s="473" t="e">
        <f>VLOOKUP(B203,正厂竞争者数据汇总!$D$2:$CL$243,25,FALSE)</f>
        <v>#N/A</v>
      </c>
      <c r="T203" s="466"/>
      <c r="U203" s="466"/>
      <c r="V203" s="421"/>
      <c r="W203" s="421"/>
    </row>
    <row r="204" s="408" customFormat="1" hidden="1" spans="1:23">
      <c r="A204" s="428" t="s">
        <v>230</v>
      </c>
      <c r="B204" s="482" t="s">
        <v>344</v>
      </c>
      <c r="C204" s="429" t="s">
        <v>233</v>
      </c>
      <c r="D204" s="421" t="s">
        <v>234</v>
      </c>
      <c r="E204" s="430">
        <f>VLOOKUP(B204,正厂竞争者数据汇总!D:H,4,FALSE)</f>
        <v>0</v>
      </c>
      <c r="F204" s="430">
        <v>38735.5833333333</v>
      </c>
      <c r="G204" s="430">
        <v>1336.58333333333</v>
      </c>
      <c r="H204" s="430">
        <v>26757.6666666667</v>
      </c>
      <c r="I204" s="453">
        <f>(F204/G204)-1</f>
        <v>27.9810461998878</v>
      </c>
      <c r="J204" s="451">
        <v>0.386597779520657</v>
      </c>
      <c r="K204" s="451">
        <v>0.311923230574605</v>
      </c>
      <c r="L204" s="451">
        <v>0.276249520358316</v>
      </c>
      <c r="M204" s="451">
        <f>J204-K205</f>
        <v>0.373248854825271</v>
      </c>
      <c r="N204" s="459"/>
      <c r="O204" s="430"/>
      <c r="P204" s="509">
        <f>VLOOKUP(B204,正厂竞争者数据汇总!D:M,6,FALSE)</f>
        <v>0</v>
      </c>
      <c r="Q204" s="429" t="s">
        <v>180</v>
      </c>
      <c r="R204" s="421" t="s">
        <v>180</v>
      </c>
      <c r="S204" s="473">
        <f>VLOOKUP(B204,正厂竞争者数据汇总!$D$2:$CL$243,25,FALSE)</f>
        <v>63249</v>
      </c>
      <c r="T204" s="466"/>
      <c r="U204" s="466"/>
      <c r="V204" s="421"/>
      <c r="W204" s="421"/>
    </row>
    <row r="205" s="408" customFormat="1" hidden="1" spans="1:23">
      <c r="A205" s="428" t="s">
        <v>230</v>
      </c>
      <c r="B205" s="438" t="s">
        <v>474</v>
      </c>
      <c r="C205" s="429" t="s">
        <v>233</v>
      </c>
      <c r="D205" s="421" t="s">
        <v>420</v>
      </c>
      <c r="E205" s="430">
        <f>VLOOKUP(B204,正厂竞争者数据汇总!D:H,4,FALSE)</f>
        <v>0</v>
      </c>
      <c r="F205" s="430">
        <v>1724</v>
      </c>
      <c r="G205" s="430"/>
      <c r="H205" s="430">
        <v>2547.58333333333</v>
      </c>
      <c r="I205" s="453" t="e">
        <f>(F205/G205)-1</f>
        <v>#DIV/0!</v>
      </c>
      <c r="J205" s="451">
        <v>0.0172062613891262</v>
      </c>
      <c r="K205" s="451">
        <v>0.0133489246953858</v>
      </c>
      <c r="L205" s="451">
        <v>0.0263015711598983</v>
      </c>
      <c r="M205" s="451">
        <f>J205-K206</f>
        <v>0.0172062613891262</v>
      </c>
      <c r="N205" s="459"/>
      <c r="O205" s="430"/>
      <c r="P205" s="509"/>
      <c r="Q205" s="429" t="s">
        <v>180</v>
      </c>
      <c r="R205" s="421" t="s">
        <v>180</v>
      </c>
      <c r="S205" s="473">
        <f>VLOOKUP(B205,正厂竞争者数据汇总!$D$2:$CL$243,25,FALSE)</f>
        <v>10350</v>
      </c>
      <c r="T205" s="466"/>
      <c r="U205" s="466"/>
      <c r="V205" s="421"/>
      <c r="W205" s="421"/>
    </row>
    <row r="206" s="408" customFormat="1" hidden="1" spans="1:23">
      <c r="A206" s="428"/>
      <c r="B206" s="421"/>
      <c r="C206" s="429"/>
      <c r="D206" s="421"/>
      <c r="E206" s="430"/>
      <c r="F206" s="430"/>
      <c r="G206" s="430">
        <v>100126.666666667</v>
      </c>
      <c r="H206" s="430"/>
      <c r="I206" s="453"/>
      <c r="J206" s="451"/>
      <c r="K206" s="451"/>
      <c r="L206" s="451"/>
      <c r="M206" s="451"/>
      <c r="N206" s="459"/>
      <c r="O206" s="430"/>
      <c r="P206" s="509"/>
      <c r="Q206" s="429"/>
      <c r="R206" s="421"/>
      <c r="S206" s="473"/>
      <c r="T206" s="466"/>
      <c r="U206" s="466"/>
      <c r="V206" s="421"/>
      <c r="W206" s="421"/>
    </row>
    <row r="207" s="408" customFormat="1" hidden="1" spans="1:23">
      <c r="A207" s="428"/>
      <c r="B207" s="421"/>
      <c r="C207" s="439"/>
      <c r="D207" s="421"/>
      <c r="E207" s="430"/>
      <c r="F207" s="430">
        <v>100196.083333333</v>
      </c>
      <c r="G207" s="430"/>
      <c r="H207" s="430">
        <v>96860.5</v>
      </c>
      <c r="I207" s="453" t="e">
        <f>(F207/G207)-1</f>
        <v>#DIV/0!</v>
      </c>
      <c r="J207" s="430"/>
      <c r="K207" s="430"/>
      <c r="L207" s="430"/>
      <c r="M207" s="451"/>
      <c r="N207" s="459"/>
      <c r="O207" s="430"/>
      <c r="P207" s="509"/>
      <c r="Q207" s="429"/>
      <c r="R207" s="421"/>
      <c r="S207" s="473"/>
      <c r="T207" s="466"/>
      <c r="U207" s="466"/>
      <c r="V207" s="421"/>
      <c r="W207" s="421"/>
    </row>
    <row r="208" s="408" customFormat="1" spans="1:23">
      <c r="A208" s="428"/>
      <c r="B208" s="421"/>
      <c r="C208" s="439"/>
      <c r="D208" s="421"/>
      <c r="E208" s="421"/>
      <c r="F208" s="430"/>
      <c r="G208" s="430"/>
      <c r="H208" s="430"/>
      <c r="I208" s="453"/>
      <c r="J208" s="430"/>
      <c r="K208" s="430"/>
      <c r="L208" s="430"/>
      <c r="M208" s="451"/>
      <c r="N208" s="459"/>
      <c r="O208" s="430"/>
      <c r="P208" s="509"/>
      <c r="Q208" s="429"/>
      <c r="R208" s="421"/>
      <c r="S208" s="473"/>
      <c r="T208" s="466"/>
      <c r="U208" s="466"/>
      <c r="V208" s="421"/>
      <c r="W208" s="421"/>
    </row>
    <row r="209" s="408" customFormat="1" ht="17.4" spans="1:23">
      <c r="A209" s="418" t="s">
        <v>193</v>
      </c>
      <c r="B209" s="419"/>
      <c r="C209" s="420"/>
      <c r="D209" s="421"/>
      <c r="E209" s="422" t="s">
        <v>202</v>
      </c>
      <c r="F209" s="422"/>
      <c r="G209" s="422" t="s">
        <v>213</v>
      </c>
      <c r="H209" s="422"/>
      <c r="I209" s="422"/>
      <c r="J209" s="422"/>
      <c r="K209" s="422"/>
      <c r="L209" s="422"/>
      <c r="M209" s="443"/>
      <c r="N209" s="422"/>
      <c r="O209" s="422"/>
      <c r="P209" s="509"/>
      <c r="Q209" s="465"/>
      <c r="R209" s="424"/>
      <c r="S209" s="473"/>
      <c r="T209" s="467"/>
      <c r="U209" s="467"/>
      <c r="V209" s="467"/>
      <c r="W209" s="467"/>
    </row>
    <row r="210" s="409" customFormat="1" ht="46.8" hidden="1" spans="1:23">
      <c r="A210" s="423" t="s">
        <v>206</v>
      </c>
      <c r="B210" s="424" t="s">
        <v>207</v>
      </c>
      <c r="C210" s="425" t="s">
        <v>447</v>
      </c>
      <c r="D210" s="424" t="s">
        <v>209</v>
      </c>
      <c r="E210" s="426" t="s">
        <v>210</v>
      </c>
      <c r="F210" s="427" t="s">
        <v>385</v>
      </c>
      <c r="G210" s="427">
        <v>251855.833333333</v>
      </c>
      <c r="H210" s="427" t="s">
        <v>396</v>
      </c>
      <c r="I210" s="427" t="s">
        <v>386</v>
      </c>
      <c r="J210" s="446" t="s">
        <v>216</v>
      </c>
      <c r="K210" s="446" t="s">
        <v>217</v>
      </c>
      <c r="L210" s="446" t="s">
        <v>387</v>
      </c>
      <c r="M210" s="447" t="s">
        <v>436</v>
      </c>
      <c r="N210" s="448" t="s">
        <v>219</v>
      </c>
      <c r="O210" s="449" t="s">
        <v>220</v>
      </c>
      <c r="P210" s="508" t="s">
        <v>221</v>
      </c>
      <c r="Q210" s="469" t="s">
        <v>222</v>
      </c>
      <c r="R210" s="426" t="s">
        <v>223</v>
      </c>
      <c r="S210" s="470" t="s">
        <v>224</v>
      </c>
      <c r="T210" s="467" t="s">
        <v>225</v>
      </c>
      <c r="U210" s="470" t="s">
        <v>226</v>
      </c>
      <c r="V210" s="467"/>
      <c r="W210" s="467"/>
    </row>
    <row r="211" s="408" customFormat="1" ht="17.4" hidden="1" spans="1:23">
      <c r="A211" s="428" t="s">
        <v>475</v>
      </c>
      <c r="B211" s="438" t="s">
        <v>476</v>
      </c>
      <c r="C211" s="429" t="s">
        <v>233</v>
      </c>
      <c r="D211" s="421" t="s">
        <v>234</v>
      </c>
      <c r="E211" s="430">
        <f>VLOOKUP(B211,正厂竞争者数据汇总!D:H,4,FALSE)</f>
        <v>81390</v>
      </c>
      <c r="F211" s="430">
        <v>280415.083333333</v>
      </c>
      <c r="G211" s="430">
        <v>38319.6666666667</v>
      </c>
      <c r="H211" s="430">
        <v>273188.083333333</v>
      </c>
      <c r="I211" s="453"/>
      <c r="J211" s="430"/>
      <c r="K211" s="430"/>
      <c r="L211" s="430"/>
      <c r="M211" s="451"/>
      <c r="N211" s="459"/>
      <c r="O211" s="430"/>
      <c r="P211" s="509" t="str">
        <f>VLOOKUP(B211,正厂竞争者数据汇总!D:M,6,FALSE)</f>
        <v>官网</v>
      </c>
      <c r="Q211" s="429" t="s">
        <v>180</v>
      </c>
      <c r="R211" s="421" t="s">
        <v>180</v>
      </c>
      <c r="S211" s="473">
        <f>VLOOKUP(B211,正厂竞争者数据汇总!$D$2:$CL$243,25,FALSE)</f>
        <v>193993</v>
      </c>
      <c r="T211" s="466"/>
      <c r="U211" s="466"/>
      <c r="V211" s="421"/>
      <c r="W211" s="421"/>
    </row>
    <row r="212" s="408" customFormat="1" hidden="1" spans="1:23">
      <c r="A212" s="428" t="s">
        <v>230</v>
      </c>
      <c r="B212" s="421" t="s">
        <v>365</v>
      </c>
      <c r="C212" s="429" t="s">
        <v>233</v>
      </c>
      <c r="D212" s="421" t="s">
        <v>52</v>
      </c>
      <c r="E212" s="430">
        <f>VLOOKUP(B212,正厂竞争者数据汇总!D:H,4,FALSE)</f>
        <v>0</v>
      </c>
      <c r="F212" s="430">
        <v>43690.5833333333</v>
      </c>
      <c r="G212" s="430">
        <v>39781.5833333333</v>
      </c>
      <c r="H212" s="430">
        <v>52163.4166666667</v>
      </c>
      <c r="I212" s="453">
        <f>(F212/G212)-1</f>
        <v>0.0982615489998513</v>
      </c>
      <c r="J212" s="451">
        <v>0.12051596732495</v>
      </c>
      <c r="K212" s="451">
        <v>0.1143088114803</v>
      </c>
      <c r="L212" s="451">
        <v>0.13826834831481</v>
      </c>
      <c r="M212" s="451">
        <f>J212-K213</f>
        <v>0.001846210899498</v>
      </c>
      <c r="N212" s="459"/>
      <c r="O212" s="430"/>
      <c r="P212" s="509">
        <f>VLOOKUP(B212,正厂竞争者数据汇总!D:M,6,FALSE)</f>
        <v>0</v>
      </c>
      <c r="Q212" s="429" t="s">
        <v>180</v>
      </c>
      <c r="R212" s="421" t="s">
        <v>180</v>
      </c>
      <c r="S212" s="473">
        <f>VLOOKUP(B212,正厂竞争者数据汇总!$D$2:$CL$243,25,FALSE)</f>
        <v>110722</v>
      </c>
      <c r="T212" s="466"/>
      <c r="U212" s="466"/>
      <c r="V212" s="421"/>
      <c r="W212" s="421"/>
    </row>
    <row r="213" s="408" customFormat="1" hidden="1" spans="1:23">
      <c r="A213" s="428" t="s">
        <v>367</v>
      </c>
      <c r="B213" s="438" t="s">
        <v>368</v>
      </c>
      <c r="C213" s="429" t="s">
        <v>233</v>
      </c>
      <c r="D213" s="421" t="s">
        <v>234</v>
      </c>
      <c r="E213" s="430">
        <f>VLOOKUP(B212,正厂竞争者数据汇总!D:H,4,FALSE)</f>
        <v>0</v>
      </c>
      <c r="F213" s="430">
        <v>33770.1666666667</v>
      </c>
      <c r="G213" s="430">
        <v>5272.25</v>
      </c>
      <c r="H213" s="430">
        <v>46192.6666666667</v>
      </c>
      <c r="I213" s="453">
        <f>(F213/G213)-1</f>
        <v>5.4052665686693</v>
      </c>
      <c r="J213" s="451">
        <v>0.0931515212673547</v>
      </c>
      <c r="K213" s="451">
        <v>0.118669756425452</v>
      </c>
      <c r="L213" s="451">
        <v>0.122441820961816</v>
      </c>
      <c r="M213" s="451">
        <f>J213-K214</f>
        <v>0.077424228110829</v>
      </c>
      <c r="N213" s="459"/>
      <c r="O213" s="430"/>
      <c r="P213" s="509">
        <f>VLOOKUP(B213,正厂竞争者数据汇总!D:M,6,FALSE)</f>
        <v>0</v>
      </c>
      <c r="Q213" s="429" t="s">
        <v>180</v>
      </c>
      <c r="R213" s="421" t="s">
        <v>180</v>
      </c>
      <c r="S213" s="473">
        <f>VLOOKUP(B213,正厂竞争者数据汇总!$D$2:$CL$243,25,FALSE)</f>
        <v>52681</v>
      </c>
      <c r="T213" s="466"/>
      <c r="U213" s="466"/>
      <c r="V213" s="421"/>
      <c r="W213" s="421"/>
    </row>
    <row r="214" s="408" customFormat="1" hidden="1" spans="1:23">
      <c r="A214" s="428" t="s">
        <v>230</v>
      </c>
      <c r="B214" s="421" t="s">
        <v>373</v>
      </c>
      <c r="C214" s="429" t="s">
        <v>477</v>
      </c>
      <c r="D214" s="421" t="s">
        <v>250</v>
      </c>
      <c r="E214" s="430">
        <f>VLOOKUP(B214,正厂竞争者数据汇总!D:H,4,FALSE)</f>
        <v>3939</v>
      </c>
      <c r="F214" s="430">
        <v>4653.58333333333</v>
      </c>
      <c r="G214" s="430"/>
      <c r="H214" s="430">
        <v>5718</v>
      </c>
      <c r="I214" s="453" t="e">
        <f>(F214/G214)-1</f>
        <v>#DIV/0!</v>
      </c>
      <c r="J214" s="451">
        <v>0.0128364295954834</v>
      </c>
      <c r="K214" s="451">
        <v>0.0157272931565257</v>
      </c>
      <c r="L214" s="451">
        <v>0.0151565688405013</v>
      </c>
      <c r="M214" s="451">
        <f>J214-K215</f>
        <v>0.0128364295954834</v>
      </c>
      <c r="N214" s="459"/>
      <c r="O214" s="430"/>
      <c r="P214" s="509">
        <f>VLOOKUP(B214,正厂竞争者数据汇总!D:M,6,FALSE)</f>
        <v>0</v>
      </c>
      <c r="Q214" s="429" t="s">
        <v>180</v>
      </c>
      <c r="R214" s="421" t="s">
        <v>180</v>
      </c>
      <c r="S214" s="473">
        <f>VLOOKUP(B214,正厂竞争者数据汇总!$D$2:$CL$243,25,FALSE)</f>
        <v>5939</v>
      </c>
      <c r="T214" s="466"/>
      <c r="U214" s="466"/>
      <c r="V214" s="421"/>
      <c r="W214" s="421"/>
    </row>
    <row r="215" s="410" customFormat="1" hidden="1" spans="1:23">
      <c r="A215" s="432"/>
      <c r="B215" s="435"/>
      <c r="C215" s="429"/>
      <c r="D215" s="421"/>
      <c r="E215" s="430"/>
      <c r="F215" s="436"/>
      <c r="G215" s="436">
        <v>335229.333333333</v>
      </c>
      <c r="H215" s="436"/>
      <c r="I215" s="453"/>
      <c r="J215" s="457"/>
      <c r="K215" s="457"/>
      <c r="L215" s="457"/>
      <c r="M215" s="451"/>
      <c r="N215" s="455"/>
      <c r="O215" s="436"/>
      <c r="P215" s="509"/>
      <c r="Q215" s="434"/>
      <c r="R215" s="435"/>
      <c r="S215" s="473"/>
      <c r="T215" s="466"/>
      <c r="U215" s="466"/>
      <c r="V215" s="435"/>
      <c r="W215" s="435"/>
    </row>
    <row r="216" s="408" customFormat="1" hidden="1" spans="1:23">
      <c r="A216" s="428"/>
      <c r="B216" s="421"/>
      <c r="C216" s="439"/>
      <c r="D216" s="421"/>
      <c r="E216" s="421"/>
      <c r="F216" s="496">
        <v>362529.416666667</v>
      </c>
      <c r="G216" s="496"/>
      <c r="H216" s="496">
        <v>377262.166666666</v>
      </c>
      <c r="I216" s="453" t="e">
        <f>(F216/G216)-1</f>
        <v>#DIV/0!</v>
      </c>
      <c r="J216" s="430"/>
      <c r="K216" s="430"/>
      <c r="L216" s="430"/>
      <c r="M216" s="451"/>
      <c r="N216" s="459"/>
      <c r="O216" s="430"/>
      <c r="P216" s="509"/>
      <c r="Q216" s="429"/>
      <c r="R216" s="421"/>
      <c r="S216" s="473"/>
      <c r="T216" s="466"/>
      <c r="U216" s="466"/>
      <c r="V216" s="421"/>
      <c r="W216" s="421"/>
    </row>
    <row r="217" s="408" customFormat="1" spans="3:21">
      <c r="C217" s="411"/>
      <c r="F217" s="502"/>
      <c r="G217" s="502"/>
      <c r="H217" s="502"/>
      <c r="I217" s="502"/>
      <c r="J217" s="412"/>
      <c r="K217" s="412"/>
      <c r="L217" s="412"/>
      <c r="M217" s="413"/>
      <c r="N217" s="414"/>
      <c r="O217" s="412"/>
      <c r="P217" s="504"/>
      <c r="T217" s="416"/>
      <c r="U217" s="416"/>
    </row>
    <row r="218" s="408" customFormat="1" spans="3:21">
      <c r="C218" s="411"/>
      <c r="E218" s="412"/>
      <c r="F218" s="412"/>
      <c r="G218" s="412"/>
      <c r="H218" s="412"/>
      <c r="I218" s="412"/>
      <c r="J218" s="412"/>
      <c r="K218" s="412"/>
      <c r="L218" s="412"/>
      <c r="M218" s="413"/>
      <c r="N218" s="414"/>
      <c r="O218" s="412"/>
      <c r="T218" s="416"/>
      <c r="U218" s="416"/>
    </row>
    <row r="219" s="408" customFormat="1" spans="3:21">
      <c r="C219" s="411"/>
      <c r="F219" s="412"/>
      <c r="G219" s="412"/>
      <c r="H219" s="412"/>
      <c r="I219" s="412"/>
      <c r="J219" s="412"/>
      <c r="K219" s="412"/>
      <c r="L219" s="412"/>
      <c r="M219" s="413"/>
      <c r="N219" s="414"/>
      <c r="O219" s="412"/>
      <c r="P219" s="504"/>
      <c r="T219" s="416"/>
      <c r="U219" s="416"/>
    </row>
    <row r="220" s="408" customFormat="1" spans="3:21">
      <c r="C220" s="411"/>
      <c r="F220" s="412"/>
      <c r="G220" s="412"/>
      <c r="H220" s="412"/>
      <c r="I220" s="412"/>
      <c r="J220" s="412"/>
      <c r="K220" s="412"/>
      <c r="L220" s="412"/>
      <c r="M220" s="413"/>
      <c r="N220" s="414"/>
      <c r="O220" s="412"/>
      <c r="P220" s="504"/>
      <c r="T220" s="416"/>
      <c r="U220" s="416"/>
    </row>
    <row r="221" s="408" customFormat="1" spans="3:21">
      <c r="C221" s="411"/>
      <c r="F221" s="412"/>
      <c r="G221" s="412"/>
      <c r="H221" s="412"/>
      <c r="I221" s="412"/>
      <c r="J221" s="412"/>
      <c r="K221" s="412"/>
      <c r="L221" s="412"/>
      <c r="M221" s="413"/>
      <c r="N221" s="414"/>
      <c r="O221" s="412"/>
      <c r="P221" s="504"/>
      <c r="T221" s="416"/>
      <c r="U221" s="416"/>
    </row>
    <row r="222" s="408" customFormat="1" spans="3:21">
      <c r="C222" s="411"/>
      <c r="F222" s="412"/>
      <c r="G222" s="412"/>
      <c r="H222" s="412"/>
      <c r="I222" s="412"/>
      <c r="J222" s="412"/>
      <c r="K222" s="412"/>
      <c r="L222" s="412"/>
      <c r="M222" s="413"/>
      <c r="N222" s="414"/>
      <c r="O222" s="412"/>
      <c r="P222" s="504"/>
      <c r="T222" s="416"/>
      <c r="U222" s="416"/>
    </row>
    <row r="223" s="408" customFormat="1" spans="3:21">
      <c r="C223" s="411"/>
      <c r="F223" s="412"/>
      <c r="G223" s="412"/>
      <c r="H223" s="412"/>
      <c r="I223" s="412"/>
      <c r="J223" s="412"/>
      <c r="K223" s="412"/>
      <c r="L223" s="412"/>
      <c r="M223" s="413"/>
      <c r="N223" s="414"/>
      <c r="O223" s="412"/>
      <c r="P223" s="504"/>
      <c r="T223" s="416"/>
      <c r="U223" s="416"/>
    </row>
    <row r="224" s="408" customFormat="1" spans="3:21">
      <c r="C224" s="411"/>
      <c r="F224" s="412"/>
      <c r="G224" s="412"/>
      <c r="H224" s="412"/>
      <c r="I224" s="412"/>
      <c r="J224" s="412"/>
      <c r="K224" s="412"/>
      <c r="L224" s="412"/>
      <c r="M224" s="413"/>
      <c r="N224" s="414"/>
      <c r="O224" s="412"/>
      <c r="P224" s="504"/>
      <c r="T224" s="416"/>
      <c r="U224" s="416"/>
    </row>
    <row r="225" s="408" customFormat="1" spans="3:21">
      <c r="C225" s="411"/>
      <c r="F225" s="412"/>
      <c r="G225" s="412"/>
      <c r="H225" s="412"/>
      <c r="I225" s="412"/>
      <c r="J225" s="412"/>
      <c r="K225" s="412"/>
      <c r="L225" s="412"/>
      <c r="M225" s="413"/>
      <c r="N225" s="414"/>
      <c r="O225" s="412"/>
      <c r="P225" s="504"/>
      <c r="T225" s="416"/>
      <c r="U225" s="416"/>
    </row>
    <row r="226" s="408" customFormat="1" spans="3:21">
      <c r="C226" s="411"/>
      <c r="F226" s="412"/>
      <c r="G226" s="412"/>
      <c r="H226" s="412"/>
      <c r="I226" s="412"/>
      <c r="J226" s="412"/>
      <c r="K226" s="412"/>
      <c r="L226" s="412"/>
      <c r="M226" s="413"/>
      <c r="N226" s="414"/>
      <c r="O226" s="412"/>
      <c r="P226" s="504"/>
      <c r="T226" s="416"/>
      <c r="U226" s="416"/>
    </row>
    <row r="227" s="408" customFormat="1" spans="3:21">
      <c r="C227" s="411"/>
      <c r="F227" s="412"/>
      <c r="G227" s="412"/>
      <c r="H227" s="412"/>
      <c r="I227" s="412"/>
      <c r="J227" s="412"/>
      <c r="K227" s="412"/>
      <c r="L227" s="412"/>
      <c r="M227" s="413"/>
      <c r="N227" s="414"/>
      <c r="O227" s="412"/>
      <c r="P227" s="504"/>
      <c r="T227" s="416"/>
      <c r="U227" s="416"/>
    </row>
    <row r="228" s="408" customFormat="1" spans="3:21">
      <c r="C228" s="411"/>
      <c r="F228" s="412"/>
      <c r="G228" s="412"/>
      <c r="H228" s="412"/>
      <c r="I228" s="412"/>
      <c r="J228" s="412"/>
      <c r="K228" s="412"/>
      <c r="L228" s="412"/>
      <c r="M228" s="413"/>
      <c r="N228" s="414"/>
      <c r="O228" s="412"/>
      <c r="P228" s="504"/>
      <c r="T228" s="416"/>
      <c r="U228" s="416"/>
    </row>
    <row r="229" s="411" customFormat="1" spans="1:23">
      <c r="A229" s="408"/>
      <c r="B229" s="503"/>
      <c r="D229" s="408"/>
      <c r="E229" s="408"/>
      <c r="F229" s="412"/>
      <c r="G229" s="412"/>
      <c r="H229" s="412"/>
      <c r="I229" s="412"/>
      <c r="J229" s="412"/>
      <c r="K229" s="412"/>
      <c r="L229" s="412"/>
      <c r="M229" s="413"/>
      <c r="N229" s="414"/>
      <c r="O229" s="412"/>
      <c r="P229" s="504"/>
      <c r="Q229" s="408"/>
      <c r="R229" s="408"/>
      <c r="S229" s="408"/>
      <c r="T229" s="416"/>
      <c r="U229" s="416"/>
      <c r="V229" s="408"/>
      <c r="W229" s="408"/>
    </row>
  </sheetData>
  <autoFilter ref="C1:C229">
    <extLst/>
  </autoFilter>
  <sortState ref="A145:P150">
    <sortCondition ref="J145:J150" descending="1"/>
  </sortState>
  <mergeCells count="19">
    <mergeCell ref="U1:W1"/>
    <mergeCell ref="U15:W15"/>
    <mergeCell ref="U28:W28"/>
    <mergeCell ref="U38:W38"/>
    <mergeCell ref="U51:W51"/>
    <mergeCell ref="U66:W66"/>
    <mergeCell ref="U79:W79"/>
    <mergeCell ref="U89:W89"/>
    <mergeCell ref="U101:W101"/>
    <mergeCell ref="U114:W114"/>
    <mergeCell ref="U128:W128"/>
    <mergeCell ref="U140:W140"/>
    <mergeCell ref="U151:W151"/>
    <mergeCell ref="U164:W164"/>
    <mergeCell ref="U173:W173"/>
    <mergeCell ref="U183:W183"/>
    <mergeCell ref="U193:W193"/>
    <mergeCell ref="U200:W200"/>
    <mergeCell ref="U209:W209"/>
  </mergeCells>
  <conditionalFormatting sqref="I3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{45fa496c-d0df-4f1f-887c-c224e2ac63f8}</x14:id>
        </ext>
      </extLst>
    </cfRule>
  </conditionalFormatting>
  <conditionalFormatting sqref="M3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{31c20a8a-9d2f-4352-8d67-b02dc41127b5}</x14:id>
        </ext>
      </extLst>
    </cfRule>
  </conditionalFormatting>
  <conditionalFormatting sqref="I4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{240ab1ea-019d-4d79-ba5a-23d9a4f16fd8}</x14:id>
        </ext>
      </extLst>
    </cfRule>
  </conditionalFormatting>
  <conditionalFormatting sqref="M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{fb85aaff-5ee6-4ef4-9b59-8d74ce0716fb}</x14:id>
        </ext>
      </extLst>
    </cfRule>
  </conditionalFormatting>
  <conditionalFormatting sqref="I5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{7cbc9040-28f9-43b3-aa19-fb6e59605da9}</x14:id>
        </ext>
      </extLst>
    </cfRule>
  </conditionalFormatting>
  <conditionalFormatting sqref="M5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{882fa380-40cc-426a-8067-fe5da7620886}</x14:id>
        </ext>
      </extLst>
    </cfRule>
  </conditionalFormatting>
  <conditionalFormatting sqref="I6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{7bf44506-97c6-48df-96a1-3acf583b5b13}</x14:id>
        </ext>
      </extLst>
    </cfRule>
  </conditionalFormatting>
  <conditionalFormatting sqref="M6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{296a3e21-3e4d-483f-866e-52d6e9aead34}</x14:id>
        </ext>
      </extLst>
    </cfRule>
  </conditionalFormatting>
  <conditionalFormatting sqref="I7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{1d975d3a-d77b-4d0d-8fb2-b1ef9a277be7}</x14:id>
        </ext>
      </extLst>
    </cfRule>
  </conditionalFormatting>
  <conditionalFormatting sqref="M7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{c0f5f489-632d-494c-9116-aece34e2c258}</x14:id>
        </ext>
      </extLst>
    </cfRule>
  </conditionalFormatting>
  <conditionalFormatting sqref="I8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{e072e21e-a835-47ac-b2c9-a68517baecb2}</x14:id>
        </ext>
      </extLst>
    </cfRule>
  </conditionalFormatting>
  <conditionalFormatting sqref="M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{dd72e907-1eb7-4ca7-87e2-f969834b73ca}</x14:id>
        </ext>
      </extLst>
    </cfRule>
  </conditionalFormatting>
  <conditionalFormatting sqref="I9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{9314cd72-3c82-4c2f-8acc-5e80e4c76989}</x14:id>
        </ext>
      </extLst>
    </cfRule>
  </conditionalFormatting>
  <conditionalFormatting sqref="M9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{dafef546-cd87-4a7e-8124-37276dd2df72}</x14:id>
        </ext>
      </extLst>
    </cfRule>
  </conditionalFormatting>
  <conditionalFormatting sqref="I10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{b2167bc6-b1da-4035-bdfa-a1ad0b276d93}</x14:id>
        </ext>
      </extLst>
    </cfRule>
  </conditionalFormatting>
  <conditionalFormatting sqref="M10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{26a0ca09-e796-4c2b-875e-4ee5136d2134}</x14:id>
        </ext>
      </extLst>
    </cfRule>
  </conditionalFormatting>
  <conditionalFormatting sqref="I11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{d33e2659-504b-49f4-bf37-747668c2507f}</x14:id>
        </ext>
      </extLst>
    </cfRule>
  </conditionalFormatting>
  <conditionalFormatting sqref="M11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{e56a1855-6a08-4659-aea4-d5290912e40c}</x14:id>
        </ext>
      </extLst>
    </cfRule>
  </conditionalFormatting>
  <conditionalFormatting sqref="M12">
    <cfRule type="dataBar" priority="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{141113d6-d74e-4e39-b446-59adf499a9e6}</x14:id>
        </ext>
      </extLst>
    </cfRule>
  </conditionalFormatting>
  <conditionalFormatting sqref="B17">
    <cfRule type="duplicateValues" dxfId="0" priority="93"/>
  </conditionalFormatting>
  <conditionalFormatting sqref="M17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{946a4781-9d1c-489b-9e1f-3dd250ccca26}</x14:id>
        </ext>
      </extLst>
    </cfRule>
  </conditionalFormatting>
  <conditionalFormatting sqref="I18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{410d13d2-f03d-4ff4-b98b-434a4a4f9d9d}</x14:id>
        </ext>
      </extLst>
    </cfRule>
  </conditionalFormatting>
  <conditionalFormatting sqref="M1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{6adeca89-546f-42be-b315-f7e34d42a4fb}</x14:id>
        </ext>
      </extLst>
    </cfRule>
  </conditionalFormatting>
  <conditionalFormatting sqref="I19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{c11142bb-174d-4abd-86e1-8d32518d16c4}</x14:id>
        </ext>
      </extLst>
    </cfRule>
  </conditionalFormatting>
  <conditionalFormatting sqref="M19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{8a967065-46da-4cf1-82a1-c75556a6b8f8}</x14:id>
        </ext>
      </extLst>
    </cfRule>
  </conditionalFormatting>
  <conditionalFormatting sqref="I20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{6d58e6fa-9311-47bf-9def-02c6b7ec2b93}</x14:id>
        </ext>
      </extLst>
    </cfRule>
  </conditionalFormatting>
  <conditionalFormatting sqref="M20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{f96bfd80-38b2-426d-ba2a-ce134c2fe76f}</x14:id>
        </ext>
      </extLst>
    </cfRule>
  </conditionalFormatting>
  <conditionalFormatting sqref="I21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{1ee9ead7-ae25-42a8-a4a2-ee64483cd211}</x14:id>
        </ext>
      </extLst>
    </cfRule>
  </conditionalFormatting>
  <conditionalFormatting sqref="M21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{67ecf2ad-93af-45b2-83b1-7fbe99fba54b}</x14:id>
        </ext>
      </extLst>
    </cfRule>
  </conditionalFormatting>
  <conditionalFormatting sqref="I22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{7e2e02cd-e377-4e97-af73-009d945dd05b}</x14:id>
        </ext>
      </extLst>
    </cfRule>
  </conditionalFormatting>
  <conditionalFormatting sqref="M22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{e0148548-3d37-4e60-975a-670f41a14794}</x14:id>
        </ext>
      </extLst>
    </cfRule>
  </conditionalFormatting>
  <conditionalFormatting sqref="I23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{7f13b6af-4739-4279-8599-4fa126aee495}</x14:id>
        </ext>
      </extLst>
    </cfRule>
  </conditionalFormatting>
  <conditionalFormatting sqref="M23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{3cfd024e-2ed1-46e4-828c-600ed0ed523c}</x14:id>
        </ext>
      </extLst>
    </cfRule>
  </conditionalFormatting>
  <conditionalFormatting sqref="I24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{21199796-b699-4a4c-b489-3db837d4b601}</x14:id>
        </ext>
      </extLst>
    </cfRule>
  </conditionalFormatting>
  <conditionalFormatting sqref="M24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{9693c3cc-36ea-40d3-8201-75e16f2e7643}</x14:id>
        </ext>
      </extLst>
    </cfRule>
  </conditionalFormatting>
  <conditionalFormatting sqref="M30">
    <cfRule type="dataBar" priority="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{56826f52-32e0-4790-8411-b6ab9fbf5e73}</x14:id>
        </ext>
      </extLst>
    </cfRule>
  </conditionalFormatting>
  <conditionalFormatting sqref="I31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{17e89a4b-2771-40a4-9ba9-c96f408c8240}</x14:id>
        </ext>
      </extLst>
    </cfRule>
  </conditionalFormatting>
  <conditionalFormatting sqref="M31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{ee03f4e3-126e-497c-80a9-7813f5e77cab}</x14:id>
        </ext>
      </extLst>
    </cfRule>
  </conditionalFormatting>
  <conditionalFormatting sqref="I3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{bdaa3f23-623f-4b97-866b-bf0e9e3a4fc0}</x14:id>
        </ext>
      </extLst>
    </cfRule>
  </conditionalFormatting>
  <conditionalFormatting sqref="M3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{99967964-b1b0-42d0-90ba-5e981efaf806}</x14:id>
        </ext>
      </extLst>
    </cfRule>
  </conditionalFormatting>
  <conditionalFormatting sqref="I33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{61765c1b-1ad5-4bf3-b225-fb83b0eee633}</x14:id>
        </ext>
      </extLst>
    </cfRule>
  </conditionalFormatting>
  <conditionalFormatting sqref="M33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{263bec1b-7271-4875-bb1b-7ee0854c89da}</x14:id>
        </ext>
      </extLst>
    </cfRule>
  </conditionalFormatting>
  <conditionalFormatting sqref="I34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{e00f40be-3a1d-45dc-bc0d-44ebe09a647f}</x14:id>
        </ext>
      </extLst>
    </cfRule>
  </conditionalFormatting>
  <conditionalFormatting sqref="M34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{873bd42e-2e69-448f-8b54-93ccc1789aa8}</x14:id>
        </ext>
      </extLst>
    </cfRule>
  </conditionalFormatting>
  <conditionalFormatting sqref="M40">
    <cfRule type="dataBar" priority="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{d2e61ebc-3107-41a4-95f4-77b4e86929b2}</x14:id>
        </ext>
      </extLst>
    </cfRule>
  </conditionalFormatting>
  <conditionalFormatting sqref="I41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{591e01d2-8b06-4187-846a-70e27820c8c5}</x14:id>
        </ext>
      </extLst>
    </cfRule>
  </conditionalFormatting>
  <conditionalFormatting sqref="M41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{1aae9a21-6fc3-4018-878e-c0ecae71d084}</x14:id>
        </ext>
      </extLst>
    </cfRule>
  </conditionalFormatting>
  <conditionalFormatting sqref="I4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{ac88850c-21a3-4236-b4c8-804e06a0cdc1}</x14:id>
        </ext>
      </extLst>
    </cfRule>
  </conditionalFormatting>
  <conditionalFormatting sqref="M42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{ddbe32e6-2e76-47cc-af64-134c3c821bdc}</x14:id>
        </ext>
      </extLst>
    </cfRule>
  </conditionalFormatting>
  <conditionalFormatting sqref="I4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{9f14bd43-d70f-4b35-a359-a3df0b945094}</x14:id>
        </ext>
      </extLst>
    </cfRule>
  </conditionalFormatting>
  <conditionalFormatting sqref="M43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{c724d6a3-850e-4243-b674-1d58f7652297}</x14:id>
        </ext>
      </extLst>
    </cfRule>
  </conditionalFormatting>
  <conditionalFormatting sqref="I4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{e879cc8b-beb8-4abd-bc15-c328b8533ca6}</x14:id>
        </ext>
      </extLst>
    </cfRule>
  </conditionalFormatting>
  <conditionalFormatting sqref="M44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{33968c44-6e8b-4aab-b72c-2c1ad50e6a52}</x14:id>
        </ext>
      </extLst>
    </cfRule>
  </conditionalFormatting>
  <conditionalFormatting sqref="I45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{90be945c-73f8-436c-ae92-1d8fd315ecc0}</x14:id>
        </ext>
      </extLst>
    </cfRule>
  </conditionalFormatting>
  <conditionalFormatting sqref="M4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{26a7095a-a7cc-4a07-8886-68ba4b984dbf}</x14:id>
        </ext>
      </extLst>
    </cfRule>
  </conditionalFormatting>
  <conditionalFormatting sqref="I46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{72786ed6-ab00-46dd-ac04-01ee89eee926}</x14:id>
        </ext>
      </extLst>
    </cfRule>
  </conditionalFormatting>
  <conditionalFormatting sqref="M4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{2bcafef8-80b5-476e-8244-2dbc2dbf9bcb}</x14:id>
        </ext>
      </extLst>
    </cfRule>
  </conditionalFormatting>
  <conditionalFormatting sqref="I47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{40bcc658-bebf-4fa2-9e83-fe811108cd1b}</x14:id>
        </ext>
      </extLst>
    </cfRule>
  </conditionalFormatting>
  <conditionalFormatting sqref="M4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{03f5e796-9ac8-4f4a-b1ca-51e918b8fe02}</x14:id>
        </ext>
      </extLst>
    </cfRule>
  </conditionalFormatting>
  <conditionalFormatting sqref="I9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{0843448b-dc1f-4edc-bc0a-5e563cb58ea9}</x14:id>
        </ext>
      </extLst>
    </cfRule>
  </conditionalFormatting>
  <conditionalFormatting sqref="M9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{ef89279a-3c58-44d1-ac3f-bc7df6f63531}</x14:id>
        </ext>
      </extLst>
    </cfRule>
  </conditionalFormatting>
  <conditionalFormatting sqref="I12:I13">
    <cfRule type="dataBar" priority="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{0658ef4a-2a31-459d-b9e2-e23c1e0b3b2f}</x14:id>
        </ext>
      </extLst>
    </cfRule>
  </conditionalFormatting>
  <conditionalFormatting sqref="I53:I64">
    <cfRule type="dataBar" priority="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{a0ee64cc-5dcc-42f4-99cc-ff1b1a17c9fb}</x14:id>
        </ext>
      </extLst>
    </cfRule>
  </conditionalFormatting>
  <conditionalFormatting sqref="I68:I77">
    <cfRule type="dataBar" priority="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{66e035dc-dc1f-44ed-a4e1-c7518fb4a14f}</x14:id>
        </ext>
      </extLst>
    </cfRule>
  </conditionalFormatting>
  <conditionalFormatting sqref="I81:I87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{60f6ddcb-a2be-41bf-98f4-ee92d88ced8c}</x14:id>
        </ext>
      </extLst>
    </cfRule>
  </conditionalFormatting>
  <conditionalFormatting sqref="I103:I112">
    <cfRule type="dataBar" priority="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{270359c3-2cfa-4d9d-93d5-23eface9c511}</x14:id>
        </ext>
      </extLst>
    </cfRule>
  </conditionalFormatting>
  <conditionalFormatting sqref="I116:I126">
    <cfRule type="dataBar" priority="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{25c6b08b-02b0-405c-80cf-cb841ace4cf8}</x14:id>
        </ext>
      </extLst>
    </cfRule>
  </conditionalFormatting>
  <conditionalFormatting sqref="I130:I138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{7e654137-22b0-4203-9029-17abca1a5db9}</x14:id>
        </ext>
      </extLst>
    </cfRule>
  </conditionalFormatting>
  <conditionalFormatting sqref="I142:I149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{d518a598-65be-4af8-9cd5-a1f061f797ea}</x14:id>
        </ext>
      </extLst>
    </cfRule>
  </conditionalFormatting>
  <conditionalFormatting sqref="I153:I162">
    <cfRule type="dataBar" priority="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{f637147f-f091-43d5-9365-3f4e8b914cb9}</x14:id>
        </ext>
      </extLst>
    </cfRule>
  </conditionalFormatting>
  <conditionalFormatting sqref="M53:M62">
    <cfRule type="dataBar" priority="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{cb440973-349c-4825-abcb-5d9facb6afb6}</x14:id>
        </ext>
      </extLst>
    </cfRule>
  </conditionalFormatting>
  <conditionalFormatting sqref="M68:M72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{1f40383d-84c0-4467-9ebe-b370a21c1fa7}</x14:id>
        </ext>
      </extLst>
    </cfRule>
  </conditionalFormatting>
  <conditionalFormatting sqref="M81:M85">
    <cfRule type="dataBar" priority="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{e645b02a-8532-47cc-8b6b-0bc4594282fe}</x14:id>
        </ext>
      </extLst>
    </cfRule>
  </conditionalFormatting>
  <conditionalFormatting sqref="M91:M96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{7bec3021-49cb-4889-b828-8759035cbf46}</x14:id>
        </ext>
      </extLst>
    </cfRule>
  </conditionalFormatting>
  <conditionalFormatting sqref="M103:M1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{013ceec8-979f-4b56-83c9-b4831d6415a9}</x14:id>
        </ext>
      </extLst>
    </cfRule>
  </conditionalFormatting>
  <conditionalFormatting sqref="M116:M121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{a239cea1-5314-41ff-bddf-5ee6e1728c40}</x14:id>
        </ext>
      </extLst>
    </cfRule>
  </conditionalFormatting>
  <conditionalFormatting sqref="M130:M136">
    <cfRule type="dataBar" priority="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{3d966855-367f-47fc-be37-625113874402}</x14:id>
        </ext>
      </extLst>
    </cfRule>
  </conditionalFormatting>
  <conditionalFormatting sqref="M142:M147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{a2b700e7-2187-469d-ab22-454b5d1700f3}</x14:id>
        </ext>
      </extLst>
    </cfRule>
  </conditionalFormatting>
  <conditionalFormatting sqref="M153:M16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{b81ebed9-7a35-44f6-bed8-1c96eddc4eed}</x14:id>
        </ext>
      </extLst>
    </cfRule>
  </conditionalFormatting>
  <conditionalFormatting sqref="I25:I26 I17">
    <cfRule type="dataBar" priority="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{2bf5a768-77dc-417b-a25b-c3146afb88ef}</x14:id>
        </ext>
      </extLst>
    </cfRule>
  </conditionalFormatting>
  <conditionalFormatting sqref="I35:I36 I30">
    <cfRule type="dataBar" priority="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{cbd9a514-7f8b-4347-9db5-22860adbb661}</x14:id>
        </ext>
      </extLst>
    </cfRule>
  </conditionalFormatting>
  <conditionalFormatting sqref="I48:I49 I40">
    <cfRule type="dataBar" priority="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{f2db50db-6703-4c6f-8384-c638a8ce4b2f}</x14:id>
        </ext>
      </extLst>
    </cfRule>
  </conditionalFormatting>
  <conditionalFormatting sqref="M75 M73">
    <cfRule type="dataBar" priority="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{6adb0595-6599-452e-9f50-3227bab44221}</x14:id>
        </ext>
      </extLst>
    </cfRule>
  </conditionalFormatting>
  <conditionalFormatting sqref="I91:I96 I98:I99">
    <cfRule type="dataBar" priority="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{bd6c5a36-6e21-4def-a907-11003baabfd3}</x14:id>
        </ext>
      </extLst>
    </cfRule>
  </conditionalFormatting>
  <hyperlinks>
    <hyperlink ref="B116" r:id="rId1" display="kiapartsnow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5fa496c-d0df-4f1f-887c-c224e2ac63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</xm:sqref>
        </x14:conditionalFormatting>
        <x14:conditionalFormatting xmlns:xm="http://schemas.microsoft.com/office/excel/2006/main">
          <x14:cfRule type="dataBar" id="{31c20a8a-9d2f-4352-8d67-b02dc41127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</xm:sqref>
        </x14:conditionalFormatting>
        <x14:conditionalFormatting xmlns:xm="http://schemas.microsoft.com/office/excel/2006/main">
          <x14:cfRule type="dataBar" id="{240ab1ea-019d-4d79-ba5a-23d9a4f16f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</xm:sqref>
        </x14:conditionalFormatting>
        <x14:conditionalFormatting xmlns:xm="http://schemas.microsoft.com/office/excel/2006/main">
          <x14:cfRule type="dataBar" id="{fb85aaff-5ee6-4ef4-9b59-8d74ce0716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</xm:sqref>
        </x14:conditionalFormatting>
        <x14:conditionalFormatting xmlns:xm="http://schemas.microsoft.com/office/excel/2006/main">
          <x14:cfRule type="dataBar" id="{7cbc9040-28f9-43b3-aa19-fb6e59605d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</xm:sqref>
        </x14:conditionalFormatting>
        <x14:conditionalFormatting xmlns:xm="http://schemas.microsoft.com/office/excel/2006/main">
          <x14:cfRule type="dataBar" id="{882fa380-40cc-426a-8067-fe5da76208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</xm:sqref>
        </x14:conditionalFormatting>
        <x14:conditionalFormatting xmlns:xm="http://schemas.microsoft.com/office/excel/2006/main">
          <x14:cfRule type="dataBar" id="{7bf44506-97c6-48df-96a1-3acf583b5b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</xm:sqref>
        </x14:conditionalFormatting>
        <x14:conditionalFormatting xmlns:xm="http://schemas.microsoft.com/office/excel/2006/main">
          <x14:cfRule type="dataBar" id="{296a3e21-3e4d-483f-866e-52d6e9aead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</xm:sqref>
        </x14:conditionalFormatting>
        <x14:conditionalFormatting xmlns:xm="http://schemas.microsoft.com/office/excel/2006/main">
          <x14:cfRule type="dataBar" id="{1d975d3a-d77b-4d0d-8fb2-b1ef9a277b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I7</xm:sqref>
        </x14:conditionalFormatting>
        <x14:conditionalFormatting xmlns:xm="http://schemas.microsoft.com/office/excel/2006/main">
          <x14:cfRule type="dataBar" id="{c0f5f489-632d-494c-9116-aece34e2c25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</xm:sqref>
        </x14:conditionalFormatting>
        <x14:conditionalFormatting xmlns:xm="http://schemas.microsoft.com/office/excel/2006/main">
          <x14:cfRule type="dataBar" id="{e072e21e-a835-47ac-b2c9-a68517baec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</xm:sqref>
        </x14:conditionalFormatting>
        <x14:conditionalFormatting xmlns:xm="http://schemas.microsoft.com/office/excel/2006/main">
          <x14:cfRule type="dataBar" id="{dd72e907-1eb7-4ca7-87e2-f969834b73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</xm:sqref>
        </x14:conditionalFormatting>
        <x14:conditionalFormatting xmlns:xm="http://schemas.microsoft.com/office/excel/2006/main">
          <x14:cfRule type="dataBar" id="{9314cd72-3c82-4c2f-8acc-5e80e4c7698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</xm:sqref>
        </x14:conditionalFormatting>
        <x14:conditionalFormatting xmlns:xm="http://schemas.microsoft.com/office/excel/2006/main">
          <x14:cfRule type="dataBar" id="{dafef546-cd87-4a7e-8124-37276dd2df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</xm:sqref>
        </x14:conditionalFormatting>
        <x14:conditionalFormatting xmlns:xm="http://schemas.microsoft.com/office/excel/2006/main">
          <x14:cfRule type="dataBar" id="{b2167bc6-b1da-4035-bdfa-a1ad0b276d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</xm:sqref>
        </x14:conditionalFormatting>
        <x14:conditionalFormatting xmlns:xm="http://schemas.microsoft.com/office/excel/2006/main">
          <x14:cfRule type="dataBar" id="{26a0ca09-e796-4c2b-875e-4ee5136d21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</xm:sqref>
        </x14:conditionalFormatting>
        <x14:conditionalFormatting xmlns:xm="http://schemas.microsoft.com/office/excel/2006/main">
          <x14:cfRule type="dataBar" id="{d33e2659-504b-49f4-bf37-747668c250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</xm:sqref>
        </x14:conditionalFormatting>
        <x14:conditionalFormatting xmlns:xm="http://schemas.microsoft.com/office/excel/2006/main">
          <x14:cfRule type="dataBar" id="{e56a1855-6a08-4659-aea4-d5290912e4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</xm:sqref>
        </x14:conditionalFormatting>
        <x14:conditionalFormatting xmlns:xm="http://schemas.microsoft.com/office/excel/2006/main">
          <x14:cfRule type="dataBar" id="{141113d6-d74e-4e39-b446-59adf499a9e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M12</xm:sqref>
        </x14:conditionalFormatting>
        <x14:conditionalFormatting xmlns:xm="http://schemas.microsoft.com/office/excel/2006/main">
          <x14:cfRule type="dataBar" id="{946a4781-9d1c-489b-9e1f-3dd250ccca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M17</xm:sqref>
        </x14:conditionalFormatting>
        <x14:conditionalFormatting xmlns:xm="http://schemas.microsoft.com/office/excel/2006/main">
          <x14:cfRule type="dataBar" id="{410d13d2-f03d-4ff4-b98b-434a4a4f9d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I18</xm:sqref>
        </x14:conditionalFormatting>
        <x14:conditionalFormatting xmlns:xm="http://schemas.microsoft.com/office/excel/2006/main">
          <x14:cfRule type="dataBar" id="{6adeca89-546f-42be-b315-f7e34d42a4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M18</xm:sqref>
        </x14:conditionalFormatting>
        <x14:conditionalFormatting xmlns:xm="http://schemas.microsoft.com/office/excel/2006/main">
          <x14:cfRule type="dataBar" id="{c11142bb-174d-4abd-86e1-8d32518d16c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I19</xm:sqref>
        </x14:conditionalFormatting>
        <x14:conditionalFormatting xmlns:xm="http://schemas.microsoft.com/office/excel/2006/main">
          <x14:cfRule type="dataBar" id="{8a967065-46da-4cf1-82a1-c75556a6b8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M19</xm:sqref>
        </x14:conditionalFormatting>
        <x14:conditionalFormatting xmlns:xm="http://schemas.microsoft.com/office/excel/2006/main">
          <x14:cfRule type="dataBar" id="{6d58e6fa-9311-47bf-9def-02c6b7ec2b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I20</xm:sqref>
        </x14:conditionalFormatting>
        <x14:conditionalFormatting xmlns:xm="http://schemas.microsoft.com/office/excel/2006/main">
          <x14:cfRule type="dataBar" id="{f96bfd80-38b2-426d-ba2a-ce134c2fe7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M20</xm:sqref>
        </x14:conditionalFormatting>
        <x14:conditionalFormatting xmlns:xm="http://schemas.microsoft.com/office/excel/2006/main">
          <x14:cfRule type="dataBar" id="{1ee9ead7-ae25-42a8-a4a2-ee64483cd21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I21</xm:sqref>
        </x14:conditionalFormatting>
        <x14:conditionalFormatting xmlns:xm="http://schemas.microsoft.com/office/excel/2006/main">
          <x14:cfRule type="dataBar" id="{67ecf2ad-93af-45b2-83b1-7fbe99fba54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M21</xm:sqref>
        </x14:conditionalFormatting>
        <x14:conditionalFormatting xmlns:xm="http://schemas.microsoft.com/office/excel/2006/main">
          <x14:cfRule type="dataBar" id="{7e2e02cd-e377-4e97-af73-009d945dd0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I22</xm:sqref>
        </x14:conditionalFormatting>
        <x14:conditionalFormatting xmlns:xm="http://schemas.microsoft.com/office/excel/2006/main">
          <x14:cfRule type="dataBar" id="{e0148548-3d37-4e60-975a-670f41a147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M22</xm:sqref>
        </x14:conditionalFormatting>
        <x14:conditionalFormatting xmlns:xm="http://schemas.microsoft.com/office/excel/2006/main">
          <x14:cfRule type="dataBar" id="{7f13b6af-4739-4279-8599-4fa126aee4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I23</xm:sqref>
        </x14:conditionalFormatting>
        <x14:conditionalFormatting xmlns:xm="http://schemas.microsoft.com/office/excel/2006/main">
          <x14:cfRule type="dataBar" id="{3cfd024e-2ed1-46e4-828c-600ed0ed523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M23</xm:sqref>
        </x14:conditionalFormatting>
        <x14:conditionalFormatting xmlns:xm="http://schemas.microsoft.com/office/excel/2006/main">
          <x14:cfRule type="dataBar" id="{21199796-b699-4a4c-b489-3db837d4b6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I24</xm:sqref>
        </x14:conditionalFormatting>
        <x14:conditionalFormatting xmlns:xm="http://schemas.microsoft.com/office/excel/2006/main">
          <x14:cfRule type="dataBar" id="{9693c3cc-36ea-40d3-8201-75e16f2e76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M24</xm:sqref>
        </x14:conditionalFormatting>
        <x14:conditionalFormatting xmlns:xm="http://schemas.microsoft.com/office/excel/2006/main">
          <x14:cfRule type="dataBar" id="{56826f52-32e0-4790-8411-b6ab9fbf5e7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</xm:sqref>
        </x14:conditionalFormatting>
        <x14:conditionalFormatting xmlns:xm="http://schemas.microsoft.com/office/excel/2006/main">
          <x14:cfRule type="dataBar" id="{17e89a4b-2771-40a4-9ba9-c96f408c82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I31</xm:sqref>
        </x14:conditionalFormatting>
        <x14:conditionalFormatting xmlns:xm="http://schemas.microsoft.com/office/excel/2006/main">
          <x14:cfRule type="dataBar" id="{ee03f4e3-126e-497c-80a9-7813f5e77c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M31</xm:sqref>
        </x14:conditionalFormatting>
        <x14:conditionalFormatting xmlns:xm="http://schemas.microsoft.com/office/excel/2006/main">
          <x14:cfRule type="dataBar" id="{bdaa3f23-623f-4b97-866b-bf0e9e3a4f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I32</xm:sqref>
        </x14:conditionalFormatting>
        <x14:conditionalFormatting xmlns:xm="http://schemas.microsoft.com/office/excel/2006/main">
          <x14:cfRule type="dataBar" id="{99967964-b1b0-42d0-90ba-5e981efaf8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M32</xm:sqref>
        </x14:conditionalFormatting>
        <x14:conditionalFormatting xmlns:xm="http://schemas.microsoft.com/office/excel/2006/main">
          <x14:cfRule type="dataBar" id="{61765c1b-1ad5-4bf3-b225-fb83b0eee6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I33</xm:sqref>
        </x14:conditionalFormatting>
        <x14:conditionalFormatting xmlns:xm="http://schemas.microsoft.com/office/excel/2006/main">
          <x14:cfRule type="dataBar" id="{263bec1b-7271-4875-bb1b-7ee0854c89d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M33</xm:sqref>
        </x14:conditionalFormatting>
        <x14:conditionalFormatting xmlns:xm="http://schemas.microsoft.com/office/excel/2006/main">
          <x14:cfRule type="dataBar" id="{e00f40be-3a1d-45dc-bc0d-44ebe09a64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I34</xm:sqref>
        </x14:conditionalFormatting>
        <x14:conditionalFormatting xmlns:xm="http://schemas.microsoft.com/office/excel/2006/main">
          <x14:cfRule type="dataBar" id="{873bd42e-2e69-448f-8b54-93ccc1789a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M34</xm:sqref>
        </x14:conditionalFormatting>
        <x14:conditionalFormatting xmlns:xm="http://schemas.microsoft.com/office/excel/2006/main">
          <x14:cfRule type="dataBar" id="{d2e61ebc-3107-41a4-95f4-77b4e86929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M40</xm:sqref>
        </x14:conditionalFormatting>
        <x14:conditionalFormatting xmlns:xm="http://schemas.microsoft.com/office/excel/2006/main">
          <x14:cfRule type="dataBar" id="{591e01d2-8b06-4187-846a-70e27820c8c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I41</xm:sqref>
        </x14:conditionalFormatting>
        <x14:conditionalFormatting xmlns:xm="http://schemas.microsoft.com/office/excel/2006/main">
          <x14:cfRule type="dataBar" id="{1aae9a21-6fc3-4018-878e-c0ecae71d08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M41</xm:sqref>
        </x14:conditionalFormatting>
        <x14:conditionalFormatting xmlns:xm="http://schemas.microsoft.com/office/excel/2006/main">
          <x14:cfRule type="dataBar" id="{ac88850c-21a3-4236-b4c8-804e06a0cd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I42</xm:sqref>
        </x14:conditionalFormatting>
        <x14:conditionalFormatting xmlns:xm="http://schemas.microsoft.com/office/excel/2006/main">
          <x14:cfRule type="dataBar" id="{ddbe32e6-2e76-47cc-af64-134c3c821b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M42</xm:sqref>
        </x14:conditionalFormatting>
        <x14:conditionalFormatting xmlns:xm="http://schemas.microsoft.com/office/excel/2006/main">
          <x14:cfRule type="dataBar" id="{9f14bd43-d70f-4b35-a359-a3df0b9450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I43</xm:sqref>
        </x14:conditionalFormatting>
        <x14:conditionalFormatting xmlns:xm="http://schemas.microsoft.com/office/excel/2006/main">
          <x14:cfRule type="dataBar" id="{c724d6a3-850e-4243-b674-1d58f76522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M43</xm:sqref>
        </x14:conditionalFormatting>
        <x14:conditionalFormatting xmlns:xm="http://schemas.microsoft.com/office/excel/2006/main">
          <x14:cfRule type="dataBar" id="{e879cc8b-beb8-4abd-bc15-c328b8533c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I44</xm:sqref>
        </x14:conditionalFormatting>
        <x14:conditionalFormatting xmlns:xm="http://schemas.microsoft.com/office/excel/2006/main">
          <x14:cfRule type="dataBar" id="{33968c44-6e8b-4aab-b72c-2c1ad50e6a5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M44</xm:sqref>
        </x14:conditionalFormatting>
        <x14:conditionalFormatting xmlns:xm="http://schemas.microsoft.com/office/excel/2006/main">
          <x14:cfRule type="dataBar" id="{90be945c-73f8-436c-ae92-1d8fd315ec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I45</xm:sqref>
        </x14:conditionalFormatting>
        <x14:conditionalFormatting xmlns:xm="http://schemas.microsoft.com/office/excel/2006/main">
          <x14:cfRule type="dataBar" id="{26a7095a-a7cc-4a07-8886-68ba4b984db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M45</xm:sqref>
        </x14:conditionalFormatting>
        <x14:conditionalFormatting xmlns:xm="http://schemas.microsoft.com/office/excel/2006/main">
          <x14:cfRule type="dataBar" id="{72786ed6-ab00-46dd-ac04-01ee89eee9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I46</xm:sqref>
        </x14:conditionalFormatting>
        <x14:conditionalFormatting xmlns:xm="http://schemas.microsoft.com/office/excel/2006/main">
          <x14:cfRule type="dataBar" id="{2bcafef8-80b5-476e-8244-2dbc2dbf9b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M46</xm:sqref>
        </x14:conditionalFormatting>
        <x14:conditionalFormatting xmlns:xm="http://schemas.microsoft.com/office/excel/2006/main">
          <x14:cfRule type="dataBar" id="{40bcc658-bebf-4fa2-9e83-fe811108cd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I47</xm:sqref>
        </x14:conditionalFormatting>
        <x14:conditionalFormatting xmlns:xm="http://schemas.microsoft.com/office/excel/2006/main">
          <x14:cfRule type="dataBar" id="{03f5e796-9ac8-4f4a-b1ca-51e918b8fe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M47</xm:sqref>
        </x14:conditionalFormatting>
        <x14:conditionalFormatting xmlns:xm="http://schemas.microsoft.com/office/excel/2006/main">
          <x14:cfRule type="dataBar" id="{0843448b-dc1f-4edc-bc0a-5e563cb58e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I97</xm:sqref>
        </x14:conditionalFormatting>
        <x14:conditionalFormatting xmlns:xm="http://schemas.microsoft.com/office/excel/2006/main">
          <x14:cfRule type="dataBar" id="{ef89279a-3c58-44d1-ac3f-bc7df6f635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M97</xm:sqref>
        </x14:conditionalFormatting>
        <x14:conditionalFormatting xmlns:xm="http://schemas.microsoft.com/office/excel/2006/main">
          <x14:cfRule type="dataBar" id="{0658ef4a-2a31-459d-b9e2-e23c1e0b3b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I12:I13</xm:sqref>
        </x14:conditionalFormatting>
        <x14:conditionalFormatting xmlns:xm="http://schemas.microsoft.com/office/excel/2006/main">
          <x14:cfRule type="dataBar" id="{a0ee64cc-5dcc-42f4-99cc-ff1b1a17c9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I53:I64</xm:sqref>
        </x14:conditionalFormatting>
        <x14:conditionalFormatting xmlns:xm="http://schemas.microsoft.com/office/excel/2006/main">
          <x14:cfRule type="dataBar" id="{66e035dc-dc1f-44ed-a4e1-c7518fb4a1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I68:I77</xm:sqref>
        </x14:conditionalFormatting>
        <x14:conditionalFormatting xmlns:xm="http://schemas.microsoft.com/office/excel/2006/main">
          <x14:cfRule type="dataBar" id="{60f6ddcb-a2be-41bf-98f4-ee92d88ced8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I81:I87</xm:sqref>
        </x14:conditionalFormatting>
        <x14:conditionalFormatting xmlns:xm="http://schemas.microsoft.com/office/excel/2006/main">
          <x14:cfRule type="dataBar" id="{270359c3-2cfa-4d9d-93d5-23eface9c51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I103:I112</xm:sqref>
        </x14:conditionalFormatting>
        <x14:conditionalFormatting xmlns:xm="http://schemas.microsoft.com/office/excel/2006/main">
          <x14:cfRule type="dataBar" id="{25c6b08b-02b0-405c-80cf-cb841ace4c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I116:I126</xm:sqref>
        </x14:conditionalFormatting>
        <x14:conditionalFormatting xmlns:xm="http://schemas.microsoft.com/office/excel/2006/main">
          <x14:cfRule type="dataBar" id="{7e654137-22b0-4203-9029-17abca1a5d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I130:I138</xm:sqref>
        </x14:conditionalFormatting>
        <x14:conditionalFormatting xmlns:xm="http://schemas.microsoft.com/office/excel/2006/main">
          <x14:cfRule type="dataBar" id="{d518a598-65be-4af8-9cd5-a1f061f797e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I142:I149</xm:sqref>
        </x14:conditionalFormatting>
        <x14:conditionalFormatting xmlns:xm="http://schemas.microsoft.com/office/excel/2006/main">
          <x14:cfRule type="dataBar" id="{f637147f-f091-43d5-9365-3f4e8b914c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I153:I162</xm:sqref>
        </x14:conditionalFormatting>
        <x14:conditionalFormatting xmlns:xm="http://schemas.microsoft.com/office/excel/2006/main">
          <x14:cfRule type="dataBar" id="{cb440973-349c-4825-abcb-5d9facb6af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M53:M62</xm:sqref>
        </x14:conditionalFormatting>
        <x14:conditionalFormatting xmlns:xm="http://schemas.microsoft.com/office/excel/2006/main">
          <x14:cfRule type="dataBar" id="{1f40383d-84c0-4467-9ebe-b370a21c1f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M68:M72</xm:sqref>
        </x14:conditionalFormatting>
        <x14:conditionalFormatting xmlns:xm="http://schemas.microsoft.com/office/excel/2006/main">
          <x14:cfRule type="dataBar" id="{e645b02a-8532-47cc-8b6b-0bc4594282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M81:M85</xm:sqref>
        </x14:conditionalFormatting>
        <x14:conditionalFormatting xmlns:xm="http://schemas.microsoft.com/office/excel/2006/main">
          <x14:cfRule type="dataBar" id="{7bec3021-49cb-4889-b828-8759035cbf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M91:M96</xm:sqref>
        </x14:conditionalFormatting>
        <x14:conditionalFormatting xmlns:xm="http://schemas.microsoft.com/office/excel/2006/main">
          <x14:cfRule type="dataBar" id="{013ceec8-979f-4b56-83c9-b4831d6415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M103:M110</xm:sqref>
        </x14:conditionalFormatting>
        <x14:conditionalFormatting xmlns:xm="http://schemas.microsoft.com/office/excel/2006/main">
          <x14:cfRule type="dataBar" id="{a239cea1-5314-41ff-bddf-5ee6e1728c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M116:M121</xm:sqref>
        </x14:conditionalFormatting>
        <x14:conditionalFormatting xmlns:xm="http://schemas.microsoft.com/office/excel/2006/main">
          <x14:cfRule type="dataBar" id="{3d966855-367f-47fc-be37-6251138744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M130:M136</xm:sqref>
        </x14:conditionalFormatting>
        <x14:conditionalFormatting xmlns:xm="http://schemas.microsoft.com/office/excel/2006/main">
          <x14:cfRule type="dataBar" id="{a2b700e7-2187-469d-ab22-454b5d1700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M142:M147</xm:sqref>
        </x14:conditionalFormatting>
        <x14:conditionalFormatting xmlns:xm="http://schemas.microsoft.com/office/excel/2006/main">
          <x14:cfRule type="dataBar" id="{b81ebed9-7a35-44f6-bed8-1c96eddc4ee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M153:M160</xm:sqref>
        </x14:conditionalFormatting>
        <x14:conditionalFormatting xmlns:xm="http://schemas.microsoft.com/office/excel/2006/main">
          <x14:cfRule type="dataBar" id="{2bf5a768-77dc-417b-a25b-c3146afb88e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I25:I26 I17</xm:sqref>
        </x14:conditionalFormatting>
        <x14:conditionalFormatting xmlns:xm="http://schemas.microsoft.com/office/excel/2006/main">
          <x14:cfRule type="dataBar" id="{cbd9a514-7f8b-4347-9db5-22860adbb66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I35:I36 I30</xm:sqref>
        </x14:conditionalFormatting>
        <x14:conditionalFormatting xmlns:xm="http://schemas.microsoft.com/office/excel/2006/main">
          <x14:cfRule type="dataBar" id="{f2db50db-6703-4c6f-8384-c638a8ce4b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I48:I49 I40</xm:sqref>
        </x14:conditionalFormatting>
        <x14:conditionalFormatting xmlns:xm="http://schemas.microsoft.com/office/excel/2006/main">
          <x14:cfRule type="dataBar" id="{6adb0595-6599-452e-9f50-3227bab442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M75 M73</xm:sqref>
        </x14:conditionalFormatting>
        <x14:conditionalFormatting xmlns:xm="http://schemas.microsoft.com/office/excel/2006/main">
          <x14:cfRule type="dataBar" id="{bd6c5a36-6e21-4def-a907-11003baabf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I91:I96 I98:I99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73"/>
  <sheetViews>
    <sheetView workbookViewId="0">
      <selection activeCell="A1" sqref="A1"/>
    </sheetView>
  </sheetViews>
  <sheetFormatPr defaultColWidth="9" defaultRowHeight="15.6"/>
  <cols>
    <col min="1" max="1" width="13.4444444444444" style="408" customWidth="1"/>
    <col min="2" max="2" width="31.6666666666667" style="408" customWidth="1"/>
    <col min="3" max="3" width="11.3333333333333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19.2222222222222" style="413" hidden="1" customWidth="1"/>
    <col min="14" max="14" width="7.33333333333333" style="414" hidden="1" customWidth="1"/>
    <col min="15" max="15" width="16.3333333333333" style="412" hidden="1" customWidth="1"/>
    <col min="16" max="16" width="96.4444444444444" style="415" customWidth="1"/>
    <col min="17" max="17" width="31.6666666666667" style="408" customWidth="1"/>
    <col min="18" max="18" width="14.8888888888889" style="408" customWidth="1"/>
    <col min="19" max="19" width="10.1111111111111" style="408" customWidth="1"/>
    <col min="20" max="20" width="17.1111111111111" style="416" customWidth="1"/>
    <col min="21" max="21" width="16.8888888888889" style="416" customWidth="1"/>
    <col min="22" max="22" width="10.8888888888889" style="408" hidden="1" customWidth="1"/>
    <col min="23" max="23" width="11.1111111111111" style="408" hidden="1" customWidth="1"/>
    <col min="24" max="16384" width="9" style="417"/>
  </cols>
  <sheetData>
    <row r="1" s="408" customFormat="1" ht="17.4" spans="1:23">
      <c r="A1" s="418" t="s">
        <v>145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43"/>
      <c r="N1" s="444"/>
      <c r="O1" s="422"/>
      <c r="P1" s="464"/>
      <c r="Q1" s="465"/>
      <c r="R1" s="424"/>
      <c r="S1" s="421"/>
      <c r="T1" s="466"/>
      <c r="U1" s="467"/>
      <c r="V1" s="467"/>
      <c r="W1" s="467"/>
    </row>
    <row r="2" s="409" customFormat="1" ht="46.8" spans="1:23">
      <c r="A2" s="423" t="s">
        <v>206</v>
      </c>
      <c r="B2" s="424" t="s">
        <v>207</v>
      </c>
      <c r="C2" s="425" t="s">
        <v>208</v>
      </c>
      <c r="D2" s="424" t="s">
        <v>209</v>
      </c>
      <c r="E2" s="426" t="s">
        <v>210</v>
      </c>
      <c r="F2" s="427" t="s">
        <v>213</v>
      </c>
      <c r="G2" s="427" t="s">
        <v>396</v>
      </c>
      <c r="H2" s="427" t="s">
        <v>496</v>
      </c>
      <c r="I2" s="445" t="s">
        <v>497</v>
      </c>
      <c r="J2" s="446" t="s">
        <v>217</v>
      </c>
      <c r="K2" s="446" t="s">
        <v>387</v>
      </c>
      <c r="L2" s="446" t="s">
        <v>390</v>
      </c>
      <c r="M2" s="447" t="s">
        <v>498</v>
      </c>
      <c r="N2" s="448" t="s">
        <v>219</v>
      </c>
      <c r="O2" s="449" t="s">
        <v>220</v>
      </c>
      <c r="P2" s="468" t="s">
        <v>221</v>
      </c>
      <c r="Q2" s="469" t="s">
        <v>222</v>
      </c>
      <c r="R2" s="426" t="s">
        <v>223</v>
      </c>
      <c r="S2" s="470" t="s">
        <v>224</v>
      </c>
      <c r="T2" s="467" t="s">
        <v>225</v>
      </c>
      <c r="U2" s="470" t="s">
        <v>226</v>
      </c>
      <c r="V2" s="467"/>
      <c r="W2" s="467"/>
    </row>
    <row r="3" s="408" customFormat="1" spans="1:23">
      <c r="A3" s="428" t="s">
        <v>230</v>
      </c>
      <c r="B3" s="421" t="s">
        <v>499</v>
      </c>
      <c r="C3" s="429" t="e">
        <f>VLOOKUP(B3,正厂竞争者数据汇总!D:H,2,FALSE)</f>
        <v>#N/A</v>
      </c>
      <c r="D3" s="421" t="e">
        <f>VLOOKUP(B3,正厂竞争者数据汇总!D:H,3,FALSE)</f>
        <v>#N/A</v>
      </c>
      <c r="E3" s="430" t="e">
        <f>VLOOKUP(B3,正厂竞争者数据汇总!D:H,4,FALSE)</f>
        <v>#N/A</v>
      </c>
      <c r="F3" s="430">
        <v>468490.833333333</v>
      </c>
      <c r="G3" s="430">
        <v>507172.75</v>
      </c>
      <c r="H3" s="430">
        <v>567937.166666667</v>
      </c>
      <c r="I3" s="450">
        <f t="shared" ref="I3:I11" si="0">(F3/G3)-1</f>
        <v>-0.0762697062621502</v>
      </c>
      <c r="J3" s="451">
        <f t="shared" ref="J3:J11" si="1">F3/F$20</f>
        <v>0.207968739711413</v>
      </c>
      <c r="K3" s="451">
        <v>0.22127584244331</v>
      </c>
      <c r="L3" s="451">
        <v>0.239689519900405</v>
      </c>
      <c r="M3" s="452">
        <f t="shared" ref="M3:M11" si="2">J3-K3</f>
        <v>-0.0133071027318971</v>
      </c>
      <c r="N3" s="451" t="str">
        <f>IFERROR(O3*0.5/$F$5,"")</f>
        <v/>
      </c>
      <c r="O3" s="430" t="s">
        <v>180</v>
      </c>
      <c r="P3" s="471"/>
      <c r="Q3" s="429" t="s">
        <v>180</v>
      </c>
      <c r="R3" s="421" t="s">
        <v>180</v>
      </c>
      <c r="S3" s="472" t="e">
        <f>VLOOKUP(B3,正厂竞争者数据汇总!$D$2:$CL$243,25,FALSE)</f>
        <v>#N/A</v>
      </c>
      <c r="T3" s="466"/>
      <c r="U3" s="466"/>
      <c r="V3" s="466"/>
      <c r="W3" s="466"/>
    </row>
    <row r="4" s="408" customFormat="1" spans="1:23">
      <c r="A4" s="428" t="s">
        <v>230</v>
      </c>
      <c r="B4" s="431" t="s">
        <v>500</v>
      </c>
      <c r="C4" s="429" t="e">
        <f>VLOOKUP(B4,正厂竞争者数据汇总!D:H,2,FALSE)</f>
        <v>#N/A</v>
      </c>
      <c r="D4" s="421" t="e">
        <f>VLOOKUP(B4,正厂竞争者数据汇总!D:H,3,FALSE)</f>
        <v>#N/A</v>
      </c>
      <c r="E4" s="430" t="e">
        <f>VLOOKUP(B3,正厂竞争者数据汇总!D:H,4,FALSE)</f>
        <v>#N/A</v>
      </c>
      <c r="F4" s="430">
        <v>562883.833333333</v>
      </c>
      <c r="G4" s="430">
        <v>526964.416666667</v>
      </c>
      <c r="H4" s="430">
        <v>527162.166666667</v>
      </c>
      <c r="I4" s="453">
        <f t="shared" si="0"/>
        <v>0.0681628882911596</v>
      </c>
      <c r="J4" s="451">
        <f t="shared" si="1"/>
        <v>0.249870932563097</v>
      </c>
      <c r="K4" s="451">
        <v>0.229910805017746</v>
      </c>
      <c r="L4" s="451">
        <v>0.222481031448592</v>
      </c>
      <c r="M4" s="451">
        <f t="shared" si="2"/>
        <v>0.0199601275453508</v>
      </c>
      <c r="N4" s="451">
        <f>IFERROR(O4*0.5/$F$5,"")</f>
        <v>0.0939464385217945</v>
      </c>
      <c r="O4" s="430">
        <v>80224.7</v>
      </c>
      <c r="P4" s="471" t="e">
        <f t="array" ref="P4">INDEX(正厂竞争者数据汇总!$I$2:$I$243,MATCH($A$1&amp;$B4,正厂竞争者数据汇总!$A$2:$A$243&amp;正厂竞争者数据汇总!$D$2:$D$243,0))</f>
        <v>#N/A</v>
      </c>
      <c r="Q4" s="429" t="s">
        <v>180</v>
      </c>
      <c r="R4" s="421" t="s">
        <v>180</v>
      </c>
      <c r="S4" s="473" t="e">
        <f>VLOOKUP(B4,正厂竞争者数据汇总!$D$2:$CL$243,25,FALSE)</f>
        <v>#N/A</v>
      </c>
      <c r="T4" s="466"/>
      <c r="U4" s="466"/>
      <c r="V4" s="474"/>
      <c r="W4" s="474"/>
    </row>
    <row r="5" s="410" customFormat="1" ht="17.4" spans="1:23">
      <c r="A5" s="432" t="s">
        <v>227</v>
      </c>
      <c r="B5" s="433" t="s">
        <v>501</v>
      </c>
      <c r="C5" s="434" t="e">
        <f>VLOOKUP(B5,正厂竞争者数据汇总!D:H,2,FALSE)</f>
        <v>#N/A</v>
      </c>
      <c r="D5" s="435" t="e">
        <f>VLOOKUP(B5,正厂竞争者数据汇总!D:H,3,FALSE)</f>
        <v>#N/A</v>
      </c>
      <c r="E5" s="436" t="e">
        <f>VLOOKUP(B5,正厂竞争者数据汇总!D:H,4,FALSE)</f>
        <v>#N/A</v>
      </c>
      <c r="F5" s="436">
        <v>426970.416666667</v>
      </c>
      <c r="G5" s="436">
        <v>463014.833333333</v>
      </c>
      <c r="H5" s="436">
        <v>522581.333333333</v>
      </c>
      <c r="I5" s="454">
        <f t="shared" si="0"/>
        <v>-0.0778472179976942</v>
      </c>
      <c r="J5" s="455">
        <f t="shared" si="1"/>
        <v>0.189537325237364</v>
      </c>
      <c r="K5" s="455">
        <v>0.202010059313285</v>
      </c>
      <c r="L5" s="455">
        <v>0.220547758180257</v>
      </c>
      <c r="M5" s="456">
        <f t="shared" si="2"/>
        <v>-0.0124727340759211</v>
      </c>
      <c r="N5" s="457" t="str">
        <f>IFERROR(O5*0.5/$F$5,"")</f>
        <v/>
      </c>
      <c r="O5" s="436" t="s">
        <v>180</v>
      </c>
      <c r="P5" s="475" t="e">
        <f t="array" ref="P5">INDEX(正厂竞争者数据汇总!$I$2:$I$243,MATCH($A$1&amp;$B5,正厂竞争者数据汇总!$A$2:$A$243&amp;正厂竞争者数据汇总!$D$2:$D$243,0))</f>
        <v>#N/A</v>
      </c>
      <c r="Q5" s="434" t="s">
        <v>254</v>
      </c>
      <c r="R5" s="435" t="s">
        <v>229</v>
      </c>
      <c r="S5" s="476" t="e">
        <f>VLOOKUP(B5,正厂竞争者数据汇总!$D$2:$CL$243,25,FALSE)</f>
        <v>#N/A</v>
      </c>
      <c r="T5" s="477"/>
      <c r="U5" s="477"/>
      <c r="V5" s="435"/>
      <c r="W5" s="435"/>
    </row>
    <row r="6" s="408" customFormat="1" spans="1:23">
      <c r="A6" s="428" t="s">
        <v>230</v>
      </c>
      <c r="B6" s="421" t="s">
        <v>502</v>
      </c>
      <c r="C6" s="429" t="e">
        <f>VLOOKUP(B6,正厂竞争者数据汇总!D:H,2,FALSE)</f>
        <v>#N/A</v>
      </c>
      <c r="D6" s="421" t="e">
        <f>VLOOKUP(B6,正厂竞争者数据汇总!D:H,3,FALSE)</f>
        <v>#N/A</v>
      </c>
      <c r="E6" s="437"/>
      <c r="F6" s="430">
        <v>193287.166666667</v>
      </c>
      <c r="G6" s="430">
        <v>202177.333333333</v>
      </c>
      <c r="H6" s="430">
        <v>192798.416666667</v>
      </c>
      <c r="I6" s="453">
        <f t="shared" si="0"/>
        <v>-0.0439721234823521</v>
      </c>
      <c r="J6" s="458">
        <f t="shared" si="1"/>
        <v>0.0858025079552747</v>
      </c>
      <c r="K6" s="458">
        <v>0.0882085241296484</v>
      </c>
      <c r="L6" s="458">
        <v>0.0813677333350403</v>
      </c>
      <c r="M6" s="451">
        <f t="shared" si="2"/>
        <v>-0.00240601617437375</v>
      </c>
      <c r="N6" s="452"/>
      <c r="O6" s="437"/>
      <c r="P6" s="471" t="e">
        <f t="array" ref="P6">INDEX(正厂竞争者数据汇总!$I$2:$I$243,MATCH($A$1&amp;$B6,正厂竞争者数据汇总!$A$2:$A$243&amp;正厂竞争者数据汇总!$D$2:$D$243,0))</f>
        <v>#N/A</v>
      </c>
      <c r="Q6" s="429"/>
      <c r="R6" s="421"/>
      <c r="S6" s="472"/>
      <c r="T6" s="466"/>
      <c r="U6" s="466"/>
      <c r="V6" s="421"/>
      <c r="W6" s="421"/>
    </row>
    <row r="7" s="408" customFormat="1" spans="1:23">
      <c r="A7" s="428" t="s">
        <v>230</v>
      </c>
      <c r="B7" s="431" t="s">
        <v>503</v>
      </c>
      <c r="C7" s="429" t="e">
        <f>VLOOKUP(B7,正厂竞争者数据汇总!D:H,2,FALSE)</f>
        <v>#N/A</v>
      </c>
      <c r="D7" s="421" t="e">
        <f>VLOOKUP(B7,正厂竞争者数据汇总!D:H,3,FALSE)</f>
        <v>#N/A</v>
      </c>
      <c r="E7" s="430" t="e">
        <f>VLOOKUP(B7,正厂竞争者数据汇总!D:H,4,FALSE)</f>
        <v>#N/A</v>
      </c>
      <c r="F7" s="430">
        <v>269608.416666667</v>
      </c>
      <c r="G7" s="430">
        <v>291106.5</v>
      </c>
      <c r="H7" s="430">
        <v>250827.416666667</v>
      </c>
      <c r="I7" s="453">
        <f t="shared" si="0"/>
        <v>-0.0738495476168791</v>
      </c>
      <c r="J7" s="459">
        <f t="shared" si="1"/>
        <v>0.11968243269738</v>
      </c>
      <c r="K7" s="459">
        <v>0.127007683335162</v>
      </c>
      <c r="L7" s="459">
        <v>0.105858018469811</v>
      </c>
      <c r="M7" s="451">
        <f t="shared" si="2"/>
        <v>-0.00732525063778174</v>
      </c>
      <c r="N7" s="451">
        <f>IFERROR(O7*0.5/$F$5,"")</f>
        <v>0.0900927757485149</v>
      </c>
      <c r="O7" s="430">
        <v>76933.9</v>
      </c>
      <c r="P7" s="471" t="e">
        <f t="array" ref="P7">INDEX(正厂竞争者数据汇总!$I$2:$I$243,MATCH($A$1&amp;$B7,正厂竞争者数据汇总!$A$2:$A$243&amp;正厂竞争者数据汇总!$D$2:$D$243,0))</f>
        <v>#N/A</v>
      </c>
      <c r="Q7" s="429" t="s">
        <v>180</v>
      </c>
      <c r="R7" s="421" t="s">
        <v>180</v>
      </c>
      <c r="S7" s="473" t="e">
        <f>VLOOKUP(B7,正厂竞争者数据汇总!$D$2:$CL$243,25,FALSE)</f>
        <v>#N/A</v>
      </c>
      <c r="T7" s="466">
        <f>VLOOKUP(B7,'Price &amp; Shipping'!B:DK,2,FALSE)</f>
        <v>0</v>
      </c>
      <c r="U7" s="466"/>
      <c r="V7" s="435"/>
      <c r="W7" s="435"/>
    </row>
    <row r="8" s="408" customFormat="1" spans="1:23">
      <c r="A8" s="428" t="s">
        <v>487</v>
      </c>
      <c r="B8" s="431" t="s">
        <v>504</v>
      </c>
      <c r="C8" s="429" t="e">
        <f>VLOOKUP(B8,正厂竞争者数据汇总!D:H,2,FALSE)</f>
        <v>#N/A</v>
      </c>
      <c r="D8" s="421" t="e">
        <f>VLOOKUP(B8,正厂竞争者数据汇总!D:H,3,FALSE)</f>
        <v>#N/A</v>
      </c>
      <c r="E8" s="430" t="e">
        <f>VLOOKUP(B8,正厂竞争者数据汇总!D:H,4,FALSE)</f>
        <v>#N/A</v>
      </c>
      <c r="F8" s="430">
        <v>109725.583333333</v>
      </c>
      <c r="G8" s="430">
        <v>111005.083333333</v>
      </c>
      <c r="H8" s="430">
        <v>120187.333333333</v>
      </c>
      <c r="I8" s="453">
        <f t="shared" si="0"/>
        <v>-0.0115264991618252</v>
      </c>
      <c r="J8" s="459">
        <f t="shared" si="1"/>
        <v>0.0487085117921544</v>
      </c>
      <c r="K8" s="459">
        <v>0.0484307237131196</v>
      </c>
      <c r="L8" s="459">
        <v>0.0507232946099552</v>
      </c>
      <c r="M8" s="451">
        <f t="shared" si="2"/>
        <v>0.000277788079034759</v>
      </c>
      <c r="N8" s="451" t="str">
        <f>IFERROR(O8*0.5/$F$5,"")</f>
        <v/>
      </c>
      <c r="O8" s="430" t="s">
        <v>180</v>
      </c>
      <c r="P8" s="471" t="e">
        <f t="array" ref="P8">INDEX(正厂竞争者数据汇总!$I$2:$I$243,MATCH($A$1&amp;$B8,正厂竞争者数据汇总!$A$2:$A$243&amp;正厂竞争者数据汇总!$D$2:$D$243,0))</f>
        <v>#N/A</v>
      </c>
      <c r="Q8" s="429" t="s">
        <v>180</v>
      </c>
      <c r="R8" s="421"/>
      <c r="S8" s="473" t="e">
        <f>VLOOKUP(B8,正厂竞争者数据汇总!$D$2:$CL$243,25,FALSE)</f>
        <v>#N/A</v>
      </c>
      <c r="T8" s="466"/>
      <c r="U8" s="466"/>
      <c r="V8" s="421"/>
      <c r="W8" s="421"/>
    </row>
    <row r="9" s="408" customFormat="1" spans="1:23">
      <c r="A9" s="428" t="s">
        <v>230</v>
      </c>
      <c r="B9" s="431" t="s">
        <v>505</v>
      </c>
      <c r="C9" s="429" t="e">
        <f>VLOOKUP(B9,正厂竞争者数据汇总!D:H,2,FALSE)</f>
        <v>#N/A</v>
      </c>
      <c r="D9" s="421" t="e">
        <f>VLOOKUP(B9,正厂竞争者数据汇总!D:H,3,FALSE)</f>
        <v>#N/A</v>
      </c>
      <c r="E9" s="430" t="e">
        <f>VLOOKUP(B9,正厂竞争者数据汇总!D:H,4,FALSE)</f>
        <v>#N/A</v>
      </c>
      <c r="F9" s="430">
        <v>139465.166666667</v>
      </c>
      <c r="G9" s="430">
        <v>120208.916666667</v>
      </c>
      <c r="H9" s="430">
        <v>119734.416666667</v>
      </c>
      <c r="I9" s="453">
        <f t="shared" si="0"/>
        <v>0.160189863896674</v>
      </c>
      <c r="J9" s="451">
        <f t="shared" si="1"/>
        <v>0.0619102720515177</v>
      </c>
      <c r="K9" s="451">
        <v>0.0524462903509985</v>
      </c>
      <c r="L9" s="451">
        <v>0.0505321477987239</v>
      </c>
      <c r="M9" s="451">
        <f t="shared" si="2"/>
        <v>0.00946398170051921</v>
      </c>
      <c r="N9" s="451" t="str">
        <f>IFERROR(O9*0.5/$F$5,"")</f>
        <v/>
      </c>
      <c r="O9" s="430" t="s">
        <v>180</v>
      </c>
      <c r="P9" s="471" t="e">
        <f t="array" ref="P9">INDEX(正厂竞争者数据汇总!$I$2:$I$243,MATCH($A$1&amp;$B9,正厂竞争者数据汇总!$A$2:$A$243&amp;正厂竞争者数据汇总!$D$2:$D$243,0))</f>
        <v>#N/A</v>
      </c>
      <c r="Q9" s="429" t="s">
        <v>180</v>
      </c>
      <c r="R9" s="421" t="s">
        <v>180</v>
      </c>
      <c r="S9" s="473" t="e">
        <f>VLOOKUP(B9,正厂竞争者数据汇总!$D$2:$CL$243,25,FALSE)</f>
        <v>#N/A</v>
      </c>
      <c r="T9" s="466"/>
      <c r="U9" s="466"/>
      <c r="V9" s="421"/>
      <c r="W9" s="421"/>
    </row>
    <row r="10" s="408" customFormat="1" spans="1:23">
      <c r="A10" s="428" t="s">
        <v>230</v>
      </c>
      <c r="B10" s="438" t="s">
        <v>506</v>
      </c>
      <c r="C10" s="429" t="e">
        <f>VLOOKUP(B10,正厂竞争者数据汇总!D:H,2,FALSE)</f>
        <v>#N/A</v>
      </c>
      <c r="D10" s="421" t="e">
        <f>VLOOKUP(B10,正厂竞争者数据汇总!D:H,3,FALSE)</f>
        <v>#N/A</v>
      </c>
      <c r="E10" s="430" t="e">
        <f>VLOOKUP(B10,正厂竞争者数据汇总!D:H,4,FALSE)</f>
        <v>#N/A</v>
      </c>
      <c r="F10" s="430">
        <v>81214.75</v>
      </c>
      <c r="G10" s="430">
        <v>68760</v>
      </c>
      <c r="H10" s="430">
        <v>64729.3333333333</v>
      </c>
      <c r="I10" s="453">
        <f t="shared" si="0"/>
        <v>0.181133653286795</v>
      </c>
      <c r="J10" s="451">
        <f t="shared" si="1"/>
        <v>0.0360522084995846</v>
      </c>
      <c r="K10" s="451">
        <v>0.029999496081763</v>
      </c>
      <c r="L10" s="451">
        <v>0.0273180621743778</v>
      </c>
      <c r="M10" s="451">
        <f t="shared" si="2"/>
        <v>0.00605271241782162</v>
      </c>
      <c r="N10" s="451">
        <f>IFERROR(O10*0.5/$F$5,"")</f>
        <v>0.0275068237553538</v>
      </c>
      <c r="O10" s="430">
        <v>23489.2</v>
      </c>
      <c r="P10" s="471" t="e">
        <f t="array" ref="P10">INDEX(正厂竞争者数据汇总!$I$2:$I$243,MATCH($A$1&amp;$B10,正厂竞争者数据汇总!$A$2:$A$243&amp;正厂竞争者数据汇总!$D$2:$D$243,0))</f>
        <v>#N/A</v>
      </c>
      <c r="Q10" s="429" t="s">
        <v>180</v>
      </c>
      <c r="R10" s="421" t="s">
        <v>180</v>
      </c>
      <c r="S10" s="473" t="e">
        <f>VLOOKUP(B10,正厂竞争者数据汇总!$D$2:$CL$243,25,FALSE)</f>
        <v>#N/A</v>
      </c>
      <c r="T10" s="466"/>
      <c r="U10" s="466"/>
      <c r="V10" s="421"/>
      <c r="W10" s="421"/>
    </row>
    <row r="11" s="410" customFormat="1" spans="1:23">
      <c r="A11" s="432" t="s">
        <v>227</v>
      </c>
      <c r="B11" s="435" t="s">
        <v>147</v>
      </c>
      <c r="C11" s="434" t="e">
        <f>VLOOKUP(B11,正厂竞争者数据汇总!D:H,2,FALSE)</f>
        <v>#N/A</v>
      </c>
      <c r="D11" s="435" t="e">
        <f>VLOOKUP(B11,正厂竞争者数据汇总!D:H,3,FALSE)</f>
        <v>#N/A</v>
      </c>
      <c r="E11" s="436" t="e">
        <f>VLOOKUP(B11,正厂竞争者数据汇总!D:H,4,FALSE)</f>
        <v>#N/A</v>
      </c>
      <c r="F11" s="436">
        <v>1052.16666666667</v>
      </c>
      <c r="G11" s="436">
        <v>1628.66666666667</v>
      </c>
      <c r="H11" s="436">
        <v>3512.58333333333</v>
      </c>
      <c r="I11" s="454">
        <f t="shared" si="0"/>
        <v>-0.353970528039295</v>
      </c>
      <c r="J11" s="455">
        <f t="shared" si="1"/>
        <v>0.000467069492216374</v>
      </c>
      <c r="K11" s="455">
        <v>0.000710575614967493</v>
      </c>
      <c r="L11" s="455">
        <v>0.0014824340828375</v>
      </c>
      <c r="M11" s="456">
        <f t="shared" si="2"/>
        <v>-0.000243506122751119</v>
      </c>
      <c r="N11" s="457" t="str">
        <f>IFERROR(O11*0.5/$F$5,"")</f>
        <v/>
      </c>
      <c r="O11" s="436" t="s">
        <v>180</v>
      </c>
      <c r="P11" s="475" t="e">
        <f t="array" ref="P11">INDEX(正厂竞争者数据汇总!$I$2:$I$243,MATCH($A$1&amp;$B11,正厂竞争者数据汇总!$A$2:$A$243&amp;正厂竞争者数据汇总!$D$2:$D$243,0))</f>
        <v>#N/A</v>
      </c>
      <c r="Q11" s="434" t="s">
        <v>257</v>
      </c>
      <c r="R11" s="435" t="s">
        <v>229</v>
      </c>
      <c r="S11" s="476" t="e">
        <f>VLOOKUP(B11,正厂竞争者数据汇总!$D$2:$CL$243,25,FALSE)</f>
        <v>#N/A</v>
      </c>
      <c r="T11" s="477"/>
      <c r="U11" s="477"/>
      <c r="V11" s="435"/>
      <c r="W11" s="435"/>
    </row>
    <row r="12" s="410" customFormat="1" spans="1:23">
      <c r="A12" s="432"/>
      <c r="B12" s="435"/>
      <c r="C12" s="434"/>
      <c r="D12" s="435"/>
      <c r="E12" s="437"/>
      <c r="F12" s="430"/>
      <c r="G12" s="430"/>
      <c r="H12" s="430"/>
      <c r="I12" s="450"/>
      <c r="J12" s="460"/>
      <c r="K12" s="460"/>
      <c r="L12" s="460"/>
      <c r="M12" s="452"/>
      <c r="N12" s="461"/>
      <c r="O12" s="462"/>
      <c r="P12" s="471"/>
      <c r="Q12" s="434"/>
      <c r="R12" s="435"/>
      <c r="S12" s="473"/>
      <c r="T12" s="477"/>
      <c r="U12" s="466"/>
      <c r="V12" s="435"/>
      <c r="W12" s="435"/>
    </row>
    <row r="13" s="410" customFormat="1" spans="1:23">
      <c r="A13" s="428" t="s">
        <v>230</v>
      </c>
      <c r="B13" s="431" t="s">
        <v>507</v>
      </c>
      <c r="C13" s="429" t="e">
        <f>VLOOKUP(B13,正厂竞争者数据汇总!D:H,2,FALSE)</f>
        <v>#N/A</v>
      </c>
      <c r="D13" s="421" t="e">
        <f>VLOOKUP(B13,正厂竞争者数据汇总!D:H,3,FALSE)</f>
        <v>#N/A</v>
      </c>
      <c r="E13" s="430"/>
      <c r="F13" s="430">
        <v>152329.000833333</v>
      </c>
      <c r="G13" s="430">
        <v>137927.396666667</v>
      </c>
      <c r="H13" s="430">
        <v>143504.799166667</v>
      </c>
      <c r="I13" s="453"/>
      <c r="J13" s="451">
        <f t="shared" ref="J13:J16" si="3">F13/F$20</f>
        <v>0.0676206834174423</v>
      </c>
      <c r="K13" s="451">
        <v>0.0601767364146226</v>
      </c>
      <c r="L13" s="451">
        <v>0.060564087780243</v>
      </c>
      <c r="M13" s="451"/>
      <c r="N13" s="457"/>
      <c r="O13" s="436"/>
      <c r="P13" s="471" t="e">
        <f t="array" ref="P13">INDEX(正厂竞争者数据汇总!$I$2:$I$243,MATCH($A$1&amp;$B13,正厂竞争者数据汇总!$A$2:$A$243&amp;正厂竞争者数据汇总!$D$2:$D$243,0))</f>
        <v>#N/A</v>
      </c>
      <c r="Q13" s="434"/>
      <c r="R13" s="435"/>
      <c r="S13" s="473"/>
      <c r="T13" s="477"/>
      <c r="U13" s="466"/>
      <c r="V13" s="435"/>
      <c r="W13" s="435"/>
    </row>
    <row r="14" s="410" customFormat="1" spans="1:23">
      <c r="A14" s="428" t="s">
        <v>230</v>
      </c>
      <c r="B14" s="431" t="s">
        <v>508</v>
      </c>
      <c r="C14" s="429" t="e">
        <f>VLOOKUP(B14,正厂竞争者数据汇总!D:H,2,FALSE)</f>
        <v>#N/A</v>
      </c>
      <c r="D14" s="421" t="e">
        <f>VLOOKUP(B14,正厂竞争者数据汇总!D:H,3,FALSE)</f>
        <v>#N/A</v>
      </c>
      <c r="E14" s="430"/>
      <c r="F14" s="430">
        <v>24868.28</v>
      </c>
      <c r="G14" s="430">
        <v>22886.44</v>
      </c>
      <c r="H14" s="430">
        <v>22133.1466666667</v>
      </c>
      <c r="I14" s="453"/>
      <c r="J14" s="451">
        <f t="shared" si="3"/>
        <v>0.0110393298703259</v>
      </c>
      <c r="K14" s="451">
        <v>0.00998519003934707</v>
      </c>
      <c r="L14" s="451">
        <v>0.00934096870179347</v>
      </c>
      <c r="M14" s="452"/>
      <c r="N14" s="457"/>
      <c r="O14" s="436"/>
      <c r="P14" s="471" t="e">
        <f t="array" ref="P14">INDEX(正厂竞争者数据汇总!$I$2:$I$243,MATCH($A$1&amp;$B14,正厂竞争者数据汇总!$A$2:$A$243&amp;正厂竞争者数据汇总!$D$2:$D$243,0))</f>
        <v>#N/A</v>
      </c>
      <c r="Q14" s="434"/>
      <c r="R14" s="435"/>
      <c r="S14" s="473"/>
      <c r="T14" s="477"/>
      <c r="U14" s="466"/>
      <c r="V14" s="435"/>
      <c r="W14" s="435"/>
    </row>
    <row r="15" s="410" customFormat="1" spans="1:23">
      <c r="A15" s="428" t="s">
        <v>230</v>
      </c>
      <c r="B15" s="431" t="s">
        <v>509</v>
      </c>
      <c r="C15" s="429" t="e">
        <f>VLOOKUP(B15,正厂竞争者数据汇总!D:H,2,FALSE)</f>
        <v>#N/A</v>
      </c>
      <c r="D15" s="421" t="e">
        <f>VLOOKUP(B15,正厂竞争者数据汇总!D:H,3,FALSE)</f>
        <v>#N/A</v>
      </c>
      <c r="E15" s="430"/>
      <c r="F15" s="430">
        <v>48669.75</v>
      </c>
      <c r="G15" s="430">
        <v>41497.5</v>
      </c>
      <c r="H15" s="430">
        <v>40804.4166666667</v>
      </c>
      <c r="I15" s="453"/>
      <c r="J15" s="451">
        <f t="shared" si="3"/>
        <v>0.0216050898958952</v>
      </c>
      <c r="K15" s="451">
        <v>0.0181050623713345</v>
      </c>
      <c r="L15" s="451">
        <v>0.0172209033229018</v>
      </c>
      <c r="M15" s="452"/>
      <c r="N15" s="457"/>
      <c r="O15" s="436"/>
      <c r="P15" s="471" t="e">
        <f t="array" ref="P15">INDEX(正厂竞争者数据汇总!$I$2:$I$243,MATCH($A$1&amp;$B15,正厂竞争者数据汇总!$A$2:$A$243&amp;正厂竞争者数据汇总!$D$2:$D$243,0))</f>
        <v>#N/A</v>
      </c>
      <c r="Q15" s="434"/>
      <c r="R15" s="435"/>
      <c r="S15" s="473"/>
      <c r="T15" s="477"/>
      <c r="U15" s="466"/>
      <c r="V15" s="435"/>
      <c r="W15" s="435"/>
    </row>
    <row r="16" s="410" customFormat="1" spans="1:23">
      <c r="A16" s="428" t="s">
        <v>230</v>
      </c>
      <c r="B16" s="431" t="s">
        <v>510</v>
      </c>
      <c r="C16" s="429" t="e">
        <f>VLOOKUP(B16,正厂竞争者数据汇总!D:H,2,FALSE)</f>
        <v>#N/A</v>
      </c>
      <c r="D16" s="421" t="e">
        <f>VLOOKUP(B16,正厂竞争者数据汇总!D:H,3,FALSE)</f>
        <v>#N/A</v>
      </c>
      <c r="E16" s="430"/>
      <c r="F16" s="430">
        <v>1063.49833333333</v>
      </c>
      <c r="G16" s="430">
        <v>1502.325</v>
      </c>
      <c r="H16" s="430">
        <v>3017.53833333333</v>
      </c>
      <c r="I16" s="453"/>
      <c r="J16" s="451">
        <f t="shared" si="3"/>
        <v>0.000472099755922341</v>
      </c>
      <c r="K16" s="451">
        <v>0.000655453649666007</v>
      </c>
      <c r="L16" s="451">
        <v>0.00127350762874485</v>
      </c>
      <c r="M16" s="452"/>
      <c r="N16" s="457"/>
      <c r="O16" s="436"/>
      <c r="P16" s="471" t="e">
        <f t="array" ref="P16">INDEX(正厂竞争者数据汇总!$I$2:$I$243,MATCH($A$1&amp;$B16,正厂竞争者数据汇总!$A$2:$A$243&amp;正厂竞争者数据汇总!$D$2:$D$243,0))</f>
        <v>#N/A</v>
      </c>
      <c r="Q16" s="434"/>
      <c r="R16" s="435"/>
      <c r="S16" s="473"/>
      <c r="T16" s="477"/>
      <c r="U16" s="466"/>
      <c r="V16" s="435"/>
      <c r="W16" s="435"/>
    </row>
    <row r="17" s="408" customFormat="1" ht="17.4" spans="1:23">
      <c r="A17" s="428" t="s">
        <v>511</v>
      </c>
      <c r="B17" s="431" t="s">
        <v>512</v>
      </c>
      <c r="C17" s="429" t="e">
        <f>VLOOKUP(B17,正厂竞争者数据汇总!D:H,2,FALSE)</f>
        <v>#N/A</v>
      </c>
      <c r="D17" s="421" t="e">
        <f>VLOOKUP(B17,正厂竞争者数据汇总!D:H,3,FALSE)</f>
        <v>#N/A</v>
      </c>
      <c r="E17" s="430" t="e">
        <f>VLOOKUP(B17,正厂竞争者数据汇总!D:H,4,FALSE)</f>
        <v>#N/A</v>
      </c>
      <c r="F17" s="430">
        <v>40489.0833333333</v>
      </c>
      <c r="G17" s="430">
        <v>77202.4999999998</v>
      </c>
      <c r="H17" s="430">
        <v>102352.583333333</v>
      </c>
      <c r="I17" s="453"/>
      <c r="J17" s="459"/>
      <c r="K17" s="459"/>
      <c r="L17" s="459"/>
      <c r="M17" s="451"/>
      <c r="N17" s="451"/>
      <c r="O17" s="430"/>
      <c r="P17" s="471" t="e">
        <f t="array" ref="P17">INDEX(正厂竞争者数据汇总!$I$2:$I$243,MATCH($A$1&amp;$B17,正厂竞争者数据汇总!$A$2:$A$243&amp;正厂竞争者数据汇总!$D$2:$D$243,0))</f>
        <v>#N/A</v>
      </c>
      <c r="Q17" s="429"/>
      <c r="R17" s="421"/>
      <c r="S17" s="473" t="e">
        <f>VLOOKUP(B17,正厂竞争者数据汇总!$D$2:$CL$243,25,FALSE)</f>
        <v>#N/A</v>
      </c>
      <c r="T17" s="466"/>
      <c r="U17" s="466"/>
      <c r="V17" s="474"/>
      <c r="W17" s="474"/>
    </row>
    <row r="18" s="410" customFormat="1" spans="1:23">
      <c r="A18" s="428" t="s">
        <v>513</v>
      </c>
      <c r="B18" s="431" t="s">
        <v>514</v>
      </c>
      <c r="C18" s="429" t="e">
        <f>VLOOKUP(B18,正厂竞争者数据汇总!D:H,2,FALSE)</f>
        <v>#N/A</v>
      </c>
      <c r="D18" s="421" t="e">
        <f>VLOOKUP(B18,正厂竞争者数据汇总!D:H,3,FALSE)</f>
        <v>#N/A</v>
      </c>
      <c r="E18" s="430"/>
      <c r="F18" s="430">
        <v>56276.25</v>
      </c>
      <c r="G18" s="430">
        <v>54105.25</v>
      </c>
      <c r="H18" s="430">
        <v>54389.5</v>
      </c>
      <c r="I18" s="450"/>
      <c r="J18" s="455"/>
      <c r="K18" s="455"/>
      <c r="L18" s="455"/>
      <c r="M18" s="452"/>
      <c r="N18" s="457"/>
      <c r="O18" s="436"/>
      <c r="P18" s="471" t="e">
        <f t="array" ref="P18">INDEX(正厂竞争者数据汇总!$I$2:$I$243,MATCH($A$1&amp;$B18,正厂竞争者数据汇总!$A$2:$A$243&amp;正厂竞争者数据汇总!$D$2:$D$243,0))</f>
        <v>#N/A</v>
      </c>
      <c r="Q18" s="434"/>
      <c r="R18" s="435"/>
      <c r="S18" s="473"/>
      <c r="T18" s="477"/>
      <c r="U18" s="466"/>
      <c r="V18" s="435"/>
      <c r="W18" s="435"/>
    </row>
    <row r="19" s="410" customFormat="1" spans="1:23">
      <c r="A19" s="428"/>
      <c r="B19" s="431"/>
      <c r="C19" s="429"/>
      <c r="D19" s="421"/>
      <c r="E19" s="430"/>
      <c r="F19" s="430"/>
      <c r="G19" s="430"/>
      <c r="H19" s="430"/>
      <c r="I19" s="450"/>
      <c r="J19" s="455"/>
      <c r="K19" s="455"/>
      <c r="L19" s="455"/>
      <c r="M19" s="452"/>
      <c r="N19" s="457"/>
      <c r="O19" s="436"/>
      <c r="P19" s="471"/>
      <c r="Q19" s="434"/>
      <c r="R19" s="435"/>
      <c r="S19" s="473"/>
      <c r="T19" s="477"/>
      <c r="U19" s="466"/>
      <c r="V19" s="435"/>
      <c r="W19" s="435"/>
    </row>
    <row r="20" s="408" customFormat="1" spans="1:23">
      <c r="A20" s="428"/>
      <c r="B20" s="421"/>
      <c r="C20" s="439"/>
      <c r="D20" s="421"/>
      <c r="E20" s="430"/>
      <c r="F20" s="430">
        <v>2252698.33333333</v>
      </c>
      <c r="G20" s="430">
        <v>2292038.5</v>
      </c>
      <c r="H20" s="430">
        <v>2369470.16666667</v>
      </c>
      <c r="I20" s="453">
        <f t="shared" ref="I20:I30" si="4">(F20/G20)-1</f>
        <v>-0.0171638332718538</v>
      </c>
      <c r="J20" s="430"/>
      <c r="K20" s="430"/>
      <c r="L20" s="430"/>
      <c r="M20" s="451"/>
      <c r="N20" s="451">
        <f>SUM(N3:N11)</f>
        <v>0.211546038025663</v>
      </c>
      <c r="O20" s="430"/>
      <c r="P20" s="471"/>
      <c r="Q20" s="429"/>
      <c r="R20" s="421"/>
      <c r="S20" s="473"/>
      <c r="T20" s="466"/>
      <c r="U20" s="466"/>
      <c r="V20" s="421"/>
      <c r="W20" s="421"/>
    </row>
    <row r="21" s="408" customFormat="1" spans="1:23">
      <c r="A21" s="428"/>
      <c r="B21" s="421"/>
      <c r="C21" s="439"/>
      <c r="D21" s="421"/>
      <c r="E21" s="430"/>
      <c r="F21" s="430"/>
      <c r="G21" s="430"/>
      <c r="H21" s="430"/>
      <c r="I21" s="453"/>
      <c r="J21" s="430"/>
      <c r="K21" s="430"/>
      <c r="L21" s="430"/>
      <c r="M21" s="451"/>
      <c r="N21" s="451"/>
      <c r="O21" s="430"/>
      <c r="P21" s="471"/>
      <c r="Q21" s="429"/>
      <c r="R21" s="421"/>
      <c r="S21" s="473"/>
      <c r="T21" s="466"/>
      <c r="U21" s="466"/>
      <c r="V21" s="421"/>
      <c r="W21" s="421"/>
    </row>
    <row r="22" s="408" customFormat="1" ht="17.4" spans="1:23">
      <c r="A22" s="418" t="s">
        <v>138</v>
      </c>
      <c r="B22" s="419"/>
      <c r="C22" s="420"/>
      <c r="D22" s="421"/>
      <c r="E22" s="422" t="s">
        <v>202</v>
      </c>
      <c r="F22" s="422"/>
      <c r="G22" s="422"/>
      <c r="H22" s="422"/>
      <c r="I22" s="422"/>
      <c r="J22" s="422"/>
      <c r="K22" s="422"/>
      <c r="L22" s="422"/>
      <c r="M22" s="443"/>
      <c r="N22" s="444"/>
      <c r="O22" s="422"/>
      <c r="P22" s="471"/>
      <c r="Q22" s="465"/>
      <c r="R22" s="424"/>
      <c r="S22" s="473"/>
      <c r="T22" s="467"/>
      <c r="U22" s="467"/>
      <c r="V22" s="467"/>
      <c r="W22" s="467"/>
    </row>
    <row r="23" s="409" customFormat="1" ht="46.8" spans="1:23">
      <c r="A23" s="423" t="s">
        <v>206</v>
      </c>
      <c r="B23" s="424" t="s">
        <v>207</v>
      </c>
      <c r="C23" s="425" t="s">
        <v>208</v>
      </c>
      <c r="D23" s="424" t="s">
        <v>209</v>
      </c>
      <c r="E23" s="426" t="s">
        <v>210</v>
      </c>
      <c r="F23" s="427" t="s">
        <v>213</v>
      </c>
      <c r="G23" s="427" t="s">
        <v>396</v>
      </c>
      <c r="H23" s="427" t="s">
        <v>496</v>
      </c>
      <c r="I23" s="427" t="s">
        <v>497</v>
      </c>
      <c r="J23" s="446" t="s">
        <v>217</v>
      </c>
      <c r="K23" s="446" t="s">
        <v>387</v>
      </c>
      <c r="L23" s="446" t="s">
        <v>390</v>
      </c>
      <c r="M23" s="447" t="s">
        <v>498</v>
      </c>
      <c r="N23" s="448" t="s">
        <v>219</v>
      </c>
      <c r="O23" s="449" t="s">
        <v>220</v>
      </c>
      <c r="P23" s="468" t="s">
        <v>221</v>
      </c>
      <c r="Q23" s="469" t="s">
        <v>222</v>
      </c>
      <c r="R23" s="426" t="s">
        <v>223</v>
      </c>
      <c r="S23" s="470" t="s">
        <v>224</v>
      </c>
      <c r="T23" s="467" t="s">
        <v>225</v>
      </c>
      <c r="U23" s="470" t="s">
        <v>226</v>
      </c>
      <c r="V23" s="467"/>
      <c r="W23" s="467"/>
    </row>
    <row r="24" s="410" customFormat="1" ht="17.4" spans="1:23">
      <c r="A24" s="432" t="s">
        <v>227</v>
      </c>
      <c r="B24" s="435" t="s">
        <v>515</v>
      </c>
      <c r="C24" s="434" t="e">
        <f>VLOOKUP(B24,正厂竞争者数据汇总!D:H,2,FALSE)</f>
        <v>#N/A</v>
      </c>
      <c r="D24" s="435" t="e">
        <f>VLOOKUP(B24,正厂竞争者数据汇总!D:H,3,FALSE)</f>
        <v>#N/A</v>
      </c>
      <c r="E24" s="436" t="e">
        <f>VLOOKUP(B24,正厂竞争者数据汇总!D:H,4,FALSE)</f>
        <v>#N/A</v>
      </c>
      <c r="F24" s="436">
        <v>1150833.33333333</v>
      </c>
      <c r="G24" s="436">
        <v>1200750</v>
      </c>
      <c r="H24" s="436">
        <v>1204466.66666667</v>
      </c>
      <c r="I24" s="454">
        <f t="shared" si="4"/>
        <v>-0.0415712401971018</v>
      </c>
      <c r="J24" s="455">
        <f t="shared" ref="J24:J28" si="5">F24/F$40</f>
        <v>0.54213648884773</v>
      </c>
      <c r="K24" s="455">
        <v>0.53064290615984</v>
      </c>
      <c r="L24" s="455">
        <v>0.512622626385865</v>
      </c>
      <c r="M24" s="456">
        <f t="shared" ref="M24:M30" si="6">J24-K24</f>
        <v>0.0114935826878905</v>
      </c>
      <c r="N24" s="455" t="str">
        <f t="shared" ref="N24:N26" si="7">IFERROR(O24*0.5/$F$24,"")</f>
        <v/>
      </c>
      <c r="O24" s="436" t="s">
        <v>180</v>
      </c>
      <c r="P24" s="475" t="e">
        <f t="array" ref="P24">INDEX(正厂竞争者数据汇总!$I$2:$I$243,MATCH($A$22&amp;$B24,正厂竞争者数据汇总!$A$2:$A$243&amp;正厂竞争者数据汇总!$D$2:$D$243,0))</f>
        <v>#N/A</v>
      </c>
      <c r="Q24" s="434" t="s">
        <v>228</v>
      </c>
      <c r="R24" s="435" t="s">
        <v>229</v>
      </c>
      <c r="S24" s="476" t="e">
        <f>VLOOKUP(B24,正厂竞争者数据汇总!$D$2:$CL$243,25,FALSE)</f>
        <v>#N/A</v>
      </c>
      <c r="T24" s="477"/>
      <c r="U24" s="477"/>
      <c r="V24" s="477"/>
      <c r="W24" s="477"/>
    </row>
    <row r="25" s="408" customFormat="1" spans="1:23">
      <c r="A25" s="428" t="s">
        <v>230</v>
      </c>
      <c r="B25" s="431" t="s">
        <v>516</v>
      </c>
      <c r="C25" s="429" t="e">
        <f>VLOOKUP(B25,正厂竞争者数据汇总!D:H,2,FALSE)</f>
        <v>#N/A</v>
      </c>
      <c r="D25" s="421" t="e">
        <f>VLOOKUP(B25,正厂竞争者数据汇总!D:H,3,FALSE)</f>
        <v>#N/A</v>
      </c>
      <c r="E25" s="430" t="e">
        <f>VLOOKUP(B25,正厂竞争者数据汇总!D:H,4,FALSE)</f>
        <v>#N/A</v>
      </c>
      <c r="F25" s="430">
        <v>340723.083333333</v>
      </c>
      <c r="G25" s="430">
        <v>369790.5</v>
      </c>
      <c r="H25" s="430">
        <v>387099.75</v>
      </c>
      <c r="I25" s="453">
        <f t="shared" si="4"/>
        <v>-0.0786050930639565</v>
      </c>
      <c r="J25" s="459">
        <f t="shared" si="5"/>
        <v>0.160508399189897</v>
      </c>
      <c r="K25" s="459">
        <v>0.163420117085405</v>
      </c>
      <c r="L25" s="459">
        <v>0.164750172013874</v>
      </c>
      <c r="M25" s="451">
        <f t="shared" si="6"/>
        <v>-0.00291171789550809</v>
      </c>
      <c r="N25" s="459">
        <f t="shared" si="7"/>
        <v>0.0231324656046344</v>
      </c>
      <c r="O25" s="430">
        <v>53243.225</v>
      </c>
      <c r="P25" s="471" t="e">
        <f t="array" ref="P25">INDEX(正厂竞争者数据汇总!$I$2:$I$243,MATCH($A$22&amp;$B25,正厂竞争者数据汇总!$A$2:$A$243&amp;正厂竞争者数据汇总!$D$2:$D$243,0))</f>
        <v>#N/A</v>
      </c>
      <c r="Q25" s="429" t="s">
        <v>180</v>
      </c>
      <c r="R25" s="435" t="s">
        <v>180</v>
      </c>
      <c r="S25" s="473" t="e">
        <f>VLOOKUP(B25,正厂竞争者数据汇总!$D$2:$CL$243,25,FALSE)</f>
        <v>#N/A</v>
      </c>
      <c r="T25" s="466"/>
      <c r="U25" s="466"/>
      <c r="V25" s="421"/>
      <c r="W25" s="421"/>
    </row>
    <row r="26" s="408" customFormat="1" spans="1:23">
      <c r="A26" s="428" t="s">
        <v>230</v>
      </c>
      <c r="B26" s="421" t="s">
        <v>517</v>
      </c>
      <c r="C26" s="429" t="e">
        <f>VLOOKUP(B26,正厂竞争者数据汇总!D:H,2,FALSE)</f>
        <v>#N/A</v>
      </c>
      <c r="D26" s="421" t="e">
        <f>VLOOKUP(B26,正厂竞争者数据汇总!D:H,3,FALSE)</f>
        <v>#N/A</v>
      </c>
      <c r="E26" s="430" t="e">
        <f>VLOOKUP(B26,正厂竞争者数据汇总!D:H,4,FALSE)</f>
        <v>#N/A</v>
      </c>
      <c r="F26" s="430">
        <v>94863.5</v>
      </c>
      <c r="G26" s="430">
        <v>125425.083333333</v>
      </c>
      <c r="H26" s="430">
        <v>167588.666666667</v>
      </c>
      <c r="I26" s="453">
        <f t="shared" si="4"/>
        <v>-0.243664046465983</v>
      </c>
      <c r="J26" s="459">
        <f t="shared" si="5"/>
        <v>0.0446884560259002</v>
      </c>
      <c r="K26" s="459">
        <v>0.0554286327090068</v>
      </c>
      <c r="L26" s="459">
        <v>0.0713259609723572</v>
      </c>
      <c r="M26" s="451">
        <f t="shared" si="6"/>
        <v>-0.0107401766831066</v>
      </c>
      <c r="N26" s="459" t="str">
        <f t="shared" si="7"/>
        <v/>
      </c>
      <c r="O26" s="430" t="s">
        <v>180</v>
      </c>
      <c r="P26" s="471" t="e">
        <f t="array" ref="P26">INDEX(正厂竞争者数据汇总!$I$2:$I$243,MATCH($A$22&amp;$B26,正厂竞争者数据汇总!$A$2:$A$243&amp;正厂竞争者数据汇总!$D$2:$D$243,0))</f>
        <v>#N/A</v>
      </c>
      <c r="Q26" s="429" t="s">
        <v>180</v>
      </c>
      <c r="R26" s="435" t="s">
        <v>180</v>
      </c>
      <c r="S26" s="473" t="e">
        <f>VLOOKUP(B26,正厂竞争者数据汇总!$D$2:$CL$243,25,FALSE)</f>
        <v>#N/A</v>
      </c>
      <c r="T26" s="466"/>
      <c r="U26" s="466"/>
      <c r="V26" s="421"/>
      <c r="W26" s="421"/>
    </row>
    <row r="27" s="408" customFormat="1" spans="1:23">
      <c r="A27" s="428" t="s">
        <v>230</v>
      </c>
      <c r="B27" s="421" t="s">
        <v>518</v>
      </c>
      <c r="C27" s="429" t="e">
        <f>VLOOKUP(B27,正厂竞争者数据汇总!D:H,2,FALSE)</f>
        <v>#N/A</v>
      </c>
      <c r="D27" s="421" t="e">
        <f>VLOOKUP(B27,正厂竞争者数据汇总!D:H,3,FALSE)</f>
        <v>#N/A</v>
      </c>
      <c r="E27" s="430" t="e">
        <f>VLOOKUP(B25,正厂竞争者数据汇总!D:H,4,FALSE)</f>
        <v>#N/A</v>
      </c>
      <c r="F27" s="430">
        <v>189148.083333333</v>
      </c>
      <c r="G27" s="430">
        <v>201863.75</v>
      </c>
      <c r="H27" s="430">
        <v>201257.083333333</v>
      </c>
      <c r="I27" s="453">
        <f t="shared" si="4"/>
        <v>-0.062991332850336</v>
      </c>
      <c r="J27" s="459">
        <f t="shared" si="5"/>
        <v>0.0891041950215305</v>
      </c>
      <c r="K27" s="459">
        <v>0.0892088835713708</v>
      </c>
      <c r="L27" s="459">
        <v>0.085655284195294</v>
      </c>
      <c r="M27" s="451">
        <f t="shared" si="6"/>
        <v>-0.00010468854984029</v>
      </c>
      <c r="N27" s="459"/>
      <c r="O27" s="430"/>
      <c r="P27" s="471" t="e">
        <f t="array" ref="P27">INDEX(正厂竞争者数据汇总!$I$2:$I$243,MATCH($A$22&amp;$B27,正厂竞争者数据汇总!$A$2:$A$243&amp;正厂竞争者数据汇总!$D$2:$D$243,0))</f>
        <v>#N/A</v>
      </c>
      <c r="Q27" s="429"/>
      <c r="R27" s="435"/>
      <c r="S27" s="473" t="e">
        <f>VLOOKUP(B27,正厂竞争者数据汇总!$D$2:$CL$243,25,FALSE)</f>
        <v>#N/A</v>
      </c>
      <c r="T27" s="466"/>
      <c r="U27" s="466"/>
      <c r="V27" s="421"/>
      <c r="W27" s="421"/>
    </row>
    <row r="28" s="408" customFormat="1" spans="1:23">
      <c r="A28" s="428" t="s">
        <v>238</v>
      </c>
      <c r="B28" s="431" t="s">
        <v>519</v>
      </c>
      <c r="C28" s="429" t="e">
        <f>VLOOKUP(B28,正厂竞争者数据汇总!D:H,2,FALSE)</f>
        <v>#N/A</v>
      </c>
      <c r="D28" s="421" t="e">
        <f>VLOOKUP(B28,正厂竞争者数据汇总!D:H,3,FALSE)</f>
        <v>#N/A</v>
      </c>
      <c r="E28" s="430" t="e">
        <f>VLOOKUP(B28,正厂竞争者数据汇总!D:H,4,FALSE)</f>
        <v>#N/A</v>
      </c>
      <c r="F28" s="430">
        <v>129658</v>
      </c>
      <c r="G28" s="430">
        <v>134759.916666667</v>
      </c>
      <c r="H28" s="430">
        <v>155048.666666667</v>
      </c>
      <c r="I28" s="453">
        <f t="shared" si="4"/>
        <v>-0.0378593041081108</v>
      </c>
      <c r="J28" s="459">
        <f t="shared" si="5"/>
        <v>0.0610795072014649</v>
      </c>
      <c r="K28" s="459">
        <v>0.0595539402988616</v>
      </c>
      <c r="L28" s="459">
        <v>0.0659889201784689</v>
      </c>
      <c r="M28" s="451">
        <f t="shared" si="6"/>
        <v>0.00152556690260334</v>
      </c>
      <c r="N28" s="459" t="str">
        <f>IFERROR(O28*0.5/$F$24,"")</f>
        <v/>
      </c>
      <c r="O28" s="430" t="s">
        <v>180</v>
      </c>
      <c r="P28" s="471" t="e">
        <f t="array" ref="P28">INDEX(正厂竞争者数据汇总!$I$2:$I$243,MATCH($A$22&amp;$B28,正厂竞争者数据汇总!$A$2:$A$243&amp;正厂竞争者数据汇总!$D$2:$D$243,0))</f>
        <v>#N/A</v>
      </c>
      <c r="Q28" s="429" t="s">
        <v>180</v>
      </c>
      <c r="R28" s="435" t="s">
        <v>180</v>
      </c>
      <c r="S28" s="473" t="e">
        <f>VLOOKUP(B28,正厂竞争者数据汇总!$D$2:$CL$243,25,FALSE)</f>
        <v>#N/A</v>
      </c>
      <c r="T28" s="466"/>
      <c r="U28" s="466"/>
      <c r="V28" s="421"/>
      <c r="W28" s="421"/>
    </row>
    <row r="29" s="408" customFormat="1" spans="1:23">
      <c r="A29" s="428" t="s">
        <v>230</v>
      </c>
      <c r="B29" s="421" t="s">
        <v>520</v>
      </c>
      <c r="C29" s="429" t="e">
        <f>VLOOKUP(B29,正厂竞争者数据汇总!D:H,2,FALSE)</f>
        <v>#N/A</v>
      </c>
      <c r="D29" s="421" t="e">
        <f>VLOOKUP(B29,正厂竞争者数据汇总!D:H,3,FALSE)</f>
        <v>#N/A</v>
      </c>
      <c r="E29" s="430"/>
      <c r="F29" s="430">
        <v>144574.25</v>
      </c>
      <c r="G29" s="430">
        <v>152110.5</v>
      </c>
      <c r="H29" s="430">
        <v>143783.083333333</v>
      </c>
      <c r="I29" s="453">
        <f t="shared" si="4"/>
        <v>-0.0495445745034038</v>
      </c>
      <c r="J29" s="459">
        <f t="shared" ref="J29:J35" si="8">F29/$F$40</f>
        <v>0.0681062791653534</v>
      </c>
      <c r="K29" s="459">
        <v>0.0672216179699574</v>
      </c>
      <c r="L29" s="459">
        <v>0.0611942728246449</v>
      </c>
      <c r="M29" s="451">
        <f t="shared" si="6"/>
        <v>0.000884661195396014</v>
      </c>
      <c r="N29" s="459"/>
      <c r="O29" s="430"/>
      <c r="P29" s="471" t="e">
        <f t="array" ref="P29">INDEX(正厂竞争者数据汇总!$I$2:$I$243,MATCH($A$22&amp;$B29,正厂竞争者数据汇总!$A$2:$A$243&amp;正厂竞争者数据汇总!$D$2:$D$243,0))</f>
        <v>#N/A</v>
      </c>
      <c r="Q29" s="429"/>
      <c r="R29" s="435"/>
      <c r="S29" s="473"/>
      <c r="T29" s="466"/>
      <c r="U29" s="466"/>
      <c r="V29" s="421"/>
      <c r="W29" s="421"/>
    </row>
    <row r="30" s="408" customFormat="1" spans="1:23">
      <c r="A30" s="428" t="s">
        <v>230</v>
      </c>
      <c r="B30" s="421" t="s">
        <v>521</v>
      </c>
      <c r="C30" s="429" t="e">
        <f>VLOOKUP(B30,正厂竞争者数据汇总!D:H,2,FALSE)</f>
        <v>#N/A</v>
      </c>
      <c r="D30" s="421" t="e">
        <f>VLOOKUP(B30,正厂竞争者数据汇总!D:H,3,FALSE)</f>
        <v>#N/A</v>
      </c>
      <c r="E30" s="430"/>
      <c r="F30" s="430">
        <v>72973.9166666667</v>
      </c>
      <c r="G30" s="430">
        <v>78121.4166666667</v>
      </c>
      <c r="H30" s="430">
        <v>90372.75</v>
      </c>
      <c r="I30" s="453">
        <f t="shared" si="4"/>
        <v>-0.0658910222015516</v>
      </c>
      <c r="J30" s="459">
        <f t="shared" si="8"/>
        <v>0.0343766745481248</v>
      </c>
      <c r="K30" s="459">
        <v>0.034523902205558</v>
      </c>
      <c r="L30" s="459">
        <v>0.0384627634294955</v>
      </c>
      <c r="M30" s="451">
        <f t="shared" si="6"/>
        <v>-0.000147227657433156</v>
      </c>
      <c r="N30" s="459"/>
      <c r="O30" s="430"/>
      <c r="P30" s="471" t="e">
        <f t="array" ref="P30">INDEX(正厂竞争者数据汇总!$I$2:$I$243,MATCH($A$22&amp;$B30,正厂竞争者数据汇总!$A$2:$A$243&amp;正厂竞争者数据汇总!$D$2:$D$243,0))</f>
        <v>#N/A</v>
      </c>
      <c r="Q30" s="429"/>
      <c r="R30" s="435"/>
      <c r="S30" s="473"/>
      <c r="T30" s="466"/>
      <c r="U30" s="466"/>
      <c r="V30" s="421"/>
      <c r="W30" s="421"/>
    </row>
    <row r="31" s="408" customFormat="1" spans="1:23">
      <c r="A31" s="428"/>
      <c r="B31" s="421"/>
      <c r="C31" s="429"/>
      <c r="D31" s="421"/>
      <c r="E31" s="430"/>
      <c r="F31" s="430"/>
      <c r="G31" s="430"/>
      <c r="H31" s="430"/>
      <c r="I31" s="453"/>
      <c r="J31" s="459"/>
      <c r="K31" s="459"/>
      <c r="L31" s="459"/>
      <c r="M31" s="451"/>
      <c r="N31" s="459"/>
      <c r="O31" s="430"/>
      <c r="P31" s="471"/>
      <c r="Q31" s="429"/>
      <c r="R31" s="435"/>
      <c r="S31" s="473"/>
      <c r="T31" s="466"/>
      <c r="U31" s="466"/>
      <c r="V31" s="421"/>
      <c r="W31" s="421"/>
    </row>
    <row r="32" s="410" customFormat="1" spans="1:23">
      <c r="A32" s="431" t="s">
        <v>230</v>
      </c>
      <c r="B32" s="438" t="s">
        <v>510</v>
      </c>
      <c r="C32" s="429" t="e">
        <f>VLOOKUP(B32,正厂竞争者数据汇总!D:H,2,FALSE)</f>
        <v>#N/A</v>
      </c>
      <c r="D32" s="421" t="e">
        <f>VLOOKUP(B32,正厂竞争者数据汇总!D:H,3,FALSE)</f>
        <v>#N/A</v>
      </c>
      <c r="E32" s="430" t="e">
        <f>VLOOKUP(B32,正厂竞争者数据汇总!D:H,4,FALSE)</f>
        <v>#N/A</v>
      </c>
      <c r="F32" s="430">
        <v>2126.99666666667</v>
      </c>
      <c r="G32" s="430">
        <v>3004.65</v>
      </c>
      <c r="H32" s="430">
        <v>6035.07666666667</v>
      </c>
      <c r="I32" s="453"/>
      <c r="J32" s="459">
        <f t="shared" si="8"/>
        <v>0.00100198914235264</v>
      </c>
      <c r="K32" s="459">
        <v>0.00132783361065431</v>
      </c>
      <c r="L32" s="459">
        <v>0.00256853671166218</v>
      </c>
      <c r="M32" s="451"/>
      <c r="N32" s="459"/>
      <c r="O32" s="430"/>
      <c r="P32" s="471" t="e">
        <f t="array" ref="P32">INDEX(正厂竞争者数据汇总!$I$2:$I$243,MATCH($A$22&amp;$B32,正厂竞争者数据汇总!$A$2:$A$243&amp;正厂竞争者数据汇总!$D$2:$D$243,0))</f>
        <v>#N/A</v>
      </c>
      <c r="Q32" s="429"/>
      <c r="R32" s="435"/>
      <c r="S32" s="473"/>
      <c r="T32" s="466"/>
      <c r="U32" s="466"/>
      <c r="V32" s="421"/>
      <c r="W32" s="421"/>
    </row>
    <row r="33" s="410" customFormat="1" spans="1:23">
      <c r="A33" s="431" t="s">
        <v>230</v>
      </c>
      <c r="B33" s="431" t="s">
        <v>522</v>
      </c>
      <c r="C33" s="429" t="e">
        <f>VLOOKUP(B33,正厂竞争者数据汇总!D:H,2,FALSE)</f>
        <v>#N/A</v>
      </c>
      <c r="D33" s="421" t="e">
        <f>VLOOKUP(B33,正厂竞争者数据汇总!D:H,3,FALSE)</f>
        <v>#N/A</v>
      </c>
      <c r="E33" s="430" t="e">
        <f>VLOOKUP(B33,正厂竞争者数据汇总!D:H,4,FALSE)</f>
        <v>#N/A</v>
      </c>
      <c r="F33" s="430">
        <v>34862.3333333333</v>
      </c>
      <c r="G33" s="430">
        <v>34589.8333333333</v>
      </c>
      <c r="H33" s="430">
        <v>35498.0833333333</v>
      </c>
      <c r="I33" s="453"/>
      <c r="J33" s="459">
        <f t="shared" si="8"/>
        <v>0.0164230062155301</v>
      </c>
      <c r="K33" s="459">
        <v>0.0152861542232642</v>
      </c>
      <c r="L33" s="459">
        <v>0.0151080318066067</v>
      </c>
      <c r="M33" s="451"/>
      <c r="N33" s="459"/>
      <c r="O33" s="430"/>
      <c r="P33" s="471" t="e">
        <f t="array" ref="P33">INDEX(正厂竞争者数据汇总!$I$2:$I$243,MATCH($A$22&amp;$B33,正厂竞争者数据汇总!$A$2:$A$243&amp;正厂竞争者数据汇总!$D$2:$D$243,0))</f>
        <v>#N/A</v>
      </c>
      <c r="Q33" s="429"/>
      <c r="R33" s="435"/>
      <c r="S33" s="473"/>
      <c r="T33" s="466"/>
      <c r="U33" s="466"/>
      <c r="V33" s="421"/>
      <c r="W33" s="421"/>
    </row>
    <row r="34" s="410" customFormat="1" spans="1:23">
      <c r="A34" s="431" t="s">
        <v>230</v>
      </c>
      <c r="B34" s="431" t="s">
        <v>523</v>
      </c>
      <c r="C34" s="429" t="e">
        <f>VLOOKUP(B34,正厂竞争者数据汇总!D:H,2,FALSE)</f>
        <v>#N/A</v>
      </c>
      <c r="D34" s="421" t="e">
        <f>VLOOKUP(B34,正厂竞争者数据汇总!D:H,3,FALSE)</f>
        <v>#N/A</v>
      </c>
      <c r="E34" s="430" t="e">
        <f>VLOOKUP(B34,正厂竞争者数据汇总!D:H,4,FALSE)</f>
        <v>#N/A</v>
      </c>
      <c r="F34" s="430">
        <v>20302.1666666666</v>
      </c>
      <c r="G34" s="430">
        <v>23054.3333333334</v>
      </c>
      <c r="H34" s="430">
        <v>28034.6666666667</v>
      </c>
      <c r="I34" s="453"/>
      <c r="J34" s="459">
        <f t="shared" si="8"/>
        <v>0.009563978583057</v>
      </c>
      <c r="K34" s="459">
        <v>0.0101883143365211</v>
      </c>
      <c r="L34" s="459">
        <v>0.0119315916780751</v>
      </c>
      <c r="M34" s="451"/>
      <c r="N34" s="459"/>
      <c r="O34" s="430"/>
      <c r="P34" s="471" t="e">
        <f t="array" ref="P34">INDEX(正厂竞争者数据汇总!$I$2:$I$243,MATCH($A$22&amp;$B34,正厂竞争者数据汇总!$A$2:$A$243&amp;正厂竞争者数据汇总!$D$2:$D$243,0))</f>
        <v>#N/A</v>
      </c>
      <c r="Q34" s="429"/>
      <c r="R34" s="435"/>
      <c r="S34" s="473"/>
      <c r="T34" s="466"/>
      <c r="U34" s="466"/>
      <c r="V34" s="421"/>
      <c r="W34" s="421"/>
    </row>
    <row r="35" s="410" customFormat="1" spans="1:23">
      <c r="A35" s="440" t="s">
        <v>230</v>
      </c>
      <c r="B35" s="431" t="s">
        <v>524</v>
      </c>
      <c r="C35" s="429" t="e">
        <f>VLOOKUP(B35,正厂竞争者数据汇总!D:H,2,FALSE)</f>
        <v>#N/A</v>
      </c>
      <c r="D35" s="421" t="e">
        <f>VLOOKUP(B35,正厂竞争者数据汇总!D:H,3,FALSE)</f>
        <v>#N/A</v>
      </c>
      <c r="E35" s="430"/>
      <c r="F35" s="430">
        <v>23972.975</v>
      </c>
      <c r="G35" s="430">
        <v>19764.0841666667</v>
      </c>
      <c r="H35" s="430">
        <v>22541.9025</v>
      </c>
      <c r="I35" s="453"/>
      <c r="J35" s="459">
        <f t="shared" si="8"/>
        <v>0.0112932291038967</v>
      </c>
      <c r="K35" s="459">
        <v>0.00873426696630248</v>
      </c>
      <c r="L35" s="459">
        <v>0.0095938638926917</v>
      </c>
      <c r="M35" s="451"/>
      <c r="N35" s="459"/>
      <c r="O35" s="430"/>
      <c r="P35" s="471" t="e">
        <f t="array" ref="P35">INDEX(正厂竞争者数据汇总!$I$2:$I$243,MATCH($A$22&amp;$B35,正厂竞争者数据汇总!$A$2:$A$243&amp;正厂竞争者数据汇总!$D$2:$D$243,0))</f>
        <v>#N/A</v>
      </c>
      <c r="Q35" s="429"/>
      <c r="R35" s="435"/>
      <c r="S35" s="473"/>
      <c r="T35" s="466"/>
      <c r="U35" s="466"/>
      <c r="V35" s="421"/>
      <c r="W35" s="421"/>
    </row>
    <row r="36" s="408" customFormat="1" spans="1:23">
      <c r="A36" s="428" t="s">
        <v>243</v>
      </c>
      <c r="B36" s="421" t="s">
        <v>525</v>
      </c>
      <c r="C36" s="429" t="str">
        <f>VLOOKUP(B36,正厂竞争者数据汇总!D:H,2,FALSE)</f>
        <v>原厂目录</v>
      </c>
      <c r="D36" s="421" t="str">
        <f>VLOOKUP(B36,正厂竞争者数据汇总!D:H,3,FALSE)</f>
        <v>GA</v>
      </c>
      <c r="E36" s="430">
        <f>VLOOKUP(B36,正厂竞争者数据汇总!D:H,4,FALSE)</f>
        <v>0</v>
      </c>
      <c r="F36" s="430">
        <v>5202.83333333333</v>
      </c>
      <c r="G36" s="430">
        <v>2876.75</v>
      </c>
      <c r="H36" s="430">
        <v>1643.25</v>
      </c>
      <c r="I36" s="453"/>
      <c r="J36" s="459">
        <f>F36/F$40</f>
        <v>0.00245095941670668</v>
      </c>
      <c r="K36" s="459">
        <v>0.00127131124738315</v>
      </c>
      <c r="L36" s="459">
        <v>0.00069936940068238</v>
      </c>
      <c r="M36" s="451"/>
      <c r="N36" s="459" t="str">
        <f t="shared" ref="N36:N38" si="9">IFERROR(O36*0.5/$F$24,"")</f>
        <v/>
      </c>
      <c r="O36" s="430" t="s">
        <v>180</v>
      </c>
      <c r="P36" s="471" t="str">
        <f t="array" ref="P36">INDEX(正厂竞争者数据汇总!$I$2:$I$243,MATCH($A$22&amp;$B36,正厂竞争者数据汇总!$A$2:$A$243&amp;正厂竞争者数据汇总!$D$2:$D$243,0))</f>
        <v>202305网站无法正常打开</v>
      </c>
      <c r="Q36" s="429" t="s">
        <v>180</v>
      </c>
      <c r="R36" s="435" t="s">
        <v>180</v>
      </c>
      <c r="S36" s="473">
        <f>VLOOKUP(B36,正厂竞争者数据汇总!$D$2:$CL$243,25,FALSE)</f>
        <v>7025</v>
      </c>
      <c r="T36" s="466"/>
      <c r="U36" s="466"/>
      <c r="V36" s="421"/>
      <c r="W36" s="421"/>
    </row>
    <row r="37" s="408" customFormat="1" ht="17.4" spans="1:23">
      <c r="A37" s="428" t="s">
        <v>511</v>
      </c>
      <c r="B37" s="438" t="s">
        <v>526</v>
      </c>
      <c r="C37" s="429" t="str">
        <f>VLOOKUP(B37,正厂竞争者数据汇总!D:H,2,FALSE)</f>
        <v>原厂目录</v>
      </c>
      <c r="D37" s="421" t="str">
        <f>VLOOKUP(B37,正厂竞争者数据汇总!D:H,3,FALSE)</f>
        <v>-</v>
      </c>
      <c r="E37" s="430">
        <f>VLOOKUP(B37,正厂竞争者数据汇总!D:H,4,FALSE)</f>
        <v>6238</v>
      </c>
      <c r="F37" s="430">
        <v>5194900.66666667</v>
      </c>
      <c r="G37" s="430">
        <v>5964443.25</v>
      </c>
      <c r="H37" s="430">
        <v>6569465.83333333</v>
      </c>
      <c r="I37" s="453"/>
      <c r="J37" s="455"/>
      <c r="K37" s="455"/>
      <c r="L37" s="455"/>
      <c r="M37" s="451"/>
      <c r="N37" s="459" t="str">
        <f t="shared" si="9"/>
        <v/>
      </c>
      <c r="O37" s="430" t="s">
        <v>180</v>
      </c>
      <c r="P37" s="471" t="str">
        <f t="array" ref="P37">INDEX(正厂竞争者数据汇总!$I$2:$I$243,MATCH($A$22&amp;$B37,正厂竞争者数据汇总!$A$2:$A$243&amp;正厂竞争者数据汇总!$D$2:$D$243,0))</f>
        <v>semrush升级，无法获取最新流量</v>
      </c>
      <c r="Q37" s="429" t="s">
        <v>180</v>
      </c>
      <c r="R37" s="435" t="s">
        <v>180</v>
      </c>
      <c r="S37" s="473">
        <f>VLOOKUP(B37,正厂竞争者数据汇总!$D$2:$CL$243,25,FALSE)</f>
        <v>374749</v>
      </c>
      <c r="T37" s="466"/>
      <c r="U37" s="466"/>
      <c r="V37" s="421"/>
      <c r="W37" s="421"/>
    </row>
    <row r="38" s="408" customFormat="1" spans="1:23">
      <c r="A38" s="431" t="s">
        <v>513</v>
      </c>
      <c r="B38" s="438" t="s">
        <v>527</v>
      </c>
      <c r="C38" s="429" t="e">
        <f>VLOOKUP(B38,正厂竞争者数据汇总!D:H,2,FALSE)</f>
        <v>#N/A</v>
      </c>
      <c r="D38" s="421" t="e">
        <f>VLOOKUP(B38,正厂竞争者数据汇总!D:H,3,FALSE)</f>
        <v>#N/A</v>
      </c>
      <c r="E38" s="430" t="e">
        <f>VLOOKUP(B38,正厂竞争者数据汇总!D:H,4,FALSE)</f>
        <v>#N/A</v>
      </c>
      <c r="F38" s="430">
        <v>77159.25</v>
      </c>
      <c r="G38" s="430">
        <v>86984.4999999998</v>
      </c>
      <c r="H38" s="430">
        <v>94052.8333333333</v>
      </c>
      <c r="I38" s="453"/>
      <c r="J38" s="459"/>
      <c r="K38" s="459"/>
      <c r="L38" s="459"/>
      <c r="M38" s="451"/>
      <c r="N38" s="459" t="str">
        <f t="shared" si="9"/>
        <v/>
      </c>
      <c r="O38" s="430" t="s">
        <v>180</v>
      </c>
      <c r="P38" s="471" t="e">
        <f t="array" ref="P38">INDEX(正厂竞争者数据汇总!$I$2:$I$243,MATCH($A$22&amp;$B38,正厂竞争者数据汇总!$A$2:$A$243&amp;正厂竞争者数据汇总!$D$2:$D$243,0))</f>
        <v>#N/A</v>
      </c>
      <c r="Q38" s="429" t="s">
        <v>180</v>
      </c>
      <c r="R38" s="435" t="s">
        <v>180</v>
      </c>
      <c r="S38" s="473" t="e">
        <f>VLOOKUP(B38,正厂竞争者数据汇总!$D$2:$CL$243,25,FALSE)</f>
        <v>#N/A</v>
      </c>
      <c r="T38" s="466"/>
      <c r="U38" s="466"/>
      <c r="V38" s="421"/>
      <c r="W38" s="421"/>
    </row>
    <row r="39" s="410" customFormat="1" spans="1:23">
      <c r="A39" s="432"/>
      <c r="B39" s="435"/>
      <c r="C39" s="434"/>
      <c r="D39" s="435"/>
      <c r="E39" s="430"/>
      <c r="F39" s="430"/>
      <c r="G39" s="430"/>
      <c r="H39" s="430"/>
      <c r="I39" s="453"/>
      <c r="J39" s="436"/>
      <c r="K39" s="436"/>
      <c r="L39" s="436"/>
      <c r="M39" s="451"/>
      <c r="N39" s="455"/>
      <c r="O39" s="436"/>
      <c r="P39" s="471"/>
      <c r="Q39" s="434"/>
      <c r="R39" s="435"/>
      <c r="S39" s="473"/>
      <c r="T39" s="477"/>
      <c r="U39" s="466"/>
      <c r="V39" s="435"/>
      <c r="W39" s="435"/>
    </row>
    <row r="40" s="408" customFormat="1" spans="1:23">
      <c r="A40" s="428"/>
      <c r="B40" s="421"/>
      <c r="C40" s="439"/>
      <c r="D40" s="421"/>
      <c r="E40" s="430"/>
      <c r="F40" s="430">
        <v>2122774.16666666</v>
      </c>
      <c r="G40" s="430">
        <v>2262821.16666667</v>
      </c>
      <c r="H40" s="430">
        <v>2349616.66666667</v>
      </c>
      <c r="I40" s="453">
        <f t="shared" ref="I40:I50" si="10">(F40/G40)-1</f>
        <v>-0.0618904410401601</v>
      </c>
      <c r="J40" s="451"/>
      <c r="K40" s="451"/>
      <c r="L40" s="451"/>
      <c r="M40" s="451"/>
      <c r="N40" s="451">
        <f>SUM(N24:N27)</f>
        <v>0.0231324656046344</v>
      </c>
      <c r="O40" s="451"/>
      <c r="P40" s="471"/>
      <c r="Q40" s="429"/>
      <c r="R40" s="421"/>
      <c r="S40" s="473"/>
      <c r="T40" s="466"/>
      <c r="U40" s="466"/>
      <c r="V40" s="421"/>
      <c r="W40" s="421"/>
    </row>
    <row r="41" s="408" customFormat="1" spans="1:23">
      <c r="A41" s="428"/>
      <c r="B41" s="421"/>
      <c r="C41" s="439"/>
      <c r="D41" s="421"/>
      <c r="E41" s="430"/>
      <c r="F41" s="430"/>
      <c r="G41" s="430"/>
      <c r="H41" s="430"/>
      <c r="I41" s="453"/>
      <c r="J41" s="430"/>
      <c r="K41" s="430"/>
      <c r="L41" s="430"/>
      <c r="M41" s="451"/>
      <c r="N41" s="451"/>
      <c r="O41" s="430"/>
      <c r="P41" s="471"/>
      <c r="Q41" s="429"/>
      <c r="R41" s="421"/>
      <c r="S41" s="473"/>
      <c r="T41" s="466"/>
      <c r="U41" s="466"/>
      <c r="V41" s="421"/>
      <c r="W41" s="421"/>
    </row>
    <row r="42" s="408" customFormat="1" ht="17.4" spans="1:23">
      <c r="A42" s="418" t="s">
        <v>141</v>
      </c>
      <c r="B42" s="441"/>
      <c r="C42" s="420"/>
      <c r="D42" s="421"/>
      <c r="E42" s="422" t="s">
        <v>202</v>
      </c>
      <c r="F42" s="422"/>
      <c r="G42" s="422"/>
      <c r="H42" s="422"/>
      <c r="I42" s="422"/>
      <c r="J42" s="422"/>
      <c r="K42" s="422"/>
      <c r="L42" s="422"/>
      <c r="M42" s="443"/>
      <c r="N42" s="444"/>
      <c r="O42" s="422"/>
      <c r="P42" s="471"/>
      <c r="Q42" s="465"/>
      <c r="R42" s="424"/>
      <c r="S42" s="473"/>
      <c r="T42" s="467"/>
      <c r="U42" s="467"/>
      <c r="V42" s="467"/>
      <c r="W42" s="467"/>
    </row>
    <row r="43" s="409" customFormat="1" ht="46.8" spans="1:23">
      <c r="A43" s="423" t="s">
        <v>206</v>
      </c>
      <c r="B43" s="424" t="s">
        <v>207</v>
      </c>
      <c r="C43" s="425" t="s">
        <v>208</v>
      </c>
      <c r="D43" s="424" t="s">
        <v>209</v>
      </c>
      <c r="E43" s="426" t="s">
        <v>210</v>
      </c>
      <c r="F43" s="427" t="s">
        <v>213</v>
      </c>
      <c r="G43" s="427" t="s">
        <v>396</v>
      </c>
      <c r="H43" s="427" t="s">
        <v>496</v>
      </c>
      <c r="I43" s="427" t="s">
        <v>497</v>
      </c>
      <c r="J43" s="446" t="s">
        <v>217</v>
      </c>
      <c r="K43" s="446" t="s">
        <v>387</v>
      </c>
      <c r="L43" s="446" t="s">
        <v>390</v>
      </c>
      <c r="M43" s="447" t="s">
        <v>498</v>
      </c>
      <c r="N43" s="448" t="s">
        <v>219</v>
      </c>
      <c r="O43" s="449" t="s">
        <v>220</v>
      </c>
      <c r="P43" s="468" t="s">
        <v>221</v>
      </c>
      <c r="Q43" s="469" t="s">
        <v>222</v>
      </c>
      <c r="R43" s="426" t="s">
        <v>223</v>
      </c>
      <c r="S43" s="470" t="s">
        <v>224</v>
      </c>
      <c r="T43" s="467" t="s">
        <v>225</v>
      </c>
      <c r="U43" s="470" t="s">
        <v>226</v>
      </c>
      <c r="V43" s="467"/>
      <c r="W43" s="467"/>
    </row>
    <row r="44" s="410" customFormat="1" ht="17.4" spans="1:23">
      <c r="A44" s="432" t="s">
        <v>227</v>
      </c>
      <c r="B44" s="433" t="s">
        <v>528</v>
      </c>
      <c r="C44" s="434" t="e">
        <f>VLOOKUP(B44,正厂竞争者数据汇总!D:H,2,FALSE)</f>
        <v>#N/A</v>
      </c>
      <c r="D44" s="435" t="e">
        <f>VLOOKUP(B44,正厂竞争者数据汇总!D:H,3,FALSE)</f>
        <v>#N/A</v>
      </c>
      <c r="E44" s="436" t="e">
        <f>VLOOKUP(B44,正厂竞争者数据汇总!D:H,4,FALSE)</f>
        <v>#N/A</v>
      </c>
      <c r="F44" s="436">
        <v>506654</v>
      </c>
      <c r="G44" s="436">
        <v>541471.75</v>
      </c>
      <c r="H44" s="436">
        <v>544041.166666667</v>
      </c>
      <c r="I44" s="454">
        <f t="shared" si="10"/>
        <v>-0.0643020619265917</v>
      </c>
      <c r="J44" s="455">
        <f t="shared" ref="J44:J50" si="11">F44/F$57</f>
        <v>0.344259141423053</v>
      </c>
      <c r="K44" s="455">
        <v>0.358216318392179</v>
      </c>
      <c r="L44" s="455">
        <v>0.33829701696189</v>
      </c>
      <c r="M44" s="456">
        <f t="shared" ref="M44:M50" si="12">J44-K44</f>
        <v>-0.0139571769691261</v>
      </c>
      <c r="N44" s="455" t="str">
        <f>IFERROR(O44*0.5/#REF!,"")</f>
        <v/>
      </c>
      <c r="O44" s="436" t="s">
        <v>180</v>
      </c>
      <c r="P44" s="475" t="e">
        <f t="array" ref="P44">INDEX(正厂竞争者数据汇总!$I$2:$I$243,MATCH($A$42&amp;$B44,正厂竞争者数据汇总!$A$2:$A$243&amp;正厂竞争者数据汇总!$D$2:$D$243,0))</f>
        <v>#N/A</v>
      </c>
      <c r="Q44" s="434" t="s">
        <v>241</v>
      </c>
      <c r="R44" s="435" t="s">
        <v>229</v>
      </c>
      <c r="S44" s="476" t="e">
        <f>VLOOKUP(B44,正厂竞争者数据汇总!$D$2:$CL$243,25,FALSE)</f>
        <v>#N/A</v>
      </c>
      <c r="T44" s="477"/>
      <c r="U44" s="477"/>
      <c r="V44" s="435"/>
      <c r="W44" s="435"/>
    </row>
    <row r="45" s="408" customFormat="1" spans="1:23">
      <c r="A45" s="428" t="s">
        <v>230</v>
      </c>
      <c r="B45" s="421" t="s">
        <v>242</v>
      </c>
      <c r="C45" s="429" t="str">
        <f>VLOOKUP(B45,正厂竞争者数据汇总!D:H,2,FALSE)</f>
        <v>Motor目录</v>
      </c>
      <c r="D45" s="421" t="str">
        <f>VLOOKUP(B45,正厂竞争者数据汇总!D:H,3,FALSE)</f>
        <v>KS</v>
      </c>
      <c r="E45" s="430">
        <f>VLOOKUP(B45,正厂竞争者数据汇总!D:H,4,FALSE)</f>
        <v>0</v>
      </c>
      <c r="F45" s="430">
        <v>437091</v>
      </c>
      <c r="G45" s="430">
        <v>433985.083333333</v>
      </c>
      <c r="H45" s="430">
        <v>455733.666666667</v>
      </c>
      <c r="I45" s="453">
        <f t="shared" si="10"/>
        <v>0.00715673599380695</v>
      </c>
      <c r="J45" s="459">
        <f t="shared" si="11"/>
        <v>0.296992765050199</v>
      </c>
      <c r="K45" s="459">
        <v>0.287107386098701</v>
      </c>
      <c r="L45" s="459">
        <v>0.283385430016364</v>
      </c>
      <c r="M45" s="451">
        <f t="shared" si="12"/>
        <v>0.0098853789514981</v>
      </c>
      <c r="N45" s="459" t="str">
        <f>IFERROR(O45*0.5/#REF!,"")</f>
        <v/>
      </c>
      <c r="O45" s="430" t="s">
        <v>180</v>
      </c>
      <c r="P45" s="471">
        <f t="array" ref="P45">INDEX(正厂竞争者数据汇总!$I$2:$I$243,MATCH($A$42&amp;$B45,正厂竞争者数据汇总!$A$2:$A$243&amp;正厂竞争者数据汇总!$D$2:$D$243,0))</f>
        <v>0</v>
      </c>
      <c r="Q45" s="429" t="s">
        <v>180</v>
      </c>
      <c r="R45" s="435" t="s">
        <v>180</v>
      </c>
      <c r="S45" s="473">
        <f>VLOOKUP(B45,正厂竞争者数据汇总!$D$2:$CL$243,25,FALSE)</f>
        <v>486334</v>
      </c>
      <c r="T45" s="466"/>
      <c r="U45" s="466"/>
      <c r="V45" s="421"/>
      <c r="W45" s="421"/>
    </row>
    <row r="46" s="408" customFormat="1" spans="1:23">
      <c r="A46" s="428" t="s">
        <v>243</v>
      </c>
      <c r="B46" s="421" t="s">
        <v>244</v>
      </c>
      <c r="C46" s="429" t="str">
        <f>VLOOKUP(B46,正厂竞争者数据汇总!D:H,2,FALSE)</f>
        <v>旧年份原厂、新年份Motor</v>
      </c>
      <c r="D46" s="421" t="str">
        <f>VLOOKUP(B46,正厂竞争者数据汇总!D:H,3,FALSE)</f>
        <v>FL</v>
      </c>
      <c r="E46" s="430">
        <f>VLOOKUP(B46,正厂竞争者数据汇总!D:H,4,FALSE)</f>
        <v>0</v>
      </c>
      <c r="F46" s="430">
        <v>213772.833333333</v>
      </c>
      <c r="G46" s="430">
        <v>234012.083333333</v>
      </c>
      <c r="H46" s="430">
        <v>259205.083333333</v>
      </c>
      <c r="I46" s="453">
        <f t="shared" si="10"/>
        <v>-0.0864880552820457</v>
      </c>
      <c r="J46" s="459">
        <f t="shared" si="11"/>
        <v>0.145253470934615</v>
      </c>
      <c r="K46" s="459">
        <v>0.154813149441222</v>
      </c>
      <c r="L46" s="459">
        <v>0.161179542736241</v>
      </c>
      <c r="M46" s="451">
        <f t="shared" si="12"/>
        <v>-0.00955967850660666</v>
      </c>
      <c r="N46" s="459" t="str">
        <f>IFERROR(O46*0.5/#REF!,"")</f>
        <v/>
      </c>
      <c r="O46" s="430" t="s">
        <v>180</v>
      </c>
      <c r="P46" s="471">
        <f t="array" ref="P46">INDEX(正厂竞争者数据汇总!$I$2:$I$243,MATCH($A$42&amp;$B46,正厂竞争者数据汇总!$A$2:$A$243&amp;正厂竞争者数据汇总!$D$2:$D$243,0))</f>
        <v>0</v>
      </c>
      <c r="Q46" s="429" t="s">
        <v>180</v>
      </c>
      <c r="R46" s="435" t="s">
        <v>180</v>
      </c>
      <c r="S46" s="473">
        <f>VLOOKUP(B46,正厂竞争者数据汇总!$D$2:$CL$243,25,FALSE)</f>
        <v>278886</v>
      </c>
      <c r="T46" s="466"/>
      <c r="U46" s="466"/>
      <c r="V46" s="421"/>
      <c r="W46" s="421"/>
    </row>
    <row r="47" s="408" customFormat="1" spans="1:23">
      <c r="A47" s="428" t="s">
        <v>230</v>
      </c>
      <c r="B47" s="438" t="s">
        <v>416</v>
      </c>
      <c r="C47" s="429" t="str">
        <f>VLOOKUP(B47,正厂竞争者数据汇总!D:H,2,FALSE)</f>
        <v>Motor目录</v>
      </c>
      <c r="D47" s="421" t="str">
        <f>VLOOKUP(B47,正厂竞争者数据汇总!D:H,3,FALSE)</f>
        <v>VA</v>
      </c>
      <c r="E47" s="430">
        <f>VLOOKUP(B47,正厂竞争者数据汇总!D:H,4,FALSE)</f>
        <v>0</v>
      </c>
      <c r="F47" s="430">
        <v>162971.833333333</v>
      </c>
      <c r="G47" s="430">
        <v>156084.333333333</v>
      </c>
      <c r="H47" s="430">
        <v>184121.416666667</v>
      </c>
      <c r="I47" s="453">
        <f t="shared" si="10"/>
        <v>0.0441267861604733</v>
      </c>
      <c r="J47" s="459">
        <f t="shared" si="11"/>
        <v>0.110735419871301</v>
      </c>
      <c r="K47" s="459">
        <v>0.103259228658493</v>
      </c>
      <c r="L47" s="459">
        <v>0.114490832373525</v>
      </c>
      <c r="M47" s="451">
        <f t="shared" si="12"/>
        <v>0.00747619121280789</v>
      </c>
      <c r="N47" s="459" t="str">
        <f>IFERROR(O47*0.5/#REF!,"")</f>
        <v/>
      </c>
      <c r="O47" s="430" t="s">
        <v>180</v>
      </c>
      <c r="P47" s="471" t="str">
        <f t="array" ref="P47">INDEX(正厂竞争者数据汇总!$I$2:$I$243,MATCH($A$42&amp;$B47,正厂竞争者数据汇总!$A$2:$A$243&amp;正厂竞争者数据汇总!$D$2:$D$243,0))</f>
        <v>2023年11月导流至toyotaparts.ourismantoyotaofrichmond.com，原网站流量大幅下跌</v>
      </c>
      <c r="Q47" s="429" t="s">
        <v>180</v>
      </c>
      <c r="R47" s="435" t="s">
        <v>180</v>
      </c>
      <c r="S47" s="473">
        <f>VLOOKUP(B47,正厂竞争者数据汇总!$D$2:$CL$243,25,FALSE)</f>
        <v>195034</v>
      </c>
      <c r="T47" s="466"/>
      <c r="U47" s="466"/>
      <c r="V47" s="421"/>
      <c r="W47" s="421"/>
    </row>
    <row r="48" s="410" customFormat="1" spans="1:23">
      <c r="A48" s="428" t="s">
        <v>230</v>
      </c>
      <c r="B48" s="431" t="s">
        <v>529</v>
      </c>
      <c r="C48" s="429" t="e">
        <f>VLOOKUP(B48,正厂竞争者数据汇总!D:H,2,FALSE)</f>
        <v>#N/A</v>
      </c>
      <c r="D48" s="421" t="e">
        <f>VLOOKUP(B48,正厂竞争者数据汇总!D:H,3,FALSE)</f>
        <v>#N/A</v>
      </c>
      <c r="E48" s="430" t="e">
        <f>VLOOKUP(B48,正厂竞争者数据汇总!D:H,4,FALSE)</f>
        <v>#N/A</v>
      </c>
      <c r="F48" s="430">
        <v>146991.25</v>
      </c>
      <c r="G48" s="430">
        <v>139665.833333333</v>
      </c>
      <c r="H48" s="430">
        <v>153151.666666667</v>
      </c>
      <c r="I48" s="453">
        <f t="shared" si="10"/>
        <v>0.0524495969546384</v>
      </c>
      <c r="J48" s="451">
        <f t="shared" si="11"/>
        <v>0.0998769999283561</v>
      </c>
      <c r="K48" s="451">
        <v>0.0923973976885076</v>
      </c>
      <c r="L48" s="451">
        <v>0.0952331462222223</v>
      </c>
      <c r="M48" s="451">
        <f t="shared" si="12"/>
        <v>0.00747960223984846</v>
      </c>
      <c r="N48" s="455"/>
      <c r="O48" s="436"/>
      <c r="P48" s="471" t="e">
        <f t="array" ref="P48">INDEX(正厂竞争者数据汇总!$I$2:$I$243,MATCH($A$42&amp;$B48,正厂竞争者数据汇总!$A$2:$A$243&amp;正厂竞争者数据汇总!$D$2:$D$243,0))</f>
        <v>#N/A</v>
      </c>
      <c r="Q48" s="434"/>
      <c r="R48" s="435"/>
      <c r="S48" s="473" t="e">
        <f>VLOOKUP(B48,正厂竞争者数据汇总!$D$2:$CL$243,25,FALSE)</f>
        <v>#N/A</v>
      </c>
      <c r="T48" s="477"/>
      <c r="U48" s="466"/>
      <c r="V48" s="435"/>
      <c r="W48" s="435"/>
    </row>
    <row r="49" s="408" customFormat="1" spans="1:23">
      <c r="A49" s="428" t="s">
        <v>230</v>
      </c>
      <c r="B49" s="431" t="s">
        <v>510</v>
      </c>
      <c r="C49" s="429" t="e">
        <f>VLOOKUP(B49,正厂竞争者数据汇总!D:H,2,FALSE)</f>
        <v>#N/A</v>
      </c>
      <c r="D49" s="421" t="e">
        <f>VLOOKUP(B49,正厂竞争者数据汇总!D:H,3,FALSE)</f>
        <v>#N/A</v>
      </c>
      <c r="E49" s="430" t="e">
        <f>VLOOKUP(B49,正厂竞争者数据汇总!D:H,4,FALSE)</f>
        <v>#N/A</v>
      </c>
      <c r="F49" s="430">
        <v>4241.80333333333</v>
      </c>
      <c r="G49" s="430">
        <v>6358.48083333334</v>
      </c>
      <c r="H49" s="430">
        <v>10766.5683333333</v>
      </c>
      <c r="I49" s="453">
        <f t="shared" si="10"/>
        <v>-0.33289044277741</v>
      </c>
      <c r="J49" s="459">
        <f t="shared" si="11"/>
        <v>0.00288220279247529</v>
      </c>
      <c r="K49" s="459">
        <v>0.00420651972089754</v>
      </c>
      <c r="L49" s="459">
        <v>0.00669489401399403</v>
      </c>
      <c r="M49" s="451">
        <f t="shared" si="12"/>
        <v>-0.00132431692842225</v>
      </c>
      <c r="N49" s="459" t="str">
        <f>IFERROR(O49*0.5/#REF!,"")</f>
        <v/>
      </c>
      <c r="O49" s="430" t="s">
        <v>180</v>
      </c>
      <c r="P49" s="471" t="e">
        <f t="array" ref="P49">INDEX(正厂竞争者数据汇总!$I$2:$I$243,MATCH($A$42&amp;$B49,正厂竞争者数据汇总!$A$2:$A$243&amp;正厂竞争者数据汇总!$D$2:$D$243,0))</f>
        <v>#N/A</v>
      </c>
      <c r="Q49" s="429"/>
      <c r="R49" s="435"/>
      <c r="S49" s="473" t="e">
        <f>VLOOKUP(B49,正厂竞争者数据汇总!$D$2:$CL$243,25,FALSE)</f>
        <v>#N/A</v>
      </c>
      <c r="T49" s="466"/>
      <c r="U49" s="466"/>
      <c r="V49" s="421"/>
      <c r="W49" s="421"/>
    </row>
    <row r="50" s="410" customFormat="1" spans="1:23">
      <c r="A50" s="432" t="s">
        <v>227</v>
      </c>
      <c r="B50" s="435" t="s">
        <v>143</v>
      </c>
      <c r="C50" s="434" t="e">
        <f>VLOOKUP(B50,正厂竞争者数据汇总!D:H,2,FALSE)</f>
        <v>#N/A</v>
      </c>
      <c r="D50" s="435" t="e">
        <f>VLOOKUP(B50,正厂竞争者数据汇总!D:H,3,FALSE)</f>
        <v>#N/A</v>
      </c>
      <c r="E50" s="436" t="e">
        <f>VLOOKUP(B50,正厂竞争者数据汇总!D:H,4,FALSE)</f>
        <v>#N/A</v>
      </c>
      <c r="F50" s="436">
        <v>0</v>
      </c>
      <c r="G50" s="436">
        <v>0</v>
      </c>
      <c r="H50" s="436">
        <v>1156.5</v>
      </c>
      <c r="I50" s="454" t="e">
        <f t="shared" si="10"/>
        <v>#DIV/0!</v>
      </c>
      <c r="J50" s="457">
        <f t="shared" si="11"/>
        <v>0</v>
      </c>
      <c r="K50" s="457">
        <v>0</v>
      </c>
      <c r="L50" s="457">
        <v>0.000719137675763676</v>
      </c>
      <c r="M50" s="456">
        <f t="shared" si="12"/>
        <v>0</v>
      </c>
      <c r="N50" s="455" t="str">
        <f>IFERROR(O50*0.5/#REF!,"")</f>
        <v/>
      </c>
      <c r="O50" s="436" t="s">
        <v>180</v>
      </c>
      <c r="P50" s="475" t="e">
        <f t="array" ref="P50">INDEX(正厂竞争者数据汇总!$I$2:$I$243,MATCH($A$42&amp;$B50,正厂竞争者数据汇总!$A$2:$A$243&amp;正厂竞争者数据汇总!$D$2:$D$243,0))</f>
        <v>#N/A</v>
      </c>
      <c r="Q50" s="434" t="s">
        <v>530</v>
      </c>
      <c r="R50" s="435" t="s">
        <v>229</v>
      </c>
      <c r="S50" s="476" t="e">
        <f>VLOOKUP(B50,正厂竞争者数据汇总!$D$2:$CL$243,25,FALSE)</f>
        <v>#N/A</v>
      </c>
      <c r="T50" s="477"/>
      <c r="U50" s="477"/>
      <c r="V50" s="435"/>
      <c r="W50" s="435"/>
    </row>
    <row r="51" s="410" customFormat="1" spans="1:23">
      <c r="A51" s="435"/>
      <c r="B51" s="435"/>
      <c r="C51" s="434"/>
      <c r="D51" s="435"/>
      <c r="E51" s="430"/>
      <c r="F51" s="430"/>
      <c r="G51" s="430"/>
      <c r="H51" s="430"/>
      <c r="I51" s="450"/>
      <c r="J51" s="457"/>
      <c r="K51" s="457"/>
      <c r="L51" s="457"/>
      <c r="M51" s="452"/>
      <c r="N51" s="455"/>
      <c r="O51" s="436"/>
      <c r="P51" s="471"/>
      <c r="Q51" s="434"/>
      <c r="R51" s="435"/>
      <c r="S51" s="473"/>
      <c r="T51" s="477"/>
      <c r="U51" s="466"/>
      <c r="V51" s="435"/>
      <c r="W51" s="435"/>
    </row>
    <row r="52" s="410" customFormat="1" spans="1:23">
      <c r="A52" s="431" t="s">
        <v>230</v>
      </c>
      <c r="B52" s="438" t="s">
        <v>531</v>
      </c>
      <c r="C52" s="429" t="str">
        <f>VLOOKUP(B52,正厂竞争者数据汇总!D:H,2,FALSE)</f>
        <v>Motor目录</v>
      </c>
      <c r="D52" s="421" t="str">
        <f>VLOOKUP(B52,正厂竞争者数据汇总!D:H,3,FALSE)</f>
        <v>MS</v>
      </c>
      <c r="E52" s="430"/>
      <c r="F52" s="430">
        <v>42709</v>
      </c>
      <c r="G52" s="430">
        <v>50380.9166666667</v>
      </c>
      <c r="H52" s="430">
        <v>51975.9166666667</v>
      </c>
      <c r="I52" s="453"/>
      <c r="J52" s="451">
        <f t="shared" ref="J52:J54" si="13">F52/F$57</f>
        <v>0.0290197327387866</v>
      </c>
      <c r="K52" s="451">
        <v>0.0333300241158592</v>
      </c>
      <c r="L52" s="451">
        <v>0.0323197923971925</v>
      </c>
      <c r="M52" s="451"/>
      <c r="N52" s="459"/>
      <c r="O52" s="430"/>
      <c r="P52" s="471" t="str">
        <f t="array" ref="P52">INDEX(正厂竞争者数据汇总!$I$2:$I$243,MATCH($A$42&amp;$B52,正厂竞争者数据汇总!$A$2:$A$243&amp;正厂竞争者数据汇总!$D$2:$D$243,0))</f>
        <v>2022年1月，同时卖正副厂零件</v>
      </c>
      <c r="Q52" s="429"/>
      <c r="R52" s="435"/>
      <c r="S52" s="473"/>
      <c r="T52" s="466"/>
      <c r="U52" s="466"/>
      <c r="V52" s="421"/>
      <c r="W52" s="421"/>
    </row>
    <row r="53" s="410" customFormat="1" spans="1:23">
      <c r="A53" s="431" t="s">
        <v>230</v>
      </c>
      <c r="B53" s="442" t="s">
        <v>532</v>
      </c>
      <c r="C53" s="429" t="e">
        <f>VLOOKUP(B53,正厂竞争者数据汇总!D:H,2,FALSE)</f>
        <v>#N/A</v>
      </c>
      <c r="D53" s="421" t="e">
        <f>VLOOKUP(B53,正厂竞争者数据汇总!D:H,3,FALSE)</f>
        <v>#N/A</v>
      </c>
      <c r="E53" s="430"/>
      <c r="F53" s="430">
        <v>120734</v>
      </c>
      <c r="G53" s="430">
        <v>108549</v>
      </c>
      <c r="H53" s="430">
        <v>109067.666666666</v>
      </c>
      <c r="I53" s="450"/>
      <c r="J53" s="451">
        <f t="shared" si="13"/>
        <v>0.0820358334890692</v>
      </c>
      <c r="K53" s="451">
        <v>0.0718117300582211</v>
      </c>
      <c r="L53" s="451">
        <v>0.0678207248660904</v>
      </c>
      <c r="M53" s="452"/>
      <c r="N53" s="455"/>
      <c r="O53" s="436"/>
      <c r="P53" s="471" t="e">
        <f t="array" ref="P53">INDEX(正厂竞争者数据汇总!$I$2:$I$243,MATCH($A$42&amp;$B53,正厂竞争者数据汇总!$A$2:$A$243&amp;正厂竞争者数据汇总!$D$2:$D$243,0))</f>
        <v>#N/A</v>
      </c>
      <c r="Q53" s="434"/>
      <c r="R53" s="435"/>
      <c r="S53" s="473"/>
      <c r="T53" s="477"/>
      <c r="U53" s="466"/>
      <c r="V53" s="435"/>
      <c r="W53" s="435"/>
    </row>
    <row r="54" s="410" customFormat="1" spans="1:23">
      <c r="A54" s="431" t="s">
        <v>230</v>
      </c>
      <c r="B54" s="438" t="s">
        <v>533</v>
      </c>
      <c r="C54" s="429" t="str">
        <f>VLOOKUP(B54,正厂竞争者数据汇总!D:H,2,FALSE)</f>
        <v>-</v>
      </c>
      <c r="D54" s="421" t="str">
        <f>VLOOKUP(B54,正厂竞争者数据汇总!D:H,3,FALSE)</f>
        <v>AZ</v>
      </c>
      <c r="E54" s="430"/>
      <c r="F54" s="430">
        <v>38491.5</v>
      </c>
      <c r="G54" s="430">
        <v>30026</v>
      </c>
      <c r="H54" s="430">
        <v>26637.75</v>
      </c>
      <c r="I54" s="453"/>
      <c r="J54" s="451">
        <f t="shared" si="13"/>
        <v>0.0261540434736239</v>
      </c>
      <c r="K54" s="451">
        <v>0.0198640153914651</v>
      </c>
      <c r="L54" s="451">
        <v>0.0165639512516851</v>
      </c>
      <c r="M54" s="451"/>
      <c r="N54" s="459"/>
      <c r="O54" s="430"/>
      <c r="P54" s="471">
        <f t="array" ref="P54">INDEX(正厂竞争者数据汇总!$I$2:$I$243,MATCH($A$42&amp;$B54,正厂竞争者数据汇总!$A$2:$A$243&amp;正厂竞争者数据汇总!$D$2:$D$243,0))</f>
        <v>0</v>
      </c>
      <c r="Q54" s="429"/>
      <c r="R54" s="435"/>
      <c r="S54" s="473"/>
      <c r="T54" s="466"/>
      <c r="U54" s="466"/>
      <c r="V54" s="421"/>
      <c r="W54" s="421"/>
    </row>
    <row r="55" s="410" customFormat="1" ht="17.4" spans="1:23">
      <c r="A55" s="421" t="s">
        <v>475</v>
      </c>
      <c r="B55" s="438" t="s">
        <v>534</v>
      </c>
      <c r="C55" s="429" t="str">
        <f>VLOOKUP(B55,正厂竞争者数据汇总!D:H,2,FALSE)</f>
        <v>原厂目录</v>
      </c>
      <c r="D55" s="421" t="str">
        <f>VLOOKUP(B55,正厂竞争者数据汇总!D:H,3,FALSE)</f>
        <v>-</v>
      </c>
      <c r="E55" s="430">
        <f>VLOOKUP(B55,正厂竞争者数据汇总!D:H,4,FALSE)</f>
        <v>0</v>
      </c>
      <c r="F55" s="430">
        <v>1665750</v>
      </c>
      <c r="G55" s="430">
        <v>1319500</v>
      </c>
      <c r="H55" s="430">
        <v>810325.000000002</v>
      </c>
      <c r="I55" s="453"/>
      <c r="J55" s="463"/>
      <c r="K55" s="463"/>
      <c r="L55" s="463"/>
      <c r="M55" s="451"/>
      <c r="N55" s="459" t="str">
        <f>IFERROR(O55*0.5/#REF!,"")</f>
        <v/>
      </c>
      <c r="O55" s="430" t="s">
        <v>180</v>
      </c>
      <c r="P55" s="471" t="str">
        <f t="array" ref="P55">INDEX(正厂竞争者数据汇总!$I$2:$I$243,MATCH($A$42&amp;$B55,正厂竞争者数据汇总!$A$2:$A$243&amp;正厂竞争者数据汇总!$D$2:$D$243,0))</f>
        <v>Toyota 卖零件的官网</v>
      </c>
      <c r="Q55" s="429" t="s">
        <v>180</v>
      </c>
      <c r="R55" s="435" t="s">
        <v>180</v>
      </c>
      <c r="S55" s="473">
        <f>VLOOKUP(B55,正厂竞争者数据汇总!$D$2:$CL$243,25,FALSE)</f>
        <v>1</v>
      </c>
      <c r="T55" s="466"/>
      <c r="U55" s="466"/>
      <c r="V55" s="421"/>
      <c r="W55" s="421"/>
    </row>
    <row r="56" s="410" customFormat="1" spans="1:23">
      <c r="A56" s="428"/>
      <c r="B56" s="438"/>
      <c r="C56" s="429"/>
      <c r="D56" s="421"/>
      <c r="E56" s="430"/>
      <c r="F56" s="430"/>
      <c r="G56" s="430"/>
      <c r="H56" s="430"/>
      <c r="I56" s="453"/>
      <c r="J56" s="463"/>
      <c r="K56" s="463"/>
      <c r="L56" s="463"/>
      <c r="M56" s="451"/>
      <c r="N56" s="459"/>
      <c r="O56" s="430"/>
      <c r="P56" s="471"/>
      <c r="Q56" s="429"/>
      <c r="R56" s="435"/>
      <c r="S56" s="473"/>
      <c r="T56" s="466"/>
      <c r="U56" s="466"/>
      <c r="V56" s="421"/>
      <c r="W56" s="421"/>
    </row>
    <row r="57" s="408" customFormat="1" spans="1:23">
      <c r="A57" s="428"/>
      <c r="B57" s="421"/>
      <c r="C57" s="439"/>
      <c r="D57" s="421"/>
      <c r="E57" s="430"/>
      <c r="F57" s="430">
        <v>1471722.72</v>
      </c>
      <c r="G57" s="430">
        <v>1511577.56416667</v>
      </c>
      <c r="H57" s="430">
        <v>1608176.06833333</v>
      </c>
      <c r="I57" s="453">
        <f t="shared" ref="I57:I70" si="14">(F57/G57)-1</f>
        <v>-0.0263663903933649</v>
      </c>
      <c r="J57" s="430"/>
      <c r="K57" s="430"/>
      <c r="L57" s="430"/>
      <c r="M57" s="451"/>
      <c r="N57" s="459"/>
      <c r="O57" s="430"/>
      <c r="P57" s="471"/>
      <c r="Q57" s="429" t="s">
        <v>180</v>
      </c>
      <c r="R57" s="421"/>
      <c r="S57" s="473"/>
      <c r="T57" s="466"/>
      <c r="U57" s="466"/>
      <c r="V57" s="421"/>
      <c r="W57" s="421"/>
    </row>
    <row r="58" s="408" customFormat="1" spans="1:23">
      <c r="A58" s="428"/>
      <c r="B58" s="421"/>
      <c r="C58" s="439"/>
      <c r="D58" s="421"/>
      <c r="E58" s="430"/>
      <c r="F58" s="430"/>
      <c r="G58" s="430"/>
      <c r="H58" s="430"/>
      <c r="I58" s="453"/>
      <c r="J58" s="430"/>
      <c r="K58" s="430"/>
      <c r="L58" s="430"/>
      <c r="M58" s="451"/>
      <c r="N58" s="451"/>
      <c r="O58" s="430"/>
      <c r="P58" s="471"/>
      <c r="Q58" s="429"/>
      <c r="R58" s="421"/>
      <c r="S58" s="473"/>
      <c r="T58" s="466"/>
      <c r="U58" s="466"/>
      <c r="V58" s="421"/>
      <c r="W58" s="421"/>
    </row>
    <row r="59" s="408" customFormat="1" ht="17.4" spans="1:23">
      <c r="A59" s="418" t="s">
        <v>149</v>
      </c>
      <c r="B59" s="419"/>
      <c r="C59" s="420"/>
      <c r="D59" s="421"/>
      <c r="E59" s="422" t="s">
        <v>202</v>
      </c>
      <c r="F59" s="422"/>
      <c r="G59" s="422"/>
      <c r="H59" s="422"/>
      <c r="I59" s="422"/>
      <c r="J59" s="422"/>
      <c r="K59" s="422"/>
      <c r="L59" s="422"/>
      <c r="M59" s="443"/>
      <c r="N59" s="444"/>
      <c r="O59" s="422"/>
      <c r="P59" s="471"/>
      <c r="Q59" s="465"/>
      <c r="R59" s="424"/>
      <c r="S59" s="473"/>
      <c r="T59" s="467"/>
      <c r="U59" s="467"/>
      <c r="V59" s="467"/>
      <c r="W59" s="467"/>
    </row>
    <row r="60" s="409" customFormat="1" ht="46.8" spans="1:23">
      <c r="A60" s="423" t="s">
        <v>206</v>
      </c>
      <c r="B60" s="424" t="s">
        <v>207</v>
      </c>
      <c r="C60" s="425" t="s">
        <v>208</v>
      </c>
      <c r="D60" s="424" t="s">
        <v>209</v>
      </c>
      <c r="E60" s="426" t="s">
        <v>210</v>
      </c>
      <c r="F60" s="427" t="s">
        <v>213</v>
      </c>
      <c r="G60" s="427" t="s">
        <v>396</v>
      </c>
      <c r="H60" s="427" t="s">
        <v>496</v>
      </c>
      <c r="I60" s="427" t="s">
        <v>497</v>
      </c>
      <c r="J60" s="446" t="s">
        <v>217</v>
      </c>
      <c r="K60" s="446" t="s">
        <v>387</v>
      </c>
      <c r="L60" s="446" t="s">
        <v>390</v>
      </c>
      <c r="M60" s="447" t="s">
        <v>498</v>
      </c>
      <c r="N60" s="448" t="s">
        <v>219</v>
      </c>
      <c r="O60" s="449" t="s">
        <v>220</v>
      </c>
      <c r="P60" s="468" t="s">
        <v>221</v>
      </c>
      <c r="Q60" s="469" t="s">
        <v>222</v>
      </c>
      <c r="R60" s="426" t="s">
        <v>223</v>
      </c>
      <c r="S60" s="470" t="s">
        <v>224</v>
      </c>
      <c r="T60" s="467" t="s">
        <v>225</v>
      </c>
      <c r="U60" s="470" t="s">
        <v>226</v>
      </c>
      <c r="V60" s="467"/>
      <c r="W60" s="467"/>
    </row>
    <row r="61" s="410" customFormat="1" ht="34.8" spans="1:23">
      <c r="A61" s="432" t="s">
        <v>227</v>
      </c>
      <c r="B61" s="433" t="s">
        <v>535</v>
      </c>
      <c r="C61" s="434" t="e">
        <f>VLOOKUP(B61,正厂竞争者数据汇总!D:H,2,FALSE)</f>
        <v>#N/A</v>
      </c>
      <c r="D61" s="435" t="e">
        <f>VLOOKUP(B61,正厂竞争者数据汇总!D:H,3,FALSE)</f>
        <v>#N/A</v>
      </c>
      <c r="E61" s="436" t="e">
        <f>VLOOKUP(B61,正厂竞争者数据汇总!D:H,4,FALSE)</f>
        <v>#N/A</v>
      </c>
      <c r="F61" s="436">
        <v>521458.083333333</v>
      </c>
      <c r="G61" s="436">
        <v>566477.333333333</v>
      </c>
      <c r="H61" s="436">
        <v>589100.083333333</v>
      </c>
      <c r="I61" s="454">
        <f t="shared" si="14"/>
        <v>-0.0794722883881203</v>
      </c>
      <c r="J61" s="455">
        <f t="shared" ref="J61:J70" si="15">F61/F$77</f>
        <v>0.355076451443854</v>
      </c>
      <c r="K61" s="455">
        <v>0.372798507457305</v>
      </c>
      <c r="L61" s="455">
        <v>0.368016500505677</v>
      </c>
      <c r="M61" s="456">
        <f t="shared" ref="M61:M70" si="16">J61-K61</f>
        <v>-0.0177220560134509</v>
      </c>
      <c r="N61" s="457" t="str">
        <f t="shared" ref="N61:N66" si="17">IFERROR(O61*0.5/F$64,"")</f>
        <v/>
      </c>
      <c r="O61" s="436" t="s">
        <v>180</v>
      </c>
      <c r="P61" s="475" t="e">
        <f t="array" ref="P61">INDEX(正厂竞争者数据汇总!$I$2:$I$243,MATCH($A$59&amp;$B61,正厂竞争者数据汇总!$A$2:$A$243&amp;正厂竞争者数据汇总!$D$2:$D$243,0))</f>
        <v>#N/A</v>
      </c>
      <c r="Q61" s="434" t="s">
        <v>259</v>
      </c>
      <c r="R61" s="435" t="s">
        <v>229</v>
      </c>
      <c r="S61" s="476" t="e">
        <f>VLOOKUP(B61,正厂竞争者数据汇总!$D$2:$CL$243,25,FALSE)</f>
        <v>#N/A</v>
      </c>
      <c r="T61" s="477" t="s">
        <v>405</v>
      </c>
      <c r="U61" s="477"/>
      <c r="V61" s="477"/>
      <c r="W61" s="477"/>
    </row>
    <row r="62" s="408" customFormat="1" spans="1:23">
      <c r="A62" s="428" t="s">
        <v>230</v>
      </c>
      <c r="B62" s="438" t="s">
        <v>507</v>
      </c>
      <c r="C62" s="429" t="e">
        <f>VLOOKUP(B62,正厂竞争者数据汇总!D:H,2,FALSE)</f>
        <v>#N/A</v>
      </c>
      <c r="D62" s="421" t="e">
        <f>VLOOKUP(B62,正厂竞争者数据汇总!D:H,3,FALSE)</f>
        <v>#N/A</v>
      </c>
      <c r="E62" s="430" t="e">
        <f>VLOOKUP(B62,正厂竞争者数据汇总!D:H,4,FALSE)</f>
        <v>#N/A</v>
      </c>
      <c r="F62" s="430">
        <v>232502.159166667</v>
      </c>
      <c r="G62" s="430">
        <v>210520.763333333</v>
      </c>
      <c r="H62" s="430">
        <v>219033.640833333</v>
      </c>
      <c r="I62" s="453">
        <f t="shared" si="14"/>
        <v>0.104414384050704</v>
      </c>
      <c r="J62" s="451">
        <f t="shared" si="15"/>
        <v>0.158317694688341</v>
      </c>
      <c r="K62" s="451">
        <v>0.138543630506144</v>
      </c>
      <c r="L62" s="451">
        <v>0.136832426735356</v>
      </c>
      <c r="M62" s="451">
        <f t="shared" si="16"/>
        <v>0.0197740641821973</v>
      </c>
      <c r="N62" s="451"/>
      <c r="O62" s="430"/>
      <c r="P62" s="471" t="e">
        <f t="array" ref="P62">INDEX(正厂竞争者数据汇总!$I$2:$I$243,MATCH($A$59&amp;$B62,正厂竞争者数据汇总!$A$2:$A$243&amp;正厂竞争者数据汇总!$D$2:$D$243,0))</f>
        <v>#N/A</v>
      </c>
      <c r="Q62" s="429"/>
      <c r="R62" s="435"/>
      <c r="S62" s="473"/>
      <c r="T62" s="466"/>
      <c r="U62" s="466"/>
      <c r="V62" s="421"/>
      <c r="W62" s="421"/>
    </row>
    <row r="63" s="410" customFormat="1" spans="1:23">
      <c r="A63" s="428" t="s">
        <v>230</v>
      </c>
      <c r="B63" s="431" t="s">
        <v>536</v>
      </c>
      <c r="C63" s="429" t="e">
        <f>VLOOKUP(B63,正厂竞争者数据汇总!D:H,2,FALSE)</f>
        <v>#N/A</v>
      </c>
      <c r="D63" s="421" t="e">
        <f>VLOOKUP(B63,正厂竞争者数据汇总!D:H,3,FALSE)</f>
        <v>#N/A</v>
      </c>
      <c r="E63" s="430" t="e">
        <f>VLOOKUP(B63,正厂竞争者数据汇总!D:H,4,FALSE)</f>
        <v>#N/A</v>
      </c>
      <c r="F63" s="430">
        <v>223112.25</v>
      </c>
      <c r="G63" s="430">
        <v>215601.333333333</v>
      </c>
      <c r="H63" s="430">
        <v>206439.333333333</v>
      </c>
      <c r="I63" s="453">
        <f t="shared" si="14"/>
        <v>0.03483706037687</v>
      </c>
      <c r="J63" s="451">
        <f t="shared" si="15"/>
        <v>0.151923823861817</v>
      </c>
      <c r="K63" s="451">
        <v>0.141887151599719</v>
      </c>
      <c r="L63" s="451">
        <v>0.128964641441189</v>
      </c>
      <c r="M63" s="451">
        <f t="shared" si="16"/>
        <v>0.0100366722620981</v>
      </c>
      <c r="N63" s="455"/>
      <c r="O63" s="436"/>
      <c r="P63" s="471" t="e">
        <f t="array" ref="P63">INDEX(正厂竞争者数据汇总!$I$2:$I$243,MATCH($A$59&amp;$B63,正厂竞争者数据汇总!$A$2:$A$243&amp;正厂竞争者数据汇总!$D$2:$D$243,0))</f>
        <v>#N/A</v>
      </c>
      <c r="Q63" s="434"/>
      <c r="R63" s="435"/>
      <c r="S63" s="473" t="e">
        <f>VLOOKUP(B63,正厂竞争者数据汇总!$D$2:$CL$243,25,FALSE)</f>
        <v>#N/A</v>
      </c>
      <c r="T63" s="477"/>
      <c r="U63" s="466"/>
      <c r="V63" s="435"/>
      <c r="W63" s="435"/>
    </row>
    <row r="64" s="410" customFormat="1" spans="1:23">
      <c r="A64" s="428" t="s">
        <v>243</v>
      </c>
      <c r="B64" s="431" t="s">
        <v>537</v>
      </c>
      <c r="C64" s="429" t="e">
        <f>VLOOKUP(B64,正厂竞争者数据汇总!D:H,2,FALSE)</f>
        <v>#N/A</v>
      </c>
      <c r="D64" s="421" t="s">
        <v>266</v>
      </c>
      <c r="E64" s="430" t="e">
        <f>VLOOKUP(B64,正厂竞争者数据汇总!D:H,4,FALSE)</f>
        <v>#N/A</v>
      </c>
      <c r="F64" s="430">
        <v>116164.583333333</v>
      </c>
      <c r="G64" s="430">
        <v>118695.083333333</v>
      </c>
      <c r="H64" s="430">
        <v>134109.583333333</v>
      </c>
      <c r="I64" s="453">
        <f t="shared" si="14"/>
        <v>-0.0213193329406371</v>
      </c>
      <c r="J64" s="451">
        <f t="shared" si="15"/>
        <v>0.0790999494528635</v>
      </c>
      <c r="K64" s="451">
        <v>0.0781131870693037</v>
      </c>
      <c r="L64" s="451">
        <v>0.083779549416022</v>
      </c>
      <c r="M64" s="451">
        <f t="shared" si="16"/>
        <v>0.000986762383559839</v>
      </c>
      <c r="N64" s="451" t="str">
        <f t="shared" si="17"/>
        <v/>
      </c>
      <c r="O64" s="430" t="s">
        <v>180</v>
      </c>
      <c r="P64" s="471" t="e">
        <f t="array" ref="P64">INDEX(正厂竞争者数据汇总!$I$2:$I$243,MATCH($A$59&amp;$B64,正厂竞争者数据汇总!$A$2:$A$243&amp;正厂竞争者数据汇总!$D$2:$D$243,0))</f>
        <v>#N/A</v>
      </c>
      <c r="Q64" s="429" t="s">
        <v>180</v>
      </c>
      <c r="R64" s="435" t="s">
        <v>180</v>
      </c>
      <c r="S64" s="473" t="e">
        <f>VLOOKUP(B64,正厂竞争者数据汇总!$D$2:$CL$243,25,FALSE)</f>
        <v>#N/A</v>
      </c>
      <c r="T64" s="466"/>
      <c r="U64" s="466"/>
      <c r="V64" s="421"/>
      <c r="W64" s="421"/>
    </row>
    <row r="65" s="408" customFormat="1" spans="1:23">
      <c r="A65" s="428" t="s">
        <v>230</v>
      </c>
      <c r="B65" s="438" t="s">
        <v>538</v>
      </c>
      <c r="C65" s="429" t="e">
        <f>VLOOKUP(B65,正厂竞争者数据汇总!D:H,2,FALSE)</f>
        <v>#N/A</v>
      </c>
      <c r="D65" s="421" t="e">
        <f>VLOOKUP(B65,正厂竞争者数据汇总!D:H,3,FALSE)</f>
        <v>#N/A</v>
      </c>
      <c r="E65" s="430"/>
      <c r="F65" s="430">
        <v>158280.583333333</v>
      </c>
      <c r="G65" s="430">
        <v>162083.25</v>
      </c>
      <c r="H65" s="430">
        <v>142559.083333333</v>
      </c>
      <c r="I65" s="453">
        <f t="shared" si="14"/>
        <v>-0.0234611945815931</v>
      </c>
      <c r="J65" s="451">
        <f t="shared" si="15"/>
        <v>0.107777997232689</v>
      </c>
      <c r="K65" s="451">
        <v>0.106666922272552</v>
      </c>
      <c r="L65" s="451">
        <v>0.0890580335123538</v>
      </c>
      <c r="M65" s="451">
        <f t="shared" si="16"/>
        <v>0.00111107496013667</v>
      </c>
      <c r="N65" s="451"/>
      <c r="O65" s="430"/>
      <c r="P65" s="471" t="e">
        <f t="array" ref="P65">INDEX(正厂竞争者数据汇总!$I$2:$I$243,MATCH($A$59&amp;$B65,正厂竞争者数据汇总!$A$2:$A$243&amp;正厂竞争者数据汇总!$D$2:$D$243,0))</f>
        <v>#N/A</v>
      </c>
      <c r="Q65" s="429"/>
      <c r="R65" s="435"/>
      <c r="S65" s="473"/>
      <c r="T65" s="466"/>
      <c r="U65" s="466"/>
      <c r="V65" s="421"/>
      <c r="W65" s="421"/>
    </row>
    <row r="66" s="408" customFormat="1" spans="1:23">
      <c r="A66" s="428" t="s">
        <v>243</v>
      </c>
      <c r="B66" s="438" t="s">
        <v>539</v>
      </c>
      <c r="C66" s="429" t="e">
        <f>VLOOKUP(B66,正厂竞争者数据汇总!D:H,2,FALSE)</f>
        <v>#N/A</v>
      </c>
      <c r="D66" s="421" t="e">
        <f>VLOOKUP(B66,正厂竞争者数据汇总!D:H,3,FALSE)</f>
        <v>#N/A</v>
      </c>
      <c r="E66" s="430" t="e">
        <f>VLOOKUP(B66,正厂竞争者数据汇总!D:H,4,FALSE)</f>
        <v>#N/A</v>
      </c>
      <c r="F66" s="430">
        <v>50840.25</v>
      </c>
      <c r="G66" s="430">
        <v>59824.25</v>
      </c>
      <c r="H66" s="430">
        <v>80035.9166666668</v>
      </c>
      <c r="I66" s="453">
        <f t="shared" si="14"/>
        <v>-0.15017321571102</v>
      </c>
      <c r="J66" s="459">
        <f t="shared" si="15"/>
        <v>0.0346186513115741</v>
      </c>
      <c r="K66" s="459">
        <v>0.0393703150989613</v>
      </c>
      <c r="L66" s="459">
        <v>0.0499992086230351</v>
      </c>
      <c r="M66" s="451">
        <f t="shared" si="16"/>
        <v>-0.00475166378738721</v>
      </c>
      <c r="N66" s="451" t="str">
        <f t="shared" si="17"/>
        <v/>
      </c>
      <c r="O66" s="430" t="s">
        <v>180</v>
      </c>
      <c r="P66" s="471" t="e">
        <f t="array" ref="P66">INDEX(正厂竞争者数据汇总!$I$2:$I$243,MATCH($A$59&amp;$B66,正厂竞争者数据汇总!$A$2:$A$243&amp;正厂竞争者数据汇总!$D$2:$D$243,0))</f>
        <v>#N/A</v>
      </c>
      <c r="Q66" s="429" t="s">
        <v>180</v>
      </c>
      <c r="R66" s="435" t="s">
        <v>180</v>
      </c>
      <c r="S66" s="473" t="e">
        <f>VLOOKUP(B66,正厂竞争者数据汇总!$D$2:$CL$243,25,FALSE)</f>
        <v>#N/A</v>
      </c>
      <c r="T66" s="466"/>
      <c r="U66" s="466"/>
      <c r="V66" s="421"/>
      <c r="W66" s="421"/>
    </row>
    <row r="67" s="408" customFormat="1" spans="1:23">
      <c r="A67" s="428" t="s">
        <v>243</v>
      </c>
      <c r="B67" s="438" t="s">
        <v>540</v>
      </c>
      <c r="C67" s="429" t="e">
        <f>VLOOKUP(B67,正厂竞争者数据汇总!D:H,2,FALSE)</f>
        <v>#N/A</v>
      </c>
      <c r="D67" s="421" t="e">
        <f>VLOOKUP(B67,正厂竞争者数据汇总!D:H,3,FALSE)</f>
        <v>#N/A</v>
      </c>
      <c r="E67" s="430"/>
      <c r="F67" s="430">
        <v>67811.5</v>
      </c>
      <c r="G67" s="430">
        <v>76239.6666666665</v>
      </c>
      <c r="H67" s="430">
        <v>93100.5833333332</v>
      </c>
      <c r="I67" s="453">
        <f t="shared" si="14"/>
        <v>-0.110548314744291</v>
      </c>
      <c r="J67" s="451">
        <f t="shared" si="15"/>
        <v>0.0461748845337072</v>
      </c>
      <c r="K67" s="451">
        <v>0.0501732942695719</v>
      </c>
      <c r="L67" s="451">
        <v>0.0581608318224995</v>
      </c>
      <c r="M67" s="451">
        <f t="shared" si="16"/>
        <v>-0.00399840973586472</v>
      </c>
      <c r="N67" s="451"/>
      <c r="O67" s="430"/>
      <c r="P67" s="471" t="e">
        <f t="array" ref="P67">INDEX(正厂竞争者数据汇总!$I$2:$I$243,MATCH($A$59&amp;$B67,正厂竞争者数据汇总!$A$2:$A$243&amp;正厂竞争者数据汇总!$D$2:$D$243,0))</f>
        <v>#N/A</v>
      </c>
      <c r="Q67" s="429"/>
      <c r="R67" s="435"/>
      <c r="S67" s="473"/>
      <c r="T67" s="466"/>
      <c r="U67" s="466"/>
      <c r="V67" s="421"/>
      <c r="W67" s="421"/>
    </row>
    <row r="68" s="408" customFormat="1" spans="1:23">
      <c r="A68" s="428" t="s">
        <v>230</v>
      </c>
      <c r="B68" s="438" t="s">
        <v>541</v>
      </c>
      <c r="C68" s="429" t="str">
        <f>VLOOKUP(B68,正厂竞争者数据汇总!D:H,2,FALSE)</f>
        <v>原厂目录</v>
      </c>
      <c r="D68" s="421" t="str">
        <f>VLOOKUP(B68,正厂竞争者数据汇总!D:H,3,FALSE)</f>
        <v>NY</v>
      </c>
      <c r="E68" s="430">
        <f>VLOOKUP(B68,正厂竞争者数据汇总!D:H,4,FALSE)</f>
        <v>0</v>
      </c>
      <c r="F68" s="430">
        <v>29753</v>
      </c>
      <c r="G68" s="430">
        <v>34372</v>
      </c>
      <c r="H68" s="430">
        <v>43507.3333333334</v>
      </c>
      <c r="I68" s="453">
        <f t="shared" si="14"/>
        <v>-0.134382637030141</v>
      </c>
      <c r="J68" s="451">
        <f t="shared" si="15"/>
        <v>0.0202597102192311</v>
      </c>
      <c r="K68" s="451">
        <v>0.0226201995107586</v>
      </c>
      <c r="L68" s="451">
        <v>0.0271794505087645</v>
      </c>
      <c r="M68" s="451">
        <f t="shared" si="16"/>
        <v>-0.0023604892915275</v>
      </c>
      <c r="N68" s="451" t="str">
        <f>IFERROR(O68*0.5/F$64,"")</f>
        <v/>
      </c>
      <c r="O68" s="430" t="s">
        <v>180</v>
      </c>
      <c r="P68" s="471" t="str">
        <f t="array" ref="P68">INDEX(正厂竞争者数据汇总!$I$2:$I$243,MATCH($A$59&amp;$B68,正厂竞争者数据汇总!$A$2:$A$243&amp;正厂竞争者数据汇总!$D$2:$D$243,0))</f>
        <v>2023年2月加入MarketingShare</v>
      </c>
      <c r="Q68" s="429" t="s">
        <v>180</v>
      </c>
      <c r="R68" s="435" t="s">
        <v>180</v>
      </c>
      <c r="S68" s="473">
        <f>VLOOKUP(B68,正厂竞争者数据汇总!$D$2:$CL$243,25,FALSE)</f>
        <v>0</v>
      </c>
      <c r="T68" s="466"/>
      <c r="U68" s="466"/>
      <c r="V68" s="421"/>
      <c r="W68" s="421"/>
    </row>
    <row r="69" s="410" customFormat="1" spans="1:23">
      <c r="A69" s="428" t="s">
        <v>230</v>
      </c>
      <c r="B69" s="438" t="s">
        <v>508</v>
      </c>
      <c r="C69" s="429" t="e">
        <f>VLOOKUP(B69,正厂竞争者数据汇总!D:H,2,FALSE)</f>
        <v>#N/A</v>
      </c>
      <c r="D69" s="421" t="e">
        <f>VLOOKUP(B69,正厂竞争者数据汇总!D:H,3,FALSE)</f>
        <v>#N/A</v>
      </c>
      <c r="E69" s="430" t="e">
        <f>VLOOKUP(B66,正厂竞争者数据汇总!D:H,4,FALSE)</f>
        <v>#N/A</v>
      </c>
      <c r="F69" s="430">
        <v>29531.0825</v>
      </c>
      <c r="G69" s="430">
        <v>27177.6475</v>
      </c>
      <c r="H69" s="430">
        <v>26283.1116666666</v>
      </c>
      <c r="I69" s="453">
        <f t="shared" si="14"/>
        <v>0.0865945074900247</v>
      </c>
      <c r="J69" s="451">
        <f t="shared" si="15"/>
        <v>0.0201085999364839</v>
      </c>
      <c r="K69" s="451">
        <v>0.0178855989957835</v>
      </c>
      <c r="L69" s="451">
        <v>0.0164193132060609</v>
      </c>
      <c r="M69" s="451">
        <f t="shared" si="16"/>
        <v>0.00222300094070044</v>
      </c>
      <c r="N69" s="455"/>
      <c r="O69" s="436"/>
      <c r="P69" s="471" t="e">
        <f t="array" ref="P69">INDEX(正厂竞争者数据汇总!$I$2:$I$243,MATCH($A$59&amp;$B69,正厂竞争者数据汇总!$A$2:$A$243&amp;正厂竞争者数据汇总!$D$2:$D$243,0))</f>
        <v>#N/A</v>
      </c>
      <c r="Q69" s="434"/>
      <c r="R69" s="435"/>
      <c r="S69" s="473" t="e">
        <f>VLOOKUP(B69,正厂竞争者数据汇总!$D$2:$CL$243,25,FALSE)</f>
        <v>#N/A</v>
      </c>
      <c r="T69" s="477"/>
      <c r="U69" s="466"/>
      <c r="V69" s="435"/>
      <c r="W69" s="435"/>
    </row>
    <row r="70" s="408" customFormat="1" spans="1:23">
      <c r="A70" s="428" t="s">
        <v>230</v>
      </c>
      <c r="B70" s="438" t="s">
        <v>542</v>
      </c>
      <c r="C70" s="429" t="e">
        <f>VLOOKUP(B70,正厂竞争者数据汇总!D:H,2,FALSE)</f>
        <v>#N/A</v>
      </c>
      <c r="D70" s="421" t="e">
        <f>VLOOKUP(B70,正厂竞争者数据汇总!D:H,3,FALSE)</f>
        <v>#N/A</v>
      </c>
      <c r="E70" s="430"/>
      <c r="F70" s="430">
        <v>39126.25</v>
      </c>
      <c r="G70" s="430">
        <v>48535.5</v>
      </c>
      <c r="H70" s="430">
        <v>66575</v>
      </c>
      <c r="I70" s="453">
        <f t="shared" si="14"/>
        <v>-0.193863254731073</v>
      </c>
      <c r="J70" s="451">
        <f t="shared" si="15"/>
        <v>0.0266422373194364</v>
      </c>
      <c r="K70" s="451">
        <v>0.0319411932199006</v>
      </c>
      <c r="L70" s="451">
        <v>0.0415900442290416</v>
      </c>
      <c r="M70" s="451">
        <f t="shared" si="16"/>
        <v>-0.00529895590046421</v>
      </c>
      <c r="N70" s="451"/>
      <c r="O70" s="430"/>
      <c r="P70" s="471" t="e">
        <f t="array" ref="P70">INDEX(正厂竞争者数据汇总!$I$2:$I$243,MATCH($A$59&amp;$B70,正厂竞争者数据汇总!$A$2:$A$243&amp;正厂竞争者数据汇总!$D$2:$D$243,0))</f>
        <v>#N/A</v>
      </c>
      <c r="Q70" s="429"/>
      <c r="R70" s="435"/>
      <c r="S70" s="473"/>
      <c r="T70" s="466"/>
      <c r="U70" s="466"/>
      <c r="V70" s="421"/>
      <c r="W70" s="421"/>
    </row>
    <row r="71" s="408" customFormat="1" spans="1:23">
      <c r="A71" s="428"/>
      <c r="B71" s="438"/>
      <c r="C71" s="429"/>
      <c r="D71" s="421"/>
      <c r="E71" s="430"/>
      <c r="F71" s="430"/>
      <c r="G71" s="430"/>
      <c r="H71" s="430"/>
      <c r="I71" s="453"/>
      <c r="J71" s="451"/>
      <c r="K71" s="451"/>
      <c r="L71" s="451"/>
      <c r="M71" s="451"/>
      <c r="N71" s="451"/>
      <c r="O71" s="430"/>
      <c r="P71" s="471"/>
      <c r="Q71" s="429"/>
      <c r="R71" s="435"/>
      <c r="S71" s="473"/>
      <c r="T71" s="466"/>
      <c r="U71" s="466"/>
      <c r="V71" s="421"/>
      <c r="W71" s="421"/>
    </row>
    <row r="72" s="408" customFormat="1" spans="1:23">
      <c r="A72" s="428" t="s">
        <v>230</v>
      </c>
      <c r="B72" s="438" t="s">
        <v>543</v>
      </c>
      <c r="C72" s="429" t="e">
        <f>VLOOKUP(B72,正厂竞争者数据汇总!D:H,2,FALSE)</f>
        <v>#N/A</v>
      </c>
      <c r="D72" s="421" t="e">
        <f>VLOOKUP(B72,正厂竞争者数据汇总!D:H,3,FALSE)</f>
        <v>#N/A</v>
      </c>
      <c r="E72" s="430"/>
      <c r="F72" s="430">
        <v>119535.416666667</v>
      </c>
      <c r="G72" s="430">
        <v>120881.083333333</v>
      </c>
      <c r="H72" s="430">
        <v>106001.916666667</v>
      </c>
      <c r="I72" s="453"/>
      <c r="J72" s="451">
        <f>F72/F$77</f>
        <v>0.081395250986513</v>
      </c>
      <c r="K72" s="451">
        <v>0.0795517927986916</v>
      </c>
      <c r="L72" s="451">
        <v>0.0662204191142301</v>
      </c>
      <c r="M72" s="451"/>
      <c r="N72" s="451"/>
      <c r="O72" s="430"/>
      <c r="P72" s="471" t="e">
        <f t="array" ref="P72">INDEX(正厂竞争者数据汇总!$I$2:$I$243,MATCH($A$59&amp;$B72,正厂竞争者数据汇总!$A$2:$A$243&amp;正厂竞争者数据汇总!$D$2:$D$243,0))</f>
        <v>#N/A</v>
      </c>
      <c r="Q72" s="429"/>
      <c r="R72" s="435"/>
      <c r="S72" s="473"/>
      <c r="T72" s="466"/>
      <c r="U72" s="466"/>
      <c r="V72" s="421"/>
      <c r="W72" s="421"/>
    </row>
    <row r="73" s="410" customFormat="1" spans="1:23">
      <c r="A73" s="428" t="s">
        <v>230</v>
      </c>
      <c r="B73" s="431" t="s">
        <v>524</v>
      </c>
      <c r="C73" s="429" t="e">
        <f>VLOOKUP(B73,正厂竞争者数据汇总!D:H,2,FALSE)</f>
        <v>#N/A</v>
      </c>
      <c r="D73" s="421" t="e">
        <f>VLOOKUP(B73,正厂竞争者数据汇总!D:H,3,FALSE)</f>
        <v>#N/A</v>
      </c>
      <c r="E73" s="430"/>
      <c r="F73" s="430">
        <v>51634.1</v>
      </c>
      <c r="G73" s="430">
        <v>42568.7966666667</v>
      </c>
      <c r="H73" s="430">
        <v>48551.79</v>
      </c>
      <c r="I73" s="453"/>
      <c r="J73" s="451">
        <f>F73/F$77</f>
        <v>0.0351592075901859</v>
      </c>
      <c r="K73" s="451">
        <v>0.0280145081325764</v>
      </c>
      <c r="L73" s="451">
        <v>0.0303307712129049</v>
      </c>
      <c r="M73" s="451"/>
      <c r="N73" s="455"/>
      <c r="O73" s="436"/>
      <c r="P73" s="471" t="e">
        <f t="array" ref="P73">INDEX(正厂竞争者数据汇总!$I$2:$I$243,MATCH($A$59&amp;$B73,正厂竞争者数据汇总!$A$2:$A$243&amp;正厂竞争者数据汇总!$D$2:$D$243,0))</f>
        <v>#N/A</v>
      </c>
      <c r="Q73" s="434"/>
      <c r="R73" s="435"/>
      <c r="S73" s="473"/>
      <c r="T73" s="477"/>
      <c r="U73" s="466"/>
      <c r="V73" s="435"/>
      <c r="W73" s="435"/>
    </row>
    <row r="74" s="410" customFormat="1" spans="1:23">
      <c r="A74" s="428" t="s">
        <v>230</v>
      </c>
      <c r="B74" s="431" t="s">
        <v>510</v>
      </c>
      <c r="C74" s="429" t="e">
        <f>VLOOKUP(B74,正厂竞争者数据汇总!D:H,2,FALSE)</f>
        <v>#N/A</v>
      </c>
      <c r="D74" s="421" t="e">
        <f>VLOOKUP(B74,正厂竞争者数据汇总!D:H,3,FALSE)</f>
        <v>#N/A</v>
      </c>
      <c r="E74" s="430"/>
      <c r="F74" s="430">
        <v>1063.49833333333</v>
      </c>
      <c r="G74" s="430">
        <v>1502.325</v>
      </c>
      <c r="H74" s="430">
        <v>3017.53833333333</v>
      </c>
      <c r="I74" s="453"/>
      <c r="J74" s="451">
        <f>F74/F77</f>
        <v>0.000724167917587084</v>
      </c>
      <c r="K74" s="451">
        <v>0.000988679484173175</v>
      </c>
      <c r="L74" s="451">
        <v>0.00188508528345718</v>
      </c>
      <c r="M74" s="451"/>
      <c r="N74" s="455"/>
      <c r="O74" s="436"/>
      <c r="P74" s="471" t="e">
        <f t="array" ref="P74">INDEX(正厂竞争者数据汇总!$I$2:$I$243,MATCH($A$59&amp;$B74,正厂竞争者数据汇总!$A$2:$A$243&amp;正厂竞争者数据汇总!$D$2:$D$243,0))</f>
        <v>#N/A</v>
      </c>
      <c r="Q74" s="434"/>
      <c r="R74" s="435"/>
      <c r="S74" s="473"/>
      <c r="T74" s="477"/>
      <c r="U74" s="466"/>
      <c r="V74" s="435"/>
      <c r="W74" s="435"/>
    </row>
    <row r="75" s="408" customFormat="1" ht="17.4" spans="1:23">
      <c r="A75" s="428" t="s">
        <v>544</v>
      </c>
      <c r="B75" s="478" t="s">
        <v>545</v>
      </c>
      <c r="C75" s="429" t="str">
        <f>VLOOKUP(B75,正厂竞争者数据汇总!D:H,2,FALSE)</f>
        <v>Motor目录</v>
      </c>
      <c r="D75" s="421" t="str">
        <f>VLOOKUP(B75,正厂竞争者数据汇总!D:H,3,FALSE)</f>
        <v>MI</v>
      </c>
      <c r="E75" s="430">
        <f>VLOOKUP(B75,正厂竞争者数据汇总!D:H,4,FALSE)</f>
        <v>0</v>
      </c>
      <c r="F75" s="430">
        <v>653678.916666667</v>
      </c>
      <c r="G75" s="430">
        <v>602397</v>
      </c>
      <c r="H75" s="430">
        <v>482757.583333333</v>
      </c>
      <c r="I75" s="453"/>
      <c r="J75" s="451"/>
      <c r="K75" s="451"/>
      <c r="L75" s="451"/>
      <c r="M75" s="451"/>
      <c r="N75" s="451" t="str">
        <f>IFERROR(O75*0.5/F$64,"")</f>
        <v/>
      </c>
      <c r="O75" s="430" t="s">
        <v>180</v>
      </c>
      <c r="P75" s="471" t="str">
        <f t="array" ref="P75">INDEX(正厂竞争者数据汇总!$I$2:$I$243,MATCH($A$59&amp;$B75,正厂竞争者数据汇总!$A$2:$A$243&amp;正厂竞争者数据汇总!$D$2:$D$243,0))</f>
        <v>网址更新</v>
      </c>
      <c r="Q75" s="429" t="s">
        <v>180</v>
      </c>
      <c r="R75" s="435" t="s">
        <v>180</v>
      </c>
      <c r="S75" s="473">
        <f>VLOOKUP(B75,正厂竞争者数据汇总!$D$2:$CL$243,25,FALSE)</f>
        <v>343683</v>
      </c>
      <c r="T75" s="466"/>
      <c r="U75" s="466"/>
      <c r="V75" s="421"/>
      <c r="W75" s="421"/>
    </row>
    <row r="76" s="410" customFormat="1" spans="1:23">
      <c r="A76" s="428"/>
      <c r="B76" s="431"/>
      <c r="C76" s="429"/>
      <c r="D76" s="421"/>
      <c r="E76" s="430"/>
      <c r="F76" s="430"/>
      <c r="G76" s="430"/>
      <c r="H76" s="430"/>
      <c r="I76" s="453"/>
      <c r="J76" s="451"/>
      <c r="K76" s="451"/>
      <c r="L76" s="451"/>
      <c r="M76" s="451"/>
      <c r="N76" s="455"/>
      <c r="O76" s="436"/>
      <c r="P76" s="471"/>
      <c r="Q76" s="434"/>
      <c r="R76" s="435"/>
      <c r="S76" s="473"/>
      <c r="T76" s="477"/>
      <c r="U76" s="466"/>
      <c r="V76" s="435"/>
      <c r="W76" s="435"/>
    </row>
    <row r="77" s="408" customFormat="1" spans="1:23">
      <c r="A77" s="428"/>
      <c r="B77" s="421"/>
      <c r="C77" s="439"/>
      <c r="D77" s="421"/>
      <c r="E77" s="430"/>
      <c r="F77" s="430">
        <v>1468579.74166667</v>
      </c>
      <c r="G77" s="430">
        <v>1519526.8275</v>
      </c>
      <c r="H77" s="430">
        <v>1600743.66916667</v>
      </c>
      <c r="I77" s="453">
        <f t="shared" ref="I77:I88" si="18">(F77/G77)-1</f>
        <v>-0.0335282568963594</v>
      </c>
      <c r="J77" s="430"/>
      <c r="K77" s="430"/>
      <c r="L77" s="430"/>
      <c r="M77" s="451"/>
      <c r="N77" s="451"/>
      <c r="O77" s="430"/>
      <c r="P77" s="471"/>
      <c r="Q77" s="429"/>
      <c r="R77" s="421"/>
      <c r="S77" s="473"/>
      <c r="T77" s="466"/>
      <c r="U77" s="466"/>
      <c r="V77" s="421"/>
      <c r="W77" s="421"/>
    </row>
    <row r="78" s="408" customFormat="1" spans="1:23">
      <c r="A78" s="428"/>
      <c r="B78" s="421"/>
      <c r="C78" s="439"/>
      <c r="D78" s="421"/>
      <c r="E78" s="430"/>
      <c r="F78" s="430"/>
      <c r="G78" s="430"/>
      <c r="H78" s="430"/>
      <c r="I78" s="453"/>
      <c r="J78" s="430"/>
      <c r="K78" s="430"/>
      <c r="L78" s="430"/>
      <c r="M78" s="451"/>
      <c r="N78" s="451"/>
      <c r="O78" s="430"/>
      <c r="P78" s="471"/>
      <c r="Q78" s="429"/>
      <c r="R78" s="421"/>
      <c r="S78" s="473"/>
      <c r="T78" s="466"/>
      <c r="U78" s="466"/>
      <c r="V78" s="421"/>
      <c r="W78" s="421"/>
    </row>
    <row r="79" s="408" customFormat="1" ht="17.4" spans="1:23">
      <c r="A79" s="418" t="s">
        <v>152</v>
      </c>
      <c r="B79" s="419"/>
      <c r="C79" s="420"/>
      <c r="D79" s="421"/>
      <c r="E79" s="422" t="s">
        <v>202</v>
      </c>
      <c r="F79" s="422"/>
      <c r="G79" s="422"/>
      <c r="H79" s="422"/>
      <c r="I79" s="422"/>
      <c r="J79" s="422"/>
      <c r="K79" s="422"/>
      <c r="L79" s="422"/>
      <c r="M79" s="443"/>
      <c r="N79" s="444"/>
      <c r="O79" s="422"/>
      <c r="P79" s="471"/>
      <c r="Q79" s="465"/>
      <c r="R79" s="424"/>
      <c r="S79" s="473"/>
      <c r="T79" s="467"/>
      <c r="U79" s="467"/>
      <c r="V79" s="467"/>
      <c r="W79" s="467"/>
    </row>
    <row r="80" s="409" customFormat="1" ht="46.8" spans="1:23">
      <c r="A80" s="423" t="s">
        <v>206</v>
      </c>
      <c r="B80" s="424" t="s">
        <v>207</v>
      </c>
      <c r="C80" s="425" t="s">
        <v>208</v>
      </c>
      <c r="D80" s="424" t="s">
        <v>209</v>
      </c>
      <c r="E80" s="426" t="s">
        <v>210</v>
      </c>
      <c r="F80" s="427" t="s">
        <v>213</v>
      </c>
      <c r="G80" s="427" t="s">
        <v>396</v>
      </c>
      <c r="H80" s="427" t="s">
        <v>496</v>
      </c>
      <c r="I80" s="427" t="s">
        <v>497</v>
      </c>
      <c r="J80" s="446" t="s">
        <v>217</v>
      </c>
      <c r="K80" s="446" t="s">
        <v>387</v>
      </c>
      <c r="L80" s="446" t="s">
        <v>390</v>
      </c>
      <c r="M80" s="447" t="s">
        <v>498</v>
      </c>
      <c r="N80" s="448" t="s">
        <v>219</v>
      </c>
      <c r="O80" s="449" t="s">
        <v>220</v>
      </c>
      <c r="P80" s="468" t="s">
        <v>221</v>
      </c>
      <c r="Q80" s="469" t="s">
        <v>222</v>
      </c>
      <c r="R80" s="426" t="s">
        <v>223</v>
      </c>
      <c r="S80" s="470" t="s">
        <v>224</v>
      </c>
      <c r="T80" s="467" t="s">
        <v>225</v>
      </c>
      <c r="U80" s="470" t="s">
        <v>226</v>
      </c>
      <c r="V80" s="467"/>
      <c r="W80" s="467"/>
    </row>
    <row r="81" s="410" customFormat="1" ht="17.4" spans="1:23">
      <c r="A81" s="432" t="s">
        <v>227</v>
      </c>
      <c r="B81" s="435" t="s">
        <v>546</v>
      </c>
      <c r="C81" s="434" t="e">
        <f>VLOOKUP(B81,正厂竞争者数据汇总!D:H,2,FALSE)</f>
        <v>#N/A</v>
      </c>
      <c r="D81" s="435" t="e">
        <f>VLOOKUP(B81,正厂竞争者数据汇总!D:H,3,FALSE)</f>
        <v>#N/A</v>
      </c>
      <c r="E81" s="436" t="e">
        <f>VLOOKUP(B81,正厂竞争者数据汇总!D:H,4,FALSE)</f>
        <v>#N/A</v>
      </c>
      <c r="F81" s="436">
        <v>436555.583333333</v>
      </c>
      <c r="G81" s="436">
        <v>490593.833333333</v>
      </c>
      <c r="H81" s="436">
        <v>536019.166666667</v>
      </c>
      <c r="I81" s="454">
        <f t="shared" si="18"/>
        <v>-0.110148653179837</v>
      </c>
      <c r="J81" s="457">
        <f t="shared" ref="J81:J88" si="19">F81/F$99</f>
        <v>0.343631089029878</v>
      </c>
      <c r="K81" s="457">
        <v>0.389473954597223</v>
      </c>
      <c r="L81" s="457">
        <v>0.408448642468448</v>
      </c>
      <c r="M81" s="456">
        <f t="shared" ref="M81:M88" si="20">J81-K81</f>
        <v>-0.0458428655673445</v>
      </c>
      <c r="N81" s="457" t="str">
        <f t="shared" ref="N81:N85" si="21">IFERROR(O81*0.5/$F$96,"")</f>
        <v/>
      </c>
      <c r="O81" s="436" t="s">
        <v>180</v>
      </c>
      <c r="P81" s="471" t="e">
        <f t="array" ref="P81">INDEX(正厂竞争者数据汇总!$I$2:$I$243,MATCH($A$79&amp;$B81,正厂竞争者数据汇总!$A$2:$A$243&amp;正厂竞争者数据汇总!$D$2:$D$243,0))</f>
        <v>#N/A</v>
      </c>
      <c r="Q81" s="434" t="s">
        <v>268</v>
      </c>
      <c r="R81" s="435" t="s">
        <v>229</v>
      </c>
      <c r="S81" s="476" t="e">
        <f>VLOOKUP(B81,正厂竞争者数据汇总!$D$2:$CL$243,25,FALSE)</f>
        <v>#N/A</v>
      </c>
      <c r="T81" s="477"/>
      <c r="U81" s="477"/>
      <c r="V81" s="477"/>
      <c r="W81" s="477"/>
    </row>
    <row r="82" s="408" customFormat="1" spans="1:23">
      <c r="A82" s="428" t="s">
        <v>230</v>
      </c>
      <c r="B82" t="s">
        <v>507</v>
      </c>
      <c r="C82" s="429" t="e">
        <f>VLOOKUP(B82,正厂竞争者数据汇总!D:H,2,FALSE)</f>
        <v>#N/A</v>
      </c>
      <c r="D82" s="421" t="e">
        <f>VLOOKUP(B82,正厂竞争者数据汇总!D:H,3,FALSE)</f>
        <v>#N/A</v>
      </c>
      <c r="E82" s="430" t="e">
        <f>VLOOKUP(B82,正厂竞争者数据汇总!D:H,4,FALSE)</f>
        <v>#N/A</v>
      </c>
      <c r="F82" s="430">
        <v>256554.106666667</v>
      </c>
      <c r="G82" s="430">
        <v>232298.773333333</v>
      </c>
      <c r="H82" s="430">
        <v>241692.293333333</v>
      </c>
      <c r="I82" s="453">
        <f t="shared" si="18"/>
        <v>0.104414384050704</v>
      </c>
      <c r="J82" s="451">
        <f t="shared" si="19"/>
        <v>0.201944426860393</v>
      </c>
      <c r="K82" s="451">
        <v>0.184417976238084</v>
      </c>
      <c r="L82" s="451">
        <v>0.184170446219278</v>
      </c>
      <c r="M82" s="451">
        <f t="shared" si="20"/>
        <v>0.0175264506223088</v>
      </c>
      <c r="N82" s="451" t="str">
        <f t="shared" si="21"/>
        <v/>
      </c>
      <c r="O82" s="430" t="s">
        <v>180</v>
      </c>
      <c r="P82" s="471" t="e">
        <f t="array" ref="P82">INDEX(正厂竞争者数据汇总!$I$2:$I$243,MATCH($A$79&amp;$B82,正厂竞争者数据汇总!$A$2:$A$243&amp;正厂竞争者数据汇总!$D$2:$D$243,0))</f>
        <v>#N/A</v>
      </c>
      <c r="Q82" s="429" t="s">
        <v>180</v>
      </c>
      <c r="R82" s="421" t="s">
        <v>180</v>
      </c>
      <c r="S82" s="473" t="e">
        <f>VLOOKUP(B82,正厂竞争者数据汇总!$D$2:$CL$243,25,FALSE)</f>
        <v>#N/A</v>
      </c>
      <c r="T82" s="466">
        <f>VLOOKUP(B82,'Price &amp; Shipping'!B:DK,2,FALSE)</f>
        <v>0</v>
      </c>
      <c r="U82" s="466"/>
      <c r="V82" s="421"/>
      <c r="W82" s="421"/>
    </row>
    <row r="83" s="408" customFormat="1" spans="1:23">
      <c r="A83" s="428" t="s">
        <v>243</v>
      </c>
      <c r="B83" s="438" t="s">
        <v>270</v>
      </c>
      <c r="C83" s="429" t="str">
        <f>VLOOKUP(B83,正厂竞争者数据汇总!D:H,2,FALSE)</f>
        <v>Motor目录</v>
      </c>
      <c r="D83" s="421" t="str">
        <f>VLOOKUP(B83,正厂竞争者数据汇总!D:H,3,FALSE)</f>
        <v>FL</v>
      </c>
      <c r="E83" s="430">
        <f>VLOOKUP(B83,正厂竞争者数据汇总!D:H,4,FALSE)</f>
        <v>0</v>
      </c>
      <c r="F83" s="430">
        <v>245405.75</v>
      </c>
      <c r="G83" s="430">
        <v>225686.833333333</v>
      </c>
      <c r="H83" s="430">
        <v>203512.083333333</v>
      </c>
      <c r="I83" s="453">
        <f t="shared" si="18"/>
        <v>0.0873729157143286</v>
      </c>
      <c r="J83" s="451">
        <f t="shared" si="19"/>
        <v>0.193169090824122</v>
      </c>
      <c r="K83" s="451">
        <v>0.179168871491164</v>
      </c>
      <c r="L83" s="451">
        <v>0.155076981072055</v>
      </c>
      <c r="M83" s="451">
        <f t="shared" si="20"/>
        <v>0.0140002193329579</v>
      </c>
      <c r="N83" s="451" t="str">
        <f t="shared" si="21"/>
        <v/>
      </c>
      <c r="O83" s="430" t="s">
        <v>180</v>
      </c>
      <c r="P83" s="471">
        <f t="array" ref="P83">INDEX(正厂竞争者数据汇总!$I$2:$I$243,MATCH($A$79&amp;$B83,正厂竞争者数据汇总!$A$2:$A$243&amp;正厂竞争者数据汇总!$D$2:$D$243,0))</f>
        <v>0</v>
      </c>
      <c r="Q83" s="429" t="s">
        <v>180</v>
      </c>
      <c r="R83" s="421" t="s">
        <v>180</v>
      </c>
      <c r="S83" s="473">
        <f>VLOOKUP(B83,正厂竞争者数据汇总!$D$2:$CL$243,25,FALSE)</f>
        <v>269082</v>
      </c>
      <c r="T83" s="466"/>
      <c r="U83" s="466"/>
      <c r="V83" s="421"/>
      <c r="W83" s="421"/>
    </row>
    <row r="84" s="408" customFormat="1" spans="1:23">
      <c r="A84" s="428" t="s">
        <v>230</v>
      </c>
      <c r="B84" s="431" t="s">
        <v>547</v>
      </c>
      <c r="C84" s="429" t="e">
        <f>VLOOKUP(B84,正厂竞争者数据汇总!D:H,2,FALSE)</f>
        <v>#N/A</v>
      </c>
      <c r="D84" s="421" t="e">
        <f>VLOOKUP(B84,正厂竞争者数据汇总!D:H,3,FALSE)</f>
        <v>#N/A</v>
      </c>
      <c r="E84" s="430" t="e">
        <f>VLOOKUP(B84,正厂竞争者数据汇总!D:H,4,FALSE)</f>
        <v>#N/A</v>
      </c>
      <c r="F84" s="430">
        <v>104348.833333333</v>
      </c>
      <c r="G84" s="430">
        <v>91942.1666666668</v>
      </c>
      <c r="H84" s="430">
        <v>95177</v>
      </c>
      <c r="I84" s="453">
        <f t="shared" si="18"/>
        <v>0.134939898813198</v>
      </c>
      <c r="J84" s="451">
        <f t="shared" si="19"/>
        <v>0.0821373144824755</v>
      </c>
      <c r="K84" s="451">
        <v>0.0729912950650019</v>
      </c>
      <c r="L84" s="451">
        <v>0.0725252357783589</v>
      </c>
      <c r="M84" s="451">
        <f t="shared" si="20"/>
        <v>0.00914601941747357</v>
      </c>
      <c r="N84" s="451" t="str">
        <f t="shared" si="21"/>
        <v/>
      </c>
      <c r="O84" s="430" t="s">
        <v>180</v>
      </c>
      <c r="P84" s="471" t="e">
        <f t="array" ref="P84">INDEX(正厂竞争者数据汇总!$I$2:$I$243,MATCH($A$79&amp;$B84,正厂竞争者数据汇总!$A$2:$A$243&amp;正厂竞争者数据汇总!$D$2:$D$243,0))</f>
        <v>#N/A</v>
      </c>
      <c r="Q84" s="429" t="s">
        <v>180</v>
      </c>
      <c r="R84" s="421" t="s">
        <v>180</v>
      </c>
      <c r="S84" s="473" t="e">
        <f>VLOOKUP(B84,正厂竞争者数据汇总!$D$2:$CL$243,25,FALSE)</f>
        <v>#N/A</v>
      </c>
      <c r="T84" s="466"/>
      <c r="U84" s="466"/>
      <c r="V84" s="421"/>
      <c r="W84" s="421"/>
    </row>
    <row r="85" s="408" customFormat="1" spans="1:23">
      <c r="A85" s="428" t="s">
        <v>230</v>
      </c>
      <c r="B85" s="438" t="s">
        <v>548</v>
      </c>
      <c r="C85" s="429" t="e">
        <f>VLOOKUP(B85,正厂竞争者数据汇总!D:H,2,FALSE)</f>
        <v>#N/A</v>
      </c>
      <c r="D85" s="421" t="e">
        <f>VLOOKUP(B85,正厂竞争者数据汇总!D:H,3,FALSE)</f>
        <v>#N/A</v>
      </c>
      <c r="E85" s="430" t="e">
        <f>VLOOKUP(B85,正厂竞争者数据汇总!D:H,4,FALSE)</f>
        <v>#N/A</v>
      </c>
      <c r="F85" s="430">
        <v>103861.083333333</v>
      </c>
      <c r="G85" s="430">
        <v>94678.6666666667</v>
      </c>
      <c r="H85" s="430">
        <v>98405.1666666667</v>
      </c>
      <c r="I85" s="453">
        <f t="shared" si="18"/>
        <v>0.0969850652734121</v>
      </c>
      <c r="J85" s="451">
        <f t="shared" si="19"/>
        <v>0.0817533861350367</v>
      </c>
      <c r="K85" s="451">
        <v>0.0751637550600934</v>
      </c>
      <c r="L85" s="451">
        <v>0.0749851110489793</v>
      </c>
      <c r="M85" s="451">
        <f t="shared" si="20"/>
        <v>0.00658963107494333</v>
      </c>
      <c r="N85" s="451" t="str">
        <f t="shared" si="21"/>
        <v/>
      </c>
      <c r="O85" s="430" t="s">
        <v>180</v>
      </c>
      <c r="P85" s="471" t="e">
        <f t="array" ref="P85">INDEX(正厂竞争者数据汇总!$I$2:$I$243,MATCH($A$79&amp;$B85,正厂竞争者数据汇总!$A$2:$A$243&amp;正厂竞争者数据汇总!$D$2:$D$243,0))</f>
        <v>#N/A</v>
      </c>
      <c r="Q85" s="429" t="s">
        <v>180</v>
      </c>
      <c r="R85" s="421" t="s">
        <v>180</v>
      </c>
      <c r="S85" s="473" t="e">
        <f>VLOOKUP(B85,正厂竞争者数据汇总!$D$2:$CL$243,25,FALSE)</f>
        <v>#N/A</v>
      </c>
      <c r="T85" s="466"/>
      <c r="U85" s="466"/>
      <c r="V85" s="421"/>
      <c r="W85" s="421"/>
    </row>
    <row r="86" s="408" customFormat="1" spans="1:23">
      <c r="A86" s="428" t="s">
        <v>230</v>
      </c>
      <c r="B86" s="438" t="s">
        <v>508</v>
      </c>
      <c r="C86" s="429" t="e">
        <f>VLOOKUP(B86,正厂竞争者数据汇总!D:H,2,FALSE)</f>
        <v>#N/A</v>
      </c>
      <c r="D86" s="421" t="e">
        <f>VLOOKUP(B86,正厂竞争者数据汇总!D:H,3,FALSE)</f>
        <v>#N/A</v>
      </c>
      <c r="E86" s="430" t="e">
        <f>VLOOKUP(B86,正厂竞争者数据汇总!D:H,4,FALSE)</f>
        <v>#N/A</v>
      </c>
      <c r="F86" s="430">
        <v>77386.3225</v>
      </c>
      <c r="G86" s="430">
        <v>75900.4175000001</v>
      </c>
      <c r="H86" s="430">
        <v>78023.3683333333</v>
      </c>
      <c r="I86" s="453">
        <f t="shared" si="18"/>
        <v>0.019577033288386</v>
      </c>
      <c r="J86" s="451">
        <f t="shared" si="19"/>
        <v>0.060913998794027</v>
      </c>
      <c r="K86" s="451">
        <v>0.0602560280027409</v>
      </c>
      <c r="L86" s="451">
        <v>0.0594541032454977</v>
      </c>
      <c r="M86" s="451">
        <f t="shared" si="20"/>
        <v>0.000657970791286072</v>
      </c>
      <c r="N86" s="451"/>
      <c r="O86" s="430"/>
      <c r="P86" s="471" t="e">
        <f t="array" ref="P86">INDEX(正厂竞争者数据汇总!$I$2:$I$243,MATCH($A$79&amp;$B86,正厂竞争者数据汇总!$A$2:$A$243&amp;正厂竞争者数据汇总!$D$2:$D$243,0))</f>
        <v>#N/A</v>
      </c>
      <c r="Q86" s="429"/>
      <c r="R86" s="421"/>
      <c r="S86" s="473" t="e">
        <f>VLOOKUP(B86,正厂竞争者数据汇总!$D$2:$CL$243,25,FALSE)</f>
        <v>#N/A</v>
      </c>
      <c r="T86" s="466"/>
      <c r="U86" s="466"/>
      <c r="V86" s="421"/>
      <c r="W86" s="421"/>
    </row>
    <row r="87" s="408" customFormat="1" spans="1:23">
      <c r="A87" s="428" t="s">
        <v>230</v>
      </c>
      <c r="B87" s="431" t="s">
        <v>549</v>
      </c>
      <c r="C87" s="429" t="e">
        <f>VLOOKUP(B87,正厂竞争者数据汇总!D:H,2,FALSE)</f>
        <v>#N/A</v>
      </c>
      <c r="D87" s="421" t="e">
        <f>VLOOKUP(B87,正厂竞争者数据汇总!D:H,3,FALSE)</f>
        <v>#N/A</v>
      </c>
      <c r="E87" s="430" t="e">
        <f>VLOOKUP(B87,正厂竞争者数据汇总!D:H,4,FALSE)</f>
        <v>#N/A</v>
      </c>
      <c r="F87" s="430">
        <v>45415.1666666667</v>
      </c>
      <c r="G87" s="430">
        <v>44180</v>
      </c>
      <c r="H87" s="430">
        <v>51069.75</v>
      </c>
      <c r="I87" s="453">
        <f t="shared" si="18"/>
        <v>0.0279575977063535</v>
      </c>
      <c r="J87" s="451">
        <f t="shared" si="19"/>
        <v>0.0357481699374443</v>
      </c>
      <c r="K87" s="451">
        <v>0.035073737468718</v>
      </c>
      <c r="L87" s="451">
        <v>0.0389153436217978</v>
      </c>
      <c r="M87" s="451">
        <f t="shared" si="20"/>
        <v>0.000674432468726296</v>
      </c>
      <c r="N87" s="451" t="str">
        <f>IFERROR(O87*0.5/$F$96,"")</f>
        <v/>
      </c>
      <c r="O87" s="430" t="s">
        <v>180</v>
      </c>
      <c r="P87" s="471" t="e">
        <f t="array" ref="P87">INDEX(正厂竞争者数据汇总!$I$2:$I$243,MATCH($A$79&amp;$B87,正厂竞争者数据汇总!$A$2:$A$243&amp;正厂竞争者数据汇总!$D$2:$D$243,0))</f>
        <v>#N/A</v>
      </c>
      <c r="Q87" s="429" t="s">
        <v>180</v>
      </c>
      <c r="R87" s="421" t="s">
        <v>180</v>
      </c>
      <c r="S87" s="473" t="e">
        <f>VLOOKUP(B87,正厂竞争者数据汇总!$D$2:$CL$243,25,FALSE)</f>
        <v>#N/A</v>
      </c>
      <c r="T87" s="466"/>
      <c r="U87" s="466"/>
      <c r="V87" s="421"/>
      <c r="W87" s="421"/>
    </row>
    <row r="88" s="410" customFormat="1" spans="1:23">
      <c r="A88" s="432" t="s">
        <v>227</v>
      </c>
      <c r="B88" s="435" t="s">
        <v>154</v>
      </c>
      <c r="C88" s="434" t="e">
        <f>VLOOKUP(B88,正厂竞争者数据汇总!D:H,2,FALSE)</f>
        <v>#N/A</v>
      </c>
      <c r="D88" s="435" t="e">
        <f>VLOOKUP(B88,正厂竞争者数据汇总!D:H,3,FALSE)</f>
        <v>#N/A</v>
      </c>
      <c r="E88" s="436" t="e">
        <f>VLOOKUP(B88,正厂竞争者数据汇总!D:H,4,FALSE)</f>
        <v>#N/A</v>
      </c>
      <c r="F88" s="436">
        <v>892.5</v>
      </c>
      <c r="G88" s="436">
        <v>4351.25</v>
      </c>
      <c r="H88" s="436">
        <v>8430.58333333333</v>
      </c>
      <c r="I88" s="454">
        <f t="shared" si="18"/>
        <v>-0.794886526860098</v>
      </c>
      <c r="J88" s="457">
        <f t="shared" si="19"/>
        <v>0.000702523936625482</v>
      </c>
      <c r="K88" s="457">
        <v>0.00345438207697508</v>
      </c>
      <c r="L88" s="457">
        <v>0.00642413654558457</v>
      </c>
      <c r="M88" s="456">
        <f t="shared" si="20"/>
        <v>-0.0027518581403496</v>
      </c>
      <c r="N88" s="457" t="str">
        <f>IFERROR(O88*0.5/$F$96,"")</f>
        <v/>
      </c>
      <c r="O88" s="436" t="s">
        <v>180</v>
      </c>
      <c r="P88" s="471" t="e">
        <f t="array" ref="P88">INDEX(正厂竞争者数据汇总!$I$2:$I$243,MATCH($A$79&amp;$B88,正厂竞争者数据汇总!$A$2:$A$243&amp;正厂竞争者数据汇总!$D$2:$D$243,0))</f>
        <v>#N/A</v>
      </c>
      <c r="Q88" s="434" t="s">
        <v>550</v>
      </c>
      <c r="R88" s="435" t="s">
        <v>229</v>
      </c>
      <c r="S88" s="476" t="e">
        <f>VLOOKUP(B88,正厂竞争者数据汇总!$D$2:$CL$243,25,FALSE)</f>
        <v>#N/A</v>
      </c>
      <c r="T88" s="477"/>
      <c r="U88" s="477"/>
      <c r="V88" s="435"/>
      <c r="W88" s="435"/>
    </row>
    <row r="89" s="410" customFormat="1" spans="1:23">
      <c r="A89" s="432"/>
      <c r="B89" s="435"/>
      <c r="C89" s="434"/>
      <c r="D89" s="435"/>
      <c r="E89" s="437"/>
      <c r="F89" s="430"/>
      <c r="G89" s="430"/>
      <c r="H89" s="430"/>
      <c r="I89" s="450"/>
      <c r="J89" s="457"/>
      <c r="K89" s="457"/>
      <c r="L89" s="457"/>
      <c r="M89" s="452"/>
      <c r="N89" s="461"/>
      <c r="O89" s="462"/>
      <c r="P89" s="471"/>
      <c r="Q89" s="434"/>
      <c r="R89" s="435"/>
      <c r="S89" s="473"/>
      <c r="T89" s="477"/>
      <c r="U89" s="466"/>
      <c r="V89" s="435"/>
      <c r="W89" s="435"/>
    </row>
    <row r="90" s="408" customFormat="1" spans="1:23">
      <c r="A90" s="428" t="s">
        <v>230</v>
      </c>
      <c r="B90" s="421" t="s">
        <v>551</v>
      </c>
      <c r="C90" s="429" t="e">
        <f>VLOOKUP(B90,正厂竞争者数据汇总!D:H,2,FALSE)</f>
        <v>#N/A</v>
      </c>
      <c r="D90" s="421" t="e">
        <f>VLOOKUP(B90,正厂竞争者数据汇总!D:H,3,FALSE)</f>
        <v>#N/A</v>
      </c>
      <c r="E90" s="430"/>
      <c r="F90" s="430">
        <v>33346.0833333333</v>
      </c>
      <c r="G90" s="430">
        <v>40479.1666666666</v>
      </c>
      <c r="H90" s="430">
        <v>55112.8333333333</v>
      </c>
      <c r="I90" s="453"/>
      <c r="J90" s="451">
        <f t="shared" ref="J90:J94" si="22">F90/F$99</f>
        <v>0.0262480915791313</v>
      </c>
      <c r="K90" s="451">
        <v>0.0321357099280024</v>
      </c>
      <c r="L90" s="451">
        <v>0.041996188490007</v>
      </c>
      <c r="M90" s="452"/>
      <c r="N90" s="451"/>
      <c r="O90" s="430"/>
      <c r="P90" s="471" t="e">
        <f t="array" ref="P90">INDEX(正厂竞争者数据汇总!$I$2:$I$243,MATCH($A$79&amp;$B90,正厂竞争者数据汇总!$A$2:$A$243&amp;正厂竞争者数据汇总!$D$2:$D$243,0))</f>
        <v>#N/A</v>
      </c>
      <c r="Q90" s="429"/>
      <c r="R90" s="421"/>
      <c r="S90" s="472"/>
      <c r="T90" s="466"/>
      <c r="U90" s="466"/>
      <c r="V90" s="421"/>
      <c r="W90" s="421"/>
    </row>
    <row r="91" s="408" customFormat="1" spans="1:23">
      <c r="A91" s="428" t="s">
        <v>230</v>
      </c>
      <c r="B91" s="421" t="s">
        <v>552</v>
      </c>
      <c r="C91" s="429" t="str">
        <f>VLOOKUP(B91,正厂竞争者数据汇总!D:H,2,FALSE)</f>
        <v>Motor目录</v>
      </c>
      <c r="D91" s="421" t="str">
        <f>VLOOKUP(B91,正厂竞争者数据汇总!D:H,3,FALSE)</f>
        <v>NY</v>
      </c>
      <c r="E91" s="430"/>
      <c r="F91" s="430">
        <v>30221.5</v>
      </c>
      <c r="G91" s="430">
        <v>28327.8333333334</v>
      </c>
      <c r="H91" s="430">
        <v>31355.8333333333</v>
      </c>
      <c r="I91" s="453"/>
      <c r="J91" s="451">
        <f t="shared" si="22"/>
        <v>0.0237886018495541</v>
      </c>
      <c r="K91" s="451">
        <v>0.0224889766724974</v>
      </c>
      <c r="L91" s="451">
        <v>0.0238932641870087</v>
      </c>
      <c r="M91" s="452"/>
      <c r="N91" s="451"/>
      <c r="O91" s="430"/>
      <c r="P91" s="471" t="str">
        <f t="array" ref="P91">INDEX(正厂竞争者数据汇总!$I$2:$I$243,MATCH($A$79&amp;$B91,正厂竞争者数据汇总!$A$2:$A$243&amp;正厂竞争者数据汇总!$D$2:$D$243,0))</f>
        <v>主营Acc</v>
      </c>
      <c r="Q91" s="429"/>
      <c r="R91" s="421"/>
      <c r="S91" s="472"/>
      <c r="T91" s="466"/>
      <c r="U91" s="466"/>
      <c r="V91" s="421"/>
      <c r="W91" s="421"/>
    </row>
    <row r="92" s="408" customFormat="1" spans="1:23">
      <c r="A92" s="428" t="s">
        <v>230</v>
      </c>
      <c r="B92" s="431" t="s">
        <v>510</v>
      </c>
      <c r="C92" s="429" t="e">
        <f>VLOOKUP(B92,正厂竞争者数据汇总!D:H,2,FALSE)</f>
        <v>#N/A</v>
      </c>
      <c r="D92" s="421" t="e">
        <f>VLOOKUP(B92,正厂竞争者数据汇总!D:H,3,FALSE)</f>
        <v>#N/A</v>
      </c>
      <c r="E92" s="430"/>
      <c r="F92" s="430">
        <v>1836.95166666667</v>
      </c>
      <c r="G92" s="430">
        <v>2594.925</v>
      </c>
      <c r="H92" s="430">
        <v>5212.11166666667</v>
      </c>
      <c r="I92" s="453"/>
      <c r="J92" s="451">
        <f t="shared" si="22"/>
        <v>0.00144594119468617</v>
      </c>
      <c r="K92" s="451">
        <v>0.00206006605253538</v>
      </c>
      <c r="L92" s="451">
        <v>0.00397164890181594</v>
      </c>
      <c r="M92" s="451"/>
      <c r="N92" s="451"/>
      <c r="O92" s="430"/>
      <c r="P92" s="471" t="e">
        <f t="array" ref="P92">INDEX(正厂竞争者数据汇总!$I$2:$I$243,MATCH($A$79&amp;$B92,正厂竞争者数据汇总!$A$2:$A$243&amp;正厂竞争者数据汇总!$D$2:$D$243,0))</f>
        <v>#N/A</v>
      </c>
      <c r="Q92" s="429"/>
      <c r="R92" s="421"/>
      <c r="S92" s="473"/>
      <c r="T92" s="466"/>
      <c r="U92" s="466"/>
      <c r="V92" s="421"/>
      <c r="W92" s="421"/>
    </row>
    <row r="93" s="408" customFormat="1" spans="1:23">
      <c r="A93" s="428" t="s">
        <v>230</v>
      </c>
      <c r="B93" s="431" t="s">
        <v>553</v>
      </c>
      <c r="C93" s="429" t="e">
        <f>VLOOKUP(B93,正厂竞争者数据汇总!D:H,2,FALSE)</f>
        <v>#N/A</v>
      </c>
      <c r="D93" s="421" t="e">
        <f>VLOOKUP(B93,正厂竞争者数据汇总!D:H,3,FALSE)</f>
        <v>#N/A</v>
      </c>
      <c r="E93" s="430"/>
      <c r="F93" s="430">
        <v>22155.8333333333</v>
      </c>
      <c r="G93" s="430">
        <v>20795.8333333333</v>
      </c>
      <c r="H93" s="430">
        <v>23685.8333333333</v>
      </c>
      <c r="I93" s="453"/>
      <c r="J93" s="451">
        <f t="shared" si="22"/>
        <v>0.0174397795546794</v>
      </c>
      <c r="K93" s="451">
        <v>0.0165094522131405</v>
      </c>
      <c r="L93" s="451">
        <v>0.0180486950324859</v>
      </c>
      <c r="M93" s="451"/>
      <c r="N93" s="451"/>
      <c r="O93" s="430"/>
      <c r="P93" s="471" t="e">
        <f t="array" ref="P93">INDEX(正厂竞争者数据汇总!$I$2:$I$243,MATCH($A$79&amp;$B93,正厂竞争者数据汇总!$A$2:$A$243&amp;正厂竞争者数据汇总!$D$2:$D$243,0))</f>
        <v>#N/A</v>
      </c>
      <c r="Q93" s="429"/>
      <c r="R93" s="421"/>
      <c r="S93" s="473"/>
      <c r="T93" s="466"/>
      <c r="U93" s="466"/>
      <c r="V93" s="421"/>
      <c r="W93" s="421"/>
    </row>
    <row r="94" s="408" customFormat="1" spans="1:23">
      <c r="A94" s="428" t="s">
        <v>230</v>
      </c>
      <c r="B94" s="421" t="s">
        <v>524</v>
      </c>
      <c r="C94" s="429" t="e">
        <f>VLOOKUP(B94,正厂竞争者数据汇总!D:H,2,FALSE)</f>
        <v>#N/A</v>
      </c>
      <c r="D94" s="421" t="e">
        <f>VLOOKUP(B94,正厂竞争者数据汇总!D:H,3,FALSE)</f>
        <v>#N/A</v>
      </c>
      <c r="E94" s="430"/>
      <c r="F94" s="430">
        <v>16596.675</v>
      </c>
      <c r="G94" s="430">
        <v>13682.8275</v>
      </c>
      <c r="H94" s="430">
        <v>15605.9325</v>
      </c>
      <c r="I94" s="450"/>
      <c r="J94" s="451">
        <f t="shared" si="22"/>
        <v>0.0130639344043627</v>
      </c>
      <c r="K94" s="451">
        <v>0.0108625599720406</v>
      </c>
      <c r="L94" s="451">
        <v>0.0118917798848845</v>
      </c>
      <c r="M94" s="452"/>
      <c r="N94" s="451"/>
      <c r="O94" s="430"/>
      <c r="P94" s="471" t="e">
        <f t="array" ref="P94">INDEX(正厂竞争者数据汇总!$I$2:$I$243,MATCH($A$79&amp;$B94,正厂竞争者数据汇总!$A$2:$A$243&amp;正厂竞争者数据汇总!$D$2:$D$243,0))</f>
        <v>#N/A</v>
      </c>
      <c r="Q94" s="429"/>
      <c r="R94" s="421"/>
      <c r="S94" s="472"/>
      <c r="T94" s="466"/>
      <c r="U94" s="466"/>
      <c r="V94" s="421"/>
      <c r="W94" s="421"/>
    </row>
    <row r="95" s="408" customFormat="1" ht="17.4" spans="1:23">
      <c r="A95" s="428" t="s">
        <v>511</v>
      </c>
      <c r="B95" s="438" t="s">
        <v>554</v>
      </c>
      <c r="C95" s="429" t="str">
        <f>VLOOKUP(B95,正厂竞争者数据汇总!D:H,2,FALSE)</f>
        <v>Motor原厂结合</v>
      </c>
      <c r="D95" s="421" t="str">
        <f>VLOOKUP(B95,正厂竞争者数据汇总!D:H,3,FALSE)</f>
        <v>-</v>
      </c>
      <c r="E95" s="430">
        <f>VLOOKUP(B95,正厂竞争者数据汇总!D:H,4,FALSE)</f>
        <v>0</v>
      </c>
      <c r="F95" s="430">
        <v>10525742.25</v>
      </c>
      <c r="G95" s="430">
        <v>11557196.8333333</v>
      </c>
      <c r="H95" s="430">
        <v>13059219.6666667</v>
      </c>
      <c r="I95" s="453"/>
      <c r="J95" s="451"/>
      <c r="K95" s="451"/>
      <c r="L95" s="451"/>
      <c r="M95" s="451"/>
      <c r="N95" s="451" t="str">
        <f t="shared" ref="N95:N97" si="23">IFERROR(O95*0.5/$F$96,"")</f>
        <v/>
      </c>
      <c r="O95" s="430" t="s">
        <v>180</v>
      </c>
      <c r="P95" s="471">
        <f t="array" ref="P95">INDEX(正厂竞争者数据汇总!$I$2:$I$243,MATCH($A$79&amp;$B95,正厂竞争者数据汇总!$A$2:$A$243&amp;正厂竞争者数据汇总!$D$2:$D$243,0))</f>
        <v>0</v>
      </c>
      <c r="Q95" s="429" t="s">
        <v>180</v>
      </c>
      <c r="R95" s="421" t="s">
        <v>180</v>
      </c>
      <c r="S95" s="473">
        <f>VLOOKUP(B95,正厂竞争者数据汇总!$D$2:$CL$243,25,FALSE)</f>
        <v>550839</v>
      </c>
      <c r="T95" s="466">
        <f>VLOOKUP(B95,'Price &amp; Shipping'!B:DK,2,FALSE)</f>
        <v>0</v>
      </c>
      <c r="U95" s="466"/>
      <c r="V95" s="421"/>
      <c r="W95" s="421"/>
    </row>
    <row r="96" s="408" customFormat="1" ht="17.4" spans="1:23">
      <c r="A96" s="428" t="s">
        <v>511</v>
      </c>
      <c r="B96" s="431" t="s">
        <v>555</v>
      </c>
      <c r="C96" s="429" t="str">
        <f>VLOOKUP(B96,正厂竞争者数据汇总!D:H,2,FALSE)</f>
        <v>Acc目录</v>
      </c>
      <c r="D96" s="421" t="str">
        <f>VLOOKUP(B96,正厂竞争者数据汇总!D:H,3,FALSE)</f>
        <v>-</v>
      </c>
      <c r="E96" s="430">
        <f>VLOOKUP(B96,正厂竞争者数据汇总!D:H,4,FALSE)</f>
        <v>0</v>
      </c>
      <c r="F96" s="430">
        <v>545888.916666667</v>
      </c>
      <c r="G96" s="430">
        <v>261765.833333333</v>
      </c>
      <c r="H96" s="430">
        <v>223668.916666667</v>
      </c>
      <c r="I96" s="453"/>
      <c r="J96" s="451"/>
      <c r="K96" s="451"/>
      <c r="L96" s="451"/>
      <c r="M96" s="451"/>
      <c r="N96" s="451" t="str">
        <f t="shared" si="23"/>
        <v/>
      </c>
      <c r="O96" s="430" t="s">
        <v>180</v>
      </c>
      <c r="P96" s="471">
        <f t="array" ref="P96">INDEX(正厂竞争者数据汇总!$I$2:$I$243,MATCH($A$79&amp;$B96,正厂竞争者数据汇总!$A$2:$A$243&amp;正厂竞争者数据汇总!$D$2:$D$243,0))</f>
        <v>0</v>
      </c>
      <c r="Q96" s="429" t="s">
        <v>180</v>
      </c>
      <c r="R96" s="421" t="s">
        <v>180</v>
      </c>
      <c r="S96" s="473">
        <f>VLOOKUP(B96,正厂竞争者数据汇总!$D$2:$CL$243,25,FALSE)</f>
        <v>379491</v>
      </c>
      <c r="T96" s="466"/>
      <c r="U96" s="466"/>
      <c r="V96" s="421"/>
      <c r="W96" s="421"/>
    </row>
    <row r="97" s="408" customFormat="1" ht="17.4" spans="1:23">
      <c r="A97" s="428" t="s">
        <v>511</v>
      </c>
      <c r="B97" s="438" t="s">
        <v>556</v>
      </c>
      <c r="C97" s="429" t="str">
        <f>VLOOKUP(B97,正厂竞争者数据汇总!D:H,2,FALSE)</f>
        <v>Acc目录</v>
      </c>
      <c r="D97" s="421" t="str">
        <f>VLOOKUP(B97,正厂竞争者数据汇总!D:H,3,FALSE)</f>
        <v>-</v>
      </c>
      <c r="E97" s="430">
        <f>VLOOKUP(B97,正厂竞争者数据汇总!D:H,4,FALSE)</f>
        <v>0</v>
      </c>
      <c r="F97" s="430">
        <v>589944.5</v>
      </c>
      <c r="G97" s="430">
        <v>84705.75</v>
      </c>
      <c r="H97" s="430">
        <v>65461.25</v>
      </c>
      <c r="I97" s="453"/>
      <c r="J97" s="451"/>
      <c r="K97" s="451"/>
      <c r="L97" s="451"/>
      <c r="M97" s="451"/>
      <c r="N97" s="451" t="str">
        <f t="shared" si="23"/>
        <v/>
      </c>
      <c r="O97" s="430" t="s">
        <v>180</v>
      </c>
      <c r="P97" s="471" t="str">
        <f t="array" ref="P97">INDEX(正厂竞争者数据汇总!$I$2:$I$243,MATCH($A$79&amp;$B97,正厂竞争者数据汇总!$A$2:$A$243&amp;正厂竞争者数据汇总!$D$2:$D$243,0))</f>
        <v>无法获取semrush流量信息</v>
      </c>
      <c r="Q97" s="429" t="s">
        <v>180</v>
      </c>
      <c r="R97" s="421" t="s">
        <v>180</v>
      </c>
      <c r="S97" s="473">
        <f>VLOOKUP(B97,正厂竞争者数据汇总!$D$2:$CL$243,25,FALSE)</f>
        <v>255715</v>
      </c>
      <c r="T97" s="466"/>
      <c r="U97" s="466"/>
      <c r="V97" s="421"/>
      <c r="W97" s="421"/>
    </row>
    <row r="98" s="408" customFormat="1" spans="1:23">
      <c r="A98" s="428"/>
      <c r="B98" s="421"/>
      <c r="C98" s="429"/>
      <c r="D98" s="421"/>
      <c r="E98" s="430"/>
      <c r="F98" s="430"/>
      <c r="G98" s="430"/>
      <c r="H98" s="430"/>
      <c r="I98" s="450"/>
      <c r="J98" s="451"/>
      <c r="K98" s="451"/>
      <c r="L98" s="451"/>
      <c r="M98" s="452"/>
      <c r="N98" s="451"/>
      <c r="O98" s="430"/>
      <c r="P98" s="471"/>
      <c r="Q98" s="429"/>
      <c r="R98" s="421"/>
      <c r="S98" s="472"/>
      <c r="T98" s="466"/>
      <c r="U98" s="466"/>
      <c r="V98" s="421"/>
      <c r="W98" s="421"/>
    </row>
    <row r="99" s="408" customFormat="1" spans="1:23">
      <c r="A99" s="428"/>
      <c r="B99" s="421"/>
      <c r="C99" s="439"/>
      <c r="D99" s="421"/>
      <c r="E99" s="430"/>
      <c r="F99" s="430">
        <v>1270419.34583333</v>
      </c>
      <c r="G99" s="430">
        <v>1259631.94083333</v>
      </c>
      <c r="H99" s="430">
        <v>1312329.41166667</v>
      </c>
      <c r="I99" s="453">
        <f t="shared" ref="I99:I107" si="24">(F99/G99)-1</f>
        <v>0.00856393415433998</v>
      </c>
      <c r="J99" s="430"/>
      <c r="K99" s="430"/>
      <c r="L99" s="430"/>
      <c r="M99" s="451"/>
      <c r="N99" s="459">
        <f>SUM(N81:N88)</f>
        <v>0</v>
      </c>
      <c r="O99" s="430" t="s">
        <v>180</v>
      </c>
      <c r="P99" s="471"/>
      <c r="Q99" s="429"/>
      <c r="R99" s="421"/>
      <c r="S99" s="473"/>
      <c r="T99" s="466"/>
      <c r="U99" s="466"/>
      <c r="V99" s="421"/>
      <c r="W99" s="421"/>
    </row>
    <row r="100" s="408" customFormat="1" spans="1:23">
      <c r="A100" s="428"/>
      <c r="B100" s="421"/>
      <c r="C100" s="439"/>
      <c r="D100" s="421"/>
      <c r="E100" s="430"/>
      <c r="F100" s="430"/>
      <c r="G100" s="430"/>
      <c r="H100" s="430"/>
      <c r="I100" s="453"/>
      <c r="J100" s="430"/>
      <c r="K100" s="430"/>
      <c r="L100" s="430"/>
      <c r="M100" s="451"/>
      <c r="N100" s="459"/>
      <c r="O100" s="430"/>
      <c r="P100" s="471"/>
      <c r="Q100" s="429"/>
      <c r="R100" s="421"/>
      <c r="S100" s="473"/>
      <c r="T100" s="466"/>
      <c r="U100" s="466"/>
      <c r="V100" s="421"/>
      <c r="W100" s="421"/>
    </row>
    <row r="101" s="408" customFormat="1" ht="17.4" spans="1:23">
      <c r="A101" s="418" t="s">
        <v>159</v>
      </c>
      <c r="B101" s="419"/>
      <c r="C101" s="420"/>
      <c r="D101" s="421"/>
      <c r="E101" s="422" t="s">
        <v>202</v>
      </c>
      <c r="F101" s="422"/>
      <c r="G101" s="422"/>
      <c r="H101" s="422"/>
      <c r="I101" s="422"/>
      <c r="J101" s="422"/>
      <c r="K101" s="422"/>
      <c r="L101" s="422"/>
      <c r="M101" s="443"/>
      <c r="N101" s="444"/>
      <c r="O101" s="422"/>
      <c r="P101" s="471"/>
      <c r="Q101" s="465"/>
      <c r="R101" s="424"/>
      <c r="S101" s="473"/>
      <c r="T101" s="467"/>
      <c r="U101" s="467"/>
      <c r="V101" s="467"/>
      <c r="W101" s="467"/>
    </row>
    <row r="102" s="409" customFormat="1" ht="46.8" spans="1:23">
      <c r="A102" s="423" t="s">
        <v>206</v>
      </c>
      <c r="B102" s="424" t="s">
        <v>207</v>
      </c>
      <c r="C102" s="425" t="s">
        <v>208</v>
      </c>
      <c r="D102" s="424" t="s">
        <v>209</v>
      </c>
      <c r="E102" s="426" t="s">
        <v>210</v>
      </c>
      <c r="F102" s="427" t="s">
        <v>213</v>
      </c>
      <c r="G102" s="427" t="s">
        <v>396</v>
      </c>
      <c r="H102" s="427" t="s">
        <v>496</v>
      </c>
      <c r="I102" s="427" t="s">
        <v>497</v>
      </c>
      <c r="J102" s="446" t="s">
        <v>217</v>
      </c>
      <c r="K102" s="446" t="s">
        <v>387</v>
      </c>
      <c r="L102" s="446" t="s">
        <v>390</v>
      </c>
      <c r="M102" s="447" t="s">
        <v>498</v>
      </c>
      <c r="N102" s="448" t="s">
        <v>219</v>
      </c>
      <c r="O102" s="449" t="s">
        <v>220</v>
      </c>
      <c r="P102" s="468" t="s">
        <v>221</v>
      </c>
      <c r="Q102" s="469" t="s">
        <v>222</v>
      </c>
      <c r="R102" s="426" t="s">
        <v>223</v>
      </c>
      <c r="S102" s="470" t="s">
        <v>224</v>
      </c>
      <c r="T102" s="467" t="s">
        <v>225</v>
      </c>
      <c r="U102" s="470" t="s">
        <v>226</v>
      </c>
      <c r="V102" s="467"/>
      <c r="W102" s="467"/>
    </row>
    <row r="103" s="410" customFormat="1" ht="17.4" spans="1:23">
      <c r="A103" s="432" t="s">
        <v>227</v>
      </c>
      <c r="B103" s="479" t="s">
        <v>557</v>
      </c>
      <c r="C103" s="434" t="e">
        <f>VLOOKUP(B103,正厂竞争者数据汇总!D:H,2,FALSE)</f>
        <v>#N/A</v>
      </c>
      <c r="D103" s="435" t="e">
        <f>VLOOKUP(B103,正厂竞争者数据汇总!D:H,3,FALSE)</f>
        <v>#N/A</v>
      </c>
      <c r="E103" s="436" t="e">
        <f>VLOOKUP(B103,正厂竞争者数据汇总!D:H,4,FALSE)</f>
        <v>#N/A</v>
      </c>
      <c r="F103" s="436">
        <v>369856.833333333</v>
      </c>
      <c r="G103" s="436">
        <v>370810.25</v>
      </c>
      <c r="H103" s="436">
        <v>385621.333333333</v>
      </c>
      <c r="I103" s="454">
        <f t="shared" si="24"/>
        <v>-0.00257117128414597</v>
      </c>
      <c r="J103" s="455">
        <f t="shared" ref="J103:J107" si="25">F103/F$112</f>
        <v>0.547638900515296</v>
      </c>
      <c r="K103" s="455">
        <v>0.564460050660259</v>
      </c>
      <c r="L103" s="455">
        <v>0.579563558727877</v>
      </c>
      <c r="M103" s="456">
        <f t="shared" ref="M103:M107" si="26">J103-K103</f>
        <v>-0.016821150144963</v>
      </c>
      <c r="N103" s="455" t="str">
        <f>IFERROR(O103*0.5/$F$103,"")</f>
        <v/>
      </c>
      <c r="O103" s="436" t="s">
        <v>180</v>
      </c>
      <c r="P103" s="471" t="e">
        <f t="array" ref="P103">INDEX(正厂竞争者数据汇总!$I$2:$I$243,MATCH($A$101&amp;$B103,正厂竞争者数据汇总!$A$2:$A$243&amp;正厂竞争者数据汇总!$D$2:$D$243,0))</f>
        <v>#N/A</v>
      </c>
      <c r="Q103" s="434" t="s">
        <v>280</v>
      </c>
      <c r="R103" s="435" t="s">
        <v>229</v>
      </c>
      <c r="S103" s="476" t="e">
        <f>VLOOKUP(B103,正厂竞争者数据汇总!$D$2:$CL$243,25,FALSE)</f>
        <v>#N/A</v>
      </c>
      <c r="T103" s="477"/>
      <c r="U103" s="477"/>
      <c r="V103" s="435"/>
      <c r="W103" s="435"/>
    </row>
    <row r="104" s="408" customFormat="1" spans="1:23">
      <c r="A104" s="428" t="s">
        <v>230</v>
      </c>
      <c r="B104" s="421" t="s">
        <v>507</v>
      </c>
      <c r="C104" s="429" t="e">
        <f>VLOOKUP(B104,正厂竞争者数据汇总!D:H,2,FALSE)</f>
        <v>#N/A</v>
      </c>
      <c r="D104" s="421" t="e">
        <f>VLOOKUP(B104,正厂竞争者数据汇总!D:H,3,FALSE)</f>
        <v>#N/A</v>
      </c>
      <c r="E104" s="430"/>
      <c r="F104" s="430">
        <v>112242.421666667</v>
      </c>
      <c r="G104" s="430">
        <v>101630.713333333</v>
      </c>
      <c r="H104" s="430">
        <v>105740.378333333</v>
      </c>
      <c r="I104" s="453">
        <f t="shared" si="24"/>
        <v>0.104414384050707</v>
      </c>
      <c r="J104" s="459">
        <f t="shared" si="25"/>
        <v>0.166194891787519</v>
      </c>
      <c r="K104" s="459">
        <v>0.154705749360411</v>
      </c>
      <c r="L104" s="459">
        <v>0.158920849731944</v>
      </c>
      <c r="M104" s="451">
        <f t="shared" si="26"/>
        <v>0.0114891424271081</v>
      </c>
      <c r="N104" s="459"/>
      <c r="O104" s="430"/>
      <c r="P104" s="471" t="e">
        <f t="array" ref="P104">INDEX(正厂竞争者数据汇总!$I$2:$I$243,MATCH($A$101&amp;$B104,正厂竞争者数据汇总!$A$2:$A$243&amp;正厂竞争者数据汇总!$D$2:$D$243,0))</f>
        <v>#N/A</v>
      </c>
      <c r="Q104" s="429"/>
      <c r="R104" s="421"/>
      <c r="S104" s="473"/>
      <c r="T104" s="466"/>
      <c r="U104" s="466"/>
      <c r="V104" s="421"/>
      <c r="W104" s="421"/>
    </row>
    <row r="105" s="408" customFormat="1" spans="1:23">
      <c r="A105" s="428" t="s">
        <v>230</v>
      </c>
      <c r="B105" s="438" t="s">
        <v>558</v>
      </c>
      <c r="C105" s="429"/>
      <c r="D105" s="421" t="e">
        <f>VLOOKUP(B105,正厂竞争者数据汇总!D:H,3,FALSE)</f>
        <v>#N/A</v>
      </c>
      <c r="E105" s="430" t="e">
        <f>VLOOKUP(B105,正厂竞争者数据汇总!D:H,4,FALSE)</f>
        <v>#N/A</v>
      </c>
      <c r="F105" s="430">
        <v>127772</v>
      </c>
      <c r="G105" s="430">
        <v>129027.25</v>
      </c>
      <c r="H105" s="430">
        <v>113830.416666666</v>
      </c>
      <c r="I105" s="453">
        <f t="shared" si="24"/>
        <v>-0.00972856508993258</v>
      </c>
      <c r="J105" s="459">
        <f t="shared" si="25"/>
        <v>0.189189197793129</v>
      </c>
      <c r="K105" s="459">
        <v>0.196409694908795</v>
      </c>
      <c r="L105" s="459">
        <v>0.17107964646184</v>
      </c>
      <c r="M105" s="451">
        <f t="shared" si="26"/>
        <v>-0.00722049711566572</v>
      </c>
      <c r="N105" s="459"/>
      <c r="O105" s="430"/>
      <c r="P105" s="471" t="e">
        <f t="array" ref="P105">INDEX(正厂竞争者数据汇总!$I$2:$I$243,MATCH($A$101&amp;$B105,正厂竞争者数据汇总!$A$2:$A$243&amp;正厂竞争者数据汇总!$D$2:$D$243,0))</f>
        <v>#N/A</v>
      </c>
      <c r="Q105" s="429"/>
      <c r="R105" s="421"/>
      <c r="S105" s="473"/>
      <c r="T105" s="466"/>
      <c r="U105" s="466"/>
      <c r="V105" s="421"/>
      <c r="W105" s="421"/>
    </row>
    <row r="106" s="408" customFormat="1" spans="1:23">
      <c r="A106" s="428" t="s">
        <v>230</v>
      </c>
      <c r="B106" s="431" t="s">
        <v>559</v>
      </c>
      <c r="C106" s="429" t="e">
        <f>VLOOKUP(B106,正厂竞争者数据汇总!D:H,2,FALSE)</f>
        <v>#N/A</v>
      </c>
      <c r="D106" s="421" t="e">
        <f>VLOOKUP(B106,正厂竞争者数据汇总!D:H,3,FALSE)</f>
        <v>#N/A</v>
      </c>
      <c r="E106" s="430" t="e">
        <f>VLOOKUP(B106,正厂竞争者数据汇总!D:H,4,FALSE)</f>
        <v>#N/A</v>
      </c>
      <c r="F106" s="430">
        <v>43528.6666666667</v>
      </c>
      <c r="G106" s="430">
        <v>33783.9166666667</v>
      </c>
      <c r="H106" s="430">
        <v>32906.25</v>
      </c>
      <c r="I106" s="453">
        <f t="shared" si="24"/>
        <v>0.288443465455702</v>
      </c>
      <c r="J106" s="459">
        <f t="shared" si="25"/>
        <v>0.0644519419565413</v>
      </c>
      <c r="K106" s="459">
        <v>0.0514270339430171</v>
      </c>
      <c r="L106" s="459">
        <v>0.049455934373589</v>
      </c>
      <c r="M106" s="451">
        <f t="shared" si="26"/>
        <v>0.0130249080135242</v>
      </c>
      <c r="N106" s="459"/>
      <c r="O106" s="430"/>
      <c r="P106" s="471" t="e">
        <f t="array" ref="P106">INDEX(正厂竞争者数据汇总!$I$2:$I$243,MATCH($A$101&amp;$B106,正厂竞争者数据汇总!$A$2:$A$243&amp;正厂竞争者数据汇总!$D$2:$D$243,0))</f>
        <v>#N/A</v>
      </c>
      <c r="Q106" s="429"/>
      <c r="R106" s="421"/>
      <c r="S106" s="473" t="e">
        <f>VLOOKUP(B106,正厂竞争者数据汇总!$D$2:$CL$243,25,FALSE)</f>
        <v>#N/A</v>
      </c>
      <c r="T106" s="466"/>
      <c r="U106" s="466"/>
      <c r="V106" s="421"/>
      <c r="W106" s="421"/>
    </row>
    <row r="107" s="408" customFormat="1" spans="1:23">
      <c r="A107" s="428" t="s">
        <v>230</v>
      </c>
      <c r="B107" s="431" t="s">
        <v>560</v>
      </c>
      <c r="C107" s="429" t="e">
        <f>VLOOKUP(B107,正厂竞争者数据汇总!D:H,2,FALSE)</f>
        <v>#N/A</v>
      </c>
      <c r="D107" s="421" t="e">
        <f>VLOOKUP(B107,正厂竞争者数据汇总!D:H,3,FALSE)</f>
        <v>#N/A</v>
      </c>
      <c r="E107" s="430" t="e">
        <f>VLOOKUP(B107,正厂竞争者数据汇总!D:H,4,FALSE)</f>
        <v>#N/A</v>
      </c>
      <c r="F107" s="430">
        <v>21966.3333333333</v>
      </c>
      <c r="G107" s="430">
        <v>21677</v>
      </c>
      <c r="H107" s="430">
        <v>27266.6666666666</v>
      </c>
      <c r="I107" s="453">
        <f t="shared" si="24"/>
        <v>0.0133474804324076</v>
      </c>
      <c r="J107" s="459">
        <f t="shared" si="25"/>
        <v>0.0325250679475143</v>
      </c>
      <c r="K107" s="459">
        <v>0.0329974711275172</v>
      </c>
      <c r="L107" s="459">
        <v>0.0409800107047503</v>
      </c>
      <c r="M107" s="451">
        <f t="shared" si="26"/>
        <v>-0.000472403180002856</v>
      </c>
      <c r="N107" s="459">
        <f>IFERROR(O107*0.5/$F$103,"")</f>
        <v>0.0142731241502906</v>
      </c>
      <c r="O107" s="430">
        <v>10558.025</v>
      </c>
      <c r="P107" s="471" t="e">
        <f t="array" ref="P107">INDEX(正厂竞争者数据汇总!$I$2:$I$243,MATCH($A$101&amp;$B107,正厂竞争者数据汇总!$A$2:$A$243&amp;正厂竞争者数据汇总!$D$2:$D$243,0))</f>
        <v>#N/A</v>
      </c>
      <c r="Q107" s="429" t="s">
        <v>180</v>
      </c>
      <c r="R107" s="421" t="s">
        <v>180</v>
      </c>
      <c r="S107" s="473" t="e">
        <f>VLOOKUP(B107,正厂竞争者数据汇总!$D$2:$CL$243,25,FALSE)</f>
        <v>#N/A</v>
      </c>
      <c r="T107" s="466"/>
      <c r="U107" s="466"/>
      <c r="V107" s="421"/>
      <c r="W107" s="435"/>
    </row>
    <row r="108" s="408" customFormat="1" spans="1:23">
      <c r="A108" s="428"/>
      <c r="B108" s="431"/>
      <c r="C108" s="429"/>
      <c r="D108" s="421"/>
      <c r="E108" s="430"/>
      <c r="F108" s="430"/>
      <c r="G108" s="430"/>
      <c r="H108" s="430"/>
      <c r="I108" s="453"/>
      <c r="J108" s="459"/>
      <c r="K108" s="459"/>
      <c r="L108" s="459"/>
      <c r="M108" s="451"/>
      <c r="N108" s="459"/>
      <c r="O108" s="430"/>
      <c r="P108" s="471"/>
      <c r="Q108" s="429"/>
      <c r="R108" s="421"/>
      <c r="S108" s="473"/>
      <c r="T108" s="466"/>
      <c r="U108" s="466"/>
      <c r="V108" s="421"/>
      <c r="W108" s="435"/>
    </row>
    <row r="109" s="408" customFormat="1" ht="17.4" spans="1:23">
      <c r="A109" s="428" t="s">
        <v>561</v>
      </c>
      <c r="B109" s="421" t="s">
        <v>562</v>
      </c>
      <c r="C109" s="429" t="str">
        <f>VLOOKUP(B109,正厂竞争者数据汇总!D:H,2,FALSE)</f>
        <v>原厂目录</v>
      </c>
      <c r="D109" s="421" t="str">
        <f>VLOOKUP(B109,正厂竞争者数据汇总!D:H,3,FALSE)</f>
        <v>-</v>
      </c>
      <c r="E109" s="430">
        <f>VLOOKUP(B109,正厂竞争者数据汇总!D:H,4,FALSE)</f>
        <v>0</v>
      </c>
      <c r="F109" s="430">
        <v>392652.083333333</v>
      </c>
      <c r="G109" s="430">
        <v>422948.25</v>
      </c>
      <c r="H109" s="430">
        <v>328157.75</v>
      </c>
      <c r="I109" s="453"/>
      <c r="J109" s="459"/>
      <c r="K109" s="459"/>
      <c r="L109" s="459"/>
      <c r="M109" s="451"/>
      <c r="N109" s="459" t="str">
        <f>IFERROR(O109*0.5/$F$103,"")</f>
        <v/>
      </c>
      <c r="O109" s="430" t="s">
        <v>180</v>
      </c>
      <c r="P109" s="471" t="str">
        <f t="array" ref="P109">INDEX(正厂竞争者数据汇总!$I$2:$I$243,MATCH($A$101&amp;$B109,正厂竞争者数据汇总!$A$2:$A$243&amp;正厂竞争者数据汇总!$D$2:$D$243,0))</f>
        <v>变成simplepart</v>
      </c>
      <c r="Q109" s="429" t="s">
        <v>180</v>
      </c>
      <c r="R109" s="421" t="s">
        <v>180</v>
      </c>
      <c r="S109" s="473">
        <f>VLOOKUP(B109,正厂竞争者数据汇总!$D$2:$CL$243,25,FALSE)</f>
        <v>269330</v>
      </c>
      <c r="T109" s="466"/>
      <c r="U109" s="466"/>
      <c r="V109" s="421"/>
      <c r="W109" s="421"/>
    </row>
    <row r="110" s="408" customFormat="1" spans="1:23">
      <c r="A110" s="428" t="s">
        <v>230</v>
      </c>
      <c r="B110" s="442" t="s">
        <v>563</v>
      </c>
      <c r="C110" s="429" t="e">
        <f>VLOOKUP(B110,正厂竞争者数据汇总!D:H,2,FALSE)</f>
        <v>#N/A</v>
      </c>
      <c r="D110" s="421" t="e">
        <f>VLOOKUP(B110,正厂竞争者数据汇总!D:H,3,FALSE)</f>
        <v>#N/A</v>
      </c>
      <c r="E110" s="430" t="e">
        <f>VLOOKUP(B110,正厂竞争者数据汇总!D:H,4,FALSE)</f>
        <v>#N/A</v>
      </c>
      <c r="F110" s="430">
        <v>33632.4166666667</v>
      </c>
      <c r="G110" s="430">
        <v>28606.6666666667</v>
      </c>
      <c r="H110" s="430">
        <v>30276.6666666667</v>
      </c>
      <c r="I110" s="453"/>
      <c r="J110" s="459">
        <f>F110/F112</f>
        <v>0.0497987816502124</v>
      </c>
      <c r="K110" s="459">
        <v>0.0435460468417144</v>
      </c>
      <c r="L110" s="459">
        <v>0.0455038431823042</v>
      </c>
      <c r="M110" s="451"/>
      <c r="N110" s="459"/>
      <c r="O110" s="430"/>
      <c r="P110" s="471" t="e">
        <f t="array" ref="P110">INDEX(正厂竞争者数据汇总!$I$2:$I$243,MATCH($A$101&amp;$B110,正厂竞争者数据汇总!$A$2:$A$243&amp;正厂竞争者数据汇总!$D$2:$D$243,0))</f>
        <v>#N/A</v>
      </c>
      <c r="Q110" s="429"/>
      <c r="R110" s="421"/>
      <c r="S110" s="473" t="e">
        <f>VLOOKUP(B110,正厂竞争者数据汇总!$D$2:$CL$243,25,FALSE)</f>
        <v>#N/A</v>
      </c>
      <c r="T110" s="466"/>
      <c r="U110" s="466"/>
      <c r="V110" s="421"/>
      <c r="W110" s="421"/>
    </row>
    <row r="111" s="408" customFormat="1" spans="1:23">
      <c r="A111" s="428"/>
      <c r="B111" s="438"/>
      <c r="C111" s="429"/>
      <c r="D111" s="421"/>
      <c r="E111" s="430"/>
      <c r="F111" s="430"/>
      <c r="G111" s="430"/>
      <c r="H111" s="430"/>
      <c r="I111" s="453"/>
      <c r="J111" s="459"/>
      <c r="K111" s="459"/>
      <c r="L111" s="459"/>
      <c r="M111" s="451"/>
      <c r="N111" s="459"/>
      <c r="O111" s="430"/>
      <c r="P111" s="471"/>
      <c r="Q111" s="429"/>
      <c r="R111" s="421"/>
      <c r="S111" s="473"/>
      <c r="T111" s="466"/>
      <c r="U111" s="466"/>
      <c r="V111" s="421"/>
      <c r="W111" s="421"/>
    </row>
    <row r="112" s="408" customFormat="1" spans="1:23">
      <c r="A112" s="428"/>
      <c r="B112" s="421"/>
      <c r="C112" s="429"/>
      <c r="D112" s="421"/>
      <c r="E112" s="430"/>
      <c r="F112" s="430">
        <v>675366.255</v>
      </c>
      <c r="G112" s="430">
        <v>656929.13</v>
      </c>
      <c r="H112" s="430">
        <v>665365.044999999</v>
      </c>
      <c r="I112" s="453">
        <f t="shared" ref="I112:I121" si="27">(F112/G112)-1</f>
        <v>0.0280656225428761</v>
      </c>
      <c r="J112" s="451"/>
      <c r="K112" s="451"/>
      <c r="L112" s="451"/>
      <c r="M112" s="451"/>
      <c r="N112" s="451">
        <f>SUM(N103:N111)</f>
        <v>0.0142731241502906</v>
      </c>
      <c r="O112" s="430"/>
      <c r="P112" s="471"/>
      <c r="Q112" s="429"/>
      <c r="R112" s="421"/>
      <c r="S112" s="473"/>
      <c r="T112" s="466"/>
      <c r="U112" s="466"/>
      <c r="V112" s="421"/>
      <c r="W112" s="421"/>
    </row>
    <row r="113" s="408" customFormat="1" spans="1:23">
      <c r="A113" s="428"/>
      <c r="B113" s="421"/>
      <c r="C113" s="429"/>
      <c r="D113" s="421"/>
      <c r="E113" s="430"/>
      <c r="F113" s="430"/>
      <c r="G113" s="430"/>
      <c r="H113" s="430"/>
      <c r="I113" s="453"/>
      <c r="J113" s="451"/>
      <c r="K113" s="451"/>
      <c r="L113" s="451"/>
      <c r="M113" s="451"/>
      <c r="N113" s="451"/>
      <c r="O113" s="430"/>
      <c r="P113" s="471"/>
      <c r="Q113" s="429"/>
      <c r="R113" s="421"/>
      <c r="S113" s="473"/>
      <c r="T113" s="466"/>
      <c r="U113" s="466"/>
      <c r="V113" s="421"/>
      <c r="W113" s="421"/>
    </row>
    <row r="114" s="408" customFormat="1" ht="17.4" spans="1:23">
      <c r="A114" s="418" t="s">
        <v>274</v>
      </c>
      <c r="B114" s="419"/>
      <c r="C114" s="420"/>
      <c r="D114" s="421"/>
      <c r="E114" s="422" t="s">
        <v>202</v>
      </c>
      <c r="F114" s="422"/>
      <c r="G114" s="422"/>
      <c r="H114" s="422"/>
      <c r="I114" s="422"/>
      <c r="J114" s="422"/>
      <c r="K114" s="422"/>
      <c r="L114" s="422"/>
      <c r="M114" s="443"/>
      <c r="N114" s="444"/>
      <c r="O114" s="422"/>
      <c r="P114" s="471"/>
      <c r="Q114" s="465"/>
      <c r="R114" s="424"/>
      <c r="S114" s="473"/>
      <c r="T114" s="467"/>
      <c r="U114" s="467"/>
      <c r="V114" s="467"/>
      <c r="W114" s="467"/>
    </row>
    <row r="115" s="409" customFormat="1" ht="46.8" spans="1:23">
      <c r="A115" s="423" t="s">
        <v>206</v>
      </c>
      <c r="B115" s="424" t="s">
        <v>207</v>
      </c>
      <c r="C115" s="425" t="s">
        <v>208</v>
      </c>
      <c r="D115" s="424" t="s">
        <v>209</v>
      </c>
      <c r="E115" s="426" t="s">
        <v>210</v>
      </c>
      <c r="F115" s="427" t="s">
        <v>213</v>
      </c>
      <c r="G115" s="427" t="s">
        <v>396</v>
      </c>
      <c r="H115" s="427" t="s">
        <v>496</v>
      </c>
      <c r="I115" s="427" t="s">
        <v>497</v>
      </c>
      <c r="J115" s="446" t="s">
        <v>217</v>
      </c>
      <c r="K115" s="446" t="s">
        <v>387</v>
      </c>
      <c r="L115" s="446" t="s">
        <v>390</v>
      </c>
      <c r="M115" s="447" t="s">
        <v>498</v>
      </c>
      <c r="N115" s="448" t="s">
        <v>219</v>
      </c>
      <c r="O115" s="449" t="s">
        <v>220</v>
      </c>
      <c r="P115" s="468" t="s">
        <v>221</v>
      </c>
      <c r="Q115" s="469" t="s">
        <v>222</v>
      </c>
      <c r="R115" s="426" t="s">
        <v>223</v>
      </c>
      <c r="S115" s="470" t="s">
        <v>224</v>
      </c>
      <c r="T115" s="467" t="s">
        <v>225</v>
      </c>
      <c r="U115" s="470" t="s">
        <v>226</v>
      </c>
      <c r="V115" s="467"/>
      <c r="W115" s="467"/>
    </row>
    <row r="116" s="410" customFormat="1" ht="17.4" spans="1:23">
      <c r="A116" s="432" t="s">
        <v>227</v>
      </c>
      <c r="B116" s="435" t="s">
        <v>564</v>
      </c>
      <c r="C116" s="434" t="e">
        <f>VLOOKUP(B116,正厂竞争者数据汇总!D:H,2,FALSE)</f>
        <v>#N/A</v>
      </c>
      <c r="D116" s="435" t="e">
        <f>VLOOKUP(B116,正厂竞争者数据汇总!D:H,3,FALSE)</f>
        <v>#N/A</v>
      </c>
      <c r="E116" s="436" t="e">
        <f>VLOOKUP(B116,正厂竞争者数据汇总!D:H,4,FALSE)</f>
        <v>#N/A</v>
      </c>
      <c r="F116" s="436">
        <v>278909.416666667</v>
      </c>
      <c r="G116" s="436">
        <v>329867.416666667</v>
      </c>
      <c r="H116" s="436">
        <v>360521.5</v>
      </c>
      <c r="I116" s="454">
        <f t="shared" si="27"/>
        <v>-0.154480246988121</v>
      </c>
      <c r="J116" s="457">
        <f t="shared" ref="J116:J122" si="28">F116/F$127</f>
        <v>0.395706607668159</v>
      </c>
      <c r="K116" s="457">
        <v>0.431318061370065</v>
      </c>
      <c r="L116" s="457">
        <v>0.42821395444871</v>
      </c>
      <c r="M116" s="456">
        <f t="shared" ref="M116:M122" si="29">J116-K116</f>
        <v>-0.0356114537019055</v>
      </c>
      <c r="N116" s="457" t="str">
        <f t="shared" ref="N116:N122" si="30">IFERROR(O116*0.5/$F$116,"")</f>
        <v/>
      </c>
      <c r="O116" s="436" t="s">
        <v>180</v>
      </c>
      <c r="P116" s="471" t="e">
        <f t="array" ref="P116">INDEX(正厂竞争者数据汇总!$I$2:$I$243,MATCH($A$114&amp;$B116,正厂竞争者数据汇总!$A$2:$A$243&amp;正厂竞争者数据汇总!$D$2:$D$243,0))</f>
        <v>#N/A</v>
      </c>
      <c r="Q116" s="434" t="s">
        <v>275</v>
      </c>
      <c r="R116" s="435" t="s">
        <v>229</v>
      </c>
      <c r="S116" s="476" t="e">
        <f>VLOOKUP(B116,正厂竞争者数据汇总!$D$2:$CL$243,25,FALSE)</f>
        <v>#N/A</v>
      </c>
      <c r="T116" s="477"/>
      <c r="U116" s="477"/>
      <c r="V116" s="435"/>
      <c r="W116" s="435"/>
    </row>
    <row r="117" s="408" customFormat="1" ht="46.8" spans="1:23">
      <c r="A117" s="428" t="s">
        <v>230</v>
      </c>
      <c r="B117" s="431" t="s">
        <v>276</v>
      </c>
      <c r="C117" s="429" t="str">
        <f>VLOOKUP(B117,正厂竞争者数据汇总!D:H,2,FALSE)</f>
        <v>Motor目录</v>
      </c>
      <c r="D117" s="421" t="str">
        <f>VLOOKUP(B117,正厂竞争者数据汇总!D:H,3,FALSE)</f>
        <v>-</v>
      </c>
      <c r="E117" s="430">
        <f>VLOOKUP(B117,正厂竞争者数据汇总!D:H,4,FALSE)</f>
        <v>0</v>
      </c>
      <c r="F117" s="430">
        <v>155560.833333333</v>
      </c>
      <c r="G117" s="430">
        <v>117933.333333334</v>
      </c>
      <c r="H117" s="430">
        <v>149776.083333333</v>
      </c>
      <c r="I117" s="453">
        <f t="shared" si="27"/>
        <v>0.31905737704917</v>
      </c>
      <c r="J117" s="451">
        <f t="shared" si="28"/>
        <v>0.22070409231802</v>
      </c>
      <c r="K117" s="451">
        <v>0.154203701651578</v>
      </c>
      <c r="L117" s="451">
        <v>0.177898430262845</v>
      </c>
      <c r="M117" s="451">
        <f t="shared" si="29"/>
        <v>0.0665003906664419</v>
      </c>
      <c r="N117" s="457"/>
      <c r="O117" s="430"/>
      <c r="P117" s="471" t="str">
        <f t="array" ref="P117">INDEX(正厂竞争者数据汇总!$I$2:$I$243,MATCH($A$114&amp;$B117,正厂竞争者数据汇总!$A$2:$A$243&amp;正厂竞争者数据汇总!$D$2:$D$243,0))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Q117" s="429"/>
      <c r="R117" s="435"/>
      <c r="S117" s="473">
        <f>VLOOKUP(B117,正厂竞争者数据汇总!$D$2:$CL$243,25,FALSE)</f>
        <v>0</v>
      </c>
      <c r="T117" s="466"/>
      <c r="U117" s="466"/>
      <c r="V117" s="421"/>
      <c r="W117" s="421"/>
    </row>
    <row r="118" s="408" customFormat="1" spans="1:23">
      <c r="A118" s="428" t="s">
        <v>391</v>
      </c>
      <c r="B118" s="431" t="s">
        <v>565</v>
      </c>
      <c r="C118" s="429" t="e">
        <f>VLOOKUP(B118,正厂竞争者数据汇总!D:H,2,FALSE)</f>
        <v>#N/A</v>
      </c>
      <c r="D118" s="421" t="e">
        <f>VLOOKUP(B118,正厂竞争者数据汇总!D:H,3,FALSE)</f>
        <v>#N/A</v>
      </c>
      <c r="E118" s="430" t="e">
        <f>VLOOKUP(B118,正厂竞争者数据汇总!D:H,4,FALSE)</f>
        <v>#N/A</v>
      </c>
      <c r="F118" s="430">
        <v>131946.083333333</v>
      </c>
      <c r="G118" s="430">
        <v>166951.666666667</v>
      </c>
      <c r="H118" s="430">
        <v>180804.333333333</v>
      </c>
      <c r="I118" s="453">
        <f t="shared" si="27"/>
        <v>-0.209674955825542</v>
      </c>
      <c r="J118" s="451">
        <f t="shared" si="28"/>
        <v>0.187200337854973</v>
      </c>
      <c r="K118" s="451">
        <v>0.218297611618713</v>
      </c>
      <c r="L118" s="451">
        <v>0.214752625178053</v>
      </c>
      <c r="M118" s="451">
        <f t="shared" si="29"/>
        <v>-0.0310972737637401</v>
      </c>
      <c r="N118" s="457" t="str">
        <f t="shared" si="30"/>
        <v/>
      </c>
      <c r="O118" s="430" t="s">
        <v>180</v>
      </c>
      <c r="P118" s="471" t="e">
        <f t="array" ref="P118">INDEX(正厂竞争者数据汇总!$I$2:$I$243,MATCH($A$114&amp;$B118,正厂竞争者数据汇总!$A$2:$A$243&amp;正厂竞争者数据汇总!$D$2:$D$243,0))</f>
        <v>#N/A</v>
      </c>
      <c r="Q118" s="429" t="s">
        <v>180</v>
      </c>
      <c r="R118" s="435" t="s">
        <v>180</v>
      </c>
      <c r="S118" s="473" t="e">
        <f>VLOOKUP(B118,正厂竞争者数据汇总!$D$2:$CL$243,25,FALSE)</f>
        <v>#N/A</v>
      </c>
      <c r="T118" s="466"/>
      <c r="U118" s="466"/>
      <c r="V118" s="474"/>
      <c r="W118" s="474"/>
    </row>
    <row r="119" s="408" customFormat="1" spans="1:23">
      <c r="A119" s="428" t="s">
        <v>230</v>
      </c>
      <c r="B119" s="431" t="s">
        <v>566</v>
      </c>
      <c r="C119" s="429" t="e">
        <f>VLOOKUP(B119,正厂竞争者数据汇总!D:H,2,FALSE)</f>
        <v>#N/A</v>
      </c>
      <c r="D119" s="421" t="e">
        <f>VLOOKUP(B119,正厂竞争者数据汇总!D:H,3,FALSE)</f>
        <v>#N/A</v>
      </c>
      <c r="E119" s="430" t="e">
        <f>VLOOKUP(B119,正厂竞争者数据汇总!D:H,4,FALSE)</f>
        <v>#N/A</v>
      </c>
      <c r="F119" s="430">
        <v>103048.75</v>
      </c>
      <c r="G119" s="430">
        <v>108736.416666667</v>
      </c>
      <c r="H119" s="430">
        <v>115528.166666667</v>
      </c>
      <c r="I119" s="453">
        <f t="shared" si="27"/>
        <v>-0.0523069164960864</v>
      </c>
      <c r="J119" s="451">
        <f t="shared" si="28"/>
        <v>0.146201844936911</v>
      </c>
      <c r="K119" s="451">
        <v>0.142178275474801</v>
      </c>
      <c r="L119" s="451">
        <v>0.137220035694246</v>
      </c>
      <c r="M119" s="451">
        <f t="shared" si="29"/>
        <v>0.00402356946210966</v>
      </c>
      <c r="N119" s="457"/>
      <c r="O119" s="430"/>
      <c r="P119" s="471" t="e">
        <f t="array" ref="P119">INDEX(正厂竞争者数据汇总!$I$2:$I$243,MATCH($A$114&amp;$B119,正厂竞争者数据汇总!$A$2:$A$243&amp;正厂竞争者数据汇总!$D$2:$D$243,0))</f>
        <v>#N/A</v>
      </c>
      <c r="Q119" s="429" t="s">
        <v>180</v>
      </c>
      <c r="R119" s="435" t="s">
        <v>180</v>
      </c>
      <c r="S119" s="473" t="e">
        <f>VLOOKUP(B119,正厂竞争者数据汇总!$D$2:$CL$243,25,FALSE)</f>
        <v>#N/A</v>
      </c>
      <c r="T119" s="466"/>
      <c r="U119" s="466"/>
      <c r="V119" s="421"/>
      <c r="W119" s="421"/>
    </row>
    <row r="120" s="408" customFormat="1" spans="1:23">
      <c r="A120" s="428" t="s">
        <v>391</v>
      </c>
      <c r="B120" s="438" t="s">
        <v>567</v>
      </c>
      <c r="C120" s="429" t="e">
        <f>VLOOKUP(B120,正厂竞争者数据汇总!D:H,2,FALSE)</f>
        <v>#N/A</v>
      </c>
      <c r="D120" s="421" t="e">
        <f>VLOOKUP(B120,正厂竞争者数据汇总!D:H,3,FALSE)</f>
        <v>#N/A</v>
      </c>
      <c r="E120" s="430" t="e">
        <f>VLOOKUP(B120,正厂竞争者数据汇总!D:H,4,FALSE)</f>
        <v>#N/A</v>
      </c>
      <c r="F120" s="430">
        <v>25544.3333333334</v>
      </c>
      <c r="G120" s="430">
        <v>27503.5833333333</v>
      </c>
      <c r="H120" s="430">
        <v>21167.5</v>
      </c>
      <c r="I120" s="453">
        <f t="shared" si="27"/>
        <v>-0.0712361722563387</v>
      </c>
      <c r="J120" s="451">
        <f t="shared" si="28"/>
        <v>0.0362413776102744</v>
      </c>
      <c r="K120" s="451">
        <v>0.0359623037762799</v>
      </c>
      <c r="L120" s="451">
        <v>0.0251419648503434</v>
      </c>
      <c r="M120" s="451">
        <f t="shared" si="29"/>
        <v>0.000279073833994538</v>
      </c>
      <c r="N120" s="457" t="str">
        <f t="shared" si="30"/>
        <v/>
      </c>
      <c r="O120" s="430" t="s">
        <v>180</v>
      </c>
      <c r="P120" s="471" t="e">
        <f t="array" ref="P120">INDEX(正厂竞争者数据汇总!$I$2:$I$243,MATCH($A$114&amp;$B120,正厂竞争者数据汇总!$A$2:$A$243&amp;正厂竞争者数据汇总!$D$2:$D$243,0))</f>
        <v>#N/A</v>
      </c>
      <c r="Q120" s="429" t="s">
        <v>180</v>
      </c>
      <c r="R120" s="435" t="s">
        <v>180</v>
      </c>
      <c r="S120" s="473" t="e">
        <f>VLOOKUP(B120,正厂竞争者数据汇总!$D$2:$CL$243,25,FALSE)</f>
        <v>#N/A</v>
      </c>
      <c r="T120" s="466"/>
      <c r="U120" s="466"/>
      <c r="V120" s="474"/>
      <c r="W120" s="474"/>
    </row>
    <row r="121" s="408" customFormat="1" spans="1:23">
      <c r="A121" s="428" t="s">
        <v>230</v>
      </c>
      <c r="B121" s="431" t="s">
        <v>568</v>
      </c>
      <c r="C121" s="429" t="e">
        <f>VLOOKUP(B121,正厂竞争者数据汇总!D:H,2,FALSE)</f>
        <v>#N/A</v>
      </c>
      <c r="D121" s="421" t="e">
        <f>VLOOKUP(B121,正厂竞争者数据汇总!D:H,3,FALSE)</f>
        <v>#N/A</v>
      </c>
      <c r="E121" s="430" t="e">
        <f>VLOOKUP(B121,正厂竞争者数据汇总!D:H,4,FALSE)</f>
        <v>#N/A</v>
      </c>
      <c r="F121" s="430">
        <v>9737.33333333333</v>
      </c>
      <c r="G121" s="430">
        <v>13650.75</v>
      </c>
      <c r="H121" s="430">
        <v>13927.6666666667</v>
      </c>
      <c r="I121" s="453">
        <f t="shared" si="27"/>
        <v>-0.286681439969721</v>
      </c>
      <c r="J121" s="451">
        <f t="shared" si="28"/>
        <v>0.0138149768735575</v>
      </c>
      <c r="K121" s="451">
        <v>0.017849034881178</v>
      </c>
      <c r="L121" s="451">
        <v>0.0165427615816999</v>
      </c>
      <c r="M121" s="451">
        <f t="shared" si="29"/>
        <v>-0.00403405800762047</v>
      </c>
      <c r="N121" s="457" t="str">
        <f t="shared" si="30"/>
        <v/>
      </c>
      <c r="O121" s="430" t="s">
        <v>180</v>
      </c>
      <c r="P121" s="471" t="e">
        <f t="array" ref="P121">INDEX(正厂竞争者数据汇总!$I$2:$I$243,MATCH($A$114&amp;$B121,正厂竞争者数据汇总!$A$2:$A$243&amp;正厂竞争者数据汇总!$D$2:$D$243,0))</f>
        <v>#N/A</v>
      </c>
      <c r="Q121" s="429" t="s">
        <v>180</v>
      </c>
      <c r="R121" s="435" t="s">
        <v>180</v>
      </c>
      <c r="S121" s="473" t="e">
        <f>VLOOKUP(B121,正厂竞争者数据汇总!$D$2:$CL$243,25,FALSE)</f>
        <v>#N/A</v>
      </c>
      <c r="T121" s="466"/>
      <c r="U121" s="466"/>
      <c r="V121" s="421"/>
      <c r="W121" s="421"/>
    </row>
    <row r="122" s="408" customFormat="1" spans="1:23">
      <c r="A122" s="428" t="s">
        <v>391</v>
      </c>
      <c r="B122" s="431" t="s">
        <v>569</v>
      </c>
      <c r="C122" s="429" t="e">
        <f>VLOOKUP(B122,正厂竞争者数据汇总!D:H,2,FALSE)</f>
        <v>#N/A</v>
      </c>
      <c r="D122" s="421" t="e">
        <f>VLOOKUP(B122,正厂竞争者数据汇总!D:H,3,FALSE)</f>
        <v>#N/A</v>
      </c>
      <c r="E122" s="430" t="e">
        <f>VLOOKUP(B122,正厂竞争者数据汇总!D:H,4,FALSE)</f>
        <v>#N/A</v>
      </c>
      <c r="F122" s="430">
        <v>92.1666666666667</v>
      </c>
      <c r="G122" s="430">
        <v>146.083333333333</v>
      </c>
      <c r="H122" s="430">
        <v>193.833333333333</v>
      </c>
      <c r="I122" s="453"/>
      <c r="J122" s="451">
        <f t="shared" si="28"/>
        <v>0.000130762738105527</v>
      </c>
      <c r="K122" s="451">
        <v>0.000191011227384973</v>
      </c>
      <c r="L122" s="451">
        <v>0.000230227984102589</v>
      </c>
      <c r="M122" s="451">
        <f t="shared" si="29"/>
        <v>-6.02484892794459e-5</v>
      </c>
      <c r="N122" s="451" t="str">
        <f t="shared" si="30"/>
        <v/>
      </c>
      <c r="O122" s="430" t="s">
        <v>180</v>
      </c>
      <c r="P122" s="471" t="e">
        <f t="array" ref="P122">INDEX(正厂竞争者数据汇总!$I$2:$I$243,MATCH($A$114&amp;$B122,正厂竞争者数据汇总!$A$2:$A$243&amp;正厂竞争者数据汇总!$D$2:$D$243,0))</f>
        <v>#N/A</v>
      </c>
      <c r="Q122" s="429" t="s">
        <v>180</v>
      </c>
      <c r="R122" s="435" t="s">
        <v>180</v>
      </c>
      <c r="S122" s="473" t="e">
        <f>VLOOKUP(B122,正厂竞争者数据汇总!$D$2:$CL$243,25,FALSE)</f>
        <v>#N/A</v>
      </c>
      <c r="T122" s="466"/>
      <c r="U122" s="466"/>
      <c r="V122" s="421"/>
      <c r="W122" s="421"/>
    </row>
    <row r="123" s="408" customFormat="1" spans="1:23">
      <c r="A123" s="428"/>
      <c r="B123" s="438"/>
      <c r="C123" s="429"/>
      <c r="D123" s="421"/>
      <c r="E123" s="430"/>
      <c r="F123" s="430"/>
      <c r="G123" s="430"/>
      <c r="H123" s="430"/>
      <c r="I123" s="453"/>
      <c r="J123" s="451"/>
      <c r="K123" s="451"/>
      <c r="L123" s="451"/>
      <c r="M123" s="451"/>
      <c r="N123" s="451"/>
      <c r="O123" s="430"/>
      <c r="P123" s="471"/>
      <c r="Q123" s="429"/>
      <c r="R123" s="435"/>
      <c r="S123" s="473"/>
      <c r="T123" s="466"/>
      <c r="U123" s="466"/>
      <c r="V123" s="474"/>
      <c r="W123" s="474"/>
    </row>
    <row r="124" s="408" customFormat="1" spans="1:23">
      <c r="A124" s="428" t="s">
        <v>230</v>
      </c>
      <c r="B124" s="431" t="s">
        <v>524</v>
      </c>
      <c r="C124" s="429" t="e">
        <f>VLOOKUP(B124,正厂竞争者数据汇总!D:H,2,FALSE)</f>
        <v>#N/A</v>
      </c>
      <c r="D124" s="421" t="e">
        <f>VLOOKUP(B124,正厂竞争者数据汇总!D:H,3,FALSE)</f>
        <v>#N/A</v>
      </c>
      <c r="E124" s="430"/>
      <c r="F124" s="430">
        <v>40569.65</v>
      </c>
      <c r="G124" s="430">
        <v>33446.9116666667</v>
      </c>
      <c r="H124" s="430">
        <v>38147.835</v>
      </c>
      <c r="I124" s="453"/>
      <c r="J124" s="451">
        <f>F124/F$127</f>
        <v>0.0575587542638289</v>
      </c>
      <c r="K124" s="451">
        <v>0.0437335013098924</v>
      </c>
      <c r="L124" s="451">
        <v>0.0453105717107216</v>
      </c>
      <c r="M124" s="451"/>
      <c r="N124" s="451"/>
      <c r="O124" s="430"/>
      <c r="P124" s="471" t="e">
        <f t="array" ref="P124">INDEX(正厂竞争者数据汇总!$I$2:$I$243,MATCH($A$114&amp;$B124,正厂竞争者数据汇总!$A$2:$A$243&amp;正厂竞争者数据汇总!$D$2:$D$243,0))</f>
        <v>#N/A</v>
      </c>
      <c r="Q124" s="429"/>
      <c r="R124" s="435"/>
      <c r="S124" s="473"/>
      <c r="T124" s="466"/>
      <c r="U124" s="466"/>
      <c r="V124" s="421"/>
      <c r="W124" s="421"/>
    </row>
    <row r="125" s="408" customFormat="1" spans="1:23">
      <c r="A125" s="428"/>
      <c r="B125" s="431"/>
      <c r="C125" s="429"/>
      <c r="D125" s="421"/>
      <c r="E125" s="430"/>
      <c r="F125" s="430"/>
      <c r="G125" s="430"/>
      <c r="H125" s="430"/>
      <c r="I125" s="453"/>
      <c r="J125" s="451"/>
      <c r="K125" s="451"/>
      <c r="L125" s="451"/>
      <c r="M125" s="451"/>
      <c r="N125" s="451"/>
      <c r="O125" s="430"/>
      <c r="P125" s="471"/>
      <c r="Q125" s="429"/>
      <c r="R125" s="435"/>
      <c r="S125" s="473"/>
      <c r="T125" s="466"/>
      <c r="U125" s="466"/>
      <c r="V125" s="421"/>
      <c r="W125" s="421"/>
    </row>
    <row r="126" s="408" customFormat="1" spans="1:23">
      <c r="A126" s="428"/>
      <c r="B126" s="431"/>
      <c r="C126" s="429"/>
      <c r="D126" s="421"/>
      <c r="E126" s="430"/>
      <c r="F126" s="430"/>
      <c r="G126" s="430"/>
      <c r="H126" s="430"/>
      <c r="I126" s="453"/>
      <c r="J126" s="451"/>
      <c r="K126" s="451"/>
      <c r="L126" s="451"/>
      <c r="M126" s="451"/>
      <c r="N126" s="451"/>
      <c r="O126" s="430"/>
      <c r="P126" s="471"/>
      <c r="Q126" s="429"/>
      <c r="R126" s="435"/>
      <c r="S126" s="473"/>
      <c r="T126" s="466"/>
      <c r="U126" s="466"/>
      <c r="V126" s="421"/>
      <c r="W126" s="421"/>
    </row>
    <row r="127" s="408" customFormat="1" spans="1:23">
      <c r="A127" s="428"/>
      <c r="B127" s="421"/>
      <c r="C127" s="439"/>
      <c r="D127" s="421"/>
      <c r="E127" s="430"/>
      <c r="F127" s="430">
        <v>704838.916666666</v>
      </c>
      <c r="G127" s="430">
        <v>764789.250000002</v>
      </c>
      <c r="H127" s="430">
        <v>841919.083333333</v>
      </c>
      <c r="I127" s="453">
        <f t="shared" ref="I127:I135" si="31">(F127/G127)-1</f>
        <v>-0.0783880439393412</v>
      </c>
      <c r="J127" s="480"/>
      <c r="K127" s="480"/>
      <c r="L127" s="480"/>
      <c r="M127" s="451"/>
      <c r="N127" s="451">
        <f>SUM(N116:N122)</f>
        <v>0</v>
      </c>
      <c r="O127" s="430"/>
      <c r="P127" s="471"/>
      <c r="Q127" s="429"/>
      <c r="R127" s="421"/>
      <c r="S127" s="473"/>
      <c r="T127" s="466"/>
      <c r="U127" s="466"/>
      <c r="V127" s="421"/>
      <c r="W127" s="421"/>
    </row>
    <row r="128" s="408" customFormat="1" spans="1:23">
      <c r="A128" s="428"/>
      <c r="B128" s="421"/>
      <c r="C128" s="439"/>
      <c r="D128" s="421"/>
      <c r="E128" s="430"/>
      <c r="F128" s="430"/>
      <c r="G128" s="430"/>
      <c r="H128" s="430"/>
      <c r="I128" s="453"/>
      <c r="J128" s="430"/>
      <c r="K128" s="430"/>
      <c r="L128" s="430"/>
      <c r="M128" s="451"/>
      <c r="N128" s="459"/>
      <c r="O128" s="430"/>
      <c r="P128" s="471"/>
      <c r="Q128" s="429"/>
      <c r="R128" s="421"/>
      <c r="S128" s="473"/>
      <c r="T128" s="466"/>
      <c r="U128" s="466"/>
      <c r="V128" s="421"/>
      <c r="W128" s="421"/>
    </row>
    <row r="129" s="408" customFormat="1" ht="17.4" spans="1:23">
      <c r="A129" s="418" t="s">
        <v>165</v>
      </c>
      <c r="B129" s="419"/>
      <c r="C129" s="420"/>
      <c r="D129" s="421"/>
      <c r="E129" s="422" t="s">
        <v>202</v>
      </c>
      <c r="F129" s="422"/>
      <c r="G129" s="422"/>
      <c r="H129" s="422"/>
      <c r="I129" s="422"/>
      <c r="J129" s="422"/>
      <c r="K129" s="422"/>
      <c r="L129" s="422"/>
      <c r="M129" s="443"/>
      <c r="N129" s="444"/>
      <c r="O129" s="422"/>
      <c r="P129" s="471"/>
      <c r="Q129" s="465"/>
      <c r="R129" s="424"/>
      <c r="S129" s="473"/>
      <c r="T129" s="467"/>
      <c r="U129" s="467"/>
      <c r="V129" s="467"/>
      <c r="W129" s="467"/>
    </row>
    <row r="130" s="409" customFormat="1" ht="46.8" spans="1:23">
      <c r="A130" s="423" t="s">
        <v>206</v>
      </c>
      <c r="B130" s="424" t="s">
        <v>207</v>
      </c>
      <c r="C130" s="425" t="s">
        <v>208</v>
      </c>
      <c r="D130" s="424" t="s">
        <v>209</v>
      </c>
      <c r="E130" s="426" t="s">
        <v>210</v>
      </c>
      <c r="F130" s="427" t="s">
        <v>213</v>
      </c>
      <c r="G130" s="427" t="s">
        <v>396</v>
      </c>
      <c r="H130" s="427" t="s">
        <v>496</v>
      </c>
      <c r="I130" s="427" t="s">
        <v>497</v>
      </c>
      <c r="J130" s="446" t="s">
        <v>217</v>
      </c>
      <c r="K130" s="446" t="s">
        <v>387</v>
      </c>
      <c r="L130" s="446" t="s">
        <v>390</v>
      </c>
      <c r="M130" s="447" t="s">
        <v>498</v>
      </c>
      <c r="N130" s="448" t="s">
        <v>219</v>
      </c>
      <c r="O130" s="449" t="s">
        <v>220</v>
      </c>
      <c r="P130" s="468" t="s">
        <v>221</v>
      </c>
      <c r="Q130" s="469" t="s">
        <v>222</v>
      </c>
      <c r="R130" s="426" t="s">
        <v>223</v>
      </c>
      <c r="S130" s="470" t="s">
        <v>224</v>
      </c>
      <c r="T130" s="467" t="s">
        <v>225</v>
      </c>
      <c r="U130" s="470" t="s">
        <v>226</v>
      </c>
      <c r="V130" s="467"/>
      <c r="W130" s="467"/>
    </row>
    <row r="131" s="408" customFormat="1" spans="1:23">
      <c r="A131" s="428" t="s">
        <v>230</v>
      </c>
      <c r="B131" s="431" t="s">
        <v>570</v>
      </c>
      <c r="C131" s="429" t="e">
        <f>VLOOKUP(B131,正厂竞争者数据汇总!D:H,2,FALSE)</f>
        <v>#N/A</v>
      </c>
      <c r="D131" s="421" t="e">
        <f>VLOOKUP(B131,正厂竞争者数据汇总!D:H,3,FALSE)</f>
        <v>#N/A</v>
      </c>
      <c r="E131" s="430">
        <f>VLOOKUP(B138,正厂竞争者数据汇总!D:H,4,FALSE)</f>
        <v>0</v>
      </c>
      <c r="F131" s="430">
        <v>177493.75</v>
      </c>
      <c r="G131" s="430">
        <v>223254.25</v>
      </c>
      <c r="H131" s="430">
        <v>227136</v>
      </c>
      <c r="I131" s="453">
        <f t="shared" si="31"/>
        <v>-0.204970342109949</v>
      </c>
      <c r="J131" s="451">
        <f t="shared" ref="J131:J135" si="32">F131/F$140</f>
        <v>0.415120952574367</v>
      </c>
      <c r="K131" s="451">
        <v>0.450059922851219</v>
      </c>
      <c r="L131" s="451">
        <v>0.434276394815321</v>
      </c>
      <c r="M131" s="451">
        <f t="shared" ref="M131:M135" si="33">J131-K131</f>
        <v>-0.0349389702768516</v>
      </c>
      <c r="N131" s="451" t="str">
        <f>IFERROR(O131*0.5/#REF!,"")</f>
        <v/>
      </c>
      <c r="O131" s="430">
        <v>42711.55</v>
      </c>
      <c r="P131" s="471" t="e">
        <f t="array" ref="P131">INDEX(正厂竞争者数据汇总!$I$2:$I$243,MATCH($A$129&amp;$B131,正厂竞争者数据汇总!$A$2:$A$243&amp;正厂竞争者数据汇总!$D$2:$D$243,0))</f>
        <v>#N/A</v>
      </c>
      <c r="Q131" s="429" t="s">
        <v>180</v>
      </c>
      <c r="R131" s="421" t="s">
        <v>180</v>
      </c>
      <c r="S131" s="473" t="e">
        <f>VLOOKUP(B131,正厂竞争者数据汇总!$D$2:$CL$243,25,FALSE)</f>
        <v>#N/A</v>
      </c>
      <c r="T131" s="466"/>
      <c r="U131" s="466"/>
      <c r="V131" s="421"/>
      <c r="W131" s="421"/>
    </row>
    <row r="132" s="410" customFormat="1" ht="17.4" spans="1:23">
      <c r="A132" s="432" t="s">
        <v>227</v>
      </c>
      <c r="B132" s="435" t="s">
        <v>571</v>
      </c>
      <c r="C132" s="434" t="e">
        <f>VLOOKUP(B132,正厂竞争者数据汇总!D:H,2,FALSE)</f>
        <v>#N/A</v>
      </c>
      <c r="D132" s="435" t="e">
        <f>VLOOKUP(B132,正厂竞争者数据汇总!D:H,3,FALSE)</f>
        <v>#N/A</v>
      </c>
      <c r="E132" s="436" t="e">
        <f>VLOOKUP(B132,正厂竞争者数据汇总!D:H,4,FALSE)</f>
        <v>#N/A</v>
      </c>
      <c r="F132" s="436">
        <v>95737.4166666667</v>
      </c>
      <c r="G132" s="436">
        <v>105629.416666666</v>
      </c>
      <c r="H132" s="436">
        <v>126232.75</v>
      </c>
      <c r="I132" s="454">
        <f t="shared" si="31"/>
        <v>-0.0936481551461693</v>
      </c>
      <c r="J132" s="457">
        <f t="shared" si="32"/>
        <v>0.223909898819963</v>
      </c>
      <c r="K132" s="457">
        <v>0.21293913605595</v>
      </c>
      <c r="L132" s="457">
        <v>0.241352773570124</v>
      </c>
      <c r="M132" s="456">
        <f t="shared" si="33"/>
        <v>0.010970762764013</v>
      </c>
      <c r="N132" s="457" t="str">
        <f>IFERROR(O132*0.5/#REF!,"")</f>
        <v/>
      </c>
      <c r="O132" s="436" t="s">
        <v>180</v>
      </c>
      <c r="P132" s="471" t="e">
        <f t="array" ref="P132">INDEX(正厂竞争者数据汇总!$I$2:$I$243,MATCH($A$129&amp;$B132,正厂竞争者数据汇总!$A$2:$A$243&amp;正厂竞争者数据汇总!$D$2:$D$243,0))</f>
        <v>#N/A</v>
      </c>
      <c r="Q132" s="434" t="s">
        <v>572</v>
      </c>
      <c r="R132" s="435" t="s">
        <v>229</v>
      </c>
      <c r="S132" s="476" t="e">
        <f>VLOOKUP(B132,正厂竞争者数据汇总!$D$2:$CL$243,25,FALSE)</f>
        <v>#N/A</v>
      </c>
      <c r="T132" s="477"/>
      <c r="U132" s="477"/>
      <c r="V132" s="435"/>
      <c r="W132" s="435"/>
    </row>
    <row r="133" s="408" customFormat="1" spans="1:23">
      <c r="A133" s="428" t="s">
        <v>230</v>
      </c>
      <c r="B133" s="431" t="s">
        <v>573</v>
      </c>
      <c r="C133" s="429" t="e">
        <f>VLOOKUP(B133,正厂竞争者数据汇总!D:H,2,FALSE)</f>
        <v>#N/A</v>
      </c>
      <c r="D133" s="421" t="e">
        <f>VLOOKUP(B133,正厂竞争者数据汇总!D:H,3,FALSE)</f>
        <v>#N/A</v>
      </c>
      <c r="E133" s="430" t="e">
        <f>VLOOKUP(B133,正厂竞争者数据汇总!D:H,4,FALSE)</f>
        <v>#N/A</v>
      </c>
      <c r="F133" s="430">
        <v>124500.083333333</v>
      </c>
      <c r="G133" s="430">
        <v>131486.666666667</v>
      </c>
      <c r="H133" s="430">
        <v>132466.666666667</v>
      </c>
      <c r="I133" s="453">
        <f t="shared" si="31"/>
        <v>-0.0531352988896263</v>
      </c>
      <c r="J133" s="451">
        <f t="shared" si="32"/>
        <v>0.291179791902088</v>
      </c>
      <c r="K133" s="451">
        <v>0.265064960940113</v>
      </c>
      <c r="L133" s="451">
        <v>0.25327181262857</v>
      </c>
      <c r="M133" s="451">
        <f t="shared" si="33"/>
        <v>0.0261148309619755</v>
      </c>
      <c r="N133" s="451" t="str">
        <f>IFERROR(O133*0.5/#REF!,"")</f>
        <v/>
      </c>
      <c r="O133" s="430" t="s">
        <v>180</v>
      </c>
      <c r="P133" s="471" t="e">
        <f t="array" ref="P133">INDEX(正厂竞争者数据汇总!$I$2:$I$243,MATCH($A$129&amp;$B133,正厂竞争者数据汇总!$A$2:$A$243&amp;正厂竞争者数据汇总!$D$2:$D$243,0))</f>
        <v>#N/A</v>
      </c>
      <c r="Q133" s="429" t="s">
        <v>180</v>
      </c>
      <c r="R133" s="421" t="s">
        <v>180</v>
      </c>
      <c r="S133" s="473" t="e">
        <f>VLOOKUP(B133,正厂竞争者数据汇总!$D$2:$CL$243,25,FALSE)</f>
        <v>#N/A</v>
      </c>
      <c r="T133" s="466"/>
      <c r="U133" s="466"/>
      <c r="V133" s="421"/>
      <c r="W133" s="421"/>
    </row>
    <row r="134" s="408" customFormat="1" spans="1:23">
      <c r="A134" s="428" t="s">
        <v>230</v>
      </c>
      <c r="B134" s="421" t="s">
        <v>574</v>
      </c>
      <c r="C134" s="429"/>
      <c r="D134" s="421" t="e">
        <f>VLOOKUP(B134,正厂竞争者数据汇总!D:H,3,FALSE)</f>
        <v>#N/A</v>
      </c>
      <c r="E134" s="430" t="e">
        <f>VLOOKUP(B134,正厂竞争者数据汇总!D:H,4,FALSE)</f>
        <v>#N/A</v>
      </c>
      <c r="F134" s="430">
        <v>15337.9166666667</v>
      </c>
      <c r="G134" s="430">
        <v>16208.5833333334</v>
      </c>
      <c r="H134" s="430">
        <v>17388.4166666666</v>
      </c>
      <c r="I134" s="453">
        <f t="shared" si="31"/>
        <v>-0.0537163951198714</v>
      </c>
      <c r="J134" s="451">
        <f t="shared" si="32"/>
        <v>0.035872195934634</v>
      </c>
      <c r="K134" s="451">
        <v>0.0326750051321647</v>
      </c>
      <c r="L134" s="451">
        <v>0.0332460680013146</v>
      </c>
      <c r="M134" s="451">
        <f t="shared" si="33"/>
        <v>0.00319719080246932</v>
      </c>
      <c r="N134" s="451"/>
      <c r="O134" s="430"/>
      <c r="P134" s="471" t="e">
        <f t="array" ref="P134">INDEX(正厂竞争者数据汇总!$I$2:$I$243,MATCH($A$129&amp;$B134,正厂竞争者数据汇总!$A$2:$A$243&amp;正厂竞争者数据汇总!$D$2:$D$243,0))</f>
        <v>#N/A</v>
      </c>
      <c r="Q134" s="429"/>
      <c r="R134" s="421"/>
      <c r="S134" s="473" t="e">
        <f>VLOOKUP(B134,正厂竞争者数据汇总!$D$2:$CL$243,25,FALSE)</f>
        <v>#N/A</v>
      </c>
      <c r="T134" s="466"/>
      <c r="U134" s="466"/>
      <c r="V134" s="421"/>
      <c r="W134" s="421"/>
    </row>
    <row r="135" s="408" customFormat="1" spans="1:23">
      <c r="A135" s="428" t="s">
        <v>391</v>
      </c>
      <c r="B135" s="421" t="s">
        <v>297</v>
      </c>
      <c r="C135" s="429" t="str">
        <f>VLOOKUP(B135,正厂竞争者数据汇总!D:H,2,FALSE)</f>
        <v>原厂目录</v>
      </c>
      <c r="D135" s="421" t="str">
        <f>VLOOKUP(B135,正厂竞争者数据汇总!D:H,3,FALSE)</f>
        <v>CT</v>
      </c>
      <c r="E135" s="430">
        <f>VLOOKUP(B135,正厂竞争者数据汇总!D:H,4,FALSE)</f>
        <v>0</v>
      </c>
      <c r="F135" s="430">
        <v>14502</v>
      </c>
      <c r="G135" s="430">
        <v>19475.5833333333</v>
      </c>
      <c r="H135" s="430">
        <v>19797.9166666667</v>
      </c>
      <c r="I135" s="453">
        <f t="shared" si="31"/>
        <v>-0.25537532037979</v>
      </c>
      <c r="J135" s="451">
        <f t="shared" si="32"/>
        <v>0.0339171607689481</v>
      </c>
      <c r="K135" s="451">
        <v>0.0392609750205538</v>
      </c>
      <c r="L135" s="451">
        <v>0.0378529509846707</v>
      </c>
      <c r="M135" s="451">
        <f t="shared" si="33"/>
        <v>-0.00534381425160573</v>
      </c>
      <c r="N135" s="451" t="str">
        <f>IFERROR(O135*0.5/#REF!,"")</f>
        <v/>
      </c>
      <c r="O135" s="430" t="s">
        <v>180</v>
      </c>
      <c r="P135" s="471" t="str">
        <f t="array" ref="P135">INDEX(正厂竞争者数据汇总!$I$2:$I$243,MATCH($A$129&amp;$B135,正厂竞争者数据汇总!$A$2:$A$243&amp;正厂竞争者数据汇总!$D$2:$D$243,0))</f>
        <v>2024年1月，因市场份额大于5%，加入监控</v>
      </c>
      <c r="Q135" s="429" t="s">
        <v>180</v>
      </c>
      <c r="R135" s="421" t="s">
        <v>180</v>
      </c>
      <c r="S135" s="473">
        <f>VLOOKUP(B135,正厂竞争者数据汇总!$D$2:$CL$243,25,FALSE)</f>
        <v>22560</v>
      </c>
      <c r="T135" s="466"/>
      <c r="U135" s="477"/>
      <c r="V135" s="421"/>
      <c r="W135" s="421"/>
    </row>
    <row r="136" s="408" customFormat="1" spans="1:23">
      <c r="A136" s="428"/>
      <c r="B136" s="421"/>
      <c r="C136" s="429"/>
      <c r="D136" s="421"/>
      <c r="E136" s="430"/>
      <c r="F136" s="430"/>
      <c r="G136" s="430"/>
      <c r="H136" s="430"/>
      <c r="I136" s="453"/>
      <c r="J136" s="451"/>
      <c r="K136" s="451"/>
      <c r="L136" s="451"/>
      <c r="M136" s="451"/>
      <c r="N136" s="451"/>
      <c r="O136" s="430"/>
      <c r="P136" s="471"/>
      <c r="Q136" s="429"/>
      <c r="R136" s="421"/>
      <c r="S136" s="473"/>
      <c r="T136" s="466"/>
      <c r="U136" s="466"/>
      <c r="V136" s="421"/>
      <c r="W136" s="421"/>
    </row>
    <row r="137" s="408" customFormat="1" spans="1:23">
      <c r="A137" s="428" t="s">
        <v>230</v>
      </c>
      <c r="B137" s="421" t="s">
        <v>575</v>
      </c>
      <c r="C137" s="429" t="e">
        <f>VLOOKUP(B137,正厂竞争者数据汇总!D:H,2,FALSE)</f>
        <v>#N/A</v>
      </c>
      <c r="D137" s="421" t="e">
        <f>VLOOKUP(B137,正厂竞争者数据汇总!D:H,3,FALSE)</f>
        <v>#N/A</v>
      </c>
      <c r="E137" s="430" t="e">
        <f>VLOOKUP(B137,正厂竞争者数据汇总!D:H,4,FALSE)</f>
        <v>#N/A</v>
      </c>
      <c r="F137" s="430">
        <v>44103.6666666667</v>
      </c>
      <c r="G137" s="430">
        <v>48179.25</v>
      </c>
      <c r="H137" s="430">
        <v>42133.1666666667</v>
      </c>
      <c r="I137" s="453"/>
      <c r="J137" s="451">
        <f>F137/$F$140</f>
        <v>0.10314930029192</v>
      </c>
      <c r="K137" s="451">
        <v>0.0971249126860053</v>
      </c>
      <c r="L137" s="451">
        <v>0.0805571979877829</v>
      </c>
      <c r="M137" s="451"/>
      <c r="N137" s="451"/>
      <c r="O137" s="430"/>
      <c r="P137" s="471" t="e">
        <f t="array" ref="P137">INDEX(正厂竞争者数据汇总!$I$2:$I$243,MATCH($A$129&amp;$B137,正厂竞争者数据汇总!$A$2:$A$243&amp;正厂竞争者数据汇总!$D$2:$D$243,0))</f>
        <v>#N/A</v>
      </c>
      <c r="Q137" s="429"/>
      <c r="R137" s="421"/>
      <c r="S137" s="473"/>
      <c r="T137" s="466"/>
      <c r="U137" s="466"/>
      <c r="V137" s="421"/>
      <c r="W137" s="421"/>
    </row>
    <row r="138" s="408" customFormat="1" ht="17.4" spans="1:23">
      <c r="A138" s="428" t="s">
        <v>576</v>
      </c>
      <c r="B138" s="438" t="s">
        <v>577</v>
      </c>
      <c r="C138" s="429" t="str">
        <f>VLOOKUP(B138,正厂竞争者数据汇总!D:H,2,FALSE)</f>
        <v>原厂目录</v>
      </c>
      <c r="D138" s="421" t="str">
        <f>VLOOKUP(B138,正厂竞争者数据汇总!D:H,3,FALSE)</f>
        <v>-</v>
      </c>
      <c r="E138" s="430">
        <f>VLOOKUP(B138,正厂竞争者数据汇总!D:H,4,FALSE)</f>
        <v>0</v>
      </c>
      <c r="F138" s="430">
        <v>665975.083333333</v>
      </c>
      <c r="G138" s="430">
        <v>755771.583333333</v>
      </c>
      <c r="H138" s="430">
        <v>655383.666666667</v>
      </c>
      <c r="I138" s="453"/>
      <c r="J138" s="430"/>
      <c r="K138" s="430"/>
      <c r="L138" s="430"/>
      <c r="M138" s="451"/>
      <c r="N138" s="451" t="str">
        <f>IFERROR(O138*0.5/#REF!,"")</f>
        <v/>
      </c>
      <c r="O138" s="430" t="s">
        <v>180</v>
      </c>
      <c r="P138" s="471">
        <f t="array" ref="P138">INDEX(正厂竞争者数据汇总!$I$2:$I$243,MATCH($A$129&amp;$B138,正厂竞争者数据汇总!$A$2:$A$243&amp;正厂竞争者数据汇总!$D$2:$D$243,0))</f>
        <v>0</v>
      </c>
      <c r="Q138" s="429" t="s">
        <v>180</v>
      </c>
      <c r="R138" s="421" t="s">
        <v>180</v>
      </c>
      <c r="S138" s="473">
        <f>VLOOKUP(B138,正厂竞争者数据汇总!$D$2:$CL$243,25,FALSE)</f>
        <v>351431</v>
      </c>
      <c r="T138" s="466"/>
      <c r="U138" s="466"/>
      <c r="V138" s="421"/>
      <c r="W138" s="421"/>
    </row>
    <row r="139" s="408" customFormat="1" spans="1:23">
      <c r="A139" s="428"/>
      <c r="B139" s="421"/>
      <c r="C139" s="429"/>
      <c r="D139" s="421"/>
      <c r="E139" s="430"/>
      <c r="F139" s="481"/>
      <c r="G139" s="481"/>
      <c r="H139" s="481"/>
      <c r="I139" s="453"/>
      <c r="J139" s="451"/>
      <c r="K139" s="451"/>
      <c r="L139" s="451"/>
      <c r="M139" s="451"/>
      <c r="N139" s="451"/>
      <c r="O139" s="430"/>
      <c r="P139" s="471"/>
      <c r="Q139" s="429"/>
      <c r="R139" s="421"/>
      <c r="S139" s="473"/>
      <c r="T139" s="466"/>
      <c r="U139" s="466"/>
      <c r="V139" s="421"/>
      <c r="W139" s="421"/>
    </row>
    <row r="140" s="408" customFormat="1" spans="1:23">
      <c r="A140" s="428"/>
      <c r="B140" s="421"/>
      <c r="C140" s="439"/>
      <c r="D140" s="421"/>
      <c r="E140" s="421"/>
      <c r="F140" s="481">
        <v>427571.166666666</v>
      </c>
      <c r="G140" s="481">
        <v>496054.5</v>
      </c>
      <c r="H140" s="481">
        <v>523021.75</v>
      </c>
      <c r="I140" s="453">
        <f t="shared" ref="I140:I149" si="34">(F140/G140)-1</f>
        <v>-0.138056067092092</v>
      </c>
      <c r="J140" s="430"/>
      <c r="K140" s="430"/>
      <c r="L140" s="430"/>
      <c r="M140" s="451"/>
      <c r="N140" s="451">
        <f>SUM(N131:N135)</f>
        <v>0</v>
      </c>
      <c r="O140" s="430"/>
      <c r="P140" s="471"/>
      <c r="Q140" s="429"/>
      <c r="R140" s="421"/>
      <c r="S140" s="473"/>
      <c r="T140" s="466"/>
      <c r="U140" s="466"/>
      <c r="V140" s="421"/>
      <c r="W140" s="421"/>
    </row>
    <row r="141" s="408" customFormat="1" spans="1:23">
      <c r="A141" s="428"/>
      <c r="B141" s="421"/>
      <c r="C141" s="429"/>
      <c r="D141" s="421"/>
      <c r="E141" s="430"/>
      <c r="F141" s="451"/>
      <c r="G141" s="451"/>
      <c r="H141" s="451"/>
      <c r="I141" s="453"/>
      <c r="J141" s="451"/>
      <c r="K141" s="451"/>
      <c r="L141" s="451"/>
      <c r="M141" s="451"/>
      <c r="N141" s="451"/>
      <c r="O141" s="451"/>
      <c r="P141" s="471"/>
      <c r="Q141" s="429"/>
      <c r="R141" s="421"/>
      <c r="S141" s="473"/>
      <c r="T141" s="466"/>
      <c r="U141" s="466"/>
      <c r="V141" s="421"/>
      <c r="W141" s="421"/>
    </row>
    <row r="142" s="408" customFormat="1" ht="17.4" spans="1:23">
      <c r="A142" s="418" t="s">
        <v>171</v>
      </c>
      <c r="B142" s="419"/>
      <c r="C142" s="420"/>
      <c r="D142" s="421"/>
      <c r="E142" s="422" t="s">
        <v>202</v>
      </c>
      <c r="F142" s="422"/>
      <c r="G142" s="422"/>
      <c r="H142" s="422"/>
      <c r="I142" s="422"/>
      <c r="J142" s="422"/>
      <c r="K142" s="422"/>
      <c r="L142" s="422"/>
      <c r="M142" s="443"/>
      <c r="N142" s="422"/>
      <c r="O142" s="422"/>
      <c r="P142" s="471"/>
      <c r="Q142" s="465"/>
      <c r="R142" s="424"/>
      <c r="S142" s="473"/>
      <c r="T142" s="467"/>
      <c r="U142" s="467"/>
      <c r="V142" s="467"/>
      <c r="W142" s="467"/>
    </row>
    <row r="143" s="409" customFormat="1" ht="46.8" spans="1:23">
      <c r="A143" s="423" t="s">
        <v>206</v>
      </c>
      <c r="B143" s="424" t="s">
        <v>207</v>
      </c>
      <c r="C143" s="425" t="s">
        <v>208</v>
      </c>
      <c r="D143" s="424" t="s">
        <v>209</v>
      </c>
      <c r="E143" s="426" t="s">
        <v>210</v>
      </c>
      <c r="F143" s="427" t="s">
        <v>213</v>
      </c>
      <c r="G143" s="427" t="s">
        <v>396</v>
      </c>
      <c r="H143" s="427" t="s">
        <v>496</v>
      </c>
      <c r="I143" s="427" t="s">
        <v>497</v>
      </c>
      <c r="J143" s="446" t="s">
        <v>217</v>
      </c>
      <c r="K143" s="446" t="s">
        <v>387</v>
      </c>
      <c r="L143" s="446" t="s">
        <v>390</v>
      </c>
      <c r="M143" s="447" t="s">
        <v>498</v>
      </c>
      <c r="N143" s="448" t="s">
        <v>219</v>
      </c>
      <c r="O143" s="449" t="s">
        <v>220</v>
      </c>
      <c r="P143" s="468" t="s">
        <v>221</v>
      </c>
      <c r="Q143" s="469" t="s">
        <v>222</v>
      </c>
      <c r="R143" s="426" t="s">
        <v>223</v>
      </c>
      <c r="S143" s="470" t="s">
        <v>224</v>
      </c>
      <c r="T143" s="467" t="s">
        <v>225</v>
      </c>
      <c r="U143" s="470" t="s">
        <v>226</v>
      </c>
      <c r="V143" s="467"/>
      <c r="W143" s="467"/>
    </row>
    <row r="144" s="408" customFormat="1" ht="46.8" spans="1:23">
      <c r="A144" s="428" t="s">
        <v>230</v>
      </c>
      <c r="B144" s="438" t="s">
        <v>578</v>
      </c>
      <c r="C144" s="429" t="e">
        <f>VLOOKUP(B144,正厂竞争者数据汇总!D:H,2,FALSE)</f>
        <v>#N/A</v>
      </c>
      <c r="D144" s="421" t="e">
        <f>VLOOKUP(B144,正厂竞争者数据汇总!D:H,3,FALSE)</f>
        <v>#N/A</v>
      </c>
      <c r="E144" s="430" t="e">
        <f>VLOOKUP(B144,正厂竞争者数据汇总!D:H,4,FALSE)</f>
        <v>#N/A</v>
      </c>
      <c r="F144" s="430">
        <v>118414.833333333</v>
      </c>
      <c r="G144" s="430">
        <v>112655.333333333</v>
      </c>
      <c r="H144" s="430">
        <v>152912.166666667</v>
      </c>
      <c r="I144" s="453">
        <f t="shared" si="34"/>
        <v>0.0511249652331893</v>
      </c>
      <c r="J144" s="451">
        <f t="shared" ref="J144:J149" si="35">F144/F$156</f>
        <v>0.262281169027972</v>
      </c>
      <c r="K144" s="451">
        <v>0.246273374186277</v>
      </c>
      <c r="L144" s="451">
        <v>0.35021328330321</v>
      </c>
      <c r="M144" s="451">
        <f t="shared" ref="M144:M149" si="36">J144-K144</f>
        <v>0.0160077948416949</v>
      </c>
      <c r="N144" s="459"/>
      <c r="O144" s="430"/>
      <c r="P144" s="471" t="e">
        <f t="array" ref="P144">INDEX(正厂竞争者数据汇总!$I$2:$I$243,MATCH($A$142&amp;$B144,正厂竞争者数据汇总!$A$2:$A$243&amp;正厂竞争者数据汇总!$D$2:$D$243,0))</f>
        <v>#N/A</v>
      </c>
      <c r="Q144" s="429" t="s">
        <v>180</v>
      </c>
      <c r="R144" s="421" t="s">
        <v>180</v>
      </c>
      <c r="S144" s="473" t="e">
        <f>VLOOKUP(B144,正厂竞争者数据汇总!$D$2:$CL$243,25,FALSE)</f>
        <v>#N/A</v>
      </c>
      <c r="T144" s="466" t="str">
        <f>VLOOKUP(B144,'Price &amp; Shipping'!B:DK,2,FALSE)</f>
        <v>free shipping over $499(most orders)</v>
      </c>
      <c r="U144" s="466"/>
      <c r="V144" s="421"/>
      <c r="W144" s="421"/>
    </row>
    <row r="145" s="408" customFormat="1" spans="1:23">
      <c r="A145" s="428" t="s">
        <v>230</v>
      </c>
      <c r="B145" s="482" t="s">
        <v>311</v>
      </c>
      <c r="C145" s="429" t="str">
        <f>VLOOKUP(B145,正厂竞争者数据汇总!D:H,2,FALSE)</f>
        <v>原厂目录</v>
      </c>
      <c r="D145" s="421" t="str">
        <f>VLOOKUP(B145,正厂竞争者数据汇总!D:H,3,FALSE)</f>
        <v>GA</v>
      </c>
      <c r="E145" s="430">
        <f>VLOOKUP(B145,正厂竞争者数据汇总!D:H,4,FALSE)</f>
        <v>0</v>
      </c>
      <c r="F145" s="430">
        <v>115889.75</v>
      </c>
      <c r="G145" s="430">
        <v>128468.416666667</v>
      </c>
      <c r="H145" s="430">
        <v>76765.0833333333</v>
      </c>
      <c r="I145" s="453">
        <f t="shared" si="34"/>
        <v>-0.0979125219493012</v>
      </c>
      <c r="J145" s="451">
        <f t="shared" si="35"/>
        <v>0.256688273358429</v>
      </c>
      <c r="K145" s="451">
        <v>0.280842011760373</v>
      </c>
      <c r="L145" s="451">
        <v>0.175814341417422</v>
      </c>
      <c r="M145" s="451">
        <f t="shared" si="36"/>
        <v>-0.0241537384019439</v>
      </c>
      <c r="N145" s="459"/>
      <c r="O145" s="430"/>
      <c r="P145" s="471">
        <f t="array" ref="P145">INDEX(正厂竞争者数据汇总!$I$2:$I$243,MATCH($A$142&amp;$B145,正厂竞争者数据汇总!$A$2:$A$243&amp;正厂竞争者数据汇总!$D$2:$D$243,0))</f>
        <v>0</v>
      </c>
      <c r="Q145" s="429" t="s">
        <v>180</v>
      </c>
      <c r="R145" s="421" t="s">
        <v>180</v>
      </c>
      <c r="S145" s="473">
        <f>VLOOKUP(B145,正厂竞争者数据汇总!$D$2:$CL$243,25,FALSE)</f>
        <v>94324</v>
      </c>
      <c r="T145" s="466"/>
      <c r="U145" s="466"/>
      <c r="V145" s="421"/>
      <c r="W145" s="421"/>
    </row>
    <row r="146" s="410" customFormat="1" spans="1:23">
      <c r="A146" s="432" t="s">
        <v>227</v>
      </c>
      <c r="B146" s="433" t="s">
        <v>172</v>
      </c>
      <c r="C146" s="434" t="str">
        <f>VLOOKUP(B146,正厂竞争者数据汇总!D:H,2,FALSE)</f>
        <v>原厂目录</v>
      </c>
      <c r="D146" s="477" t="str">
        <f>VLOOKUP(B146,正厂竞争者数据汇总!D:H,3,FALSE)</f>
        <v>CA</v>
      </c>
      <c r="E146" s="436">
        <f>VLOOKUP(B146,正厂竞争者数据汇总!D:H,4,FALSE)</f>
        <v>0</v>
      </c>
      <c r="F146" s="436">
        <v>132262.583333333</v>
      </c>
      <c r="G146" s="436">
        <v>137115.416666667</v>
      </c>
      <c r="H146" s="436">
        <v>137050.666666667</v>
      </c>
      <c r="I146" s="454">
        <f t="shared" si="34"/>
        <v>-0.0353923245927293</v>
      </c>
      <c r="J146" s="457">
        <f t="shared" si="35"/>
        <v>0.29295303636222</v>
      </c>
      <c r="K146" s="457">
        <v>0.299745030406527</v>
      </c>
      <c r="L146" s="457">
        <v>0.313885840469815</v>
      </c>
      <c r="M146" s="456">
        <f t="shared" si="36"/>
        <v>-0.00679199404430697</v>
      </c>
      <c r="N146" s="455"/>
      <c r="O146" s="436"/>
      <c r="P146" s="471">
        <f t="array" ref="P146">INDEX(正厂竞争者数据汇总!$I$2:$I$243,MATCH($A$142&amp;$B146,正厂竞争者数据汇总!$A$2:$A$243&amp;正厂竞争者数据汇总!$D$2:$D$243,0))</f>
        <v>0</v>
      </c>
      <c r="Q146" s="491" t="s">
        <v>313</v>
      </c>
      <c r="R146" s="435" t="s">
        <v>180</v>
      </c>
      <c r="S146" s="476">
        <f>VLOOKUP(B146,正厂竞争者数据汇总!$D$2:$CL$243,25,FALSE)</f>
        <v>90437</v>
      </c>
      <c r="T146" s="477"/>
      <c r="U146" s="477"/>
      <c r="V146" s="435"/>
      <c r="W146" s="435"/>
    </row>
    <row r="147" s="408" customFormat="1" spans="1:23">
      <c r="A147" s="428" t="s">
        <v>243</v>
      </c>
      <c r="B147" s="438" t="s">
        <v>314</v>
      </c>
      <c r="C147" s="429" t="str">
        <f>VLOOKUP(B147,正厂竞争者数据汇总!D:H,2,FALSE)</f>
        <v>原厂目录</v>
      </c>
      <c r="D147" s="421" t="str">
        <f>VLOOKUP(B147,正厂竞争者数据汇总!D:H,3,FALSE)</f>
        <v>WA</v>
      </c>
      <c r="E147" s="430">
        <f>VLOOKUP(B147,正厂竞争者数据汇总!D:H,4,FALSE)</f>
        <v>0</v>
      </c>
      <c r="F147" s="430">
        <v>56088.5833333333</v>
      </c>
      <c r="G147" s="430">
        <v>53710.6666666667</v>
      </c>
      <c r="H147" s="430">
        <v>46829.9166666667</v>
      </c>
      <c r="I147" s="453">
        <f t="shared" si="34"/>
        <v>0.0442727080902601</v>
      </c>
      <c r="J147" s="451">
        <f t="shared" si="35"/>
        <v>0.124232571137255</v>
      </c>
      <c r="K147" s="451">
        <v>0.117415720307319</v>
      </c>
      <c r="L147" s="451">
        <v>0.107254113457174</v>
      </c>
      <c r="M147" s="451">
        <f t="shared" si="36"/>
        <v>0.00681685082993592</v>
      </c>
      <c r="N147" s="459"/>
      <c r="O147" s="430"/>
      <c r="P147" s="471">
        <f t="array" ref="P147">INDEX(正厂竞争者数据汇总!$I$2:$I$243,MATCH($A$142&amp;$B147,正厂竞争者数据汇总!$A$2:$A$243&amp;正厂竞争者数据汇总!$D$2:$D$243,0))</f>
        <v>0</v>
      </c>
      <c r="Q147" s="429" t="s">
        <v>180</v>
      </c>
      <c r="R147" s="421" t="s">
        <v>180</v>
      </c>
      <c r="S147" s="472">
        <f>VLOOKUP(B147,正厂竞争者数据汇总!$D$2:$CL$243,25,FALSE)</f>
        <v>97198</v>
      </c>
      <c r="T147" s="466"/>
      <c r="U147" s="466"/>
      <c r="V147" s="421"/>
      <c r="W147" s="421"/>
    </row>
    <row r="148" s="408" customFormat="1" spans="1:23">
      <c r="A148" s="428" t="s">
        <v>230</v>
      </c>
      <c r="B148" s="421" t="s">
        <v>579</v>
      </c>
      <c r="C148" s="429" t="e">
        <f>VLOOKUP(B148,正厂竞争者数据汇总!D:H,2,FALSE)</f>
        <v>#N/A</v>
      </c>
      <c r="D148" s="421" t="e">
        <f>VLOOKUP(B148,正厂竞争者数据汇总!D:H,3,FALSE)</f>
        <v>#N/A</v>
      </c>
      <c r="E148" s="430"/>
      <c r="F148" s="430">
        <v>7678.83333333333</v>
      </c>
      <c r="G148" s="430">
        <v>7386.83333333333</v>
      </c>
      <c r="H148" s="430">
        <v>8487.75</v>
      </c>
      <c r="I148" s="453">
        <f t="shared" si="34"/>
        <v>0.039529794002843</v>
      </c>
      <c r="J148" s="451">
        <f t="shared" si="35"/>
        <v>0.0170081173679336</v>
      </c>
      <c r="K148" s="451">
        <v>0.0161481957020973</v>
      </c>
      <c r="L148" s="451">
        <v>0.0194394132275728</v>
      </c>
      <c r="M148" s="451">
        <f t="shared" si="36"/>
        <v>0.000859921665836302</v>
      </c>
      <c r="N148" s="459"/>
      <c r="O148" s="430"/>
      <c r="P148" s="471" t="e">
        <f t="array" ref="P148">INDEX(正厂竞争者数据汇总!$I$2:$I$243,MATCH($A$142&amp;$B148,正厂竞争者数据汇总!$A$2:$A$243&amp;正厂竞争者数据汇总!$D$2:$D$243,0))</f>
        <v>#N/A</v>
      </c>
      <c r="Q148" s="429"/>
      <c r="R148" s="421"/>
      <c r="S148" s="473"/>
      <c r="T148" s="466"/>
      <c r="U148" s="466"/>
      <c r="V148" s="421"/>
      <c r="W148" s="421"/>
    </row>
    <row r="149" s="408" customFormat="1" spans="1:23">
      <c r="A149" s="428" t="s">
        <v>243</v>
      </c>
      <c r="B149" s="421" t="s">
        <v>388</v>
      </c>
      <c r="C149" s="429" t="str">
        <f>VLOOKUP(B149,正厂竞争者数据汇总!D:H,2,FALSE)</f>
        <v>原厂目录</v>
      </c>
      <c r="D149" s="421" t="str">
        <f>VLOOKUP(B149,正厂竞争者数据汇总!D:H,3,FALSE)</f>
        <v>CA</v>
      </c>
      <c r="E149" s="430">
        <f>VLOOKUP(B149,正厂竞争者数据汇总!D:H,4,FALSE)</f>
        <v>0</v>
      </c>
      <c r="F149" s="430">
        <v>21145.9166666667</v>
      </c>
      <c r="G149" s="430">
        <v>18103.5</v>
      </c>
      <c r="H149" s="430">
        <v>14580.25</v>
      </c>
      <c r="I149" s="453">
        <f t="shared" si="34"/>
        <v>0.168056821424956</v>
      </c>
      <c r="J149" s="451">
        <f t="shared" si="35"/>
        <v>0.0468368327461911</v>
      </c>
      <c r="K149" s="451">
        <v>0.0395756676374068</v>
      </c>
      <c r="L149" s="451">
        <v>0.0333930081248055</v>
      </c>
      <c r="M149" s="451">
        <f t="shared" si="36"/>
        <v>0.00726116510878434</v>
      </c>
      <c r="N149" s="459"/>
      <c r="O149" s="430"/>
      <c r="P149" s="471">
        <f t="array" ref="P149">INDEX(正厂竞争者数据汇总!$I$2:$I$243,MATCH($A$142&amp;$B149,正厂竞争者数据汇总!$A$2:$A$243&amp;正厂竞争者数据汇总!$D$2:$D$243,0))</f>
        <v>0</v>
      </c>
      <c r="Q149" s="429" t="s">
        <v>180</v>
      </c>
      <c r="R149" s="421" t="s">
        <v>180</v>
      </c>
      <c r="S149" s="472">
        <f>VLOOKUP(B149,正厂竞争者数据汇总!$D$2:$CL$243,25,FALSE)</f>
        <v>20948</v>
      </c>
      <c r="T149" s="466"/>
      <c r="U149" s="466"/>
      <c r="V149" s="421"/>
      <c r="W149" s="421"/>
    </row>
    <row r="150" s="410" customFormat="1" spans="1:23">
      <c r="A150" s="432"/>
      <c r="B150" s="483"/>
      <c r="C150" s="429"/>
      <c r="D150" s="421"/>
      <c r="E150" s="437"/>
      <c r="F150" s="430"/>
      <c r="G150" s="430"/>
      <c r="H150" s="430"/>
      <c r="I150" s="450"/>
      <c r="J150" s="461"/>
      <c r="K150" s="461"/>
      <c r="L150" s="461"/>
      <c r="M150" s="452"/>
      <c r="N150" s="460"/>
      <c r="O150" s="462"/>
      <c r="P150" s="471"/>
      <c r="Q150" s="491"/>
      <c r="R150" s="435"/>
      <c r="S150" s="473"/>
      <c r="T150" s="477"/>
      <c r="U150" s="466"/>
      <c r="V150" s="435"/>
      <c r="W150" s="435"/>
    </row>
    <row r="151" s="408" customFormat="1" spans="1:23">
      <c r="A151" s="428" t="s">
        <v>230</v>
      </c>
      <c r="B151" s="484" t="s">
        <v>580</v>
      </c>
      <c r="C151" s="429" t="e">
        <f>VLOOKUP(B151,正厂竞争者数据汇总!D:H,2,FALSE)</f>
        <v>#N/A</v>
      </c>
      <c r="D151" s="421" t="e">
        <f>VLOOKUP(B151,正厂竞争者数据汇总!D:H,3,FALSE)</f>
        <v>#N/A</v>
      </c>
      <c r="E151" s="437"/>
      <c r="F151" s="430">
        <v>20096.25</v>
      </c>
      <c r="G151" s="430">
        <v>21912.0833333334</v>
      </c>
      <c r="H151" s="430">
        <v>19049.1666666667</v>
      </c>
      <c r="I151" s="450"/>
      <c r="J151" s="452">
        <f t="shared" ref="J151:J153" si="37">F151/$F$156</f>
        <v>0.0445118892178068</v>
      </c>
      <c r="K151" s="452">
        <v>0.0479015288338257</v>
      </c>
      <c r="L151" s="452">
        <v>0.0436281255308225</v>
      </c>
      <c r="M151" s="452"/>
      <c r="N151" s="458"/>
      <c r="O151" s="437"/>
      <c r="P151" s="471" t="e">
        <f t="array" ref="P151">INDEX(正厂竞争者数据汇总!$I$2:$I$243,MATCH($A$142&amp;$B151,正厂竞争者数据汇总!$A$2:$A$243&amp;正厂竞争者数据汇总!$D$2:$D$243,0))</f>
        <v>#N/A</v>
      </c>
      <c r="Q151" s="492"/>
      <c r="R151" s="421"/>
      <c r="S151" s="472"/>
      <c r="T151" s="466"/>
      <c r="U151" s="466"/>
      <c r="V151" s="421"/>
      <c r="W151" s="421"/>
    </row>
    <row r="152" s="408" customFormat="1" spans="1:23">
      <c r="A152" s="428" t="s">
        <v>230</v>
      </c>
      <c r="B152" s="484" t="s">
        <v>581</v>
      </c>
      <c r="C152" s="429" t="e">
        <f>VLOOKUP(B152,正厂竞争者数据汇总!D:H,2,FALSE)</f>
        <v>#N/A</v>
      </c>
      <c r="D152" s="421" t="e">
        <f>VLOOKUP(B152,正厂竞争者数据汇总!D:H,3,FALSE)</f>
        <v>#N/A</v>
      </c>
      <c r="E152" s="437"/>
      <c r="F152" s="430">
        <v>12117.5</v>
      </c>
      <c r="G152" s="430">
        <v>14818.75</v>
      </c>
      <c r="H152" s="430">
        <v>15710.0833333333</v>
      </c>
      <c r="I152" s="450"/>
      <c r="J152" s="452">
        <f t="shared" si="37"/>
        <v>0.0268394759020601</v>
      </c>
      <c r="K152" s="452">
        <v>0.032394947098728</v>
      </c>
      <c r="L152" s="452">
        <v>0.0359806546795405</v>
      </c>
      <c r="M152" s="452"/>
      <c r="N152" s="458"/>
      <c r="O152" s="437"/>
      <c r="P152" s="471" t="e">
        <f t="array" ref="P152">INDEX(正厂竞争者数据汇总!$I$2:$I$243,MATCH($A$142&amp;$B152,正厂竞争者数据汇总!$A$2:$A$243&amp;正厂竞争者数据汇总!$D$2:$D$243,0))</f>
        <v>#N/A</v>
      </c>
      <c r="Q152" s="492"/>
      <c r="R152" s="421"/>
      <c r="S152" s="472"/>
      <c r="T152" s="466"/>
      <c r="U152" s="466"/>
      <c r="V152" s="421"/>
      <c r="W152" s="421"/>
    </row>
    <row r="153" s="408" customFormat="1" spans="1:23">
      <c r="A153" s="428" t="s">
        <v>230</v>
      </c>
      <c r="B153" s="421" t="s">
        <v>582</v>
      </c>
      <c r="C153" s="429" t="e">
        <f>VLOOKUP(B153,正厂竞争者数据汇总!D:H,2,FALSE)</f>
        <v>#N/A</v>
      </c>
      <c r="D153" s="421" t="e">
        <f>VLOOKUP(B153,正厂竞争者数据汇总!D:H,3,FALSE)</f>
        <v>#N/A</v>
      </c>
      <c r="E153" s="430"/>
      <c r="F153" s="430">
        <v>3543.41666666667</v>
      </c>
      <c r="G153" s="430">
        <v>2880.08333333333</v>
      </c>
      <c r="H153" s="430">
        <v>2978.66666666667</v>
      </c>
      <c r="I153" s="453"/>
      <c r="J153" s="452">
        <f t="shared" si="37"/>
        <v>0.00784843789857298</v>
      </c>
      <c r="K153" s="452">
        <v>0.00629608753931752</v>
      </c>
      <c r="L153" s="452">
        <v>0.00682201198203649</v>
      </c>
      <c r="M153" s="451"/>
      <c r="N153" s="459"/>
      <c r="O153" s="430"/>
      <c r="P153" s="471" t="e">
        <f t="array" ref="P153">INDEX(正厂竞争者数据汇总!$I$2:$I$243,MATCH($A$142&amp;$B153,正厂竞争者数据汇总!$A$2:$A$243&amp;正厂竞争者数据汇总!$D$2:$D$243,0))</f>
        <v>#N/A</v>
      </c>
      <c r="Q153" s="429"/>
      <c r="R153" s="421"/>
      <c r="S153" s="473"/>
      <c r="T153" s="466"/>
      <c r="U153" s="466"/>
      <c r="V153" s="421"/>
      <c r="W153" s="421"/>
    </row>
    <row r="154" s="408" customFormat="1" ht="17.4" spans="1:23">
      <c r="A154" s="428" t="s">
        <v>511</v>
      </c>
      <c r="B154" s="438" t="s">
        <v>583</v>
      </c>
      <c r="C154" s="429" t="str">
        <f>VLOOKUP(B154,正厂竞争者数据汇总!D:H,2,FALSE)</f>
        <v>原厂目录</v>
      </c>
      <c r="D154" s="466" t="str">
        <f>VLOOKUP(B154,正厂竞争者数据汇总!D:H,3,FALSE)</f>
        <v>NJ</v>
      </c>
      <c r="E154" s="430"/>
      <c r="F154" s="430">
        <v>245285.416666667</v>
      </c>
      <c r="G154" s="430">
        <v>269403.666666667</v>
      </c>
      <c r="H154" s="430">
        <v>295452.916666667</v>
      </c>
      <c r="I154" s="453"/>
      <c r="J154" s="451"/>
      <c r="K154" s="451"/>
      <c r="L154" s="451"/>
      <c r="M154" s="451"/>
      <c r="N154" s="459"/>
      <c r="O154" s="430"/>
      <c r="P154" s="471" t="str">
        <f t="array" ref="P154">INDEX(正厂竞争者数据汇总!$I$2:$I$243,MATCH($A$142&amp;$B154,正厂竞争者数据汇总!$A$2:$A$243&amp;正厂竞争者数据汇总!$D$2:$D$243,0))</f>
        <v>官网</v>
      </c>
      <c r="Q154" s="492"/>
      <c r="R154" s="421"/>
      <c r="S154" s="473">
        <f>VLOOKUP(B154,正厂竞争者数据汇总!$D$2:$CL$243,25,FALSE)</f>
        <v>225061</v>
      </c>
      <c r="T154" s="466"/>
      <c r="U154" s="466"/>
      <c r="V154" s="421"/>
      <c r="W154" s="421"/>
    </row>
    <row r="155" s="408" customFormat="1" spans="1:23">
      <c r="A155" s="428"/>
      <c r="B155" s="438"/>
      <c r="C155" s="429"/>
      <c r="D155" s="466"/>
      <c r="E155" s="430"/>
      <c r="F155" s="430"/>
      <c r="G155" s="430"/>
      <c r="H155" s="430"/>
      <c r="I155" s="453"/>
      <c r="J155" s="451"/>
      <c r="K155" s="451"/>
      <c r="L155" s="451"/>
      <c r="M155" s="451"/>
      <c r="N155" s="459"/>
      <c r="O155" s="430"/>
      <c r="P155" s="471"/>
      <c r="Q155" s="492"/>
      <c r="R155" s="421"/>
      <c r="S155" s="473"/>
      <c r="T155" s="466"/>
      <c r="U155" s="466"/>
      <c r="V155" s="421"/>
      <c r="W155" s="421"/>
    </row>
    <row r="156" s="408" customFormat="1" spans="1:23">
      <c r="A156" s="428"/>
      <c r="B156" s="421"/>
      <c r="C156" s="439"/>
      <c r="D156" s="421"/>
      <c r="E156" s="430"/>
      <c r="F156" s="430">
        <v>451480.499999999</v>
      </c>
      <c r="G156" s="430">
        <v>457440.166666667</v>
      </c>
      <c r="H156" s="430">
        <v>436625.833333334</v>
      </c>
      <c r="I156" s="453">
        <f t="shared" ref="I156:I163" si="38">(F156/G156)-1</f>
        <v>-0.0130282976899375</v>
      </c>
      <c r="J156" s="430"/>
      <c r="K156" s="430"/>
      <c r="L156" s="430"/>
      <c r="M156" s="451"/>
      <c r="N156" s="451"/>
      <c r="O156" s="430"/>
      <c r="P156" s="471"/>
      <c r="Q156" s="493"/>
      <c r="R156" s="421"/>
      <c r="S156" s="473"/>
      <c r="T156" s="466"/>
      <c r="U156" s="466"/>
      <c r="V156" s="421"/>
      <c r="W156" s="421"/>
    </row>
    <row r="157" s="408" customFormat="1" spans="1:23">
      <c r="A157" s="428"/>
      <c r="B157" s="421"/>
      <c r="C157" s="439"/>
      <c r="D157" s="421"/>
      <c r="E157" s="430"/>
      <c r="F157" s="430"/>
      <c r="G157" s="430"/>
      <c r="H157" s="430"/>
      <c r="I157" s="453"/>
      <c r="J157" s="430"/>
      <c r="K157" s="430"/>
      <c r="L157" s="430"/>
      <c r="M157" s="451"/>
      <c r="N157" s="451"/>
      <c r="O157" s="430"/>
      <c r="P157" s="471"/>
      <c r="Q157" s="493"/>
      <c r="R157" s="421"/>
      <c r="S157" s="473"/>
      <c r="T157" s="466"/>
      <c r="U157" s="466"/>
      <c r="V157" s="421"/>
      <c r="W157" s="421"/>
    </row>
    <row r="158" s="408" customFormat="1" ht="17.4" spans="1:23">
      <c r="A158" s="418" t="s">
        <v>162</v>
      </c>
      <c r="B158" s="419"/>
      <c r="C158" s="420"/>
      <c r="D158" s="421"/>
      <c r="E158" s="422" t="s">
        <v>202</v>
      </c>
      <c r="F158" s="422"/>
      <c r="G158" s="422"/>
      <c r="H158" s="422"/>
      <c r="I158" s="422"/>
      <c r="J158" s="422"/>
      <c r="K158" s="422"/>
      <c r="L158" s="422"/>
      <c r="M158" s="443"/>
      <c r="N158" s="444"/>
      <c r="O158" s="422"/>
      <c r="P158" s="471"/>
      <c r="Q158" s="465"/>
      <c r="R158" s="424"/>
      <c r="S158" s="473"/>
      <c r="T158" s="467"/>
      <c r="U158" s="467"/>
      <c r="V158" s="467"/>
      <c r="W158" s="467"/>
    </row>
    <row r="159" s="409" customFormat="1" ht="46.8" spans="1:23">
      <c r="A159" s="423" t="s">
        <v>206</v>
      </c>
      <c r="B159" s="424" t="s">
        <v>207</v>
      </c>
      <c r="C159" s="425" t="s">
        <v>208</v>
      </c>
      <c r="D159" s="424" t="s">
        <v>209</v>
      </c>
      <c r="E159" s="426" t="s">
        <v>210</v>
      </c>
      <c r="F159" s="427" t="s">
        <v>213</v>
      </c>
      <c r="G159" s="427" t="s">
        <v>396</v>
      </c>
      <c r="H159" s="427" t="s">
        <v>496</v>
      </c>
      <c r="I159" s="427" t="s">
        <v>497</v>
      </c>
      <c r="J159" s="446" t="s">
        <v>217</v>
      </c>
      <c r="K159" s="446" t="s">
        <v>387</v>
      </c>
      <c r="L159" s="446" t="s">
        <v>390</v>
      </c>
      <c r="M159" s="447" t="s">
        <v>498</v>
      </c>
      <c r="N159" s="448" t="s">
        <v>219</v>
      </c>
      <c r="O159" s="449" t="s">
        <v>220</v>
      </c>
      <c r="P159" s="468" t="s">
        <v>221</v>
      </c>
      <c r="Q159" s="469" t="s">
        <v>222</v>
      </c>
      <c r="R159" s="426" t="s">
        <v>223</v>
      </c>
      <c r="S159" s="470" t="s">
        <v>224</v>
      </c>
      <c r="T159" s="467" t="s">
        <v>225</v>
      </c>
      <c r="U159" s="470" t="s">
        <v>226</v>
      </c>
      <c r="V159" s="467"/>
      <c r="W159" s="467"/>
    </row>
    <row r="160" s="410" customFormat="1" ht="17.4" spans="1:23">
      <c r="A160" s="432" t="s">
        <v>227</v>
      </c>
      <c r="B160" s="435" t="s">
        <v>584</v>
      </c>
      <c r="C160" s="434" t="e">
        <f>VLOOKUP(B160,正厂竞争者数据汇总!D:H,2,FALSE)</f>
        <v>#N/A</v>
      </c>
      <c r="D160" s="435" t="e">
        <f>VLOOKUP(B160,正厂竞争者数据汇总!D:H,3,FALSE)</f>
        <v>#N/A</v>
      </c>
      <c r="E160" s="436" t="e">
        <f>VLOOKUP(B160,正厂竞争者数据汇总!D:H,4,FALSE)</f>
        <v>#N/A</v>
      </c>
      <c r="F160" s="436">
        <v>213503.583333333</v>
      </c>
      <c r="G160" s="436">
        <v>235149.083333333</v>
      </c>
      <c r="H160" s="436">
        <v>237739.5</v>
      </c>
      <c r="I160" s="454">
        <f t="shared" si="38"/>
        <v>-0.0920501143069168</v>
      </c>
      <c r="J160" s="457">
        <f t="shared" ref="J160:J162" si="39">F160/F$167</f>
        <v>0.479341358160035</v>
      </c>
      <c r="K160" s="457">
        <v>0.548576888644367</v>
      </c>
      <c r="L160" s="457">
        <v>0.530383702055834</v>
      </c>
      <c r="M160" s="456">
        <f t="shared" ref="M160:M163" si="40">J160-K160</f>
        <v>-0.0692355304843325</v>
      </c>
      <c r="N160" s="457" t="str">
        <f>IFERROR(O160*0.5/$F$160,"")</f>
        <v/>
      </c>
      <c r="O160" s="436" t="s">
        <v>180</v>
      </c>
      <c r="P160" s="471" t="e">
        <f t="array" ref="P160">INDEX(正厂竞争者数据汇总!$I$2:$I$243,MATCH($A$158&amp;$B160,正厂竞争者数据汇总!$A$2:$A$243&amp;正厂竞争者数据汇总!$D$2:$D$243,0))</f>
        <v>#N/A</v>
      </c>
      <c r="Q160" s="434" t="s">
        <v>284</v>
      </c>
      <c r="R160" s="435" t="s">
        <v>229</v>
      </c>
      <c r="S160" s="476" t="e">
        <f>VLOOKUP(B160,正厂竞争者数据汇总!$D$2:$CL$243,25,FALSE)</f>
        <v>#N/A</v>
      </c>
      <c r="T160" s="477"/>
      <c r="U160" s="477"/>
      <c r="V160" s="435"/>
      <c r="W160" s="435"/>
    </row>
    <row r="161" spans="1:23">
      <c r="A161" s="440" t="s">
        <v>230</v>
      </c>
      <c r="B161" t="s">
        <v>585</v>
      </c>
      <c r="C161" s="429" t="e">
        <f>VLOOKUP(B161,正厂竞争者数据汇总!D:H,2,FALSE)</f>
        <v>#N/A</v>
      </c>
      <c r="D161" s="421" t="e">
        <f>VLOOKUP(B161,正厂竞争者数据汇总!D:H,3,FALSE)</f>
        <v>#N/A</v>
      </c>
      <c r="E161" s="430" t="e">
        <f>VLOOKUP(#REF!,正厂竞争者数据汇总!D:H,4,FALSE)</f>
        <v>#REF!</v>
      </c>
      <c r="F161" s="430">
        <v>103596.5</v>
      </c>
      <c r="G161" s="430">
        <v>128551.25</v>
      </c>
      <c r="H161" s="430">
        <v>129824.666666667</v>
      </c>
      <c r="I161" s="453">
        <f t="shared" si="38"/>
        <v>-0.194122966521135</v>
      </c>
      <c r="J161" s="490">
        <f t="shared" si="39"/>
        <v>0.232586667798906</v>
      </c>
      <c r="K161" s="490">
        <v>0.299895894794448</v>
      </c>
      <c r="L161" s="490">
        <v>0.28963166543562</v>
      </c>
      <c r="M161" s="452">
        <f t="shared" si="40"/>
        <v>-0.0673092269955417</v>
      </c>
      <c r="N161" s="490">
        <f>IFERROR(O161*0.5/$F$160,"")</f>
        <v>0.0339306951522672</v>
      </c>
      <c r="O161" s="486">
        <v>14488.65</v>
      </c>
      <c r="P161" s="471" t="e">
        <f t="array" ref="P161">INDEX(正厂竞争者数据汇总!$I$2:$I$243,MATCH($A$158&amp;$B161,正厂竞争者数据汇总!$A$2:$A$243&amp;正厂竞争者数据汇总!$D$2:$D$243,0))</f>
        <v>#N/A</v>
      </c>
      <c r="Q161" s="494" t="s">
        <v>180</v>
      </c>
      <c r="R161" s="431" t="s">
        <v>180</v>
      </c>
      <c r="S161" s="473" t="e">
        <f>VLOOKUP(B161,正厂竞争者数据汇总!$D$2:$CL$243,25,FALSE)</f>
        <v>#N/A</v>
      </c>
      <c r="T161" s="495"/>
      <c r="U161" s="466"/>
      <c r="V161" s="431"/>
      <c r="W161" s="431"/>
    </row>
    <row r="162" spans="1:23">
      <c r="A162" s="440" t="s">
        <v>230</v>
      </c>
      <c r="B162" t="s">
        <v>586</v>
      </c>
      <c r="C162" s="429" t="e">
        <f>VLOOKUP(B162,正厂竞争者数据汇总!D:H,2,FALSE)</f>
        <v>#N/A</v>
      </c>
      <c r="D162" s="421" t="e">
        <f>VLOOKUP(B162,正厂竞争者数据汇总!D:H,3,FALSE)</f>
        <v>#N/A</v>
      </c>
      <c r="E162" s="430" t="e">
        <f>VLOOKUP(B162,正厂竞争者数据汇总!D:H,4,FALSE)</f>
        <v>#N/A</v>
      </c>
      <c r="F162" s="430">
        <v>23122.25</v>
      </c>
      <c r="G162" s="430">
        <v>32288.75</v>
      </c>
      <c r="H162" s="430">
        <v>46226.0833333333</v>
      </c>
      <c r="I162" s="453">
        <f t="shared" si="38"/>
        <v>-0.283891448259843</v>
      </c>
      <c r="J162" s="490">
        <f t="shared" si="39"/>
        <v>0.0519122468376177</v>
      </c>
      <c r="K162" s="490">
        <v>0.0753260942468023</v>
      </c>
      <c r="L162" s="490">
        <v>0.0986661537081444</v>
      </c>
      <c r="M162" s="452">
        <f t="shared" si="40"/>
        <v>-0.0234138474091846</v>
      </c>
      <c r="N162" s="490"/>
      <c r="O162" s="486"/>
      <c r="P162" s="471" t="e">
        <f t="array" ref="P162">INDEX(正厂竞争者数据汇总!$I$2:$I$243,MATCH($A$158&amp;$B162,正厂竞争者数据汇总!$A$2:$A$243&amp;正厂竞争者数据汇总!$D$2:$D$243,0))</f>
        <v>#N/A</v>
      </c>
      <c r="Q162" s="494"/>
      <c r="R162" s="431" t="s">
        <v>180</v>
      </c>
      <c r="S162" s="473" t="e">
        <f>VLOOKUP(B162,正厂竞争者数据汇总!$D$2:$CL$243,25,FALSE)</f>
        <v>#N/A</v>
      </c>
      <c r="T162" s="495"/>
      <c r="U162" s="466"/>
      <c r="V162" s="431"/>
      <c r="W162" s="431"/>
    </row>
    <row r="163" spans="1:23">
      <c r="A163" s="417" t="s">
        <v>230</v>
      </c>
      <c r="B163" t="s">
        <v>587</v>
      </c>
      <c r="C163" s="429" t="e">
        <f>VLOOKUP(B163,正厂竞争者数据汇总!D:H,2,FALSE)</f>
        <v>#N/A</v>
      </c>
      <c r="D163" s="421" t="e">
        <f>VLOOKUP(B163,正厂竞争者数据汇总!D:H,3,FALSE)</f>
        <v>#N/A</v>
      </c>
      <c r="E163" s="430"/>
      <c r="F163" s="430">
        <v>27553</v>
      </c>
      <c r="G163" s="430">
        <v>32663.8333333334</v>
      </c>
      <c r="H163" s="430">
        <v>34450.3333333333</v>
      </c>
      <c r="I163" s="453">
        <f t="shared" si="38"/>
        <v>-0.156467652806623</v>
      </c>
      <c r="J163" s="490">
        <f t="shared" ref="J163:J165" si="41">F163/$F$167</f>
        <v>0.0618598162859099</v>
      </c>
      <c r="K163" s="490">
        <v>0.0762011223143824</v>
      </c>
      <c r="L163" s="490">
        <v>0.076856792120749</v>
      </c>
      <c r="M163" s="452">
        <f t="shared" si="40"/>
        <v>-0.0143413060284725</v>
      </c>
      <c r="N163" s="490"/>
      <c r="O163" s="486"/>
      <c r="P163" s="471" t="e">
        <f t="array" ref="P163">INDEX(正厂竞争者数据汇总!$I$2:$I$243,MATCH($A$158&amp;$B163,正厂竞争者数据汇总!$A$2:$A$243&amp;正厂竞争者数据汇总!$D$2:$D$243,0))</f>
        <v>#N/A</v>
      </c>
      <c r="Q163" s="494"/>
      <c r="R163" s="431"/>
      <c r="S163" s="473"/>
      <c r="T163" s="495"/>
      <c r="U163" s="466"/>
      <c r="V163" s="431"/>
      <c r="W163" s="431"/>
    </row>
    <row r="164" spans="1:23">
      <c r="A164" s="417" t="s">
        <v>230</v>
      </c>
      <c r="B164" t="s">
        <v>507</v>
      </c>
      <c r="C164" s="429" t="e">
        <f>VLOOKUP(B164,正厂竞争者数据汇总!D:H,2,FALSE)</f>
        <v>#N/A</v>
      </c>
      <c r="D164" s="421" t="e">
        <f>VLOOKUP(B164,正厂竞争者数据汇总!D:H,3,FALSE)</f>
        <v>#N/A</v>
      </c>
      <c r="E164" s="430"/>
      <c r="F164" s="430">
        <v>48103.895</v>
      </c>
      <c r="G164" s="430">
        <v>43556.02</v>
      </c>
      <c r="H164" s="430">
        <v>45317.305</v>
      </c>
      <c r="I164" s="453"/>
      <c r="J164" s="490">
        <f t="shared" si="41"/>
        <v>0.107999060259743</v>
      </c>
      <c r="K164" s="490">
        <v>0.101611393055959</v>
      </c>
      <c r="L164" s="490">
        <v>0.101100406087728</v>
      </c>
      <c r="M164" s="451"/>
      <c r="N164" s="490"/>
      <c r="O164" s="486"/>
      <c r="P164" s="471" t="e">
        <f t="array" ref="P164">INDEX(正厂竞争者数据汇总!$I$2:$I$243,MATCH($A$158&amp;$B164,正厂竞争者数据汇总!$A$2:$A$243&amp;正厂竞争者数据汇总!$D$2:$D$243,0))</f>
        <v>#N/A</v>
      </c>
      <c r="Q164" s="494"/>
      <c r="R164" s="431"/>
      <c r="S164" s="473"/>
      <c r="T164" s="495"/>
      <c r="U164" s="466"/>
      <c r="V164" s="431"/>
      <c r="W164" s="431"/>
    </row>
    <row r="165" spans="1:23">
      <c r="A165" s="417" t="s">
        <v>230</v>
      </c>
      <c r="B165" s="431" t="s">
        <v>508</v>
      </c>
      <c r="C165" s="429" t="e">
        <f>VLOOKUP(B165,正厂竞争者数据汇总!D:H,2,FALSE)</f>
        <v>#N/A</v>
      </c>
      <c r="D165" s="421" t="e">
        <f>VLOOKUP(B165,正厂竞争者数据汇总!D:H,3,FALSE)</f>
        <v>#N/A</v>
      </c>
      <c r="E165" s="430"/>
      <c r="F165" s="430">
        <v>29531.0825</v>
      </c>
      <c r="G165" s="430">
        <v>27177.6475</v>
      </c>
      <c r="H165" s="430">
        <v>26283.1116666667</v>
      </c>
      <c r="I165" s="453"/>
      <c r="J165" s="490">
        <f t="shared" si="41"/>
        <v>0.0663008506577886</v>
      </c>
      <c r="K165" s="490">
        <v>0.0634024555608802</v>
      </c>
      <c r="L165" s="490">
        <v>0.0586361713863854</v>
      </c>
      <c r="M165" s="451"/>
      <c r="N165" s="490"/>
      <c r="O165" s="486"/>
      <c r="P165" s="471" t="e">
        <f t="array" ref="P165">INDEX(正厂竞争者数据汇总!$I$2:$I$243,MATCH($A$158&amp;$B165,正厂竞争者数据汇总!$A$2:$A$243&amp;正厂竞争者数据汇总!$D$2:$D$243,0))</f>
        <v>#N/A</v>
      </c>
      <c r="Q165" s="494"/>
      <c r="R165" s="431"/>
      <c r="S165" s="473"/>
      <c r="T165" s="495"/>
      <c r="U165" s="466"/>
      <c r="V165" s="431"/>
      <c r="W165" s="431"/>
    </row>
    <row r="166" spans="1:23">
      <c r="A166" s="431"/>
      <c r="B166" s="431"/>
      <c r="C166" s="431"/>
      <c r="D166" s="431"/>
      <c r="E166" s="430"/>
      <c r="F166" s="430"/>
      <c r="G166" s="430"/>
      <c r="H166" s="430"/>
      <c r="I166" s="453"/>
      <c r="J166" s="490"/>
      <c r="K166" s="490"/>
      <c r="L166" s="490"/>
      <c r="M166" s="451"/>
      <c r="N166" s="490"/>
      <c r="O166" s="486"/>
      <c r="P166" s="471"/>
      <c r="Q166" s="494"/>
      <c r="R166" s="431"/>
      <c r="S166" s="473"/>
      <c r="T166" s="495"/>
      <c r="U166" s="466"/>
      <c r="V166" s="431"/>
      <c r="W166" s="431"/>
    </row>
    <row r="167" s="408" customFormat="1" spans="1:23">
      <c r="A167" s="428"/>
      <c r="B167" s="421"/>
      <c r="C167" s="439"/>
      <c r="D167" s="421"/>
      <c r="E167" s="421"/>
      <c r="F167" s="430">
        <v>445410.310833333</v>
      </c>
      <c r="G167" s="430">
        <v>428652.916666666</v>
      </c>
      <c r="H167" s="430">
        <v>448240.583333334</v>
      </c>
      <c r="I167" s="453">
        <f t="shared" ref="I167:I176" si="42">(F167/G167)-1</f>
        <v>0.0390931532601657</v>
      </c>
      <c r="J167" s="430"/>
      <c r="K167" s="430"/>
      <c r="L167" s="430"/>
      <c r="M167" s="451"/>
      <c r="N167" s="451">
        <f>SUM(N160:N161)</f>
        <v>0.0339306951522672</v>
      </c>
      <c r="O167" s="430"/>
      <c r="P167" s="471"/>
      <c r="Q167" s="429"/>
      <c r="R167" s="421"/>
      <c r="S167" s="473"/>
      <c r="T167" s="466"/>
      <c r="U167" s="466"/>
      <c r="V167" s="421"/>
      <c r="W167" s="421"/>
    </row>
    <row r="168" s="408" customFormat="1" spans="1:23">
      <c r="A168" s="428"/>
      <c r="B168" s="421"/>
      <c r="C168" s="485"/>
      <c r="D168" s="421"/>
      <c r="E168" s="430"/>
      <c r="F168" s="451"/>
      <c r="G168" s="451"/>
      <c r="H168" s="451"/>
      <c r="I168" s="453"/>
      <c r="J168" s="451"/>
      <c r="K168" s="451"/>
      <c r="L168" s="451"/>
      <c r="M168" s="451"/>
      <c r="N168" s="451"/>
      <c r="O168" s="451"/>
      <c r="P168" s="471"/>
      <c r="Q168" s="429"/>
      <c r="R168" s="421"/>
      <c r="S168" s="473"/>
      <c r="T168" s="466"/>
      <c r="U168" s="466"/>
      <c r="V168" s="421"/>
      <c r="W168" s="421"/>
    </row>
    <row r="169" s="408" customFormat="1" ht="17.4" spans="1:23">
      <c r="A169" s="418" t="s">
        <v>174</v>
      </c>
      <c r="B169" s="419"/>
      <c r="C169" s="420"/>
      <c r="D169" s="421"/>
      <c r="E169" s="422" t="s">
        <v>202</v>
      </c>
      <c r="F169" s="422"/>
      <c r="G169" s="422"/>
      <c r="H169" s="422"/>
      <c r="I169" s="422"/>
      <c r="J169" s="422"/>
      <c r="K169" s="422"/>
      <c r="L169" s="422"/>
      <c r="M169" s="443"/>
      <c r="N169" s="444"/>
      <c r="O169" s="422"/>
      <c r="P169" s="471"/>
      <c r="Q169" s="465"/>
      <c r="R169" s="424"/>
      <c r="S169" s="473"/>
      <c r="T169" s="467"/>
      <c r="U169" s="467"/>
      <c r="V169" s="467"/>
      <c r="W169" s="467"/>
    </row>
    <row r="170" s="409" customFormat="1" ht="46.8" spans="1:23">
      <c r="A170" s="423" t="s">
        <v>206</v>
      </c>
      <c r="B170" s="424" t="s">
        <v>207</v>
      </c>
      <c r="C170" s="425" t="s">
        <v>208</v>
      </c>
      <c r="D170" s="424" t="s">
        <v>209</v>
      </c>
      <c r="E170" s="426" t="s">
        <v>210</v>
      </c>
      <c r="F170" s="427" t="s">
        <v>213</v>
      </c>
      <c r="G170" s="427" t="s">
        <v>396</v>
      </c>
      <c r="H170" s="427" t="s">
        <v>496</v>
      </c>
      <c r="I170" s="427" t="s">
        <v>497</v>
      </c>
      <c r="J170" s="446" t="s">
        <v>217</v>
      </c>
      <c r="K170" s="446" t="s">
        <v>387</v>
      </c>
      <c r="L170" s="446" t="s">
        <v>390</v>
      </c>
      <c r="M170" s="447" t="s">
        <v>498</v>
      </c>
      <c r="N170" s="448" t="s">
        <v>219</v>
      </c>
      <c r="O170" s="449" t="s">
        <v>220</v>
      </c>
      <c r="P170" s="468" t="s">
        <v>221</v>
      </c>
      <c r="Q170" s="469" t="s">
        <v>222</v>
      </c>
      <c r="R170" s="426" t="s">
        <v>223</v>
      </c>
      <c r="S170" s="470" t="s">
        <v>224</v>
      </c>
      <c r="T170" s="467" t="s">
        <v>225</v>
      </c>
      <c r="U170" s="470" t="s">
        <v>226</v>
      </c>
      <c r="V170" s="467"/>
      <c r="W170" s="467"/>
    </row>
    <row r="171" s="410" customFormat="1" ht="17.4" spans="1:23">
      <c r="A171" s="435" t="s">
        <v>227</v>
      </c>
      <c r="B171" s="435" t="s">
        <v>588</v>
      </c>
      <c r="C171" s="435" t="e">
        <f>VLOOKUP(B171,正厂竞争者数据汇总!D:H,2,FALSE)</f>
        <v>#N/A</v>
      </c>
      <c r="D171" s="435" t="e">
        <f>VLOOKUP(B171,正厂竞争者数据汇总!D:H,3,FALSE)</f>
        <v>#N/A</v>
      </c>
      <c r="E171" s="436" t="e">
        <f>VLOOKUP(B171,正厂竞争者数据汇总!D:H,4,FALSE)</f>
        <v>#N/A</v>
      </c>
      <c r="F171" s="436">
        <v>187069.166666667</v>
      </c>
      <c r="G171" s="436">
        <v>185523.083333333</v>
      </c>
      <c r="H171" s="436">
        <v>200202.75</v>
      </c>
      <c r="I171" s="454">
        <f t="shared" si="42"/>
        <v>0.00833364401644898</v>
      </c>
      <c r="J171" s="457">
        <f t="shared" ref="J171:J176" si="43">F171/F$181</f>
        <v>0.457190770523565</v>
      </c>
      <c r="K171" s="457">
        <v>0.416979206077474</v>
      </c>
      <c r="L171" s="457">
        <v>0.38108354789874</v>
      </c>
      <c r="M171" s="456">
        <f t="shared" ref="M171:M176" si="44">J171-K171</f>
        <v>0.0402115644460913</v>
      </c>
      <c r="N171" s="457" t="str">
        <f t="shared" ref="N171:N173" si="45">IFERROR(O171*0.5/$F$171,"")</f>
        <v/>
      </c>
      <c r="O171" s="436" t="s">
        <v>180</v>
      </c>
      <c r="P171" s="471" t="e">
        <f t="array" ref="P171">INDEX(正厂竞争者数据汇总!$I$2:$I$243,MATCH($A$169&amp;$B171,正厂竞争者数据汇总!$A$2:$A$243&amp;正厂竞争者数据汇总!$D$2:$D$243,0))</f>
        <v>#N/A</v>
      </c>
      <c r="Q171" s="434" t="s">
        <v>318</v>
      </c>
      <c r="R171" s="435" t="s">
        <v>229</v>
      </c>
      <c r="S171" s="476" t="e">
        <f>VLOOKUP(B171,正厂竞争者数据汇总!$D$2:$CL$243,25,FALSE)</f>
        <v>#N/A</v>
      </c>
      <c r="T171" s="477"/>
      <c r="U171" s="477"/>
      <c r="V171" s="435"/>
      <c r="W171" s="435"/>
    </row>
    <row r="172" s="408" customFormat="1" spans="1:23">
      <c r="A172" s="421" t="s">
        <v>230</v>
      </c>
      <c r="B172" s="431" t="s">
        <v>589</v>
      </c>
      <c r="C172" s="421" t="e">
        <f>VLOOKUP(B172,正厂竞争者数据汇总!D:H,2,FALSE)</f>
        <v>#N/A</v>
      </c>
      <c r="D172" s="421" t="e">
        <f>VLOOKUP(B172,正厂竞争者数据汇总!D:H,3,FALSE)</f>
        <v>#N/A</v>
      </c>
      <c r="E172" s="430" t="e">
        <f>VLOOKUP(B172,正厂竞争者数据汇总!D:H,4,FALSE)</f>
        <v>#N/A</v>
      </c>
      <c r="F172" s="430">
        <v>115229.75</v>
      </c>
      <c r="G172" s="430">
        <v>156088.916666667</v>
      </c>
      <c r="H172" s="430">
        <v>189741.833333333</v>
      </c>
      <c r="I172" s="453">
        <f t="shared" si="42"/>
        <v>-0.261768532572515</v>
      </c>
      <c r="J172" s="451">
        <f t="shared" si="43"/>
        <v>0.281617645112036</v>
      </c>
      <c r="K172" s="451">
        <v>0.350823365910854</v>
      </c>
      <c r="L172" s="451">
        <v>0.361171317734037</v>
      </c>
      <c r="M172" s="451">
        <f t="shared" si="44"/>
        <v>-0.0692057207988177</v>
      </c>
      <c r="N172" s="451">
        <f t="shared" si="45"/>
        <v>0.0388089075787475</v>
      </c>
      <c r="O172" s="430">
        <v>14519.9</v>
      </c>
      <c r="P172" s="471" t="e">
        <f t="array" ref="P172">INDEX(正厂竞争者数据汇总!$I$2:$I$243,MATCH($A$169&amp;$B172,正厂竞争者数据汇总!$A$2:$A$243&amp;正厂竞争者数据汇总!$D$2:$D$243,0))</f>
        <v>#N/A</v>
      </c>
      <c r="Q172" s="429" t="s">
        <v>180</v>
      </c>
      <c r="R172" s="421" t="s">
        <v>180</v>
      </c>
      <c r="S172" s="473" t="e">
        <f>VLOOKUP(B172,正厂竞争者数据汇总!$D$2:$CL$243,25,FALSE)</f>
        <v>#N/A</v>
      </c>
      <c r="T172" s="466"/>
      <c r="U172" s="466"/>
      <c r="V172" s="421"/>
      <c r="W172" s="421"/>
    </row>
    <row r="173" s="408" customFormat="1" spans="1:23">
      <c r="A173" s="421" t="s">
        <v>238</v>
      </c>
      <c r="B173" s="431" t="s">
        <v>322</v>
      </c>
      <c r="C173" s="421" t="str">
        <f>VLOOKUP(B173,正厂竞争者数据汇总!D:H,2,FALSE)</f>
        <v>原厂目录</v>
      </c>
      <c r="D173" s="421" t="str">
        <f>VLOOKUP(B173,正厂竞争者数据汇总!D:H,3,FALSE)</f>
        <v>MA</v>
      </c>
      <c r="E173" s="430">
        <f>VLOOKUP(B173,正厂竞争者数据汇总!D:H,4,FALSE)</f>
        <v>284511</v>
      </c>
      <c r="F173" s="430">
        <v>48288.1666666667</v>
      </c>
      <c r="G173" s="430">
        <v>37961.4166666666</v>
      </c>
      <c r="H173" s="430">
        <v>51659.6666666667</v>
      </c>
      <c r="I173" s="453">
        <f t="shared" si="42"/>
        <v>0.272032787676965</v>
      </c>
      <c r="J173" s="451">
        <f t="shared" si="43"/>
        <v>0.118014660132858</v>
      </c>
      <c r="K173" s="451">
        <v>0.0853215734604967</v>
      </c>
      <c r="L173" s="451">
        <v>0.0983335596369161</v>
      </c>
      <c r="M173" s="451">
        <f t="shared" si="44"/>
        <v>0.0326930866723614</v>
      </c>
      <c r="N173" s="451" t="str">
        <f t="shared" si="45"/>
        <v/>
      </c>
      <c r="O173" s="430" t="s">
        <v>180</v>
      </c>
      <c r="P173" s="471">
        <f t="array" ref="P173">INDEX(正厂竞争者数据汇总!$I$2:$I$243,MATCH($A$169&amp;$B173,正厂竞争者数据汇总!$A$2:$A$243&amp;正厂竞争者数据汇总!$D$2:$D$243,0))</f>
        <v>0</v>
      </c>
      <c r="Q173" s="429" t="s">
        <v>180</v>
      </c>
      <c r="R173" s="421" t="s">
        <v>180</v>
      </c>
      <c r="S173" s="473">
        <f>VLOOKUP(B173,正厂竞争者数据汇总!$D$2:$CL$243,25,FALSE)</f>
        <v>32770</v>
      </c>
      <c r="T173" s="466"/>
      <c r="U173" s="466"/>
      <c r="V173" s="421"/>
      <c r="W173" s="421"/>
    </row>
    <row r="174" s="408" customFormat="1" spans="1:23">
      <c r="A174" s="421" t="s">
        <v>230</v>
      </c>
      <c r="B174" s="431" t="s">
        <v>590</v>
      </c>
      <c r="C174" s="421" t="e">
        <f>VLOOKUP(B174,正厂竞争者数据汇总!D:H,2,FALSE)</f>
        <v>#N/A</v>
      </c>
      <c r="D174" s="421" t="e">
        <f>VLOOKUP(B174,正厂竞争者数据汇总!D:H,3,FALSE)</f>
        <v>#N/A</v>
      </c>
      <c r="E174" s="430" t="e">
        <f>VLOOKUP(B174,正厂竞争者数据汇总!D:H,4,FALSE)</f>
        <v>#N/A</v>
      </c>
      <c r="F174" s="430">
        <v>41299</v>
      </c>
      <c r="G174" s="430">
        <v>42251.1666666667</v>
      </c>
      <c r="H174" s="430">
        <v>55426.1666666667</v>
      </c>
      <c r="I174" s="453">
        <f t="shared" si="42"/>
        <v>-0.022535866859693</v>
      </c>
      <c r="J174" s="451">
        <f t="shared" si="43"/>
        <v>0.100933371160503</v>
      </c>
      <c r="K174" s="451">
        <v>0.094963158308766</v>
      </c>
      <c r="L174" s="451">
        <v>0.105503047484414</v>
      </c>
      <c r="M174" s="451">
        <f t="shared" si="44"/>
        <v>0.00597021285173714</v>
      </c>
      <c r="N174" s="451"/>
      <c r="O174" s="430"/>
      <c r="P174" s="471" t="e">
        <f t="array" ref="P174">INDEX(正厂竞争者数据汇总!$I$2:$I$243,MATCH($A$169&amp;$B174,正厂竞争者数据汇总!$A$2:$A$243&amp;正厂竞争者数据汇总!$D$2:$D$243,0))</f>
        <v>#N/A</v>
      </c>
      <c r="Q174" s="429"/>
      <c r="R174" s="421"/>
      <c r="S174" s="473"/>
      <c r="T174" s="466"/>
      <c r="U174" s="466"/>
      <c r="V174" s="421"/>
      <c r="W174" s="421"/>
    </row>
    <row r="175" s="408" customFormat="1" spans="1:23">
      <c r="A175" s="421" t="s">
        <v>230</v>
      </c>
      <c r="B175" s="431" t="s">
        <v>591</v>
      </c>
      <c r="C175" s="421" t="e">
        <f>VLOOKUP(B175,正厂竞争者数据汇总!D:H,2,FALSE)</f>
        <v>#N/A</v>
      </c>
      <c r="D175" s="421" t="e">
        <f>VLOOKUP(B175,正厂竞争者数据汇总!D:H,3,FALSE)</f>
        <v>#N/A</v>
      </c>
      <c r="E175" s="430" t="e">
        <f>VLOOKUP(B175,正厂竞争者数据汇总!D:H,4,FALSE)</f>
        <v>#N/A</v>
      </c>
      <c r="F175" s="430">
        <v>11100.4166666667</v>
      </c>
      <c r="G175" s="430">
        <v>10367.5</v>
      </c>
      <c r="H175" s="430">
        <v>10531.25</v>
      </c>
      <c r="I175" s="453">
        <f t="shared" si="42"/>
        <v>0.0706936741419533</v>
      </c>
      <c r="J175" s="451">
        <f t="shared" si="43"/>
        <v>0.0271290461137777</v>
      </c>
      <c r="K175" s="451">
        <v>0.0233018546335872</v>
      </c>
      <c r="L175" s="451">
        <v>0.0200461088262204</v>
      </c>
      <c r="M175" s="451">
        <f t="shared" si="44"/>
        <v>0.0038271914801905</v>
      </c>
      <c r="N175" s="451" t="str">
        <f t="shared" ref="N175:N179" si="46">IFERROR(O175*0.5/$F$171,"")</f>
        <v/>
      </c>
      <c r="O175" s="430" t="s">
        <v>180</v>
      </c>
      <c r="P175" s="471" t="e">
        <f t="array" ref="P175">INDEX(正厂竞争者数据汇总!$I$2:$I$243,MATCH($A$169&amp;$B175,正厂竞争者数据汇总!$A$2:$A$243&amp;正厂竞争者数据汇总!$D$2:$D$243,0))</f>
        <v>#N/A</v>
      </c>
      <c r="Q175" s="429" t="s">
        <v>180</v>
      </c>
      <c r="R175" s="421" t="s">
        <v>180</v>
      </c>
      <c r="S175" s="473" t="e">
        <f>VLOOKUP(B175,正厂竞争者数据汇总!$D$2:$CL$243,25,FALSE)</f>
        <v>#N/A</v>
      </c>
      <c r="T175" s="466"/>
      <c r="U175" s="466"/>
      <c r="V175" s="421"/>
      <c r="W175" s="421"/>
    </row>
    <row r="176" s="408" customFormat="1" spans="1:23">
      <c r="A176" s="421" t="s">
        <v>230</v>
      </c>
      <c r="B176" s="431" t="s">
        <v>592</v>
      </c>
      <c r="C176" s="421" t="e">
        <f>VLOOKUP(B176,正厂竞争者数据汇总!D:H,2,FALSE)</f>
        <v>#N/A</v>
      </c>
      <c r="D176" s="421" t="e">
        <f>VLOOKUP(B176,正厂竞争者数据汇总!D:H,3,FALSE)</f>
        <v>#N/A</v>
      </c>
      <c r="E176" s="430" t="e">
        <f>VLOOKUP(B176,正厂竞争者数据汇总!D:H,4,FALSE)</f>
        <v>#N/A</v>
      </c>
      <c r="F176" s="430">
        <v>6184.41666666667</v>
      </c>
      <c r="G176" s="430">
        <v>12729.5833333333</v>
      </c>
      <c r="H176" s="430">
        <v>17789.6666666667</v>
      </c>
      <c r="I176" s="453">
        <f t="shared" si="42"/>
        <v>-0.514169748944387</v>
      </c>
      <c r="J176" s="451">
        <f t="shared" si="43"/>
        <v>0.0151145069572597</v>
      </c>
      <c r="K176" s="451">
        <v>0.0286108416088225</v>
      </c>
      <c r="L176" s="451">
        <v>0.0338624184196735</v>
      </c>
      <c r="M176" s="451">
        <f t="shared" si="44"/>
        <v>-0.0134963346515628</v>
      </c>
      <c r="N176" s="451" t="str">
        <f t="shared" si="46"/>
        <v/>
      </c>
      <c r="O176" s="430" t="s">
        <v>180</v>
      </c>
      <c r="P176" s="471" t="e">
        <f t="array" ref="P176">INDEX(正厂竞争者数据汇总!$I$2:$I$243,MATCH($A$169&amp;$B176,正厂竞争者数据汇总!$A$2:$A$243&amp;正厂竞争者数据汇总!$D$2:$D$243,0))</f>
        <v>#N/A</v>
      </c>
      <c r="Q176" s="429" t="s">
        <v>180</v>
      </c>
      <c r="R176" s="421" t="s">
        <v>180</v>
      </c>
      <c r="S176" s="473" t="e">
        <f>VLOOKUP(B176,正厂竞争者数据汇总!$D$2:$CL$243,25,FALSE)</f>
        <v>#N/A</v>
      </c>
      <c r="T176" s="466"/>
      <c r="U176" s="466"/>
      <c r="V176" s="421"/>
      <c r="W176" s="421"/>
    </row>
    <row r="177" s="408" customFormat="1" spans="1:23">
      <c r="A177" s="421"/>
      <c r="B177" s="431"/>
      <c r="C177" s="421"/>
      <c r="D177" s="421"/>
      <c r="E177" s="430"/>
      <c r="F177" s="430"/>
      <c r="G177" s="430"/>
      <c r="H177" s="430"/>
      <c r="I177" s="453"/>
      <c r="J177" s="451"/>
      <c r="K177" s="451"/>
      <c r="L177" s="451"/>
      <c r="M177" s="451"/>
      <c r="N177" s="451"/>
      <c r="O177" s="430"/>
      <c r="P177" s="471"/>
      <c r="Q177" s="429"/>
      <c r="R177" s="421"/>
      <c r="S177" s="473"/>
      <c r="T177" s="466"/>
      <c r="U177" s="466"/>
      <c r="V177" s="421"/>
      <c r="W177" s="421"/>
    </row>
    <row r="178" s="408" customFormat="1" spans="1:23">
      <c r="A178" s="421" t="s">
        <v>230</v>
      </c>
      <c r="B178" t="s">
        <v>524</v>
      </c>
      <c r="C178" s="421" t="e">
        <f>VLOOKUP(B178,正厂竞争者数据汇总!D:H,2,FALSE)</f>
        <v>#N/A</v>
      </c>
      <c r="D178" s="421" t="e">
        <f>VLOOKUP(B178,正厂竞争者数据汇总!D:H,3,FALSE)</f>
        <v>#N/A</v>
      </c>
      <c r="E178" s="430" t="e">
        <f>VLOOKUP(B178,正厂竞争者数据汇总!D:H,4,FALSE)</f>
        <v>#N/A</v>
      </c>
      <c r="F178" s="430">
        <v>16596.675</v>
      </c>
      <c r="G178" s="430">
        <v>13682.8275</v>
      </c>
      <c r="H178" s="430">
        <v>15605.9325</v>
      </c>
      <c r="I178" s="453"/>
      <c r="J178" s="451">
        <f>F178/$F$181</f>
        <v>0.0405617171797197</v>
      </c>
      <c r="K178" s="451">
        <v>0.0307533404756643</v>
      </c>
      <c r="L178" s="451">
        <v>0.0297057064669104</v>
      </c>
      <c r="M178" s="451"/>
      <c r="N178" s="451"/>
      <c r="O178" s="430"/>
      <c r="P178" s="471" t="e">
        <f t="array" ref="P178">INDEX(正厂竞争者数据汇总!$I$2:$I$243,MATCH($A$169&amp;$B178,正厂竞争者数据汇总!$A$2:$A$243&amp;正厂竞争者数据汇总!$D$2:$D$243,0))</f>
        <v>#N/A</v>
      </c>
      <c r="Q178" s="429"/>
      <c r="R178" s="421"/>
      <c r="S178" s="473"/>
      <c r="T178" s="466"/>
      <c r="U178" s="466"/>
      <c r="V178" s="421"/>
      <c r="W178" s="421"/>
    </row>
    <row r="179" s="408" customFormat="1" ht="17.4" spans="1:23">
      <c r="A179" s="421" t="s">
        <v>511</v>
      </c>
      <c r="B179" s="438" t="s">
        <v>526</v>
      </c>
      <c r="C179" s="421" t="str">
        <f>VLOOKUP(B179,正厂竞争者数据汇总!D:H,2,FALSE)</f>
        <v>原厂目录</v>
      </c>
      <c r="D179" s="421" t="str">
        <f>VLOOKUP(B179,正厂竞争者数据汇总!D:H,3,FALSE)</f>
        <v>-</v>
      </c>
      <c r="E179" s="430">
        <f>VLOOKUP(B179,正厂竞争者数据汇总!D:H,4,FALSE)</f>
        <v>6238</v>
      </c>
      <c r="F179" s="430">
        <v>5194900.66666667</v>
      </c>
      <c r="G179" s="430">
        <v>5964443.25</v>
      </c>
      <c r="H179" s="430">
        <v>6569465.83333333</v>
      </c>
      <c r="I179" s="453"/>
      <c r="J179" s="430"/>
      <c r="K179" s="430"/>
      <c r="L179" s="430"/>
      <c r="M179" s="451"/>
      <c r="N179" s="451" t="str">
        <f t="shared" si="46"/>
        <v/>
      </c>
      <c r="O179" s="430" t="s">
        <v>180</v>
      </c>
      <c r="P179" s="471" t="e">
        <f t="array" ref="P179">INDEX(正厂竞争者数据汇总!$I$2:$I$243,MATCH($A$169&amp;$B179,正厂竞争者数据汇总!$A$2:$A$243&amp;正厂竞争者数据汇总!$D$2:$D$243,0))</f>
        <v>#N/A</v>
      </c>
      <c r="Q179" s="429" t="s">
        <v>180</v>
      </c>
      <c r="R179" s="421" t="s">
        <v>180</v>
      </c>
      <c r="S179" s="473">
        <f>VLOOKUP(B179,正厂竞争者数据汇总!$D$2:$CL$243,25,FALSE)</f>
        <v>374749</v>
      </c>
      <c r="T179" s="466"/>
      <c r="U179" s="466"/>
      <c r="V179" s="421"/>
      <c r="W179" s="421"/>
    </row>
    <row r="180" s="408" customFormat="1" spans="1:23">
      <c r="A180" s="428"/>
      <c r="B180" s="438"/>
      <c r="C180" s="429"/>
      <c r="D180" s="421"/>
      <c r="E180" s="430"/>
      <c r="F180" s="486"/>
      <c r="G180" s="486"/>
      <c r="H180" s="486"/>
      <c r="I180" s="453"/>
      <c r="J180" s="451"/>
      <c r="K180" s="451"/>
      <c r="L180" s="451"/>
      <c r="M180" s="451"/>
      <c r="N180" s="451"/>
      <c r="O180" s="430"/>
      <c r="P180" s="471"/>
      <c r="Q180" s="429"/>
      <c r="R180" s="421"/>
      <c r="S180" s="473"/>
      <c r="T180" s="466"/>
      <c r="U180" s="466"/>
      <c r="V180" s="421"/>
      <c r="W180" s="421"/>
    </row>
    <row r="181" s="408" customFormat="1" spans="1:23">
      <c r="A181" s="428"/>
      <c r="B181" s="421"/>
      <c r="C181" s="439"/>
      <c r="D181" s="421"/>
      <c r="E181" s="421"/>
      <c r="F181" s="430">
        <v>409170.916666667</v>
      </c>
      <c r="G181" s="430">
        <v>444921.666666667</v>
      </c>
      <c r="H181" s="430">
        <v>525351.333333333</v>
      </c>
      <c r="I181" s="453">
        <f t="shared" ref="I181:I187" si="47">(F181/G181)-1</f>
        <v>-0.0803529085644289</v>
      </c>
      <c r="J181" s="430"/>
      <c r="K181" s="430"/>
      <c r="L181" s="430"/>
      <c r="M181" s="451"/>
      <c r="N181" s="451">
        <f>SUM(N171:N180)</f>
        <v>0.0388089075787475</v>
      </c>
      <c r="O181" s="430"/>
      <c r="P181" s="471"/>
      <c r="Q181" s="429" t="s">
        <v>180</v>
      </c>
      <c r="R181" s="421" t="s">
        <v>180</v>
      </c>
      <c r="S181" s="473"/>
      <c r="T181" s="466"/>
      <c r="U181" s="466"/>
      <c r="V181" s="421"/>
      <c r="W181" s="421"/>
    </row>
    <row r="182" s="408" customFormat="1" spans="1:23">
      <c r="A182" s="428"/>
      <c r="B182" s="421"/>
      <c r="C182" s="439"/>
      <c r="D182" s="421"/>
      <c r="E182" s="430"/>
      <c r="F182" s="430"/>
      <c r="G182" s="430"/>
      <c r="H182" s="430"/>
      <c r="I182" s="453"/>
      <c r="J182" s="430"/>
      <c r="K182" s="430"/>
      <c r="L182" s="430"/>
      <c r="M182" s="451"/>
      <c r="N182" s="459"/>
      <c r="O182" s="430"/>
      <c r="P182" s="471"/>
      <c r="Q182" s="429"/>
      <c r="R182" s="421" t="s">
        <v>180</v>
      </c>
      <c r="S182" s="473"/>
      <c r="T182" s="466"/>
      <c r="U182" s="466"/>
      <c r="V182" s="421"/>
      <c r="W182" s="421"/>
    </row>
    <row r="183" s="408" customFormat="1" ht="17.4" spans="1:23">
      <c r="A183" s="418" t="s">
        <v>168</v>
      </c>
      <c r="B183" s="487"/>
      <c r="C183" s="420"/>
      <c r="D183" s="421"/>
      <c r="E183" s="422" t="s">
        <v>202</v>
      </c>
      <c r="F183" s="422"/>
      <c r="G183" s="422"/>
      <c r="H183" s="422"/>
      <c r="I183" s="422"/>
      <c r="J183" s="422"/>
      <c r="K183" s="422"/>
      <c r="L183" s="422"/>
      <c r="M183" s="443"/>
      <c r="N183" s="444"/>
      <c r="O183" s="422"/>
      <c r="P183" s="471"/>
      <c r="Q183" s="465"/>
      <c r="R183" s="424"/>
      <c r="S183" s="473"/>
      <c r="T183" s="467"/>
      <c r="U183" s="467"/>
      <c r="V183" s="467"/>
      <c r="W183" s="467"/>
    </row>
    <row r="184" s="409" customFormat="1" ht="46.8" spans="1:23">
      <c r="A184" s="423" t="s">
        <v>206</v>
      </c>
      <c r="B184" s="424" t="s">
        <v>207</v>
      </c>
      <c r="C184" s="425" t="s">
        <v>208</v>
      </c>
      <c r="D184" s="424" t="s">
        <v>209</v>
      </c>
      <c r="E184" s="426" t="s">
        <v>210</v>
      </c>
      <c r="F184" s="427" t="s">
        <v>213</v>
      </c>
      <c r="G184" s="427" t="s">
        <v>396</v>
      </c>
      <c r="H184" s="427" t="s">
        <v>496</v>
      </c>
      <c r="I184" s="427" t="s">
        <v>497</v>
      </c>
      <c r="J184" s="446" t="s">
        <v>217</v>
      </c>
      <c r="K184" s="446" t="s">
        <v>387</v>
      </c>
      <c r="L184" s="446" t="s">
        <v>390</v>
      </c>
      <c r="M184" s="447" t="s">
        <v>498</v>
      </c>
      <c r="N184" s="448" t="s">
        <v>219</v>
      </c>
      <c r="O184" s="449" t="s">
        <v>220</v>
      </c>
      <c r="P184" s="468" t="s">
        <v>221</v>
      </c>
      <c r="Q184" s="469" t="s">
        <v>222</v>
      </c>
      <c r="R184" s="426" t="s">
        <v>223</v>
      </c>
      <c r="S184" s="470" t="s">
        <v>224</v>
      </c>
      <c r="T184" s="467" t="s">
        <v>225</v>
      </c>
      <c r="U184" s="470" t="s">
        <v>226</v>
      </c>
      <c r="V184" s="467"/>
      <c r="W184" s="467"/>
    </row>
    <row r="185" s="410" customFormat="1" ht="17.4" spans="1:23">
      <c r="A185" s="432" t="s">
        <v>227</v>
      </c>
      <c r="B185" s="488" t="s">
        <v>593</v>
      </c>
      <c r="C185" s="434" t="e">
        <f>VLOOKUP(B185,正厂竞争者数据汇总!D:H,2,FALSE)</f>
        <v>#N/A</v>
      </c>
      <c r="D185" s="435" t="e">
        <f>VLOOKUP(B185,正厂竞争者数据汇总!D:H,3,FALSE)</f>
        <v>#N/A</v>
      </c>
      <c r="E185" s="436" t="e">
        <f>VLOOKUP(B185,正厂竞争者数据汇总!D:H,4,FALSE)</f>
        <v>#N/A</v>
      </c>
      <c r="F185" s="436">
        <v>197584.75</v>
      </c>
      <c r="G185" s="436">
        <v>201623.666666667</v>
      </c>
      <c r="H185" s="436">
        <v>231515.333333333</v>
      </c>
      <c r="I185" s="454">
        <f t="shared" si="47"/>
        <v>-0.0200319572272452</v>
      </c>
      <c r="J185" s="457">
        <f t="shared" ref="J185:J188" si="48">F185/F$193</f>
        <v>0.761590727097113</v>
      </c>
      <c r="K185" s="457">
        <v>0.790857050212809</v>
      </c>
      <c r="L185" s="457">
        <v>0.811924267504606</v>
      </c>
      <c r="M185" s="456">
        <f t="shared" ref="M185:M188" si="49">J185-K185</f>
        <v>-0.0292663231156962</v>
      </c>
      <c r="N185" s="457" t="str">
        <f t="shared" ref="N185:N187" si="50">IFERROR(O185*0.5/$F$185,"")</f>
        <v/>
      </c>
      <c r="O185" s="436" t="s">
        <v>180</v>
      </c>
      <c r="P185" s="471" t="e">
        <f t="array" ref="P185">INDEX(正厂竞争者数据汇总!$I$2:$I$243,MATCH($A$183&amp;$B185,正厂竞争者数据汇总!$A$2:$A$243&amp;正厂竞争者数据汇总!$D$2:$D$243,0))</f>
        <v>#N/A</v>
      </c>
      <c r="Q185" s="434" t="s">
        <v>299</v>
      </c>
      <c r="R185" s="435" t="s">
        <v>229</v>
      </c>
      <c r="S185" s="476" t="e">
        <f>VLOOKUP(B185,正厂竞争者数据汇总!$D$2:$CL$243,25,FALSE)</f>
        <v>#N/A</v>
      </c>
      <c r="T185" s="477"/>
      <c r="U185" s="477"/>
      <c r="V185" s="435"/>
      <c r="W185" s="435"/>
    </row>
    <row r="186" s="408" customFormat="1" spans="1:23">
      <c r="A186" s="428" t="s">
        <v>305</v>
      </c>
      <c r="B186" s="431" t="s">
        <v>594</v>
      </c>
      <c r="C186" s="429" t="e">
        <f>VLOOKUP(B186,正厂竞争者数据汇总!D:H,2,FALSE)</f>
        <v>#N/A</v>
      </c>
      <c r="D186" s="421" t="e">
        <f>VLOOKUP(B186,正厂竞争者数据汇总!D:H,3,FALSE)</f>
        <v>#N/A</v>
      </c>
      <c r="E186" s="430" t="e">
        <f>VLOOKUP(B186,正厂竞争者数据汇总!D:H,4,FALSE)</f>
        <v>#N/A</v>
      </c>
      <c r="F186" s="430">
        <v>39089.5833333333</v>
      </c>
      <c r="G186" s="430">
        <v>29677.75</v>
      </c>
      <c r="H186" s="430">
        <v>34015.5833333333</v>
      </c>
      <c r="I186" s="453">
        <f t="shared" si="47"/>
        <v>0.31713432902876</v>
      </c>
      <c r="J186" s="451">
        <f t="shared" si="48"/>
        <v>0.150670859936086</v>
      </c>
      <c r="K186" s="451">
        <v>0.11640924009559</v>
      </c>
      <c r="L186" s="451">
        <v>0.119292649795659</v>
      </c>
      <c r="M186" s="451">
        <f t="shared" si="49"/>
        <v>0.0342616198404956</v>
      </c>
      <c r="N186" s="451">
        <f t="shared" si="50"/>
        <v>0.0114995274179814</v>
      </c>
      <c r="O186" s="430">
        <v>4544.2625</v>
      </c>
      <c r="P186" s="471" t="e">
        <f t="array" ref="P186">INDEX(正厂竞争者数据汇总!$I$2:$I$243,MATCH($A$183&amp;$B186,正厂竞争者数据汇总!$A$2:$A$243&amp;正厂竞争者数据汇总!$D$2:$D$243,0))</f>
        <v>#N/A</v>
      </c>
      <c r="Q186" s="429" t="s">
        <v>180</v>
      </c>
      <c r="R186" s="421" t="s">
        <v>180</v>
      </c>
      <c r="S186" s="473" t="e">
        <f>VLOOKUP(B186,正厂竞争者数据汇总!$D$2:$CL$243,25,FALSE)</f>
        <v>#N/A</v>
      </c>
      <c r="T186" s="477"/>
      <c r="U186" s="466"/>
      <c r="V186" s="421"/>
      <c r="W186" s="421"/>
    </row>
    <row r="187" s="408" customFormat="1" spans="1:23">
      <c r="A187" s="428" t="s">
        <v>230</v>
      </c>
      <c r="B187" s="489" t="s">
        <v>304</v>
      </c>
      <c r="C187" s="429" t="str">
        <f>VLOOKUP(B187,正厂竞争者数据汇总!D:H,2,FALSE)</f>
        <v>Motor目录</v>
      </c>
      <c r="D187" s="421" t="str">
        <f>VLOOKUP(B187,正厂竞争者数据汇总!D:H,3,FALSE)</f>
        <v>CA</v>
      </c>
      <c r="E187" s="430">
        <f>VLOOKUP(B187,正厂竞争者数据汇总!D:H,4,FALSE)</f>
        <v>0</v>
      </c>
      <c r="F187" s="430">
        <v>20273.8333333333</v>
      </c>
      <c r="G187" s="430">
        <v>21363.5833333333</v>
      </c>
      <c r="H187" s="430">
        <v>17332.1666666667</v>
      </c>
      <c r="I187" s="453">
        <f t="shared" si="47"/>
        <v>-0.0510097010879106</v>
      </c>
      <c r="J187" s="451">
        <f t="shared" si="48"/>
        <v>0.0781455222094772</v>
      </c>
      <c r="K187" s="451">
        <v>0.0837974072007526</v>
      </c>
      <c r="L187" s="451">
        <v>0.0607839080137289</v>
      </c>
      <c r="M187" s="451">
        <f t="shared" si="49"/>
        <v>-0.00565188499127545</v>
      </c>
      <c r="N187" s="451">
        <f t="shared" si="50"/>
        <v>0.018371736685144</v>
      </c>
      <c r="O187" s="430">
        <v>7259.95</v>
      </c>
      <c r="P187" s="471">
        <f t="array" ref="P187">INDEX(正厂竞争者数据汇总!$I$2:$I$243,MATCH($A$183&amp;$B187,正厂竞争者数据汇总!$A$2:$A$243&amp;正厂竞争者数据汇总!$D$2:$D$243,0))</f>
        <v>0</v>
      </c>
      <c r="Q187" s="429" t="s">
        <v>180</v>
      </c>
      <c r="R187" s="421" t="s">
        <v>180</v>
      </c>
      <c r="S187" s="473">
        <f>VLOOKUP(B187,正厂竞争者数据汇总!$D$2:$CL$243,25,FALSE)</f>
        <v>31125</v>
      </c>
      <c r="T187" s="466"/>
      <c r="U187" s="466"/>
      <c r="V187" s="421"/>
      <c r="W187" s="421"/>
    </row>
    <row r="188" s="408" customFormat="1" spans="1:23">
      <c r="A188" s="440" t="s">
        <v>243</v>
      </c>
      <c r="B188" s="431" t="s">
        <v>595</v>
      </c>
      <c r="C188" s="429" t="e">
        <f>VLOOKUP(B188,正厂竞争者数据汇总!D:H,2,FALSE)</f>
        <v>#N/A</v>
      </c>
      <c r="D188" s="421" t="e">
        <f>VLOOKUP(B188,正厂竞争者数据汇总!D:H,3,FALSE)</f>
        <v>#N/A</v>
      </c>
      <c r="E188" s="430" t="e">
        <f>VLOOKUP(#REF!,正厂竞争者数据汇总!D:H,4,FALSE)</f>
        <v>#REF!</v>
      </c>
      <c r="F188" s="430">
        <v>2488.75</v>
      </c>
      <c r="G188" s="430">
        <v>2278.25</v>
      </c>
      <c r="H188" s="430">
        <v>2280.91666666667</v>
      </c>
      <c r="I188" s="453"/>
      <c r="J188" s="451">
        <f t="shared" si="48"/>
        <v>0.00959289075732282</v>
      </c>
      <c r="K188" s="451">
        <v>0.00893630249084844</v>
      </c>
      <c r="L188" s="451">
        <v>0.00799917468600662</v>
      </c>
      <c r="M188" s="451">
        <f t="shared" si="49"/>
        <v>0.000656588266474377</v>
      </c>
      <c r="N188" s="451"/>
      <c r="O188" s="430"/>
      <c r="P188" s="471" t="e">
        <f t="array" ref="P188">INDEX(正厂竞争者数据汇总!$I$2:$I$243,MATCH($A$183&amp;$B188,正厂竞争者数据汇总!$A$2:$A$243&amp;正厂竞争者数据汇总!$D$2:$D$243,0))</f>
        <v>#N/A</v>
      </c>
      <c r="Q188" s="429" t="s">
        <v>180</v>
      </c>
      <c r="R188" s="421"/>
      <c r="S188" s="473" t="e">
        <f>VLOOKUP(B188,正厂竞争者数据汇总!$D$2:$CL$243,25,FALSE)</f>
        <v>#N/A</v>
      </c>
      <c r="T188" s="466"/>
      <c r="U188" s="466"/>
      <c r="V188" s="421"/>
      <c r="W188" s="421"/>
    </row>
    <row r="189" s="408" customFormat="1" spans="1:23">
      <c r="A189" s="440"/>
      <c r="B189" s="431"/>
      <c r="C189" s="429"/>
      <c r="D189" s="421"/>
      <c r="E189" s="430"/>
      <c r="F189" s="430"/>
      <c r="G189" s="430"/>
      <c r="H189" s="430"/>
      <c r="I189" s="453"/>
      <c r="J189" s="451"/>
      <c r="K189" s="451"/>
      <c r="L189" s="451"/>
      <c r="M189" s="451"/>
      <c r="N189" s="451"/>
      <c r="O189" s="430"/>
      <c r="P189" s="471"/>
      <c r="Q189" s="429"/>
      <c r="R189" s="421"/>
      <c r="S189" s="473"/>
      <c r="T189" s="466"/>
      <c r="U189" s="466"/>
      <c r="V189" s="421"/>
      <c r="W189" s="421"/>
    </row>
    <row r="190" s="408" customFormat="1" spans="1:23">
      <c r="A190" s="440" t="s">
        <v>230</v>
      </c>
      <c r="B190" s="431" t="s">
        <v>524</v>
      </c>
      <c r="C190" s="429" t="e">
        <f>VLOOKUP(B190,正厂竞争者数据汇总!D:H,2,FALSE)</f>
        <v>#N/A</v>
      </c>
      <c r="D190" s="421" t="e">
        <f>VLOOKUP(B190,正厂竞争者数据汇总!D:H,3,FALSE)</f>
        <v>#N/A</v>
      </c>
      <c r="E190" s="430"/>
      <c r="F190" s="430">
        <v>16596.675</v>
      </c>
      <c r="G190" s="430">
        <v>13682.8275</v>
      </c>
      <c r="H190" s="430">
        <v>15605.9325</v>
      </c>
      <c r="I190" s="453"/>
      <c r="J190" s="451">
        <f>F190/F$193</f>
        <v>0.0639719096774649</v>
      </c>
      <c r="K190" s="451">
        <v>0.0536700912850212</v>
      </c>
      <c r="L190" s="451">
        <v>0.05473000483966</v>
      </c>
      <c r="M190" s="451"/>
      <c r="N190" s="451"/>
      <c r="O190" s="430"/>
      <c r="P190" s="471" t="e">
        <f t="array" ref="P190">INDEX(正厂竞争者数据汇总!$I$2:$I$243,MATCH($A$183&amp;$B190,正厂竞争者数据汇总!$A$2:$A$243&amp;正厂竞争者数据汇总!$D$2:$D$243,0))</f>
        <v>#N/A</v>
      </c>
      <c r="Q190" s="429"/>
      <c r="R190" s="421"/>
      <c r="S190" s="473"/>
      <c r="T190" s="466"/>
      <c r="U190" s="466"/>
      <c r="V190" s="421"/>
      <c r="W190" s="421"/>
    </row>
    <row r="191" s="408" customFormat="1" ht="17.4" spans="1:23">
      <c r="A191" s="440" t="s">
        <v>596</v>
      </c>
      <c r="B191" s="431" t="s">
        <v>597</v>
      </c>
      <c r="C191" s="429" t="str">
        <f>VLOOKUP(B191,正厂竞争者数据汇总!D:H,2,FALSE)</f>
        <v>原厂目录</v>
      </c>
      <c r="D191" s="421" t="str">
        <f>VLOOKUP(B191,正厂竞争者数据汇总!D:H,3,FALSE)</f>
        <v>TX</v>
      </c>
      <c r="E191" s="430">
        <f>VLOOKUP(B191,正厂竞争者数据汇总!D:H,4,FALSE)</f>
        <v>0</v>
      </c>
      <c r="F191" s="430">
        <v>327213.5</v>
      </c>
      <c r="G191" s="430">
        <v>233466.083333333</v>
      </c>
      <c r="H191" s="430">
        <v>185035.833333333</v>
      </c>
      <c r="I191" s="453"/>
      <c r="J191" s="451"/>
      <c r="K191" s="451"/>
      <c r="L191" s="451"/>
      <c r="M191" s="451"/>
      <c r="N191" s="451"/>
      <c r="O191" s="430"/>
      <c r="P191" s="471" t="str">
        <f t="array" ref="P191">INDEX(正厂竞争者数据汇总!$I$2:$I$243,MATCH($A$183&amp;$B191,正厂竞争者数据汇总!$A$2:$A$243&amp;正厂竞争者数据汇总!$D$2:$D$243,0))</f>
        <v>官网</v>
      </c>
      <c r="Q191" s="429"/>
      <c r="R191" s="421"/>
      <c r="S191" s="473">
        <f>VLOOKUP(B191,正厂竞争者数据汇总!$D$2:$CL$243,25,FALSE)</f>
        <v>205293</v>
      </c>
      <c r="T191" s="466"/>
      <c r="U191" s="466"/>
      <c r="V191" s="421"/>
      <c r="W191" s="421"/>
    </row>
    <row r="192" s="408" customFormat="1" spans="1:23">
      <c r="A192" s="440"/>
      <c r="B192" s="431"/>
      <c r="C192" s="429"/>
      <c r="D192" s="421"/>
      <c r="E192" s="430"/>
      <c r="F192" s="430"/>
      <c r="G192" s="430"/>
      <c r="H192" s="430"/>
      <c r="I192" s="453"/>
      <c r="J192" s="451"/>
      <c r="K192" s="451"/>
      <c r="L192" s="451"/>
      <c r="M192" s="451"/>
      <c r="N192" s="451"/>
      <c r="O192" s="430"/>
      <c r="P192" s="471"/>
      <c r="Q192" s="429"/>
      <c r="R192" s="421"/>
      <c r="S192" s="473"/>
      <c r="T192" s="466"/>
      <c r="U192" s="466"/>
      <c r="V192" s="421"/>
      <c r="W192" s="421"/>
    </row>
    <row r="193" s="408" customFormat="1" spans="1:23">
      <c r="A193" s="428"/>
      <c r="B193" s="421"/>
      <c r="C193" s="439"/>
      <c r="D193" s="421"/>
      <c r="E193" s="430"/>
      <c r="F193" s="430">
        <v>259436.916666667</v>
      </c>
      <c r="G193" s="430">
        <v>254943.25</v>
      </c>
      <c r="H193" s="430">
        <v>285144</v>
      </c>
      <c r="I193" s="453">
        <f t="shared" ref="I193:I202" si="51">(F193/G193)-1</f>
        <v>0.0176261449034913</v>
      </c>
      <c r="J193" s="430"/>
      <c r="K193" s="430"/>
      <c r="L193" s="430"/>
      <c r="M193" s="451"/>
      <c r="N193" s="451">
        <f>SUM(N185:N187)</f>
        <v>0.0298712641031254</v>
      </c>
      <c r="O193" s="430"/>
      <c r="P193" s="471"/>
      <c r="Q193" s="429"/>
      <c r="R193" s="421"/>
      <c r="S193" s="473"/>
      <c r="T193" s="466"/>
      <c r="U193" s="466"/>
      <c r="V193" s="421"/>
      <c r="W193" s="421"/>
    </row>
    <row r="194" s="408" customFormat="1" spans="1:23">
      <c r="A194" s="428"/>
      <c r="B194" s="421"/>
      <c r="C194" s="439"/>
      <c r="D194" s="421"/>
      <c r="E194" s="430"/>
      <c r="F194" s="451"/>
      <c r="G194" s="451"/>
      <c r="H194" s="451"/>
      <c r="I194" s="453"/>
      <c r="J194" s="451"/>
      <c r="K194" s="451"/>
      <c r="L194" s="451"/>
      <c r="M194" s="451"/>
      <c r="N194" s="451"/>
      <c r="O194" s="451"/>
      <c r="P194" s="471"/>
      <c r="Q194" s="429"/>
      <c r="R194" s="421"/>
      <c r="S194" s="473"/>
      <c r="T194" s="466"/>
      <c r="U194" s="466"/>
      <c r="V194" s="421"/>
      <c r="W194" s="421"/>
    </row>
    <row r="195" s="408" customFormat="1" ht="17.4" spans="1:23">
      <c r="A195" s="418" t="s">
        <v>177</v>
      </c>
      <c r="B195" s="419"/>
      <c r="C195" s="420"/>
      <c r="D195" s="421"/>
      <c r="E195" s="422" t="s">
        <v>202</v>
      </c>
      <c r="F195" s="422"/>
      <c r="G195" s="422"/>
      <c r="H195" s="422"/>
      <c r="I195" s="422"/>
      <c r="J195" s="422"/>
      <c r="K195" s="422"/>
      <c r="L195" s="422"/>
      <c r="M195" s="443"/>
      <c r="N195" s="444"/>
      <c r="O195" s="422"/>
      <c r="P195" s="471"/>
      <c r="Q195" s="465"/>
      <c r="R195" s="424"/>
      <c r="S195" s="473"/>
      <c r="T195" s="467"/>
      <c r="U195" s="467"/>
      <c r="V195" s="467"/>
      <c r="W195" s="467"/>
    </row>
    <row r="196" s="409" customFormat="1" ht="46.8" spans="1:23">
      <c r="A196" s="423" t="s">
        <v>206</v>
      </c>
      <c r="B196" s="424" t="s">
        <v>207</v>
      </c>
      <c r="C196" s="425" t="s">
        <v>208</v>
      </c>
      <c r="D196" s="424" t="s">
        <v>209</v>
      </c>
      <c r="E196" s="426" t="s">
        <v>210</v>
      </c>
      <c r="F196" s="427" t="s">
        <v>213</v>
      </c>
      <c r="G196" s="427" t="s">
        <v>396</v>
      </c>
      <c r="H196" s="427" t="s">
        <v>496</v>
      </c>
      <c r="I196" s="427" t="s">
        <v>497</v>
      </c>
      <c r="J196" s="446" t="s">
        <v>217</v>
      </c>
      <c r="K196" s="446" t="s">
        <v>387</v>
      </c>
      <c r="L196" s="446" t="s">
        <v>390</v>
      </c>
      <c r="M196" s="447" t="s">
        <v>498</v>
      </c>
      <c r="N196" s="448" t="s">
        <v>219</v>
      </c>
      <c r="O196" s="449" t="s">
        <v>220</v>
      </c>
      <c r="P196" s="468" t="s">
        <v>221</v>
      </c>
      <c r="Q196" s="469" t="s">
        <v>222</v>
      </c>
      <c r="R196" s="426" t="s">
        <v>223</v>
      </c>
      <c r="S196" s="470" t="s">
        <v>224</v>
      </c>
      <c r="T196" s="467" t="s">
        <v>225</v>
      </c>
      <c r="U196" s="470" t="s">
        <v>226</v>
      </c>
      <c r="V196" s="467"/>
      <c r="W196" s="467"/>
    </row>
    <row r="197" s="410" customFormat="1" ht="17.4" spans="1:23">
      <c r="A197" s="432" t="s">
        <v>227</v>
      </c>
      <c r="B197" s="435" t="s">
        <v>598</v>
      </c>
      <c r="C197" s="434" t="e">
        <f>VLOOKUP(B197,正厂竞争者数据汇总!D:H,2,FALSE)</f>
        <v>#N/A</v>
      </c>
      <c r="D197" s="435" t="e">
        <f>VLOOKUP(B197,正厂竞争者数据汇总!D:H,3,FALSE)</f>
        <v>#N/A</v>
      </c>
      <c r="E197" s="436" t="e">
        <f>VLOOKUP(B197,正厂竞争者数据汇总!D:H,4,FALSE)</f>
        <v>#N/A</v>
      </c>
      <c r="F197" s="436">
        <v>93920.4166666667</v>
      </c>
      <c r="G197" s="436">
        <v>93560.5000000002</v>
      </c>
      <c r="H197" s="436">
        <v>99136.1666666667</v>
      </c>
      <c r="I197" s="454">
        <f t="shared" si="51"/>
        <v>0.0038468869519348</v>
      </c>
      <c r="J197" s="457">
        <f t="shared" ref="J197:J202" si="52">F197/F$206</f>
        <v>0.580837258681291</v>
      </c>
      <c r="K197" s="457">
        <v>0.557215643961992</v>
      </c>
      <c r="L197" s="457">
        <v>0.523614810798058</v>
      </c>
      <c r="M197" s="456">
        <f t="shared" ref="M197:M202" si="53">J197-K197</f>
        <v>0.0236216147192987</v>
      </c>
      <c r="N197" s="457" t="str">
        <f t="shared" ref="N197:N202" si="54">IFERROR(O197*0.5/$F$204,"")</f>
        <v/>
      </c>
      <c r="O197" s="436" t="s">
        <v>180</v>
      </c>
      <c r="P197" s="471" t="e">
        <f t="array" ref="P197">INDEX(正厂竞争者数据汇总!$I$2:$I$243,MATCH($A$195&amp;$B197,正厂竞争者数据汇总!$A$2:$A$243&amp;正厂竞争者数据汇总!$D$2:$D$243,0))</f>
        <v>#N/A</v>
      </c>
      <c r="Q197" s="434" t="s">
        <v>324</v>
      </c>
      <c r="R197" s="435" t="s">
        <v>229</v>
      </c>
      <c r="S197" s="476" t="e">
        <f>VLOOKUP(B197,正厂竞争者数据汇总!$D$2:$CL$243,25,FALSE)</f>
        <v>#N/A</v>
      </c>
      <c r="T197" s="477"/>
      <c r="U197" s="477"/>
      <c r="V197" s="435"/>
      <c r="W197" s="435"/>
    </row>
    <row r="198" s="408" customFormat="1" spans="1:23">
      <c r="A198" s="428" t="s">
        <v>230</v>
      </c>
      <c r="B198" s="431" t="s">
        <v>599</v>
      </c>
      <c r="C198" s="429" t="e">
        <f>VLOOKUP(B198,正厂竞争者数据汇总!D:H,2,FALSE)</f>
        <v>#N/A</v>
      </c>
      <c r="D198" s="421" t="e">
        <f>VLOOKUP(B198,正厂竞争者数据汇总!D:H,3,FALSE)</f>
        <v>#N/A</v>
      </c>
      <c r="E198" s="430" t="e">
        <f>VLOOKUP(B198,正厂竞争者数据汇总!D:H,4,FALSE)</f>
        <v>#N/A</v>
      </c>
      <c r="F198" s="430">
        <v>19160.4166666667</v>
      </c>
      <c r="G198" s="430">
        <v>26530.25</v>
      </c>
      <c r="H198" s="430">
        <v>35479</v>
      </c>
      <c r="I198" s="453">
        <f t="shared" si="51"/>
        <v>-0.27778981854047</v>
      </c>
      <c r="J198" s="451">
        <f t="shared" si="52"/>
        <v>0.11849483090941</v>
      </c>
      <c r="K198" s="451">
        <v>0.158005465321611</v>
      </c>
      <c r="L198" s="451">
        <v>0.18739205374733</v>
      </c>
      <c r="M198" s="451">
        <f t="shared" si="53"/>
        <v>-0.039510634412201</v>
      </c>
      <c r="N198" s="451">
        <f t="shared" si="54"/>
        <v>0.0155963076749825</v>
      </c>
      <c r="O198" s="430">
        <v>2215.9</v>
      </c>
      <c r="P198" s="471" t="e">
        <f t="array" ref="P198">INDEX(正厂竞争者数据汇总!$I$2:$I$243,MATCH($A$195&amp;$B198,正厂竞争者数据汇总!$A$2:$A$243&amp;正厂竞争者数据汇总!$D$2:$D$243,0))</f>
        <v>#N/A</v>
      </c>
      <c r="Q198" s="429" t="s">
        <v>180</v>
      </c>
      <c r="R198" s="421" t="s">
        <v>180</v>
      </c>
      <c r="S198" s="473" t="e">
        <f>VLOOKUP(B198,正厂竞争者数据汇总!$D$2:$CL$243,25,FALSE)</f>
        <v>#N/A</v>
      </c>
      <c r="T198" s="466"/>
      <c r="U198" s="466"/>
      <c r="V198" s="421"/>
      <c r="W198" s="421"/>
    </row>
    <row r="199" s="408" customFormat="1" spans="1:23">
      <c r="A199" s="428" t="s">
        <v>230</v>
      </c>
      <c r="B199" s="431" t="s">
        <v>600</v>
      </c>
      <c r="C199" s="429" t="e">
        <f>VLOOKUP(B199,正厂竞争者数据汇总!D:H,2,FALSE)</f>
        <v>#N/A</v>
      </c>
      <c r="D199" s="421" t="e">
        <f>VLOOKUP(B199,正厂竞争者数据汇总!D:H,3,FALSE)</f>
        <v>#N/A</v>
      </c>
      <c r="E199" s="430" t="e">
        <f>VLOOKUP(B199,正厂竞争者数据汇总!D:H,4,FALSE)</f>
        <v>#N/A</v>
      </c>
      <c r="F199" s="430">
        <v>20527.75</v>
      </c>
      <c r="G199" s="430">
        <v>19051.1666666666</v>
      </c>
      <c r="H199" s="430">
        <v>22796.75</v>
      </c>
      <c r="I199" s="453">
        <f t="shared" si="51"/>
        <v>0.0775061894722147</v>
      </c>
      <c r="J199" s="451">
        <f t="shared" si="52"/>
        <v>0.126950906523465</v>
      </c>
      <c r="K199" s="451">
        <v>0.11346249862275</v>
      </c>
      <c r="L199" s="451">
        <v>0.120407277580102</v>
      </c>
      <c r="M199" s="451">
        <f t="shared" si="53"/>
        <v>0.0134884079007147</v>
      </c>
      <c r="N199" s="451"/>
      <c r="O199" s="430"/>
      <c r="P199" s="471" t="e">
        <f t="array" ref="P199">INDEX(正厂竞争者数据汇总!$I$2:$I$243,MATCH($A$195&amp;$B199,正厂竞争者数据汇总!$A$2:$A$243&amp;正厂竞争者数据汇总!$D$2:$D$243,0))</f>
        <v>#N/A</v>
      </c>
      <c r="Q199" s="429"/>
      <c r="R199" s="421"/>
      <c r="S199" s="473"/>
      <c r="T199" s="466"/>
      <c r="U199" s="466"/>
      <c r="V199" s="421"/>
      <c r="W199" s="421"/>
    </row>
    <row r="200" s="408" customFormat="1" spans="1:23">
      <c r="A200" s="428" t="s">
        <v>230</v>
      </c>
      <c r="B200" s="431" t="s">
        <v>601</v>
      </c>
      <c r="C200" s="429" t="e">
        <f>VLOOKUP(B200,正厂竞争者数据汇总!D:H,2,FALSE)</f>
        <v>#N/A</v>
      </c>
      <c r="D200" s="421" t="e">
        <f>VLOOKUP(B200,正厂竞争者数据汇总!D:H,3,FALSE)</f>
        <v>#N/A</v>
      </c>
      <c r="E200" s="430" t="e">
        <f>VLOOKUP(B200,正厂竞争者数据汇总!D:H,4,FALSE)</f>
        <v>#N/A</v>
      </c>
      <c r="F200" s="430">
        <v>12320.3333333333</v>
      </c>
      <c r="G200" s="430">
        <v>16034.6666666667</v>
      </c>
      <c r="H200" s="430">
        <v>17844.1666666667</v>
      </c>
      <c r="I200" s="453">
        <f t="shared" si="51"/>
        <v>-0.231643938134047</v>
      </c>
      <c r="J200" s="451">
        <f t="shared" si="52"/>
        <v>0.0761933229573588</v>
      </c>
      <c r="K200" s="451">
        <v>0.0954972142344531</v>
      </c>
      <c r="L200" s="451">
        <v>0.0942488525346354</v>
      </c>
      <c r="M200" s="451">
        <f t="shared" si="53"/>
        <v>-0.0193038912770943</v>
      </c>
      <c r="N200" s="451"/>
      <c r="O200" s="430"/>
      <c r="P200" s="471" t="e">
        <f t="array" ref="P200">INDEX(正厂竞争者数据汇总!$I$2:$I$243,MATCH($A$195&amp;$B200,正厂竞争者数据汇总!$A$2:$A$243&amp;正厂竞争者数据汇总!$D$2:$D$243,0))</f>
        <v>#N/A</v>
      </c>
      <c r="Q200" s="429"/>
      <c r="R200" s="421"/>
      <c r="S200" s="473"/>
      <c r="T200" s="466"/>
      <c r="U200" s="466"/>
      <c r="V200" s="421"/>
      <c r="W200" s="421"/>
    </row>
    <row r="201" s="408" customFormat="1" spans="1:23">
      <c r="A201" s="428" t="s">
        <v>230</v>
      </c>
      <c r="B201" s="417" t="s">
        <v>602</v>
      </c>
      <c r="C201" s="429" t="e">
        <f>VLOOKUP(B201,正厂竞争者数据汇总!D:H,2,FALSE)</f>
        <v>#N/A</v>
      </c>
      <c r="D201" s="421" t="e">
        <f>VLOOKUP(B201,正厂竞争者数据汇总!D:H,3,FALSE)</f>
        <v>#N/A</v>
      </c>
      <c r="E201" s="430" t="e">
        <f>VLOOKUP(B201,正厂竞争者数据汇总!D:H,4,FALSE)</f>
        <v>#N/A</v>
      </c>
      <c r="F201" s="430">
        <v>7178.16666666667</v>
      </c>
      <c r="G201" s="430">
        <v>7496.00000000002</v>
      </c>
      <c r="H201" s="430">
        <v>7910.16666666667</v>
      </c>
      <c r="I201" s="453">
        <f t="shared" si="51"/>
        <v>-0.0424003913198172</v>
      </c>
      <c r="J201" s="451">
        <f t="shared" si="52"/>
        <v>0.0443923355219082</v>
      </c>
      <c r="K201" s="451">
        <v>0.0446437168157405</v>
      </c>
      <c r="L201" s="451">
        <v>0.0417797112982424</v>
      </c>
      <c r="M201" s="451">
        <f t="shared" si="53"/>
        <v>-0.000251381293832308</v>
      </c>
      <c r="N201" s="451" t="str">
        <f t="shared" si="54"/>
        <v/>
      </c>
      <c r="O201" s="430" t="s">
        <v>180</v>
      </c>
      <c r="P201" s="471" t="e">
        <f t="array" ref="P201">INDEX(正厂竞争者数据汇总!$I$2:$I$243,MATCH($A$195&amp;$B201,正厂竞争者数据汇总!$A$2:$A$243&amp;正厂竞争者数据汇总!$D$2:$D$243,0))</f>
        <v>#N/A</v>
      </c>
      <c r="Q201" s="429" t="s">
        <v>180</v>
      </c>
      <c r="R201" s="421" t="s">
        <v>180</v>
      </c>
      <c r="S201" s="473" t="e">
        <f>VLOOKUP(B201,正厂竞争者数据汇总!$D$2:$CL$243,25,FALSE)</f>
        <v>#N/A</v>
      </c>
      <c r="T201" s="466"/>
      <c r="U201" s="466"/>
      <c r="V201" s="421"/>
      <c r="W201" s="421"/>
    </row>
    <row r="202" s="408" customFormat="1" spans="1:23">
      <c r="A202" s="428" t="s">
        <v>230</v>
      </c>
      <c r="B202" s="431" t="s">
        <v>603</v>
      </c>
      <c r="C202" s="429" t="e">
        <f>VLOOKUP(B202,正厂竞争者数据汇总!D:H,2,FALSE)</f>
        <v>#N/A</v>
      </c>
      <c r="D202" s="421" t="e">
        <f>VLOOKUP(B202,正厂竞争者数据汇总!D:H,3,FALSE)</f>
        <v>#N/A</v>
      </c>
      <c r="E202" s="430" t="e">
        <f>VLOOKUP(B202,正厂竞争者数据汇总!D:H,4,FALSE)</f>
        <v>#N/A</v>
      </c>
      <c r="F202" s="430">
        <v>8591.25000000002</v>
      </c>
      <c r="G202" s="430">
        <v>5234.58333333333</v>
      </c>
      <c r="H202" s="430">
        <v>6164.08333333333</v>
      </c>
      <c r="I202" s="453">
        <f t="shared" si="51"/>
        <v>0.641248109527984</v>
      </c>
      <c r="J202" s="451">
        <f t="shared" si="52"/>
        <v>0.0531313454065701</v>
      </c>
      <c r="K202" s="451">
        <v>0.0311754610434535</v>
      </c>
      <c r="L202" s="451">
        <v>0.0325572940416309</v>
      </c>
      <c r="M202" s="451">
        <f t="shared" si="53"/>
        <v>0.0219558843631166</v>
      </c>
      <c r="N202" s="451">
        <f t="shared" si="54"/>
        <v>0.00407855516492643</v>
      </c>
      <c r="O202" s="430">
        <v>579.475</v>
      </c>
      <c r="P202" s="471" t="e">
        <f t="array" ref="P202">INDEX(正厂竞争者数据汇总!$I$2:$I$243,MATCH($A$195&amp;$B202,正厂竞争者数据汇总!$A$2:$A$243&amp;正厂竞争者数据汇总!$D$2:$D$243,0))</f>
        <v>#N/A</v>
      </c>
      <c r="Q202" s="429" t="s">
        <v>180</v>
      </c>
      <c r="R202" s="421" t="s">
        <v>180</v>
      </c>
      <c r="S202" s="473" t="e">
        <f>VLOOKUP(B202,正厂竞争者数据汇总!$D$2:$CL$243,25,FALSE)</f>
        <v>#N/A</v>
      </c>
      <c r="T202" s="466">
        <f>VLOOKUP(B202,'Price &amp; Shipping'!B:DK,2,FALSE)</f>
        <v>0</v>
      </c>
      <c r="U202" s="466"/>
      <c r="V202" s="421"/>
      <c r="W202" s="421"/>
    </row>
    <row r="203" s="408" customFormat="1" spans="1:23">
      <c r="A203" s="428"/>
      <c r="B203" s="431"/>
      <c r="C203" s="429"/>
      <c r="D203" s="421"/>
      <c r="E203" s="430"/>
      <c r="F203" s="430"/>
      <c r="G203" s="430"/>
      <c r="H203" s="430"/>
      <c r="I203" s="453"/>
      <c r="J203" s="451"/>
      <c r="K203" s="451"/>
      <c r="L203" s="451"/>
      <c r="M203" s="451"/>
      <c r="N203" s="451"/>
      <c r="O203" s="430"/>
      <c r="P203" s="471"/>
      <c r="Q203" s="429"/>
      <c r="R203" s="421"/>
      <c r="S203" s="473"/>
      <c r="T203" s="466"/>
      <c r="U203" s="466"/>
      <c r="V203" s="421"/>
      <c r="W203" s="421"/>
    </row>
    <row r="204" s="408" customFormat="1" ht="17.4" spans="1:23">
      <c r="A204" s="428" t="s">
        <v>604</v>
      </c>
      <c r="B204" s="438" t="s">
        <v>605</v>
      </c>
      <c r="C204" s="429" t="str">
        <f>VLOOKUP(B204,正厂竞争者数据汇总!D:H,2,FALSE)</f>
        <v>原厂目录</v>
      </c>
      <c r="D204" s="421" t="str">
        <f>VLOOKUP(B204,正厂竞争者数据汇总!D:H,3,FALSE)</f>
        <v>-</v>
      </c>
      <c r="E204" s="430">
        <f>VLOOKUP(B204,正厂竞争者数据汇总!D:H,4,FALSE)</f>
        <v>0</v>
      </c>
      <c r="F204" s="430">
        <v>71039.25</v>
      </c>
      <c r="G204" s="430">
        <v>72737.5</v>
      </c>
      <c r="H204" s="430">
        <v>73961.25</v>
      </c>
      <c r="I204" s="453"/>
      <c r="J204" s="451"/>
      <c r="K204" s="451"/>
      <c r="L204" s="451"/>
      <c r="M204" s="451"/>
      <c r="N204" s="451" t="str">
        <f>IFERROR(O204*0.5/$F$204,"")</f>
        <v/>
      </c>
      <c r="O204" s="430" t="s">
        <v>180</v>
      </c>
      <c r="P204" s="471" t="str">
        <f t="array" ref="P204">INDEX(正厂竞争者数据汇总!$I$2:$I$243,MATCH($A$195&amp;$B204,正厂竞争者数据汇总!$A$2:$A$243&amp;正厂竞争者数据汇总!$D$2:$D$243,0))</f>
        <v>变成SimplePart</v>
      </c>
      <c r="Q204" s="429" t="s">
        <v>180</v>
      </c>
      <c r="R204" s="421" t="s">
        <v>180</v>
      </c>
      <c r="S204" s="473">
        <f>VLOOKUP(B204,正厂竞争者数据汇总!$D$2:$CL$243,25,FALSE)</f>
        <v>78222</v>
      </c>
      <c r="T204" s="466"/>
      <c r="U204" s="466"/>
      <c r="V204" s="421"/>
      <c r="W204" s="421"/>
    </row>
    <row r="205" s="408" customFormat="1" spans="1:23">
      <c r="A205" s="428"/>
      <c r="B205" s="431"/>
      <c r="C205" s="429"/>
      <c r="D205" s="421"/>
      <c r="E205" s="430"/>
      <c r="F205" s="430"/>
      <c r="G205" s="430"/>
      <c r="H205" s="430"/>
      <c r="I205" s="453"/>
      <c r="J205" s="451"/>
      <c r="K205" s="451"/>
      <c r="L205" s="451"/>
      <c r="M205" s="451"/>
      <c r="N205" s="451"/>
      <c r="O205" s="430"/>
      <c r="P205" s="471"/>
      <c r="Q205" s="429"/>
      <c r="R205" s="421"/>
      <c r="S205" s="473"/>
      <c r="T205" s="466"/>
      <c r="U205" s="466"/>
      <c r="V205" s="421"/>
      <c r="W205" s="421"/>
    </row>
    <row r="206" s="408" customFormat="1" spans="1:23">
      <c r="A206" s="428"/>
      <c r="B206" s="421"/>
      <c r="C206" s="439"/>
      <c r="D206" s="421"/>
      <c r="E206" s="430"/>
      <c r="F206" s="430">
        <v>161698.333333333</v>
      </c>
      <c r="G206" s="430">
        <v>167907.166666667</v>
      </c>
      <c r="H206" s="430">
        <v>189330.333333333</v>
      </c>
      <c r="I206" s="453">
        <f>(F206/G206)-1</f>
        <v>-0.036977774424959</v>
      </c>
      <c r="J206" s="430"/>
      <c r="K206" s="430"/>
      <c r="L206" s="430"/>
      <c r="M206" s="451"/>
      <c r="N206" s="451">
        <f>SUM(N197:N202)</f>
        <v>0.0196748628399089</v>
      </c>
      <c r="O206" s="430"/>
      <c r="P206" s="471"/>
      <c r="Q206" s="493"/>
      <c r="R206" s="421"/>
      <c r="S206" s="473"/>
      <c r="T206" s="466"/>
      <c r="U206" s="466"/>
      <c r="V206" s="421"/>
      <c r="W206" s="421"/>
    </row>
    <row r="207" s="408" customFormat="1" spans="1:23">
      <c r="A207" s="428"/>
      <c r="B207" s="421"/>
      <c r="C207" s="439"/>
      <c r="D207" s="421"/>
      <c r="E207" s="430"/>
      <c r="F207" s="430"/>
      <c r="G207" s="430"/>
      <c r="H207" s="430"/>
      <c r="I207" s="453"/>
      <c r="J207" s="430"/>
      <c r="K207" s="430"/>
      <c r="L207" s="430"/>
      <c r="M207" s="451"/>
      <c r="N207" s="451"/>
      <c r="O207" s="430"/>
      <c r="P207" s="471"/>
      <c r="Q207" s="493"/>
      <c r="R207" s="421"/>
      <c r="S207" s="473"/>
      <c r="T207" s="466"/>
      <c r="U207" s="466"/>
      <c r="V207" s="421"/>
      <c r="W207" s="421"/>
    </row>
    <row r="208" s="408" customFormat="1" ht="17.4" spans="1:23">
      <c r="A208" s="418" t="s">
        <v>191</v>
      </c>
      <c r="B208" s="419"/>
      <c r="C208" s="420"/>
      <c r="D208" s="421"/>
      <c r="E208" s="422" t="s">
        <v>202</v>
      </c>
      <c r="F208" s="422"/>
      <c r="G208" s="422"/>
      <c r="H208" s="422"/>
      <c r="I208" s="422"/>
      <c r="J208" s="422"/>
      <c r="K208" s="422"/>
      <c r="L208" s="422"/>
      <c r="M208" s="443"/>
      <c r="N208" s="422"/>
      <c r="O208" s="422"/>
      <c r="P208" s="471"/>
      <c r="Q208" s="465"/>
      <c r="R208" s="424"/>
      <c r="S208" s="473"/>
      <c r="T208" s="467"/>
      <c r="U208" s="467"/>
      <c r="V208" s="467"/>
      <c r="W208" s="467"/>
    </row>
    <row r="209" s="409" customFormat="1" ht="46.8" spans="1:23">
      <c r="A209" s="423" t="s">
        <v>206</v>
      </c>
      <c r="B209" s="424" t="s">
        <v>207</v>
      </c>
      <c r="C209" s="425" t="s">
        <v>208</v>
      </c>
      <c r="D209" s="424" t="s">
        <v>209</v>
      </c>
      <c r="E209" s="426" t="s">
        <v>210</v>
      </c>
      <c r="F209" s="427" t="s">
        <v>213</v>
      </c>
      <c r="G209" s="427" t="s">
        <v>396</v>
      </c>
      <c r="H209" s="427" t="s">
        <v>496</v>
      </c>
      <c r="I209" s="427" t="s">
        <v>497</v>
      </c>
      <c r="J209" s="446" t="s">
        <v>217</v>
      </c>
      <c r="K209" s="446" t="s">
        <v>387</v>
      </c>
      <c r="L209" s="446" t="s">
        <v>390</v>
      </c>
      <c r="M209" s="447" t="s">
        <v>498</v>
      </c>
      <c r="N209" s="448" t="s">
        <v>219</v>
      </c>
      <c r="O209" s="449" t="s">
        <v>220</v>
      </c>
      <c r="P209" s="468" t="s">
        <v>221</v>
      </c>
      <c r="Q209" s="469" t="s">
        <v>222</v>
      </c>
      <c r="R209" s="426" t="s">
        <v>223</v>
      </c>
      <c r="S209" s="470" t="s">
        <v>224</v>
      </c>
      <c r="T209" s="467" t="s">
        <v>225</v>
      </c>
      <c r="U209" s="470" t="s">
        <v>226</v>
      </c>
      <c r="V209" s="467"/>
      <c r="W209" s="467"/>
    </row>
    <row r="210" s="408" customFormat="1" spans="1:23">
      <c r="A210" s="428" t="s">
        <v>325</v>
      </c>
      <c r="B210" s="421" t="s">
        <v>606</v>
      </c>
      <c r="C210" s="429" t="e">
        <f>VLOOKUP(B210,正厂竞争者数据汇总!D:H,2,FALSE)</f>
        <v>#N/A</v>
      </c>
      <c r="D210" s="421" t="e">
        <f>VLOOKUP(B210,正厂竞争者数据汇总!D:H,3,FALSE)</f>
        <v>#N/A</v>
      </c>
      <c r="E210" s="430" t="e">
        <f>VLOOKUP(B210,正厂竞争者数据汇总!D:H,4,FALSE)</f>
        <v>#N/A</v>
      </c>
      <c r="F210" s="430">
        <v>116448.583333333</v>
      </c>
      <c r="G210" s="430">
        <v>99768.6666666667</v>
      </c>
      <c r="H210" s="430">
        <v>93894.75</v>
      </c>
      <c r="I210" s="453">
        <f t="shared" ref="I210:I215" si="55">(F210/G210)-1</f>
        <v>0.167185923436212</v>
      </c>
      <c r="J210" s="451">
        <f>F210/F$215</f>
        <v>0.888407896970386</v>
      </c>
      <c r="K210" s="451">
        <v>0.846811047932421</v>
      </c>
      <c r="L210" s="451">
        <v>0.869580350768875</v>
      </c>
      <c r="M210" s="451">
        <f>J210-K210</f>
        <v>0.0415968490379653</v>
      </c>
      <c r="N210" s="459"/>
      <c r="O210" s="430"/>
      <c r="P210" s="471" t="e">
        <f>VLOOKUP(B210,正厂竞争者数据汇总!D:M,6,FALSE)</f>
        <v>#N/A</v>
      </c>
      <c r="Q210" s="429" t="s">
        <v>180</v>
      </c>
      <c r="R210" s="421" t="s">
        <v>180</v>
      </c>
      <c r="S210" s="473" t="e">
        <f>VLOOKUP(B210,正厂竞争者数据汇总!$D$2:$CL$243,25,FALSE)</f>
        <v>#N/A</v>
      </c>
      <c r="T210" s="466"/>
      <c r="U210" s="466"/>
      <c r="V210" s="421"/>
      <c r="W210" s="421"/>
    </row>
    <row r="211" s="408" customFormat="1" spans="1:23">
      <c r="A211" s="428" t="s">
        <v>230</v>
      </c>
      <c r="B211" s="421" t="s">
        <v>607</v>
      </c>
      <c r="C211" s="429" t="e">
        <f>VLOOKUP(B211,正厂竞争者数据汇总!D:H,2,FALSE)</f>
        <v>#N/A</v>
      </c>
      <c r="D211" s="421" t="e">
        <f>VLOOKUP(B211,正厂竞争者数据汇总!D:H,3,FALSE)</f>
        <v>#N/A</v>
      </c>
      <c r="E211" s="430" t="e">
        <f>VLOOKUP(B211,正厂竞争者数据汇总!D:H,4,FALSE)</f>
        <v>#N/A</v>
      </c>
      <c r="F211" s="430">
        <v>0</v>
      </c>
      <c r="G211" s="430">
        <v>0</v>
      </c>
      <c r="H211" s="430">
        <v>0</v>
      </c>
      <c r="I211" s="453"/>
      <c r="J211" s="451"/>
      <c r="K211" s="451"/>
      <c r="L211" s="451"/>
      <c r="M211" s="451"/>
      <c r="N211" s="459"/>
      <c r="O211" s="430"/>
      <c r="P211" s="471" t="e">
        <f>VLOOKUP(B211,正厂竞争者数据汇总!D:M,6,FALSE)</f>
        <v>#N/A</v>
      </c>
      <c r="Q211" s="429" t="s">
        <v>180</v>
      </c>
      <c r="R211" s="421" t="s">
        <v>180</v>
      </c>
      <c r="S211" s="473" t="e">
        <f>VLOOKUP(B211,正厂竞争者数据汇总!$D$2:$CL$243,25,FALSE)</f>
        <v>#N/A</v>
      </c>
      <c r="T211" s="466"/>
      <c r="U211" s="466"/>
      <c r="V211" s="421"/>
      <c r="W211" s="421"/>
    </row>
    <row r="212" s="408" customFormat="1" ht="17.4" spans="1:23">
      <c r="A212" s="428" t="s">
        <v>464</v>
      </c>
      <c r="B212" s="431" t="s">
        <v>465</v>
      </c>
      <c r="C212" s="429" t="str">
        <f>VLOOKUP(B212,正厂竞争者数据汇总!D:H,2,FALSE)</f>
        <v>原厂目录</v>
      </c>
      <c r="D212" s="421" t="str">
        <f>VLOOKUP(B212,正厂竞争者数据汇总!D:H,3,FALSE)</f>
        <v>-</v>
      </c>
      <c r="E212" s="430">
        <f>VLOOKUP(B212,正厂竞争者数据汇总!D:H,4,FALSE)</f>
        <v>0</v>
      </c>
      <c r="F212" s="430">
        <v>207722.25</v>
      </c>
      <c r="G212" s="430">
        <v>199184.666666667</v>
      </c>
      <c r="H212" s="430">
        <v>140623.583333333</v>
      </c>
      <c r="I212" s="453"/>
      <c r="J212" s="451"/>
      <c r="K212" s="451"/>
      <c r="L212" s="451"/>
      <c r="M212" s="451"/>
      <c r="N212" s="459"/>
      <c r="O212" s="430"/>
      <c r="P212" s="471">
        <f>VLOOKUP(B212,正厂竞争者数据汇总!D:M,6,FALSE)</f>
        <v>0</v>
      </c>
      <c r="Q212" s="429" t="s">
        <v>180</v>
      </c>
      <c r="R212" s="421" t="s">
        <v>180</v>
      </c>
      <c r="S212" s="473">
        <f>VLOOKUP(B212,正厂竞争者数据汇总!$D$2:$CL$243,25,FALSE)</f>
        <v>181727</v>
      </c>
      <c r="T212" s="466"/>
      <c r="U212" s="466"/>
      <c r="V212" s="421"/>
      <c r="W212" s="421"/>
    </row>
    <row r="213" s="408" customFormat="1" spans="1:23">
      <c r="A213" s="428" t="s">
        <v>325</v>
      </c>
      <c r="B213" s="438" t="s">
        <v>608</v>
      </c>
      <c r="C213" s="429" t="e">
        <f>VLOOKUP(B213,正厂竞争者数据汇总!D:H,2,FALSE)</f>
        <v>#N/A</v>
      </c>
      <c r="D213" s="421" t="e">
        <f>VLOOKUP(B213,正厂竞争者数据汇总!D:H,3,FALSE)</f>
        <v>#N/A</v>
      </c>
      <c r="E213" s="430">
        <f>VLOOKUP(B212,正厂竞争者数据汇总!D:H,4,FALSE)</f>
        <v>0</v>
      </c>
      <c r="F213" s="430">
        <v>14627</v>
      </c>
      <c r="G213" s="430">
        <v>18048.25</v>
      </c>
      <c r="H213" s="430">
        <v>14082.3333333333</v>
      </c>
      <c r="I213" s="453">
        <f t="shared" si="55"/>
        <v>-0.189561314808915</v>
      </c>
      <c r="J213" s="451">
        <f>F213/F$215</f>
        <v>0.111592103029614</v>
      </c>
      <c r="K213" s="451">
        <v>0.153188952067579</v>
      </c>
      <c r="L213" s="451">
        <v>0.130419649231125</v>
      </c>
      <c r="M213" s="451">
        <f>J213-K213</f>
        <v>-0.0415968490379654</v>
      </c>
      <c r="N213" s="459"/>
      <c r="O213" s="430"/>
      <c r="P213" s="471" t="e">
        <f>VLOOKUP(B213,正厂竞争者数据汇总!D:M,6,FALSE)</f>
        <v>#N/A</v>
      </c>
      <c r="Q213" s="429" t="s">
        <v>180</v>
      </c>
      <c r="R213" s="421" t="s">
        <v>180</v>
      </c>
      <c r="S213" s="473" t="e">
        <f>VLOOKUP(B213,正厂竞争者数据汇总!$D$2:$CL$243,25,FALSE)</f>
        <v>#N/A</v>
      </c>
      <c r="T213" s="466"/>
      <c r="U213" s="466"/>
      <c r="V213" s="421"/>
      <c r="W213" s="421"/>
    </row>
    <row r="214" s="408" customFormat="1" spans="1:23">
      <c r="A214" s="428"/>
      <c r="B214" s="438"/>
      <c r="C214" s="429"/>
      <c r="D214" s="421"/>
      <c r="E214" s="430"/>
      <c r="F214" s="430"/>
      <c r="G214" s="430"/>
      <c r="H214" s="430"/>
      <c r="I214" s="453"/>
      <c r="J214" s="451"/>
      <c r="K214" s="451"/>
      <c r="L214" s="451"/>
      <c r="M214" s="451"/>
      <c r="N214" s="459"/>
      <c r="O214" s="430"/>
      <c r="P214" s="471"/>
      <c r="Q214" s="429"/>
      <c r="R214" s="421"/>
      <c r="S214" s="473"/>
      <c r="T214" s="466"/>
      <c r="U214" s="466"/>
      <c r="V214" s="421"/>
      <c r="W214" s="421"/>
    </row>
    <row r="215" s="408" customFormat="1" spans="1:23">
      <c r="A215" s="428"/>
      <c r="B215" s="421"/>
      <c r="C215" s="439"/>
      <c r="D215" s="421"/>
      <c r="E215" s="421"/>
      <c r="F215" s="496">
        <v>131075.583333333</v>
      </c>
      <c r="G215" s="496">
        <v>117816.916666667</v>
      </c>
      <c r="H215" s="496">
        <v>107977.083333333</v>
      </c>
      <c r="I215" s="453">
        <f t="shared" si="55"/>
        <v>0.112536187856435</v>
      </c>
      <c r="J215" s="430"/>
      <c r="K215" s="430"/>
      <c r="L215" s="430"/>
      <c r="M215" s="451"/>
      <c r="N215" s="459"/>
      <c r="O215" s="430"/>
      <c r="P215" s="471"/>
      <c r="Q215" s="429"/>
      <c r="R215" s="421"/>
      <c r="S215" s="473"/>
      <c r="T215" s="466"/>
      <c r="U215" s="466"/>
      <c r="V215" s="421"/>
      <c r="W215" s="421"/>
    </row>
    <row r="216" s="408" customFormat="1" spans="1:23">
      <c r="A216" s="428"/>
      <c r="B216" s="438"/>
      <c r="C216" s="439"/>
      <c r="D216" s="421"/>
      <c r="E216" s="430"/>
      <c r="F216" s="430"/>
      <c r="G216" s="430"/>
      <c r="H216" s="430"/>
      <c r="I216" s="453"/>
      <c r="J216" s="430"/>
      <c r="K216" s="430"/>
      <c r="L216" s="430"/>
      <c r="M216" s="451"/>
      <c r="N216" s="459"/>
      <c r="O216" s="430"/>
      <c r="P216" s="471"/>
      <c r="Q216" s="429"/>
      <c r="R216" s="421"/>
      <c r="S216" s="473"/>
      <c r="T216" s="466"/>
      <c r="U216" s="466"/>
      <c r="V216" s="421"/>
      <c r="W216" s="421"/>
    </row>
    <row r="217" s="408" customFormat="1" ht="17.4" spans="1:23">
      <c r="A217" s="418" t="s">
        <v>189</v>
      </c>
      <c r="B217" s="419"/>
      <c r="C217" s="420"/>
      <c r="D217" s="421"/>
      <c r="E217" s="422" t="s">
        <v>202</v>
      </c>
      <c r="F217" s="422"/>
      <c r="G217" s="422"/>
      <c r="H217" s="422"/>
      <c r="I217" s="422"/>
      <c r="J217" s="422"/>
      <c r="K217" s="422"/>
      <c r="L217" s="422"/>
      <c r="M217" s="443"/>
      <c r="N217" s="422"/>
      <c r="O217" s="422"/>
      <c r="P217" s="471"/>
      <c r="Q217" s="465"/>
      <c r="R217" s="424"/>
      <c r="S217" s="473"/>
      <c r="T217" s="467"/>
      <c r="U217" s="467"/>
      <c r="V217" s="467"/>
      <c r="W217" s="467"/>
    </row>
    <row r="218" s="409" customFormat="1" ht="46.8" spans="1:23">
      <c r="A218" s="423" t="s">
        <v>206</v>
      </c>
      <c r="B218" s="424" t="s">
        <v>207</v>
      </c>
      <c r="C218" s="425" t="s">
        <v>208</v>
      </c>
      <c r="D218" s="424" t="s">
        <v>209</v>
      </c>
      <c r="E218" s="426" t="s">
        <v>210</v>
      </c>
      <c r="F218" s="427" t="s">
        <v>213</v>
      </c>
      <c r="G218" s="427" t="s">
        <v>396</v>
      </c>
      <c r="H218" s="427" t="s">
        <v>496</v>
      </c>
      <c r="I218" s="427" t="s">
        <v>497</v>
      </c>
      <c r="J218" s="446" t="s">
        <v>217</v>
      </c>
      <c r="K218" s="446" t="s">
        <v>387</v>
      </c>
      <c r="L218" s="446" t="s">
        <v>390</v>
      </c>
      <c r="M218" s="447" t="s">
        <v>498</v>
      </c>
      <c r="N218" s="448" t="s">
        <v>219</v>
      </c>
      <c r="O218" s="449" t="s">
        <v>220</v>
      </c>
      <c r="P218" s="468" t="s">
        <v>221</v>
      </c>
      <c r="Q218" s="469" t="s">
        <v>222</v>
      </c>
      <c r="R218" s="426" t="s">
        <v>223</v>
      </c>
      <c r="S218" s="470" t="s">
        <v>224</v>
      </c>
      <c r="T218" s="467" t="s">
        <v>225</v>
      </c>
      <c r="U218" s="470" t="s">
        <v>226</v>
      </c>
      <c r="V218" s="467"/>
      <c r="W218" s="467"/>
    </row>
    <row r="219" s="408" customFormat="1" spans="1:23">
      <c r="A219" s="428" t="s">
        <v>325</v>
      </c>
      <c r="B219" s="421" t="s">
        <v>466</v>
      </c>
      <c r="C219" s="429" t="str">
        <f>VLOOKUP(B219,正厂竞争者数据汇总!D:H,2,FALSE)</f>
        <v>Motor目录，官网</v>
      </c>
      <c r="D219" s="421" t="str">
        <f>VLOOKUP(B219,正厂竞争者数据汇总!D:H,3,FALSE)</f>
        <v>-</v>
      </c>
      <c r="E219" s="430">
        <f>VLOOKUP(B219,正厂竞争者数据汇总!D:H,4,FALSE)</f>
        <v>0</v>
      </c>
      <c r="F219" s="430">
        <v>530347.5</v>
      </c>
      <c r="G219" s="430">
        <v>572372.833333333</v>
      </c>
      <c r="H219" s="430">
        <v>533308</v>
      </c>
      <c r="I219" s="453">
        <f t="shared" ref="I219:I222" si="56">(F219/G219)-1</f>
        <v>-0.0734230048770653</v>
      </c>
      <c r="J219" s="451">
        <f t="shared" ref="J219:J223" si="57">F219/F$225</f>
        <v>0.707246538512958</v>
      </c>
      <c r="K219" s="451">
        <v>0.690276486501995</v>
      </c>
      <c r="L219" s="451">
        <v>0.613177543068666</v>
      </c>
      <c r="M219" s="451"/>
      <c r="N219" s="459"/>
      <c r="O219" s="430"/>
      <c r="P219" s="471" t="str">
        <f>VLOOKUP(B219,正厂竞争者数据汇总!D:M,6,FALSE)</f>
        <v>官网</v>
      </c>
      <c r="Q219" s="429" t="s">
        <v>180</v>
      </c>
      <c r="R219" s="421" t="s">
        <v>180</v>
      </c>
      <c r="S219" s="473">
        <f>VLOOKUP(B219,正厂竞争者数据汇总!$D$2:$CL$243,25,FALSE)</f>
        <v>387977</v>
      </c>
      <c r="T219" s="466"/>
      <c r="U219" s="466"/>
      <c r="V219" s="421"/>
      <c r="W219" s="421"/>
    </row>
    <row r="220" s="408" customFormat="1" spans="1:23">
      <c r="A220" s="428" t="s">
        <v>230</v>
      </c>
      <c r="B220" s="431" t="s">
        <v>609</v>
      </c>
      <c r="C220" s="429" t="e">
        <f>VLOOKUP(B220,正厂竞争者数据汇总!D:H,2,FALSE)</f>
        <v>#N/A</v>
      </c>
      <c r="D220" s="421" t="e">
        <f>VLOOKUP(B220,正厂竞争者数据汇总!D:H,3,FALSE)</f>
        <v>#N/A</v>
      </c>
      <c r="E220" s="430" t="e">
        <f>VLOOKUP(B220,正厂竞争者数据汇总!D:H,4,FALSE)</f>
        <v>#N/A</v>
      </c>
      <c r="F220" s="430">
        <v>164695.833333333</v>
      </c>
      <c r="G220" s="430">
        <v>201650.166666667</v>
      </c>
      <c r="H220" s="430">
        <v>275573</v>
      </c>
      <c r="I220" s="453">
        <f t="shared" si="56"/>
        <v>-0.183259622068255</v>
      </c>
      <c r="J220" s="451">
        <f t="shared" si="57"/>
        <v>0.219630634692361</v>
      </c>
      <c r="K220" s="451">
        <v>0.243188286450601</v>
      </c>
      <c r="L220" s="451">
        <v>0.316843503334024</v>
      </c>
      <c r="M220" s="451">
        <f t="shared" ref="M220:M222" si="58">J220-K220</f>
        <v>-0.0235576517582403</v>
      </c>
      <c r="N220" s="459"/>
      <c r="O220" s="430"/>
      <c r="P220" s="471" t="e">
        <f>VLOOKUP(B220,正厂竞争者数据汇总!D:M,6,FALSE)</f>
        <v>#N/A</v>
      </c>
      <c r="Q220" s="429" t="s">
        <v>180</v>
      </c>
      <c r="R220" s="421" t="s">
        <v>180</v>
      </c>
      <c r="S220" s="473" t="e">
        <f>VLOOKUP(B220,正厂竞争者数据汇总!$D$2:$CL$243,25,FALSE)</f>
        <v>#N/A</v>
      </c>
      <c r="T220" s="466"/>
      <c r="U220" s="466"/>
      <c r="V220" s="421"/>
      <c r="W220" s="421"/>
    </row>
    <row r="221" s="408" customFormat="1" spans="1:23">
      <c r="A221" s="428" t="s">
        <v>243</v>
      </c>
      <c r="B221" s="421" t="s">
        <v>610</v>
      </c>
      <c r="C221" s="429" t="e">
        <f>VLOOKUP(B221,正厂竞争者数据汇总!D:H,2,FALSE)</f>
        <v>#N/A</v>
      </c>
      <c r="D221" s="421" t="e">
        <f>VLOOKUP(B221,正厂竞争者数据汇总!D:H,3,FALSE)</f>
        <v>#N/A</v>
      </c>
      <c r="E221" s="430" t="e">
        <f>VLOOKUP(B221,正厂竞争者数据汇总!D:H,4,FALSE)</f>
        <v>#N/A</v>
      </c>
      <c r="F221" s="430">
        <v>23846.5</v>
      </c>
      <c r="G221" s="430">
        <v>27170.3333333334</v>
      </c>
      <c r="H221" s="430">
        <v>30171.75</v>
      </c>
      <c r="I221" s="453">
        <f t="shared" si="56"/>
        <v>-0.122333182024514</v>
      </c>
      <c r="J221" s="451">
        <f t="shared" si="57"/>
        <v>0.0318005733611439</v>
      </c>
      <c r="K221" s="451">
        <v>0.0327671775077051</v>
      </c>
      <c r="L221" s="451">
        <v>0.0346903469197575</v>
      </c>
      <c r="M221" s="451">
        <f t="shared" si="58"/>
        <v>-0.000966604146561231</v>
      </c>
      <c r="N221" s="459"/>
      <c r="O221" s="430"/>
      <c r="P221" s="471" t="e">
        <f>VLOOKUP(B221,正厂竞争者数据汇总!D:M,6,FALSE)</f>
        <v>#N/A</v>
      </c>
      <c r="Q221" s="429" t="s">
        <v>180</v>
      </c>
      <c r="R221" s="421" t="s">
        <v>180</v>
      </c>
      <c r="S221" s="473" t="e">
        <f>VLOOKUP(B221,正厂竞争者数据汇总!$D$2:$CL$243,25,FALSE)</f>
        <v>#N/A</v>
      </c>
      <c r="T221" s="466"/>
      <c r="U221" s="466"/>
      <c r="V221" s="421"/>
      <c r="W221" s="421"/>
    </row>
    <row r="222" s="408" customFormat="1" spans="1:23">
      <c r="A222" s="428" t="s">
        <v>230</v>
      </c>
      <c r="B222" s="421" t="s">
        <v>611</v>
      </c>
      <c r="C222" s="429" t="e">
        <f>VLOOKUP(B222,正厂竞争者数据汇总!D:H,2,FALSE)</f>
        <v>#N/A</v>
      </c>
      <c r="D222" s="421" t="e">
        <f>VLOOKUP(B222,正厂竞争者数据汇总!D:H,3,FALSE)</f>
        <v>#N/A</v>
      </c>
      <c r="E222" s="430" t="e">
        <f>VLOOKUP(B221,正厂竞争者数据汇总!D:H,4,FALSE)</f>
        <v>#N/A</v>
      </c>
      <c r="F222" s="430">
        <v>30859.5833333333</v>
      </c>
      <c r="G222" s="430">
        <v>27910.6666666667</v>
      </c>
      <c r="H222" s="430">
        <v>30638.3333333333</v>
      </c>
      <c r="I222" s="453">
        <f t="shared" si="56"/>
        <v>0.105655543878085</v>
      </c>
      <c r="J222" s="451">
        <f t="shared" si="57"/>
        <v>0.0411528921932358</v>
      </c>
      <c r="K222" s="451">
        <v>0.0336600128458142</v>
      </c>
      <c r="L222" s="451">
        <v>0.0352268069428025</v>
      </c>
      <c r="M222" s="451">
        <f t="shared" si="58"/>
        <v>0.00749287934742163</v>
      </c>
      <c r="N222" s="459"/>
      <c r="O222" s="430"/>
      <c r="P222" s="471" t="e">
        <f>VLOOKUP(B222,正厂竞争者数据汇总!D:M,6,FALSE)</f>
        <v>#N/A</v>
      </c>
      <c r="Q222" s="429" t="s">
        <v>180</v>
      </c>
      <c r="R222" s="421" t="s">
        <v>180</v>
      </c>
      <c r="S222" s="473" t="e">
        <f>VLOOKUP(B222,正厂竞争者数据汇总!$D$2:$CL$243,25,FALSE)</f>
        <v>#N/A</v>
      </c>
      <c r="T222" s="466"/>
      <c r="U222" s="466"/>
      <c r="V222" s="421"/>
      <c r="W222" s="421"/>
    </row>
    <row r="223" s="408" customFormat="1" spans="1:23">
      <c r="A223" s="428" t="s">
        <v>468</v>
      </c>
      <c r="B223" s="431" t="s">
        <v>612</v>
      </c>
      <c r="C223" s="429" t="e">
        <f>VLOOKUP(B223,正厂竞争者数据汇总!D:H,2,FALSE)</f>
        <v>#N/A</v>
      </c>
      <c r="D223" s="421" t="e">
        <f>VLOOKUP(B223,正厂竞争者数据汇总!D:H,3,FALSE)</f>
        <v>#N/A</v>
      </c>
      <c r="E223" s="430" t="e">
        <f>VLOOKUP(B223,正厂竞争者数据汇总!D:H,4,FALSE)</f>
        <v>#N/A</v>
      </c>
      <c r="F223" s="430">
        <v>127</v>
      </c>
      <c r="G223" s="430">
        <v>89.5833333333335</v>
      </c>
      <c r="H223" s="430">
        <v>53.75</v>
      </c>
      <c r="I223" s="453"/>
      <c r="J223" s="451">
        <f t="shared" si="57"/>
        <v>0.000169361240302152</v>
      </c>
      <c r="K223" s="451">
        <v>0.000108036693884209</v>
      </c>
      <c r="L223" s="451">
        <v>6.17997347497897e-5</v>
      </c>
      <c r="M223" s="451"/>
      <c r="N223" s="459"/>
      <c r="O223" s="430"/>
      <c r="P223" s="471" t="e">
        <f>VLOOKUP(B223,正厂竞争者数据汇总!D:M,6,FALSE)</f>
        <v>#N/A</v>
      </c>
      <c r="Q223" s="429" t="s">
        <v>180</v>
      </c>
      <c r="R223" s="421" t="s">
        <v>180</v>
      </c>
      <c r="S223" s="473" t="e">
        <f>VLOOKUP(B223,正厂竞争者数据汇总!$D$2:$CL$243,25,FALSE)</f>
        <v>#N/A</v>
      </c>
      <c r="T223" s="466"/>
      <c r="U223" s="466"/>
      <c r="V223" s="421"/>
      <c r="W223" s="421"/>
    </row>
    <row r="224" s="410" customFormat="1" spans="1:23">
      <c r="A224" s="432"/>
      <c r="B224" s="433"/>
      <c r="C224" s="434"/>
      <c r="D224" s="421"/>
      <c r="E224" s="436"/>
      <c r="F224" s="436"/>
      <c r="G224" s="436"/>
      <c r="H224" s="436"/>
      <c r="I224" s="453"/>
      <c r="J224" s="457"/>
      <c r="K224" s="457"/>
      <c r="L224" s="457"/>
      <c r="M224" s="451"/>
      <c r="N224" s="455"/>
      <c r="O224" s="436"/>
      <c r="P224" s="471"/>
      <c r="Q224" s="434"/>
      <c r="R224" s="435"/>
      <c r="S224" s="473"/>
      <c r="T224" s="466"/>
      <c r="U224" s="466"/>
      <c r="V224" s="435"/>
      <c r="W224" s="435"/>
    </row>
    <row r="225" s="408" customFormat="1" spans="1:23">
      <c r="A225" s="428"/>
      <c r="B225" s="421"/>
      <c r="C225" s="439"/>
      <c r="D225" s="421"/>
      <c r="E225" s="430"/>
      <c r="F225" s="430">
        <v>749876.416666666</v>
      </c>
      <c r="G225" s="430">
        <v>829193.583333334</v>
      </c>
      <c r="H225" s="430">
        <v>869744.833333333</v>
      </c>
      <c r="I225" s="453">
        <f t="shared" ref="I225:I231" si="59">(F225/G225)-1</f>
        <v>-0.0956557892643298</v>
      </c>
      <c r="J225" s="430"/>
      <c r="K225" s="430"/>
      <c r="L225" s="430"/>
      <c r="M225" s="451"/>
      <c r="N225" s="459"/>
      <c r="O225" s="430"/>
      <c r="P225" s="471"/>
      <c r="Q225" s="429"/>
      <c r="R225" s="421"/>
      <c r="S225" s="473"/>
      <c r="T225" s="466"/>
      <c r="U225" s="466"/>
      <c r="V225" s="421"/>
      <c r="W225" s="421"/>
    </row>
    <row r="226" s="408" customFormat="1" spans="1:23">
      <c r="A226" s="428"/>
      <c r="B226" s="421"/>
      <c r="C226" s="439"/>
      <c r="D226" s="421"/>
      <c r="E226" s="430"/>
      <c r="F226" s="430"/>
      <c r="G226" s="430"/>
      <c r="H226" s="430"/>
      <c r="I226" s="453"/>
      <c r="J226" s="430"/>
      <c r="K226" s="430"/>
      <c r="L226" s="430"/>
      <c r="M226" s="451"/>
      <c r="N226" s="459"/>
      <c r="O226" s="430"/>
      <c r="P226" s="471"/>
      <c r="Q226" s="429"/>
      <c r="R226" s="421"/>
      <c r="S226" s="473"/>
      <c r="T226" s="466"/>
      <c r="U226" s="466"/>
      <c r="V226" s="421"/>
      <c r="W226" s="421"/>
    </row>
    <row r="227" s="408" customFormat="1" ht="17.4" spans="1:23">
      <c r="A227" s="418" t="s">
        <v>185</v>
      </c>
      <c r="B227" s="419"/>
      <c r="C227" s="420"/>
      <c r="D227" s="421"/>
      <c r="E227" s="422" t="s">
        <v>202</v>
      </c>
      <c r="F227" s="422"/>
      <c r="G227" s="422"/>
      <c r="H227" s="422"/>
      <c r="I227" s="422"/>
      <c r="J227" s="422"/>
      <c r="K227" s="422"/>
      <c r="L227" s="422"/>
      <c r="M227" s="443"/>
      <c r="N227" s="444"/>
      <c r="O227" s="422"/>
      <c r="P227" s="471"/>
      <c r="Q227" s="465"/>
      <c r="R227" s="424"/>
      <c r="S227" s="473"/>
      <c r="T227" s="467"/>
      <c r="U227" s="467"/>
      <c r="V227" s="467"/>
      <c r="W227" s="467"/>
    </row>
    <row r="228" s="409" customFormat="1" ht="46.8" spans="1:23">
      <c r="A228" s="423" t="s">
        <v>206</v>
      </c>
      <c r="B228" s="424" t="s">
        <v>207</v>
      </c>
      <c r="C228" s="425" t="s">
        <v>208</v>
      </c>
      <c r="D228" s="424" t="s">
        <v>209</v>
      </c>
      <c r="E228" s="426" t="s">
        <v>210</v>
      </c>
      <c r="F228" s="427" t="s">
        <v>213</v>
      </c>
      <c r="G228" s="427" t="s">
        <v>396</v>
      </c>
      <c r="H228" s="427" t="s">
        <v>496</v>
      </c>
      <c r="I228" s="427" t="s">
        <v>497</v>
      </c>
      <c r="J228" s="446" t="s">
        <v>217</v>
      </c>
      <c r="K228" s="446" t="s">
        <v>387</v>
      </c>
      <c r="L228" s="446" t="s">
        <v>390</v>
      </c>
      <c r="M228" s="447" t="s">
        <v>498</v>
      </c>
      <c r="N228" s="448" t="s">
        <v>219</v>
      </c>
      <c r="O228" s="449" t="s">
        <v>220</v>
      </c>
      <c r="P228" s="468" t="s">
        <v>221</v>
      </c>
      <c r="Q228" s="469" t="s">
        <v>222</v>
      </c>
      <c r="R228" s="426" t="s">
        <v>223</v>
      </c>
      <c r="S228" s="470" t="s">
        <v>224</v>
      </c>
      <c r="T228" s="467" t="s">
        <v>225</v>
      </c>
      <c r="U228" s="470" t="s">
        <v>226</v>
      </c>
      <c r="V228" s="467"/>
      <c r="W228" s="467"/>
    </row>
    <row r="229" s="408" customFormat="1" spans="1:23">
      <c r="A229" s="497" t="s">
        <v>243</v>
      </c>
      <c r="B229" s="438" t="s">
        <v>613</v>
      </c>
      <c r="C229" s="429" t="e">
        <f>VLOOKUP(B229,正厂竞争者数据汇总!D:H,2,FALSE)</f>
        <v>#N/A</v>
      </c>
      <c r="D229" s="421" t="e">
        <f>VLOOKUP(B229,正厂竞争者数据汇总!D:H,3,FALSE)</f>
        <v>#N/A</v>
      </c>
      <c r="E229" s="430" t="str">
        <f>VLOOKUP(B228,正厂竞争者数据汇总!D:H,4,FALSE)</f>
        <v>Alexa Traffic Rank</v>
      </c>
      <c r="F229" s="430">
        <v>83649.6666666667</v>
      </c>
      <c r="G229" s="430">
        <v>93790.0833333333</v>
      </c>
      <c r="H229" s="430">
        <v>101968.166666667</v>
      </c>
      <c r="I229" s="453">
        <f t="shared" si="59"/>
        <v>-0.108118217899724</v>
      </c>
      <c r="J229" s="451">
        <f t="shared" ref="J229:J231" si="60">F229/F$235</f>
        <v>0.200344806801612</v>
      </c>
      <c r="K229" s="451">
        <v>0.193520238122463</v>
      </c>
      <c r="L229" s="451">
        <v>0.193161922276992</v>
      </c>
      <c r="M229" s="451">
        <f t="shared" ref="M229:M231" si="61">J229-K229</f>
        <v>0.00682456867914863</v>
      </c>
      <c r="N229" s="459"/>
      <c r="O229" s="430"/>
      <c r="P229" s="471" t="e">
        <f>VLOOKUP(B229,正厂竞争者数据汇总!D:M,6,FALSE)</f>
        <v>#N/A</v>
      </c>
      <c r="Q229" s="429" t="s">
        <v>180</v>
      </c>
      <c r="R229" s="421" t="s">
        <v>180</v>
      </c>
      <c r="S229" s="473" t="e">
        <f>VLOOKUP(B229,正厂竞争者数据汇总!$D$2:$CL$243,25,FALSE)</f>
        <v>#N/A</v>
      </c>
      <c r="T229" s="466"/>
      <c r="U229" s="466"/>
      <c r="V229" s="421"/>
      <c r="W229" s="421"/>
    </row>
    <row r="230" s="408" customFormat="1" spans="1:23">
      <c r="A230" s="428" t="s">
        <v>230</v>
      </c>
      <c r="B230" s="431" t="s">
        <v>614</v>
      </c>
      <c r="C230" s="429" t="e">
        <f>VLOOKUP(B230,正厂竞争者数据汇总!D:H,2,FALSE)</f>
        <v>#N/A</v>
      </c>
      <c r="D230" s="421" t="e">
        <f>VLOOKUP(B230,正厂竞争者数据汇总!D:H,3,FALSE)</f>
        <v>#N/A</v>
      </c>
      <c r="E230" s="430" t="e">
        <f>VLOOKUP(B230,正厂竞争者数据汇总!D:H,4,FALSE)</f>
        <v>#N/A</v>
      </c>
      <c r="F230" s="430">
        <v>148204.583333333</v>
      </c>
      <c r="G230" s="430">
        <v>153405.25</v>
      </c>
      <c r="H230" s="430">
        <v>153747.916666667</v>
      </c>
      <c r="I230" s="453">
        <f t="shared" si="59"/>
        <v>-0.0339014907681908</v>
      </c>
      <c r="J230" s="451">
        <f t="shared" si="60"/>
        <v>0.354956807339698</v>
      </c>
      <c r="K230" s="451">
        <v>0.316526219554867</v>
      </c>
      <c r="L230" s="451">
        <v>0.291250143061799</v>
      </c>
      <c r="M230" s="451">
        <f t="shared" si="61"/>
        <v>0.0384305877848308</v>
      </c>
      <c r="N230" s="459"/>
      <c r="O230" s="430"/>
      <c r="P230" s="471" t="e">
        <f>VLOOKUP(B230,正厂竞争者数据汇总!D:M,6,FALSE)</f>
        <v>#N/A</v>
      </c>
      <c r="Q230" s="429" t="s">
        <v>180</v>
      </c>
      <c r="R230" s="421" t="s">
        <v>180</v>
      </c>
      <c r="S230" s="473" t="e">
        <f>VLOOKUP(B230,正厂竞争者数据汇总!$D$2:$CL$243,25,FALSE)</f>
        <v>#N/A</v>
      </c>
      <c r="T230" s="466"/>
      <c r="U230" s="466"/>
      <c r="V230" s="421"/>
      <c r="W230" s="421"/>
    </row>
    <row r="231" s="408" customFormat="1" spans="1:23">
      <c r="A231" s="428"/>
      <c r="B231" s="430" t="s">
        <v>615</v>
      </c>
      <c r="C231" s="429" t="e">
        <f>VLOOKUP(B231,正厂竞争者数据汇总!D:H,2,FALSE)</f>
        <v>#N/A</v>
      </c>
      <c r="D231" s="421" t="e">
        <f>VLOOKUP(B231,正厂竞争者数据汇总!D:H,3,FALSE)</f>
        <v>#N/A</v>
      </c>
      <c r="E231" s="430" t="e">
        <f>VLOOKUP(B231,正厂竞争者数据汇总!D:H,4,FALSE)</f>
        <v>#N/A</v>
      </c>
      <c r="F231" s="430">
        <v>32696.5833333333</v>
      </c>
      <c r="G231" s="430">
        <v>64506.0833333334</v>
      </c>
      <c r="H231" s="430">
        <v>97248.6666666667</v>
      </c>
      <c r="I231" s="453">
        <f t="shared" si="59"/>
        <v>-0.493124033521387</v>
      </c>
      <c r="J231" s="451">
        <f t="shared" si="60"/>
        <v>0.0783098239601208</v>
      </c>
      <c r="K231" s="451">
        <v>0.133097574534061</v>
      </c>
      <c r="L231" s="451">
        <v>0.184221605686164</v>
      </c>
      <c r="M231" s="451">
        <f t="shared" si="61"/>
        <v>-0.0547877505739402</v>
      </c>
      <c r="N231" s="459"/>
      <c r="O231" s="430"/>
      <c r="P231" s="471" t="e">
        <f>VLOOKUP(B231,正厂竞争者数据汇总!D:M,6,FALSE)</f>
        <v>#N/A</v>
      </c>
      <c r="Q231" s="429" t="s">
        <v>180</v>
      </c>
      <c r="R231" s="421" t="s">
        <v>180</v>
      </c>
      <c r="S231" s="473" t="e">
        <f>VLOOKUP(B231,正厂竞争者数据汇总!$D$2:$CL$243,25,FALSE)</f>
        <v>#N/A</v>
      </c>
      <c r="T231" s="466"/>
      <c r="U231" s="466"/>
      <c r="V231" s="421"/>
      <c r="W231" s="421"/>
    </row>
    <row r="232" s="408" customFormat="1" spans="1:23">
      <c r="A232" s="428"/>
      <c r="B232" s="498" t="s">
        <v>616</v>
      </c>
      <c r="C232" s="429" t="e">
        <f>VLOOKUP(B232,正厂竞争者数据汇总!D:H,2,FALSE)</f>
        <v>#N/A</v>
      </c>
      <c r="D232" s="421" t="e">
        <f>VLOOKUP(B232,正厂竞争者数据汇总!D:H,3,FALSE)</f>
        <v>#N/A</v>
      </c>
      <c r="E232" s="430" t="e">
        <f>VLOOKUP(B232,正厂竞争者数据汇总!D:H,4,FALSE)</f>
        <v>#N/A</v>
      </c>
      <c r="F232" s="430">
        <v>46040.75</v>
      </c>
      <c r="G232" s="430">
        <v>49980.9166666666</v>
      </c>
      <c r="H232" s="430">
        <v>52872.0833333333</v>
      </c>
      <c r="I232" s="453"/>
      <c r="J232" s="451"/>
      <c r="K232" s="451"/>
      <c r="L232" s="451"/>
      <c r="M232" s="451"/>
      <c r="N232" s="459"/>
      <c r="O232" s="430"/>
      <c r="P232" s="471" t="e">
        <f>VLOOKUP(B232,正厂竞争者数据汇总!D:M,6,FALSE)</f>
        <v>#N/A</v>
      </c>
      <c r="Q232" s="429" t="s">
        <v>180</v>
      </c>
      <c r="R232" s="421" t="s">
        <v>180</v>
      </c>
      <c r="S232" s="473" t="e">
        <f>VLOOKUP(B232,正厂竞争者数据汇总!$D$2:$CL$243,25,FALSE)</f>
        <v>#N/A</v>
      </c>
      <c r="T232" s="466"/>
      <c r="U232" s="466"/>
      <c r="V232" s="421"/>
      <c r="W232" s="421"/>
    </row>
    <row r="233" s="408" customFormat="1" spans="1:23">
      <c r="A233" s="428" t="s">
        <v>446</v>
      </c>
      <c r="B233" s="499" t="s">
        <v>617</v>
      </c>
      <c r="C233" s="429" t="e">
        <f>VLOOKUP(B233,正厂竞争者数据汇总!D:H,2,FALSE)</f>
        <v>#N/A</v>
      </c>
      <c r="D233" s="421" t="e">
        <f>VLOOKUP(B233,正厂竞争者数据汇总!D:H,3,FALSE)</f>
        <v>#N/A</v>
      </c>
      <c r="E233" s="430" t="e">
        <f>VLOOKUP(B233,正厂竞争者数据汇总!D:H,4,FALSE)</f>
        <v>#N/A</v>
      </c>
      <c r="F233" s="430">
        <v>106936.916666667</v>
      </c>
      <c r="G233" s="430">
        <v>122970.25</v>
      </c>
      <c r="H233" s="430">
        <v>122052.75</v>
      </c>
      <c r="I233" s="453">
        <f>(F233/G233)-1</f>
        <v>-0.13038383945168</v>
      </c>
      <c r="J233" s="451">
        <f>F233/F$235</f>
        <v>0.256118843783519</v>
      </c>
      <c r="K233" s="451">
        <v>0.253728658896725</v>
      </c>
      <c r="L233" s="451">
        <v>0.231208862333111</v>
      </c>
      <c r="M233" s="451">
        <f>J233-K233</f>
        <v>0.00239018488679393</v>
      </c>
      <c r="N233" s="459"/>
      <c r="O233" s="430"/>
      <c r="P233" s="471" t="e">
        <f>VLOOKUP(B233,正厂竞争者数据汇总!D:M,6,FALSE)</f>
        <v>#N/A</v>
      </c>
      <c r="Q233" s="429" t="s">
        <v>180</v>
      </c>
      <c r="R233" s="421" t="s">
        <v>180</v>
      </c>
      <c r="S233" s="473" t="e">
        <f>VLOOKUP(B233,正厂竞争者数据汇总!$D$2:$CL$243,25,FALSE)</f>
        <v>#N/A</v>
      </c>
      <c r="T233" s="466"/>
      <c r="U233" s="466"/>
      <c r="V233" s="421"/>
      <c r="W233" s="421"/>
    </row>
    <row r="234" s="410" customFormat="1" spans="1:23">
      <c r="A234" s="432"/>
      <c r="B234" s="433"/>
      <c r="C234" s="434"/>
      <c r="D234" s="421"/>
      <c r="E234" s="436"/>
      <c r="F234" s="436"/>
      <c r="G234" s="436"/>
      <c r="H234" s="436"/>
      <c r="I234" s="453"/>
      <c r="J234" s="457"/>
      <c r="K234" s="457"/>
      <c r="L234" s="457"/>
      <c r="M234" s="451"/>
      <c r="N234" s="455"/>
      <c r="O234" s="436"/>
      <c r="P234" s="471"/>
      <c r="Q234" s="500"/>
      <c r="R234" s="501"/>
      <c r="S234" s="473"/>
      <c r="T234" s="466"/>
      <c r="U234" s="466"/>
      <c r="V234" s="435"/>
      <c r="W234" s="435"/>
    </row>
    <row r="235" s="408" customFormat="1" spans="1:23">
      <c r="A235" s="428"/>
      <c r="B235" s="421"/>
      <c r="C235" s="439"/>
      <c r="D235" s="421"/>
      <c r="E235" s="430"/>
      <c r="F235" s="430">
        <v>417528.5</v>
      </c>
      <c r="G235" s="430">
        <v>484652.583333333</v>
      </c>
      <c r="H235" s="430">
        <v>527889.583333334</v>
      </c>
      <c r="I235" s="453">
        <f>(F235/G235)-1</f>
        <v>-0.138499382117533</v>
      </c>
      <c r="J235" s="430"/>
      <c r="K235" s="430"/>
      <c r="L235" s="430"/>
      <c r="M235" s="451"/>
      <c r="N235" s="459"/>
      <c r="O235" s="430"/>
      <c r="P235" s="471"/>
      <c r="Q235" s="429"/>
      <c r="R235" s="421"/>
      <c r="S235" s="473"/>
      <c r="T235" s="466"/>
      <c r="U235" s="466"/>
      <c r="V235" s="421"/>
      <c r="W235" s="421"/>
    </row>
    <row r="236" s="408" customFormat="1" spans="1:23">
      <c r="A236" s="423"/>
      <c r="B236" s="421"/>
      <c r="C236" s="425"/>
      <c r="D236" s="421"/>
      <c r="E236" s="430"/>
      <c r="F236" s="430"/>
      <c r="G236" s="430"/>
      <c r="H236" s="430"/>
      <c r="I236" s="453"/>
      <c r="J236" s="430"/>
      <c r="K236" s="430"/>
      <c r="L236" s="430"/>
      <c r="M236" s="451"/>
      <c r="N236" s="459"/>
      <c r="O236" s="430"/>
      <c r="P236" s="471"/>
      <c r="Q236" s="429"/>
      <c r="R236" s="421"/>
      <c r="S236" s="473"/>
      <c r="T236" s="466"/>
      <c r="U236" s="466"/>
      <c r="V236" s="421"/>
      <c r="W236" s="421"/>
    </row>
    <row r="237" s="408" customFormat="1" ht="17.4" spans="1:23">
      <c r="A237" s="418" t="s">
        <v>195</v>
      </c>
      <c r="B237" s="419"/>
      <c r="C237" s="420"/>
      <c r="D237" s="421"/>
      <c r="E237" s="422" t="s">
        <v>202</v>
      </c>
      <c r="F237" s="422"/>
      <c r="G237" s="422"/>
      <c r="H237" s="422"/>
      <c r="I237" s="422"/>
      <c r="J237" s="422"/>
      <c r="K237" s="422"/>
      <c r="L237" s="422"/>
      <c r="M237" s="443"/>
      <c r="N237" s="444"/>
      <c r="O237" s="422"/>
      <c r="P237" s="471"/>
      <c r="Q237" s="465"/>
      <c r="R237" s="424"/>
      <c r="S237" s="473"/>
      <c r="T237" s="467"/>
      <c r="U237" s="467"/>
      <c r="V237" s="467"/>
      <c r="W237" s="467"/>
    </row>
    <row r="238" s="409" customFormat="1" ht="46.8" spans="1:23">
      <c r="A238" s="423" t="s">
        <v>206</v>
      </c>
      <c r="B238" s="424" t="s">
        <v>207</v>
      </c>
      <c r="C238" s="425" t="s">
        <v>208</v>
      </c>
      <c r="D238" s="424" t="s">
        <v>209</v>
      </c>
      <c r="E238" s="426" t="s">
        <v>210</v>
      </c>
      <c r="F238" s="427" t="s">
        <v>213</v>
      </c>
      <c r="G238" s="427" t="s">
        <v>396</v>
      </c>
      <c r="H238" s="427" t="s">
        <v>496</v>
      </c>
      <c r="I238" s="427" t="s">
        <v>497</v>
      </c>
      <c r="J238" s="446" t="s">
        <v>217</v>
      </c>
      <c r="K238" s="446" t="s">
        <v>387</v>
      </c>
      <c r="L238" s="446" t="s">
        <v>390</v>
      </c>
      <c r="M238" s="447" t="s">
        <v>498</v>
      </c>
      <c r="N238" s="448" t="s">
        <v>219</v>
      </c>
      <c r="O238" s="449" t="s">
        <v>220</v>
      </c>
      <c r="P238" s="468" t="s">
        <v>221</v>
      </c>
      <c r="Q238" s="469" t="s">
        <v>222</v>
      </c>
      <c r="R238" s="426" t="s">
        <v>223</v>
      </c>
      <c r="S238" s="470" t="s">
        <v>224</v>
      </c>
      <c r="T238" s="467" t="s">
        <v>225</v>
      </c>
      <c r="U238" s="470" t="s">
        <v>226</v>
      </c>
      <c r="V238" s="467"/>
      <c r="W238" s="467"/>
    </row>
    <row r="239" s="408" customFormat="1" spans="1:23">
      <c r="A239" s="428" t="s">
        <v>230</v>
      </c>
      <c r="B239" s="421" t="s">
        <v>618</v>
      </c>
      <c r="C239" s="429" t="e">
        <f>VLOOKUP(B239,正厂竞争者数据汇总!D:H,2,FALSE)</f>
        <v>#N/A</v>
      </c>
      <c r="D239" s="421" t="e">
        <f>VLOOKUP(B239,正厂竞争者数据汇总!D:H,3,FALSE)</f>
        <v>#N/A</v>
      </c>
      <c r="E239" s="430" t="str">
        <f>VLOOKUP(B238,正厂竞争者数据汇总!D:H,4,FALSE)</f>
        <v>Alexa Traffic Rank</v>
      </c>
      <c r="F239" s="430">
        <v>83178</v>
      </c>
      <c r="G239" s="430">
        <v>88546.8333333332</v>
      </c>
      <c r="H239" s="430">
        <v>99001.3333333332</v>
      </c>
      <c r="I239" s="453">
        <f>(F239/G239)-1</f>
        <v>-0.0606326971979032</v>
      </c>
      <c r="J239" s="451">
        <f>F239/F$242</f>
        <v>1</v>
      </c>
      <c r="K239" s="451">
        <v>1</v>
      </c>
      <c r="L239" s="451">
        <v>0.998571087553668</v>
      </c>
      <c r="M239" s="451">
        <f>J239-K239</f>
        <v>0</v>
      </c>
      <c r="N239" s="459"/>
      <c r="O239" s="430"/>
      <c r="P239" s="471" t="e">
        <f>VLOOKUP(B239,正厂竞争者数据汇总!D:M,6,FALSE)</f>
        <v>#N/A</v>
      </c>
      <c r="Q239" s="429" t="s">
        <v>180</v>
      </c>
      <c r="R239" s="421" t="s">
        <v>180</v>
      </c>
      <c r="S239" s="473" t="e">
        <f>VLOOKUP(B239,正厂竞争者数据汇总!$D$2:$CL$243,25,FALSE)</f>
        <v>#N/A</v>
      </c>
      <c r="T239" s="466"/>
      <c r="U239" s="466"/>
      <c r="V239" s="421"/>
      <c r="W239" s="421"/>
    </row>
    <row r="240" s="408" customFormat="1" spans="1:23">
      <c r="A240" s="428" t="s">
        <v>446</v>
      </c>
      <c r="B240" s="421" t="s">
        <v>619</v>
      </c>
      <c r="C240" s="429" t="e">
        <f>VLOOKUP(B240,正厂竞争者数据汇总!D:H,2,FALSE)</f>
        <v>#N/A</v>
      </c>
      <c r="D240" s="421" t="e">
        <f>VLOOKUP(B240,正厂竞争者数据汇总!D:H,3,FALSE)</f>
        <v>#N/A</v>
      </c>
      <c r="E240" s="430" t="e">
        <f>VLOOKUP(B240,正厂竞争者数据汇总!D:H,4,FALSE)</f>
        <v>#N/A</v>
      </c>
      <c r="F240" s="430">
        <v>0</v>
      </c>
      <c r="G240" s="430">
        <v>0</v>
      </c>
      <c r="H240" s="430">
        <v>141.666666666667</v>
      </c>
      <c r="I240" s="453"/>
      <c r="J240" s="451"/>
      <c r="K240" s="451"/>
      <c r="L240" s="451"/>
      <c r="M240" s="451"/>
      <c r="N240" s="459"/>
      <c r="O240" s="430"/>
      <c r="P240" s="471" t="e">
        <f>VLOOKUP(B240,正厂竞争者数据汇总!D:M,6,FALSE)</f>
        <v>#N/A</v>
      </c>
      <c r="Q240" s="429" t="s">
        <v>180</v>
      </c>
      <c r="R240" s="421" t="s">
        <v>180</v>
      </c>
      <c r="S240" s="473" t="e">
        <f>VLOOKUP(B240,正厂竞争者数据汇总!$D$2:$CL$243,25,FALSE)</f>
        <v>#N/A</v>
      </c>
      <c r="T240" s="466"/>
      <c r="U240" s="466"/>
      <c r="V240" s="421"/>
      <c r="W240" s="421"/>
    </row>
    <row r="241" s="408" customFormat="1" spans="1:23">
      <c r="A241" s="428" t="s">
        <v>446</v>
      </c>
      <c r="B241" s="421" t="s">
        <v>620</v>
      </c>
      <c r="C241" s="429" t="e">
        <f>VLOOKUP(B241,正厂竞争者数据汇总!D:H,2,FALSE)</f>
        <v>#N/A</v>
      </c>
      <c r="D241" s="421" t="e">
        <f>VLOOKUP(B241,正厂竞争者数据汇总!D:H,3,FALSE)</f>
        <v>#N/A</v>
      </c>
      <c r="E241" s="430" t="e">
        <f>VLOOKUP(B241,正厂竞争者数据汇总!D:H,4,FALSE)</f>
        <v>#N/A</v>
      </c>
      <c r="F241" s="430">
        <v>0</v>
      </c>
      <c r="G241" s="430">
        <v>0</v>
      </c>
      <c r="H241" s="430">
        <v>0</v>
      </c>
      <c r="I241" s="453"/>
      <c r="J241" s="451"/>
      <c r="K241" s="451"/>
      <c r="L241" s="451"/>
      <c r="M241" s="451"/>
      <c r="N241" s="459"/>
      <c r="O241" s="430"/>
      <c r="P241" s="471" t="e">
        <f>VLOOKUP(B241,正厂竞争者数据汇总!D:M,6,FALSE)</f>
        <v>#N/A</v>
      </c>
      <c r="Q241" s="429" t="s">
        <v>180</v>
      </c>
      <c r="R241" s="421" t="s">
        <v>180</v>
      </c>
      <c r="S241" s="473" t="e">
        <f>VLOOKUP(B241,正厂竞争者数据汇总!$D$2:$CL$243,25,FALSE)</f>
        <v>#N/A</v>
      </c>
      <c r="T241" s="466"/>
      <c r="U241" s="466"/>
      <c r="V241" s="421"/>
      <c r="W241" s="421"/>
    </row>
    <row r="242" s="408" customFormat="1" spans="1:23">
      <c r="A242" s="428"/>
      <c r="B242" s="421"/>
      <c r="C242" s="439"/>
      <c r="D242" s="421"/>
      <c r="E242" s="430"/>
      <c r="F242" s="430">
        <v>83178</v>
      </c>
      <c r="G242" s="430">
        <v>88546.8333333332</v>
      </c>
      <c r="H242" s="430">
        <v>99142.9999999999</v>
      </c>
      <c r="I242" s="453">
        <f t="shared" ref="I242:I249" si="62">(F242/G242)-1</f>
        <v>-0.0606326971979032</v>
      </c>
      <c r="J242" s="430"/>
      <c r="K242" s="430"/>
      <c r="L242" s="430"/>
      <c r="M242" s="451"/>
      <c r="N242" s="459"/>
      <c r="O242" s="430"/>
      <c r="P242" s="471"/>
      <c r="Q242" s="429"/>
      <c r="R242" s="421"/>
      <c r="S242" s="473"/>
      <c r="T242" s="466"/>
      <c r="U242" s="466"/>
      <c r="V242" s="421"/>
      <c r="W242" s="421"/>
    </row>
    <row r="243" s="408" customFormat="1" spans="1:23">
      <c r="A243" s="423"/>
      <c r="B243" s="421"/>
      <c r="C243" s="425"/>
      <c r="D243" s="421"/>
      <c r="E243" s="430"/>
      <c r="F243" s="430"/>
      <c r="G243" s="430"/>
      <c r="H243" s="430"/>
      <c r="I243" s="453"/>
      <c r="J243" s="430"/>
      <c r="K243" s="430"/>
      <c r="L243" s="430"/>
      <c r="M243" s="451"/>
      <c r="N243" s="459"/>
      <c r="O243" s="430"/>
      <c r="P243" s="471"/>
      <c r="Q243" s="429"/>
      <c r="R243" s="421"/>
      <c r="S243" s="473"/>
      <c r="T243" s="466"/>
      <c r="U243" s="466"/>
      <c r="V243" s="421"/>
      <c r="W243" s="421"/>
    </row>
    <row r="244" s="408" customFormat="1" ht="17.4" spans="1:23">
      <c r="A244" s="418" t="s">
        <v>187</v>
      </c>
      <c r="B244" s="419"/>
      <c r="C244" s="420"/>
      <c r="D244" s="421"/>
      <c r="E244" s="422" t="s">
        <v>202</v>
      </c>
      <c r="F244" s="422"/>
      <c r="G244" s="422"/>
      <c r="H244" s="422"/>
      <c r="I244" s="422"/>
      <c r="J244" s="422"/>
      <c r="K244" s="422"/>
      <c r="L244" s="422"/>
      <c r="M244" s="443"/>
      <c r="N244" s="422"/>
      <c r="O244" s="422"/>
      <c r="P244" s="471"/>
      <c r="Q244" s="465"/>
      <c r="R244" s="424"/>
      <c r="S244" s="473"/>
      <c r="T244" s="467"/>
      <c r="U244" s="467"/>
      <c r="V244" s="467"/>
      <c r="W244" s="467"/>
    </row>
    <row r="245" s="409" customFormat="1" ht="46.8" spans="1:23">
      <c r="A245" s="423" t="s">
        <v>206</v>
      </c>
      <c r="B245" s="424" t="s">
        <v>207</v>
      </c>
      <c r="C245" s="425" t="s">
        <v>208</v>
      </c>
      <c r="D245" s="424" t="s">
        <v>209</v>
      </c>
      <c r="E245" s="426" t="s">
        <v>210</v>
      </c>
      <c r="F245" s="427" t="s">
        <v>213</v>
      </c>
      <c r="G245" s="427" t="s">
        <v>396</v>
      </c>
      <c r="H245" s="427" t="s">
        <v>496</v>
      </c>
      <c r="I245" s="427" t="s">
        <v>497</v>
      </c>
      <c r="J245" s="446" t="s">
        <v>217</v>
      </c>
      <c r="K245" s="446" t="s">
        <v>387</v>
      </c>
      <c r="L245" s="446" t="s">
        <v>390</v>
      </c>
      <c r="M245" s="447" t="s">
        <v>498</v>
      </c>
      <c r="N245" s="448" t="s">
        <v>219</v>
      </c>
      <c r="O245" s="449" t="s">
        <v>220</v>
      </c>
      <c r="P245" s="468" t="s">
        <v>221</v>
      </c>
      <c r="Q245" s="469" t="s">
        <v>222</v>
      </c>
      <c r="R245" s="426" t="s">
        <v>223</v>
      </c>
      <c r="S245" s="470" t="s">
        <v>224</v>
      </c>
      <c r="T245" s="467" t="s">
        <v>225</v>
      </c>
      <c r="U245" s="470" t="s">
        <v>226</v>
      </c>
      <c r="V245" s="467"/>
      <c r="W245" s="467"/>
    </row>
    <row r="246" s="408" customFormat="1" spans="1:23">
      <c r="A246" s="428" t="s">
        <v>230</v>
      </c>
      <c r="B246" s="438" t="s">
        <v>621</v>
      </c>
      <c r="C246" s="429" t="e">
        <f>VLOOKUP(B246,正厂竞争者数据汇总!D:H,2,FALSE)</f>
        <v>#N/A</v>
      </c>
      <c r="D246" s="421" t="e">
        <f>VLOOKUP(B246,正厂竞争者数据汇总!D:H,3,FALSE)</f>
        <v>#N/A</v>
      </c>
      <c r="E246" s="430" t="e">
        <f>VLOOKUP(B246,正厂竞争者数据汇总!D:H,4,FALSE)</f>
        <v>#N/A</v>
      </c>
      <c r="F246" s="430">
        <v>66202.5</v>
      </c>
      <c r="G246" s="430">
        <v>65360.75</v>
      </c>
      <c r="H246" s="430">
        <v>63726.8333333334</v>
      </c>
      <c r="I246" s="453">
        <f t="shared" si="62"/>
        <v>0.0128785241907414</v>
      </c>
      <c r="J246" s="451">
        <f t="shared" ref="J246:J249" si="63">F246/F$251</f>
        <v>0.661187495838602</v>
      </c>
      <c r="K246" s="451">
        <v>0.674792614120307</v>
      </c>
      <c r="L246" s="451">
        <v>0.649598249439571</v>
      </c>
      <c r="M246" s="451">
        <f t="shared" ref="M246:M249" si="64">J246-K246</f>
        <v>-0.0136051182817049</v>
      </c>
      <c r="N246" s="459"/>
      <c r="O246" s="430"/>
      <c r="P246" s="471" t="e">
        <f>VLOOKUP(B246,正厂竞争者数据汇总!D:M,6,FALSE)</f>
        <v>#N/A</v>
      </c>
      <c r="Q246" s="429" t="s">
        <v>180</v>
      </c>
      <c r="R246" s="421" t="s">
        <v>180</v>
      </c>
      <c r="S246" s="473" t="e">
        <f>VLOOKUP(B246,正厂竞争者数据汇总!$D$2:$CL$243,25,FALSE)</f>
        <v>#N/A</v>
      </c>
      <c r="T246" s="466"/>
      <c r="U246" s="466"/>
      <c r="V246" s="421"/>
      <c r="W246" s="421"/>
    </row>
    <row r="247" s="408" customFormat="1" spans="1:23">
      <c r="A247" s="428" t="s">
        <v>230</v>
      </c>
      <c r="B247" s="438" t="s">
        <v>622</v>
      </c>
      <c r="C247" s="429" t="e">
        <f>VLOOKUP(B247,正厂竞争者数据汇总!D:H,2,FALSE)</f>
        <v>#N/A</v>
      </c>
      <c r="D247" s="421" t="e">
        <f>VLOOKUP(B247,正厂竞争者数据汇总!D:H,3,FALSE)</f>
        <v>#N/A</v>
      </c>
      <c r="E247" s="430" t="e">
        <f>VLOOKUP(B247,正厂竞争者数据汇总!D:H,4,FALSE)</f>
        <v>#N/A</v>
      </c>
      <c r="F247" s="430">
        <v>1355.75</v>
      </c>
      <c r="G247" s="430">
        <v>2194.5</v>
      </c>
      <c r="H247" s="430">
        <v>2898.75</v>
      </c>
      <c r="I247" s="453">
        <f t="shared" si="62"/>
        <v>-0.382205513784461</v>
      </c>
      <c r="J247" s="451">
        <f t="shared" si="63"/>
        <v>0.0135403488914042</v>
      </c>
      <c r="K247" s="451">
        <v>0.0226562943614786</v>
      </c>
      <c r="L247" s="451">
        <v>0.0295483523512537</v>
      </c>
      <c r="M247" s="451">
        <f t="shared" si="64"/>
        <v>-0.00911594547007443</v>
      </c>
      <c r="N247" s="459"/>
      <c r="O247" s="430"/>
      <c r="P247" s="471" t="e">
        <f>VLOOKUP(B247,正厂竞争者数据汇总!D:M,6,FALSE)</f>
        <v>#N/A</v>
      </c>
      <c r="Q247" s="429" t="s">
        <v>180</v>
      </c>
      <c r="R247" s="421" t="s">
        <v>180</v>
      </c>
      <c r="S247" s="473" t="e">
        <f>VLOOKUP(B247,正厂竞争者数据汇总!$D$2:$CL$243,25,FALSE)</f>
        <v>#N/A</v>
      </c>
      <c r="T247" s="466"/>
      <c r="U247" s="466"/>
      <c r="V247" s="421"/>
      <c r="W247" s="421"/>
    </row>
    <row r="248" s="408" customFormat="1" spans="1:23">
      <c r="A248" s="428" t="s">
        <v>230</v>
      </c>
      <c r="B248" s="482" t="s">
        <v>623</v>
      </c>
      <c r="C248" s="429" t="e">
        <f>VLOOKUP(B248,正厂竞争者数据汇总!D:H,2,FALSE)</f>
        <v>#N/A</v>
      </c>
      <c r="D248" s="421" t="e">
        <f>VLOOKUP(B248,正厂竞争者数据汇总!D:H,3,FALSE)</f>
        <v>#N/A</v>
      </c>
      <c r="E248" s="430" t="e">
        <f>VLOOKUP(B248,正厂竞争者数据汇总!D:H,4,FALSE)</f>
        <v>#N/A</v>
      </c>
      <c r="F248" s="430">
        <v>31231.8333333333</v>
      </c>
      <c r="G248" s="430">
        <v>26757.6666666667</v>
      </c>
      <c r="H248" s="430">
        <v>28740.4166666667</v>
      </c>
      <c r="I248" s="453">
        <f t="shared" si="62"/>
        <v>0.167210643678445</v>
      </c>
      <c r="J248" s="451">
        <f t="shared" si="63"/>
        <v>0.311923230574604</v>
      </c>
      <c r="K248" s="451">
        <v>0.276249520358316</v>
      </c>
      <c r="L248" s="451">
        <v>0.292964884308241</v>
      </c>
      <c r="M248" s="451">
        <f t="shared" si="64"/>
        <v>0.0356737102162881</v>
      </c>
      <c r="N248" s="459"/>
      <c r="O248" s="430"/>
      <c r="P248" s="471" t="e">
        <f>VLOOKUP(B248,正厂竞争者数据汇总!D:M,6,FALSE)</f>
        <v>#N/A</v>
      </c>
      <c r="Q248" s="429" t="s">
        <v>180</v>
      </c>
      <c r="R248" s="421" t="s">
        <v>180</v>
      </c>
      <c r="S248" s="473" t="e">
        <f>VLOOKUP(B248,正厂竞争者数据汇总!$D$2:$CL$243,25,FALSE)</f>
        <v>#N/A</v>
      </c>
      <c r="T248" s="466"/>
      <c r="U248" s="466"/>
      <c r="V248" s="421"/>
      <c r="W248" s="421"/>
    </row>
    <row r="249" s="408" customFormat="1" spans="1:23">
      <c r="A249" s="428" t="s">
        <v>230</v>
      </c>
      <c r="B249" s="438" t="s">
        <v>624</v>
      </c>
      <c r="C249" s="429" t="e">
        <f>VLOOKUP(B249,正厂竞争者数据汇总!D:H,2,FALSE)</f>
        <v>#N/A</v>
      </c>
      <c r="D249" s="421" t="e">
        <f>VLOOKUP(B249,正厂竞争者数据汇总!D:H,3,FALSE)</f>
        <v>#N/A</v>
      </c>
      <c r="E249" s="430" t="e">
        <f>VLOOKUP(B248,正厂竞争者数据汇总!D:H,4,FALSE)</f>
        <v>#N/A</v>
      </c>
      <c r="F249" s="430">
        <v>1336.58333333333</v>
      </c>
      <c r="G249" s="430">
        <v>2547.58333333333</v>
      </c>
      <c r="H249" s="430">
        <v>2735.91666666667</v>
      </c>
      <c r="I249" s="453">
        <f t="shared" si="62"/>
        <v>-0.475352458212032</v>
      </c>
      <c r="J249" s="451">
        <f t="shared" si="63"/>
        <v>0.0133489246953858</v>
      </c>
      <c r="K249" s="451">
        <v>0.0263015711598983</v>
      </c>
      <c r="L249" s="451">
        <v>0.0278885139009347</v>
      </c>
      <c r="M249" s="451">
        <f t="shared" si="64"/>
        <v>-0.0129526464645125</v>
      </c>
      <c r="N249" s="459"/>
      <c r="O249" s="430"/>
      <c r="P249" s="471"/>
      <c r="Q249" s="429" t="s">
        <v>180</v>
      </c>
      <c r="R249" s="421" t="s">
        <v>180</v>
      </c>
      <c r="S249" s="473" t="e">
        <f>VLOOKUP(B249,正厂竞争者数据汇总!$D$2:$CL$243,25,FALSE)</f>
        <v>#N/A</v>
      </c>
      <c r="T249" s="466"/>
      <c r="U249" s="466"/>
      <c r="V249" s="421"/>
      <c r="W249" s="421"/>
    </row>
    <row r="250" s="408" customFormat="1" spans="1:23">
      <c r="A250" s="428"/>
      <c r="B250" s="421"/>
      <c r="C250" s="429"/>
      <c r="D250" s="421"/>
      <c r="E250" s="430"/>
      <c r="F250" s="430"/>
      <c r="G250" s="430"/>
      <c r="H250" s="430"/>
      <c r="I250" s="453"/>
      <c r="J250" s="451"/>
      <c r="K250" s="451"/>
      <c r="L250" s="451"/>
      <c r="M250" s="451"/>
      <c r="N250" s="459"/>
      <c r="O250" s="430"/>
      <c r="P250" s="471"/>
      <c r="Q250" s="429"/>
      <c r="R250" s="421"/>
      <c r="S250" s="473"/>
      <c r="T250" s="466"/>
      <c r="U250" s="466"/>
      <c r="V250" s="421"/>
      <c r="W250" s="421"/>
    </row>
    <row r="251" s="408" customFormat="1" spans="1:23">
      <c r="A251" s="428"/>
      <c r="B251" s="421"/>
      <c r="C251" s="439"/>
      <c r="D251" s="421"/>
      <c r="E251" s="430"/>
      <c r="F251" s="430">
        <v>100126.666666667</v>
      </c>
      <c r="G251" s="430">
        <v>96860.5</v>
      </c>
      <c r="H251" s="430">
        <v>98101.9166666668</v>
      </c>
      <c r="I251" s="453">
        <f>(F251/G251)-1</f>
        <v>0.0337203159870847</v>
      </c>
      <c r="J251" s="430"/>
      <c r="K251" s="430"/>
      <c r="L251" s="430"/>
      <c r="M251" s="451"/>
      <c r="N251" s="459"/>
      <c r="O251" s="430"/>
      <c r="P251" s="471"/>
      <c r="Q251" s="429"/>
      <c r="R251" s="421"/>
      <c r="S251" s="473"/>
      <c r="T251" s="466"/>
      <c r="U251" s="466"/>
      <c r="V251" s="421"/>
      <c r="W251" s="421"/>
    </row>
    <row r="252" s="408" customFormat="1" spans="1:23">
      <c r="A252" s="428"/>
      <c r="B252" s="421"/>
      <c r="C252" s="439"/>
      <c r="D252" s="421"/>
      <c r="E252" s="421"/>
      <c r="F252" s="430"/>
      <c r="G252" s="430"/>
      <c r="H252" s="430"/>
      <c r="I252" s="453"/>
      <c r="J252" s="430"/>
      <c r="K252" s="430"/>
      <c r="L252" s="430"/>
      <c r="M252" s="451"/>
      <c r="N252" s="459"/>
      <c r="O252" s="430"/>
      <c r="P252" s="471"/>
      <c r="Q252" s="429"/>
      <c r="R252" s="421"/>
      <c r="S252" s="473"/>
      <c r="T252" s="466"/>
      <c r="U252" s="466"/>
      <c r="V252" s="421"/>
      <c r="W252" s="421"/>
    </row>
    <row r="253" s="408" customFormat="1" ht="17.4" spans="1:23">
      <c r="A253" s="418" t="s">
        <v>193</v>
      </c>
      <c r="B253" s="419"/>
      <c r="C253" s="420"/>
      <c r="D253" s="421"/>
      <c r="E253" s="422" t="s">
        <v>202</v>
      </c>
      <c r="F253" s="422"/>
      <c r="G253" s="422"/>
      <c r="H253" s="422"/>
      <c r="I253" s="422"/>
      <c r="J253" s="422"/>
      <c r="K253" s="422"/>
      <c r="L253" s="422"/>
      <c r="M253" s="443"/>
      <c r="N253" s="422"/>
      <c r="O253" s="422"/>
      <c r="P253" s="471"/>
      <c r="Q253" s="465"/>
      <c r="R253" s="424"/>
      <c r="S253" s="473"/>
      <c r="T253" s="467"/>
      <c r="U253" s="467"/>
      <c r="V253" s="467"/>
      <c r="W253" s="467"/>
    </row>
    <row r="254" s="409" customFormat="1" ht="46.8" spans="1:23">
      <c r="A254" s="423" t="s">
        <v>206</v>
      </c>
      <c r="B254" s="424" t="s">
        <v>207</v>
      </c>
      <c r="C254" s="425" t="s">
        <v>208</v>
      </c>
      <c r="D254" s="424" t="s">
        <v>209</v>
      </c>
      <c r="E254" s="426" t="s">
        <v>210</v>
      </c>
      <c r="F254" s="427" t="s">
        <v>213</v>
      </c>
      <c r="G254" s="427" t="s">
        <v>396</v>
      </c>
      <c r="H254" s="427" t="s">
        <v>496</v>
      </c>
      <c r="I254" s="427" t="s">
        <v>497</v>
      </c>
      <c r="J254" s="446" t="s">
        <v>217</v>
      </c>
      <c r="K254" s="446" t="s">
        <v>387</v>
      </c>
      <c r="L254" s="446" t="s">
        <v>390</v>
      </c>
      <c r="M254" s="447" t="s">
        <v>498</v>
      </c>
      <c r="N254" s="448" t="s">
        <v>219</v>
      </c>
      <c r="O254" s="449" t="s">
        <v>220</v>
      </c>
      <c r="P254" s="468" t="s">
        <v>221</v>
      </c>
      <c r="Q254" s="469" t="s">
        <v>222</v>
      </c>
      <c r="R254" s="426" t="s">
        <v>223</v>
      </c>
      <c r="S254" s="470" t="s">
        <v>224</v>
      </c>
      <c r="T254" s="467" t="s">
        <v>225</v>
      </c>
      <c r="U254" s="470" t="s">
        <v>226</v>
      </c>
      <c r="V254" s="467"/>
      <c r="W254" s="467"/>
    </row>
    <row r="255" s="408" customFormat="1" ht="17.4" spans="1:23">
      <c r="A255" s="428" t="s">
        <v>475</v>
      </c>
      <c r="B255" s="438" t="s">
        <v>476</v>
      </c>
      <c r="C255" s="429" t="str">
        <f>VLOOKUP(B255,正厂竞争者数据汇总!D:H,2,FALSE)</f>
        <v>Motor目录</v>
      </c>
      <c r="D255" s="421" t="str">
        <f>VLOOKUP(B255,正厂竞争者数据汇总!D:H,3,FALSE)</f>
        <v>-</v>
      </c>
      <c r="E255" s="430">
        <f>VLOOKUP(B255,正厂竞争者数据汇总!D:H,4,FALSE)</f>
        <v>81390</v>
      </c>
      <c r="F255" s="430">
        <v>251855.833333333</v>
      </c>
      <c r="G255" s="430">
        <v>273188.083333333</v>
      </c>
      <c r="H255" s="430">
        <v>234455.083333333</v>
      </c>
      <c r="I255" s="453"/>
      <c r="J255" s="430"/>
      <c r="K255" s="430"/>
      <c r="L255" s="430"/>
      <c r="M255" s="451"/>
      <c r="N255" s="459"/>
      <c r="O255" s="430"/>
      <c r="P255" s="471" t="str">
        <f>VLOOKUP(B255,正厂竞争者数据汇总!D:M,6,FALSE)</f>
        <v>官网</v>
      </c>
      <c r="Q255" s="429" t="s">
        <v>180</v>
      </c>
      <c r="R255" s="421" t="s">
        <v>180</v>
      </c>
      <c r="S255" s="473">
        <f>VLOOKUP(B255,正厂竞争者数据汇总!$D$2:$CL$243,25,FALSE)</f>
        <v>193993</v>
      </c>
      <c r="T255" s="466"/>
      <c r="U255" s="466"/>
      <c r="V255" s="421"/>
      <c r="W255" s="421"/>
    </row>
    <row r="256" s="408" customFormat="1" spans="1:23">
      <c r="A256" s="428" t="s">
        <v>230</v>
      </c>
      <c r="B256" s="421" t="s">
        <v>625</v>
      </c>
      <c r="C256" s="429" t="e">
        <f>VLOOKUP(B256,正厂竞争者数据汇总!D:H,2,FALSE)</f>
        <v>#N/A</v>
      </c>
      <c r="D256" s="421" t="e">
        <f>VLOOKUP(B256,正厂竞争者数据汇总!D:H,3,FALSE)</f>
        <v>#N/A</v>
      </c>
      <c r="E256" s="430" t="e">
        <f>VLOOKUP(B256,正厂竞争者数据汇总!D:H,4,FALSE)</f>
        <v>#N/A</v>
      </c>
      <c r="F256" s="430">
        <v>38319.6666666667</v>
      </c>
      <c r="G256" s="430">
        <v>52163.4166666667</v>
      </c>
      <c r="H256" s="430">
        <v>67230.75</v>
      </c>
      <c r="I256" s="453">
        <f t="shared" ref="I256:I258" si="65">(F256/G256)-1</f>
        <v>-0.265391933363261</v>
      </c>
      <c r="J256" s="451">
        <f t="shared" ref="J256:J258" si="66">F256/F$260</f>
        <v>0.1143088114803</v>
      </c>
      <c r="K256" s="451">
        <v>0.13826834831481</v>
      </c>
      <c r="L256" s="451">
        <v>0.193401745716795</v>
      </c>
      <c r="M256" s="451">
        <f t="shared" ref="M256:M258" si="67">J256-K256</f>
        <v>-0.0239595368345097</v>
      </c>
      <c r="N256" s="459"/>
      <c r="O256" s="430"/>
      <c r="P256" s="471" t="e">
        <f>VLOOKUP(B256,正厂竞争者数据汇总!D:M,6,FALSE)</f>
        <v>#N/A</v>
      </c>
      <c r="Q256" s="429" t="s">
        <v>180</v>
      </c>
      <c r="R256" s="421" t="s">
        <v>180</v>
      </c>
      <c r="S256" s="473" t="e">
        <f>VLOOKUP(B256,正厂竞争者数据汇总!$D$2:$CL$243,25,FALSE)</f>
        <v>#N/A</v>
      </c>
      <c r="T256" s="466"/>
      <c r="U256" s="466"/>
      <c r="V256" s="421"/>
      <c r="W256" s="421"/>
    </row>
    <row r="257" s="408" customFormat="1" spans="1:23">
      <c r="A257" s="428" t="s">
        <v>367</v>
      </c>
      <c r="B257" s="438" t="s">
        <v>626</v>
      </c>
      <c r="C257" s="429" t="e">
        <f>VLOOKUP(B257,正厂竞争者数据汇总!D:H,2,FALSE)</f>
        <v>#N/A</v>
      </c>
      <c r="D257" s="421" t="e">
        <f>VLOOKUP(B257,正厂竞争者数据汇总!D:H,3,FALSE)</f>
        <v>#N/A</v>
      </c>
      <c r="E257" s="430" t="e">
        <f>VLOOKUP(B256,正厂竞争者数据汇总!D:H,4,FALSE)</f>
        <v>#N/A</v>
      </c>
      <c r="F257" s="430">
        <v>39781.5833333333</v>
      </c>
      <c r="G257" s="430">
        <v>46192.6666666667</v>
      </c>
      <c r="H257" s="430">
        <v>40496.4166666667</v>
      </c>
      <c r="I257" s="453">
        <f t="shared" si="65"/>
        <v>-0.138790067687513</v>
      </c>
      <c r="J257" s="451">
        <f t="shared" si="66"/>
        <v>0.118669756425452</v>
      </c>
      <c r="K257" s="451">
        <v>0.122441820961816</v>
      </c>
      <c r="L257" s="451">
        <v>0.11649546790134</v>
      </c>
      <c r="M257" s="451">
        <f t="shared" si="67"/>
        <v>-0.00377206453636396</v>
      </c>
      <c r="N257" s="459"/>
      <c r="O257" s="430"/>
      <c r="P257" s="471" t="e">
        <f>VLOOKUP(B257,正厂竞争者数据汇总!D:M,6,FALSE)</f>
        <v>#N/A</v>
      </c>
      <c r="Q257" s="429" t="s">
        <v>180</v>
      </c>
      <c r="R257" s="421" t="s">
        <v>180</v>
      </c>
      <c r="S257" s="473" t="e">
        <f>VLOOKUP(B257,正厂竞争者数据汇总!$D$2:$CL$243,25,FALSE)</f>
        <v>#N/A</v>
      </c>
      <c r="T257" s="466"/>
      <c r="U257" s="466"/>
      <c r="V257" s="421"/>
      <c r="W257" s="421"/>
    </row>
    <row r="258" s="408" customFormat="1" spans="1:23">
      <c r="A258" s="428" t="s">
        <v>230</v>
      </c>
      <c r="B258" s="421" t="s">
        <v>373</v>
      </c>
      <c r="C258" s="429" t="str">
        <f>VLOOKUP(B258,正厂竞争者数据汇总!D:H,2,FALSE)</f>
        <v>Motor目录</v>
      </c>
      <c r="D258" s="421" t="str">
        <f>VLOOKUP(B258,正厂竞争者数据汇总!D:H,3,FALSE)</f>
        <v>MA</v>
      </c>
      <c r="E258" s="430">
        <f>VLOOKUP(B258,正厂竞争者数据汇总!D:H,4,FALSE)</f>
        <v>3939</v>
      </c>
      <c r="F258" s="430">
        <v>5272.25</v>
      </c>
      <c r="G258" s="430">
        <v>5718</v>
      </c>
      <c r="H258" s="430">
        <v>5440</v>
      </c>
      <c r="I258" s="453">
        <f t="shared" si="65"/>
        <v>-0.0779555788737321</v>
      </c>
      <c r="J258" s="451">
        <f t="shared" si="66"/>
        <v>0.0157272931565257</v>
      </c>
      <c r="K258" s="451">
        <v>0.0151565688405013</v>
      </c>
      <c r="L258" s="451">
        <v>0.0156491709031859</v>
      </c>
      <c r="M258" s="451">
        <f t="shared" si="67"/>
        <v>0.000570724316024396</v>
      </c>
      <c r="N258" s="459"/>
      <c r="O258" s="430"/>
      <c r="P258" s="471">
        <f>VLOOKUP(B258,正厂竞争者数据汇总!D:M,6,FALSE)</f>
        <v>0</v>
      </c>
      <c r="Q258" s="429" t="s">
        <v>180</v>
      </c>
      <c r="R258" s="421" t="s">
        <v>180</v>
      </c>
      <c r="S258" s="473">
        <f>VLOOKUP(B258,正厂竞争者数据汇总!$D$2:$CL$243,25,FALSE)</f>
        <v>5939</v>
      </c>
      <c r="T258" s="466"/>
      <c r="U258" s="466"/>
      <c r="V258" s="421"/>
      <c r="W258" s="421"/>
    </row>
    <row r="259" s="410" customFormat="1" spans="1:23">
      <c r="A259" s="432"/>
      <c r="B259" s="435"/>
      <c r="C259" s="429"/>
      <c r="D259" s="421"/>
      <c r="E259" s="430"/>
      <c r="F259" s="436"/>
      <c r="G259" s="436"/>
      <c r="H259" s="436"/>
      <c r="I259" s="453"/>
      <c r="J259" s="457"/>
      <c r="K259" s="457"/>
      <c r="L259" s="457"/>
      <c r="M259" s="451"/>
      <c r="N259" s="455"/>
      <c r="O259" s="436"/>
      <c r="P259" s="471"/>
      <c r="Q259" s="434"/>
      <c r="R259" s="435"/>
      <c r="S259" s="473"/>
      <c r="T259" s="466"/>
      <c r="U259" s="466"/>
      <c r="V259" s="435"/>
      <c r="W259" s="435"/>
    </row>
    <row r="260" s="408" customFormat="1" spans="1:23">
      <c r="A260" s="428"/>
      <c r="B260" s="421"/>
      <c r="C260" s="439"/>
      <c r="D260" s="421"/>
      <c r="E260" s="421"/>
      <c r="F260" s="496">
        <v>335229.333333333</v>
      </c>
      <c r="G260" s="496">
        <v>377262.166666666</v>
      </c>
      <c r="H260" s="496">
        <v>347622.25</v>
      </c>
      <c r="I260" s="453">
        <f>(F260/G260)-1</f>
        <v>-0.111415448054911</v>
      </c>
      <c r="J260" s="430"/>
      <c r="K260" s="430"/>
      <c r="L260" s="430"/>
      <c r="M260" s="451"/>
      <c r="N260" s="459"/>
      <c r="O260" s="430"/>
      <c r="P260" s="471"/>
      <c r="Q260" s="429"/>
      <c r="R260" s="421"/>
      <c r="S260" s="473"/>
      <c r="T260" s="466"/>
      <c r="U260" s="466"/>
      <c r="V260" s="421"/>
      <c r="W260" s="421"/>
    </row>
    <row r="261" s="408" customFormat="1" spans="3:21">
      <c r="C261" s="411"/>
      <c r="F261" s="502"/>
      <c r="G261" s="502"/>
      <c r="H261" s="502"/>
      <c r="I261" s="502"/>
      <c r="J261" s="412"/>
      <c r="K261" s="412"/>
      <c r="L261" s="412"/>
      <c r="M261" s="413"/>
      <c r="N261" s="414"/>
      <c r="O261" s="412"/>
      <c r="P261" s="415"/>
      <c r="T261" s="416"/>
      <c r="U261" s="416"/>
    </row>
    <row r="262" s="408" customFormat="1" spans="3:21">
      <c r="C262" s="411"/>
      <c r="E262" s="412"/>
      <c r="F262" s="412"/>
      <c r="G262" s="412"/>
      <c r="H262" s="412"/>
      <c r="I262" s="412"/>
      <c r="J262" s="412"/>
      <c r="K262" s="412"/>
      <c r="L262" s="412"/>
      <c r="M262" s="413"/>
      <c r="N262" s="414"/>
      <c r="O262" s="412"/>
      <c r="P262" s="416"/>
      <c r="T262" s="416"/>
      <c r="U262" s="416"/>
    </row>
    <row r="263" s="408" customFormat="1" spans="3:21">
      <c r="C263" s="411"/>
      <c r="F263" s="412"/>
      <c r="G263" s="412"/>
      <c r="H263" s="412"/>
      <c r="I263" s="412"/>
      <c r="J263" s="412"/>
      <c r="K263" s="412"/>
      <c r="L263" s="412"/>
      <c r="M263" s="413"/>
      <c r="N263" s="414"/>
      <c r="O263" s="412"/>
      <c r="P263" s="415"/>
      <c r="T263" s="416"/>
      <c r="U263" s="416"/>
    </row>
    <row r="264" s="408" customFormat="1" spans="3:21">
      <c r="C264" s="411"/>
      <c r="F264" s="412"/>
      <c r="G264" s="412"/>
      <c r="H264" s="412"/>
      <c r="I264" s="412"/>
      <c r="J264" s="412"/>
      <c r="K264" s="412"/>
      <c r="L264" s="412"/>
      <c r="M264" s="413"/>
      <c r="N264" s="414"/>
      <c r="O264" s="412"/>
      <c r="P264" s="415"/>
      <c r="T264" s="416"/>
      <c r="U264" s="416"/>
    </row>
    <row r="265" s="408" customFormat="1" spans="3:21">
      <c r="C265" s="411"/>
      <c r="F265" s="412"/>
      <c r="G265" s="412"/>
      <c r="H265" s="412"/>
      <c r="I265" s="412"/>
      <c r="J265" s="412"/>
      <c r="K265" s="412"/>
      <c r="L265" s="412"/>
      <c r="M265" s="413"/>
      <c r="N265" s="414"/>
      <c r="O265" s="412"/>
      <c r="P265" s="415"/>
      <c r="T265" s="416"/>
      <c r="U265" s="416"/>
    </row>
    <row r="266" s="408" customFormat="1" spans="3:21">
      <c r="C266" s="411"/>
      <c r="F266" s="412"/>
      <c r="G266" s="412"/>
      <c r="H266" s="412"/>
      <c r="I266" s="412"/>
      <c r="J266" s="412"/>
      <c r="K266" s="412"/>
      <c r="L266" s="412"/>
      <c r="M266" s="413"/>
      <c r="N266" s="414"/>
      <c r="O266" s="412"/>
      <c r="P266" s="415"/>
      <c r="T266" s="416"/>
      <c r="U266" s="416"/>
    </row>
    <row r="267" s="408" customFormat="1" spans="3:21">
      <c r="C267" s="411"/>
      <c r="F267" s="412"/>
      <c r="G267" s="412"/>
      <c r="H267" s="412"/>
      <c r="I267" s="412"/>
      <c r="J267" s="412"/>
      <c r="K267" s="412"/>
      <c r="L267" s="412"/>
      <c r="M267" s="413"/>
      <c r="N267" s="414"/>
      <c r="O267" s="412"/>
      <c r="P267" s="415"/>
      <c r="T267" s="416"/>
      <c r="U267" s="416"/>
    </row>
    <row r="268" s="408" customFormat="1" spans="3:21">
      <c r="C268" s="411"/>
      <c r="F268" s="412"/>
      <c r="G268" s="412"/>
      <c r="H268" s="412"/>
      <c r="I268" s="412"/>
      <c r="J268" s="412"/>
      <c r="K268" s="412"/>
      <c r="L268" s="412"/>
      <c r="M268" s="413"/>
      <c r="N268" s="414"/>
      <c r="O268" s="412"/>
      <c r="P268" s="415"/>
      <c r="T268" s="416"/>
      <c r="U268" s="416"/>
    </row>
    <row r="269" s="408" customFormat="1" spans="3:21">
      <c r="C269" s="411"/>
      <c r="F269" s="412"/>
      <c r="G269" s="412"/>
      <c r="H269" s="412"/>
      <c r="I269" s="412"/>
      <c r="J269" s="412"/>
      <c r="K269" s="412"/>
      <c r="L269" s="412"/>
      <c r="M269" s="413"/>
      <c r="N269" s="414"/>
      <c r="O269" s="412"/>
      <c r="P269" s="415"/>
      <c r="T269" s="416"/>
      <c r="U269" s="416"/>
    </row>
    <row r="270" s="408" customFormat="1" spans="3:21">
      <c r="C270" s="411"/>
      <c r="F270" s="412"/>
      <c r="G270" s="412"/>
      <c r="H270" s="412"/>
      <c r="I270" s="412"/>
      <c r="J270" s="412"/>
      <c r="K270" s="412"/>
      <c r="L270" s="412"/>
      <c r="M270" s="413"/>
      <c r="N270" s="414"/>
      <c r="O270" s="412"/>
      <c r="P270" s="415"/>
      <c r="T270" s="416"/>
      <c r="U270" s="416"/>
    </row>
    <row r="271" s="408" customFormat="1" spans="3:21">
      <c r="C271" s="411"/>
      <c r="F271" s="412"/>
      <c r="G271" s="412"/>
      <c r="H271" s="412"/>
      <c r="I271" s="412"/>
      <c r="J271" s="412"/>
      <c r="K271" s="412"/>
      <c r="L271" s="412"/>
      <c r="M271" s="413"/>
      <c r="N271" s="414"/>
      <c r="O271" s="412"/>
      <c r="P271" s="415"/>
      <c r="T271" s="416"/>
      <c r="U271" s="416"/>
    </row>
    <row r="272" s="408" customFormat="1" spans="3:21">
      <c r="C272" s="411"/>
      <c r="F272" s="412"/>
      <c r="G272" s="412"/>
      <c r="H272" s="412"/>
      <c r="I272" s="412"/>
      <c r="J272" s="412"/>
      <c r="K272" s="412"/>
      <c r="L272" s="412"/>
      <c r="M272" s="413"/>
      <c r="N272" s="414"/>
      <c r="O272" s="412"/>
      <c r="P272" s="415"/>
      <c r="T272" s="416"/>
      <c r="U272" s="416"/>
    </row>
    <row r="273" s="411" customFormat="1" spans="1:23">
      <c r="A273" s="408"/>
      <c r="B273" s="503"/>
      <c r="D273" s="408"/>
      <c r="E273" s="408"/>
      <c r="F273" s="412"/>
      <c r="G273" s="412"/>
      <c r="H273" s="412"/>
      <c r="I273" s="412"/>
      <c r="J273" s="412"/>
      <c r="K273" s="412"/>
      <c r="L273" s="412"/>
      <c r="M273" s="413"/>
      <c r="N273" s="414"/>
      <c r="O273" s="412"/>
      <c r="P273" s="415"/>
      <c r="Q273" s="408"/>
      <c r="R273" s="408"/>
      <c r="S273" s="408"/>
      <c r="T273" s="416"/>
      <c r="U273" s="416"/>
      <c r="V273" s="408"/>
      <c r="W273" s="408"/>
    </row>
  </sheetData>
  <mergeCells count="19">
    <mergeCell ref="U1:W1"/>
    <mergeCell ref="U22:W22"/>
    <mergeCell ref="U42:W42"/>
    <mergeCell ref="U59:W59"/>
    <mergeCell ref="U79:W79"/>
    <mergeCell ref="U101:W101"/>
    <mergeCell ref="U114:W114"/>
    <mergeCell ref="U129:W129"/>
    <mergeCell ref="U142:W142"/>
    <mergeCell ref="U158:W158"/>
    <mergeCell ref="U169:W169"/>
    <mergeCell ref="U183:W183"/>
    <mergeCell ref="U195:W195"/>
    <mergeCell ref="U208:W208"/>
    <mergeCell ref="U217:W217"/>
    <mergeCell ref="U227:W227"/>
    <mergeCell ref="U237:W237"/>
    <mergeCell ref="U244:W244"/>
    <mergeCell ref="U253:W253"/>
  </mergeCells>
  <conditionalFormatting sqref="B10">
    <cfRule type="duplicateValues" dxfId="0" priority="7"/>
  </conditionalFormatting>
  <conditionalFormatting sqref="B17">
    <cfRule type="duplicateValues" dxfId="0" priority="6"/>
  </conditionalFormatting>
  <conditionalFormatting sqref="B27">
    <cfRule type="duplicateValues" dxfId="0" priority="32"/>
  </conditionalFormatting>
  <conditionalFormatting sqref="I3:I20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{4e4ed197-cc0a-4442-b7c6-90b8c83432e9}</x14:id>
        </ext>
      </extLst>
    </cfRule>
  </conditionalFormatting>
  <conditionalFormatting sqref="I32:I3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{274a3457-1e3f-44f5-a71a-c1f68fb77405}</x14:id>
        </ext>
      </extLst>
    </cfRule>
  </conditionalFormatting>
  <conditionalFormatting sqref="I44:I57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{682c4b1f-dddc-4502-9b22-8119d43e64ca}</x14:id>
        </ext>
      </extLst>
    </cfRule>
  </conditionalFormatting>
  <conditionalFormatting sqref="I61:I7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{99e2ab76-674c-4f15-bb4c-74ada3d4ad23}</x14:id>
        </ext>
      </extLst>
    </cfRule>
  </conditionalFormatting>
  <conditionalFormatting sqref="I103:I11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{35c89560-26aa-471a-9081-1b7f280d1de5}</x14:id>
        </ext>
      </extLst>
    </cfRule>
  </conditionalFormatting>
  <conditionalFormatting sqref="I116:I127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{e6895348-6063-4f77-a8cd-ad2459673765}</x14:id>
        </ext>
      </extLst>
    </cfRule>
  </conditionalFormatting>
  <conditionalFormatting sqref="I144:I15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{21d06035-a3d2-446c-b1af-c3fd5d0e3c7d}</x14:id>
        </ext>
      </extLst>
    </cfRule>
  </conditionalFormatting>
  <conditionalFormatting sqref="I160:I167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{de819637-4ade-4998-b4e4-2d15fc55e32a}</x14:id>
        </ext>
      </extLst>
    </cfRule>
  </conditionalFormatting>
  <conditionalFormatting sqref="I171:I181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{a54056d1-5aad-4e31-ba39-555839c862b0}</x14:id>
        </ext>
      </extLst>
    </cfRule>
  </conditionalFormatting>
  <conditionalFormatting sqref="I185:I193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{4f2c792d-9a9c-4a0f-a651-7759b6d606e1}</x14:id>
        </ext>
      </extLst>
    </cfRule>
  </conditionalFormatting>
  <conditionalFormatting sqref="M3:M19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{189cdbaa-6540-4f72-9aaf-e84a17891d65}</x14:id>
        </ext>
      </extLst>
    </cfRule>
  </conditionalFormatting>
  <conditionalFormatting sqref="M103:M10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{2a6133a1-930f-465a-805f-f746b0f2348b}</x14:id>
        </ext>
      </extLst>
    </cfRule>
  </conditionalFormatting>
  <conditionalFormatting sqref="M116:M123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{0347240f-bb41-43b2-8ac5-514e162c0aa3}</x14:id>
        </ext>
      </extLst>
    </cfRule>
  </conditionalFormatting>
  <conditionalFormatting sqref="M131:M137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{601acbde-0b24-40d4-9947-7ba9681c2828}</x14:id>
        </ext>
      </extLst>
    </cfRule>
  </conditionalFormatting>
  <conditionalFormatting sqref="M144:M153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{857b4c5c-95f7-44d8-b434-a865cda28d0f}</x14:id>
        </ext>
      </extLst>
    </cfRule>
  </conditionalFormatting>
  <conditionalFormatting sqref="M160:M16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{c3c1d644-8575-400e-8c0b-38c1678e70a2}</x14:id>
        </ext>
      </extLst>
    </cfRule>
  </conditionalFormatting>
  <conditionalFormatting sqref="M171:M178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{90e757c7-cfbe-4d02-b45f-787bba734dce}</x14:id>
        </ext>
      </extLst>
    </cfRule>
  </conditionalFormatting>
  <conditionalFormatting sqref="M185:M190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{b7c6075c-b07e-4839-b909-5dc8e1622bb4}</x14:id>
        </ext>
      </extLst>
    </cfRule>
  </conditionalFormatting>
  <conditionalFormatting sqref="M197:M203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{f6bf83fb-f5c0-4079-9185-412b253bf038}</x14:id>
        </ext>
      </extLst>
    </cfRule>
  </conditionalFormatting>
  <conditionalFormatting sqref="B24 B36:B38 B28:B31 B26">
    <cfRule type="duplicateValues" dxfId="0" priority="33"/>
  </conditionalFormatting>
  <conditionalFormatting sqref="I24:I31 I37:I4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{5fa90e3a-aeec-484d-bdac-d938fe38b7db}</x14:id>
        </ext>
      </extLst>
    </cfRule>
  </conditionalFormatting>
  <conditionalFormatting sqref="M24:M31 M36:M38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{817b5d16-da14-4793-a3d3-0fcb10782a22}</x14:id>
        </ext>
      </extLst>
    </cfRule>
  </conditionalFormatting>
  <conditionalFormatting sqref="M44:M51 M53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{d49aa590-441f-465f-a04e-190399244c84}</x14:id>
        </ext>
      </extLst>
    </cfRule>
  </conditionalFormatting>
  <conditionalFormatting sqref="M54 M5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{6092c4b3-a319-4eeb-9108-9ac18b9a39c6}</x14:id>
        </ext>
      </extLst>
    </cfRule>
  </conditionalFormatting>
  <conditionalFormatting sqref="M61:M72 M75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{91e431a6-d600-4308-bca7-35f1260f1a9d}</x14:id>
        </ext>
      </extLst>
    </cfRule>
  </conditionalFormatting>
  <conditionalFormatting sqref="I81:I94 I96:I9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{13e4572b-6c24-49b4-9208-d97506e47534}</x14:id>
        </ext>
      </extLst>
    </cfRule>
  </conditionalFormatting>
  <conditionalFormatting sqref="M81:M89 M96:M97 M92:M93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{9d9e50ff-4212-4a47-96ac-2ae2de46ab4d}</x14:id>
        </ext>
      </extLst>
    </cfRule>
  </conditionalFormatting>
  <conditionalFormatting sqref="M108 M11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{afc0ff2c-eaef-4814-b9c9-cab22a20d8ff}</x14:id>
        </ext>
      </extLst>
    </cfRule>
  </conditionalFormatting>
  <conditionalFormatting sqref="I131:I137 I139:I140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{b10e8b42-22a5-410e-8c0a-8011070e14e0}</x14:id>
        </ext>
      </extLst>
    </cfRule>
  </conditionalFormatting>
  <conditionalFormatting sqref="I197:I203 I205:I206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{4d995566-4262-412a-94bf-be849cff8a63}</x14:id>
        </ext>
      </extLst>
    </cfRule>
  </conditionalFormatting>
  <hyperlinks>
    <hyperlink ref="B106" r:id="rId1" display="www.nissanparts.cc" tooltip="http://www.nissanparts.cc"/>
    <hyperlink ref="B134" r:id="rId2" display="www.subarupartsforyou.com"/>
    <hyperlink ref="B160" r:id="rId3" display="www.kiapartsnow.com"/>
    <hyperlink ref="B3" r:id="rId4" display="www.gmpartsonline.net" tooltip="http://www.gmpartsonline.net"/>
    <hyperlink ref="B4" r:id="rId5" display="www.gmpartsdirect.com"/>
    <hyperlink ref="B13" r:id="rId6" display="www.tascaparts.com" tooltip="http://www.tascaparts.com"/>
    <hyperlink ref="B62" r:id="rId6" display="www.tascaparts.com" tooltip="http://www.tascaparts.com"/>
    <hyperlink ref="B199" r:id="rId7" display="www.infinitiwholesaledirect.com"/>
    <hyperlink ref="B7" r:id="rId8" display="www.gmpartscenter.net" tooltip="http://www.gmpartscenter.net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4ed197-cc0a-4442-b7c6-90b8c83432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I3:I20</xm:sqref>
        </x14:conditionalFormatting>
        <x14:conditionalFormatting xmlns:xm="http://schemas.microsoft.com/office/excel/2006/main">
          <x14:cfRule type="dataBar" id="{274a3457-1e3f-44f5-a71a-c1f68fb774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I32:I36</xm:sqref>
        </x14:conditionalFormatting>
        <x14:conditionalFormatting xmlns:xm="http://schemas.microsoft.com/office/excel/2006/main">
          <x14:cfRule type="dataBar" id="{682c4b1f-dddc-4502-9b22-8119d43e64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I44:I57</xm:sqref>
        </x14:conditionalFormatting>
        <x14:conditionalFormatting xmlns:xm="http://schemas.microsoft.com/office/excel/2006/main">
          <x14:cfRule type="dataBar" id="{99e2ab76-674c-4f15-bb4c-74ada3d4ad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I61:I77</xm:sqref>
        </x14:conditionalFormatting>
        <x14:conditionalFormatting xmlns:xm="http://schemas.microsoft.com/office/excel/2006/main">
          <x14:cfRule type="dataBar" id="{35c89560-26aa-471a-9081-1b7f280d1d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I103:I112</xm:sqref>
        </x14:conditionalFormatting>
        <x14:conditionalFormatting xmlns:xm="http://schemas.microsoft.com/office/excel/2006/main">
          <x14:cfRule type="dataBar" id="{e6895348-6063-4f77-a8cd-ad24596737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I116:I127</xm:sqref>
        </x14:conditionalFormatting>
        <x14:conditionalFormatting xmlns:xm="http://schemas.microsoft.com/office/excel/2006/main">
          <x14:cfRule type="dataBar" id="{21d06035-a3d2-446c-b1af-c3fd5d0e3c7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I144:I156</xm:sqref>
        </x14:conditionalFormatting>
        <x14:conditionalFormatting xmlns:xm="http://schemas.microsoft.com/office/excel/2006/main">
          <x14:cfRule type="dataBar" id="{de819637-4ade-4998-b4e4-2d15fc55e3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I160:I167</xm:sqref>
        </x14:conditionalFormatting>
        <x14:conditionalFormatting xmlns:xm="http://schemas.microsoft.com/office/excel/2006/main">
          <x14:cfRule type="dataBar" id="{a54056d1-5aad-4e31-ba39-555839c862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I171:I181</xm:sqref>
        </x14:conditionalFormatting>
        <x14:conditionalFormatting xmlns:xm="http://schemas.microsoft.com/office/excel/2006/main">
          <x14:cfRule type="dataBar" id="{4f2c792d-9a9c-4a0f-a651-7759b6d606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I185:I193</xm:sqref>
        </x14:conditionalFormatting>
        <x14:conditionalFormatting xmlns:xm="http://schemas.microsoft.com/office/excel/2006/main">
          <x14:cfRule type="dataBar" id="{189cdbaa-6540-4f72-9aaf-e84a17891d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M3:M19</xm:sqref>
        </x14:conditionalFormatting>
        <x14:conditionalFormatting xmlns:xm="http://schemas.microsoft.com/office/excel/2006/main">
          <x14:cfRule type="dataBar" id="{2a6133a1-930f-465a-805f-f746b0f234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M103:M107</xm:sqref>
        </x14:conditionalFormatting>
        <x14:conditionalFormatting xmlns:xm="http://schemas.microsoft.com/office/excel/2006/main">
          <x14:cfRule type="dataBar" id="{0347240f-bb41-43b2-8ac5-514e162c0a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M116:M123</xm:sqref>
        </x14:conditionalFormatting>
        <x14:conditionalFormatting xmlns:xm="http://schemas.microsoft.com/office/excel/2006/main">
          <x14:cfRule type="dataBar" id="{601acbde-0b24-40d4-9947-7ba9681c28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M131:M137</xm:sqref>
        </x14:conditionalFormatting>
        <x14:conditionalFormatting xmlns:xm="http://schemas.microsoft.com/office/excel/2006/main">
          <x14:cfRule type="dataBar" id="{857b4c5c-95f7-44d8-b434-a865cda28d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M144:M153</xm:sqref>
        </x14:conditionalFormatting>
        <x14:conditionalFormatting xmlns:xm="http://schemas.microsoft.com/office/excel/2006/main">
          <x14:cfRule type="dataBar" id="{c3c1d644-8575-400e-8c0b-38c1678e70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M160:M163</xm:sqref>
        </x14:conditionalFormatting>
        <x14:conditionalFormatting xmlns:xm="http://schemas.microsoft.com/office/excel/2006/main">
          <x14:cfRule type="dataBar" id="{90e757c7-cfbe-4d02-b45f-787bba734dc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M171:M178</xm:sqref>
        </x14:conditionalFormatting>
        <x14:conditionalFormatting xmlns:xm="http://schemas.microsoft.com/office/excel/2006/main">
          <x14:cfRule type="dataBar" id="{b7c6075c-b07e-4839-b909-5dc8e1622bb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M185:M190</xm:sqref>
        </x14:conditionalFormatting>
        <x14:conditionalFormatting xmlns:xm="http://schemas.microsoft.com/office/excel/2006/main">
          <x14:cfRule type="dataBar" id="{f6bf83fb-f5c0-4079-9185-412b253bf0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M197:M203</xm:sqref>
        </x14:conditionalFormatting>
        <x14:conditionalFormatting xmlns:xm="http://schemas.microsoft.com/office/excel/2006/main">
          <x14:cfRule type="dataBar" id="{5fa90e3a-aeec-484d-bdac-d938fe38b7d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I24:I31 I37:I40</xm:sqref>
        </x14:conditionalFormatting>
        <x14:conditionalFormatting xmlns:xm="http://schemas.microsoft.com/office/excel/2006/main">
          <x14:cfRule type="dataBar" id="{817b5d16-da14-4793-a3d3-0fcb10782a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M24:M31 M36:M38</xm:sqref>
        </x14:conditionalFormatting>
        <x14:conditionalFormatting xmlns:xm="http://schemas.microsoft.com/office/excel/2006/main">
          <x14:cfRule type="dataBar" id="{d49aa590-441f-465f-a04e-190399244c8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M44:M51 M53</xm:sqref>
        </x14:conditionalFormatting>
        <x14:conditionalFormatting xmlns:xm="http://schemas.microsoft.com/office/excel/2006/main">
          <x14:cfRule type="dataBar" id="{6092c4b3-a319-4eeb-9108-9ac18b9a39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M54 M52</xm:sqref>
        </x14:conditionalFormatting>
        <x14:conditionalFormatting xmlns:xm="http://schemas.microsoft.com/office/excel/2006/main">
          <x14:cfRule type="dataBar" id="{91e431a6-d600-4308-bca7-35f1260f1a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M61:M72 M75</xm:sqref>
        </x14:conditionalFormatting>
        <x14:conditionalFormatting xmlns:xm="http://schemas.microsoft.com/office/excel/2006/main">
          <x14:cfRule type="dataBar" id="{13e4572b-6c24-49b4-9208-d97506e475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I81:I94 I96:I99</xm:sqref>
        </x14:conditionalFormatting>
        <x14:conditionalFormatting xmlns:xm="http://schemas.microsoft.com/office/excel/2006/main">
          <x14:cfRule type="dataBar" id="{9d9e50ff-4212-4a47-96ac-2ae2de46ab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M81:M89 M96:M97 M92:M93</xm:sqref>
        </x14:conditionalFormatting>
        <x14:conditionalFormatting xmlns:xm="http://schemas.microsoft.com/office/excel/2006/main">
          <x14:cfRule type="dataBar" id="{afc0ff2c-eaef-4814-b9c9-cab22a20d8f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M108 M110</xm:sqref>
        </x14:conditionalFormatting>
        <x14:conditionalFormatting xmlns:xm="http://schemas.microsoft.com/office/excel/2006/main">
          <x14:cfRule type="dataBar" id="{b10e8b42-22a5-410e-8c0a-8011070e14e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I131:I137 I139:I140</xm:sqref>
        </x14:conditionalFormatting>
        <x14:conditionalFormatting xmlns:xm="http://schemas.microsoft.com/office/excel/2006/main">
          <x14:cfRule type="dataBar" id="{4d995566-4262-412a-94bf-be849cff8a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I197:I203 I205:I206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74"/>
  <sheetViews>
    <sheetView workbookViewId="0">
      <selection activeCell="A1" sqref="A1"/>
    </sheetView>
  </sheetViews>
  <sheetFormatPr defaultColWidth="8.88888888888889" defaultRowHeight="15.6"/>
  <cols>
    <col min="1" max="1" width="13.4444444444444" style="408" customWidth="1"/>
    <col min="2" max="2" width="31.6666666666667" style="408" customWidth="1"/>
    <col min="3" max="3" width="11.3333333333333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4" width="21.3333333333333" style="412" hidden="1" customWidth="1"/>
    <col min="15" max="15" width="19.2222222222222" style="413" hidden="1" customWidth="1"/>
    <col min="16" max="16" width="7.33333333333333" style="414" hidden="1" customWidth="1"/>
    <col min="17" max="17" width="16.3333333333333" style="412" hidden="1" customWidth="1"/>
    <col min="18" max="18" width="96.4444444444444" style="415" customWidth="1"/>
    <col min="19" max="19" width="31.6666666666667" style="408" customWidth="1"/>
    <col min="20" max="20" width="14.8888888888889" style="408" customWidth="1"/>
    <col min="21" max="21" width="10.1111111111111" style="408" customWidth="1"/>
    <col min="22" max="22" width="17.1111111111111" style="416" customWidth="1"/>
    <col min="23" max="23" width="16.8888888888889" style="416" customWidth="1"/>
    <col min="24" max="24" width="10.8888888888889" style="408" hidden="1" customWidth="1"/>
    <col min="25" max="25" width="11.1111111111111" style="408" hidden="1" customWidth="1"/>
  </cols>
  <sheetData>
    <row r="1" ht="17.4" spans="1:25">
      <c r="A1" s="418" t="s">
        <v>145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22"/>
      <c r="N1" s="422"/>
      <c r="O1" s="443"/>
      <c r="P1" s="444"/>
      <c r="Q1" s="422"/>
      <c r="R1" s="464"/>
      <c r="S1" s="465"/>
      <c r="T1" s="424"/>
      <c r="U1" s="421"/>
      <c r="V1" s="466"/>
      <c r="W1" s="467"/>
      <c r="X1" s="467"/>
      <c r="Y1" s="467"/>
    </row>
    <row r="2" ht="46.8" spans="1:25">
      <c r="A2" s="423" t="s">
        <v>206</v>
      </c>
      <c r="B2" s="424" t="s">
        <v>207</v>
      </c>
      <c r="C2" s="425" t="s">
        <v>208</v>
      </c>
      <c r="D2" s="424" t="s">
        <v>209</v>
      </c>
      <c r="E2" s="426" t="s">
        <v>210</v>
      </c>
      <c r="F2" s="427" t="s">
        <v>396</v>
      </c>
      <c r="G2" s="427" t="s">
        <v>496</v>
      </c>
      <c r="H2" s="427" t="s">
        <v>627</v>
      </c>
      <c r="I2" s="445" t="s">
        <v>628</v>
      </c>
      <c r="J2" s="446" t="s">
        <v>387</v>
      </c>
      <c r="K2" s="446" t="s">
        <v>390</v>
      </c>
      <c r="L2" s="446" t="s">
        <v>629</v>
      </c>
      <c r="M2" s="446" t="s">
        <v>630</v>
      </c>
      <c r="N2" s="446" t="s">
        <v>631</v>
      </c>
      <c r="O2" s="447" t="s">
        <v>632</v>
      </c>
      <c r="P2" s="448" t="s">
        <v>219</v>
      </c>
      <c r="Q2" s="449" t="s">
        <v>220</v>
      </c>
      <c r="R2" s="468" t="s">
        <v>221</v>
      </c>
      <c r="S2" s="469" t="s">
        <v>222</v>
      </c>
      <c r="T2" s="426" t="s">
        <v>223</v>
      </c>
      <c r="U2" s="470" t="s">
        <v>224</v>
      </c>
      <c r="V2" s="467" t="s">
        <v>225</v>
      </c>
      <c r="W2" s="470" t="s">
        <v>226</v>
      </c>
      <c r="X2" s="467"/>
      <c r="Y2" s="467"/>
    </row>
    <row r="3" spans="1:25">
      <c r="A3" s="428" t="s">
        <v>230</v>
      </c>
      <c r="B3" s="421" t="s">
        <v>499</v>
      </c>
      <c r="C3" s="429" t="e">
        <f>VLOOKUP(B3,正厂竞争者数据汇总!D:H,2,FALSE)</f>
        <v>#N/A</v>
      </c>
      <c r="D3" s="421" t="e">
        <f>VLOOKUP(B3,正厂竞争者数据汇总!D:H,3,FALSE)</f>
        <v>#N/A</v>
      </c>
      <c r="E3" s="430" t="e">
        <f>VLOOKUP(B3,正厂竞争者数据汇总!D:H,4,FALSE)</f>
        <v>#N/A</v>
      </c>
      <c r="F3" s="430">
        <v>507172.75</v>
      </c>
      <c r="G3" s="430">
        <v>567937.166666667</v>
      </c>
      <c r="H3" s="430">
        <v>570310.833333333</v>
      </c>
      <c r="I3" s="450">
        <f t="shared" ref="I3:I11" si="0">(F3/G3)-1</f>
        <v>-0.106991442421888</v>
      </c>
      <c r="J3" s="451">
        <f t="shared" ref="J3:J11" si="1">F3/F$20</f>
        <v>0.22127584244331</v>
      </c>
      <c r="K3" s="451">
        <v>0.239689519900405</v>
      </c>
      <c r="L3" s="451">
        <v>0.240930249947536</v>
      </c>
      <c r="M3" s="451">
        <v>0.222954247031028</v>
      </c>
      <c r="N3" s="451">
        <v>0.251503331512816</v>
      </c>
      <c r="O3" s="452">
        <f t="shared" ref="O3:O11" si="2">J3-N3</f>
        <v>-0.0302274890695063</v>
      </c>
      <c r="P3" s="451" t="str">
        <f>IFERROR(Q3*0.5/$F$5,"")</f>
        <v/>
      </c>
      <c r="Q3" s="430" t="s">
        <v>180</v>
      </c>
      <c r="R3" s="471"/>
      <c r="S3" s="429" t="s">
        <v>180</v>
      </c>
      <c r="T3" s="421" t="s">
        <v>180</v>
      </c>
      <c r="U3" s="472" t="e">
        <f>VLOOKUP(B3,正厂竞争者数据汇总!$D$2:$CL$243,25,FALSE)</f>
        <v>#N/A</v>
      </c>
      <c r="V3" s="466"/>
      <c r="W3" s="466"/>
      <c r="X3" s="466"/>
      <c r="Y3" s="466"/>
    </row>
    <row r="4" spans="1:25">
      <c r="A4" s="428" t="s">
        <v>230</v>
      </c>
      <c r="B4" s="431" t="s">
        <v>500</v>
      </c>
      <c r="C4" s="429" t="e">
        <f>VLOOKUP(B4,正厂竞争者数据汇总!D:H,2,FALSE)</f>
        <v>#N/A</v>
      </c>
      <c r="D4" s="421" t="e">
        <f>VLOOKUP(B4,正厂竞争者数据汇总!D:H,3,FALSE)</f>
        <v>#N/A</v>
      </c>
      <c r="E4" s="430" t="e">
        <f>VLOOKUP(B3,正厂竞争者数据汇总!D:H,4,FALSE)</f>
        <v>#N/A</v>
      </c>
      <c r="F4" s="430">
        <v>526964.416666667</v>
      </c>
      <c r="G4" s="430">
        <v>527162.166666667</v>
      </c>
      <c r="H4" s="430">
        <v>514017.083333333</v>
      </c>
      <c r="I4" s="453">
        <f t="shared" si="0"/>
        <v>-0.000375121760444963</v>
      </c>
      <c r="J4" s="451">
        <f t="shared" si="1"/>
        <v>0.229910805017746</v>
      </c>
      <c r="K4" s="451">
        <v>0.222481031448592</v>
      </c>
      <c r="L4" s="451">
        <v>0.217148714571972</v>
      </c>
      <c r="M4" s="451">
        <v>0.22141475040911</v>
      </c>
      <c r="N4" s="451">
        <v>0.208649155287305</v>
      </c>
      <c r="O4" s="451">
        <f t="shared" si="2"/>
        <v>0.021261649730441</v>
      </c>
      <c r="P4" s="451">
        <f>IFERROR(Q4*0.5/$F$5,"")</f>
        <v>0.0866329696420814</v>
      </c>
      <c r="Q4" s="430">
        <v>80224.7</v>
      </c>
      <c r="R4" s="471" t="e">
        <f t="array" ref="R4">INDEX(正厂竞争者数据汇总!$I$2:$I$243,MATCH($A$1&amp;$B4,正厂竞争者数据汇总!$A$2:$A$243&amp;正厂竞争者数据汇总!$D$2:$D$243,0))</f>
        <v>#N/A</v>
      </c>
      <c r="S4" s="429" t="s">
        <v>180</v>
      </c>
      <c r="T4" s="421" t="s">
        <v>180</v>
      </c>
      <c r="U4" s="473" t="e">
        <f>VLOOKUP(B4,正厂竞争者数据汇总!$D$2:$CL$243,25,FALSE)</f>
        <v>#N/A</v>
      </c>
      <c r="V4" s="466"/>
      <c r="W4" s="466"/>
      <c r="X4" s="474"/>
      <c r="Y4" s="474"/>
    </row>
    <row r="5" ht="17.4" spans="1:25">
      <c r="A5" s="432" t="s">
        <v>227</v>
      </c>
      <c r="B5" s="433" t="s">
        <v>501</v>
      </c>
      <c r="C5" s="434" t="e">
        <f>VLOOKUP(B5,正厂竞争者数据汇总!D:H,2,FALSE)</f>
        <v>#N/A</v>
      </c>
      <c r="D5" s="435" t="e">
        <f>VLOOKUP(B5,正厂竞争者数据汇总!D:H,3,FALSE)</f>
        <v>#N/A</v>
      </c>
      <c r="E5" s="436" t="e">
        <f>VLOOKUP(B5,正厂竞争者数据汇总!D:H,4,FALSE)</f>
        <v>#N/A</v>
      </c>
      <c r="F5" s="436">
        <v>463014.833333333</v>
      </c>
      <c r="G5" s="436">
        <v>522581.333333333</v>
      </c>
      <c r="H5" s="436">
        <v>533290.75</v>
      </c>
      <c r="I5" s="454">
        <f t="shared" si="0"/>
        <v>-0.113985127673906</v>
      </c>
      <c r="J5" s="455">
        <f t="shared" si="1"/>
        <v>0.202010059313285</v>
      </c>
      <c r="K5" s="455">
        <v>0.220547758180257</v>
      </c>
      <c r="L5" s="455">
        <v>0.225290957461284</v>
      </c>
      <c r="M5" s="455">
        <v>0.201269732314843</v>
      </c>
      <c r="N5" s="455">
        <v>0.172086443148663</v>
      </c>
      <c r="O5" s="456">
        <f t="shared" si="2"/>
        <v>0.0299236161646221</v>
      </c>
      <c r="P5" s="457" t="str">
        <f>IFERROR(Q5*0.5/$F$5,"")</f>
        <v/>
      </c>
      <c r="Q5" s="436" t="s">
        <v>180</v>
      </c>
      <c r="R5" s="475" t="e">
        <f t="array" ref="R5">INDEX(正厂竞争者数据汇总!$I$2:$I$243,MATCH($A$1&amp;$B5,正厂竞争者数据汇总!$A$2:$A$243&amp;正厂竞争者数据汇总!$D$2:$D$243,0))</f>
        <v>#N/A</v>
      </c>
      <c r="S5" s="434" t="s">
        <v>254</v>
      </c>
      <c r="T5" s="435" t="s">
        <v>229</v>
      </c>
      <c r="U5" s="476" t="e">
        <f>VLOOKUP(B5,正厂竞争者数据汇总!$D$2:$CL$243,25,FALSE)</f>
        <v>#N/A</v>
      </c>
      <c r="V5" s="477"/>
      <c r="W5" s="477"/>
      <c r="X5" s="435"/>
      <c r="Y5" s="435"/>
    </row>
    <row r="6" spans="1:25">
      <c r="A6" s="428" t="s">
        <v>230</v>
      </c>
      <c r="B6" s="421" t="s">
        <v>502</v>
      </c>
      <c r="C6" s="429" t="e">
        <f>VLOOKUP(B6,正厂竞争者数据汇总!D:H,2,FALSE)</f>
        <v>#N/A</v>
      </c>
      <c r="D6" s="421" t="e">
        <f>VLOOKUP(B6,正厂竞争者数据汇总!D:H,3,FALSE)</f>
        <v>#N/A</v>
      </c>
      <c r="E6" s="437"/>
      <c r="F6" s="430">
        <v>202177.333333333</v>
      </c>
      <c r="G6" s="430">
        <v>192798.416666667</v>
      </c>
      <c r="H6" s="430">
        <v>192169.166666667</v>
      </c>
      <c r="I6" s="453">
        <f t="shared" si="0"/>
        <v>0.0486462328312653</v>
      </c>
      <c r="J6" s="458">
        <f t="shared" si="1"/>
        <v>0.0882085241296483</v>
      </c>
      <c r="K6" s="458">
        <v>0.0813677333350403</v>
      </c>
      <c r="L6" s="458">
        <v>0.0811826860917246</v>
      </c>
      <c r="M6" s="458">
        <v>0.0955139496843029</v>
      </c>
      <c r="N6" s="458">
        <v>0.100291626901029</v>
      </c>
      <c r="O6" s="451">
        <f t="shared" si="2"/>
        <v>-0.0120831027713807</v>
      </c>
      <c r="P6" s="452"/>
      <c r="Q6" s="437"/>
      <c r="R6" s="471" t="e">
        <f t="array" ref="R6">INDEX(正厂竞争者数据汇总!$I$2:$I$243,MATCH($A$1&amp;$B6,正厂竞争者数据汇总!$A$2:$A$243&amp;正厂竞争者数据汇总!$D$2:$D$243,0))</f>
        <v>#N/A</v>
      </c>
      <c r="S6" s="429"/>
      <c r="T6" s="421"/>
      <c r="U6" s="472"/>
      <c r="V6" s="466"/>
      <c r="W6" s="466"/>
      <c r="X6" s="421"/>
      <c r="Y6" s="421"/>
    </row>
    <row r="7" spans="1:25">
      <c r="A7" s="428" t="s">
        <v>230</v>
      </c>
      <c r="B7" s="431" t="s">
        <v>503</v>
      </c>
      <c r="C7" s="429" t="e">
        <f>VLOOKUP(B7,正厂竞争者数据汇总!D:H,2,FALSE)</f>
        <v>#N/A</v>
      </c>
      <c r="D7" s="421" t="e">
        <f>VLOOKUP(B7,正厂竞争者数据汇总!D:H,3,FALSE)</f>
        <v>#N/A</v>
      </c>
      <c r="E7" s="430" t="e">
        <f>VLOOKUP(B7,正厂竞争者数据汇总!D:H,4,FALSE)</f>
        <v>#N/A</v>
      </c>
      <c r="F7" s="430">
        <v>291106.5</v>
      </c>
      <c r="G7" s="430">
        <v>250827.416666667</v>
      </c>
      <c r="H7" s="430">
        <v>218908.25</v>
      </c>
      <c r="I7" s="453">
        <f t="shared" si="0"/>
        <v>0.16058485100479</v>
      </c>
      <c r="J7" s="459">
        <f t="shared" si="1"/>
        <v>0.127007683335162</v>
      </c>
      <c r="K7" s="459">
        <v>0.105858018469811</v>
      </c>
      <c r="L7" s="459">
        <v>0.0924787261708065</v>
      </c>
      <c r="M7" s="459">
        <v>0.0902221027906971</v>
      </c>
      <c r="N7" s="459">
        <v>0.0994147321766307</v>
      </c>
      <c r="O7" s="451">
        <f t="shared" si="2"/>
        <v>0.0275929511585314</v>
      </c>
      <c r="P7" s="451">
        <f>IFERROR(Q7*0.5/$F$5,"")</f>
        <v>0.0830793037948029</v>
      </c>
      <c r="Q7" s="430">
        <v>76933.9</v>
      </c>
      <c r="R7" s="471" t="e">
        <f t="array" ref="R7">INDEX(正厂竞争者数据汇总!$I$2:$I$243,MATCH($A$1&amp;$B7,正厂竞争者数据汇总!$A$2:$A$243&amp;正厂竞争者数据汇总!$D$2:$D$243,0))</f>
        <v>#N/A</v>
      </c>
      <c r="S7" s="429" t="s">
        <v>180</v>
      </c>
      <c r="T7" s="421" t="s">
        <v>180</v>
      </c>
      <c r="U7" s="473" t="e">
        <f>VLOOKUP(B7,正厂竞争者数据汇总!$D$2:$CL$243,25,FALSE)</f>
        <v>#N/A</v>
      </c>
      <c r="V7" s="466">
        <f>VLOOKUP(B7,'Price &amp; Shipping'!B:DK,2,FALSE)</f>
        <v>0</v>
      </c>
      <c r="W7" s="466"/>
      <c r="X7" s="435"/>
      <c r="Y7" s="435"/>
    </row>
    <row r="8" spans="1:25">
      <c r="A8" s="428" t="s">
        <v>487</v>
      </c>
      <c r="B8" s="431" t="s">
        <v>504</v>
      </c>
      <c r="C8" s="429" t="e">
        <f>VLOOKUP(B8,正厂竞争者数据汇总!D:H,2,FALSE)</f>
        <v>#N/A</v>
      </c>
      <c r="D8" s="421" t="e">
        <f>VLOOKUP(B8,正厂竞争者数据汇总!D:H,3,FALSE)</f>
        <v>#N/A</v>
      </c>
      <c r="E8" s="430" t="e">
        <f>VLOOKUP(B8,正厂竞争者数据汇总!D:H,4,FALSE)</f>
        <v>#N/A</v>
      </c>
      <c r="F8" s="430">
        <v>111005.083333333</v>
      </c>
      <c r="G8" s="430">
        <v>120187.333333333</v>
      </c>
      <c r="H8" s="430">
        <v>127549.666666667</v>
      </c>
      <c r="I8" s="453">
        <f t="shared" si="0"/>
        <v>-0.076399481919892</v>
      </c>
      <c r="J8" s="459">
        <f t="shared" si="1"/>
        <v>0.0484307237131196</v>
      </c>
      <c r="K8" s="459">
        <v>0.0507232946099552</v>
      </c>
      <c r="L8" s="459">
        <v>0.0538839020313046</v>
      </c>
      <c r="M8" s="459">
        <v>0.0627573241309947</v>
      </c>
      <c r="N8" s="459">
        <v>0.0585944128340885</v>
      </c>
      <c r="O8" s="451">
        <f t="shared" si="2"/>
        <v>-0.0101636891209689</v>
      </c>
      <c r="P8" s="451" t="str">
        <f>IFERROR(Q8*0.5/$F$5,"")</f>
        <v/>
      </c>
      <c r="Q8" s="430" t="s">
        <v>180</v>
      </c>
      <c r="R8" s="471" t="e">
        <f t="array" ref="R8">INDEX(正厂竞争者数据汇总!$I$2:$I$243,MATCH($A$1&amp;$B8,正厂竞争者数据汇总!$A$2:$A$243&amp;正厂竞争者数据汇总!$D$2:$D$243,0))</f>
        <v>#N/A</v>
      </c>
      <c r="S8" s="429" t="s">
        <v>180</v>
      </c>
      <c r="T8" s="421"/>
      <c r="U8" s="473" t="e">
        <f>VLOOKUP(B8,正厂竞争者数据汇总!$D$2:$CL$243,25,FALSE)</f>
        <v>#N/A</v>
      </c>
      <c r="V8" s="466"/>
      <c r="W8" s="466"/>
      <c r="X8" s="421"/>
      <c r="Y8" s="421"/>
    </row>
    <row r="9" spans="1:25">
      <c r="A9" s="428" t="s">
        <v>230</v>
      </c>
      <c r="B9" s="431" t="s">
        <v>505</v>
      </c>
      <c r="C9" s="429" t="e">
        <f>VLOOKUP(B9,正厂竞争者数据汇总!D:H,2,FALSE)</f>
        <v>#N/A</v>
      </c>
      <c r="D9" s="421" t="e">
        <f>VLOOKUP(B9,正厂竞争者数据汇总!D:H,3,FALSE)</f>
        <v>#N/A</v>
      </c>
      <c r="E9" s="430" t="e">
        <f>VLOOKUP(B9,正厂竞争者数据汇总!D:H,4,FALSE)</f>
        <v>#N/A</v>
      </c>
      <c r="F9" s="430">
        <v>120208.916666667</v>
      </c>
      <c r="G9" s="430">
        <v>119734.416666667</v>
      </c>
      <c r="H9" s="430">
        <v>125618.5</v>
      </c>
      <c r="I9" s="453">
        <f t="shared" si="0"/>
        <v>0.00396293741774323</v>
      </c>
      <c r="J9" s="451">
        <f t="shared" si="1"/>
        <v>0.0524462903509985</v>
      </c>
      <c r="K9" s="451">
        <v>0.0505321477987239</v>
      </c>
      <c r="L9" s="451">
        <v>0.0530680724161262</v>
      </c>
      <c r="M9" s="451">
        <v>0.0605598792669811</v>
      </c>
      <c r="N9" s="451">
        <v>0.0493465347070877</v>
      </c>
      <c r="O9" s="451">
        <f t="shared" si="2"/>
        <v>0.00309975564391077</v>
      </c>
      <c r="P9" s="451" t="str">
        <f>IFERROR(Q9*0.5/$F$5,"")</f>
        <v/>
      </c>
      <c r="Q9" s="430" t="s">
        <v>180</v>
      </c>
      <c r="R9" s="471" t="e">
        <f t="array" ref="R9">INDEX(正厂竞争者数据汇总!$I$2:$I$243,MATCH($A$1&amp;$B9,正厂竞争者数据汇总!$A$2:$A$243&amp;正厂竞争者数据汇总!$D$2:$D$243,0))</f>
        <v>#N/A</v>
      </c>
      <c r="S9" s="429" t="s">
        <v>180</v>
      </c>
      <c r="T9" s="421" t="s">
        <v>180</v>
      </c>
      <c r="U9" s="473" t="e">
        <f>VLOOKUP(B9,正厂竞争者数据汇总!$D$2:$CL$243,25,FALSE)</f>
        <v>#N/A</v>
      </c>
      <c r="V9" s="466"/>
      <c r="W9" s="466"/>
      <c r="X9" s="421"/>
      <c r="Y9" s="421"/>
    </row>
    <row r="10" spans="1:25">
      <c r="A10" s="428" t="s">
        <v>230</v>
      </c>
      <c r="B10" s="438" t="s">
        <v>506</v>
      </c>
      <c r="C10" s="429" t="e">
        <f>VLOOKUP(B10,正厂竞争者数据汇总!D:H,2,FALSE)</f>
        <v>#N/A</v>
      </c>
      <c r="D10" s="421" t="e">
        <f>VLOOKUP(B10,正厂竞争者数据汇总!D:H,3,FALSE)</f>
        <v>#N/A</v>
      </c>
      <c r="E10" s="430" t="e">
        <f>VLOOKUP(B10,正厂竞争者数据汇总!D:H,4,FALSE)</f>
        <v>#N/A</v>
      </c>
      <c r="F10" s="430">
        <v>68760</v>
      </c>
      <c r="G10" s="430">
        <v>64729.3333333333</v>
      </c>
      <c r="H10" s="430">
        <v>72537</v>
      </c>
      <c r="I10" s="453">
        <f t="shared" si="0"/>
        <v>0.0622695532164712</v>
      </c>
      <c r="J10" s="451">
        <f t="shared" si="1"/>
        <v>0.029999496081763</v>
      </c>
      <c r="K10" s="451">
        <v>0.0273180621743778</v>
      </c>
      <c r="L10" s="451">
        <v>0.0306435657872729</v>
      </c>
      <c r="M10" s="451">
        <v>0.0299242419792951</v>
      </c>
      <c r="N10" s="451">
        <v>0.0316875958458356</v>
      </c>
      <c r="O10" s="451">
        <f t="shared" si="2"/>
        <v>-0.00168809976407258</v>
      </c>
      <c r="P10" s="451">
        <f>IFERROR(Q10*0.5/$F$5,"")</f>
        <v>0.0253654940500466</v>
      </c>
      <c r="Q10" s="430">
        <v>23489.2</v>
      </c>
      <c r="R10" s="471" t="e">
        <f t="array" ref="R10">INDEX(正厂竞争者数据汇总!$I$2:$I$243,MATCH($A$1&amp;$B10,正厂竞争者数据汇总!$A$2:$A$243&amp;正厂竞争者数据汇总!$D$2:$D$243,0))</f>
        <v>#N/A</v>
      </c>
      <c r="S10" s="429" t="s">
        <v>180</v>
      </c>
      <c r="T10" s="421" t="s">
        <v>180</v>
      </c>
      <c r="U10" s="473" t="e">
        <f>VLOOKUP(B10,正厂竞争者数据汇总!$D$2:$CL$243,25,FALSE)</f>
        <v>#N/A</v>
      </c>
      <c r="V10" s="466"/>
      <c r="W10" s="466"/>
      <c r="X10" s="421"/>
      <c r="Y10" s="421"/>
    </row>
    <row r="11" spans="1:25">
      <c r="A11" s="432" t="s">
        <v>227</v>
      </c>
      <c r="B11" s="435" t="s">
        <v>147</v>
      </c>
      <c r="C11" s="434" t="e">
        <f>VLOOKUP(B11,正厂竞争者数据汇总!D:H,2,FALSE)</f>
        <v>#N/A</v>
      </c>
      <c r="D11" s="435" t="e">
        <f>VLOOKUP(B11,正厂竞争者数据汇总!D:H,3,FALSE)</f>
        <v>#N/A</v>
      </c>
      <c r="E11" s="436" t="e">
        <f>VLOOKUP(B11,正厂竞争者数据汇总!D:H,4,FALSE)</f>
        <v>#N/A</v>
      </c>
      <c r="F11" s="436">
        <v>1628.66666666667</v>
      </c>
      <c r="G11" s="436">
        <v>3512.58333333333</v>
      </c>
      <c r="H11" s="436">
        <v>12718.8333333333</v>
      </c>
      <c r="I11" s="454">
        <f t="shared" si="0"/>
        <v>-0.536333657564469</v>
      </c>
      <c r="J11" s="455">
        <f t="shared" si="1"/>
        <v>0.000710575614967493</v>
      </c>
      <c r="K11" s="455">
        <v>0.0014824340828375</v>
      </c>
      <c r="L11" s="455">
        <v>0.00537312552197305</v>
      </c>
      <c r="M11" s="455">
        <v>0.0153837723927488</v>
      </c>
      <c r="N11" s="455">
        <v>0.0284261675865441</v>
      </c>
      <c r="O11" s="456">
        <f t="shared" si="2"/>
        <v>-0.0277155919715766</v>
      </c>
      <c r="P11" s="457" t="str">
        <f>IFERROR(Q11*0.5/$F$5,"")</f>
        <v/>
      </c>
      <c r="Q11" s="436" t="s">
        <v>180</v>
      </c>
      <c r="R11" s="475" t="e">
        <f t="array" ref="R11">INDEX(正厂竞争者数据汇总!$I$2:$I$243,MATCH($A$1&amp;$B11,正厂竞争者数据汇总!$A$2:$A$243&amp;正厂竞争者数据汇总!$D$2:$D$243,0))</f>
        <v>#N/A</v>
      </c>
      <c r="S11" s="434" t="s">
        <v>257</v>
      </c>
      <c r="T11" s="435" t="s">
        <v>229</v>
      </c>
      <c r="U11" s="476" t="e">
        <f>VLOOKUP(B11,正厂竞争者数据汇总!$D$2:$CL$243,25,FALSE)</f>
        <v>#N/A</v>
      </c>
      <c r="V11" s="477"/>
      <c r="W11" s="477"/>
      <c r="X11" s="435"/>
      <c r="Y11" s="435"/>
    </row>
    <row r="12" spans="1:25">
      <c r="A12" s="432"/>
      <c r="B12" s="435"/>
      <c r="C12" s="434"/>
      <c r="D12" s="435"/>
      <c r="E12" s="437"/>
      <c r="F12" s="430"/>
      <c r="G12" s="430"/>
      <c r="H12" s="430"/>
      <c r="I12" s="450"/>
      <c r="J12" s="460"/>
      <c r="K12" s="460"/>
      <c r="L12" s="460"/>
      <c r="M12" s="460"/>
      <c r="N12" s="460"/>
      <c r="O12" s="452"/>
      <c r="P12" s="461"/>
      <c r="Q12" s="462"/>
      <c r="R12" s="471"/>
      <c r="S12" s="434"/>
      <c r="T12" s="435"/>
      <c r="U12" s="473"/>
      <c r="V12" s="477"/>
      <c r="W12" s="466"/>
      <c r="X12" s="435"/>
      <c r="Y12" s="435"/>
    </row>
    <row r="13" spans="1:25">
      <c r="A13" s="428" t="s">
        <v>230</v>
      </c>
      <c r="B13" s="431" t="s">
        <v>507</v>
      </c>
      <c r="C13" s="429" t="e">
        <f>VLOOKUP(B13,正厂竞争者数据汇总!D:H,2,FALSE)</f>
        <v>#N/A</v>
      </c>
      <c r="D13" s="421" t="e">
        <f>VLOOKUP(B13,正厂竞争者数据汇总!D:H,3,FALSE)</f>
        <v>#N/A</v>
      </c>
      <c r="E13" s="430"/>
      <c r="F13" s="430">
        <v>137927.396666667</v>
      </c>
      <c r="G13" s="430">
        <v>143504.799166667</v>
      </c>
      <c r="H13" s="430">
        <v>162193.579166667</v>
      </c>
      <c r="I13" s="453"/>
      <c r="J13" s="451">
        <f t="shared" ref="J13:J16" si="3">F13/F$20</f>
        <v>0.0601767364146226</v>
      </c>
      <c r="K13" s="451">
        <v>0.060564087780243</v>
      </c>
      <c r="L13" s="451">
        <v>0.0685193709895229</v>
      </c>
      <c r="M13" s="451">
        <v>0.0755225050152834</v>
      </c>
      <c r="N13" s="451">
        <v>0.0782688698141701</v>
      </c>
      <c r="O13" s="451"/>
      <c r="P13" s="457"/>
      <c r="Q13" s="436"/>
      <c r="R13" s="471" t="e">
        <f t="array" ref="R13">INDEX(正厂竞争者数据汇总!$I$2:$I$243,MATCH($A$1&amp;$B13,正厂竞争者数据汇总!$A$2:$A$243&amp;正厂竞争者数据汇总!$D$2:$D$243,0))</f>
        <v>#N/A</v>
      </c>
      <c r="S13" s="434"/>
      <c r="T13" s="435"/>
      <c r="U13" s="473"/>
      <c r="V13" s="477"/>
      <c r="W13" s="466"/>
      <c r="X13" s="435"/>
      <c r="Y13" s="435"/>
    </row>
    <row r="14" spans="1:25">
      <c r="A14" s="428" t="s">
        <v>230</v>
      </c>
      <c r="B14" s="431" t="s">
        <v>508</v>
      </c>
      <c r="C14" s="429" t="e">
        <f>VLOOKUP(B14,正厂竞争者数据汇总!D:H,2,FALSE)</f>
        <v>#N/A</v>
      </c>
      <c r="D14" s="421" t="e">
        <f>VLOOKUP(B14,正厂竞争者数据汇总!D:H,3,FALSE)</f>
        <v>#N/A</v>
      </c>
      <c r="E14" s="430"/>
      <c r="F14" s="430">
        <v>22886.44</v>
      </c>
      <c r="G14" s="430">
        <v>22133.1466666667</v>
      </c>
      <c r="H14" s="430">
        <v>27184.4533333333</v>
      </c>
      <c r="I14" s="453"/>
      <c r="J14" s="451">
        <f t="shared" si="3"/>
        <v>0.00998519003934707</v>
      </c>
      <c r="K14" s="451">
        <v>0.00934096870179347</v>
      </c>
      <c r="L14" s="451">
        <v>0.0114841885397942</v>
      </c>
      <c r="M14" s="451">
        <v>0.0120080902344022</v>
      </c>
      <c r="N14" s="451">
        <v>0.0126562480272323</v>
      </c>
      <c r="O14" s="452"/>
      <c r="P14" s="457"/>
      <c r="Q14" s="436"/>
      <c r="R14" s="471" t="e">
        <f t="array" ref="R14">INDEX(正厂竞争者数据汇总!$I$2:$I$243,MATCH($A$1&amp;$B14,正厂竞争者数据汇总!$A$2:$A$243&amp;正厂竞争者数据汇总!$D$2:$D$243,0))</f>
        <v>#N/A</v>
      </c>
      <c r="S14" s="434"/>
      <c r="T14" s="435"/>
      <c r="U14" s="473"/>
      <c r="V14" s="477"/>
      <c r="W14" s="466"/>
      <c r="X14" s="435"/>
      <c r="Y14" s="435"/>
    </row>
    <row r="15" spans="1:25">
      <c r="A15" s="428" t="s">
        <v>230</v>
      </c>
      <c r="B15" s="431" t="s">
        <v>509</v>
      </c>
      <c r="C15" s="429" t="e">
        <f>VLOOKUP(B15,正厂竞争者数据汇总!D:H,2,FALSE)</f>
        <v>#N/A</v>
      </c>
      <c r="D15" s="421" t="e">
        <f>VLOOKUP(B15,正厂竞争者数据汇总!D:H,3,FALSE)</f>
        <v>#N/A</v>
      </c>
      <c r="E15" s="430"/>
      <c r="F15" s="430">
        <v>41497.5</v>
      </c>
      <c r="G15" s="430">
        <v>40804.4166666667</v>
      </c>
      <c r="H15" s="430">
        <v>43043.75</v>
      </c>
      <c r="I15" s="453"/>
      <c r="J15" s="451">
        <f t="shared" si="3"/>
        <v>0.0181050623713345</v>
      </c>
      <c r="K15" s="451">
        <v>0.0172209033229018</v>
      </c>
      <c r="L15" s="451">
        <v>0.0181840162242156</v>
      </c>
      <c r="M15" s="451">
        <v>0.0209820330103178</v>
      </c>
      <c r="N15" s="451">
        <v>0.0197696670450432</v>
      </c>
      <c r="O15" s="452"/>
      <c r="P15" s="457"/>
      <c r="Q15" s="436"/>
      <c r="R15" s="471" t="e">
        <f t="array" ref="R15">INDEX(正厂竞争者数据汇总!$I$2:$I$243,MATCH($A$1&amp;$B15,正厂竞争者数据汇总!$A$2:$A$243&amp;正厂竞争者数据汇总!$D$2:$D$243,0))</f>
        <v>#N/A</v>
      </c>
      <c r="S15" s="434"/>
      <c r="T15" s="435"/>
      <c r="U15" s="473"/>
      <c r="V15" s="477"/>
      <c r="W15" s="466"/>
      <c r="X15" s="435"/>
      <c r="Y15" s="435"/>
    </row>
    <row r="16" spans="1:25">
      <c r="A16" s="428" t="s">
        <v>230</v>
      </c>
      <c r="B16" s="431" t="s">
        <v>510</v>
      </c>
      <c r="C16" s="429" t="e">
        <f>VLOOKUP(B16,正厂竞争者数据汇总!D:H,2,FALSE)</f>
        <v>#N/A</v>
      </c>
      <c r="D16" s="421" t="e">
        <f>VLOOKUP(B16,正厂竞争者数据汇总!D:H,3,FALSE)</f>
        <v>#N/A</v>
      </c>
      <c r="E16" s="430"/>
      <c r="F16" s="430">
        <v>1502.325</v>
      </c>
      <c r="G16" s="430">
        <v>3017.53833333333</v>
      </c>
      <c r="H16" s="430">
        <v>7015.20416666666</v>
      </c>
      <c r="I16" s="453"/>
      <c r="J16" s="451">
        <f t="shared" si="3"/>
        <v>0.000655453649666007</v>
      </c>
      <c r="K16" s="451">
        <v>0.00127350762874485</v>
      </c>
      <c r="L16" s="451">
        <v>0.00296360299422917</v>
      </c>
      <c r="M16" s="451">
        <v>0.00558838413867962</v>
      </c>
      <c r="N16" s="451">
        <v>0.00869928647794553</v>
      </c>
      <c r="O16" s="452"/>
      <c r="P16" s="457"/>
      <c r="Q16" s="436"/>
      <c r="R16" s="471" t="e">
        <f t="array" ref="R16">INDEX(正厂竞争者数据汇总!$I$2:$I$243,MATCH($A$1&amp;$B16,正厂竞争者数据汇总!$A$2:$A$243&amp;正厂竞争者数据汇总!$D$2:$D$243,0))</f>
        <v>#N/A</v>
      </c>
      <c r="S16" s="434"/>
      <c r="T16" s="435"/>
      <c r="U16" s="473"/>
      <c r="V16" s="477"/>
      <c r="W16" s="466"/>
      <c r="X16" s="435"/>
      <c r="Y16" s="435"/>
    </row>
    <row r="17" ht="17.4" spans="1:25">
      <c r="A17" s="428" t="s">
        <v>511</v>
      </c>
      <c r="B17" s="431" t="s">
        <v>512</v>
      </c>
      <c r="C17" s="429" t="e">
        <f>VLOOKUP(B17,正厂竞争者数据汇总!D:H,2,FALSE)</f>
        <v>#N/A</v>
      </c>
      <c r="D17" s="421" t="e">
        <f>VLOOKUP(B17,正厂竞争者数据汇总!D:H,3,FALSE)</f>
        <v>#N/A</v>
      </c>
      <c r="E17" s="430" t="e">
        <f>VLOOKUP(B17,正厂竞争者数据汇总!D:H,4,FALSE)</f>
        <v>#N/A</v>
      </c>
      <c r="F17" s="430">
        <v>77202.4999999998</v>
      </c>
      <c r="G17" s="430">
        <v>102352.583333333</v>
      </c>
      <c r="H17" s="430">
        <v>109411.5</v>
      </c>
      <c r="I17" s="453"/>
      <c r="J17" s="459"/>
      <c r="K17" s="459"/>
      <c r="L17" s="459"/>
      <c r="M17" s="459"/>
      <c r="N17" s="459"/>
      <c r="O17" s="451"/>
      <c r="P17" s="451"/>
      <c r="Q17" s="430"/>
      <c r="R17" s="471" t="e">
        <f t="array" ref="R17">INDEX(正厂竞争者数据汇总!$I$2:$I$243,MATCH($A$1&amp;$B17,正厂竞争者数据汇总!$A$2:$A$243&amp;正厂竞争者数据汇总!$D$2:$D$243,0))</f>
        <v>#N/A</v>
      </c>
      <c r="S17" s="429"/>
      <c r="T17" s="421"/>
      <c r="U17" s="473" t="e">
        <f>VLOOKUP(B17,正厂竞争者数据汇总!$D$2:$CL$243,25,FALSE)</f>
        <v>#N/A</v>
      </c>
      <c r="V17" s="466"/>
      <c r="W17" s="466"/>
      <c r="X17" s="474"/>
      <c r="Y17" s="474"/>
    </row>
    <row r="18" spans="1:25">
      <c r="A18" s="428" t="s">
        <v>513</v>
      </c>
      <c r="B18" s="431" t="s">
        <v>514</v>
      </c>
      <c r="C18" s="429" t="e">
        <f>VLOOKUP(B18,正厂竞争者数据汇总!D:H,2,FALSE)</f>
        <v>#N/A</v>
      </c>
      <c r="D18" s="421" t="e">
        <f>VLOOKUP(B18,正厂竞争者数据汇总!D:H,3,FALSE)</f>
        <v>#N/A</v>
      </c>
      <c r="E18" s="430"/>
      <c r="F18" s="430">
        <v>54105.25</v>
      </c>
      <c r="G18" s="430">
        <v>54389.5</v>
      </c>
      <c r="H18" s="430">
        <v>57727.5</v>
      </c>
      <c r="I18" s="450"/>
      <c r="J18" s="455"/>
      <c r="K18" s="455"/>
      <c r="L18" s="455"/>
      <c r="M18" s="455"/>
      <c r="N18" s="455"/>
      <c r="O18" s="452"/>
      <c r="P18" s="457"/>
      <c r="Q18" s="436"/>
      <c r="R18" s="471" t="e">
        <f t="array" ref="R18">INDEX(正厂竞争者数据汇总!$I$2:$I$243,MATCH($A$1&amp;$B18,正厂竞争者数据汇总!$A$2:$A$243&amp;正厂竞争者数据汇总!$D$2:$D$243,0))</f>
        <v>#N/A</v>
      </c>
      <c r="S18" s="434"/>
      <c r="T18" s="435"/>
      <c r="U18" s="473"/>
      <c r="V18" s="477"/>
      <c r="W18" s="466"/>
      <c r="X18" s="435"/>
      <c r="Y18" s="435"/>
    </row>
    <row r="19" spans="1:25">
      <c r="A19" s="428"/>
      <c r="B19" s="431"/>
      <c r="C19" s="429"/>
      <c r="D19" s="421"/>
      <c r="E19" s="430"/>
      <c r="F19" s="430"/>
      <c r="G19" s="430"/>
      <c r="H19" s="430"/>
      <c r="I19" s="450"/>
      <c r="J19" s="455"/>
      <c r="K19" s="455"/>
      <c r="L19" s="455"/>
      <c r="M19" s="455"/>
      <c r="N19" s="455"/>
      <c r="O19" s="452"/>
      <c r="P19" s="457"/>
      <c r="Q19" s="436"/>
      <c r="R19" s="471"/>
      <c r="S19" s="434"/>
      <c r="T19" s="435"/>
      <c r="U19" s="473"/>
      <c r="V19" s="477"/>
      <c r="W19" s="466"/>
      <c r="X19" s="435"/>
      <c r="Y19" s="435"/>
    </row>
    <row r="20" spans="1:25">
      <c r="A20" s="428"/>
      <c r="B20" s="421"/>
      <c r="C20" s="439"/>
      <c r="D20" s="421"/>
      <c r="E20" s="430"/>
      <c r="F20" s="430">
        <v>2292038.5</v>
      </c>
      <c r="G20" s="430">
        <v>2369470.16666667</v>
      </c>
      <c r="H20" s="430">
        <v>2367120.08333333</v>
      </c>
      <c r="I20" s="453">
        <f t="shared" ref="I20:I30" si="4">(F20/G20)-1</f>
        <v>-0.0326788949512706</v>
      </c>
      <c r="J20" s="430"/>
      <c r="K20" s="430"/>
      <c r="L20" s="430"/>
      <c r="M20" s="430"/>
      <c r="N20" s="430"/>
      <c r="O20" s="451"/>
      <c r="P20" s="451">
        <f>SUM(P3:P11)</f>
        <v>0.195077767486931</v>
      </c>
      <c r="Q20" s="430"/>
      <c r="R20" s="471"/>
      <c r="S20" s="429"/>
      <c r="T20" s="421"/>
      <c r="U20" s="473"/>
      <c r="V20" s="466"/>
      <c r="W20" s="466"/>
      <c r="X20" s="421"/>
      <c r="Y20" s="421"/>
    </row>
    <row r="21" spans="1:25">
      <c r="A21" s="428"/>
      <c r="B21" s="421"/>
      <c r="C21" s="439"/>
      <c r="D21" s="421"/>
      <c r="E21" s="430"/>
      <c r="F21" s="430"/>
      <c r="G21" s="430"/>
      <c r="H21" s="430"/>
      <c r="I21" s="453"/>
      <c r="J21" s="430"/>
      <c r="K21" s="430"/>
      <c r="L21" s="430"/>
      <c r="M21" s="430"/>
      <c r="N21" s="430"/>
      <c r="O21" s="451"/>
      <c r="P21" s="451"/>
      <c r="Q21" s="430"/>
      <c r="R21" s="471"/>
      <c r="S21" s="429"/>
      <c r="T21" s="421"/>
      <c r="U21" s="473"/>
      <c r="V21" s="466"/>
      <c r="W21" s="466"/>
      <c r="X21" s="421"/>
      <c r="Y21" s="421"/>
    </row>
    <row r="22" ht="17.4" spans="1:25">
      <c r="A22" s="418" t="s">
        <v>138</v>
      </c>
      <c r="B22" s="419"/>
      <c r="C22" s="420"/>
      <c r="D22" s="421"/>
      <c r="E22" s="422" t="s">
        <v>202</v>
      </c>
      <c r="F22" s="422"/>
      <c r="G22" s="422"/>
      <c r="H22" s="422"/>
      <c r="I22" s="422"/>
      <c r="J22" s="422"/>
      <c r="K22" s="422"/>
      <c r="L22" s="422"/>
      <c r="M22" s="422"/>
      <c r="N22" s="422"/>
      <c r="O22" s="443"/>
      <c r="P22" s="444"/>
      <c r="Q22" s="422"/>
      <c r="R22" s="471"/>
      <c r="S22" s="465"/>
      <c r="T22" s="424"/>
      <c r="U22" s="473"/>
      <c r="V22" s="467"/>
      <c r="W22" s="467"/>
      <c r="X22" s="467"/>
      <c r="Y22" s="467"/>
    </row>
    <row r="23" ht="46.8" spans="1:25">
      <c r="A23" s="423" t="s">
        <v>206</v>
      </c>
      <c r="B23" s="424" t="s">
        <v>207</v>
      </c>
      <c r="C23" s="425" t="s">
        <v>208</v>
      </c>
      <c r="D23" s="424" t="s">
        <v>209</v>
      </c>
      <c r="E23" s="426" t="s">
        <v>210</v>
      </c>
      <c r="F23" s="427" t="s">
        <v>396</v>
      </c>
      <c r="G23" s="427" t="s">
        <v>496</v>
      </c>
      <c r="H23" s="427" t="s">
        <v>627</v>
      </c>
      <c r="I23" s="427" t="s">
        <v>628</v>
      </c>
      <c r="J23" s="446" t="s">
        <v>387</v>
      </c>
      <c r="K23" s="446" t="s">
        <v>390</v>
      </c>
      <c r="L23" s="446" t="s">
        <v>629</v>
      </c>
      <c r="M23" s="446" t="s">
        <v>630</v>
      </c>
      <c r="N23" s="446" t="s">
        <v>631</v>
      </c>
      <c r="O23" s="447" t="s">
        <v>632</v>
      </c>
      <c r="P23" s="448" t="s">
        <v>219</v>
      </c>
      <c r="Q23" s="449" t="s">
        <v>220</v>
      </c>
      <c r="R23" s="468" t="s">
        <v>221</v>
      </c>
      <c r="S23" s="469" t="s">
        <v>222</v>
      </c>
      <c r="T23" s="426" t="s">
        <v>223</v>
      </c>
      <c r="U23" s="470" t="s">
        <v>224</v>
      </c>
      <c r="V23" s="467" t="s">
        <v>225</v>
      </c>
      <c r="W23" s="470" t="s">
        <v>226</v>
      </c>
      <c r="X23" s="467"/>
      <c r="Y23" s="467"/>
    </row>
    <row r="24" ht="17.4" spans="1:25">
      <c r="A24" s="432" t="s">
        <v>227</v>
      </c>
      <c r="B24" s="435" t="s">
        <v>515</v>
      </c>
      <c r="C24" s="434" t="e">
        <f>VLOOKUP(B24,正厂竞争者数据汇总!D:H,2,FALSE)</f>
        <v>#N/A</v>
      </c>
      <c r="D24" s="435" t="e">
        <f>VLOOKUP(B24,正厂竞争者数据汇总!D:H,3,FALSE)</f>
        <v>#N/A</v>
      </c>
      <c r="E24" s="436" t="e">
        <f>VLOOKUP(B24,正厂竞争者数据汇总!D:H,4,FALSE)</f>
        <v>#N/A</v>
      </c>
      <c r="F24" s="436">
        <v>1200750</v>
      </c>
      <c r="G24" s="436">
        <v>1204466.66666667</v>
      </c>
      <c r="H24" s="436">
        <v>1094266.66666667</v>
      </c>
      <c r="I24" s="454">
        <f t="shared" si="4"/>
        <v>-0.00308573642553001</v>
      </c>
      <c r="J24" s="455">
        <f t="shared" ref="J24:J28" si="5">F24/F$40</f>
        <v>0.530642906159839</v>
      </c>
      <c r="K24" s="455">
        <v>0.512622626385865</v>
      </c>
      <c r="L24" s="455">
        <v>0.491894373969336</v>
      </c>
      <c r="M24" s="455">
        <v>0.457447234171004</v>
      </c>
      <c r="N24" s="455">
        <v>0.464467479102897</v>
      </c>
      <c r="O24" s="456">
        <f t="shared" ref="O24:O30" si="6">J24-N24</f>
        <v>0.0661754270569425</v>
      </c>
      <c r="P24" s="455" t="str">
        <f t="shared" ref="P24:P26" si="7">IFERROR(Q24*0.5/$F$24,"")</f>
        <v/>
      </c>
      <c r="Q24" s="436" t="s">
        <v>180</v>
      </c>
      <c r="R24" s="475" t="e">
        <f t="array" ref="R24">INDEX(正厂竞争者数据汇总!$I$2:$I$243,MATCH($A$22&amp;$B24,正厂竞争者数据汇总!$A$2:$A$243&amp;正厂竞争者数据汇总!$D$2:$D$243,0))</f>
        <v>#N/A</v>
      </c>
      <c r="S24" s="434" t="s">
        <v>228</v>
      </c>
      <c r="T24" s="435" t="s">
        <v>229</v>
      </c>
      <c r="U24" s="476" t="e">
        <f>VLOOKUP(B24,正厂竞争者数据汇总!$D$2:$CL$243,25,FALSE)</f>
        <v>#N/A</v>
      </c>
      <c r="V24" s="477"/>
      <c r="W24" s="477"/>
      <c r="X24" s="477"/>
      <c r="Y24" s="477"/>
    </row>
    <row r="25" spans="1:25">
      <c r="A25" s="428" t="s">
        <v>230</v>
      </c>
      <c r="B25" s="431" t="s">
        <v>516</v>
      </c>
      <c r="C25" s="429" t="e">
        <f>VLOOKUP(B25,正厂竞争者数据汇总!D:H,2,FALSE)</f>
        <v>#N/A</v>
      </c>
      <c r="D25" s="421" t="e">
        <f>VLOOKUP(B25,正厂竞争者数据汇总!D:H,3,FALSE)</f>
        <v>#N/A</v>
      </c>
      <c r="E25" s="430" t="e">
        <f>VLOOKUP(B25,正厂竞争者数据汇总!D:H,4,FALSE)</f>
        <v>#N/A</v>
      </c>
      <c r="F25" s="430">
        <v>369790.5</v>
      </c>
      <c r="G25" s="430">
        <v>387099.75</v>
      </c>
      <c r="H25" s="430">
        <v>387636</v>
      </c>
      <c r="I25" s="453">
        <f t="shared" si="4"/>
        <v>-0.0447152187517559</v>
      </c>
      <c r="J25" s="459">
        <f t="shared" si="5"/>
        <v>0.163420117085405</v>
      </c>
      <c r="K25" s="459">
        <v>0.164750172013874</v>
      </c>
      <c r="L25" s="459">
        <v>0.174250000805389</v>
      </c>
      <c r="M25" s="459">
        <v>0.192293847770559</v>
      </c>
      <c r="N25" s="459">
        <v>0.186421657080371</v>
      </c>
      <c r="O25" s="451">
        <f t="shared" si="6"/>
        <v>-0.023001539994966</v>
      </c>
      <c r="P25" s="459">
        <f t="shared" si="7"/>
        <v>0.0221708203206329</v>
      </c>
      <c r="Q25" s="430">
        <v>53243.225</v>
      </c>
      <c r="R25" s="471" t="e">
        <f t="array" ref="R25">INDEX(正厂竞争者数据汇总!$I$2:$I$243,MATCH($A$22&amp;$B25,正厂竞争者数据汇总!$A$2:$A$243&amp;正厂竞争者数据汇总!$D$2:$D$243,0))</f>
        <v>#N/A</v>
      </c>
      <c r="S25" s="429" t="s">
        <v>180</v>
      </c>
      <c r="T25" s="435" t="s">
        <v>180</v>
      </c>
      <c r="U25" s="473" t="e">
        <f>VLOOKUP(B25,正厂竞争者数据汇总!$D$2:$CL$243,25,FALSE)</f>
        <v>#N/A</v>
      </c>
      <c r="V25" s="466"/>
      <c r="W25" s="466"/>
      <c r="X25" s="421"/>
      <c r="Y25" s="421"/>
    </row>
    <row r="26" spans="1:25">
      <c r="A26" s="428" t="s">
        <v>230</v>
      </c>
      <c r="B26" s="421" t="s">
        <v>517</v>
      </c>
      <c r="C26" s="429" t="e">
        <f>VLOOKUP(B26,正厂竞争者数据汇总!D:H,2,FALSE)</f>
        <v>#N/A</v>
      </c>
      <c r="D26" s="421" t="e">
        <f>VLOOKUP(B26,正厂竞争者数据汇总!D:H,3,FALSE)</f>
        <v>#N/A</v>
      </c>
      <c r="E26" s="430" t="e">
        <f>VLOOKUP(B26,正厂竞争者数据汇总!D:H,4,FALSE)</f>
        <v>#N/A</v>
      </c>
      <c r="F26" s="430">
        <v>125425.083333333</v>
      </c>
      <c r="G26" s="430">
        <v>167588.666666667</v>
      </c>
      <c r="H26" s="430">
        <v>166451.25</v>
      </c>
      <c r="I26" s="453">
        <f t="shared" si="4"/>
        <v>-0.251589705747807</v>
      </c>
      <c r="J26" s="459">
        <f t="shared" si="5"/>
        <v>0.0554286327090068</v>
      </c>
      <c r="K26" s="459">
        <v>0.0713259609723572</v>
      </c>
      <c r="L26" s="459">
        <v>0.0748231083969446</v>
      </c>
      <c r="M26" s="459">
        <v>0.0828262751079534</v>
      </c>
      <c r="N26" s="459">
        <v>0.0797925169629708</v>
      </c>
      <c r="O26" s="451">
        <f t="shared" si="6"/>
        <v>-0.024363884253964</v>
      </c>
      <c r="P26" s="459" t="str">
        <f t="shared" si="7"/>
        <v/>
      </c>
      <c r="Q26" s="430" t="s">
        <v>180</v>
      </c>
      <c r="R26" s="471" t="e">
        <f t="array" ref="R26">INDEX(正厂竞争者数据汇总!$I$2:$I$243,MATCH($A$22&amp;$B26,正厂竞争者数据汇总!$A$2:$A$243&amp;正厂竞争者数据汇总!$D$2:$D$243,0))</f>
        <v>#N/A</v>
      </c>
      <c r="S26" s="429" t="s">
        <v>180</v>
      </c>
      <c r="T26" s="435" t="s">
        <v>180</v>
      </c>
      <c r="U26" s="473" t="e">
        <f>VLOOKUP(B26,正厂竞争者数据汇总!$D$2:$CL$243,25,FALSE)</f>
        <v>#N/A</v>
      </c>
      <c r="V26" s="466"/>
      <c r="W26" s="466"/>
      <c r="X26" s="421"/>
      <c r="Y26" s="421"/>
    </row>
    <row r="27" spans="1:25">
      <c r="A27" s="428" t="s">
        <v>230</v>
      </c>
      <c r="B27" s="421" t="s">
        <v>518</v>
      </c>
      <c r="C27" s="429" t="e">
        <f>VLOOKUP(B27,正厂竞争者数据汇总!D:H,2,FALSE)</f>
        <v>#N/A</v>
      </c>
      <c r="D27" s="421" t="e">
        <f>VLOOKUP(B27,正厂竞争者数据汇总!D:H,3,FALSE)</f>
        <v>#N/A</v>
      </c>
      <c r="E27" s="430" t="e">
        <f>VLOOKUP(B25,正厂竞争者数据汇总!D:H,4,FALSE)</f>
        <v>#N/A</v>
      </c>
      <c r="F27" s="430">
        <v>201863.75</v>
      </c>
      <c r="G27" s="430">
        <v>201257.083333333</v>
      </c>
      <c r="H27" s="430">
        <v>221355.916666667</v>
      </c>
      <c r="I27" s="453">
        <f t="shared" si="4"/>
        <v>0.00301438665720011</v>
      </c>
      <c r="J27" s="459">
        <f t="shared" si="5"/>
        <v>0.0892088835713706</v>
      </c>
      <c r="K27" s="459">
        <v>0.085655284195294</v>
      </c>
      <c r="L27" s="459">
        <v>0.0995038351893125</v>
      </c>
      <c r="M27" s="459">
        <v>0.0934500836938065</v>
      </c>
      <c r="N27" s="459">
        <v>0.0855064868269238</v>
      </c>
      <c r="O27" s="451">
        <f t="shared" si="6"/>
        <v>0.00370239674444683</v>
      </c>
      <c r="P27" s="459"/>
      <c r="Q27" s="430"/>
      <c r="R27" s="471" t="e">
        <f t="array" ref="R27">INDEX(正厂竞争者数据汇总!$I$2:$I$243,MATCH($A$22&amp;$B27,正厂竞争者数据汇总!$A$2:$A$243&amp;正厂竞争者数据汇总!$D$2:$D$243,0))</f>
        <v>#N/A</v>
      </c>
      <c r="S27" s="429"/>
      <c r="T27" s="435"/>
      <c r="U27" s="473" t="e">
        <f>VLOOKUP(B27,正厂竞争者数据汇总!$D$2:$CL$243,25,FALSE)</f>
        <v>#N/A</v>
      </c>
      <c r="V27" s="466"/>
      <c r="W27" s="466"/>
      <c r="X27" s="421"/>
      <c r="Y27" s="421"/>
    </row>
    <row r="28" spans="1:25">
      <c r="A28" s="428" t="s">
        <v>238</v>
      </c>
      <c r="B28" s="431" t="s">
        <v>519</v>
      </c>
      <c r="C28" s="429" t="e">
        <f>VLOOKUP(B28,正厂竞争者数据汇总!D:H,2,FALSE)</f>
        <v>#N/A</v>
      </c>
      <c r="D28" s="421" t="e">
        <f>VLOOKUP(B28,正厂竞争者数据汇总!D:H,3,FALSE)</f>
        <v>#N/A</v>
      </c>
      <c r="E28" s="430" t="e">
        <f>VLOOKUP(B28,正厂竞争者数据汇总!D:H,4,FALSE)</f>
        <v>#N/A</v>
      </c>
      <c r="F28" s="430">
        <v>134759.916666667</v>
      </c>
      <c r="G28" s="430">
        <v>155048.666666667</v>
      </c>
      <c r="H28" s="430">
        <v>118368.5</v>
      </c>
      <c r="I28" s="453">
        <f t="shared" si="4"/>
        <v>-0.130854075924548</v>
      </c>
      <c r="J28" s="459">
        <f t="shared" si="5"/>
        <v>0.0595539402988615</v>
      </c>
      <c r="K28" s="459">
        <v>0.0659889201784689</v>
      </c>
      <c r="L28" s="459">
        <v>0.0532089672278444</v>
      </c>
      <c r="M28" s="459">
        <v>0.0681365314459489</v>
      </c>
      <c r="N28" s="459">
        <v>0.0763430337269276</v>
      </c>
      <c r="O28" s="451">
        <f t="shared" si="6"/>
        <v>-0.0167890934280661</v>
      </c>
      <c r="P28" s="459" t="str">
        <f>IFERROR(Q28*0.5/$F$24,"")</f>
        <v/>
      </c>
      <c r="Q28" s="430" t="s">
        <v>180</v>
      </c>
      <c r="R28" s="471" t="e">
        <f t="array" ref="R28">INDEX(正厂竞争者数据汇总!$I$2:$I$243,MATCH($A$22&amp;$B28,正厂竞争者数据汇总!$A$2:$A$243&amp;正厂竞争者数据汇总!$D$2:$D$243,0))</f>
        <v>#N/A</v>
      </c>
      <c r="S28" s="429" t="s">
        <v>180</v>
      </c>
      <c r="T28" s="435" t="s">
        <v>180</v>
      </c>
      <c r="U28" s="473" t="e">
        <f>VLOOKUP(B28,正厂竞争者数据汇总!$D$2:$CL$243,25,FALSE)</f>
        <v>#N/A</v>
      </c>
      <c r="V28" s="466"/>
      <c r="W28" s="466"/>
      <c r="X28" s="421"/>
      <c r="Y28" s="421"/>
    </row>
    <row r="29" spans="1:25">
      <c r="A29" s="428" t="s">
        <v>230</v>
      </c>
      <c r="B29" s="421" t="s">
        <v>520</v>
      </c>
      <c r="C29" s="429" t="e">
        <f>VLOOKUP(B29,正厂竞争者数据汇总!D:H,2,FALSE)</f>
        <v>#N/A</v>
      </c>
      <c r="D29" s="421" t="e">
        <f>VLOOKUP(B29,正厂竞争者数据汇总!D:H,3,FALSE)</f>
        <v>#N/A</v>
      </c>
      <c r="E29" s="430"/>
      <c r="F29" s="430">
        <v>152110.5</v>
      </c>
      <c r="G29" s="430">
        <v>143783.083333333</v>
      </c>
      <c r="H29" s="430">
        <v>141501.666666667</v>
      </c>
      <c r="I29" s="453">
        <f t="shared" si="4"/>
        <v>0.0579165258778149</v>
      </c>
      <c r="J29" s="459">
        <f t="shared" ref="J29:J35" si="8">F29/$F$40</f>
        <v>0.0672216179699573</v>
      </c>
      <c r="K29" s="459">
        <v>0.0611942728246449</v>
      </c>
      <c r="L29" s="459">
        <v>0.0636077803161487</v>
      </c>
      <c r="M29" s="459">
        <v>0.0647719379573228</v>
      </c>
      <c r="N29" s="459">
        <v>0.0612806547315711</v>
      </c>
      <c r="O29" s="451">
        <f t="shared" si="6"/>
        <v>0.00594096323838622</v>
      </c>
      <c r="P29" s="459"/>
      <c r="Q29" s="430"/>
      <c r="R29" s="471" t="e">
        <f t="array" ref="R29">INDEX(正厂竞争者数据汇总!$I$2:$I$243,MATCH($A$22&amp;$B29,正厂竞争者数据汇总!$A$2:$A$243&amp;正厂竞争者数据汇总!$D$2:$D$243,0))</f>
        <v>#N/A</v>
      </c>
      <c r="S29" s="429"/>
      <c r="T29" s="435"/>
      <c r="U29" s="473"/>
      <c r="V29" s="466"/>
      <c r="W29" s="466"/>
      <c r="X29" s="421"/>
      <c r="Y29" s="421"/>
    </row>
    <row r="30" spans="1:25">
      <c r="A30" s="428" t="s">
        <v>230</v>
      </c>
      <c r="B30" t="s">
        <v>521</v>
      </c>
      <c r="C30" s="429" t="e">
        <f>VLOOKUP(B30,正厂竞争者数据汇总!D:H,2,FALSE)</f>
        <v>#N/A</v>
      </c>
      <c r="D30" s="421" t="e">
        <f>VLOOKUP(B30,正厂竞争者数据汇总!D:H,3,FALSE)</f>
        <v>#N/A</v>
      </c>
      <c r="E30" s="430"/>
      <c r="F30" s="430">
        <v>78121.4166666667</v>
      </c>
      <c r="G30" s="430">
        <v>90372.75</v>
      </c>
      <c r="H30" s="430">
        <v>95016.8333333333</v>
      </c>
      <c r="I30" s="453">
        <f t="shared" si="4"/>
        <v>-0.135564463107887</v>
      </c>
      <c r="J30" s="459">
        <f t="shared" si="8"/>
        <v>0.034523902205558</v>
      </c>
      <c r="K30" s="459">
        <v>0.0384627634294955</v>
      </c>
      <c r="L30" s="459">
        <v>0.0427119340950243</v>
      </c>
      <c r="M30" s="459">
        <v>0.0410740898534053</v>
      </c>
      <c r="N30" s="459">
        <v>0.0461881715683388</v>
      </c>
      <c r="O30" s="451">
        <f t="shared" si="6"/>
        <v>-0.0116642693627808</v>
      </c>
      <c r="P30" s="459"/>
      <c r="Q30" s="430"/>
      <c r="R30" s="471" t="e">
        <f t="array" ref="R30">INDEX(正厂竞争者数据汇总!$I$2:$I$243,MATCH($A$22&amp;$B30,正厂竞争者数据汇总!$A$2:$A$243&amp;正厂竞争者数据汇总!$D$2:$D$243,0))</f>
        <v>#N/A</v>
      </c>
      <c r="S30" s="429"/>
      <c r="T30" s="435"/>
      <c r="U30" s="473"/>
      <c r="V30" s="466"/>
      <c r="W30" s="466"/>
      <c r="X30" s="421"/>
      <c r="Y30" s="421"/>
    </row>
    <row r="31" spans="1:25">
      <c r="A31" s="428"/>
      <c r="B31" s="421"/>
      <c r="C31" s="429"/>
      <c r="D31" s="421"/>
      <c r="E31" s="430"/>
      <c r="F31" s="430"/>
      <c r="G31" s="430"/>
      <c r="H31" s="430"/>
      <c r="I31" s="453"/>
      <c r="J31" s="459"/>
      <c r="K31" s="459"/>
      <c r="L31" s="459"/>
      <c r="M31" s="459"/>
      <c r="N31" s="459"/>
      <c r="O31" s="451"/>
      <c r="P31" s="459"/>
      <c r="Q31" s="430"/>
      <c r="R31" s="471"/>
      <c r="S31" s="429"/>
      <c r="T31" s="435"/>
      <c r="U31" s="473"/>
      <c r="V31" s="466"/>
      <c r="W31" s="466"/>
      <c r="X31" s="421"/>
      <c r="Y31" s="421"/>
    </row>
    <row r="32" spans="1:25">
      <c r="A32" s="431" t="s">
        <v>230</v>
      </c>
      <c r="B32" s="438" t="s">
        <v>510</v>
      </c>
      <c r="C32" s="429" t="e">
        <f>VLOOKUP(B32,正厂竞争者数据汇总!D:H,2,FALSE)</f>
        <v>#N/A</v>
      </c>
      <c r="D32" s="421" t="e">
        <f>VLOOKUP(B32,正厂竞争者数据汇总!D:H,3,FALSE)</f>
        <v>#N/A</v>
      </c>
      <c r="E32" s="430" t="e">
        <f>VLOOKUP(B32,正厂竞争者数据汇总!D:H,4,FALSE)</f>
        <v>#N/A</v>
      </c>
      <c r="F32" s="430">
        <v>3004.65</v>
      </c>
      <c r="G32" s="430">
        <v>6035.07666666667</v>
      </c>
      <c r="H32" s="430">
        <v>14030.4083333333</v>
      </c>
      <c r="I32" s="453"/>
      <c r="J32" s="459">
        <f t="shared" si="8"/>
        <v>0.00132783361065431</v>
      </c>
      <c r="K32" s="459">
        <v>0.00256853671166218</v>
      </c>
      <c r="L32" s="459">
        <v>0.00630694430698713</v>
      </c>
      <c r="M32" s="459">
        <v>0.0121884713383188</v>
      </c>
      <c r="N32" s="459">
        <v>0.0182472451757627</v>
      </c>
      <c r="O32" s="451"/>
      <c r="P32" s="459"/>
      <c r="Q32" s="430"/>
      <c r="R32" s="471" t="e">
        <f t="array" ref="R32">INDEX(正厂竞争者数据汇总!$I$2:$I$243,MATCH($A$22&amp;$B32,正厂竞争者数据汇总!$A$2:$A$243&amp;正厂竞争者数据汇总!$D$2:$D$243,0))</f>
        <v>#N/A</v>
      </c>
      <c r="S32" s="429"/>
      <c r="T32" s="435"/>
      <c r="U32" s="473"/>
      <c r="V32" s="466"/>
      <c r="W32" s="466"/>
      <c r="X32" s="421"/>
      <c r="Y32" s="421"/>
    </row>
    <row r="33" spans="1:25">
      <c r="A33" s="431" t="s">
        <v>230</v>
      </c>
      <c r="B33" s="431" t="s">
        <v>522</v>
      </c>
      <c r="C33" s="429" t="e">
        <f>VLOOKUP(B33,正厂竞争者数据汇总!D:H,2,FALSE)</f>
        <v>#N/A</v>
      </c>
      <c r="D33" s="421" t="e">
        <f>VLOOKUP(B33,正厂竞争者数据汇总!D:H,3,FALSE)</f>
        <v>#N/A</v>
      </c>
      <c r="E33" s="430" t="e">
        <f>VLOOKUP(B33,正厂竞争者数据汇总!D:H,4,FALSE)</f>
        <v>#N/A</v>
      </c>
      <c r="F33" s="430">
        <v>34589.8333333333</v>
      </c>
      <c r="G33" s="430">
        <v>35498.0833333333</v>
      </c>
      <c r="H33" s="430">
        <v>31664.3333333333</v>
      </c>
      <c r="I33" s="453"/>
      <c r="J33" s="459">
        <f t="shared" si="8"/>
        <v>0.0152861542232642</v>
      </c>
      <c r="K33" s="459">
        <v>0.0151080318066067</v>
      </c>
      <c r="L33" s="459">
        <v>0.014233740181086</v>
      </c>
      <c r="M33" s="459">
        <v>0.0173645621420672</v>
      </c>
      <c r="N33" s="459">
        <v>0.0198697803038299</v>
      </c>
      <c r="O33" s="451"/>
      <c r="P33" s="459"/>
      <c r="Q33" s="430"/>
      <c r="R33" s="471" t="e">
        <f t="array" ref="R33">INDEX(正厂竞争者数据汇总!$I$2:$I$243,MATCH($A$22&amp;$B33,正厂竞争者数据汇总!$A$2:$A$243&amp;正厂竞争者数据汇总!$D$2:$D$243,0))</f>
        <v>#N/A</v>
      </c>
      <c r="S33" s="429"/>
      <c r="T33" s="435"/>
      <c r="U33" s="473"/>
      <c r="V33" s="466"/>
      <c r="W33" s="466"/>
      <c r="X33" s="421"/>
      <c r="Y33" s="421"/>
    </row>
    <row r="34" spans="1:25">
      <c r="A34" s="431" t="s">
        <v>230</v>
      </c>
      <c r="B34" s="431" t="s">
        <v>523</v>
      </c>
      <c r="C34" s="429" t="e">
        <f>VLOOKUP(B34,正厂竞争者数据汇总!D:H,2,FALSE)</f>
        <v>#N/A</v>
      </c>
      <c r="D34" s="421" t="e">
        <f>VLOOKUP(B34,正厂竞争者数据汇总!D:H,3,FALSE)</f>
        <v>#N/A</v>
      </c>
      <c r="E34" s="430" t="e">
        <f>VLOOKUP(B34,正厂竞争者数据汇总!D:H,4,FALSE)</f>
        <v>#N/A</v>
      </c>
      <c r="F34" s="430">
        <v>23054.3333333334</v>
      </c>
      <c r="G34" s="430">
        <v>28034.6666666667</v>
      </c>
      <c r="H34" s="430">
        <v>21446.25</v>
      </c>
      <c r="I34" s="453"/>
      <c r="J34" s="459">
        <f t="shared" si="8"/>
        <v>0.0101883143365211</v>
      </c>
      <c r="K34" s="459">
        <v>0.0119315916780751</v>
      </c>
      <c r="L34" s="459">
        <v>0.00964051089107455</v>
      </c>
      <c r="M34" s="459">
        <v>0.010959616137269</v>
      </c>
      <c r="N34" s="459">
        <v>0.00977348850185863</v>
      </c>
      <c r="O34" s="451"/>
      <c r="P34" s="459"/>
      <c r="Q34" s="430"/>
      <c r="R34" s="471" t="e">
        <f t="array" ref="R34">INDEX(正厂竞争者数据汇总!$I$2:$I$243,MATCH($A$22&amp;$B34,正厂竞争者数据汇总!$A$2:$A$243&amp;正厂竞争者数据汇总!$D$2:$D$243,0))</f>
        <v>#N/A</v>
      </c>
      <c r="S34" s="429"/>
      <c r="T34" s="435"/>
      <c r="U34" s="473"/>
      <c r="V34" s="466"/>
      <c r="W34" s="466"/>
      <c r="X34" s="421"/>
      <c r="Y34" s="421"/>
    </row>
    <row r="35" spans="1:25">
      <c r="A35" s="440" t="s">
        <v>230</v>
      </c>
      <c r="B35" s="431" t="s">
        <v>524</v>
      </c>
      <c r="C35" s="429" t="e">
        <f>VLOOKUP(B35,正厂竞争者数据汇总!D:H,2,FALSE)</f>
        <v>#N/A</v>
      </c>
      <c r="D35" s="421" t="e">
        <f>VLOOKUP(B35,正厂竞争者数据汇总!D:H,3,FALSE)</f>
        <v>#N/A</v>
      </c>
      <c r="E35" s="430"/>
      <c r="F35" s="430">
        <v>19764.0841666667</v>
      </c>
      <c r="G35" s="430">
        <v>22541.9025</v>
      </c>
      <c r="H35" s="430">
        <v>25309.0933333333</v>
      </c>
      <c r="I35" s="453"/>
      <c r="J35" s="459">
        <f t="shared" si="8"/>
        <v>0.00873426696630247</v>
      </c>
      <c r="K35" s="459">
        <v>0.0095938638926917</v>
      </c>
      <c r="L35" s="459">
        <v>0.011376934891798</v>
      </c>
      <c r="M35" s="459">
        <v>0.0120089452229426</v>
      </c>
      <c r="N35" s="459">
        <v>0.0082777039906163</v>
      </c>
      <c r="O35" s="451"/>
      <c r="P35" s="459"/>
      <c r="Q35" s="430"/>
      <c r="R35" s="471" t="e">
        <f t="array" ref="R35">INDEX(正厂竞争者数据汇总!$I$2:$I$243,MATCH($A$22&amp;$B35,正厂竞争者数据汇总!$A$2:$A$243&amp;正厂竞争者数据汇总!$D$2:$D$243,0))</f>
        <v>#N/A</v>
      </c>
      <c r="S35" s="429"/>
      <c r="T35" s="435"/>
      <c r="U35" s="473"/>
      <c r="V35" s="466"/>
      <c r="W35" s="466"/>
      <c r="X35" s="421"/>
      <c r="Y35" s="421"/>
    </row>
    <row r="36" spans="1:25">
      <c r="A36" s="428" t="s">
        <v>243</v>
      </c>
      <c r="B36" s="421" t="s">
        <v>525</v>
      </c>
      <c r="C36" s="429" t="str">
        <f>VLOOKUP(B36,正厂竞争者数据汇总!D:H,2,FALSE)</f>
        <v>原厂目录</v>
      </c>
      <c r="D36" s="421" t="str">
        <f>VLOOKUP(B36,正厂竞争者数据汇总!D:H,3,FALSE)</f>
        <v>GA</v>
      </c>
      <c r="E36" s="430">
        <f>VLOOKUP(B36,正厂竞争者数据汇总!D:H,4,FALSE)</f>
        <v>0</v>
      </c>
      <c r="F36" s="430">
        <v>2876.75</v>
      </c>
      <c r="G36" s="430">
        <v>1643.25</v>
      </c>
      <c r="H36" s="430">
        <v>3632</v>
      </c>
      <c r="I36" s="453"/>
      <c r="J36" s="459">
        <f>F36/F$40</f>
        <v>0.00127131124738315</v>
      </c>
      <c r="K36" s="459">
        <v>0.00069936940068238</v>
      </c>
      <c r="L36" s="459">
        <v>0.00163265538527168</v>
      </c>
      <c r="M36" s="459">
        <v>0.00206476621118208</v>
      </c>
      <c r="N36" s="459">
        <v>0.00235007760520777</v>
      </c>
      <c r="O36" s="451"/>
      <c r="P36" s="459" t="str">
        <f t="shared" ref="P36:P38" si="9">IFERROR(Q36*0.5/$F$24,"")</f>
        <v/>
      </c>
      <c r="Q36" s="430" t="s">
        <v>180</v>
      </c>
      <c r="R36" s="471" t="str">
        <f t="array" ref="R36">INDEX(正厂竞争者数据汇总!$I$2:$I$243,MATCH($A$22&amp;$B36,正厂竞争者数据汇总!$A$2:$A$243&amp;正厂竞争者数据汇总!$D$2:$D$243,0))</f>
        <v>202305网站无法正常打开</v>
      </c>
      <c r="S36" s="429" t="s">
        <v>180</v>
      </c>
      <c r="T36" s="435" t="s">
        <v>180</v>
      </c>
      <c r="U36" s="473">
        <f>VLOOKUP(B36,正厂竞争者数据汇总!$D$2:$CL$243,25,FALSE)</f>
        <v>7025</v>
      </c>
      <c r="V36" s="466"/>
      <c r="W36" s="466"/>
      <c r="X36" s="421"/>
      <c r="Y36" s="421"/>
    </row>
    <row r="37" ht="17.4" spans="1:25">
      <c r="A37" s="428" t="s">
        <v>511</v>
      </c>
      <c r="B37" s="438" t="s">
        <v>526</v>
      </c>
      <c r="C37" s="429" t="str">
        <f>VLOOKUP(B37,正厂竞争者数据汇总!D:H,2,FALSE)</f>
        <v>原厂目录</v>
      </c>
      <c r="D37" s="421" t="str">
        <f>VLOOKUP(B37,正厂竞争者数据汇总!D:H,3,FALSE)</f>
        <v>-</v>
      </c>
      <c r="E37" s="430">
        <f>VLOOKUP(B37,正厂竞争者数据汇总!D:H,4,FALSE)</f>
        <v>6238</v>
      </c>
      <c r="F37" s="430">
        <v>5964443.25</v>
      </c>
      <c r="G37" s="430">
        <v>6569465.83333333</v>
      </c>
      <c r="H37" s="430">
        <v>5784862.75</v>
      </c>
      <c r="I37" s="453"/>
      <c r="J37" s="455"/>
      <c r="K37" s="455"/>
      <c r="L37" s="455"/>
      <c r="M37" s="455"/>
      <c r="N37" s="455"/>
      <c r="O37" s="451"/>
      <c r="P37" s="459" t="str">
        <f t="shared" si="9"/>
        <v/>
      </c>
      <c r="Q37" s="430" t="s">
        <v>180</v>
      </c>
      <c r="R37" s="471" t="str">
        <f t="array" ref="R37">INDEX(正厂竞争者数据汇总!$I$2:$I$243,MATCH($A$22&amp;$B37,正厂竞争者数据汇总!$A$2:$A$243&amp;正厂竞争者数据汇总!$D$2:$D$243,0))</f>
        <v>semrush升级，无法获取最新流量</v>
      </c>
      <c r="S37" s="429" t="s">
        <v>180</v>
      </c>
      <c r="T37" s="435" t="s">
        <v>180</v>
      </c>
      <c r="U37" s="473">
        <f>VLOOKUP(B37,正厂竞争者数据汇总!$D$2:$CL$243,25,FALSE)</f>
        <v>374749</v>
      </c>
      <c r="V37" s="466"/>
      <c r="W37" s="466"/>
      <c r="X37" s="421"/>
      <c r="Y37" s="421"/>
    </row>
    <row r="38" spans="1:25">
      <c r="A38" s="431" t="s">
        <v>513</v>
      </c>
      <c r="B38" s="438" t="s">
        <v>527</v>
      </c>
      <c r="C38" s="429" t="e">
        <f>VLOOKUP(B38,正厂竞争者数据汇总!D:H,2,FALSE)</f>
        <v>#N/A</v>
      </c>
      <c r="D38" s="421" t="e">
        <f>VLOOKUP(B38,正厂竞争者数据汇总!D:H,3,FALSE)</f>
        <v>#N/A</v>
      </c>
      <c r="E38" s="430" t="e">
        <f>VLOOKUP(B38,正厂竞争者数据汇总!D:H,4,FALSE)</f>
        <v>#N/A</v>
      </c>
      <c r="F38" s="430">
        <v>86984.4999999998</v>
      </c>
      <c r="G38" s="430">
        <v>94052.8333333333</v>
      </c>
      <c r="H38" s="430">
        <v>103314.333333333</v>
      </c>
      <c r="I38" s="453"/>
      <c r="J38" s="459"/>
      <c r="K38" s="459"/>
      <c r="L38" s="459"/>
      <c r="M38" s="459"/>
      <c r="N38" s="459"/>
      <c r="O38" s="451"/>
      <c r="P38" s="459" t="str">
        <f t="shared" si="9"/>
        <v/>
      </c>
      <c r="Q38" s="430" t="s">
        <v>180</v>
      </c>
      <c r="R38" s="471" t="e">
        <f t="array" ref="R38">INDEX(正厂竞争者数据汇总!$I$2:$I$243,MATCH($A$22&amp;$B38,正厂竞争者数据汇总!$A$2:$A$243&amp;正厂竞争者数据汇总!$D$2:$D$243,0))</f>
        <v>#N/A</v>
      </c>
      <c r="S38" s="429" t="s">
        <v>180</v>
      </c>
      <c r="T38" s="435" t="s">
        <v>180</v>
      </c>
      <c r="U38" s="473" t="e">
        <f>VLOOKUP(B38,正厂竞争者数据汇总!$D$2:$CL$243,25,FALSE)</f>
        <v>#N/A</v>
      </c>
      <c r="V38" s="466"/>
      <c r="W38" s="466"/>
      <c r="X38" s="421"/>
      <c r="Y38" s="421"/>
    </row>
    <row r="39" spans="1:25">
      <c r="A39" s="432"/>
      <c r="B39" s="435"/>
      <c r="C39" s="434"/>
      <c r="D39" s="435"/>
      <c r="E39" s="430"/>
      <c r="F39" s="430"/>
      <c r="G39" s="430"/>
      <c r="H39" s="430"/>
      <c r="I39" s="453"/>
      <c r="J39" s="436"/>
      <c r="K39" s="436"/>
      <c r="L39" s="436"/>
      <c r="M39" s="436"/>
      <c r="N39" s="436"/>
      <c r="O39" s="451"/>
      <c r="P39" s="455"/>
      <c r="Q39" s="436"/>
      <c r="R39" s="471"/>
      <c r="S39" s="434"/>
      <c r="T39" s="435"/>
      <c r="U39" s="473"/>
      <c r="V39" s="477"/>
      <c r="W39" s="466"/>
      <c r="X39" s="435"/>
      <c r="Y39" s="435"/>
    </row>
    <row r="40" spans="1:25">
      <c r="A40" s="428"/>
      <c r="B40" s="421"/>
      <c r="C40" s="439"/>
      <c r="D40" s="421"/>
      <c r="E40" s="430"/>
      <c r="F40" s="430">
        <v>2262821.16666667</v>
      </c>
      <c r="G40" s="430">
        <v>2349616.66666667</v>
      </c>
      <c r="H40" s="430">
        <v>2224596.83333334</v>
      </c>
      <c r="I40" s="453">
        <f t="shared" ref="I40:I50" si="10">(F40/G40)-1</f>
        <v>-0.0369402810387509</v>
      </c>
      <c r="J40" s="451"/>
      <c r="K40" s="451"/>
      <c r="L40" s="451"/>
      <c r="M40" s="451"/>
      <c r="N40" s="451"/>
      <c r="O40" s="451"/>
      <c r="P40" s="451">
        <f>SUM(P24:P27)</f>
        <v>0.0221708203206329</v>
      </c>
      <c r="Q40" s="451"/>
      <c r="R40" s="471"/>
      <c r="S40" s="429"/>
      <c r="T40" s="421"/>
      <c r="U40" s="473"/>
      <c r="V40" s="466"/>
      <c r="W40" s="466"/>
      <c r="X40" s="421"/>
      <c r="Y40" s="421"/>
    </row>
    <row r="41" spans="1:25">
      <c r="A41" s="428"/>
      <c r="B41" s="421"/>
      <c r="C41" s="439"/>
      <c r="D41" s="421"/>
      <c r="E41" s="430"/>
      <c r="F41" s="430"/>
      <c r="G41" s="430"/>
      <c r="H41" s="430"/>
      <c r="I41" s="453"/>
      <c r="J41" s="430"/>
      <c r="K41" s="430"/>
      <c r="L41" s="430"/>
      <c r="M41" s="430"/>
      <c r="N41" s="430"/>
      <c r="O41" s="451"/>
      <c r="P41" s="451"/>
      <c r="Q41" s="430"/>
      <c r="R41" s="471"/>
      <c r="S41" s="429"/>
      <c r="T41" s="421"/>
      <c r="U41" s="473"/>
      <c r="V41" s="466"/>
      <c r="W41" s="466"/>
      <c r="X41" s="421"/>
      <c r="Y41" s="421"/>
    </row>
    <row r="42" ht="17.4" spans="1:25">
      <c r="A42" s="418" t="s">
        <v>141</v>
      </c>
      <c r="B42" s="441"/>
      <c r="C42" s="420"/>
      <c r="D42" s="421"/>
      <c r="E42" s="422" t="s">
        <v>202</v>
      </c>
      <c r="F42" s="422"/>
      <c r="G42" s="422"/>
      <c r="H42" s="422"/>
      <c r="I42" s="422"/>
      <c r="J42" s="422"/>
      <c r="K42" s="422"/>
      <c r="L42" s="422"/>
      <c r="M42" s="422"/>
      <c r="N42" s="422"/>
      <c r="O42" s="443"/>
      <c r="P42" s="444"/>
      <c r="Q42" s="422"/>
      <c r="R42" s="471"/>
      <c r="S42" s="465"/>
      <c r="T42" s="424"/>
      <c r="U42" s="473"/>
      <c r="V42" s="467"/>
      <c r="W42" s="467"/>
      <c r="X42" s="467"/>
      <c r="Y42" s="467"/>
    </row>
    <row r="43" ht="46.8" spans="1:25">
      <c r="A43" s="423" t="s">
        <v>206</v>
      </c>
      <c r="B43" s="424" t="s">
        <v>207</v>
      </c>
      <c r="C43" s="425" t="s">
        <v>208</v>
      </c>
      <c r="D43" s="424" t="s">
        <v>209</v>
      </c>
      <c r="E43" s="426" t="s">
        <v>210</v>
      </c>
      <c r="F43" s="427" t="s">
        <v>396</v>
      </c>
      <c r="G43" s="427" t="s">
        <v>496</v>
      </c>
      <c r="H43" s="427" t="s">
        <v>627</v>
      </c>
      <c r="I43" s="427" t="s">
        <v>628</v>
      </c>
      <c r="J43" s="446" t="s">
        <v>387</v>
      </c>
      <c r="K43" s="446" t="s">
        <v>390</v>
      </c>
      <c r="L43" s="446" t="s">
        <v>629</v>
      </c>
      <c r="M43" s="446" t="s">
        <v>630</v>
      </c>
      <c r="N43" s="446" t="s">
        <v>631</v>
      </c>
      <c r="O43" s="447" t="s">
        <v>632</v>
      </c>
      <c r="P43" s="448" t="s">
        <v>219</v>
      </c>
      <c r="Q43" s="449" t="s">
        <v>220</v>
      </c>
      <c r="R43" s="468" t="s">
        <v>221</v>
      </c>
      <c r="S43" s="469" t="s">
        <v>222</v>
      </c>
      <c r="T43" s="426" t="s">
        <v>223</v>
      </c>
      <c r="U43" s="470" t="s">
        <v>224</v>
      </c>
      <c r="V43" s="467" t="s">
        <v>225</v>
      </c>
      <c r="W43" s="470" t="s">
        <v>226</v>
      </c>
      <c r="X43" s="467"/>
      <c r="Y43" s="467"/>
    </row>
    <row r="44" ht="17.4" spans="1:25">
      <c r="A44" s="432" t="s">
        <v>227</v>
      </c>
      <c r="B44" s="433" t="s">
        <v>528</v>
      </c>
      <c r="C44" s="434" t="e">
        <f>VLOOKUP(B44,正厂竞争者数据汇总!D:H,2,FALSE)</f>
        <v>#N/A</v>
      </c>
      <c r="D44" s="435" t="e">
        <f>VLOOKUP(B44,正厂竞争者数据汇总!D:H,3,FALSE)</f>
        <v>#N/A</v>
      </c>
      <c r="E44" s="436" t="e">
        <f>VLOOKUP(B44,正厂竞争者数据汇总!D:H,4,FALSE)</f>
        <v>#N/A</v>
      </c>
      <c r="F44" s="436">
        <v>541471.75</v>
      </c>
      <c r="G44" s="436">
        <v>544041.166666667</v>
      </c>
      <c r="H44" s="436">
        <v>498236.083333333</v>
      </c>
      <c r="I44" s="454">
        <f t="shared" si="10"/>
        <v>-0.00472283500605253</v>
      </c>
      <c r="J44" s="455">
        <f t="shared" ref="J44:J50" si="11">F44/F$57</f>
        <v>0.358216318392178</v>
      </c>
      <c r="K44" s="455">
        <v>0.33829701696189</v>
      </c>
      <c r="L44" s="455">
        <v>0.302864254696065</v>
      </c>
      <c r="M44" s="455">
        <v>0.282850630327957</v>
      </c>
      <c r="N44" s="455">
        <v>0.260214516960801</v>
      </c>
      <c r="O44" s="456">
        <f t="shared" ref="O44:O50" si="12">J44-N44</f>
        <v>0.0980018014313765</v>
      </c>
      <c r="P44" s="455" t="str">
        <f>IFERROR(Q44*0.5/#REF!,"")</f>
        <v/>
      </c>
      <c r="Q44" s="436" t="s">
        <v>180</v>
      </c>
      <c r="R44" s="475" t="e">
        <f t="array" ref="R44">INDEX(正厂竞争者数据汇总!$I$2:$I$243,MATCH($A$42&amp;$B44,正厂竞争者数据汇总!$A$2:$A$243&amp;正厂竞争者数据汇总!$D$2:$D$243,0))</f>
        <v>#N/A</v>
      </c>
      <c r="S44" s="434" t="s">
        <v>241</v>
      </c>
      <c r="T44" s="435" t="s">
        <v>229</v>
      </c>
      <c r="U44" s="476" t="e">
        <f>VLOOKUP(B44,正厂竞争者数据汇总!$D$2:$CL$243,25,FALSE)</f>
        <v>#N/A</v>
      </c>
      <c r="V44" s="477"/>
      <c r="W44" s="477"/>
      <c r="X44" s="435"/>
      <c r="Y44" s="435"/>
    </row>
    <row r="45" spans="1:25">
      <c r="A45" s="428" t="s">
        <v>230</v>
      </c>
      <c r="B45" s="421" t="s">
        <v>242</v>
      </c>
      <c r="C45" s="429" t="str">
        <f>VLOOKUP(B45,正厂竞争者数据汇总!D:H,2,FALSE)</f>
        <v>Motor目录</v>
      </c>
      <c r="D45" s="421" t="str">
        <f>VLOOKUP(B45,正厂竞争者数据汇总!D:H,3,FALSE)</f>
        <v>KS</v>
      </c>
      <c r="E45" s="430">
        <f>VLOOKUP(B45,正厂竞争者数据汇总!D:H,4,FALSE)</f>
        <v>0</v>
      </c>
      <c r="F45" s="430">
        <v>433985.083333333</v>
      </c>
      <c r="G45" s="430">
        <v>455733.666666667</v>
      </c>
      <c r="H45" s="430">
        <v>477519.666666667</v>
      </c>
      <c r="I45" s="453">
        <f t="shared" si="10"/>
        <v>-0.0477221344922961</v>
      </c>
      <c r="J45" s="459">
        <f t="shared" si="11"/>
        <v>0.2871073860987</v>
      </c>
      <c r="K45" s="459">
        <v>0.283385430016364</v>
      </c>
      <c r="L45" s="459">
        <v>0.290271304679787</v>
      </c>
      <c r="M45" s="459">
        <v>0.274767355750441</v>
      </c>
      <c r="N45" s="459">
        <v>0.248553708523829</v>
      </c>
      <c r="O45" s="451">
        <f t="shared" si="12"/>
        <v>0.0385536775748713</v>
      </c>
      <c r="P45" s="459" t="str">
        <f>IFERROR(Q45*0.5/#REF!,"")</f>
        <v/>
      </c>
      <c r="Q45" s="430" t="s">
        <v>180</v>
      </c>
      <c r="R45" s="471">
        <f t="array" ref="R45">INDEX(正厂竞争者数据汇总!$I$2:$I$243,MATCH($A$42&amp;$B45,正厂竞争者数据汇总!$A$2:$A$243&amp;正厂竞争者数据汇总!$D$2:$D$243,0))</f>
        <v>0</v>
      </c>
      <c r="S45" s="429" t="s">
        <v>180</v>
      </c>
      <c r="T45" s="435" t="s">
        <v>180</v>
      </c>
      <c r="U45" s="473">
        <f>VLOOKUP(B45,正厂竞争者数据汇总!$D$2:$CL$243,25,FALSE)</f>
        <v>486334</v>
      </c>
      <c r="V45" s="466"/>
      <c r="W45" s="466"/>
      <c r="X45" s="421"/>
      <c r="Y45" s="421"/>
    </row>
    <row r="46" spans="1:25">
      <c r="A46" s="428" t="s">
        <v>243</v>
      </c>
      <c r="B46" s="421" t="s">
        <v>244</v>
      </c>
      <c r="C46" s="429" t="str">
        <f>VLOOKUP(B46,正厂竞争者数据汇总!D:H,2,FALSE)</f>
        <v>旧年份原厂、新年份Motor</v>
      </c>
      <c r="D46" s="421" t="str">
        <f>VLOOKUP(B46,正厂竞争者数据汇总!D:H,3,FALSE)</f>
        <v>FL</v>
      </c>
      <c r="E46" s="430">
        <f>VLOOKUP(B46,正厂竞争者数据汇总!D:H,4,FALSE)</f>
        <v>0</v>
      </c>
      <c r="F46" s="430">
        <v>234012.083333333</v>
      </c>
      <c r="G46" s="430">
        <v>259205.083333333</v>
      </c>
      <c r="H46" s="430">
        <v>258605</v>
      </c>
      <c r="I46" s="453">
        <f t="shared" si="10"/>
        <v>-0.0971933099305859</v>
      </c>
      <c r="J46" s="459">
        <f t="shared" si="11"/>
        <v>0.154813149441222</v>
      </c>
      <c r="K46" s="459">
        <v>0.161179542736241</v>
      </c>
      <c r="L46" s="459">
        <v>0.15719899301889</v>
      </c>
      <c r="M46" s="459">
        <v>0.162525726557584</v>
      </c>
      <c r="N46" s="459">
        <v>0.204220603819392</v>
      </c>
      <c r="O46" s="451">
        <f t="shared" si="12"/>
        <v>-0.04940745437817</v>
      </c>
      <c r="P46" s="459" t="str">
        <f>IFERROR(Q46*0.5/#REF!,"")</f>
        <v/>
      </c>
      <c r="Q46" s="430" t="s">
        <v>180</v>
      </c>
      <c r="R46" s="471">
        <f t="array" ref="R46">INDEX(正厂竞争者数据汇总!$I$2:$I$243,MATCH($A$42&amp;$B46,正厂竞争者数据汇总!$A$2:$A$243&amp;正厂竞争者数据汇总!$D$2:$D$243,0))</f>
        <v>0</v>
      </c>
      <c r="S46" s="429" t="s">
        <v>180</v>
      </c>
      <c r="T46" s="435" t="s">
        <v>180</v>
      </c>
      <c r="U46" s="473">
        <f>VLOOKUP(B46,正厂竞争者数据汇总!$D$2:$CL$243,25,FALSE)</f>
        <v>278886</v>
      </c>
      <c r="V46" s="466"/>
      <c r="W46" s="466"/>
      <c r="X46" s="421"/>
      <c r="Y46" s="421"/>
    </row>
    <row r="47" spans="1:25">
      <c r="A47" s="428" t="s">
        <v>230</v>
      </c>
      <c r="B47" s="438" t="s">
        <v>416</v>
      </c>
      <c r="C47" s="429" t="str">
        <f>VLOOKUP(B47,正厂竞争者数据汇总!D:H,2,FALSE)</f>
        <v>Motor目录</v>
      </c>
      <c r="D47" s="421" t="str">
        <f>VLOOKUP(B47,正厂竞争者数据汇总!D:H,3,FALSE)</f>
        <v>VA</v>
      </c>
      <c r="E47" s="430">
        <f>VLOOKUP(B47,正厂竞争者数据汇总!D:H,4,FALSE)</f>
        <v>0</v>
      </c>
      <c r="F47" s="430">
        <v>156084.333333333</v>
      </c>
      <c r="G47" s="430">
        <v>184121.416666667</v>
      </c>
      <c r="H47" s="430">
        <v>202995</v>
      </c>
      <c r="I47" s="453">
        <f t="shared" si="10"/>
        <v>-0.152274970728105</v>
      </c>
      <c r="J47" s="459">
        <f t="shared" si="11"/>
        <v>0.103259228658492</v>
      </c>
      <c r="K47" s="459">
        <v>0.114490832373525</v>
      </c>
      <c r="L47" s="459">
        <v>0.123395176380463</v>
      </c>
      <c r="M47" s="459">
        <v>0.133250487466961</v>
      </c>
      <c r="N47" s="459">
        <v>0.115814303696737</v>
      </c>
      <c r="O47" s="451">
        <f t="shared" si="12"/>
        <v>-0.0125550750382447</v>
      </c>
      <c r="P47" s="459" t="str">
        <f>IFERROR(Q47*0.5/#REF!,"")</f>
        <v/>
      </c>
      <c r="Q47" s="430" t="s">
        <v>180</v>
      </c>
      <c r="R47" s="471" t="str">
        <f t="array" ref="R47">INDEX(正厂竞争者数据汇总!$I$2:$I$243,MATCH($A$42&amp;$B47,正厂竞争者数据汇总!$A$2:$A$243&amp;正厂竞争者数据汇总!$D$2:$D$243,0))</f>
        <v>2023年11月导流至toyotaparts.ourismantoyotaofrichmond.com，原网站流量大幅下跌</v>
      </c>
      <c r="S47" s="429" t="s">
        <v>180</v>
      </c>
      <c r="T47" s="435" t="s">
        <v>180</v>
      </c>
      <c r="U47" s="473">
        <f>VLOOKUP(B47,正厂竞争者数据汇总!$D$2:$CL$243,25,FALSE)</f>
        <v>195034</v>
      </c>
      <c r="V47" s="466"/>
      <c r="W47" s="466"/>
      <c r="X47" s="421"/>
      <c r="Y47" s="421"/>
    </row>
    <row r="48" spans="1:25">
      <c r="A48" s="428" t="s">
        <v>230</v>
      </c>
      <c r="B48" s="431" t="s">
        <v>529</v>
      </c>
      <c r="C48" s="429" t="e">
        <f>VLOOKUP(B48,正厂竞争者数据汇总!D:H,2,FALSE)</f>
        <v>#N/A</v>
      </c>
      <c r="D48" s="421" t="e">
        <f>VLOOKUP(B48,正厂竞争者数据汇总!D:H,3,FALSE)</f>
        <v>#N/A</v>
      </c>
      <c r="E48" s="430" t="e">
        <f>VLOOKUP(B48,正厂竞争者数据汇总!D:H,4,FALSE)</f>
        <v>#N/A</v>
      </c>
      <c r="F48" s="430">
        <v>139665.833333333</v>
      </c>
      <c r="G48" s="430">
        <v>153151.666666667</v>
      </c>
      <c r="H48" s="430">
        <v>177953.583333333</v>
      </c>
      <c r="I48" s="453">
        <f t="shared" si="10"/>
        <v>-0.0880554134790175</v>
      </c>
      <c r="J48" s="451">
        <f t="shared" si="11"/>
        <v>0.0923973976885073</v>
      </c>
      <c r="K48" s="451">
        <v>0.0952331462222223</v>
      </c>
      <c r="L48" s="451">
        <v>0.108173175708525</v>
      </c>
      <c r="M48" s="451">
        <v>0.11074309252387</v>
      </c>
      <c r="N48" s="451">
        <v>0.118860917694305</v>
      </c>
      <c r="O48" s="451">
        <f t="shared" si="12"/>
        <v>-0.0264635200057977</v>
      </c>
      <c r="P48" s="455"/>
      <c r="Q48" s="436"/>
      <c r="R48" s="471" t="e">
        <f t="array" ref="R48">INDEX(正厂竞争者数据汇总!$I$2:$I$243,MATCH($A$42&amp;$B48,正厂竞争者数据汇总!$A$2:$A$243&amp;正厂竞争者数据汇总!$D$2:$D$243,0))</f>
        <v>#N/A</v>
      </c>
      <c r="S48" s="434"/>
      <c r="T48" s="435"/>
      <c r="U48" s="473" t="e">
        <f>VLOOKUP(B48,正厂竞争者数据汇总!$D$2:$CL$243,25,FALSE)</f>
        <v>#N/A</v>
      </c>
      <c r="V48" s="477"/>
      <c r="W48" s="466"/>
      <c r="X48" s="435"/>
      <c r="Y48" s="435"/>
    </row>
    <row r="49" spans="1:25">
      <c r="A49" s="428" t="s">
        <v>230</v>
      </c>
      <c r="B49" s="431" t="s">
        <v>510</v>
      </c>
      <c r="C49" s="429" t="e">
        <f>VLOOKUP(B49,正厂竞争者数据汇总!D:H,2,FALSE)</f>
        <v>#N/A</v>
      </c>
      <c r="D49" s="421" t="e">
        <f>VLOOKUP(B49,正厂竞争者数据汇总!D:H,3,FALSE)</f>
        <v>#N/A</v>
      </c>
      <c r="E49" s="430" t="e">
        <f>VLOOKUP(B49,正厂竞争者数据汇总!D:H,4,FALSE)</f>
        <v>#N/A</v>
      </c>
      <c r="F49" s="430">
        <v>6358.48083333334</v>
      </c>
      <c r="G49" s="430">
        <v>10766.5683333333</v>
      </c>
      <c r="H49" s="430">
        <v>24521.5958333333</v>
      </c>
      <c r="I49" s="453">
        <f t="shared" si="10"/>
        <v>-0.409423630958856</v>
      </c>
      <c r="J49" s="459">
        <f t="shared" si="11"/>
        <v>0.00420651972089752</v>
      </c>
      <c r="K49" s="459">
        <v>0.00669489401399403</v>
      </c>
      <c r="L49" s="459">
        <v>0.014906015630851</v>
      </c>
      <c r="M49" s="459">
        <v>0.0271529589286254</v>
      </c>
      <c r="N49" s="459">
        <v>0.039061462072859</v>
      </c>
      <c r="O49" s="451">
        <f t="shared" si="12"/>
        <v>-0.0348549423519615</v>
      </c>
      <c r="P49" s="459" t="str">
        <f>IFERROR(Q49*0.5/#REF!,"")</f>
        <v/>
      </c>
      <c r="Q49" s="430" t="s">
        <v>180</v>
      </c>
      <c r="R49" s="471" t="e">
        <f t="array" ref="R49">INDEX(正厂竞争者数据汇总!$I$2:$I$243,MATCH($A$42&amp;$B49,正厂竞争者数据汇总!$A$2:$A$243&amp;正厂竞争者数据汇总!$D$2:$D$243,0))</f>
        <v>#N/A</v>
      </c>
      <c r="S49" s="429"/>
      <c r="T49" s="435"/>
      <c r="U49" s="473" t="e">
        <f>VLOOKUP(B49,正厂竞争者数据汇总!$D$2:$CL$243,25,FALSE)</f>
        <v>#N/A</v>
      </c>
      <c r="V49" s="466"/>
      <c r="W49" s="466"/>
      <c r="X49" s="421"/>
      <c r="Y49" s="421"/>
    </row>
    <row r="50" spans="1:25">
      <c r="A50" s="432" t="s">
        <v>227</v>
      </c>
      <c r="B50" s="435" t="s">
        <v>143</v>
      </c>
      <c r="C50" s="434" t="e">
        <f>VLOOKUP(B50,正厂竞争者数据汇总!D:H,2,FALSE)</f>
        <v>#N/A</v>
      </c>
      <c r="D50" s="435" t="e">
        <f>VLOOKUP(B50,正厂竞争者数据汇总!D:H,3,FALSE)</f>
        <v>#N/A</v>
      </c>
      <c r="E50" s="436" t="e">
        <f>VLOOKUP(B50,正厂竞争者数据汇总!D:H,4,FALSE)</f>
        <v>#N/A</v>
      </c>
      <c r="F50" s="436">
        <v>0</v>
      </c>
      <c r="G50" s="436">
        <v>1156.5</v>
      </c>
      <c r="H50" s="436">
        <v>5249.58333333333</v>
      </c>
      <c r="I50" s="454">
        <f t="shared" si="10"/>
        <v>-1</v>
      </c>
      <c r="J50" s="457">
        <f t="shared" si="11"/>
        <v>0</v>
      </c>
      <c r="K50" s="457">
        <v>0.000719137675763676</v>
      </c>
      <c r="L50" s="457">
        <v>0.00319107988541888</v>
      </c>
      <c r="M50" s="457">
        <v>0.00870974844456154</v>
      </c>
      <c r="N50" s="457">
        <v>0.013274487232077</v>
      </c>
      <c r="O50" s="456">
        <f t="shared" si="12"/>
        <v>-0.013274487232077</v>
      </c>
      <c r="P50" s="455" t="str">
        <f>IFERROR(Q50*0.5/#REF!,"")</f>
        <v/>
      </c>
      <c r="Q50" s="436" t="s">
        <v>180</v>
      </c>
      <c r="R50" s="475" t="e">
        <f t="array" ref="R50">INDEX(正厂竞争者数据汇总!$I$2:$I$243,MATCH($A$42&amp;$B50,正厂竞争者数据汇总!$A$2:$A$243&amp;正厂竞争者数据汇总!$D$2:$D$243,0))</f>
        <v>#N/A</v>
      </c>
      <c r="S50" s="434" t="s">
        <v>530</v>
      </c>
      <c r="T50" s="435" t="s">
        <v>229</v>
      </c>
      <c r="U50" s="476" t="e">
        <f>VLOOKUP(B50,正厂竞争者数据汇总!$D$2:$CL$243,25,FALSE)</f>
        <v>#N/A</v>
      </c>
      <c r="V50" s="477"/>
      <c r="W50" s="477"/>
      <c r="X50" s="435"/>
      <c r="Y50" s="435"/>
    </row>
    <row r="51" spans="1:25">
      <c r="A51" s="435"/>
      <c r="B51" s="435"/>
      <c r="C51" s="434"/>
      <c r="D51" s="435"/>
      <c r="E51" s="430"/>
      <c r="F51" s="430"/>
      <c r="G51" s="430"/>
      <c r="H51" s="430"/>
      <c r="I51" s="450"/>
      <c r="J51" s="457"/>
      <c r="K51" s="457"/>
      <c r="L51" s="457"/>
      <c r="M51" s="457"/>
      <c r="N51" s="457"/>
      <c r="O51" s="452"/>
      <c r="P51" s="455"/>
      <c r="Q51" s="436"/>
      <c r="R51" s="471"/>
      <c r="S51" s="434"/>
      <c r="T51" s="435"/>
      <c r="U51" s="473"/>
      <c r="V51" s="477"/>
      <c r="W51" s="466"/>
      <c r="X51" s="435"/>
      <c r="Y51" s="435"/>
    </row>
    <row r="52" spans="1:25">
      <c r="A52" s="431" t="s">
        <v>230</v>
      </c>
      <c r="B52" s="438" t="s">
        <v>531</v>
      </c>
      <c r="C52" s="429" t="str">
        <f>VLOOKUP(B52,正厂竞争者数据汇总!D:H,2,FALSE)</f>
        <v>Motor目录</v>
      </c>
      <c r="D52" s="421" t="str">
        <f>VLOOKUP(B52,正厂竞争者数据汇总!D:H,3,FALSE)</f>
        <v>MS</v>
      </c>
      <c r="E52" s="430"/>
      <c r="F52" s="430">
        <v>50380.9166666667</v>
      </c>
      <c r="G52" s="430">
        <v>51975.9166666667</v>
      </c>
      <c r="H52" s="430">
        <v>52185.1666666667</v>
      </c>
      <c r="I52" s="453"/>
      <c r="J52" s="451">
        <f t="shared" ref="J52:J54" si="13">F52/F$57</f>
        <v>0.0333300241158591</v>
      </c>
      <c r="K52" s="451">
        <v>0.0323197923971925</v>
      </c>
      <c r="L52" s="451">
        <v>0.031721952980503</v>
      </c>
      <c r="M52" s="451">
        <v>0.03553348994122</v>
      </c>
      <c r="N52" s="451">
        <v>0.0298380559912508</v>
      </c>
      <c r="O52" s="451"/>
      <c r="P52" s="459"/>
      <c r="Q52" s="430"/>
      <c r="R52" s="471" t="str">
        <f t="array" ref="R52">INDEX(正厂竞争者数据汇总!$I$2:$I$243,MATCH($A$42&amp;$B52,正厂竞争者数据汇总!$A$2:$A$243&amp;正厂竞争者数据汇总!$D$2:$D$243,0))</f>
        <v>2022年1月，同时卖正副厂零件</v>
      </c>
      <c r="S52" s="429"/>
      <c r="T52" s="435"/>
      <c r="U52" s="473"/>
      <c r="V52" s="466"/>
      <c r="W52" s="466"/>
      <c r="X52" s="421"/>
      <c r="Y52" s="421"/>
    </row>
    <row r="53" spans="1:25">
      <c r="A53" s="431" t="s">
        <v>230</v>
      </c>
      <c r="B53" s="442" t="s">
        <v>532</v>
      </c>
      <c r="C53" s="429" t="e">
        <f>VLOOKUP(B53,正厂竞争者数据汇总!D:H,2,FALSE)</f>
        <v>#N/A</v>
      </c>
      <c r="D53" s="421" t="e">
        <f>VLOOKUP(B53,正厂竞争者数据汇总!D:H,3,FALSE)</f>
        <v>#N/A</v>
      </c>
      <c r="E53" s="430"/>
      <c r="F53" s="430">
        <v>108549</v>
      </c>
      <c r="G53" s="430">
        <v>109067.666666666</v>
      </c>
      <c r="H53" s="430">
        <v>120695.916666667</v>
      </c>
      <c r="I53" s="450"/>
      <c r="J53" s="451">
        <f t="shared" si="13"/>
        <v>0.0718117300582209</v>
      </c>
      <c r="K53" s="451">
        <v>0.0678207248660904</v>
      </c>
      <c r="L53" s="451">
        <v>0.0733677870168479</v>
      </c>
      <c r="M53" s="451">
        <v>0.0725355727674526</v>
      </c>
      <c r="N53" s="451">
        <v>0.0638305486452686</v>
      </c>
      <c r="O53" s="452"/>
      <c r="P53" s="455"/>
      <c r="Q53" s="436"/>
      <c r="R53" s="471" t="e">
        <f t="array" ref="R53">INDEX(正厂竞争者数据汇总!$I$2:$I$243,MATCH($A$42&amp;$B53,正厂竞争者数据汇总!$A$2:$A$243&amp;正厂竞争者数据汇总!$D$2:$D$243,0))</f>
        <v>#N/A</v>
      </c>
      <c r="S53" s="434"/>
      <c r="T53" s="435"/>
      <c r="U53" s="473"/>
      <c r="V53" s="477"/>
      <c r="W53" s="466"/>
      <c r="X53" s="435"/>
      <c r="Y53" s="435"/>
    </row>
    <row r="54" spans="1:25">
      <c r="A54" s="431" t="s">
        <v>230</v>
      </c>
      <c r="B54" s="438" t="s">
        <v>533</v>
      </c>
      <c r="C54" s="429" t="str">
        <f>VLOOKUP(B54,正厂竞争者数据汇总!D:H,2,FALSE)</f>
        <v>-</v>
      </c>
      <c r="D54" s="421" t="str">
        <f>VLOOKUP(B54,正厂竞争者数据汇总!D:H,3,FALSE)</f>
        <v>AZ</v>
      </c>
      <c r="E54" s="430"/>
      <c r="F54" s="430">
        <v>30026</v>
      </c>
      <c r="G54" s="430">
        <v>26637.75</v>
      </c>
      <c r="H54" s="430">
        <v>31743</v>
      </c>
      <c r="I54" s="453"/>
      <c r="J54" s="451">
        <f t="shared" si="13"/>
        <v>0.0198640153914651</v>
      </c>
      <c r="K54" s="451">
        <v>0.0165639512516851</v>
      </c>
      <c r="L54" s="451">
        <v>0.0192957121300773</v>
      </c>
      <c r="M54" s="451">
        <v>0.0264452021609186</v>
      </c>
      <c r="N54" s="451">
        <v>0.0304368595136727</v>
      </c>
      <c r="O54" s="451"/>
      <c r="P54" s="459"/>
      <c r="Q54" s="430"/>
      <c r="R54" s="471">
        <f t="array" ref="R54">INDEX(正厂竞争者数据汇总!$I$2:$I$243,MATCH($A$42&amp;$B54,正厂竞争者数据汇总!$A$2:$A$243&amp;正厂竞争者数据汇总!$D$2:$D$243,0))</f>
        <v>0</v>
      </c>
      <c r="S54" s="429"/>
      <c r="T54" s="435"/>
      <c r="U54" s="473"/>
      <c r="V54" s="466"/>
      <c r="W54" s="466"/>
      <c r="X54" s="421"/>
      <c r="Y54" s="421"/>
    </row>
    <row r="55" ht="17.4" spans="1:25">
      <c r="A55" s="421" t="s">
        <v>475</v>
      </c>
      <c r="B55" s="438" t="s">
        <v>534</v>
      </c>
      <c r="C55" s="429" t="str">
        <f>VLOOKUP(B55,正厂竞争者数据汇总!D:H,2,FALSE)</f>
        <v>原厂目录</v>
      </c>
      <c r="D55" s="421" t="str">
        <f>VLOOKUP(B55,正厂竞争者数据汇总!D:H,3,FALSE)</f>
        <v>-</v>
      </c>
      <c r="E55" s="430">
        <f>VLOOKUP(B55,正厂竞争者数据汇总!D:H,4,FALSE)</f>
        <v>0</v>
      </c>
      <c r="F55" s="430">
        <v>1319500</v>
      </c>
      <c r="G55" s="430">
        <v>810325.000000002</v>
      </c>
      <c r="H55" s="430">
        <v>756027.416666667</v>
      </c>
      <c r="I55" s="453"/>
      <c r="J55" s="463"/>
      <c r="K55" s="463"/>
      <c r="L55" s="463"/>
      <c r="M55" s="463"/>
      <c r="N55" s="463"/>
      <c r="O55" s="451"/>
      <c r="P55" s="459" t="str">
        <f>IFERROR(Q55*0.5/#REF!,"")</f>
        <v/>
      </c>
      <c r="Q55" s="430" t="s">
        <v>180</v>
      </c>
      <c r="R55" s="471" t="str">
        <f t="array" ref="R55">INDEX(正厂竞争者数据汇总!$I$2:$I$243,MATCH($A$42&amp;$B55,正厂竞争者数据汇总!$A$2:$A$243&amp;正厂竞争者数据汇总!$D$2:$D$243,0))</f>
        <v>Toyota 卖零件的官网</v>
      </c>
      <c r="S55" s="429" t="s">
        <v>180</v>
      </c>
      <c r="T55" s="435" t="s">
        <v>180</v>
      </c>
      <c r="U55" s="473">
        <f>VLOOKUP(B55,正厂竞争者数据汇总!$D$2:$CL$243,25,FALSE)</f>
        <v>1</v>
      </c>
      <c r="V55" s="466"/>
      <c r="W55" s="466"/>
      <c r="X55" s="421"/>
      <c r="Y55" s="421"/>
    </row>
    <row r="56" spans="1:25">
      <c r="A56" s="428"/>
      <c r="B56" s="438"/>
      <c r="C56" s="429"/>
      <c r="D56" s="421"/>
      <c r="E56" s="430"/>
      <c r="F56" s="430"/>
      <c r="G56" s="430"/>
      <c r="H56" s="430"/>
      <c r="I56" s="453"/>
      <c r="J56" s="463"/>
      <c r="K56" s="463"/>
      <c r="L56" s="463"/>
      <c r="M56" s="463"/>
      <c r="N56" s="463"/>
      <c r="O56" s="451"/>
      <c r="P56" s="459"/>
      <c r="Q56" s="430"/>
      <c r="R56" s="471"/>
      <c r="S56" s="429"/>
      <c r="T56" s="435"/>
      <c r="U56" s="473"/>
      <c r="V56" s="466"/>
      <c r="W56" s="466"/>
      <c r="X56" s="421"/>
      <c r="Y56" s="421"/>
    </row>
    <row r="57" spans="1:25">
      <c r="A57" s="428"/>
      <c r="B57" s="421"/>
      <c r="C57" s="439"/>
      <c r="D57" s="421"/>
      <c r="E57" s="430"/>
      <c r="F57" s="430">
        <v>1511577.56416667</v>
      </c>
      <c r="G57" s="430">
        <v>1608176.06833333</v>
      </c>
      <c r="H57" s="430">
        <v>1645080.5125</v>
      </c>
      <c r="I57" s="453">
        <f t="shared" ref="I57:I70" si="14">(F57/G57)-1</f>
        <v>-0.0600671195578555</v>
      </c>
      <c r="J57" s="430"/>
      <c r="K57" s="430"/>
      <c r="L57" s="430"/>
      <c r="M57" s="430"/>
      <c r="N57" s="430"/>
      <c r="O57" s="451"/>
      <c r="P57" s="459"/>
      <c r="Q57" s="430"/>
      <c r="R57" s="471"/>
      <c r="S57" s="429" t="s">
        <v>180</v>
      </c>
      <c r="T57" s="421"/>
      <c r="U57" s="473"/>
      <c r="V57" s="466"/>
      <c r="W57" s="466"/>
      <c r="X57" s="421"/>
      <c r="Y57" s="421"/>
    </row>
    <row r="58" spans="1:25">
      <c r="A58" s="428"/>
      <c r="B58" s="421"/>
      <c r="C58" s="439"/>
      <c r="D58" s="421"/>
      <c r="E58" s="430"/>
      <c r="F58" s="430"/>
      <c r="G58" s="430"/>
      <c r="H58" s="430"/>
      <c r="I58" s="453"/>
      <c r="J58" s="430"/>
      <c r="K58" s="430"/>
      <c r="L58" s="430"/>
      <c r="M58" s="430"/>
      <c r="N58" s="430"/>
      <c r="O58" s="451"/>
      <c r="P58" s="451"/>
      <c r="Q58" s="430"/>
      <c r="R58" s="471"/>
      <c r="S58" s="429"/>
      <c r="T58" s="421"/>
      <c r="U58" s="473"/>
      <c r="V58" s="466"/>
      <c r="W58" s="466"/>
      <c r="X58" s="421"/>
      <c r="Y58" s="421"/>
    </row>
    <row r="59" ht="17.4" spans="1:25">
      <c r="A59" s="418" t="s">
        <v>149</v>
      </c>
      <c r="B59" s="419"/>
      <c r="C59" s="420"/>
      <c r="D59" s="421"/>
      <c r="E59" s="422" t="s">
        <v>202</v>
      </c>
      <c r="F59" s="422"/>
      <c r="G59" s="422"/>
      <c r="H59" s="422"/>
      <c r="I59" s="422"/>
      <c r="J59" s="422"/>
      <c r="K59" s="422"/>
      <c r="L59" s="422"/>
      <c r="M59" s="422"/>
      <c r="N59" s="422"/>
      <c r="O59" s="443"/>
      <c r="P59" s="444"/>
      <c r="Q59" s="422"/>
      <c r="R59" s="471"/>
      <c r="S59" s="465"/>
      <c r="T59" s="424"/>
      <c r="U59" s="473"/>
      <c r="V59" s="467"/>
      <c r="W59" s="467"/>
      <c r="X59" s="467"/>
      <c r="Y59" s="467"/>
    </row>
    <row r="60" ht="46.8" spans="1:25">
      <c r="A60" s="423" t="s">
        <v>206</v>
      </c>
      <c r="B60" s="424" t="s">
        <v>207</v>
      </c>
      <c r="C60" s="425" t="s">
        <v>208</v>
      </c>
      <c r="D60" s="424" t="s">
        <v>209</v>
      </c>
      <c r="E60" s="426" t="s">
        <v>210</v>
      </c>
      <c r="F60" s="427" t="s">
        <v>396</v>
      </c>
      <c r="G60" s="427" t="s">
        <v>496</v>
      </c>
      <c r="H60" s="427" t="s">
        <v>627</v>
      </c>
      <c r="I60" s="427" t="s">
        <v>628</v>
      </c>
      <c r="J60" s="446" t="s">
        <v>387</v>
      </c>
      <c r="K60" s="446" t="s">
        <v>390</v>
      </c>
      <c r="L60" s="446" t="s">
        <v>629</v>
      </c>
      <c r="M60" s="446" t="s">
        <v>630</v>
      </c>
      <c r="N60" s="446" t="s">
        <v>631</v>
      </c>
      <c r="O60" s="447" t="s">
        <v>632</v>
      </c>
      <c r="P60" s="448" t="s">
        <v>219</v>
      </c>
      <c r="Q60" s="449" t="s">
        <v>220</v>
      </c>
      <c r="R60" s="468" t="s">
        <v>221</v>
      </c>
      <c r="S60" s="469" t="s">
        <v>222</v>
      </c>
      <c r="T60" s="426" t="s">
        <v>223</v>
      </c>
      <c r="U60" s="470" t="s">
        <v>224</v>
      </c>
      <c r="V60" s="467" t="s">
        <v>225</v>
      </c>
      <c r="W60" s="470" t="s">
        <v>226</v>
      </c>
      <c r="X60" s="467"/>
      <c r="Y60" s="467"/>
    </row>
    <row r="61" ht="34.8" spans="1:25">
      <c r="A61" s="432" t="s">
        <v>227</v>
      </c>
      <c r="B61" s="433" t="s">
        <v>535</v>
      </c>
      <c r="C61" s="434" t="e">
        <f>VLOOKUP(B61,正厂竞争者数据汇总!D:H,2,FALSE)</f>
        <v>#N/A</v>
      </c>
      <c r="D61" s="435" t="e">
        <f>VLOOKUP(B61,正厂竞争者数据汇总!D:H,3,FALSE)</f>
        <v>#N/A</v>
      </c>
      <c r="E61" s="436" t="e">
        <f>VLOOKUP(B61,正厂竞争者数据汇总!D:H,4,FALSE)</f>
        <v>#N/A</v>
      </c>
      <c r="F61" s="436">
        <v>566477.333333333</v>
      </c>
      <c r="G61" s="436">
        <v>589100.083333333</v>
      </c>
      <c r="H61" s="436">
        <v>528538.25</v>
      </c>
      <c r="I61" s="454">
        <f t="shared" si="14"/>
        <v>-0.0384022182987865</v>
      </c>
      <c r="J61" s="455">
        <f t="shared" ref="J61:J70" si="15">F61/F$77</f>
        <v>0.372798507457305</v>
      </c>
      <c r="K61" s="455">
        <v>0.368016500505677</v>
      </c>
      <c r="L61" s="455">
        <v>0.325555573313869</v>
      </c>
      <c r="M61" s="455">
        <v>0.296521315065843</v>
      </c>
      <c r="N61" s="455">
        <v>0.296222286855933</v>
      </c>
      <c r="O61" s="456">
        <f t="shared" ref="O61:O70" si="16">J61-N61</f>
        <v>0.0765762206013715</v>
      </c>
      <c r="P61" s="457" t="str">
        <f t="shared" ref="P61:P66" si="17">IFERROR(Q61*0.5/F$64,"")</f>
        <v/>
      </c>
      <c r="Q61" s="436" t="s">
        <v>180</v>
      </c>
      <c r="R61" s="475" t="e">
        <f t="array" ref="R61">INDEX(正厂竞争者数据汇总!$I$2:$I$243,MATCH($A$59&amp;$B61,正厂竞争者数据汇总!$A$2:$A$243&amp;正厂竞争者数据汇总!$D$2:$D$243,0))</f>
        <v>#N/A</v>
      </c>
      <c r="S61" s="434" t="s">
        <v>259</v>
      </c>
      <c r="T61" s="435" t="s">
        <v>229</v>
      </c>
      <c r="U61" s="476" t="e">
        <f>VLOOKUP(B61,正厂竞争者数据汇总!$D$2:$CL$243,25,FALSE)</f>
        <v>#N/A</v>
      </c>
      <c r="V61" s="477" t="s">
        <v>405</v>
      </c>
      <c r="W61" s="477"/>
      <c r="X61" s="477"/>
      <c r="Y61" s="477"/>
    </row>
    <row r="62" spans="1:25">
      <c r="A62" s="428" t="s">
        <v>230</v>
      </c>
      <c r="B62" s="438" t="s">
        <v>507</v>
      </c>
      <c r="C62" s="429" t="e">
        <f>VLOOKUP(B62,正厂竞争者数据汇总!D:H,2,FALSE)</f>
        <v>#N/A</v>
      </c>
      <c r="D62" s="421" t="e">
        <f>VLOOKUP(B62,正厂竞争者数据汇总!D:H,3,FALSE)</f>
        <v>#N/A</v>
      </c>
      <c r="E62" s="430" t="e">
        <f>VLOOKUP(B62,正厂竞争者数据汇总!D:H,4,FALSE)</f>
        <v>#N/A</v>
      </c>
      <c r="F62" s="430">
        <v>210520.763333333</v>
      </c>
      <c r="G62" s="430">
        <v>219033.640833333</v>
      </c>
      <c r="H62" s="430">
        <v>247558.620833333</v>
      </c>
      <c r="I62" s="453">
        <f t="shared" si="14"/>
        <v>-0.038865616567446</v>
      </c>
      <c r="J62" s="451">
        <f t="shared" si="15"/>
        <v>0.138543630506144</v>
      </c>
      <c r="K62" s="451">
        <v>0.136832426735356</v>
      </c>
      <c r="L62" s="451">
        <v>0.152484874527409</v>
      </c>
      <c r="M62" s="451">
        <v>0.168076395907618</v>
      </c>
      <c r="N62" s="451">
        <v>0.16906598694177</v>
      </c>
      <c r="O62" s="451">
        <f t="shared" si="16"/>
        <v>-0.0305223564356261</v>
      </c>
      <c r="P62" s="451"/>
      <c r="Q62" s="430"/>
      <c r="R62" s="471" t="e">
        <f t="array" ref="R62">INDEX(正厂竞争者数据汇总!$I$2:$I$243,MATCH($A$59&amp;$B62,正厂竞争者数据汇总!$A$2:$A$243&amp;正厂竞争者数据汇总!$D$2:$D$243,0))</f>
        <v>#N/A</v>
      </c>
      <c r="S62" s="429"/>
      <c r="T62" s="435"/>
      <c r="U62" s="473"/>
      <c r="V62" s="466"/>
      <c r="W62" s="466"/>
      <c r="X62" s="421"/>
      <c r="Y62" s="421"/>
    </row>
    <row r="63" spans="1:25">
      <c r="A63" s="428" t="s">
        <v>230</v>
      </c>
      <c r="B63" s="431" t="s">
        <v>536</v>
      </c>
      <c r="C63" s="429" t="e">
        <f>VLOOKUP(B63,正厂竞争者数据汇总!D:H,2,FALSE)</f>
        <v>#N/A</v>
      </c>
      <c r="D63" s="421" t="e">
        <f>VLOOKUP(B63,正厂竞争者数据汇总!D:H,3,FALSE)</f>
        <v>#N/A</v>
      </c>
      <c r="E63" s="430" t="e">
        <f>VLOOKUP(B63,正厂竞争者数据汇总!D:H,4,FALSE)</f>
        <v>#N/A</v>
      </c>
      <c r="F63" s="430">
        <v>215601.333333333</v>
      </c>
      <c r="G63" s="430">
        <v>206439.333333333</v>
      </c>
      <c r="H63" s="430">
        <v>225244.5</v>
      </c>
      <c r="I63" s="453">
        <f t="shared" si="14"/>
        <v>0.0443810772494906</v>
      </c>
      <c r="J63" s="451">
        <f t="shared" si="15"/>
        <v>0.141887151599719</v>
      </c>
      <c r="K63" s="451">
        <v>0.128964641441189</v>
      </c>
      <c r="L63" s="451">
        <v>0.138740388861725</v>
      </c>
      <c r="M63" s="451">
        <v>0.140434796049321</v>
      </c>
      <c r="N63" s="451">
        <v>0.146115758933283</v>
      </c>
      <c r="O63" s="451">
        <f t="shared" si="16"/>
        <v>-0.0042286073335637</v>
      </c>
      <c r="P63" s="455"/>
      <c r="Q63" s="436"/>
      <c r="R63" s="471" t="e">
        <f t="array" ref="R63">INDEX(正厂竞争者数据汇总!$I$2:$I$243,MATCH($A$59&amp;$B63,正厂竞争者数据汇总!$A$2:$A$243&amp;正厂竞争者数据汇总!$D$2:$D$243,0))</f>
        <v>#N/A</v>
      </c>
      <c r="S63" s="434"/>
      <c r="T63" s="435"/>
      <c r="U63" s="473" t="e">
        <f>VLOOKUP(B63,正厂竞争者数据汇总!$D$2:$CL$243,25,FALSE)</f>
        <v>#N/A</v>
      </c>
      <c r="V63" s="477"/>
      <c r="W63" s="466"/>
      <c r="X63" s="435"/>
      <c r="Y63" s="435"/>
    </row>
    <row r="64" spans="1:25">
      <c r="A64" s="428" t="s">
        <v>243</v>
      </c>
      <c r="B64" s="431" t="s">
        <v>537</v>
      </c>
      <c r="C64" s="429" t="e">
        <f>VLOOKUP(B64,正厂竞争者数据汇总!D:H,2,FALSE)</f>
        <v>#N/A</v>
      </c>
      <c r="D64" s="421" t="s">
        <v>266</v>
      </c>
      <c r="E64" s="430" t="e">
        <f>VLOOKUP(B64,正厂竞争者数据汇总!D:H,4,FALSE)</f>
        <v>#N/A</v>
      </c>
      <c r="F64" s="430">
        <v>118695.083333333</v>
      </c>
      <c r="G64" s="430">
        <v>134109.583333333</v>
      </c>
      <c r="H64" s="430">
        <v>133853.666666667</v>
      </c>
      <c r="I64" s="453">
        <f t="shared" si="14"/>
        <v>-0.114939586097191</v>
      </c>
      <c r="J64" s="451">
        <f t="shared" si="15"/>
        <v>0.0781131870693036</v>
      </c>
      <c r="K64" s="451">
        <v>0.083779549416022</v>
      </c>
      <c r="L64" s="451">
        <v>0.0824477834704117</v>
      </c>
      <c r="M64" s="451">
        <v>0.0851985976959758</v>
      </c>
      <c r="N64" s="451">
        <v>0.0863074452041689</v>
      </c>
      <c r="O64" s="451">
        <f t="shared" si="16"/>
        <v>-0.00819425813486525</v>
      </c>
      <c r="P64" s="451" t="str">
        <f t="shared" si="17"/>
        <v/>
      </c>
      <c r="Q64" s="430" t="s">
        <v>180</v>
      </c>
      <c r="R64" s="471" t="e">
        <f t="array" ref="R64">INDEX(正厂竞争者数据汇总!$I$2:$I$243,MATCH($A$59&amp;$B64,正厂竞争者数据汇总!$A$2:$A$243&amp;正厂竞争者数据汇总!$D$2:$D$243,0))</f>
        <v>#N/A</v>
      </c>
      <c r="S64" s="429" t="s">
        <v>180</v>
      </c>
      <c r="T64" s="435" t="s">
        <v>180</v>
      </c>
      <c r="U64" s="473" t="e">
        <f>VLOOKUP(B64,正厂竞争者数据汇总!$D$2:$CL$243,25,FALSE)</f>
        <v>#N/A</v>
      </c>
      <c r="V64" s="466"/>
      <c r="W64" s="466"/>
      <c r="X64" s="421"/>
      <c r="Y64" s="421"/>
    </row>
    <row r="65" spans="1:25">
      <c r="A65" s="428" t="s">
        <v>230</v>
      </c>
      <c r="B65" s="438" t="s">
        <v>538</v>
      </c>
      <c r="C65" s="429" t="e">
        <f>VLOOKUP(B65,正厂竞争者数据汇总!D:H,2,FALSE)</f>
        <v>#N/A</v>
      </c>
      <c r="D65" s="421" t="e">
        <f>VLOOKUP(B65,正厂竞争者数据汇总!D:H,3,FALSE)</f>
        <v>#N/A</v>
      </c>
      <c r="E65" s="430"/>
      <c r="F65" s="430">
        <v>162083.25</v>
      </c>
      <c r="G65" s="430">
        <v>142559.083333333</v>
      </c>
      <c r="H65" s="430">
        <v>133039.916666667</v>
      </c>
      <c r="I65" s="453">
        <f t="shared" si="14"/>
        <v>0.136954911676974</v>
      </c>
      <c r="J65" s="451">
        <f t="shared" si="15"/>
        <v>0.106666922272552</v>
      </c>
      <c r="K65" s="451">
        <v>0.0890580335123538</v>
      </c>
      <c r="L65" s="451">
        <v>0.0819465504039606</v>
      </c>
      <c r="M65" s="451">
        <v>0.0864710832114762</v>
      </c>
      <c r="N65" s="451">
        <v>0.100159928050499</v>
      </c>
      <c r="O65" s="451">
        <f t="shared" si="16"/>
        <v>0.00650699422205299</v>
      </c>
      <c r="P65" s="451"/>
      <c r="Q65" s="430"/>
      <c r="R65" s="471" t="e">
        <f t="array" ref="R65">INDEX(正厂竞争者数据汇总!$I$2:$I$243,MATCH($A$59&amp;$B65,正厂竞争者数据汇总!$A$2:$A$243&amp;正厂竞争者数据汇总!$D$2:$D$243,0))</f>
        <v>#N/A</v>
      </c>
      <c r="S65" s="429"/>
      <c r="T65" s="435"/>
      <c r="U65" s="473"/>
      <c r="V65" s="466"/>
      <c r="W65" s="466"/>
      <c r="X65" s="421"/>
      <c r="Y65" s="421"/>
    </row>
    <row r="66" spans="1:25">
      <c r="A66" s="428" t="s">
        <v>243</v>
      </c>
      <c r="B66" s="438" t="s">
        <v>539</v>
      </c>
      <c r="C66" s="429" t="e">
        <f>VLOOKUP(B66,正厂竞争者数据汇总!D:H,2,FALSE)</f>
        <v>#N/A</v>
      </c>
      <c r="D66" s="421" t="e">
        <f>VLOOKUP(B66,正厂竞争者数据汇总!D:H,3,FALSE)</f>
        <v>#N/A</v>
      </c>
      <c r="E66" s="430" t="e">
        <f>VLOOKUP(B66,正厂竞争者数据汇总!D:H,4,FALSE)</f>
        <v>#N/A</v>
      </c>
      <c r="F66" s="430">
        <v>59824.25</v>
      </c>
      <c r="G66" s="430">
        <v>80035.9166666668</v>
      </c>
      <c r="H66" s="430">
        <v>101632.416666667</v>
      </c>
      <c r="I66" s="453">
        <f t="shared" si="14"/>
        <v>-0.252532456782425</v>
      </c>
      <c r="J66" s="459">
        <f t="shared" si="15"/>
        <v>0.0393703150989613</v>
      </c>
      <c r="K66" s="459">
        <v>0.0499992086230351</v>
      </c>
      <c r="L66" s="459">
        <v>0.0626009558914436</v>
      </c>
      <c r="M66" s="459">
        <v>0.0738470294625102</v>
      </c>
      <c r="N66" s="459">
        <v>0.0786927544540401</v>
      </c>
      <c r="O66" s="451">
        <f t="shared" si="16"/>
        <v>-0.0393224393550788</v>
      </c>
      <c r="P66" s="451" t="str">
        <f t="shared" si="17"/>
        <v/>
      </c>
      <c r="Q66" s="430" t="s">
        <v>180</v>
      </c>
      <c r="R66" s="471" t="e">
        <f t="array" ref="R66">INDEX(正厂竞争者数据汇总!$I$2:$I$243,MATCH($A$59&amp;$B66,正厂竞争者数据汇总!$A$2:$A$243&amp;正厂竞争者数据汇总!$D$2:$D$243,0))</f>
        <v>#N/A</v>
      </c>
      <c r="S66" s="429" t="s">
        <v>180</v>
      </c>
      <c r="T66" s="435" t="s">
        <v>180</v>
      </c>
      <c r="U66" s="473" t="e">
        <f>VLOOKUP(B66,正厂竞争者数据汇总!$D$2:$CL$243,25,FALSE)</f>
        <v>#N/A</v>
      </c>
      <c r="V66" s="466"/>
      <c r="W66" s="466"/>
      <c r="X66" s="421"/>
      <c r="Y66" s="421"/>
    </row>
    <row r="67" spans="1:25">
      <c r="A67" s="428" t="s">
        <v>243</v>
      </c>
      <c r="B67" s="438" t="s">
        <v>540</v>
      </c>
      <c r="C67" s="429" t="e">
        <f>VLOOKUP(B67,正厂竞争者数据汇总!D:H,2,FALSE)</f>
        <v>#N/A</v>
      </c>
      <c r="D67" s="421" t="e">
        <f>VLOOKUP(B67,正厂竞争者数据汇总!D:H,3,FALSE)</f>
        <v>#N/A</v>
      </c>
      <c r="E67" s="430"/>
      <c r="F67" s="430">
        <v>76239.6666666665</v>
      </c>
      <c r="G67" s="430">
        <v>93100.5833333332</v>
      </c>
      <c r="H67" s="430">
        <v>104541</v>
      </c>
      <c r="I67" s="453">
        <f t="shared" si="14"/>
        <v>-0.181104307438103</v>
      </c>
      <c r="J67" s="451">
        <f t="shared" si="15"/>
        <v>0.0501732942695719</v>
      </c>
      <c r="K67" s="451">
        <v>0.0581608318224995</v>
      </c>
      <c r="L67" s="451">
        <v>0.0643925112133421</v>
      </c>
      <c r="M67" s="451">
        <v>0.061260203219322</v>
      </c>
      <c r="N67" s="451">
        <v>0.0578123543889434</v>
      </c>
      <c r="O67" s="451">
        <f t="shared" si="16"/>
        <v>-0.00763906011937152</v>
      </c>
      <c r="P67" s="451"/>
      <c r="Q67" s="430"/>
      <c r="R67" s="471" t="e">
        <f t="array" ref="R67">INDEX(正厂竞争者数据汇总!$I$2:$I$243,MATCH($A$59&amp;$B67,正厂竞争者数据汇总!$A$2:$A$243&amp;正厂竞争者数据汇总!$D$2:$D$243,0))</f>
        <v>#N/A</v>
      </c>
      <c r="S67" s="429"/>
      <c r="T67" s="435"/>
      <c r="U67" s="473"/>
      <c r="V67" s="466"/>
      <c r="W67" s="466"/>
      <c r="X67" s="421"/>
      <c r="Y67" s="421"/>
    </row>
    <row r="68" spans="1:25">
      <c r="A68" s="428" t="s">
        <v>230</v>
      </c>
      <c r="B68" s="438" t="s">
        <v>541</v>
      </c>
      <c r="C68" s="429" t="str">
        <f>VLOOKUP(B68,正厂竞争者数据汇总!D:H,2,FALSE)</f>
        <v>原厂目录</v>
      </c>
      <c r="D68" s="421" t="str">
        <f>VLOOKUP(B68,正厂竞争者数据汇总!D:H,3,FALSE)</f>
        <v>NY</v>
      </c>
      <c r="E68" s="430">
        <f>VLOOKUP(B68,正厂竞争者数据汇总!D:H,4,FALSE)</f>
        <v>0</v>
      </c>
      <c r="F68" s="430">
        <v>34372</v>
      </c>
      <c r="G68" s="430">
        <v>43507.3333333334</v>
      </c>
      <c r="H68" s="430">
        <v>54259.0833333333</v>
      </c>
      <c r="I68" s="453">
        <f t="shared" si="14"/>
        <v>-0.209972265211996</v>
      </c>
      <c r="J68" s="451">
        <f t="shared" si="15"/>
        <v>0.0226201995107586</v>
      </c>
      <c r="K68" s="451">
        <v>0.0271794505087645</v>
      </c>
      <c r="L68" s="451">
        <v>0.0334211326844714</v>
      </c>
      <c r="M68" s="451">
        <v>0.0279443058257473</v>
      </c>
      <c r="N68" s="451">
        <v>0.0249185459033911</v>
      </c>
      <c r="O68" s="451">
        <f t="shared" si="16"/>
        <v>-0.00229834639263254</v>
      </c>
      <c r="P68" s="451" t="str">
        <f>IFERROR(Q68*0.5/F$64,"")</f>
        <v/>
      </c>
      <c r="Q68" s="430" t="s">
        <v>180</v>
      </c>
      <c r="R68" s="471" t="str">
        <f t="array" ref="R68">INDEX(正厂竞争者数据汇总!$I$2:$I$243,MATCH($A$59&amp;$B68,正厂竞争者数据汇总!$A$2:$A$243&amp;正厂竞争者数据汇总!$D$2:$D$243,0))</f>
        <v>2023年2月加入MarketingShare</v>
      </c>
      <c r="S68" s="429" t="s">
        <v>180</v>
      </c>
      <c r="T68" s="435" t="s">
        <v>180</v>
      </c>
      <c r="U68" s="473">
        <f>VLOOKUP(B68,正厂竞争者数据汇总!$D$2:$CL$243,25,FALSE)</f>
        <v>0</v>
      </c>
      <c r="V68" s="466"/>
      <c r="W68" s="466"/>
      <c r="X68" s="421"/>
      <c r="Y68" s="421"/>
    </row>
    <row r="69" spans="1:25">
      <c r="A69" s="428" t="s">
        <v>230</v>
      </c>
      <c r="B69" s="438" t="s">
        <v>508</v>
      </c>
      <c r="C69" s="429" t="e">
        <f>VLOOKUP(B69,正厂竞争者数据汇总!D:H,2,FALSE)</f>
        <v>#N/A</v>
      </c>
      <c r="D69" s="421" t="e">
        <f>VLOOKUP(B69,正厂竞争者数据汇总!D:H,3,FALSE)</f>
        <v>#N/A</v>
      </c>
      <c r="E69" s="430" t="e">
        <f>VLOOKUP(B66,正厂竞争者数据汇总!D:H,4,FALSE)</f>
        <v>#N/A</v>
      </c>
      <c r="F69" s="430">
        <v>27177.6475</v>
      </c>
      <c r="G69" s="430">
        <v>26283.1116666666</v>
      </c>
      <c r="H69" s="430">
        <v>32281.5383333333</v>
      </c>
      <c r="I69" s="453">
        <f t="shared" si="14"/>
        <v>0.0340346243884011</v>
      </c>
      <c r="J69" s="451">
        <f t="shared" si="15"/>
        <v>0.0178855989957834</v>
      </c>
      <c r="K69" s="451">
        <v>0.0164193132060609</v>
      </c>
      <c r="L69" s="451">
        <v>0.0198839624560038</v>
      </c>
      <c r="M69" s="451">
        <v>0.0207918677564461</v>
      </c>
      <c r="N69" s="451">
        <v>0.0212697007584426</v>
      </c>
      <c r="O69" s="451">
        <f t="shared" si="16"/>
        <v>-0.00338410176265916</v>
      </c>
      <c r="P69" s="455"/>
      <c r="Q69" s="436"/>
      <c r="R69" s="471" t="e">
        <f t="array" ref="R69">INDEX(正厂竞争者数据汇总!$I$2:$I$243,MATCH($A$59&amp;$B69,正厂竞争者数据汇总!$A$2:$A$243&amp;正厂竞争者数据汇总!$D$2:$D$243,0))</f>
        <v>#N/A</v>
      </c>
      <c r="S69" s="434"/>
      <c r="T69" s="435"/>
      <c r="U69" s="473" t="e">
        <f>VLOOKUP(B69,正厂竞争者数据汇总!$D$2:$CL$243,25,FALSE)</f>
        <v>#N/A</v>
      </c>
      <c r="V69" s="477"/>
      <c r="W69" s="466"/>
      <c r="X69" s="435"/>
      <c r="Y69" s="435"/>
    </row>
    <row r="70" spans="1:25">
      <c r="A70" s="428" t="s">
        <v>230</v>
      </c>
      <c r="B70" t="s">
        <v>542</v>
      </c>
      <c r="C70" s="429" t="e">
        <f>VLOOKUP(B70,正厂竞争者数据汇总!D:H,2,FALSE)</f>
        <v>#N/A</v>
      </c>
      <c r="D70" s="421" t="e">
        <f>VLOOKUP(B70,正厂竞争者数据汇总!D:H,3,FALSE)</f>
        <v>#N/A</v>
      </c>
      <c r="E70" s="430"/>
      <c r="F70" s="430">
        <v>48535.5</v>
      </c>
      <c r="G70" s="430">
        <v>66575</v>
      </c>
      <c r="H70" s="430">
        <v>62547.25</v>
      </c>
      <c r="I70" s="453">
        <f t="shared" si="14"/>
        <v>-0.270965076980849</v>
      </c>
      <c r="J70" s="451">
        <f t="shared" si="15"/>
        <v>0.0319411932199006</v>
      </c>
      <c r="K70" s="451">
        <v>0.0415900442290416</v>
      </c>
      <c r="L70" s="451">
        <v>0.038526267177363</v>
      </c>
      <c r="M70" s="451">
        <v>0.0394544058057402</v>
      </c>
      <c r="N70" s="451">
        <v>0.0194352385095292</v>
      </c>
      <c r="O70" s="451">
        <f t="shared" si="16"/>
        <v>0.0125059547103714</v>
      </c>
      <c r="P70" s="451"/>
      <c r="Q70" s="430"/>
      <c r="R70" s="471" t="e">
        <f t="array" ref="R70">INDEX(正厂竞争者数据汇总!$I$2:$I$243,MATCH($A$59&amp;$B70,正厂竞争者数据汇总!$A$2:$A$243&amp;正厂竞争者数据汇总!$D$2:$D$243,0))</f>
        <v>#N/A</v>
      </c>
      <c r="S70" s="429"/>
      <c r="T70" s="435"/>
      <c r="U70" s="473"/>
      <c r="V70" s="466"/>
      <c r="W70" s="466"/>
      <c r="X70" s="421"/>
      <c r="Y70" s="421"/>
    </row>
    <row r="71" spans="1:25">
      <c r="A71" s="428"/>
      <c r="B71" s="438"/>
      <c r="C71" s="429"/>
      <c r="D71" s="421"/>
      <c r="E71" s="430"/>
      <c r="F71" s="430"/>
      <c r="G71" s="430"/>
      <c r="H71" s="430"/>
      <c r="I71" s="453"/>
      <c r="J71" s="451"/>
      <c r="K71" s="451"/>
      <c r="L71" s="451"/>
      <c r="M71" s="451"/>
      <c r="N71" s="451"/>
      <c r="O71" s="451"/>
      <c r="P71" s="451"/>
      <c r="Q71" s="430"/>
      <c r="R71" s="471"/>
      <c r="S71" s="429"/>
      <c r="T71" s="435"/>
      <c r="U71" s="473"/>
      <c r="V71" s="466"/>
      <c r="W71" s="466"/>
      <c r="X71" s="421"/>
      <c r="Y71" s="421"/>
    </row>
    <row r="72" spans="1:25">
      <c r="A72" s="428" t="s">
        <v>230</v>
      </c>
      <c r="B72" s="438" t="s">
        <v>543</v>
      </c>
      <c r="C72" s="429" t="e">
        <f>VLOOKUP(B72,正厂竞争者数据汇总!D:H,2,FALSE)</f>
        <v>#N/A</v>
      </c>
      <c r="D72" s="421" t="e">
        <f>VLOOKUP(B72,正厂竞争者数据汇总!D:H,3,FALSE)</f>
        <v>#N/A</v>
      </c>
      <c r="E72" s="430"/>
      <c r="F72" s="430">
        <v>120881.083333333</v>
      </c>
      <c r="G72" s="430">
        <v>106001.916666667</v>
      </c>
      <c r="H72" s="430">
        <v>92342.25</v>
      </c>
      <c r="I72" s="453"/>
      <c r="J72" s="451">
        <f>F72/F$77</f>
        <v>0.0795517927986915</v>
      </c>
      <c r="K72" s="451">
        <v>0.0662204191142301</v>
      </c>
      <c r="L72" s="451">
        <v>0.0568786348761752</v>
      </c>
      <c r="M72" s="451">
        <v>0.0465539782980607</v>
      </c>
      <c r="N72" s="451">
        <v>0.0459350885414433</v>
      </c>
      <c r="O72" s="451"/>
      <c r="P72" s="451"/>
      <c r="Q72" s="430"/>
      <c r="R72" s="471" t="e">
        <f t="array" ref="R72">INDEX(正厂竞争者数据汇总!$I$2:$I$243,MATCH($A$59&amp;$B72,正厂竞争者数据汇总!$A$2:$A$243&amp;正厂竞争者数据汇总!$D$2:$D$243,0))</f>
        <v>#N/A</v>
      </c>
      <c r="S72" s="429"/>
      <c r="T72" s="435"/>
      <c r="U72" s="473"/>
      <c r="V72" s="466"/>
      <c r="W72" s="466"/>
      <c r="X72" s="421"/>
      <c r="Y72" s="421"/>
    </row>
    <row r="73" spans="1:25">
      <c r="A73" s="428" t="s">
        <v>230</v>
      </c>
      <c r="B73" s="431" t="s">
        <v>524</v>
      </c>
      <c r="C73" s="429" t="e">
        <f>VLOOKUP(B73,正厂竞争者数据汇总!D:H,2,FALSE)</f>
        <v>#N/A</v>
      </c>
      <c r="D73" s="421" t="e">
        <f>VLOOKUP(B73,正厂竞争者数据汇总!D:H,3,FALSE)</f>
        <v>#N/A</v>
      </c>
      <c r="E73" s="430"/>
      <c r="F73" s="430">
        <v>42568.7966666667</v>
      </c>
      <c r="G73" s="430">
        <v>48551.79</v>
      </c>
      <c r="H73" s="430">
        <v>54511.8933333333</v>
      </c>
      <c r="I73" s="453"/>
      <c r="J73" s="451">
        <f>F73/F$77</f>
        <v>0.0280145081325764</v>
      </c>
      <c r="K73" s="451">
        <v>0.0303307712129049</v>
      </c>
      <c r="L73" s="451">
        <v>0.0335768521702219</v>
      </c>
      <c r="M73" s="451">
        <v>0.0345837826170215</v>
      </c>
      <c r="N73" s="451">
        <v>0.0240582302306515</v>
      </c>
      <c r="O73" s="451"/>
      <c r="P73" s="455"/>
      <c r="Q73" s="436"/>
      <c r="R73" s="471" t="e">
        <f t="array" ref="R73">INDEX(正厂竞争者数据汇总!$I$2:$I$243,MATCH($A$59&amp;$B73,正厂竞争者数据汇总!$A$2:$A$243&amp;正厂竞争者数据汇总!$D$2:$D$243,0))</f>
        <v>#N/A</v>
      </c>
      <c r="S73" s="434"/>
      <c r="T73" s="435"/>
      <c r="U73" s="473"/>
      <c r="V73" s="477"/>
      <c r="W73" s="466"/>
      <c r="X73" s="435"/>
      <c r="Y73" s="435"/>
    </row>
    <row r="74" spans="1:25">
      <c r="A74" s="428" t="s">
        <v>230</v>
      </c>
      <c r="B74" s="431" t="s">
        <v>510</v>
      </c>
      <c r="C74" s="429" t="e">
        <f>VLOOKUP(B74,正厂竞争者数据汇总!D:H,2,FALSE)</f>
        <v>#N/A</v>
      </c>
      <c r="D74" s="421" t="e">
        <f>VLOOKUP(B74,正厂竞争者数据汇总!D:H,3,FALSE)</f>
        <v>#N/A</v>
      </c>
      <c r="E74" s="430"/>
      <c r="F74" s="430">
        <v>1502.325</v>
      </c>
      <c r="G74" s="430">
        <v>3017.53833333333</v>
      </c>
      <c r="H74" s="430">
        <v>7015.20416666667</v>
      </c>
      <c r="I74" s="453"/>
      <c r="J74" s="451">
        <f>F74/F77</f>
        <v>0.000988679484173174</v>
      </c>
      <c r="K74" s="451">
        <v>0.00188508528345718</v>
      </c>
      <c r="L74" s="451">
        <v>0.00432104736864931</v>
      </c>
      <c r="M74" s="451">
        <v>0.00814839726887773</v>
      </c>
      <c r="N74" s="451">
        <v>0.0123113709562174</v>
      </c>
      <c r="O74" s="451"/>
      <c r="P74" s="455"/>
      <c r="Q74" s="436"/>
      <c r="R74" s="471" t="e">
        <f t="array" ref="R74">INDEX(正厂竞争者数据汇总!$I$2:$I$243,MATCH($A$59&amp;$B74,正厂竞争者数据汇总!$A$2:$A$243&amp;正厂竞争者数据汇总!$D$2:$D$243,0))</f>
        <v>#N/A</v>
      </c>
      <c r="S74" s="434"/>
      <c r="T74" s="435"/>
      <c r="U74" s="473"/>
      <c r="V74" s="477"/>
      <c r="W74" s="466"/>
      <c r="X74" s="435"/>
      <c r="Y74" s="435"/>
    </row>
    <row r="75" ht="17.4" spans="1:25">
      <c r="A75" s="428" t="s">
        <v>544</v>
      </c>
      <c r="B75" s="478" t="s">
        <v>545</v>
      </c>
      <c r="C75" s="429" t="str">
        <f>VLOOKUP(B75,正厂竞争者数据汇总!D:H,2,FALSE)</f>
        <v>Motor目录</v>
      </c>
      <c r="D75" s="421" t="str">
        <f>VLOOKUP(B75,正厂竞争者数据汇总!D:H,3,FALSE)</f>
        <v>MI</v>
      </c>
      <c r="E75" s="430">
        <f>VLOOKUP(B75,正厂竞争者数据汇总!D:H,4,FALSE)</f>
        <v>0</v>
      </c>
      <c r="F75" s="430">
        <v>602397</v>
      </c>
      <c r="G75" s="430">
        <v>482757.583333333</v>
      </c>
      <c r="H75" s="430">
        <v>463102.916666667</v>
      </c>
      <c r="I75" s="453"/>
      <c r="J75" s="451"/>
      <c r="K75" s="451"/>
      <c r="L75" s="451"/>
      <c r="M75" s="451"/>
      <c r="N75" s="451"/>
      <c r="O75" s="451"/>
      <c r="P75" s="451" t="str">
        <f>IFERROR(Q75*0.5/F$64,"")</f>
        <v/>
      </c>
      <c r="Q75" s="430" t="s">
        <v>180</v>
      </c>
      <c r="R75" s="471" t="str">
        <f t="array" ref="R75">INDEX(正厂竞争者数据汇总!$I$2:$I$243,MATCH($A$59&amp;$B75,正厂竞争者数据汇总!$A$2:$A$243&amp;正厂竞争者数据汇总!$D$2:$D$243,0))</f>
        <v>网址更新</v>
      </c>
      <c r="S75" s="429" t="s">
        <v>180</v>
      </c>
      <c r="T75" s="435" t="s">
        <v>180</v>
      </c>
      <c r="U75" s="473">
        <f>VLOOKUP(B75,正厂竞争者数据汇总!$D$2:$CL$243,25,FALSE)</f>
        <v>343683</v>
      </c>
      <c r="V75" s="466"/>
      <c r="W75" s="466"/>
      <c r="X75" s="421"/>
      <c r="Y75" s="421"/>
    </row>
    <row r="76" spans="1:25">
      <c r="A76" s="428"/>
      <c r="B76" s="431"/>
      <c r="C76" s="429"/>
      <c r="D76" s="421"/>
      <c r="E76" s="430"/>
      <c r="F76" s="430"/>
      <c r="G76" s="430"/>
      <c r="H76" s="430"/>
      <c r="I76" s="453"/>
      <c r="J76" s="451"/>
      <c r="K76" s="451"/>
      <c r="L76" s="451"/>
      <c r="M76" s="451"/>
      <c r="N76" s="451"/>
      <c r="O76" s="451"/>
      <c r="P76" s="455"/>
      <c r="Q76" s="436"/>
      <c r="R76" s="471"/>
      <c r="S76" s="434"/>
      <c r="T76" s="435"/>
      <c r="U76" s="473"/>
      <c r="V76" s="477"/>
      <c r="W76" s="466"/>
      <c r="X76" s="435"/>
      <c r="Y76" s="435"/>
    </row>
    <row r="77" spans="1:25">
      <c r="A77" s="428"/>
      <c r="B77" s="421"/>
      <c r="C77" s="439"/>
      <c r="D77" s="421"/>
      <c r="E77" s="430"/>
      <c r="F77" s="430">
        <v>1519526.8275</v>
      </c>
      <c r="G77" s="430">
        <v>1600743.66916667</v>
      </c>
      <c r="H77" s="430">
        <v>1623496.2425</v>
      </c>
      <c r="I77" s="453">
        <f t="shared" ref="I77:I88" si="18">(F77/G77)-1</f>
        <v>-0.0507369438536969</v>
      </c>
      <c r="J77" s="430"/>
      <c r="K77" s="430"/>
      <c r="L77" s="430"/>
      <c r="M77" s="430"/>
      <c r="N77" s="430"/>
      <c r="O77" s="451"/>
      <c r="P77" s="451"/>
      <c r="Q77" s="430"/>
      <c r="R77" s="471"/>
      <c r="S77" s="429"/>
      <c r="T77" s="421"/>
      <c r="U77" s="473"/>
      <c r="V77" s="466"/>
      <c r="W77" s="466"/>
      <c r="X77" s="421"/>
      <c r="Y77" s="421"/>
    </row>
    <row r="78" spans="1:25">
      <c r="A78" s="428"/>
      <c r="B78" s="421"/>
      <c r="C78" s="439"/>
      <c r="D78" s="421"/>
      <c r="E78" s="430"/>
      <c r="F78" s="430"/>
      <c r="G78" s="430"/>
      <c r="H78" s="430"/>
      <c r="I78" s="453"/>
      <c r="J78" s="430"/>
      <c r="K78" s="430"/>
      <c r="L78" s="430"/>
      <c r="M78" s="430"/>
      <c r="N78" s="430"/>
      <c r="O78" s="451"/>
      <c r="P78" s="451"/>
      <c r="Q78" s="430"/>
      <c r="R78" s="471"/>
      <c r="S78" s="429"/>
      <c r="T78" s="421"/>
      <c r="U78" s="473"/>
      <c r="V78" s="466"/>
      <c r="W78" s="466"/>
      <c r="X78" s="421"/>
      <c r="Y78" s="421"/>
    </row>
    <row r="79" ht="17.4" spans="1:25">
      <c r="A79" s="418" t="s">
        <v>152</v>
      </c>
      <c r="B79" s="419"/>
      <c r="C79" s="420"/>
      <c r="D79" s="421"/>
      <c r="E79" s="422" t="s">
        <v>202</v>
      </c>
      <c r="F79" s="422"/>
      <c r="G79" s="422"/>
      <c r="H79" s="422"/>
      <c r="I79" s="422"/>
      <c r="J79" s="422"/>
      <c r="K79" s="422"/>
      <c r="L79" s="422"/>
      <c r="M79" s="422"/>
      <c r="N79" s="422"/>
      <c r="O79" s="443"/>
      <c r="P79" s="444"/>
      <c r="Q79" s="422"/>
      <c r="R79" s="471"/>
      <c r="S79" s="465"/>
      <c r="T79" s="424"/>
      <c r="U79" s="473"/>
      <c r="V79" s="467"/>
      <c r="W79" s="467"/>
      <c r="X79" s="467"/>
      <c r="Y79" s="467"/>
    </row>
    <row r="80" ht="46.8" spans="1:25">
      <c r="A80" s="423" t="s">
        <v>206</v>
      </c>
      <c r="B80" s="424" t="s">
        <v>207</v>
      </c>
      <c r="C80" s="425" t="s">
        <v>208</v>
      </c>
      <c r="D80" s="424" t="s">
        <v>209</v>
      </c>
      <c r="E80" s="426" t="s">
        <v>210</v>
      </c>
      <c r="F80" s="427" t="s">
        <v>396</v>
      </c>
      <c r="G80" s="427" t="s">
        <v>496</v>
      </c>
      <c r="H80" s="427" t="s">
        <v>627</v>
      </c>
      <c r="I80" s="427" t="s">
        <v>628</v>
      </c>
      <c r="J80" s="446" t="s">
        <v>387</v>
      </c>
      <c r="K80" s="446" t="s">
        <v>390</v>
      </c>
      <c r="L80" s="446" t="s">
        <v>629</v>
      </c>
      <c r="M80" s="446" t="s">
        <v>630</v>
      </c>
      <c r="N80" s="446" t="s">
        <v>631</v>
      </c>
      <c r="O80" s="447" t="s">
        <v>632</v>
      </c>
      <c r="P80" s="448" t="s">
        <v>219</v>
      </c>
      <c r="Q80" s="449" t="s">
        <v>220</v>
      </c>
      <c r="R80" s="468" t="s">
        <v>221</v>
      </c>
      <c r="S80" s="469" t="s">
        <v>222</v>
      </c>
      <c r="T80" s="426" t="s">
        <v>223</v>
      </c>
      <c r="U80" s="470" t="s">
        <v>224</v>
      </c>
      <c r="V80" s="467" t="s">
        <v>225</v>
      </c>
      <c r="W80" s="470" t="s">
        <v>226</v>
      </c>
      <c r="X80" s="467"/>
      <c r="Y80" s="467"/>
    </row>
    <row r="81" ht="17.4" spans="1:25">
      <c r="A81" s="432" t="s">
        <v>227</v>
      </c>
      <c r="B81" s="435" t="s">
        <v>546</v>
      </c>
      <c r="C81" s="434" t="e">
        <f>VLOOKUP(B81,正厂竞争者数据汇总!D:H,2,FALSE)</f>
        <v>#N/A</v>
      </c>
      <c r="D81" s="435" t="e">
        <f>VLOOKUP(B81,正厂竞争者数据汇总!D:H,3,FALSE)</f>
        <v>#N/A</v>
      </c>
      <c r="E81" s="436" t="e">
        <f>VLOOKUP(B81,正厂竞争者数据汇总!D:H,4,FALSE)</f>
        <v>#N/A</v>
      </c>
      <c r="F81" s="436">
        <v>490593.833333333</v>
      </c>
      <c r="G81" s="436">
        <v>536019.166666667</v>
      </c>
      <c r="H81" s="436">
        <v>504114.5</v>
      </c>
      <c r="I81" s="454">
        <f t="shared" si="18"/>
        <v>-0.0847457258213725</v>
      </c>
      <c r="J81" s="457">
        <f t="shared" ref="J81:J88" si="19">F81/F$99</f>
        <v>0.389473954597224</v>
      </c>
      <c r="K81" s="457">
        <v>0.408448642468448</v>
      </c>
      <c r="L81" s="457">
        <v>0.384478953064256</v>
      </c>
      <c r="M81" s="457">
        <v>0.360102217419299</v>
      </c>
      <c r="N81" s="457">
        <v>0.333423908237882</v>
      </c>
      <c r="O81" s="456">
        <f t="shared" ref="O81:O88" si="20">J81-N81</f>
        <v>0.0560500463593416</v>
      </c>
      <c r="P81" s="457" t="str">
        <f t="shared" ref="P81:P85" si="21">IFERROR(Q81*0.5/$F$96,"")</f>
        <v/>
      </c>
      <c r="Q81" s="436" t="s">
        <v>180</v>
      </c>
      <c r="R81" s="471" t="e">
        <f t="array" ref="R81">INDEX(正厂竞争者数据汇总!$I$2:$I$243,MATCH($A$79&amp;$B81,正厂竞争者数据汇总!$A$2:$A$243&amp;正厂竞争者数据汇总!$D$2:$D$243,0))</f>
        <v>#N/A</v>
      </c>
      <c r="S81" s="434" t="s">
        <v>268</v>
      </c>
      <c r="T81" s="435" t="s">
        <v>229</v>
      </c>
      <c r="U81" s="476" t="e">
        <f>VLOOKUP(B81,正厂竞争者数据汇总!$D$2:$CL$243,25,FALSE)</f>
        <v>#N/A</v>
      </c>
      <c r="V81" s="477"/>
      <c r="W81" s="477"/>
      <c r="X81" s="477"/>
      <c r="Y81" s="477"/>
    </row>
    <row r="82" spans="1:25">
      <c r="A82" s="428" t="s">
        <v>230</v>
      </c>
      <c r="B82" t="s">
        <v>507</v>
      </c>
      <c r="C82" s="429" t="e">
        <f>VLOOKUP(B82,正厂竞争者数据汇总!D:H,2,FALSE)</f>
        <v>#N/A</v>
      </c>
      <c r="D82" s="421" t="e">
        <f>VLOOKUP(B82,正厂竞争者数据汇总!D:H,3,FALSE)</f>
        <v>#N/A</v>
      </c>
      <c r="E82" s="430" t="e">
        <f>VLOOKUP(B82,正厂竞争者数据汇总!D:H,4,FALSE)</f>
        <v>#N/A</v>
      </c>
      <c r="F82" s="430">
        <v>232298.773333333</v>
      </c>
      <c r="G82" s="430">
        <v>241692.293333333</v>
      </c>
      <c r="H82" s="430">
        <v>273168.133333333</v>
      </c>
      <c r="I82" s="453">
        <f t="shared" si="18"/>
        <v>-0.0388656165674459</v>
      </c>
      <c r="J82" s="451">
        <f t="shared" si="19"/>
        <v>0.184417976238084</v>
      </c>
      <c r="K82" s="451">
        <v>0.184170446219278</v>
      </c>
      <c r="L82" s="451">
        <v>0.208340362982055</v>
      </c>
      <c r="M82" s="451">
        <v>0.226257526378505</v>
      </c>
      <c r="N82" s="451">
        <v>0.237451830549657</v>
      </c>
      <c r="O82" s="451">
        <f t="shared" si="20"/>
        <v>-0.0530338543115727</v>
      </c>
      <c r="P82" s="451" t="str">
        <f t="shared" si="21"/>
        <v/>
      </c>
      <c r="Q82" s="430" t="s">
        <v>180</v>
      </c>
      <c r="R82" s="471" t="e">
        <f t="array" ref="R82">INDEX(正厂竞争者数据汇总!$I$2:$I$243,MATCH($A$79&amp;$B82,正厂竞争者数据汇总!$A$2:$A$243&amp;正厂竞争者数据汇总!$D$2:$D$243,0))</f>
        <v>#N/A</v>
      </c>
      <c r="S82" s="429" t="s">
        <v>180</v>
      </c>
      <c r="T82" s="421" t="s">
        <v>180</v>
      </c>
      <c r="U82" s="473" t="e">
        <f>VLOOKUP(B82,正厂竞争者数据汇总!$D$2:$CL$243,25,FALSE)</f>
        <v>#N/A</v>
      </c>
      <c r="V82" s="466">
        <f>VLOOKUP(B82,'Price &amp; Shipping'!B:DK,2,FALSE)</f>
        <v>0</v>
      </c>
      <c r="W82" s="466"/>
      <c r="X82" s="421"/>
      <c r="Y82" s="421"/>
    </row>
    <row r="83" spans="1:25">
      <c r="A83" s="428" t="s">
        <v>243</v>
      </c>
      <c r="B83" s="438" t="s">
        <v>270</v>
      </c>
      <c r="C83" s="429" t="str">
        <f>VLOOKUP(B83,正厂竞争者数据汇总!D:H,2,FALSE)</f>
        <v>Motor目录</v>
      </c>
      <c r="D83" s="421" t="str">
        <f>VLOOKUP(B83,正厂竞争者数据汇总!D:H,3,FALSE)</f>
        <v>FL</v>
      </c>
      <c r="E83" s="430">
        <f>VLOOKUP(B83,正厂竞争者数据汇总!D:H,4,FALSE)</f>
        <v>0</v>
      </c>
      <c r="F83" s="430">
        <v>225686.833333333</v>
      </c>
      <c r="G83" s="430">
        <v>203512.083333333</v>
      </c>
      <c r="H83" s="430">
        <v>188221.833333333</v>
      </c>
      <c r="I83" s="453">
        <f t="shared" si="18"/>
        <v>0.108960360666545</v>
      </c>
      <c r="J83" s="451">
        <f t="shared" si="19"/>
        <v>0.179168871491164</v>
      </c>
      <c r="K83" s="451">
        <v>0.155076981072055</v>
      </c>
      <c r="L83" s="451">
        <v>0.143553366197232</v>
      </c>
      <c r="M83" s="451">
        <v>0.146422759213787</v>
      </c>
      <c r="N83" s="451">
        <v>0.134671067407731</v>
      </c>
      <c r="O83" s="451">
        <f t="shared" si="20"/>
        <v>0.0444978040834335</v>
      </c>
      <c r="P83" s="451" t="str">
        <f t="shared" si="21"/>
        <v/>
      </c>
      <c r="Q83" s="430" t="s">
        <v>180</v>
      </c>
      <c r="R83" s="471">
        <f t="array" ref="R83">INDEX(正厂竞争者数据汇总!$I$2:$I$243,MATCH($A$79&amp;$B83,正厂竞争者数据汇总!$A$2:$A$243&amp;正厂竞争者数据汇总!$D$2:$D$243,0))</f>
        <v>0</v>
      </c>
      <c r="S83" s="429" t="s">
        <v>180</v>
      </c>
      <c r="T83" s="421" t="s">
        <v>180</v>
      </c>
      <c r="U83" s="473">
        <f>VLOOKUP(B83,正厂竞争者数据汇总!$D$2:$CL$243,25,FALSE)</f>
        <v>269082</v>
      </c>
      <c r="V83" s="466"/>
      <c r="W83" s="466"/>
      <c r="X83" s="421"/>
      <c r="Y83" s="421"/>
    </row>
    <row r="84" spans="1:25">
      <c r="A84" s="428" t="s">
        <v>230</v>
      </c>
      <c r="B84" s="431" t="s">
        <v>547</v>
      </c>
      <c r="C84" s="429" t="e">
        <f>VLOOKUP(B84,正厂竞争者数据汇总!D:H,2,FALSE)</f>
        <v>#N/A</v>
      </c>
      <c r="D84" s="421" t="e">
        <f>VLOOKUP(B84,正厂竞争者数据汇总!D:H,3,FALSE)</f>
        <v>#N/A</v>
      </c>
      <c r="E84" s="430" t="e">
        <f>VLOOKUP(B84,正厂竞争者数据汇总!D:H,4,FALSE)</f>
        <v>#N/A</v>
      </c>
      <c r="F84" s="430">
        <v>91942.1666666668</v>
      </c>
      <c r="G84" s="430">
        <v>95177</v>
      </c>
      <c r="H84" s="430">
        <v>97775</v>
      </c>
      <c r="I84" s="453">
        <f t="shared" si="18"/>
        <v>-0.0339875530152579</v>
      </c>
      <c r="J84" s="451">
        <f t="shared" si="19"/>
        <v>0.0729912950650021</v>
      </c>
      <c r="K84" s="451">
        <v>0.0725252357783589</v>
      </c>
      <c r="L84" s="451">
        <v>0.0745712127618976</v>
      </c>
      <c r="M84" s="451">
        <v>0.0737785871568084</v>
      </c>
      <c r="N84" s="451">
        <v>0.0803883170831124</v>
      </c>
      <c r="O84" s="451">
        <f t="shared" si="20"/>
        <v>-0.00739702201811035</v>
      </c>
      <c r="P84" s="451" t="str">
        <f t="shared" si="21"/>
        <v/>
      </c>
      <c r="Q84" s="430" t="s">
        <v>180</v>
      </c>
      <c r="R84" s="471" t="e">
        <f t="array" ref="R84">INDEX(正厂竞争者数据汇总!$I$2:$I$243,MATCH($A$79&amp;$B84,正厂竞争者数据汇总!$A$2:$A$243&amp;正厂竞争者数据汇总!$D$2:$D$243,0))</f>
        <v>#N/A</v>
      </c>
      <c r="S84" s="429" t="s">
        <v>180</v>
      </c>
      <c r="T84" s="421" t="s">
        <v>180</v>
      </c>
      <c r="U84" s="473" t="e">
        <f>VLOOKUP(B84,正厂竞争者数据汇总!$D$2:$CL$243,25,FALSE)</f>
        <v>#N/A</v>
      </c>
      <c r="V84" s="466"/>
      <c r="W84" s="466"/>
      <c r="X84" s="421"/>
      <c r="Y84" s="421"/>
    </row>
    <row r="85" spans="1:25">
      <c r="A85" s="428" t="s">
        <v>230</v>
      </c>
      <c r="B85" s="438" t="s">
        <v>548</v>
      </c>
      <c r="C85" s="429" t="e">
        <f>VLOOKUP(B85,正厂竞争者数据汇总!D:H,2,FALSE)</f>
        <v>#N/A</v>
      </c>
      <c r="D85" s="421" t="e">
        <f>VLOOKUP(B85,正厂竞争者数据汇总!D:H,3,FALSE)</f>
        <v>#N/A</v>
      </c>
      <c r="E85" s="430" t="e">
        <f>VLOOKUP(B85,正厂竞争者数据汇总!D:H,4,FALSE)</f>
        <v>#N/A</v>
      </c>
      <c r="F85" s="430">
        <v>94678.6666666667</v>
      </c>
      <c r="G85" s="430">
        <v>98405.1666666667</v>
      </c>
      <c r="H85" s="430">
        <v>89005.4166666667</v>
      </c>
      <c r="I85" s="453">
        <f t="shared" si="18"/>
        <v>-0.0378689465830893</v>
      </c>
      <c r="J85" s="451">
        <f t="shared" si="19"/>
        <v>0.0751637550600936</v>
      </c>
      <c r="K85" s="451">
        <v>0.0749851110489793</v>
      </c>
      <c r="L85" s="451">
        <v>0.0678828111808882</v>
      </c>
      <c r="M85" s="451">
        <v>0.0605919872342454</v>
      </c>
      <c r="N85" s="451">
        <v>0.0664331341055336</v>
      </c>
      <c r="O85" s="451">
        <f t="shared" si="20"/>
        <v>0.00873062095455998</v>
      </c>
      <c r="P85" s="451" t="str">
        <f t="shared" si="21"/>
        <v/>
      </c>
      <c r="Q85" s="430" t="s">
        <v>180</v>
      </c>
      <c r="R85" s="471" t="e">
        <f t="array" ref="R85">INDEX(正厂竞争者数据汇总!$I$2:$I$243,MATCH($A$79&amp;$B85,正厂竞争者数据汇总!$A$2:$A$243&amp;正厂竞争者数据汇总!$D$2:$D$243,0))</f>
        <v>#N/A</v>
      </c>
      <c r="S85" s="429" t="s">
        <v>180</v>
      </c>
      <c r="T85" s="421" t="s">
        <v>180</v>
      </c>
      <c r="U85" s="473" t="e">
        <f>VLOOKUP(B85,正厂竞争者数据汇总!$D$2:$CL$243,25,FALSE)</f>
        <v>#N/A</v>
      </c>
      <c r="V85" s="466"/>
      <c r="W85" s="466"/>
      <c r="X85" s="421"/>
      <c r="Y85" s="421"/>
    </row>
    <row r="86" spans="1:25">
      <c r="A86" s="428" t="s">
        <v>230</v>
      </c>
      <c r="B86" s="438" t="s">
        <v>508</v>
      </c>
      <c r="C86" s="429" t="e">
        <f>VLOOKUP(B86,正厂竞争者数据汇总!D:H,2,FALSE)</f>
        <v>#N/A</v>
      </c>
      <c r="D86" s="421" t="e">
        <f>VLOOKUP(B86,正厂竞争者数据汇总!D:H,3,FALSE)</f>
        <v>#N/A</v>
      </c>
      <c r="E86" s="430" t="e">
        <f>VLOOKUP(B86,正厂竞争者数据汇总!D:H,4,FALSE)</f>
        <v>#N/A</v>
      </c>
      <c r="F86" s="430">
        <v>75900.4175000001</v>
      </c>
      <c r="G86" s="430">
        <v>78023.3683333333</v>
      </c>
      <c r="H86" s="430">
        <v>79854.3316666667</v>
      </c>
      <c r="I86" s="453">
        <f t="shared" si="18"/>
        <v>-0.0272091666725215</v>
      </c>
      <c r="J86" s="451">
        <f t="shared" si="19"/>
        <v>0.060256028002741</v>
      </c>
      <c r="K86" s="451">
        <v>0.0594541032454977</v>
      </c>
      <c r="L86" s="451">
        <v>0.0609034452229521</v>
      </c>
      <c r="M86" s="451">
        <v>0.0627454283853504</v>
      </c>
      <c r="N86" s="451">
        <v>0.0669688643578848</v>
      </c>
      <c r="O86" s="451">
        <f t="shared" si="20"/>
        <v>-0.00671283635514382</v>
      </c>
      <c r="P86" s="451"/>
      <c r="Q86" s="430"/>
      <c r="R86" s="471" t="e">
        <f t="array" ref="R86">INDEX(正厂竞争者数据汇总!$I$2:$I$243,MATCH($A$79&amp;$B86,正厂竞争者数据汇总!$A$2:$A$243&amp;正厂竞争者数据汇总!$D$2:$D$243,0))</f>
        <v>#N/A</v>
      </c>
      <c r="S86" s="429"/>
      <c r="T86" s="421"/>
      <c r="U86" s="473" t="e">
        <f>VLOOKUP(B86,正厂竞争者数据汇总!$D$2:$CL$243,25,FALSE)</f>
        <v>#N/A</v>
      </c>
      <c r="V86" s="466"/>
      <c r="W86" s="466"/>
      <c r="X86" s="421"/>
      <c r="Y86" s="421"/>
    </row>
    <row r="87" spans="1:25">
      <c r="A87" s="428" t="s">
        <v>230</v>
      </c>
      <c r="B87" s="431" t="s">
        <v>549</v>
      </c>
      <c r="C87" s="429" t="e">
        <f>VLOOKUP(B87,正厂竞争者数据汇总!D:H,2,FALSE)</f>
        <v>#N/A</v>
      </c>
      <c r="D87" s="421" t="e">
        <f>VLOOKUP(B87,正厂竞争者数据汇总!D:H,3,FALSE)</f>
        <v>#N/A</v>
      </c>
      <c r="E87" s="430" t="e">
        <f>VLOOKUP(B87,正厂竞争者数据汇总!D:H,4,FALSE)</f>
        <v>#N/A</v>
      </c>
      <c r="F87" s="430">
        <v>44180</v>
      </c>
      <c r="G87" s="430">
        <v>51069.75</v>
      </c>
      <c r="H87" s="430">
        <v>64152.6666666667</v>
      </c>
      <c r="I87" s="453">
        <f t="shared" si="18"/>
        <v>-0.134908629864058</v>
      </c>
      <c r="J87" s="451">
        <f t="shared" si="19"/>
        <v>0.0350737374687181</v>
      </c>
      <c r="K87" s="451">
        <v>0.0389153436217978</v>
      </c>
      <c r="L87" s="451">
        <v>0.0489280711351889</v>
      </c>
      <c r="M87" s="451">
        <v>0.0541687973003937</v>
      </c>
      <c r="N87" s="451">
        <v>0.0529165295273331</v>
      </c>
      <c r="O87" s="451">
        <f t="shared" si="20"/>
        <v>-0.017842792058615</v>
      </c>
      <c r="P87" s="451" t="str">
        <f>IFERROR(Q87*0.5/$F$96,"")</f>
        <v/>
      </c>
      <c r="Q87" s="430" t="s">
        <v>180</v>
      </c>
      <c r="R87" s="471" t="e">
        <f t="array" ref="R87">INDEX(正厂竞争者数据汇总!$I$2:$I$243,MATCH($A$79&amp;$B87,正厂竞争者数据汇总!$A$2:$A$243&amp;正厂竞争者数据汇总!$D$2:$D$243,0))</f>
        <v>#N/A</v>
      </c>
      <c r="S87" s="429" t="s">
        <v>180</v>
      </c>
      <c r="T87" s="421" t="s">
        <v>180</v>
      </c>
      <c r="U87" s="473" t="e">
        <f>VLOOKUP(B87,正厂竞争者数据汇总!$D$2:$CL$243,25,FALSE)</f>
        <v>#N/A</v>
      </c>
      <c r="V87" s="466"/>
      <c r="W87" s="466"/>
      <c r="X87" s="421"/>
      <c r="Y87" s="421"/>
    </row>
    <row r="88" spans="1:25">
      <c r="A88" s="432" t="s">
        <v>227</v>
      </c>
      <c r="B88" s="435" t="s">
        <v>154</v>
      </c>
      <c r="C88" s="434" t="e">
        <f>VLOOKUP(B88,正厂竞争者数据汇总!D:H,2,FALSE)</f>
        <v>#N/A</v>
      </c>
      <c r="D88" s="435" t="e">
        <f>VLOOKUP(B88,正厂竞争者数据汇总!D:H,3,FALSE)</f>
        <v>#N/A</v>
      </c>
      <c r="E88" s="436" t="e">
        <f>VLOOKUP(B88,正厂竞争者数据汇总!D:H,4,FALSE)</f>
        <v>#N/A</v>
      </c>
      <c r="F88" s="436">
        <v>4351.25</v>
      </c>
      <c r="G88" s="436">
        <v>8430.58333333333</v>
      </c>
      <c r="H88" s="436">
        <v>14870.9166666667</v>
      </c>
      <c r="I88" s="454">
        <f t="shared" si="18"/>
        <v>-0.483873199758814</v>
      </c>
      <c r="J88" s="457">
        <f t="shared" si="19"/>
        <v>0.00345438207697509</v>
      </c>
      <c r="K88" s="457">
        <v>0.00642413654558457</v>
      </c>
      <c r="L88" s="457">
        <v>0.0113417774555301</v>
      </c>
      <c r="M88" s="457">
        <v>0.0159326969116105</v>
      </c>
      <c r="N88" s="457">
        <v>0.0277463487308663</v>
      </c>
      <c r="O88" s="456">
        <f t="shared" si="20"/>
        <v>-0.0242919666538912</v>
      </c>
      <c r="P88" s="457" t="str">
        <f>IFERROR(Q88*0.5/$F$96,"")</f>
        <v/>
      </c>
      <c r="Q88" s="436" t="s">
        <v>180</v>
      </c>
      <c r="R88" s="471" t="e">
        <f t="array" ref="R88">INDEX(正厂竞争者数据汇总!$I$2:$I$243,MATCH($A$79&amp;$B88,正厂竞争者数据汇总!$A$2:$A$243&amp;正厂竞争者数据汇总!$D$2:$D$243,0))</f>
        <v>#N/A</v>
      </c>
      <c r="S88" s="434" t="s">
        <v>550</v>
      </c>
      <c r="T88" s="435" t="s">
        <v>229</v>
      </c>
      <c r="U88" s="476" t="e">
        <f>VLOOKUP(B88,正厂竞争者数据汇总!$D$2:$CL$243,25,FALSE)</f>
        <v>#N/A</v>
      </c>
      <c r="V88" s="477"/>
      <c r="W88" s="477"/>
      <c r="X88" s="435"/>
      <c r="Y88" s="435"/>
    </row>
    <row r="89" spans="1:25">
      <c r="A89" s="432"/>
      <c r="B89" s="435"/>
      <c r="C89" s="434"/>
      <c r="D89" s="435"/>
      <c r="E89" s="437"/>
      <c r="F89" s="430"/>
      <c r="G89" s="430"/>
      <c r="H89" s="430"/>
      <c r="I89" s="450"/>
      <c r="J89" s="457"/>
      <c r="K89" s="457"/>
      <c r="L89" s="457"/>
      <c r="M89" s="457"/>
      <c r="N89" s="457"/>
      <c r="O89" s="452"/>
      <c r="P89" s="461"/>
      <c r="Q89" s="462"/>
      <c r="R89" s="471"/>
      <c r="S89" s="434"/>
      <c r="T89" s="435"/>
      <c r="U89" s="473"/>
      <c r="V89" s="477"/>
      <c r="W89" s="466"/>
      <c r="X89" s="435"/>
      <c r="Y89" s="435"/>
    </row>
    <row r="90" spans="1:25">
      <c r="A90" s="428" t="s">
        <v>230</v>
      </c>
      <c r="B90" s="421" t="s">
        <v>551</v>
      </c>
      <c r="C90" s="429" t="e">
        <f>VLOOKUP(B90,正厂竞争者数据汇总!D:H,2,FALSE)</f>
        <v>#N/A</v>
      </c>
      <c r="D90" s="421" t="e">
        <f>VLOOKUP(B90,正厂竞争者数据汇总!D:H,3,FALSE)</f>
        <v>#N/A</v>
      </c>
      <c r="E90" s="430"/>
      <c r="F90" s="430">
        <v>40479.1666666666</v>
      </c>
      <c r="G90" s="430">
        <v>55112.8333333333</v>
      </c>
      <c r="H90" s="430">
        <v>67541.5</v>
      </c>
      <c r="I90" s="453"/>
      <c r="J90" s="451">
        <f t="shared" ref="J90:J94" si="22">F90/F$99</f>
        <v>0.0321357099280024</v>
      </c>
      <c r="K90" s="451">
        <v>0.041996188490007</v>
      </c>
      <c r="L90" s="451">
        <v>0.0515126726336764</v>
      </c>
      <c r="M90" s="451">
        <v>0.0510807594903133</v>
      </c>
      <c r="N90" s="451">
        <v>0.0446389033739606</v>
      </c>
      <c r="O90" s="452"/>
      <c r="P90" s="451"/>
      <c r="Q90" s="430"/>
      <c r="R90" s="471" t="e">
        <f t="array" ref="R90">INDEX(正厂竞争者数据汇总!$I$2:$I$243,MATCH($A$79&amp;$B90,正厂竞争者数据汇总!$A$2:$A$243&amp;正厂竞争者数据汇总!$D$2:$D$243,0))</f>
        <v>#N/A</v>
      </c>
      <c r="S90" s="429"/>
      <c r="T90" s="421"/>
      <c r="U90" s="472"/>
      <c r="V90" s="466"/>
      <c r="W90" s="466"/>
      <c r="X90" s="421"/>
      <c r="Y90" s="421"/>
    </row>
    <row r="91" spans="1:25">
      <c r="A91" s="428" t="s">
        <v>230</v>
      </c>
      <c r="B91" s="421" t="s">
        <v>552</v>
      </c>
      <c r="C91" s="429" t="str">
        <f>VLOOKUP(B91,正厂竞争者数据汇总!D:H,2,FALSE)</f>
        <v>Motor目录</v>
      </c>
      <c r="D91" s="421" t="str">
        <f>VLOOKUP(B91,正厂竞争者数据汇总!D:H,3,FALSE)</f>
        <v>NY</v>
      </c>
      <c r="E91" s="430"/>
      <c r="F91" s="430">
        <v>28327.8333333334</v>
      </c>
      <c r="G91" s="430">
        <v>31355.8333333333</v>
      </c>
      <c r="H91" s="430">
        <v>28812.4166666667</v>
      </c>
      <c r="I91" s="453"/>
      <c r="J91" s="451">
        <f t="shared" si="22"/>
        <v>0.0224889766724974</v>
      </c>
      <c r="K91" s="451">
        <v>0.0238932641870087</v>
      </c>
      <c r="L91" s="451">
        <v>0.0219747057369926</v>
      </c>
      <c r="M91" s="451">
        <v>0.0234525680013467</v>
      </c>
      <c r="N91" s="451">
        <v>0.0311280912256143</v>
      </c>
      <c r="O91" s="452"/>
      <c r="P91" s="451"/>
      <c r="Q91" s="430"/>
      <c r="R91" s="471" t="str">
        <f t="array" ref="R91">INDEX(正厂竞争者数据汇总!$I$2:$I$243,MATCH($A$79&amp;$B91,正厂竞争者数据汇总!$A$2:$A$243&amp;正厂竞争者数据汇总!$D$2:$D$243,0))</f>
        <v>主营Acc</v>
      </c>
      <c r="S91" s="429"/>
      <c r="T91" s="421"/>
      <c r="U91" s="472"/>
      <c r="V91" s="466"/>
      <c r="W91" s="466"/>
      <c r="X91" s="421"/>
      <c r="Y91" s="421"/>
    </row>
    <row r="92" spans="1:25">
      <c r="A92" s="428" t="s">
        <v>230</v>
      </c>
      <c r="B92" s="431" t="s">
        <v>510</v>
      </c>
      <c r="C92" s="429" t="e">
        <f>VLOOKUP(B92,正厂竞争者数据汇总!D:H,2,FALSE)</f>
        <v>#N/A</v>
      </c>
      <c r="D92" s="421" t="e">
        <f>VLOOKUP(B92,正厂竞争者数据汇总!D:H,3,FALSE)</f>
        <v>#N/A</v>
      </c>
      <c r="E92" s="430"/>
      <c r="F92" s="430">
        <v>2594.925</v>
      </c>
      <c r="G92" s="430">
        <v>5212.11166666667</v>
      </c>
      <c r="H92" s="430">
        <v>12117.1708333333</v>
      </c>
      <c r="I92" s="453"/>
      <c r="J92" s="451">
        <f t="shared" si="22"/>
        <v>0.00206006605253538</v>
      </c>
      <c r="K92" s="451">
        <v>0.00397164890181594</v>
      </c>
      <c r="L92" s="451">
        <v>0.00924154563318596</v>
      </c>
      <c r="M92" s="451">
        <v>0.0171702823910466</v>
      </c>
      <c r="N92" s="451">
        <v>0.0270666576950261</v>
      </c>
      <c r="O92" s="451"/>
      <c r="P92" s="451"/>
      <c r="Q92" s="430"/>
      <c r="R92" s="471" t="e">
        <f t="array" ref="R92">INDEX(正厂竞争者数据汇总!$I$2:$I$243,MATCH($A$79&amp;$B92,正厂竞争者数据汇总!$A$2:$A$243&amp;正厂竞争者数据汇总!$D$2:$D$243,0))</f>
        <v>#N/A</v>
      </c>
      <c r="S92" s="429"/>
      <c r="T92" s="421"/>
      <c r="U92" s="473"/>
      <c r="V92" s="466"/>
      <c r="W92" s="466"/>
      <c r="X92" s="421"/>
      <c r="Y92" s="421"/>
    </row>
    <row r="93" spans="1:25">
      <c r="A93" s="428" t="s">
        <v>230</v>
      </c>
      <c r="B93" s="431" t="s">
        <v>553</v>
      </c>
      <c r="C93" s="429" t="e">
        <f>VLOOKUP(B93,正厂竞争者数据汇总!D:H,2,FALSE)</f>
        <v>#N/A</v>
      </c>
      <c r="D93" s="421" t="e">
        <f>VLOOKUP(B93,正厂竞争者数据汇总!D:H,3,FALSE)</f>
        <v>#N/A</v>
      </c>
      <c r="E93" s="430"/>
      <c r="F93" s="430">
        <v>20795.8333333333</v>
      </c>
      <c r="G93" s="430">
        <v>23685.8333333333</v>
      </c>
      <c r="H93" s="430">
        <v>22434.5</v>
      </c>
      <c r="I93" s="453"/>
      <c r="J93" s="451">
        <f t="shared" si="22"/>
        <v>0.0165094522131405</v>
      </c>
      <c r="K93" s="451">
        <v>0.0180486950324859</v>
      </c>
      <c r="L93" s="451">
        <v>0.0171103847886146</v>
      </c>
      <c r="M93" s="451">
        <v>0.0160810515381336</v>
      </c>
      <c r="N93" s="451">
        <v>0.0160329580527376</v>
      </c>
      <c r="O93" s="451"/>
      <c r="P93" s="451"/>
      <c r="Q93" s="430"/>
      <c r="R93" s="471" t="e">
        <f t="array" ref="R93">INDEX(正厂竞争者数据汇总!$I$2:$I$243,MATCH($A$79&amp;$B93,正厂竞争者数据汇总!$A$2:$A$243&amp;正厂竞争者数据汇总!$D$2:$D$243,0))</f>
        <v>#N/A</v>
      </c>
      <c r="S93" s="429"/>
      <c r="T93" s="421"/>
      <c r="U93" s="473"/>
      <c r="V93" s="466"/>
      <c r="W93" s="466"/>
      <c r="X93" s="421"/>
      <c r="Y93" s="421"/>
    </row>
    <row r="94" spans="1:25">
      <c r="A94" s="428" t="s">
        <v>230</v>
      </c>
      <c r="B94" s="421" t="s">
        <v>524</v>
      </c>
      <c r="C94" s="429" t="e">
        <f>VLOOKUP(B94,正厂竞争者数据汇总!D:H,2,FALSE)</f>
        <v>#N/A</v>
      </c>
      <c r="D94" s="421" t="e">
        <f>VLOOKUP(B94,正厂竞争者数据汇总!D:H,3,FALSE)</f>
        <v>#N/A</v>
      </c>
      <c r="E94" s="430"/>
      <c r="F94" s="430">
        <v>13682.8275</v>
      </c>
      <c r="G94" s="430">
        <v>15605.9325</v>
      </c>
      <c r="H94" s="430">
        <v>17521.68</v>
      </c>
      <c r="I94" s="450"/>
      <c r="J94" s="451">
        <f t="shared" si="22"/>
        <v>0.0108625599720406</v>
      </c>
      <c r="K94" s="451">
        <v>0.0118917798848845</v>
      </c>
      <c r="L94" s="451">
        <v>0.0133634663996511</v>
      </c>
      <c r="M94" s="451">
        <v>0.0135612992150641</v>
      </c>
      <c r="N94" s="451">
        <v>0.00984272728591738</v>
      </c>
      <c r="O94" s="452"/>
      <c r="P94" s="451"/>
      <c r="Q94" s="430"/>
      <c r="R94" s="471" t="e">
        <f t="array" ref="R94">INDEX(正厂竞争者数据汇总!$I$2:$I$243,MATCH($A$79&amp;$B94,正厂竞争者数据汇总!$A$2:$A$243&amp;正厂竞争者数据汇总!$D$2:$D$243,0))</f>
        <v>#N/A</v>
      </c>
      <c r="S94" s="429"/>
      <c r="T94" s="421"/>
      <c r="U94" s="472"/>
      <c r="V94" s="466"/>
      <c r="W94" s="466"/>
      <c r="X94" s="421"/>
      <c r="Y94" s="421"/>
    </row>
    <row r="95" ht="17.4" spans="1:25">
      <c r="A95" s="428" t="s">
        <v>511</v>
      </c>
      <c r="B95" s="438" t="s">
        <v>554</v>
      </c>
      <c r="C95" s="429" t="str">
        <f>VLOOKUP(B95,正厂竞争者数据汇总!D:H,2,FALSE)</f>
        <v>Motor原厂结合</v>
      </c>
      <c r="D95" s="421" t="str">
        <f>VLOOKUP(B95,正厂竞争者数据汇总!D:H,3,FALSE)</f>
        <v>-</v>
      </c>
      <c r="E95" s="430">
        <f>VLOOKUP(B95,正厂竞争者数据汇总!D:H,4,FALSE)</f>
        <v>0</v>
      </c>
      <c r="F95" s="430">
        <v>11557196.8333333</v>
      </c>
      <c r="G95" s="430">
        <v>13059219.6666667</v>
      </c>
      <c r="H95" s="430">
        <v>11315109</v>
      </c>
      <c r="I95" s="453"/>
      <c r="J95" s="451"/>
      <c r="K95" s="451"/>
      <c r="L95" s="451"/>
      <c r="M95" s="451"/>
      <c r="N95" s="451"/>
      <c r="O95" s="451"/>
      <c r="P95" s="451" t="str">
        <f t="shared" ref="P95:P97" si="23">IFERROR(Q95*0.5/$F$96,"")</f>
        <v/>
      </c>
      <c r="Q95" s="430" t="s">
        <v>180</v>
      </c>
      <c r="R95" s="471">
        <f t="array" ref="R95">INDEX(正厂竞争者数据汇总!$I$2:$I$243,MATCH($A$79&amp;$B95,正厂竞争者数据汇总!$A$2:$A$243&amp;正厂竞争者数据汇总!$D$2:$D$243,0))</f>
        <v>0</v>
      </c>
      <c r="S95" s="429" t="s">
        <v>180</v>
      </c>
      <c r="T95" s="421" t="s">
        <v>180</v>
      </c>
      <c r="U95" s="473">
        <f>VLOOKUP(B95,正厂竞争者数据汇总!$D$2:$CL$243,25,FALSE)</f>
        <v>550839</v>
      </c>
      <c r="V95" s="466">
        <f>VLOOKUP(B95,'Price &amp; Shipping'!B:DK,2,FALSE)</f>
        <v>0</v>
      </c>
      <c r="W95" s="466"/>
      <c r="X95" s="421"/>
      <c r="Y95" s="421"/>
    </row>
    <row r="96" ht="17.4" spans="1:25">
      <c r="A96" s="428" t="s">
        <v>511</v>
      </c>
      <c r="B96" s="431" t="s">
        <v>555</v>
      </c>
      <c r="C96" s="429" t="str">
        <f>VLOOKUP(B96,正厂竞争者数据汇总!D:H,2,FALSE)</f>
        <v>Acc目录</v>
      </c>
      <c r="D96" s="421" t="str">
        <f>VLOOKUP(B96,正厂竞争者数据汇总!D:H,3,FALSE)</f>
        <v>-</v>
      </c>
      <c r="E96" s="430">
        <f>VLOOKUP(B96,正厂竞争者数据汇总!D:H,4,FALSE)</f>
        <v>0</v>
      </c>
      <c r="F96" s="430">
        <v>261765.833333333</v>
      </c>
      <c r="G96" s="430">
        <v>223668.916666667</v>
      </c>
      <c r="H96" s="430">
        <v>224260.833333333</v>
      </c>
      <c r="I96" s="453"/>
      <c r="J96" s="451"/>
      <c r="K96" s="451"/>
      <c r="L96" s="451"/>
      <c r="M96" s="451"/>
      <c r="N96" s="451"/>
      <c r="O96" s="451"/>
      <c r="P96" s="451" t="str">
        <f t="shared" si="23"/>
        <v/>
      </c>
      <c r="Q96" s="430" t="s">
        <v>180</v>
      </c>
      <c r="R96" s="471">
        <f t="array" ref="R96">INDEX(正厂竞争者数据汇总!$I$2:$I$243,MATCH($A$79&amp;$B96,正厂竞争者数据汇总!$A$2:$A$243&amp;正厂竞争者数据汇总!$D$2:$D$243,0))</f>
        <v>0</v>
      </c>
      <c r="S96" s="429" t="s">
        <v>180</v>
      </c>
      <c r="T96" s="421" t="s">
        <v>180</v>
      </c>
      <c r="U96" s="473">
        <f>VLOOKUP(B96,正厂竞争者数据汇总!$D$2:$CL$243,25,FALSE)</f>
        <v>379491</v>
      </c>
      <c r="V96" s="466"/>
      <c r="W96" s="466"/>
      <c r="X96" s="421"/>
      <c r="Y96" s="421"/>
    </row>
    <row r="97" ht="17.4" spans="1:25">
      <c r="A97" s="428" t="s">
        <v>511</v>
      </c>
      <c r="B97" s="438" t="s">
        <v>556</v>
      </c>
      <c r="C97" s="429" t="str">
        <f>VLOOKUP(B97,正厂竞争者数据汇总!D:H,2,FALSE)</f>
        <v>Acc目录</v>
      </c>
      <c r="D97" s="421" t="str">
        <f>VLOOKUP(B97,正厂竞争者数据汇总!D:H,3,FALSE)</f>
        <v>-</v>
      </c>
      <c r="E97" s="430">
        <f>VLOOKUP(B97,正厂竞争者数据汇总!D:H,4,FALSE)</f>
        <v>0</v>
      </c>
      <c r="F97" s="430">
        <v>84705.75</v>
      </c>
      <c r="G97" s="430">
        <v>65461.25</v>
      </c>
      <c r="H97" s="430">
        <v>131366.333333333</v>
      </c>
      <c r="I97" s="453"/>
      <c r="J97" s="451"/>
      <c r="K97" s="451"/>
      <c r="L97" s="451"/>
      <c r="M97" s="451"/>
      <c r="N97" s="451"/>
      <c r="O97" s="451"/>
      <c r="P97" s="451" t="str">
        <f t="shared" si="23"/>
        <v/>
      </c>
      <c r="Q97" s="430" t="s">
        <v>180</v>
      </c>
      <c r="R97" s="471" t="str">
        <f t="array" ref="R97">INDEX(正厂竞争者数据汇总!$I$2:$I$243,MATCH($A$79&amp;$B97,正厂竞争者数据汇总!$A$2:$A$243&amp;正厂竞争者数据汇总!$D$2:$D$243,0))</f>
        <v>无法获取semrush流量信息</v>
      </c>
      <c r="S97" s="429" t="s">
        <v>180</v>
      </c>
      <c r="T97" s="421" t="s">
        <v>180</v>
      </c>
      <c r="U97" s="473">
        <f>VLOOKUP(B97,正厂竞争者数据汇总!$D$2:$CL$243,25,FALSE)</f>
        <v>255715</v>
      </c>
      <c r="V97" s="466"/>
      <c r="W97" s="466"/>
      <c r="X97" s="421"/>
      <c r="Y97" s="421"/>
    </row>
    <row r="98" spans="1:25">
      <c r="A98" s="428"/>
      <c r="B98" s="421"/>
      <c r="C98" s="429"/>
      <c r="D98" s="421"/>
      <c r="E98" s="430"/>
      <c r="F98" s="430"/>
      <c r="G98" s="430"/>
      <c r="H98" s="430"/>
      <c r="I98" s="450"/>
      <c r="J98" s="451"/>
      <c r="K98" s="451"/>
      <c r="L98" s="451"/>
      <c r="M98" s="451"/>
      <c r="N98" s="451"/>
      <c r="O98" s="452"/>
      <c r="P98" s="451"/>
      <c r="Q98" s="430"/>
      <c r="R98" s="471"/>
      <c r="S98" s="429"/>
      <c r="T98" s="421"/>
      <c r="U98" s="472"/>
      <c r="V98" s="466"/>
      <c r="W98" s="466"/>
      <c r="X98" s="421"/>
      <c r="Y98" s="421"/>
    </row>
    <row r="99" spans="1:25">
      <c r="A99" s="428"/>
      <c r="B99" s="421"/>
      <c r="C99" s="439"/>
      <c r="D99" s="421"/>
      <c r="E99" s="430"/>
      <c r="F99" s="430">
        <v>1259631.94083333</v>
      </c>
      <c r="G99" s="430">
        <v>1312329.41166667</v>
      </c>
      <c r="H99" s="430">
        <v>1311162.79833333</v>
      </c>
      <c r="I99" s="453">
        <f t="shared" ref="I99:I107" si="24">(F99/G99)-1</f>
        <v>-0.0401556730839507</v>
      </c>
      <c r="J99" s="430"/>
      <c r="K99" s="430"/>
      <c r="L99" s="430"/>
      <c r="M99" s="430"/>
      <c r="N99" s="430"/>
      <c r="O99" s="451"/>
      <c r="P99" s="459">
        <f>SUM(P81:P88)</f>
        <v>0</v>
      </c>
      <c r="Q99" s="430" t="s">
        <v>180</v>
      </c>
      <c r="R99" s="471"/>
      <c r="S99" s="429"/>
      <c r="T99" s="421"/>
      <c r="U99" s="473"/>
      <c r="V99" s="466"/>
      <c r="W99" s="466"/>
      <c r="X99" s="421"/>
      <c r="Y99" s="421"/>
    </row>
    <row r="100" spans="1:25">
      <c r="A100" s="428"/>
      <c r="B100" s="421"/>
      <c r="C100" s="439"/>
      <c r="D100" s="421"/>
      <c r="E100" s="430"/>
      <c r="F100" s="430"/>
      <c r="G100" s="430"/>
      <c r="H100" s="430"/>
      <c r="I100" s="453"/>
      <c r="J100" s="430"/>
      <c r="K100" s="430"/>
      <c r="L100" s="430"/>
      <c r="M100" s="430"/>
      <c r="N100" s="430"/>
      <c r="O100" s="451"/>
      <c r="P100" s="459"/>
      <c r="Q100" s="430"/>
      <c r="R100" s="471"/>
      <c r="S100" s="429"/>
      <c r="T100" s="421"/>
      <c r="U100" s="473"/>
      <c r="V100" s="466"/>
      <c r="W100" s="466"/>
      <c r="X100" s="421"/>
      <c r="Y100" s="421"/>
    </row>
    <row r="101" ht="17.4" spans="1:25">
      <c r="A101" s="418" t="s">
        <v>159</v>
      </c>
      <c r="B101" s="419"/>
      <c r="C101" s="420"/>
      <c r="D101" s="421"/>
      <c r="E101" s="422" t="s">
        <v>202</v>
      </c>
      <c r="F101" s="422"/>
      <c r="G101" s="422"/>
      <c r="H101" s="422"/>
      <c r="I101" s="422"/>
      <c r="J101" s="422"/>
      <c r="K101" s="422"/>
      <c r="L101" s="422"/>
      <c r="M101" s="422"/>
      <c r="N101" s="422"/>
      <c r="O101" s="443"/>
      <c r="P101" s="444"/>
      <c r="Q101" s="422"/>
      <c r="R101" s="471"/>
      <c r="S101" s="465"/>
      <c r="T101" s="424"/>
      <c r="U101" s="473"/>
      <c r="V101" s="467"/>
      <c r="W101" s="467"/>
      <c r="X101" s="467"/>
      <c r="Y101" s="467"/>
    </row>
    <row r="102" ht="46.8" spans="1:25">
      <c r="A102" s="423" t="s">
        <v>206</v>
      </c>
      <c r="B102" s="424" t="s">
        <v>207</v>
      </c>
      <c r="C102" s="425" t="s">
        <v>208</v>
      </c>
      <c r="D102" s="424" t="s">
        <v>209</v>
      </c>
      <c r="E102" s="426" t="s">
        <v>210</v>
      </c>
      <c r="F102" s="427" t="s">
        <v>396</v>
      </c>
      <c r="G102" s="427" t="s">
        <v>496</v>
      </c>
      <c r="H102" s="427" t="s">
        <v>627</v>
      </c>
      <c r="I102" s="427" t="s">
        <v>628</v>
      </c>
      <c r="J102" s="446" t="s">
        <v>387</v>
      </c>
      <c r="K102" s="446" t="s">
        <v>390</v>
      </c>
      <c r="L102" s="446" t="s">
        <v>629</v>
      </c>
      <c r="M102" s="446" t="s">
        <v>630</v>
      </c>
      <c r="N102" s="446" t="s">
        <v>631</v>
      </c>
      <c r="O102" s="447" t="s">
        <v>632</v>
      </c>
      <c r="P102" s="448" t="s">
        <v>219</v>
      </c>
      <c r="Q102" s="449" t="s">
        <v>220</v>
      </c>
      <c r="R102" s="468" t="s">
        <v>221</v>
      </c>
      <c r="S102" s="469" t="s">
        <v>222</v>
      </c>
      <c r="T102" s="426" t="s">
        <v>223</v>
      </c>
      <c r="U102" s="470" t="s">
        <v>224</v>
      </c>
      <c r="V102" s="467" t="s">
        <v>225</v>
      </c>
      <c r="W102" s="470" t="s">
        <v>226</v>
      </c>
      <c r="X102" s="467"/>
      <c r="Y102" s="467"/>
    </row>
    <row r="103" ht="17.4" spans="1:25">
      <c r="A103" s="432" t="s">
        <v>227</v>
      </c>
      <c r="B103" s="479" t="s">
        <v>557</v>
      </c>
      <c r="C103" s="434" t="e">
        <f>VLOOKUP(B103,正厂竞争者数据汇总!D:H,2,FALSE)</f>
        <v>#N/A</v>
      </c>
      <c r="D103" s="435" t="e">
        <f>VLOOKUP(B103,正厂竞争者数据汇总!D:H,3,FALSE)</f>
        <v>#N/A</v>
      </c>
      <c r="E103" s="436" t="e">
        <f>VLOOKUP(B103,正厂竞争者数据汇总!D:H,4,FALSE)</f>
        <v>#N/A</v>
      </c>
      <c r="F103" s="436">
        <v>370810.25</v>
      </c>
      <c r="G103" s="436">
        <v>385621.333333333</v>
      </c>
      <c r="H103" s="436">
        <v>368573.916666667</v>
      </c>
      <c r="I103" s="454">
        <f t="shared" si="24"/>
        <v>-0.0384083608790654</v>
      </c>
      <c r="J103" s="455">
        <f t="shared" ref="J103:J107" si="25">F103/F$112</f>
        <v>0.564460050660259</v>
      </c>
      <c r="K103" s="455">
        <v>0.579563558727877</v>
      </c>
      <c r="L103" s="455">
        <v>0.570819078678083</v>
      </c>
      <c r="M103" s="455">
        <v>0.539033201573699</v>
      </c>
      <c r="N103" s="455">
        <v>0.513666916219956</v>
      </c>
      <c r="O103" s="456">
        <f t="shared" ref="O103:O107" si="26">J103-N103</f>
        <v>0.0507931344403032</v>
      </c>
      <c r="P103" s="455" t="str">
        <f>IFERROR(Q103*0.5/$F$103,"")</f>
        <v/>
      </c>
      <c r="Q103" s="436" t="s">
        <v>180</v>
      </c>
      <c r="R103" s="471" t="e">
        <f t="array" ref="R103">INDEX(正厂竞争者数据汇总!$I$2:$I$243,MATCH($A$101&amp;$B103,正厂竞争者数据汇总!$A$2:$A$243&amp;正厂竞争者数据汇总!$D$2:$D$243,0))</f>
        <v>#N/A</v>
      </c>
      <c r="S103" s="434" t="s">
        <v>280</v>
      </c>
      <c r="T103" s="435" t="s">
        <v>229</v>
      </c>
      <c r="U103" s="476" t="e">
        <f>VLOOKUP(B103,正厂竞争者数据汇总!$D$2:$CL$243,25,FALSE)</f>
        <v>#N/A</v>
      </c>
      <c r="V103" s="477"/>
      <c r="W103" s="477"/>
      <c r="X103" s="435"/>
      <c r="Y103" s="435"/>
    </row>
    <row r="104" spans="1:25">
      <c r="A104" s="428" t="s">
        <v>230</v>
      </c>
      <c r="B104" s="421" t="s">
        <v>507</v>
      </c>
      <c r="C104" s="429" t="e">
        <f>VLOOKUP(B104,正厂竞争者数据汇总!D:H,2,FALSE)</f>
        <v>#N/A</v>
      </c>
      <c r="D104" s="421" t="e">
        <f>VLOOKUP(B104,正厂竞争者数据汇总!D:H,3,FALSE)</f>
        <v>#N/A</v>
      </c>
      <c r="E104" s="430"/>
      <c r="F104" s="430">
        <v>101630.713333333</v>
      </c>
      <c r="G104" s="430">
        <v>105740.378333333</v>
      </c>
      <c r="H104" s="430">
        <v>119511.058333333</v>
      </c>
      <c r="I104" s="453">
        <f t="shared" si="24"/>
        <v>-0.0388656165674461</v>
      </c>
      <c r="J104" s="459">
        <f t="shared" si="25"/>
        <v>0.154705749360411</v>
      </c>
      <c r="K104" s="459">
        <v>0.158920849731944</v>
      </c>
      <c r="L104" s="459">
        <v>0.185089582102394</v>
      </c>
      <c r="M104" s="459">
        <v>0.202262651889996</v>
      </c>
      <c r="N104" s="459">
        <v>0.214420224442109</v>
      </c>
      <c r="O104" s="451">
        <f t="shared" si="26"/>
        <v>-0.0597144750816978</v>
      </c>
      <c r="P104" s="459"/>
      <c r="Q104" s="430"/>
      <c r="R104" s="471" t="e">
        <f t="array" ref="R104">INDEX(正厂竞争者数据汇总!$I$2:$I$243,MATCH($A$101&amp;$B104,正厂竞争者数据汇总!$A$2:$A$243&amp;正厂竞争者数据汇总!$D$2:$D$243,0))</f>
        <v>#N/A</v>
      </c>
      <c r="S104" s="429"/>
      <c r="T104" s="421"/>
      <c r="U104" s="473"/>
      <c r="V104" s="466"/>
      <c r="W104" s="466"/>
      <c r="X104" s="421"/>
      <c r="Y104" s="421"/>
    </row>
    <row r="105" spans="1:25">
      <c r="A105" s="428" t="s">
        <v>230</v>
      </c>
      <c r="B105" s="438" t="s">
        <v>558</v>
      </c>
      <c r="C105" s="429"/>
      <c r="D105" s="421" t="e">
        <f>VLOOKUP(B105,正厂竞争者数据汇总!D:H,3,FALSE)</f>
        <v>#N/A</v>
      </c>
      <c r="E105" s="430" t="e">
        <f>VLOOKUP(B105,正厂竞争者数据汇总!D:H,4,FALSE)</f>
        <v>#N/A</v>
      </c>
      <c r="F105" s="430">
        <v>129027.25</v>
      </c>
      <c r="G105" s="430">
        <v>113830.416666666</v>
      </c>
      <c r="H105" s="430">
        <v>102329.083333333</v>
      </c>
      <c r="I105" s="453">
        <f t="shared" si="24"/>
        <v>0.133504152741841</v>
      </c>
      <c r="J105" s="459">
        <f t="shared" si="25"/>
        <v>0.196409694908795</v>
      </c>
      <c r="K105" s="459">
        <v>0.17107964646184</v>
      </c>
      <c r="L105" s="459">
        <v>0.158479453995472</v>
      </c>
      <c r="M105" s="459">
        <v>0.159872554624107</v>
      </c>
      <c r="N105" s="459">
        <v>0.170609043828523</v>
      </c>
      <c r="O105" s="451">
        <f t="shared" si="26"/>
        <v>0.0258006510802718</v>
      </c>
      <c r="P105" s="459"/>
      <c r="Q105" s="430"/>
      <c r="R105" s="471" t="e">
        <f t="array" ref="R105">INDEX(正厂竞争者数据汇总!$I$2:$I$243,MATCH($A$101&amp;$B105,正厂竞争者数据汇总!$A$2:$A$243&amp;正厂竞争者数据汇总!$D$2:$D$243,0))</f>
        <v>#N/A</v>
      </c>
      <c r="S105" s="429"/>
      <c r="T105" s="421"/>
      <c r="U105" s="473"/>
      <c r="V105" s="466"/>
      <c r="W105" s="466"/>
      <c r="X105" s="421"/>
      <c r="Y105" s="421"/>
    </row>
    <row r="106" spans="1:25">
      <c r="A106" s="428" t="s">
        <v>230</v>
      </c>
      <c r="B106" s="431" t="s">
        <v>559</v>
      </c>
      <c r="C106" s="429" t="e">
        <f>VLOOKUP(B106,正厂竞争者数据汇总!D:H,2,FALSE)</f>
        <v>#N/A</v>
      </c>
      <c r="D106" s="421" t="e">
        <f>VLOOKUP(B106,正厂竞争者数据汇总!D:H,3,FALSE)</f>
        <v>#N/A</v>
      </c>
      <c r="E106" s="430" t="e">
        <f>VLOOKUP(B106,正厂竞争者数据汇总!D:H,4,FALSE)</f>
        <v>#N/A</v>
      </c>
      <c r="F106" s="430">
        <v>33783.9166666667</v>
      </c>
      <c r="G106" s="430">
        <v>32906.25</v>
      </c>
      <c r="H106" s="430">
        <v>25745</v>
      </c>
      <c r="I106" s="453">
        <f t="shared" si="24"/>
        <v>0.0266717315606215</v>
      </c>
      <c r="J106" s="459">
        <f t="shared" si="25"/>
        <v>0.0514270339430171</v>
      </c>
      <c r="K106" s="459">
        <v>0.049455934373589</v>
      </c>
      <c r="L106" s="459">
        <v>0.0398718859800865</v>
      </c>
      <c r="M106" s="459">
        <v>0.0459586912548967</v>
      </c>
      <c r="N106" s="459">
        <v>0.0493711437324153</v>
      </c>
      <c r="O106" s="451">
        <f t="shared" si="26"/>
        <v>0.00205589021060181</v>
      </c>
      <c r="P106" s="459"/>
      <c r="Q106" s="430"/>
      <c r="R106" s="471" t="e">
        <f t="array" ref="R106">INDEX(正厂竞争者数据汇总!$I$2:$I$243,MATCH($A$101&amp;$B106,正厂竞争者数据汇总!$A$2:$A$243&amp;正厂竞争者数据汇总!$D$2:$D$243,0))</f>
        <v>#N/A</v>
      </c>
      <c r="S106" s="429"/>
      <c r="T106" s="421"/>
      <c r="U106" s="473" t="e">
        <f>VLOOKUP(B106,正厂竞争者数据汇总!$D$2:$CL$243,25,FALSE)</f>
        <v>#N/A</v>
      </c>
      <c r="V106" s="466"/>
      <c r="W106" s="466"/>
      <c r="X106" s="421"/>
      <c r="Y106" s="421"/>
    </row>
    <row r="107" spans="1:25">
      <c r="A107" s="428" t="s">
        <v>230</v>
      </c>
      <c r="B107" t="s">
        <v>560</v>
      </c>
      <c r="C107" s="429" t="e">
        <f>VLOOKUP(B107,正厂竞争者数据汇总!D:H,2,FALSE)</f>
        <v>#N/A</v>
      </c>
      <c r="D107" s="421" t="e">
        <f>VLOOKUP(B107,正厂竞争者数据汇总!D:H,3,FALSE)</f>
        <v>#N/A</v>
      </c>
      <c r="E107" s="430" t="e">
        <f>VLOOKUP(B107,正厂竞争者数据汇总!D:H,4,FALSE)</f>
        <v>#N/A</v>
      </c>
      <c r="F107" s="430">
        <v>21677</v>
      </c>
      <c r="G107" s="430">
        <v>27266.6666666666</v>
      </c>
      <c r="H107" s="430">
        <v>29534</v>
      </c>
      <c r="I107" s="453">
        <f t="shared" si="24"/>
        <v>-0.204999999999998</v>
      </c>
      <c r="J107" s="459">
        <f t="shared" si="25"/>
        <v>0.0329974711275172</v>
      </c>
      <c r="K107" s="459">
        <v>0.0409800107047503</v>
      </c>
      <c r="L107" s="459">
        <v>0.0457399992439648</v>
      </c>
      <c r="M107" s="459">
        <v>0.0528729006573007</v>
      </c>
      <c r="N107" s="459">
        <v>0.0519326717769969</v>
      </c>
      <c r="O107" s="451">
        <f t="shared" si="26"/>
        <v>-0.0189352006494797</v>
      </c>
      <c r="P107" s="459">
        <f>IFERROR(Q107*0.5/$F$103,"")</f>
        <v>0.0142364255033403</v>
      </c>
      <c r="Q107" s="430">
        <v>10558.025</v>
      </c>
      <c r="R107" s="471" t="e">
        <f t="array" ref="R107">INDEX(正厂竞争者数据汇总!$I$2:$I$243,MATCH($A$101&amp;$B107,正厂竞争者数据汇总!$A$2:$A$243&amp;正厂竞争者数据汇总!$D$2:$D$243,0))</f>
        <v>#N/A</v>
      </c>
      <c r="S107" s="429" t="s">
        <v>180</v>
      </c>
      <c r="T107" s="421" t="s">
        <v>180</v>
      </c>
      <c r="U107" s="473" t="e">
        <f>VLOOKUP(B107,正厂竞争者数据汇总!$D$2:$CL$243,25,FALSE)</f>
        <v>#N/A</v>
      </c>
      <c r="V107" s="466"/>
      <c r="W107" s="466"/>
      <c r="X107" s="421"/>
      <c r="Y107" s="435"/>
    </row>
    <row r="108" spans="1:25">
      <c r="A108" s="428"/>
      <c r="B108" s="431"/>
      <c r="C108" s="429"/>
      <c r="D108" s="421"/>
      <c r="E108" s="430"/>
      <c r="F108" s="430"/>
      <c r="G108" s="430"/>
      <c r="H108" s="430"/>
      <c r="I108" s="453"/>
      <c r="J108" s="459"/>
      <c r="K108" s="459"/>
      <c r="L108" s="459"/>
      <c r="M108" s="459"/>
      <c r="N108" s="459"/>
      <c r="O108" s="451"/>
      <c r="P108" s="459"/>
      <c r="Q108" s="430"/>
      <c r="R108" s="471"/>
      <c r="S108" s="429"/>
      <c r="T108" s="421"/>
      <c r="U108" s="473"/>
      <c r="V108" s="466"/>
      <c r="W108" s="466"/>
      <c r="X108" s="421"/>
      <c r="Y108" s="435"/>
    </row>
    <row r="109" ht="17.4" spans="1:25">
      <c r="A109" s="428" t="s">
        <v>561</v>
      </c>
      <c r="B109" s="421" t="s">
        <v>562</v>
      </c>
      <c r="C109" s="429" t="str">
        <f>VLOOKUP(B109,正厂竞争者数据汇总!D:H,2,FALSE)</f>
        <v>原厂目录</v>
      </c>
      <c r="D109" s="421" t="str">
        <f>VLOOKUP(B109,正厂竞争者数据汇总!D:H,3,FALSE)</f>
        <v>-</v>
      </c>
      <c r="E109" s="430">
        <f>VLOOKUP(B109,正厂竞争者数据汇总!D:H,4,FALSE)</f>
        <v>0</v>
      </c>
      <c r="F109" s="430">
        <v>422948.25</v>
      </c>
      <c r="G109" s="430">
        <v>328157.75</v>
      </c>
      <c r="H109" s="430">
        <v>309550.25</v>
      </c>
      <c r="I109" s="453"/>
      <c r="J109" s="459"/>
      <c r="K109" s="459"/>
      <c r="L109" s="459"/>
      <c r="M109" s="459"/>
      <c r="N109" s="459"/>
      <c r="O109" s="451"/>
      <c r="P109" s="459" t="str">
        <f>IFERROR(Q109*0.5/$F$103,"")</f>
        <v/>
      </c>
      <c r="Q109" s="430" t="s">
        <v>180</v>
      </c>
      <c r="R109" s="471" t="str">
        <f t="array" ref="R109">INDEX(正厂竞争者数据汇总!$I$2:$I$243,MATCH($A$101&amp;$B109,正厂竞争者数据汇总!$A$2:$A$243&amp;正厂竞争者数据汇总!$D$2:$D$243,0))</f>
        <v>变成simplepart</v>
      </c>
      <c r="S109" s="429" t="s">
        <v>180</v>
      </c>
      <c r="T109" s="421" t="s">
        <v>180</v>
      </c>
      <c r="U109" s="473">
        <f>VLOOKUP(B109,正厂竞争者数据汇总!$D$2:$CL$243,25,FALSE)</f>
        <v>269330</v>
      </c>
      <c r="V109" s="466"/>
      <c r="W109" s="466"/>
      <c r="X109" s="421"/>
      <c r="Y109" s="421"/>
    </row>
    <row r="110" spans="1:25">
      <c r="A110" s="428" t="s">
        <v>230</v>
      </c>
      <c r="B110" s="442" t="s">
        <v>563</v>
      </c>
      <c r="C110" s="429" t="e">
        <f>VLOOKUP(B110,正厂竞争者数据汇总!D:H,2,FALSE)</f>
        <v>#N/A</v>
      </c>
      <c r="D110" s="421" t="e">
        <f>VLOOKUP(B110,正厂竞争者数据汇总!D:H,3,FALSE)</f>
        <v>#N/A</v>
      </c>
      <c r="E110" s="430" t="e">
        <f>VLOOKUP(B110,正厂竞争者数据汇总!D:H,4,FALSE)</f>
        <v>#N/A</v>
      </c>
      <c r="F110" s="430">
        <v>28606.6666666667</v>
      </c>
      <c r="G110" s="430">
        <v>30276.6666666667</v>
      </c>
      <c r="H110" s="430">
        <v>31004.4166666667</v>
      </c>
      <c r="I110" s="453"/>
      <c r="J110" s="459">
        <f>F110/F112</f>
        <v>0.0435460468417144</v>
      </c>
      <c r="K110" s="459">
        <v>0.0455038431823042</v>
      </c>
      <c r="L110" s="459">
        <v>0.0480172680603002</v>
      </c>
      <c r="M110" s="459">
        <v>0.0473764174885855</v>
      </c>
      <c r="N110" s="459">
        <v>0.0313891010784856</v>
      </c>
      <c r="O110" s="451"/>
      <c r="P110" s="459"/>
      <c r="Q110" s="430"/>
      <c r="R110" s="471" t="e">
        <f t="array" ref="R110">INDEX(正厂竞争者数据汇总!$I$2:$I$243,MATCH($A$101&amp;$B110,正厂竞争者数据汇总!$A$2:$A$243&amp;正厂竞争者数据汇总!$D$2:$D$243,0))</f>
        <v>#N/A</v>
      </c>
      <c r="S110" s="429"/>
      <c r="T110" s="421"/>
      <c r="U110" s="473" t="e">
        <f>VLOOKUP(B110,正厂竞争者数据汇总!$D$2:$CL$243,25,FALSE)</f>
        <v>#N/A</v>
      </c>
      <c r="V110" s="466"/>
      <c r="W110" s="466"/>
      <c r="X110" s="421"/>
      <c r="Y110" s="421"/>
    </row>
    <row r="111" spans="1:25">
      <c r="A111" s="428"/>
      <c r="B111" s="438"/>
      <c r="C111" s="429"/>
      <c r="D111" s="421"/>
      <c r="E111" s="430"/>
      <c r="F111" s="430"/>
      <c r="G111" s="430"/>
      <c r="H111" s="430"/>
      <c r="I111" s="453"/>
      <c r="J111" s="459"/>
      <c r="K111" s="459"/>
      <c r="L111" s="459"/>
      <c r="M111" s="459"/>
      <c r="N111" s="459"/>
      <c r="O111" s="451"/>
      <c r="P111" s="459"/>
      <c r="Q111" s="430"/>
      <c r="R111" s="471"/>
      <c r="S111" s="429"/>
      <c r="T111" s="421"/>
      <c r="U111" s="473"/>
      <c r="V111" s="466"/>
      <c r="W111" s="466"/>
      <c r="X111" s="421"/>
      <c r="Y111" s="421"/>
    </row>
    <row r="112" spans="1:25">
      <c r="A112" s="428"/>
      <c r="B112" s="421"/>
      <c r="C112" s="429"/>
      <c r="D112" s="421"/>
      <c r="E112" s="430"/>
      <c r="F112" s="430">
        <v>656929.13</v>
      </c>
      <c r="G112" s="430">
        <v>665365.044999999</v>
      </c>
      <c r="H112" s="430">
        <v>645693.058333333</v>
      </c>
      <c r="I112" s="453">
        <f t="shared" ref="I112:I121" si="27">(F112/G112)-1</f>
        <v>-0.0126786266627502</v>
      </c>
      <c r="J112" s="451"/>
      <c r="K112" s="451"/>
      <c r="L112" s="451"/>
      <c r="M112" s="451"/>
      <c r="N112" s="451"/>
      <c r="O112" s="451"/>
      <c r="P112" s="451">
        <f>SUM(P103:P111)</f>
        <v>0.0142364255033403</v>
      </c>
      <c r="Q112" s="430"/>
      <c r="R112" s="471"/>
      <c r="S112" s="429"/>
      <c r="T112" s="421"/>
      <c r="U112" s="473"/>
      <c r="V112" s="466"/>
      <c r="W112" s="466"/>
      <c r="X112" s="421"/>
      <c r="Y112" s="421"/>
    </row>
    <row r="113" spans="1:25">
      <c r="A113" s="428"/>
      <c r="B113" s="421"/>
      <c r="C113" s="429"/>
      <c r="D113" s="421"/>
      <c r="E113" s="430"/>
      <c r="F113" s="430"/>
      <c r="G113" s="430"/>
      <c r="H113" s="430"/>
      <c r="I113" s="453"/>
      <c r="J113" s="451"/>
      <c r="K113" s="451"/>
      <c r="L113" s="451"/>
      <c r="M113" s="451"/>
      <c r="N113" s="451"/>
      <c r="O113" s="451"/>
      <c r="P113" s="451"/>
      <c r="Q113" s="430"/>
      <c r="R113" s="471"/>
      <c r="S113" s="429"/>
      <c r="T113" s="421"/>
      <c r="U113" s="473"/>
      <c r="V113" s="466"/>
      <c r="W113" s="466"/>
      <c r="X113" s="421"/>
      <c r="Y113" s="421"/>
    </row>
    <row r="114" ht="17.4" spans="1:25">
      <c r="A114" s="418" t="s">
        <v>274</v>
      </c>
      <c r="B114" s="419"/>
      <c r="C114" s="420"/>
      <c r="D114" s="421"/>
      <c r="E114" s="422" t="s">
        <v>202</v>
      </c>
      <c r="F114" s="422"/>
      <c r="G114" s="422"/>
      <c r="H114" s="422"/>
      <c r="I114" s="422"/>
      <c r="J114" s="422"/>
      <c r="K114" s="422"/>
      <c r="L114" s="422"/>
      <c r="M114" s="422"/>
      <c r="N114" s="422"/>
      <c r="O114" s="443"/>
      <c r="P114" s="444"/>
      <c r="Q114" s="422"/>
      <c r="R114" s="471"/>
      <c r="S114" s="465"/>
      <c r="T114" s="424"/>
      <c r="U114" s="473"/>
      <c r="V114" s="467"/>
      <c r="W114" s="467"/>
      <c r="X114" s="467"/>
      <c r="Y114" s="467"/>
    </row>
    <row r="115" ht="46.8" spans="1:25">
      <c r="A115" s="423" t="s">
        <v>206</v>
      </c>
      <c r="B115" s="424" t="s">
        <v>207</v>
      </c>
      <c r="C115" s="425" t="s">
        <v>208</v>
      </c>
      <c r="D115" s="424" t="s">
        <v>209</v>
      </c>
      <c r="E115" s="426" t="s">
        <v>210</v>
      </c>
      <c r="F115" s="427" t="s">
        <v>396</v>
      </c>
      <c r="G115" s="427" t="s">
        <v>496</v>
      </c>
      <c r="H115" s="427" t="s">
        <v>627</v>
      </c>
      <c r="I115" s="427" t="s">
        <v>628</v>
      </c>
      <c r="J115" s="446" t="s">
        <v>387</v>
      </c>
      <c r="K115" s="446" t="s">
        <v>390</v>
      </c>
      <c r="L115" s="446" t="s">
        <v>629</v>
      </c>
      <c r="M115" s="446" t="s">
        <v>630</v>
      </c>
      <c r="N115" s="446" t="s">
        <v>631</v>
      </c>
      <c r="O115" s="447" t="s">
        <v>632</v>
      </c>
      <c r="P115" s="448" t="s">
        <v>219</v>
      </c>
      <c r="Q115" s="449" t="s">
        <v>220</v>
      </c>
      <c r="R115" s="468" t="s">
        <v>221</v>
      </c>
      <c r="S115" s="469" t="s">
        <v>222</v>
      </c>
      <c r="T115" s="426" t="s">
        <v>223</v>
      </c>
      <c r="U115" s="470" t="s">
        <v>224</v>
      </c>
      <c r="V115" s="467" t="s">
        <v>225</v>
      </c>
      <c r="W115" s="470" t="s">
        <v>226</v>
      </c>
      <c r="X115" s="467"/>
      <c r="Y115" s="467"/>
    </row>
    <row r="116" ht="17.4" spans="1:25">
      <c r="A116" s="432" t="s">
        <v>227</v>
      </c>
      <c r="B116" s="435" t="s">
        <v>564</v>
      </c>
      <c r="C116" s="434" t="e">
        <f>VLOOKUP(B116,正厂竞争者数据汇总!D:H,2,FALSE)</f>
        <v>#N/A</v>
      </c>
      <c r="D116" s="435" t="e">
        <f>VLOOKUP(B116,正厂竞争者数据汇总!D:H,3,FALSE)</f>
        <v>#N/A</v>
      </c>
      <c r="E116" s="436" t="e">
        <f>VLOOKUP(B116,正厂竞争者数据汇总!D:H,4,FALSE)</f>
        <v>#N/A</v>
      </c>
      <c r="F116" s="436">
        <v>329867.416666667</v>
      </c>
      <c r="G116" s="436">
        <v>360521.5</v>
      </c>
      <c r="H116" s="436">
        <v>285539.166666667</v>
      </c>
      <c r="I116" s="454">
        <f t="shared" si="27"/>
        <v>-0.0850270603371311</v>
      </c>
      <c r="J116" s="457">
        <f t="shared" ref="J116:J122" si="28">F116/F$127</f>
        <v>0.431318061370065</v>
      </c>
      <c r="K116" s="457">
        <v>0.42821395444871</v>
      </c>
      <c r="L116" s="457">
        <v>0.391359295878328</v>
      </c>
      <c r="M116" s="457">
        <v>0.387314943719049</v>
      </c>
      <c r="N116" s="457">
        <v>0.381270064666922</v>
      </c>
      <c r="O116" s="456">
        <f t="shared" ref="O116:O122" si="29">J116-N116</f>
        <v>0.0500479967031432</v>
      </c>
      <c r="P116" s="457" t="str">
        <f t="shared" ref="P116:P122" si="30">IFERROR(Q116*0.5/$F$116,"")</f>
        <v/>
      </c>
      <c r="Q116" s="436" t="s">
        <v>180</v>
      </c>
      <c r="R116" s="471" t="e">
        <f t="array" ref="R116">INDEX(正厂竞争者数据汇总!$I$2:$I$243,MATCH($A$114&amp;$B116,正厂竞争者数据汇总!$A$2:$A$243&amp;正厂竞争者数据汇总!$D$2:$D$243,0))</f>
        <v>#N/A</v>
      </c>
      <c r="S116" s="434" t="s">
        <v>275</v>
      </c>
      <c r="T116" s="435" t="s">
        <v>229</v>
      </c>
      <c r="U116" s="476" t="e">
        <f>VLOOKUP(B116,正厂竞争者数据汇总!$D$2:$CL$243,25,FALSE)</f>
        <v>#N/A</v>
      </c>
      <c r="V116" s="477"/>
      <c r="W116" s="477"/>
      <c r="X116" s="435"/>
      <c r="Y116" s="435"/>
    </row>
    <row r="117" ht="46.8" spans="1:25">
      <c r="A117" s="428" t="s">
        <v>230</v>
      </c>
      <c r="B117" s="431" t="s">
        <v>276</v>
      </c>
      <c r="C117" s="429" t="str">
        <f>VLOOKUP(B117,正厂竞争者数据汇总!D:H,2,FALSE)</f>
        <v>Motor目录</v>
      </c>
      <c r="D117" s="421" t="str">
        <f>VLOOKUP(B117,正厂竞争者数据汇总!D:H,3,FALSE)</f>
        <v>-</v>
      </c>
      <c r="E117" s="430">
        <f>VLOOKUP(B117,正厂竞争者数据汇总!D:H,4,FALSE)</f>
        <v>0</v>
      </c>
      <c r="F117" s="430">
        <v>117933.333333334</v>
      </c>
      <c r="G117" s="430">
        <v>149776.083333333</v>
      </c>
      <c r="H117" s="430">
        <v>147751.75</v>
      </c>
      <c r="I117" s="453">
        <f t="shared" si="27"/>
        <v>-0.212602368090582</v>
      </c>
      <c r="J117" s="451">
        <f t="shared" si="28"/>
        <v>0.154203701651577</v>
      </c>
      <c r="K117" s="451">
        <v>0.177898430262845</v>
      </c>
      <c r="L117" s="451">
        <v>0.202508193603763</v>
      </c>
      <c r="M117" s="451">
        <v>0.214996881956038</v>
      </c>
      <c r="N117" s="451">
        <v>0.21726384062135</v>
      </c>
      <c r="O117" s="451">
        <f t="shared" si="29"/>
        <v>-0.0630601389697726</v>
      </c>
      <c r="P117" s="457"/>
      <c r="Q117" s="430"/>
      <c r="R117" s="471" t="str">
        <f t="array" ref="R117">INDEX(正厂竞争者数据汇总!$I$2:$I$243,MATCH($A$114&amp;$B117,正厂竞争者数据汇总!$A$2:$A$243&amp;正厂竞争者数据汇总!$D$2:$D$243,0))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S117" s="429"/>
      <c r="T117" s="435"/>
      <c r="U117" s="473">
        <f>VLOOKUP(B117,正厂竞争者数据汇总!$D$2:$CL$243,25,FALSE)</f>
        <v>0</v>
      </c>
      <c r="V117" s="466"/>
      <c r="W117" s="466"/>
      <c r="X117" s="421"/>
      <c r="Y117" s="421"/>
    </row>
    <row r="118" spans="1:25">
      <c r="A118" s="428" t="s">
        <v>391</v>
      </c>
      <c r="B118" s="431" t="s">
        <v>565</v>
      </c>
      <c r="C118" s="429" t="e">
        <f>VLOOKUP(B118,正厂竞争者数据汇总!D:H,2,FALSE)</f>
        <v>#N/A</v>
      </c>
      <c r="D118" s="421" t="e">
        <f>VLOOKUP(B118,正厂竞争者数据汇总!D:H,3,FALSE)</f>
        <v>#N/A</v>
      </c>
      <c r="E118" s="430" t="e">
        <f>VLOOKUP(B118,正厂竞争者数据汇总!D:H,4,FALSE)</f>
        <v>#N/A</v>
      </c>
      <c r="F118" s="430">
        <v>166951.666666667</v>
      </c>
      <c r="G118" s="430">
        <v>180804.333333333</v>
      </c>
      <c r="H118" s="430">
        <v>150519.25</v>
      </c>
      <c r="I118" s="453">
        <f t="shared" si="27"/>
        <v>-0.0766168952440263</v>
      </c>
      <c r="J118" s="451">
        <f t="shared" si="28"/>
        <v>0.218297611618713</v>
      </c>
      <c r="K118" s="451">
        <v>0.214752625178053</v>
      </c>
      <c r="L118" s="451">
        <v>0.206301322455357</v>
      </c>
      <c r="M118" s="451">
        <v>0.204763565779288</v>
      </c>
      <c r="N118" s="451">
        <v>0.193359564323298</v>
      </c>
      <c r="O118" s="451">
        <f t="shared" si="29"/>
        <v>0.0249380472954147</v>
      </c>
      <c r="P118" s="457" t="str">
        <f t="shared" si="30"/>
        <v/>
      </c>
      <c r="Q118" s="430" t="s">
        <v>180</v>
      </c>
      <c r="R118" s="471" t="e">
        <f t="array" ref="R118">INDEX(正厂竞争者数据汇总!$I$2:$I$243,MATCH($A$114&amp;$B118,正厂竞争者数据汇总!$A$2:$A$243&amp;正厂竞争者数据汇总!$D$2:$D$243,0))</f>
        <v>#N/A</v>
      </c>
      <c r="S118" s="429" t="s">
        <v>180</v>
      </c>
      <c r="T118" s="435" t="s">
        <v>180</v>
      </c>
      <c r="U118" s="473" t="e">
        <f>VLOOKUP(B118,正厂竞争者数据汇总!$D$2:$CL$243,25,FALSE)</f>
        <v>#N/A</v>
      </c>
      <c r="V118" s="466"/>
      <c r="W118" s="466"/>
      <c r="X118" s="474"/>
      <c r="Y118" s="474"/>
    </row>
    <row r="119" spans="1:25">
      <c r="A119" s="428" t="s">
        <v>230</v>
      </c>
      <c r="B119" s="431" t="s">
        <v>566</v>
      </c>
      <c r="C119" s="429" t="e">
        <f>VLOOKUP(B119,正厂竞争者数据汇总!D:H,2,FALSE)</f>
        <v>#N/A</v>
      </c>
      <c r="D119" s="421" t="e">
        <f>VLOOKUP(B119,正厂竞争者数据汇总!D:H,3,FALSE)</f>
        <v>#N/A</v>
      </c>
      <c r="E119" s="430" t="e">
        <f>VLOOKUP(B119,正厂竞争者数据汇总!D:H,4,FALSE)</f>
        <v>#N/A</v>
      </c>
      <c r="F119" s="430">
        <v>108736.416666667</v>
      </c>
      <c r="G119" s="430">
        <v>115528.166666667</v>
      </c>
      <c r="H119" s="430">
        <v>109161.916666667</v>
      </c>
      <c r="I119" s="453">
        <f t="shared" si="27"/>
        <v>-0.0587886936663352</v>
      </c>
      <c r="J119" s="451">
        <f t="shared" si="28"/>
        <v>0.142178275474801</v>
      </c>
      <c r="K119" s="451">
        <v>0.137220035694246</v>
      </c>
      <c r="L119" s="451">
        <v>0.14961706074203</v>
      </c>
      <c r="M119" s="451">
        <v>0.14978726257019</v>
      </c>
      <c r="N119" s="451">
        <v>0.159135516989518</v>
      </c>
      <c r="O119" s="451">
        <f t="shared" si="29"/>
        <v>-0.0169572415147166</v>
      </c>
      <c r="P119" s="457"/>
      <c r="Q119" s="430"/>
      <c r="R119" s="471" t="e">
        <f t="array" ref="R119">INDEX(正厂竞争者数据汇总!$I$2:$I$243,MATCH($A$114&amp;$B119,正厂竞争者数据汇总!$A$2:$A$243&amp;正厂竞争者数据汇总!$D$2:$D$243,0))</f>
        <v>#N/A</v>
      </c>
      <c r="S119" s="429" t="s">
        <v>180</v>
      </c>
      <c r="T119" s="435" t="s">
        <v>180</v>
      </c>
      <c r="U119" s="473" t="e">
        <f>VLOOKUP(B119,正厂竞争者数据汇总!$D$2:$CL$243,25,FALSE)</f>
        <v>#N/A</v>
      </c>
      <c r="V119" s="466"/>
      <c r="W119" s="466"/>
      <c r="X119" s="421"/>
      <c r="Y119" s="421"/>
    </row>
    <row r="120" spans="1:25">
      <c r="A120" s="428" t="s">
        <v>391</v>
      </c>
      <c r="B120" s="438" t="s">
        <v>567</v>
      </c>
      <c r="C120" s="429" t="e">
        <f>VLOOKUP(B120,正厂竞争者数据汇总!D:H,2,FALSE)</f>
        <v>#N/A</v>
      </c>
      <c r="D120" s="421" t="e">
        <f>VLOOKUP(B120,正厂竞争者数据汇总!D:H,3,FALSE)</f>
        <v>#N/A</v>
      </c>
      <c r="E120" s="430" t="e">
        <f>VLOOKUP(B120,正厂竞争者数据汇总!D:H,4,FALSE)</f>
        <v>#N/A</v>
      </c>
      <c r="F120" s="430">
        <v>27503.5833333333</v>
      </c>
      <c r="G120" s="430">
        <v>21167.5</v>
      </c>
      <c r="H120" s="430">
        <v>23634.5833333333</v>
      </c>
      <c r="I120" s="453">
        <f t="shared" si="27"/>
        <v>0.299330735010431</v>
      </c>
      <c r="J120" s="451">
        <f t="shared" si="28"/>
        <v>0.0359623037762798</v>
      </c>
      <c r="K120" s="451">
        <v>0.0251419648503434</v>
      </c>
      <c r="L120" s="451">
        <v>0.032393503138954</v>
      </c>
      <c r="M120" s="451">
        <v>0.0381390946197926</v>
      </c>
      <c r="N120" s="451">
        <v>0.0438710537967644</v>
      </c>
      <c r="O120" s="451">
        <f t="shared" si="29"/>
        <v>-0.00790875002048456</v>
      </c>
      <c r="P120" s="457" t="str">
        <f t="shared" si="30"/>
        <v/>
      </c>
      <c r="Q120" s="430" t="s">
        <v>180</v>
      </c>
      <c r="R120" s="471" t="e">
        <f t="array" ref="R120">INDEX(正厂竞争者数据汇总!$I$2:$I$243,MATCH($A$114&amp;$B120,正厂竞争者数据汇总!$A$2:$A$243&amp;正厂竞争者数据汇总!$D$2:$D$243,0))</f>
        <v>#N/A</v>
      </c>
      <c r="S120" s="429" t="s">
        <v>180</v>
      </c>
      <c r="T120" s="435" t="s">
        <v>180</v>
      </c>
      <c r="U120" s="473" t="e">
        <f>VLOOKUP(B120,正厂竞争者数据汇总!$D$2:$CL$243,25,FALSE)</f>
        <v>#N/A</v>
      </c>
      <c r="V120" s="466"/>
      <c r="W120" s="466"/>
      <c r="X120" s="474"/>
      <c r="Y120" s="474"/>
    </row>
    <row r="121" spans="1:25">
      <c r="A121" s="428" t="s">
        <v>230</v>
      </c>
      <c r="B121" s="431" t="s">
        <v>568</v>
      </c>
      <c r="C121" s="429" t="e">
        <f>VLOOKUP(B121,正厂竞争者数据汇总!D:H,2,FALSE)</f>
        <v>#N/A</v>
      </c>
      <c r="D121" s="421" t="e">
        <f>VLOOKUP(B121,正厂竞争者数据汇总!D:H,3,FALSE)</f>
        <v>#N/A</v>
      </c>
      <c r="E121" s="430" t="e">
        <f>VLOOKUP(B121,正厂竞争者数据汇总!D:H,4,FALSE)</f>
        <v>#N/A</v>
      </c>
      <c r="F121" s="430">
        <v>13650.75</v>
      </c>
      <c r="G121" s="430">
        <v>13927.6666666667</v>
      </c>
      <c r="H121" s="430">
        <v>12648.5</v>
      </c>
      <c r="I121" s="453">
        <f t="shared" si="27"/>
        <v>-0.019882488093246</v>
      </c>
      <c r="J121" s="451">
        <f t="shared" si="28"/>
        <v>0.017849034881178</v>
      </c>
      <c r="K121" s="451">
        <v>0.0165427615816999</v>
      </c>
      <c r="L121" s="451">
        <v>0.0173360037143195</v>
      </c>
      <c r="M121" s="451">
        <v>0.00420681388989912</v>
      </c>
      <c r="N121" s="451">
        <v>0.00450857933566723</v>
      </c>
      <c r="O121" s="451">
        <f t="shared" si="29"/>
        <v>0.0133404555455108</v>
      </c>
      <c r="P121" s="457" t="str">
        <f t="shared" si="30"/>
        <v/>
      </c>
      <c r="Q121" s="430" t="s">
        <v>180</v>
      </c>
      <c r="R121" s="471" t="e">
        <f t="array" ref="R121">INDEX(正厂竞争者数据汇总!$I$2:$I$243,MATCH($A$114&amp;$B121,正厂竞争者数据汇总!$A$2:$A$243&amp;正厂竞争者数据汇总!$D$2:$D$243,0))</f>
        <v>#N/A</v>
      </c>
      <c r="S121" s="429" t="s">
        <v>180</v>
      </c>
      <c r="T121" s="435" t="s">
        <v>180</v>
      </c>
      <c r="U121" s="473" t="e">
        <f>VLOOKUP(B121,正厂竞争者数据汇总!$D$2:$CL$243,25,FALSE)</f>
        <v>#N/A</v>
      </c>
      <c r="V121" s="466"/>
      <c r="W121" s="466"/>
      <c r="X121" s="421"/>
      <c r="Y121" s="421"/>
    </row>
    <row r="122" spans="1:25">
      <c r="A122" s="428" t="s">
        <v>391</v>
      </c>
      <c r="B122" s="431" t="s">
        <v>569</v>
      </c>
      <c r="C122" s="429" t="e">
        <f>VLOOKUP(B122,正厂竞争者数据汇总!D:H,2,FALSE)</f>
        <v>#N/A</v>
      </c>
      <c r="D122" s="421" t="e">
        <f>VLOOKUP(B122,正厂竞争者数据汇总!D:H,3,FALSE)</f>
        <v>#N/A</v>
      </c>
      <c r="E122" s="430" t="e">
        <f>VLOOKUP(B122,正厂竞争者数据汇总!D:H,4,FALSE)</f>
        <v>#N/A</v>
      </c>
      <c r="F122" s="430">
        <v>146.083333333333</v>
      </c>
      <c r="G122" s="430">
        <v>193.833333333333</v>
      </c>
      <c r="H122" s="430">
        <v>353.583333333333</v>
      </c>
      <c r="I122" s="453"/>
      <c r="J122" s="451">
        <f t="shared" si="28"/>
        <v>0.000191011227384973</v>
      </c>
      <c r="K122" s="451">
        <v>0.000230227984102589</v>
      </c>
      <c r="L122" s="451">
        <v>0.000484620467248142</v>
      </c>
      <c r="M122" s="451">
        <v>0.000791437465743559</v>
      </c>
      <c r="N122" s="451">
        <v>0.000591380266479378</v>
      </c>
      <c r="O122" s="451">
        <f t="shared" si="29"/>
        <v>-0.000400369039094405</v>
      </c>
      <c r="P122" s="451" t="str">
        <f t="shared" si="30"/>
        <v/>
      </c>
      <c r="Q122" s="430" t="s">
        <v>180</v>
      </c>
      <c r="R122" s="471" t="e">
        <f t="array" ref="R122">INDEX(正厂竞争者数据汇总!$I$2:$I$243,MATCH($A$114&amp;$B122,正厂竞争者数据汇总!$A$2:$A$243&amp;正厂竞争者数据汇总!$D$2:$D$243,0))</f>
        <v>#N/A</v>
      </c>
      <c r="S122" s="429" t="s">
        <v>180</v>
      </c>
      <c r="T122" s="435" t="s">
        <v>180</v>
      </c>
      <c r="U122" s="473" t="e">
        <f>VLOOKUP(B122,正厂竞争者数据汇总!$D$2:$CL$243,25,FALSE)</f>
        <v>#N/A</v>
      </c>
      <c r="V122" s="466"/>
      <c r="W122" s="466"/>
      <c r="X122" s="421"/>
      <c r="Y122" s="421"/>
    </row>
    <row r="123" spans="1:25">
      <c r="A123" s="428"/>
      <c r="B123" s="438"/>
      <c r="C123" s="429"/>
      <c r="D123" s="421"/>
      <c r="E123" s="430"/>
      <c r="F123" s="430"/>
      <c r="G123" s="430"/>
      <c r="H123" s="430"/>
      <c r="I123" s="453"/>
      <c r="J123" s="451"/>
      <c r="K123" s="451"/>
      <c r="L123" s="451"/>
      <c r="M123" s="451"/>
      <c r="N123" s="451"/>
      <c r="O123" s="451"/>
      <c r="P123" s="451"/>
      <c r="Q123" s="430"/>
      <c r="R123" s="471"/>
      <c r="S123" s="429"/>
      <c r="T123" s="435"/>
      <c r="U123" s="473"/>
      <c r="V123" s="466"/>
      <c r="W123" s="466"/>
      <c r="X123" s="474"/>
      <c r="Y123" s="474"/>
    </row>
    <row r="124" spans="1:25">
      <c r="A124" s="428" t="s">
        <v>230</v>
      </c>
      <c r="B124" s="431" t="s">
        <v>524</v>
      </c>
      <c r="C124" s="429" t="e">
        <f>VLOOKUP(B124,正厂竞争者数据汇总!D:H,2,FALSE)</f>
        <v>#N/A</v>
      </c>
      <c r="D124" s="421" t="e">
        <f>VLOOKUP(B124,正厂竞争者数据汇总!D:H,3,FALSE)</f>
        <v>#N/A</v>
      </c>
      <c r="E124" s="430"/>
      <c r="F124" s="430">
        <v>33446.9116666667</v>
      </c>
      <c r="G124" s="430">
        <v>38147.835</v>
      </c>
      <c r="H124" s="430">
        <v>42830.7733333333</v>
      </c>
      <c r="I124" s="453"/>
      <c r="J124" s="451">
        <f>F124/F$127</f>
        <v>0.0437335013098924</v>
      </c>
      <c r="K124" s="451">
        <v>0.0453105717107216</v>
      </c>
      <c r="L124" s="451">
        <v>0.0587037550376599</v>
      </c>
      <c r="M124" s="451">
        <v>0.0617097360193395</v>
      </c>
      <c r="N124" s="451">
        <v>0.0457208829279571</v>
      </c>
      <c r="O124" s="451"/>
      <c r="P124" s="451"/>
      <c r="Q124" s="430"/>
      <c r="R124" s="471" t="e">
        <f t="array" ref="R124">INDEX(正厂竞争者数据汇总!$I$2:$I$243,MATCH($A$114&amp;$B124,正厂竞争者数据汇总!$A$2:$A$243&amp;正厂竞争者数据汇总!$D$2:$D$243,0))</f>
        <v>#N/A</v>
      </c>
      <c r="S124" s="429"/>
      <c r="T124" s="435"/>
      <c r="U124" s="473"/>
      <c r="V124" s="466"/>
      <c r="W124" s="466"/>
      <c r="X124" s="421"/>
      <c r="Y124" s="421"/>
    </row>
    <row r="125" spans="1:25">
      <c r="A125" s="428"/>
      <c r="B125" s="431"/>
      <c r="C125" s="429"/>
      <c r="D125" s="421"/>
      <c r="E125" s="430"/>
      <c r="F125" s="430"/>
      <c r="G125" s="430"/>
      <c r="H125" s="430"/>
      <c r="I125" s="453"/>
      <c r="J125" s="451"/>
      <c r="K125" s="451"/>
      <c r="L125" s="451"/>
      <c r="M125" s="451"/>
      <c r="N125" s="451"/>
      <c r="O125" s="451"/>
      <c r="P125" s="451"/>
      <c r="Q125" s="430"/>
      <c r="R125" s="471"/>
      <c r="S125" s="429"/>
      <c r="T125" s="435"/>
      <c r="U125" s="473"/>
      <c r="V125" s="466"/>
      <c r="W125" s="466"/>
      <c r="X125" s="421"/>
      <c r="Y125" s="421"/>
    </row>
    <row r="126" spans="1:25">
      <c r="A126" s="428"/>
      <c r="B126" s="431"/>
      <c r="C126" s="429"/>
      <c r="D126" s="421"/>
      <c r="E126" s="430"/>
      <c r="F126" s="430"/>
      <c r="G126" s="430"/>
      <c r="H126" s="430"/>
      <c r="I126" s="453"/>
      <c r="J126" s="451"/>
      <c r="K126" s="451"/>
      <c r="L126" s="451"/>
      <c r="M126" s="451"/>
      <c r="N126" s="451"/>
      <c r="O126" s="451"/>
      <c r="P126" s="451"/>
      <c r="Q126" s="430"/>
      <c r="R126" s="471"/>
      <c r="S126" s="429"/>
      <c r="T126" s="435"/>
      <c r="U126" s="473"/>
      <c r="V126" s="466"/>
      <c r="W126" s="466"/>
      <c r="X126" s="421"/>
      <c r="Y126" s="421"/>
    </row>
    <row r="127" spans="1:25">
      <c r="A127" s="428"/>
      <c r="B127" s="421"/>
      <c r="C127" s="439"/>
      <c r="D127" s="421"/>
      <c r="E127" s="430"/>
      <c r="F127" s="430">
        <v>764789.250000002</v>
      </c>
      <c r="G127" s="430">
        <v>841919.083333333</v>
      </c>
      <c r="H127" s="430">
        <v>729608.750000001</v>
      </c>
      <c r="I127" s="453">
        <f t="shared" ref="I127:I135" si="31">(F127/G127)-1</f>
        <v>-0.0916119314316501</v>
      </c>
      <c r="J127" s="480"/>
      <c r="K127" s="480"/>
      <c r="L127" s="480"/>
      <c r="M127" s="480"/>
      <c r="N127" s="480"/>
      <c r="O127" s="451"/>
      <c r="P127" s="451">
        <f>SUM(P116:P122)</f>
        <v>0</v>
      </c>
      <c r="Q127" s="430"/>
      <c r="R127" s="471"/>
      <c r="S127" s="429"/>
      <c r="T127" s="421"/>
      <c r="U127" s="473"/>
      <c r="V127" s="466"/>
      <c r="W127" s="466"/>
      <c r="X127" s="421"/>
      <c r="Y127" s="421"/>
    </row>
    <row r="128" spans="1:25">
      <c r="A128" s="428"/>
      <c r="B128" s="421"/>
      <c r="C128" s="439"/>
      <c r="D128" s="421"/>
      <c r="E128" s="430"/>
      <c r="F128" s="430"/>
      <c r="G128" s="430"/>
      <c r="H128" s="430"/>
      <c r="I128" s="453"/>
      <c r="J128" s="430"/>
      <c r="K128" s="430"/>
      <c r="L128" s="430"/>
      <c r="M128" s="430"/>
      <c r="N128" s="430"/>
      <c r="O128" s="451"/>
      <c r="P128" s="459"/>
      <c r="Q128" s="430"/>
      <c r="R128" s="471"/>
      <c r="S128" s="429"/>
      <c r="T128" s="421"/>
      <c r="U128" s="473"/>
      <c r="V128" s="466"/>
      <c r="W128" s="466"/>
      <c r="X128" s="421"/>
      <c r="Y128" s="421"/>
    </row>
    <row r="129" ht="17.4" spans="1:25">
      <c r="A129" s="418" t="s">
        <v>165</v>
      </c>
      <c r="B129" s="419"/>
      <c r="C129" s="420"/>
      <c r="D129" s="421"/>
      <c r="E129" s="422" t="s">
        <v>202</v>
      </c>
      <c r="F129" s="422"/>
      <c r="G129" s="422"/>
      <c r="H129" s="422"/>
      <c r="I129" s="422"/>
      <c r="J129" s="422"/>
      <c r="K129" s="422"/>
      <c r="L129" s="422"/>
      <c r="M129" s="422"/>
      <c r="N129" s="422"/>
      <c r="O129" s="443"/>
      <c r="P129" s="444"/>
      <c r="Q129" s="422"/>
      <c r="R129" s="471"/>
      <c r="S129" s="465"/>
      <c r="T129" s="424"/>
      <c r="U129" s="473"/>
      <c r="V129" s="467"/>
      <c r="W129" s="467"/>
      <c r="X129" s="467"/>
      <c r="Y129" s="467"/>
    </row>
    <row r="130" ht="46.8" spans="1:25">
      <c r="A130" s="423" t="s">
        <v>206</v>
      </c>
      <c r="B130" s="424" t="s">
        <v>207</v>
      </c>
      <c r="C130" s="425" t="s">
        <v>208</v>
      </c>
      <c r="D130" s="424" t="s">
        <v>209</v>
      </c>
      <c r="E130" s="426" t="s">
        <v>210</v>
      </c>
      <c r="F130" s="427" t="s">
        <v>396</v>
      </c>
      <c r="G130" s="427" t="s">
        <v>496</v>
      </c>
      <c r="H130" s="427" t="s">
        <v>627</v>
      </c>
      <c r="I130" s="427" t="s">
        <v>628</v>
      </c>
      <c r="J130" s="446" t="s">
        <v>387</v>
      </c>
      <c r="K130" s="446" t="s">
        <v>390</v>
      </c>
      <c r="L130" s="446" t="s">
        <v>629</v>
      </c>
      <c r="M130" s="446" t="s">
        <v>630</v>
      </c>
      <c r="N130" s="446" t="s">
        <v>631</v>
      </c>
      <c r="O130" s="447" t="s">
        <v>632</v>
      </c>
      <c r="P130" s="448" t="s">
        <v>219</v>
      </c>
      <c r="Q130" s="449" t="s">
        <v>220</v>
      </c>
      <c r="R130" s="468" t="s">
        <v>221</v>
      </c>
      <c r="S130" s="469" t="s">
        <v>222</v>
      </c>
      <c r="T130" s="426" t="s">
        <v>223</v>
      </c>
      <c r="U130" s="470" t="s">
        <v>224</v>
      </c>
      <c r="V130" s="467" t="s">
        <v>225</v>
      </c>
      <c r="W130" s="470" t="s">
        <v>226</v>
      </c>
      <c r="X130" s="467"/>
      <c r="Y130" s="467"/>
    </row>
    <row r="131" spans="1:25">
      <c r="A131" s="428" t="s">
        <v>230</v>
      </c>
      <c r="B131" s="431" t="s">
        <v>570</v>
      </c>
      <c r="C131" s="429" t="e">
        <f>VLOOKUP(B131,正厂竞争者数据汇总!D:H,2,FALSE)</f>
        <v>#N/A</v>
      </c>
      <c r="D131" s="421" t="e">
        <f>VLOOKUP(B131,正厂竞争者数据汇总!D:H,3,FALSE)</f>
        <v>#N/A</v>
      </c>
      <c r="E131" s="430">
        <f>VLOOKUP(B138,正厂竞争者数据汇总!D:H,4,FALSE)</f>
        <v>0</v>
      </c>
      <c r="F131" s="430">
        <v>223254.25</v>
      </c>
      <c r="G131" s="430">
        <v>227136</v>
      </c>
      <c r="H131" s="430">
        <v>207519.25</v>
      </c>
      <c r="I131" s="453">
        <f t="shared" si="31"/>
        <v>-0.0170899813327698</v>
      </c>
      <c r="J131" s="451">
        <f t="shared" ref="J131:J135" si="32">F131/F$140</f>
        <v>0.450059922851219</v>
      </c>
      <c r="K131" s="451">
        <v>0.434276394815321</v>
      </c>
      <c r="L131" s="451">
        <v>0.408382946985332</v>
      </c>
      <c r="M131" s="451">
        <v>0.420672844039564</v>
      </c>
      <c r="N131" s="451">
        <v>0.424131405069947</v>
      </c>
      <c r="O131" s="451">
        <f t="shared" ref="O131:O135" si="33">J131-N131</f>
        <v>0.025928517781272</v>
      </c>
      <c r="P131" s="451" t="str">
        <f>IFERROR(Q131*0.5/#REF!,"")</f>
        <v/>
      </c>
      <c r="Q131" s="430">
        <v>42711.55</v>
      </c>
      <c r="R131" s="471" t="e">
        <f t="array" ref="R131">INDEX(正厂竞争者数据汇总!$I$2:$I$243,MATCH($A$129&amp;$B131,正厂竞争者数据汇总!$A$2:$A$243&amp;正厂竞争者数据汇总!$D$2:$D$243,0))</f>
        <v>#N/A</v>
      </c>
      <c r="S131" s="429" t="s">
        <v>180</v>
      </c>
      <c r="T131" s="421" t="s">
        <v>180</v>
      </c>
      <c r="U131" s="473" t="e">
        <f>VLOOKUP(B131,正厂竞争者数据汇总!$D$2:$CL$243,25,FALSE)</f>
        <v>#N/A</v>
      </c>
      <c r="V131" s="466"/>
      <c r="W131" s="466"/>
      <c r="X131" s="421"/>
      <c r="Y131" s="421"/>
    </row>
    <row r="132" ht="17.4" spans="1:25">
      <c r="A132" s="432" t="s">
        <v>227</v>
      </c>
      <c r="B132" s="435" t="s">
        <v>571</v>
      </c>
      <c r="C132" s="434" t="e">
        <f>VLOOKUP(B132,正厂竞争者数据汇总!D:H,2,FALSE)</f>
        <v>#N/A</v>
      </c>
      <c r="D132" s="435" t="e">
        <f>VLOOKUP(B132,正厂竞争者数据汇总!D:H,3,FALSE)</f>
        <v>#N/A</v>
      </c>
      <c r="E132" s="436" t="e">
        <f>VLOOKUP(B132,正厂竞争者数据汇总!D:H,4,FALSE)</f>
        <v>#N/A</v>
      </c>
      <c r="F132" s="436">
        <v>105629.416666666</v>
      </c>
      <c r="G132" s="436">
        <v>126232.75</v>
      </c>
      <c r="H132" s="436">
        <v>127204.083333333</v>
      </c>
      <c r="I132" s="454">
        <f t="shared" si="31"/>
        <v>-0.163217020411375</v>
      </c>
      <c r="J132" s="457">
        <f t="shared" si="32"/>
        <v>0.212939136055949</v>
      </c>
      <c r="K132" s="457">
        <v>0.241352773570124</v>
      </c>
      <c r="L132" s="457">
        <v>0.250328479985516</v>
      </c>
      <c r="M132" s="457">
        <v>0.188887714405731</v>
      </c>
      <c r="N132" s="457">
        <v>0.182333340954258</v>
      </c>
      <c r="O132" s="456">
        <f t="shared" si="33"/>
        <v>0.0306057951016915</v>
      </c>
      <c r="P132" s="457" t="str">
        <f>IFERROR(Q132*0.5/#REF!,"")</f>
        <v/>
      </c>
      <c r="Q132" s="436" t="s">
        <v>180</v>
      </c>
      <c r="R132" s="471" t="e">
        <f t="array" ref="R132">INDEX(正厂竞争者数据汇总!$I$2:$I$243,MATCH($A$129&amp;$B132,正厂竞争者数据汇总!$A$2:$A$243&amp;正厂竞争者数据汇总!$D$2:$D$243,0))</f>
        <v>#N/A</v>
      </c>
      <c r="S132" s="434" t="s">
        <v>572</v>
      </c>
      <c r="T132" s="435" t="s">
        <v>229</v>
      </c>
      <c r="U132" s="476" t="e">
        <f>VLOOKUP(B132,正厂竞争者数据汇总!$D$2:$CL$243,25,FALSE)</f>
        <v>#N/A</v>
      </c>
      <c r="V132" s="477"/>
      <c r="W132" s="477"/>
      <c r="X132" s="435"/>
      <c r="Y132" s="435"/>
    </row>
    <row r="133" spans="1:25">
      <c r="A133" s="428" t="s">
        <v>230</v>
      </c>
      <c r="B133" s="431" t="s">
        <v>573</v>
      </c>
      <c r="C133" s="429" t="e">
        <f>VLOOKUP(B133,正厂竞争者数据汇总!D:H,2,FALSE)</f>
        <v>#N/A</v>
      </c>
      <c r="D133" s="421" t="e">
        <f>VLOOKUP(B133,正厂竞争者数据汇总!D:H,3,FALSE)</f>
        <v>#N/A</v>
      </c>
      <c r="E133" s="430" t="e">
        <f>VLOOKUP(B133,正厂竞争者数据汇总!D:H,4,FALSE)</f>
        <v>#N/A</v>
      </c>
      <c r="F133" s="430">
        <v>131486.666666667</v>
      </c>
      <c r="G133" s="430">
        <v>132466.666666667</v>
      </c>
      <c r="H133" s="430">
        <v>141937.833333333</v>
      </c>
      <c r="I133" s="453">
        <f t="shared" si="31"/>
        <v>-0.0073980875691998</v>
      </c>
      <c r="J133" s="451">
        <f t="shared" si="32"/>
        <v>0.265064960940112</v>
      </c>
      <c r="K133" s="451">
        <v>0.25327181262857</v>
      </c>
      <c r="L133" s="451">
        <v>0.279323439465878</v>
      </c>
      <c r="M133" s="451">
        <v>0.322437908394603</v>
      </c>
      <c r="N133" s="451">
        <v>0.323964506811837</v>
      </c>
      <c r="O133" s="451">
        <f t="shared" si="33"/>
        <v>-0.0588995458717246</v>
      </c>
      <c r="P133" s="451" t="str">
        <f>IFERROR(Q133*0.5/#REF!,"")</f>
        <v/>
      </c>
      <c r="Q133" s="430" t="s">
        <v>180</v>
      </c>
      <c r="R133" s="471" t="e">
        <f t="array" ref="R133">INDEX(正厂竞争者数据汇总!$I$2:$I$243,MATCH($A$129&amp;$B133,正厂竞争者数据汇总!$A$2:$A$243&amp;正厂竞争者数据汇总!$D$2:$D$243,0))</f>
        <v>#N/A</v>
      </c>
      <c r="S133" s="429" t="s">
        <v>180</v>
      </c>
      <c r="T133" s="421" t="s">
        <v>180</v>
      </c>
      <c r="U133" s="473" t="e">
        <f>VLOOKUP(B133,正厂竞争者数据汇总!$D$2:$CL$243,25,FALSE)</f>
        <v>#N/A</v>
      </c>
      <c r="V133" s="466"/>
      <c r="W133" s="466"/>
      <c r="X133" s="421"/>
      <c r="Y133" s="421"/>
    </row>
    <row r="134" spans="1:25">
      <c r="A134" s="428" t="s">
        <v>230</v>
      </c>
      <c r="B134" t="s">
        <v>574</v>
      </c>
      <c r="C134" s="429"/>
      <c r="D134" s="421" t="e">
        <f>VLOOKUP(B134,正厂竞争者数据汇总!D:H,3,FALSE)</f>
        <v>#N/A</v>
      </c>
      <c r="E134" s="430" t="e">
        <f>VLOOKUP(B134,正厂竞争者数据汇总!D:H,4,FALSE)</f>
        <v>#N/A</v>
      </c>
      <c r="F134" s="430">
        <v>16208.5833333334</v>
      </c>
      <c r="G134" s="430">
        <v>17388.4166666666</v>
      </c>
      <c r="H134" s="430">
        <v>16775.8333333333</v>
      </c>
      <c r="I134" s="453">
        <f t="shared" si="31"/>
        <v>-0.0678516828731697</v>
      </c>
      <c r="J134" s="451">
        <f t="shared" si="32"/>
        <v>0.0326750051321647</v>
      </c>
      <c r="K134" s="451">
        <v>0.0332460680013146</v>
      </c>
      <c r="L134" s="451">
        <v>0.0330136324933779</v>
      </c>
      <c r="M134" s="451">
        <v>0.0303177814401225</v>
      </c>
      <c r="N134" s="451">
        <v>0.0274515880737604</v>
      </c>
      <c r="O134" s="451">
        <f t="shared" si="33"/>
        <v>0.00522341705840431</v>
      </c>
      <c r="P134" s="451"/>
      <c r="Q134" s="430"/>
      <c r="R134" s="471" t="e">
        <f t="array" ref="R134">INDEX(正厂竞争者数据汇总!$I$2:$I$243,MATCH($A$129&amp;$B134,正厂竞争者数据汇总!$A$2:$A$243&amp;正厂竞争者数据汇总!$D$2:$D$243,0))</f>
        <v>#N/A</v>
      </c>
      <c r="S134" s="429"/>
      <c r="T134" s="421"/>
      <c r="U134" s="473" t="e">
        <f>VLOOKUP(B134,正厂竞争者数据汇总!$D$2:$CL$243,25,FALSE)</f>
        <v>#N/A</v>
      </c>
      <c r="V134" s="466"/>
      <c r="W134" s="466"/>
      <c r="X134" s="421"/>
      <c r="Y134" s="421"/>
    </row>
    <row r="135" spans="1:25">
      <c r="A135" s="428" t="s">
        <v>391</v>
      </c>
      <c r="B135" s="421" t="s">
        <v>297</v>
      </c>
      <c r="C135" s="429" t="str">
        <f>VLOOKUP(B135,正厂竞争者数据汇总!D:H,2,FALSE)</f>
        <v>原厂目录</v>
      </c>
      <c r="D135" s="421" t="str">
        <f>VLOOKUP(B135,正厂竞争者数据汇总!D:H,3,FALSE)</f>
        <v>CT</v>
      </c>
      <c r="E135" s="430">
        <f>VLOOKUP(B135,正厂竞争者数据汇总!D:H,4,FALSE)</f>
        <v>0</v>
      </c>
      <c r="F135" s="430">
        <v>19475.5833333333</v>
      </c>
      <c r="G135" s="430">
        <v>19797.9166666667</v>
      </c>
      <c r="H135" s="430">
        <v>14711.6666666667</v>
      </c>
      <c r="I135" s="453">
        <f t="shared" si="31"/>
        <v>-0.0162811743659931</v>
      </c>
      <c r="J135" s="451">
        <f t="shared" si="32"/>
        <v>0.0392609750205538</v>
      </c>
      <c r="K135" s="451">
        <v>0.0378529509846707</v>
      </c>
      <c r="L135" s="451">
        <v>0.028951501069897</v>
      </c>
      <c r="M135" s="451">
        <v>0.0376837517199796</v>
      </c>
      <c r="N135" s="451">
        <v>0.042119159090197</v>
      </c>
      <c r="O135" s="451">
        <f t="shared" si="33"/>
        <v>-0.00285818406964321</v>
      </c>
      <c r="P135" s="451" t="str">
        <f>IFERROR(Q135*0.5/#REF!,"")</f>
        <v/>
      </c>
      <c r="Q135" s="430" t="s">
        <v>180</v>
      </c>
      <c r="R135" s="471" t="str">
        <f t="array" ref="R135">INDEX(正厂竞争者数据汇总!$I$2:$I$243,MATCH($A$129&amp;$B135,正厂竞争者数据汇总!$A$2:$A$243&amp;正厂竞争者数据汇总!$D$2:$D$243,0))</f>
        <v>2024年1月，因市场份额大于5%，加入监控</v>
      </c>
      <c r="S135" s="429" t="s">
        <v>180</v>
      </c>
      <c r="T135" s="421" t="s">
        <v>180</v>
      </c>
      <c r="U135" s="473">
        <f>VLOOKUP(B135,正厂竞争者数据汇总!$D$2:$CL$243,25,FALSE)</f>
        <v>22560</v>
      </c>
      <c r="V135" s="466"/>
      <c r="W135" s="477"/>
      <c r="X135" s="421"/>
      <c r="Y135" s="421"/>
    </row>
    <row r="136" spans="1:25">
      <c r="A136" s="428"/>
      <c r="B136" s="421"/>
      <c r="C136" s="429"/>
      <c r="D136" s="421"/>
      <c r="E136" s="430"/>
      <c r="F136" s="430"/>
      <c r="G136" s="430"/>
      <c r="H136" s="430"/>
      <c r="I136" s="453"/>
      <c r="J136" s="451"/>
      <c r="K136" s="451"/>
      <c r="L136" s="451"/>
      <c r="M136" s="451"/>
      <c r="N136" s="451"/>
      <c r="O136" s="451"/>
      <c r="P136" s="451"/>
      <c r="Q136" s="430"/>
      <c r="R136" s="471"/>
      <c r="S136" s="429"/>
      <c r="T136" s="421"/>
      <c r="U136" s="473"/>
      <c r="V136" s="466"/>
      <c r="W136" s="466"/>
      <c r="X136" s="421"/>
      <c r="Y136" s="421"/>
    </row>
    <row r="137" spans="1:25">
      <c r="A137" s="428" t="s">
        <v>230</v>
      </c>
      <c r="B137" s="421" t="s">
        <v>575</v>
      </c>
      <c r="C137" s="429" t="e">
        <f>VLOOKUP(B137,正厂竞争者数据汇总!D:H,2,FALSE)</f>
        <v>#N/A</v>
      </c>
      <c r="D137" s="421" t="e">
        <f>VLOOKUP(B137,正厂竞争者数据汇总!D:H,3,FALSE)</f>
        <v>#N/A</v>
      </c>
      <c r="E137" s="430" t="e">
        <f>VLOOKUP(B137,正厂竞争者数据汇总!D:H,4,FALSE)</f>
        <v>#N/A</v>
      </c>
      <c r="F137" s="430">
        <v>48179.25</v>
      </c>
      <c r="G137" s="430">
        <v>42133.1666666667</v>
      </c>
      <c r="H137" s="430">
        <v>34320.3333333333</v>
      </c>
      <c r="I137" s="453"/>
      <c r="J137" s="451">
        <f>F137/$F$140</f>
        <v>0.0971249126860053</v>
      </c>
      <c r="K137" s="451">
        <v>0.0805571979877829</v>
      </c>
      <c r="L137" s="451">
        <v>0.0675399456589476</v>
      </c>
      <c r="M137" s="451">
        <v>0.0784165434225319</v>
      </c>
      <c r="N137" s="451">
        <v>0.0710087310397736</v>
      </c>
      <c r="O137" s="451"/>
      <c r="P137" s="451"/>
      <c r="Q137" s="430"/>
      <c r="R137" s="471" t="e">
        <f t="array" ref="R137">INDEX(正厂竞争者数据汇总!$I$2:$I$243,MATCH($A$129&amp;$B137,正厂竞争者数据汇总!$A$2:$A$243&amp;正厂竞争者数据汇总!$D$2:$D$243,0))</f>
        <v>#N/A</v>
      </c>
      <c r="S137" s="429"/>
      <c r="T137" s="421"/>
      <c r="U137" s="473"/>
      <c r="V137" s="466"/>
      <c r="W137" s="466"/>
      <c r="X137" s="421"/>
      <c r="Y137" s="421"/>
    </row>
    <row r="138" ht="17.4" spans="1:25">
      <c r="A138" s="428" t="s">
        <v>576</v>
      </c>
      <c r="B138" s="438" t="s">
        <v>577</v>
      </c>
      <c r="C138" s="429" t="str">
        <f>VLOOKUP(B138,正厂竞争者数据汇总!D:H,2,FALSE)</f>
        <v>原厂目录</v>
      </c>
      <c r="D138" s="421" t="str">
        <f>VLOOKUP(B138,正厂竞争者数据汇总!D:H,3,FALSE)</f>
        <v>-</v>
      </c>
      <c r="E138" s="430">
        <f>VLOOKUP(B138,正厂竞争者数据汇总!D:H,4,FALSE)</f>
        <v>0</v>
      </c>
      <c r="F138" s="430">
        <v>755771.583333333</v>
      </c>
      <c r="G138" s="430">
        <v>655383.666666667</v>
      </c>
      <c r="H138" s="430">
        <v>469558.25</v>
      </c>
      <c r="I138" s="453"/>
      <c r="J138" s="430"/>
      <c r="K138" s="430"/>
      <c r="L138" s="430"/>
      <c r="M138" s="430"/>
      <c r="N138" s="430"/>
      <c r="O138" s="451"/>
      <c r="P138" s="451" t="str">
        <f>IFERROR(Q138*0.5/#REF!,"")</f>
        <v/>
      </c>
      <c r="Q138" s="430" t="s">
        <v>180</v>
      </c>
      <c r="R138" s="471">
        <f t="array" ref="R138">INDEX(正厂竞争者数据汇总!$I$2:$I$243,MATCH($A$129&amp;$B138,正厂竞争者数据汇总!$A$2:$A$243&amp;正厂竞争者数据汇总!$D$2:$D$243,0))</f>
        <v>0</v>
      </c>
      <c r="S138" s="429" t="s">
        <v>180</v>
      </c>
      <c r="T138" s="421" t="s">
        <v>180</v>
      </c>
      <c r="U138" s="473">
        <f>VLOOKUP(B138,正厂竞争者数据汇总!$D$2:$CL$243,25,FALSE)</f>
        <v>351431</v>
      </c>
      <c r="V138" s="466"/>
      <c r="W138" s="466"/>
      <c r="X138" s="421"/>
      <c r="Y138" s="421"/>
    </row>
    <row r="139" spans="1:25">
      <c r="A139" s="428"/>
      <c r="B139" s="421"/>
      <c r="C139" s="429"/>
      <c r="D139" s="421"/>
      <c r="E139" s="430"/>
      <c r="F139" s="481"/>
      <c r="G139" s="481"/>
      <c r="H139" s="481"/>
      <c r="I139" s="453"/>
      <c r="J139" s="451"/>
      <c r="K139" s="451"/>
      <c r="L139" s="451"/>
      <c r="M139" s="451"/>
      <c r="N139" s="451"/>
      <c r="O139" s="451"/>
      <c r="P139" s="451"/>
      <c r="Q139" s="430"/>
      <c r="R139" s="471"/>
      <c r="S139" s="429"/>
      <c r="T139" s="421"/>
      <c r="U139" s="473"/>
      <c r="V139" s="466"/>
      <c r="W139" s="466"/>
      <c r="X139" s="421"/>
      <c r="Y139" s="421"/>
    </row>
    <row r="140" spans="1:25">
      <c r="A140" s="428"/>
      <c r="B140" s="421"/>
      <c r="C140" s="439"/>
      <c r="D140" s="421"/>
      <c r="E140" s="421"/>
      <c r="F140" s="481">
        <v>496054.5</v>
      </c>
      <c r="G140" s="481">
        <v>523021.75</v>
      </c>
      <c r="H140" s="481">
        <v>508148.666666666</v>
      </c>
      <c r="I140" s="453">
        <f t="shared" ref="I140:I149" si="34">(F140/G140)-1</f>
        <v>-0.0515604752574821</v>
      </c>
      <c r="J140" s="430"/>
      <c r="K140" s="430"/>
      <c r="L140" s="430"/>
      <c r="M140" s="430"/>
      <c r="N140" s="430"/>
      <c r="O140" s="451"/>
      <c r="P140" s="451">
        <f>SUM(P131:P135)</f>
        <v>0</v>
      </c>
      <c r="Q140" s="430"/>
      <c r="R140" s="471"/>
      <c r="S140" s="429"/>
      <c r="T140" s="421"/>
      <c r="U140" s="473"/>
      <c r="V140" s="466"/>
      <c r="W140" s="466"/>
      <c r="X140" s="421"/>
      <c r="Y140" s="421"/>
    </row>
    <row r="141" spans="1:25">
      <c r="A141" s="428"/>
      <c r="B141" s="421"/>
      <c r="C141" s="429"/>
      <c r="D141" s="421"/>
      <c r="E141" s="430"/>
      <c r="F141" s="451"/>
      <c r="G141" s="451"/>
      <c r="H141" s="451"/>
      <c r="I141" s="453"/>
      <c r="J141" s="451"/>
      <c r="K141" s="451"/>
      <c r="L141" s="451"/>
      <c r="M141" s="451"/>
      <c r="N141" s="451"/>
      <c r="O141" s="451"/>
      <c r="P141" s="451"/>
      <c r="Q141" s="451"/>
      <c r="R141" s="471"/>
      <c r="S141" s="429"/>
      <c r="T141" s="421"/>
      <c r="U141" s="473"/>
      <c r="V141" s="466"/>
      <c r="W141" s="466"/>
      <c r="X141" s="421"/>
      <c r="Y141" s="421"/>
    </row>
    <row r="142" ht="17.4" spans="1:25">
      <c r="A142" s="418" t="s">
        <v>171</v>
      </c>
      <c r="B142" s="419"/>
      <c r="C142" s="420"/>
      <c r="D142" s="421"/>
      <c r="E142" s="422" t="s">
        <v>202</v>
      </c>
      <c r="F142" s="422"/>
      <c r="G142" s="422"/>
      <c r="H142" s="422"/>
      <c r="I142" s="422"/>
      <c r="J142" s="422"/>
      <c r="K142" s="422"/>
      <c r="L142" s="422"/>
      <c r="M142" s="422"/>
      <c r="N142" s="422"/>
      <c r="O142" s="443"/>
      <c r="P142" s="422"/>
      <c r="Q142" s="422"/>
      <c r="R142" s="471"/>
      <c r="S142" s="465"/>
      <c r="T142" s="424"/>
      <c r="U142" s="473"/>
      <c r="V142" s="467"/>
      <c r="W142" s="467"/>
      <c r="X142" s="467"/>
      <c r="Y142" s="467"/>
    </row>
    <row r="143" ht="46.8" spans="1:25">
      <c r="A143" s="423" t="s">
        <v>206</v>
      </c>
      <c r="B143" s="424" t="s">
        <v>207</v>
      </c>
      <c r="C143" s="425" t="s">
        <v>208</v>
      </c>
      <c r="D143" s="424" t="s">
        <v>209</v>
      </c>
      <c r="E143" s="426" t="s">
        <v>210</v>
      </c>
      <c r="F143" s="427" t="s">
        <v>396</v>
      </c>
      <c r="G143" s="427" t="s">
        <v>496</v>
      </c>
      <c r="H143" s="427" t="s">
        <v>627</v>
      </c>
      <c r="I143" s="427" t="s">
        <v>628</v>
      </c>
      <c r="J143" s="446" t="s">
        <v>387</v>
      </c>
      <c r="K143" s="446" t="s">
        <v>390</v>
      </c>
      <c r="L143" s="446" t="s">
        <v>629</v>
      </c>
      <c r="M143" s="446" t="s">
        <v>630</v>
      </c>
      <c r="N143" s="446" t="s">
        <v>631</v>
      </c>
      <c r="O143" s="447" t="s">
        <v>632</v>
      </c>
      <c r="P143" s="448" t="s">
        <v>219</v>
      </c>
      <c r="Q143" s="449" t="s">
        <v>220</v>
      </c>
      <c r="R143" s="468" t="s">
        <v>221</v>
      </c>
      <c r="S143" s="469" t="s">
        <v>222</v>
      </c>
      <c r="T143" s="426" t="s">
        <v>223</v>
      </c>
      <c r="U143" s="470" t="s">
        <v>224</v>
      </c>
      <c r="V143" s="467" t="s">
        <v>225</v>
      </c>
      <c r="W143" s="470" t="s">
        <v>226</v>
      </c>
      <c r="X143" s="467"/>
      <c r="Y143" s="467"/>
    </row>
    <row r="144" ht="46.8" spans="1:25">
      <c r="A144" s="428" t="s">
        <v>230</v>
      </c>
      <c r="B144" s="438" t="s">
        <v>578</v>
      </c>
      <c r="C144" s="429" t="e">
        <f>VLOOKUP(B144,正厂竞争者数据汇总!D:H,2,FALSE)</f>
        <v>#N/A</v>
      </c>
      <c r="D144" s="421" t="e">
        <f>VLOOKUP(B144,正厂竞争者数据汇总!D:H,3,FALSE)</f>
        <v>#N/A</v>
      </c>
      <c r="E144" s="430" t="e">
        <f>VLOOKUP(B144,正厂竞争者数据汇总!D:H,4,FALSE)</f>
        <v>#N/A</v>
      </c>
      <c r="F144" s="430">
        <v>112655.333333333</v>
      </c>
      <c r="G144" s="430">
        <v>152912.166666667</v>
      </c>
      <c r="H144" s="430">
        <v>150139.75</v>
      </c>
      <c r="I144" s="453">
        <f t="shared" si="34"/>
        <v>-0.263267692891239</v>
      </c>
      <c r="J144" s="451">
        <f t="shared" ref="J144:J149" si="35">F144/F$156</f>
        <v>0.246273374186277</v>
      </c>
      <c r="K144" s="451">
        <v>0.35021328330321</v>
      </c>
      <c r="L144" s="451">
        <v>0.339170611188838</v>
      </c>
      <c r="M144" s="451">
        <v>0.360235390389442</v>
      </c>
      <c r="N144" s="451">
        <v>0.344368357592742</v>
      </c>
      <c r="O144" s="451">
        <f t="shared" ref="O144:O149" si="36">J144-N144</f>
        <v>-0.098094983406465</v>
      </c>
      <c r="P144" s="459"/>
      <c r="Q144" s="430"/>
      <c r="R144" s="471" t="e">
        <f t="array" ref="R144">INDEX(正厂竞争者数据汇总!$I$2:$I$243,MATCH($A$142&amp;$B144,正厂竞争者数据汇总!$A$2:$A$243&amp;正厂竞争者数据汇总!$D$2:$D$243,0))</f>
        <v>#N/A</v>
      </c>
      <c r="S144" s="429" t="s">
        <v>180</v>
      </c>
      <c r="T144" s="421" t="s">
        <v>180</v>
      </c>
      <c r="U144" s="473" t="e">
        <f>VLOOKUP(B144,正厂竞争者数据汇总!$D$2:$CL$243,25,FALSE)</f>
        <v>#N/A</v>
      </c>
      <c r="V144" s="466" t="str">
        <f>VLOOKUP(B144,'Price &amp; Shipping'!B:DK,2,FALSE)</f>
        <v>free shipping over $499(most orders)</v>
      </c>
      <c r="W144" s="466"/>
      <c r="X144" s="421"/>
      <c r="Y144" s="421"/>
    </row>
    <row r="145" spans="1:25">
      <c r="A145" s="428" t="s">
        <v>230</v>
      </c>
      <c r="B145" s="482" t="s">
        <v>311</v>
      </c>
      <c r="C145" s="429" t="str">
        <f>VLOOKUP(B145,正厂竞争者数据汇总!D:H,2,FALSE)</f>
        <v>原厂目录</v>
      </c>
      <c r="D145" s="421" t="str">
        <f>VLOOKUP(B145,正厂竞争者数据汇总!D:H,3,FALSE)</f>
        <v>GA</v>
      </c>
      <c r="E145" s="430">
        <f>VLOOKUP(B145,正厂竞争者数据汇总!D:H,4,FALSE)</f>
        <v>0</v>
      </c>
      <c r="F145" s="430">
        <v>128468.416666667</v>
      </c>
      <c r="G145" s="430">
        <v>76765.0833333333</v>
      </c>
      <c r="H145" s="430">
        <v>71724.4166666667</v>
      </c>
      <c r="I145" s="453">
        <f t="shared" si="34"/>
        <v>0.67352670105007</v>
      </c>
      <c r="J145" s="451">
        <f t="shared" si="35"/>
        <v>0.280842011760373</v>
      </c>
      <c r="K145" s="451">
        <v>0.175814341417422</v>
      </c>
      <c r="L145" s="451">
        <v>0.162027805681015</v>
      </c>
      <c r="M145" s="451">
        <v>0.190713081302863</v>
      </c>
      <c r="N145" s="451">
        <v>0.207049980382551</v>
      </c>
      <c r="O145" s="451">
        <f t="shared" si="36"/>
        <v>0.0737920313778219</v>
      </c>
      <c r="P145" s="459"/>
      <c r="Q145" s="430"/>
      <c r="R145" s="471">
        <f t="array" ref="R145">INDEX(正厂竞争者数据汇总!$I$2:$I$243,MATCH($A$142&amp;$B145,正厂竞争者数据汇总!$A$2:$A$243&amp;正厂竞争者数据汇总!$D$2:$D$243,0))</f>
        <v>0</v>
      </c>
      <c r="S145" s="429" t="s">
        <v>180</v>
      </c>
      <c r="T145" s="421" t="s">
        <v>180</v>
      </c>
      <c r="U145" s="473">
        <f>VLOOKUP(B145,正厂竞争者数据汇总!$D$2:$CL$243,25,FALSE)</f>
        <v>94324</v>
      </c>
      <c r="V145" s="466"/>
      <c r="W145" s="466"/>
      <c r="X145" s="421"/>
      <c r="Y145" s="421"/>
    </row>
    <row r="146" spans="1:25">
      <c r="A146" s="432" t="s">
        <v>227</v>
      </c>
      <c r="B146" s="433" t="s">
        <v>172</v>
      </c>
      <c r="C146" s="434" t="str">
        <f>VLOOKUP(B146,正厂竞争者数据汇总!D:H,2,FALSE)</f>
        <v>原厂目录</v>
      </c>
      <c r="D146" s="477" t="str">
        <f>VLOOKUP(B146,正厂竞争者数据汇总!D:H,3,FALSE)</f>
        <v>CA</v>
      </c>
      <c r="E146" s="436">
        <f>VLOOKUP(B146,正厂竞争者数据汇总!D:H,4,FALSE)</f>
        <v>0</v>
      </c>
      <c r="F146" s="436">
        <v>137115.416666667</v>
      </c>
      <c r="G146" s="436">
        <v>137050.666666667</v>
      </c>
      <c r="H146" s="436">
        <v>136715.666666667</v>
      </c>
      <c r="I146" s="454">
        <f t="shared" si="34"/>
        <v>0.000472453010079033</v>
      </c>
      <c r="J146" s="457">
        <f t="shared" si="35"/>
        <v>0.299745030406527</v>
      </c>
      <c r="K146" s="457">
        <v>0.313885840469815</v>
      </c>
      <c r="L146" s="457">
        <v>0.308845167401857</v>
      </c>
      <c r="M146" s="457">
        <v>0.220183672149763</v>
      </c>
      <c r="N146" s="457">
        <v>0.205197799115888</v>
      </c>
      <c r="O146" s="456">
        <f t="shared" si="36"/>
        <v>0.0945472312906393</v>
      </c>
      <c r="P146" s="455"/>
      <c r="Q146" s="436"/>
      <c r="R146" s="471">
        <f t="array" ref="R146">INDEX(正厂竞争者数据汇总!$I$2:$I$243,MATCH($A$142&amp;$B146,正厂竞争者数据汇总!$A$2:$A$243&amp;正厂竞争者数据汇总!$D$2:$D$243,0))</f>
        <v>0</v>
      </c>
      <c r="S146" s="491" t="s">
        <v>313</v>
      </c>
      <c r="T146" s="435" t="s">
        <v>180</v>
      </c>
      <c r="U146" s="476">
        <f>VLOOKUP(B146,正厂竞争者数据汇总!$D$2:$CL$243,25,FALSE)</f>
        <v>90437</v>
      </c>
      <c r="V146" s="477"/>
      <c r="W146" s="477"/>
      <c r="X146" s="435"/>
      <c r="Y146" s="435"/>
    </row>
    <row r="147" spans="1:25">
      <c r="A147" s="428" t="s">
        <v>243</v>
      </c>
      <c r="B147" s="438" t="s">
        <v>314</v>
      </c>
      <c r="C147" s="429" t="str">
        <f>VLOOKUP(B147,正厂竞争者数据汇总!D:H,2,FALSE)</f>
        <v>原厂目录</v>
      </c>
      <c r="D147" s="421" t="str">
        <f>VLOOKUP(B147,正厂竞争者数据汇总!D:H,3,FALSE)</f>
        <v>WA</v>
      </c>
      <c r="E147" s="430">
        <f>VLOOKUP(B147,正厂竞争者数据汇总!D:H,4,FALSE)</f>
        <v>0</v>
      </c>
      <c r="F147" s="430">
        <v>53710.6666666667</v>
      </c>
      <c r="G147" s="430">
        <v>46829.9166666667</v>
      </c>
      <c r="H147" s="430">
        <v>54111.8333333333</v>
      </c>
      <c r="I147" s="453">
        <f t="shared" si="34"/>
        <v>0.146930647965421</v>
      </c>
      <c r="J147" s="451">
        <f t="shared" si="35"/>
        <v>0.117415720307319</v>
      </c>
      <c r="K147" s="451">
        <v>0.107254113457174</v>
      </c>
      <c r="L147" s="451">
        <v>0.122240403252405</v>
      </c>
      <c r="M147" s="451">
        <v>0.144778095518287</v>
      </c>
      <c r="N147" s="451">
        <v>0.143803611762436</v>
      </c>
      <c r="O147" s="451">
        <f t="shared" si="36"/>
        <v>-0.0263878914551171</v>
      </c>
      <c r="P147" s="459"/>
      <c r="Q147" s="430"/>
      <c r="R147" s="471">
        <f t="array" ref="R147">INDEX(正厂竞争者数据汇总!$I$2:$I$243,MATCH($A$142&amp;$B147,正厂竞争者数据汇总!$A$2:$A$243&amp;正厂竞争者数据汇总!$D$2:$D$243,0))</f>
        <v>0</v>
      </c>
      <c r="S147" s="429" t="s">
        <v>180</v>
      </c>
      <c r="T147" s="421" t="s">
        <v>180</v>
      </c>
      <c r="U147" s="472">
        <f>VLOOKUP(B147,正厂竞争者数据汇总!$D$2:$CL$243,25,FALSE)</f>
        <v>97198</v>
      </c>
      <c r="V147" s="466"/>
      <c r="W147" s="466"/>
      <c r="X147" s="421"/>
      <c r="Y147" s="421"/>
    </row>
    <row r="148" spans="1:25">
      <c r="A148" s="428" t="s">
        <v>230</v>
      </c>
      <c r="B148" s="421" t="s">
        <v>579</v>
      </c>
      <c r="C148" s="429" t="e">
        <f>VLOOKUP(B148,正厂竞争者数据汇总!D:H,2,FALSE)</f>
        <v>#N/A</v>
      </c>
      <c r="D148" s="421" t="e">
        <f>VLOOKUP(B148,正厂竞争者数据汇总!D:H,3,FALSE)</f>
        <v>#N/A</v>
      </c>
      <c r="E148" s="430"/>
      <c r="F148" s="430">
        <v>7386.83333333333</v>
      </c>
      <c r="G148" s="430">
        <v>8487.75</v>
      </c>
      <c r="H148" s="430">
        <v>14278.4166666667</v>
      </c>
      <c r="I148" s="453">
        <f t="shared" si="34"/>
        <v>-0.129706537853574</v>
      </c>
      <c r="J148" s="451">
        <f t="shared" si="35"/>
        <v>0.0161481957020973</v>
      </c>
      <c r="K148" s="451">
        <v>0.0194394132275728</v>
      </c>
      <c r="L148" s="451">
        <v>0.0322554107599236</v>
      </c>
      <c r="M148" s="451">
        <v>0.042971236265624</v>
      </c>
      <c r="N148" s="451">
        <v>0.0555308295204233</v>
      </c>
      <c r="O148" s="451">
        <f t="shared" si="36"/>
        <v>-0.039382633818326</v>
      </c>
      <c r="P148" s="459"/>
      <c r="Q148" s="430"/>
      <c r="R148" s="471" t="e">
        <f t="array" ref="R148">INDEX(正厂竞争者数据汇总!$I$2:$I$243,MATCH($A$142&amp;$B148,正厂竞争者数据汇总!$A$2:$A$243&amp;正厂竞争者数据汇总!$D$2:$D$243,0))</f>
        <v>#N/A</v>
      </c>
      <c r="S148" s="429"/>
      <c r="T148" s="421"/>
      <c r="U148" s="473"/>
      <c r="V148" s="466"/>
      <c r="W148" s="466"/>
      <c r="X148" s="421"/>
      <c r="Y148" s="421"/>
    </row>
    <row r="149" spans="1:25">
      <c r="A149" s="428" t="s">
        <v>243</v>
      </c>
      <c r="B149" s="421" t="s">
        <v>388</v>
      </c>
      <c r="C149" s="429" t="str">
        <f>VLOOKUP(B149,正厂竞争者数据汇总!D:H,2,FALSE)</f>
        <v>原厂目录</v>
      </c>
      <c r="D149" s="421" t="str">
        <f>VLOOKUP(B149,正厂竞争者数据汇总!D:H,3,FALSE)</f>
        <v>CA</v>
      </c>
      <c r="E149" s="430">
        <f>VLOOKUP(B149,正厂竞争者数据汇总!D:H,4,FALSE)</f>
        <v>0</v>
      </c>
      <c r="F149" s="430">
        <v>18103.5</v>
      </c>
      <c r="G149" s="430">
        <v>14580.25</v>
      </c>
      <c r="H149" s="430">
        <v>15697.25</v>
      </c>
      <c r="I149" s="453">
        <f t="shared" si="34"/>
        <v>0.241645376451021</v>
      </c>
      <c r="J149" s="451">
        <f t="shared" si="35"/>
        <v>0.0395756676374068</v>
      </c>
      <c r="K149" s="451">
        <v>0.0333930081248055</v>
      </c>
      <c r="L149" s="451">
        <v>0.0354606017159612</v>
      </c>
      <c r="M149" s="451">
        <v>0.0411185243740211</v>
      </c>
      <c r="N149" s="451">
        <v>0.0440494216259602</v>
      </c>
      <c r="O149" s="451">
        <f t="shared" si="36"/>
        <v>-0.00447375398855337</v>
      </c>
      <c r="P149" s="459"/>
      <c r="Q149" s="430"/>
      <c r="R149" s="471">
        <f t="array" ref="R149">INDEX(正厂竞争者数据汇总!$I$2:$I$243,MATCH($A$142&amp;$B149,正厂竞争者数据汇总!$A$2:$A$243&amp;正厂竞争者数据汇总!$D$2:$D$243,0))</f>
        <v>0</v>
      </c>
      <c r="S149" s="429" t="s">
        <v>180</v>
      </c>
      <c r="T149" s="421" t="s">
        <v>180</v>
      </c>
      <c r="U149" s="472">
        <f>VLOOKUP(B149,正厂竞争者数据汇总!$D$2:$CL$243,25,FALSE)</f>
        <v>20948</v>
      </c>
      <c r="V149" s="466"/>
      <c r="W149" s="466"/>
      <c r="X149" s="421"/>
      <c r="Y149" s="421"/>
    </row>
    <row r="150" spans="1:25">
      <c r="A150" s="432"/>
      <c r="B150" s="483"/>
      <c r="C150" s="429"/>
      <c r="D150" s="421"/>
      <c r="E150" s="437"/>
      <c r="F150" s="430"/>
      <c r="G150" s="430"/>
      <c r="H150" s="430"/>
      <c r="I150" s="450"/>
      <c r="J150" s="461"/>
      <c r="K150" s="461"/>
      <c r="L150" s="461"/>
      <c r="M150" s="461"/>
      <c r="N150" s="461"/>
      <c r="O150" s="452"/>
      <c r="P150" s="460"/>
      <c r="Q150" s="462"/>
      <c r="R150" s="471"/>
      <c r="S150" s="491"/>
      <c r="T150" s="435"/>
      <c r="U150" s="473"/>
      <c r="V150" s="477"/>
      <c r="W150" s="466"/>
      <c r="X150" s="435"/>
      <c r="Y150" s="435"/>
    </row>
    <row r="151" spans="1:25">
      <c r="A151" s="428" t="s">
        <v>230</v>
      </c>
      <c r="B151" s="484" t="s">
        <v>580</v>
      </c>
      <c r="C151" s="429" t="e">
        <f>VLOOKUP(B151,正厂竞争者数据汇总!D:H,2,FALSE)</f>
        <v>#N/A</v>
      </c>
      <c r="D151" s="421" t="e">
        <f>VLOOKUP(B151,正厂竞争者数据汇总!D:H,3,FALSE)</f>
        <v>#N/A</v>
      </c>
      <c r="E151" s="437"/>
      <c r="F151" s="430">
        <v>21912.0833333334</v>
      </c>
      <c r="G151" s="430">
        <v>19049.1666666667</v>
      </c>
      <c r="H151" s="430">
        <v>25502.1666666667</v>
      </c>
      <c r="I151" s="450"/>
      <c r="J151" s="452">
        <f t="shared" ref="J151:J153" si="37">F151/$F$156</f>
        <v>0.0479015288338257</v>
      </c>
      <c r="K151" s="452">
        <v>0.0436281255308225</v>
      </c>
      <c r="L151" s="452">
        <v>0.0576102295026664</v>
      </c>
      <c r="M151" s="452">
        <v>0.0663686091617956</v>
      </c>
      <c r="N151" s="452">
        <v>0.0572879719574484</v>
      </c>
      <c r="O151" s="452"/>
      <c r="P151" s="458"/>
      <c r="Q151" s="437"/>
      <c r="R151" s="471" t="e">
        <f t="array" ref="R151">INDEX(正厂竞争者数据汇总!$I$2:$I$243,MATCH($A$142&amp;$B151,正厂竞争者数据汇总!$A$2:$A$243&amp;正厂竞争者数据汇总!$D$2:$D$243,0))</f>
        <v>#N/A</v>
      </c>
      <c r="S151" s="492"/>
      <c r="T151" s="421"/>
      <c r="U151" s="472"/>
      <c r="V151" s="466"/>
      <c r="W151" s="466"/>
      <c r="X151" s="421"/>
      <c r="Y151" s="421"/>
    </row>
    <row r="152" spans="1:25">
      <c r="A152" s="428" t="s">
        <v>230</v>
      </c>
      <c r="B152" s="484" t="s">
        <v>581</v>
      </c>
      <c r="C152" s="429" t="e">
        <f>VLOOKUP(B152,正厂竞争者数据汇总!D:H,2,FALSE)</f>
        <v>#N/A</v>
      </c>
      <c r="D152" s="421" t="e">
        <f>VLOOKUP(B152,正厂竞争者数据汇总!D:H,3,FALSE)</f>
        <v>#N/A</v>
      </c>
      <c r="E152" s="437"/>
      <c r="F152" s="430">
        <v>14818.75</v>
      </c>
      <c r="G152" s="430">
        <v>15710.0833333333</v>
      </c>
      <c r="H152" s="430">
        <v>16613</v>
      </c>
      <c r="I152" s="450"/>
      <c r="J152" s="452">
        <f t="shared" si="37"/>
        <v>0.032394947098728</v>
      </c>
      <c r="K152" s="452">
        <v>0.0359806546795405</v>
      </c>
      <c r="L152" s="452">
        <v>0.0375293109498329</v>
      </c>
      <c r="M152" s="452">
        <v>0.0376746945936074</v>
      </c>
      <c r="N152" s="452">
        <v>0.0300747686611432</v>
      </c>
      <c r="O152" s="452"/>
      <c r="P152" s="458"/>
      <c r="Q152" s="437"/>
      <c r="R152" s="471" t="e">
        <f t="array" ref="R152">INDEX(正厂竞争者数据汇总!$I$2:$I$243,MATCH($A$142&amp;$B152,正厂竞争者数据汇总!$A$2:$A$243&amp;正厂竞争者数据汇总!$D$2:$D$243,0))</f>
        <v>#N/A</v>
      </c>
      <c r="S152" s="492"/>
      <c r="T152" s="421"/>
      <c r="U152" s="472"/>
      <c r="V152" s="466"/>
      <c r="W152" s="466"/>
      <c r="X152" s="421"/>
      <c r="Y152" s="421"/>
    </row>
    <row r="153" spans="1:25">
      <c r="A153" s="428" t="s">
        <v>230</v>
      </c>
      <c r="B153" s="421" t="s">
        <v>582</v>
      </c>
      <c r="C153" s="429" t="e">
        <f>VLOOKUP(B153,正厂竞争者数据汇总!D:H,2,FALSE)</f>
        <v>#N/A</v>
      </c>
      <c r="D153" s="421" t="e">
        <f>VLOOKUP(B153,正厂竞争者数据汇总!D:H,3,FALSE)</f>
        <v>#N/A</v>
      </c>
      <c r="E153" s="430"/>
      <c r="F153" s="430">
        <v>2880.08333333333</v>
      </c>
      <c r="G153" s="430">
        <v>2978.66666666667</v>
      </c>
      <c r="H153" s="430">
        <v>3751.75</v>
      </c>
      <c r="I153" s="453"/>
      <c r="J153" s="452">
        <f t="shared" si="37"/>
        <v>0.00629608753931752</v>
      </c>
      <c r="K153" s="452">
        <v>0.00682201198203649</v>
      </c>
      <c r="L153" s="452">
        <v>0.00847532609137636</v>
      </c>
      <c r="M153" s="452">
        <v>0.0105217897672163</v>
      </c>
      <c r="N153" s="452">
        <v>0.00829222754519365</v>
      </c>
      <c r="O153" s="451"/>
      <c r="P153" s="459"/>
      <c r="Q153" s="430"/>
      <c r="R153" s="471" t="e">
        <f t="array" ref="R153">INDEX(正厂竞争者数据汇总!$I$2:$I$243,MATCH($A$142&amp;$B153,正厂竞争者数据汇总!$A$2:$A$243&amp;正厂竞争者数据汇总!$D$2:$D$243,0))</f>
        <v>#N/A</v>
      </c>
      <c r="S153" s="429"/>
      <c r="T153" s="421"/>
      <c r="U153" s="473"/>
      <c r="V153" s="466"/>
      <c r="W153" s="466"/>
      <c r="X153" s="421"/>
      <c r="Y153" s="421"/>
    </row>
    <row r="154" ht="17.4" spans="1:25">
      <c r="A154" s="428" t="s">
        <v>511</v>
      </c>
      <c r="B154" s="438" t="s">
        <v>583</v>
      </c>
      <c r="C154" s="429" t="str">
        <f>VLOOKUP(B154,正厂竞争者数据汇总!D:H,2,FALSE)</f>
        <v>原厂目录</v>
      </c>
      <c r="D154" s="466" t="str">
        <f>VLOOKUP(B154,正厂竞争者数据汇总!D:H,3,FALSE)</f>
        <v>NJ</v>
      </c>
      <c r="E154" s="430"/>
      <c r="F154" s="430">
        <v>269403.666666667</v>
      </c>
      <c r="G154" s="430">
        <v>295452.916666667</v>
      </c>
      <c r="H154" s="430">
        <v>282666.666666667</v>
      </c>
      <c r="I154" s="453"/>
      <c r="J154" s="451"/>
      <c r="K154" s="451"/>
      <c r="L154" s="451"/>
      <c r="M154" s="451"/>
      <c r="N154" s="451"/>
      <c r="O154" s="451"/>
      <c r="P154" s="459"/>
      <c r="Q154" s="430"/>
      <c r="R154" s="471" t="str">
        <f t="array" ref="R154">INDEX(正厂竞争者数据汇总!$I$2:$I$243,MATCH($A$142&amp;$B154,正厂竞争者数据汇总!$A$2:$A$243&amp;正厂竞争者数据汇总!$D$2:$D$243,0))</f>
        <v>官网</v>
      </c>
      <c r="S154" s="492"/>
      <c r="T154" s="421"/>
      <c r="U154" s="473">
        <f>VLOOKUP(B154,正厂竞争者数据汇总!$D$2:$CL$243,25,FALSE)</f>
        <v>225061</v>
      </c>
      <c r="V154" s="466"/>
      <c r="W154" s="466"/>
      <c r="X154" s="421"/>
      <c r="Y154" s="421"/>
    </row>
    <row r="155" spans="1:25">
      <c r="A155" s="428"/>
      <c r="B155" s="438"/>
      <c r="C155" s="429"/>
      <c r="D155" s="466"/>
      <c r="E155" s="430"/>
      <c r="F155" s="430"/>
      <c r="G155" s="430"/>
      <c r="H155" s="430"/>
      <c r="I155" s="453"/>
      <c r="J155" s="451"/>
      <c r="K155" s="451"/>
      <c r="L155" s="451"/>
      <c r="M155" s="451"/>
      <c r="N155" s="451"/>
      <c r="O155" s="451"/>
      <c r="P155" s="459"/>
      <c r="Q155" s="430"/>
      <c r="R155" s="471"/>
      <c r="S155" s="492"/>
      <c r="T155" s="421"/>
      <c r="U155" s="473"/>
      <c r="V155" s="466"/>
      <c r="W155" s="466"/>
      <c r="X155" s="421"/>
      <c r="Y155" s="421"/>
    </row>
    <row r="156" spans="1:25">
      <c r="A156" s="428"/>
      <c r="B156" s="421"/>
      <c r="C156" s="439"/>
      <c r="D156" s="421"/>
      <c r="E156" s="430"/>
      <c r="F156" s="430">
        <v>457440.166666667</v>
      </c>
      <c r="G156" s="430">
        <v>436625.833333334</v>
      </c>
      <c r="H156" s="430">
        <v>442667.333333334</v>
      </c>
      <c r="I156" s="453">
        <f t="shared" ref="I156:I163" si="38">(F156/G156)-1</f>
        <v>0.047670869985933</v>
      </c>
      <c r="J156" s="430"/>
      <c r="K156" s="430"/>
      <c r="L156" s="430"/>
      <c r="M156" s="430"/>
      <c r="N156" s="430"/>
      <c r="O156" s="451"/>
      <c r="P156" s="451"/>
      <c r="Q156" s="430"/>
      <c r="R156" s="471"/>
      <c r="S156" s="493"/>
      <c r="T156" s="421"/>
      <c r="U156" s="473"/>
      <c r="V156" s="466"/>
      <c r="W156" s="466"/>
      <c r="X156" s="421"/>
      <c r="Y156" s="421"/>
    </row>
    <row r="157" spans="1:25">
      <c r="A157" s="428"/>
      <c r="B157" s="421"/>
      <c r="C157" s="439"/>
      <c r="D157" s="421"/>
      <c r="E157" s="430"/>
      <c r="F157" s="430"/>
      <c r="G157" s="430"/>
      <c r="H157" s="430"/>
      <c r="I157" s="453"/>
      <c r="J157" s="430"/>
      <c r="K157" s="430"/>
      <c r="L157" s="430"/>
      <c r="M157" s="430"/>
      <c r="N157" s="430"/>
      <c r="O157" s="451"/>
      <c r="P157" s="451"/>
      <c r="Q157" s="430"/>
      <c r="R157" s="471"/>
      <c r="S157" s="493"/>
      <c r="T157" s="421"/>
      <c r="U157" s="473"/>
      <c r="V157" s="466"/>
      <c r="W157" s="466"/>
      <c r="X157" s="421"/>
      <c r="Y157" s="421"/>
    </row>
    <row r="158" ht="17.4" spans="1:25">
      <c r="A158" s="418" t="s">
        <v>162</v>
      </c>
      <c r="B158" s="419"/>
      <c r="C158" s="420"/>
      <c r="D158" s="421"/>
      <c r="E158" s="422" t="s">
        <v>202</v>
      </c>
      <c r="F158" s="422"/>
      <c r="G158" s="422"/>
      <c r="H158" s="422"/>
      <c r="I158" s="422"/>
      <c r="J158" s="422"/>
      <c r="K158" s="422"/>
      <c r="L158" s="422"/>
      <c r="M158" s="422"/>
      <c r="N158" s="422"/>
      <c r="O158" s="443"/>
      <c r="P158" s="444"/>
      <c r="Q158" s="422"/>
      <c r="R158" s="471"/>
      <c r="S158" s="465"/>
      <c r="T158" s="424"/>
      <c r="U158" s="473"/>
      <c r="V158" s="467"/>
      <c r="W158" s="467"/>
      <c r="X158" s="467"/>
      <c r="Y158" s="467"/>
    </row>
    <row r="159" ht="46.8" spans="1:25">
      <c r="A159" s="423" t="s">
        <v>206</v>
      </c>
      <c r="B159" s="424" t="s">
        <v>207</v>
      </c>
      <c r="C159" s="425" t="s">
        <v>208</v>
      </c>
      <c r="D159" s="424" t="s">
        <v>209</v>
      </c>
      <c r="E159" s="426" t="s">
        <v>210</v>
      </c>
      <c r="F159" s="427" t="s">
        <v>396</v>
      </c>
      <c r="G159" s="427" t="s">
        <v>496</v>
      </c>
      <c r="H159" s="427" t="s">
        <v>627</v>
      </c>
      <c r="I159" s="427" t="s">
        <v>628</v>
      </c>
      <c r="J159" s="446" t="s">
        <v>387</v>
      </c>
      <c r="K159" s="446" t="s">
        <v>390</v>
      </c>
      <c r="L159" s="446" t="s">
        <v>629</v>
      </c>
      <c r="M159" s="446" t="s">
        <v>630</v>
      </c>
      <c r="N159" s="446" t="s">
        <v>631</v>
      </c>
      <c r="O159" s="447" t="s">
        <v>632</v>
      </c>
      <c r="P159" s="448" t="s">
        <v>219</v>
      </c>
      <c r="Q159" s="449" t="s">
        <v>220</v>
      </c>
      <c r="R159" s="468" t="s">
        <v>221</v>
      </c>
      <c r="S159" s="469" t="s">
        <v>222</v>
      </c>
      <c r="T159" s="426" t="s">
        <v>223</v>
      </c>
      <c r="U159" s="470" t="s">
        <v>224</v>
      </c>
      <c r="V159" s="467" t="s">
        <v>225</v>
      </c>
      <c r="W159" s="470" t="s">
        <v>226</v>
      </c>
      <c r="X159" s="467"/>
      <c r="Y159" s="467"/>
    </row>
    <row r="160" ht="17.4" spans="1:25">
      <c r="A160" s="432" t="s">
        <v>227</v>
      </c>
      <c r="B160" s="435" t="s">
        <v>584</v>
      </c>
      <c r="C160" s="434" t="e">
        <f>VLOOKUP(B160,正厂竞争者数据汇总!D:H,2,FALSE)</f>
        <v>#N/A</v>
      </c>
      <c r="D160" s="435" t="e">
        <f>VLOOKUP(B160,正厂竞争者数据汇总!D:H,3,FALSE)</f>
        <v>#N/A</v>
      </c>
      <c r="E160" s="436" t="e">
        <f>VLOOKUP(B160,正厂竞争者数据汇总!D:H,4,FALSE)</f>
        <v>#N/A</v>
      </c>
      <c r="F160" s="436">
        <v>235149.083333333</v>
      </c>
      <c r="G160" s="436">
        <v>237739.5</v>
      </c>
      <c r="H160" s="436">
        <v>217136.833333333</v>
      </c>
      <c r="I160" s="454">
        <f t="shared" si="38"/>
        <v>-0.0108960297580629</v>
      </c>
      <c r="J160" s="457">
        <f t="shared" ref="J160:J162" si="39">F160/F$168</f>
        <v>0.548576888644368</v>
      </c>
      <c r="K160" s="457">
        <v>0.530383702055834</v>
      </c>
      <c r="L160" s="457">
        <v>0.50467078296504</v>
      </c>
      <c r="M160" s="457">
        <v>0.484388828725184</v>
      </c>
      <c r="N160" s="457">
        <v>0.480700492034354</v>
      </c>
      <c r="O160" s="456">
        <f t="shared" ref="O160:O163" si="40">J160-N160</f>
        <v>0.0678763966100136</v>
      </c>
      <c r="P160" s="457" t="str">
        <f>IFERROR(Q160*0.5/$F$160,"")</f>
        <v/>
      </c>
      <c r="Q160" s="436" t="s">
        <v>180</v>
      </c>
      <c r="R160" s="471" t="e">
        <f t="array" ref="R160">INDEX(正厂竞争者数据汇总!$I$2:$I$243,MATCH($A$158&amp;$B160,正厂竞争者数据汇总!$A$2:$A$243&amp;正厂竞争者数据汇总!$D$2:$D$243,0))</f>
        <v>#N/A</v>
      </c>
      <c r="S160" s="434" t="s">
        <v>284</v>
      </c>
      <c r="T160" s="435" t="s">
        <v>229</v>
      </c>
      <c r="U160" s="476" t="e">
        <f>VLOOKUP(B160,正厂竞争者数据汇总!$D$2:$CL$243,25,FALSE)</f>
        <v>#N/A</v>
      </c>
      <c r="V160" s="477"/>
      <c r="W160" s="477"/>
      <c r="X160" s="435"/>
      <c r="Y160" s="435"/>
    </row>
    <row r="161" spans="1:25">
      <c r="A161" s="440" t="s">
        <v>230</v>
      </c>
      <c r="B161" t="s">
        <v>585</v>
      </c>
      <c r="C161" s="429" t="e">
        <f>VLOOKUP(B161,正厂竞争者数据汇总!D:H,2,FALSE)</f>
        <v>#N/A</v>
      </c>
      <c r="D161" s="421" t="e">
        <f>VLOOKUP(B161,正厂竞争者数据汇总!D:H,3,FALSE)</f>
        <v>#N/A</v>
      </c>
      <c r="E161" s="430" t="e">
        <f>VLOOKUP(#REF!,正厂竞争者数据汇总!D:H,4,FALSE)</f>
        <v>#REF!</v>
      </c>
      <c r="F161" s="430">
        <v>128551.25</v>
      </c>
      <c r="G161" s="430">
        <v>129824.666666667</v>
      </c>
      <c r="H161" s="430">
        <v>129539.583333333</v>
      </c>
      <c r="I161" s="453">
        <f t="shared" si="38"/>
        <v>-0.00980874204696847</v>
      </c>
      <c r="J161" s="490">
        <f t="shared" si="39"/>
        <v>0.299895894794449</v>
      </c>
      <c r="K161" s="490">
        <v>0.28963166543562</v>
      </c>
      <c r="L161" s="490">
        <v>0.30107670790906</v>
      </c>
      <c r="M161" s="490">
        <v>0.327761629654428</v>
      </c>
      <c r="N161" s="490">
        <v>0.354765332454629</v>
      </c>
      <c r="O161" s="452">
        <f t="shared" si="40"/>
        <v>-0.0548694376601804</v>
      </c>
      <c r="P161" s="490">
        <f>IFERROR(Q161*0.5/$F$160,"")</f>
        <v>0.0308073707849879</v>
      </c>
      <c r="Q161" s="486">
        <v>14488.65</v>
      </c>
      <c r="R161" s="471" t="e">
        <f t="array" ref="R161">INDEX(正厂竞争者数据汇总!$I$2:$I$243,MATCH($A$158&amp;$B161,正厂竞争者数据汇总!$A$2:$A$243&amp;正厂竞争者数据汇总!$D$2:$D$243,0))</f>
        <v>#N/A</v>
      </c>
      <c r="S161" s="494" t="s">
        <v>180</v>
      </c>
      <c r="T161" s="431" t="s">
        <v>180</v>
      </c>
      <c r="U161" s="473" t="e">
        <f>VLOOKUP(B161,正厂竞争者数据汇总!$D$2:$CL$243,25,FALSE)</f>
        <v>#N/A</v>
      </c>
      <c r="V161" s="495"/>
      <c r="W161" s="466"/>
      <c r="X161" s="431"/>
      <c r="Y161" s="431"/>
    </row>
    <row r="162" spans="1:25">
      <c r="A162" s="440" t="s">
        <v>230</v>
      </c>
      <c r="B162" t="s">
        <v>586</v>
      </c>
      <c r="C162" s="429" t="e">
        <f>VLOOKUP(B162,正厂竞争者数据汇总!D:H,2,FALSE)</f>
        <v>#N/A</v>
      </c>
      <c r="D162" s="421" t="e">
        <f>VLOOKUP(B162,正厂竞争者数据汇总!D:H,3,FALSE)</f>
        <v>#N/A</v>
      </c>
      <c r="E162" s="430" t="e">
        <f>VLOOKUP(B162,正厂竞争者数据汇总!D:H,4,FALSE)</f>
        <v>#N/A</v>
      </c>
      <c r="F162" s="430">
        <v>32288.75</v>
      </c>
      <c r="G162" s="430">
        <v>46226.0833333333</v>
      </c>
      <c r="H162" s="430">
        <v>49455.6666666667</v>
      </c>
      <c r="I162" s="453">
        <f t="shared" si="38"/>
        <v>-0.30150366045144</v>
      </c>
      <c r="J162" s="490">
        <f t="shared" si="39"/>
        <v>0.0753260942468024</v>
      </c>
      <c r="K162" s="490">
        <v>0.0986661537081444</v>
      </c>
      <c r="L162" s="490">
        <v>0.0986661537081444</v>
      </c>
      <c r="M162" s="490">
        <v>0.0986661537081444</v>
      </c>
      <c r="N162" s="490">
        <v>0.0808474440453721</v>
      </c>
      <c r="O162" s="452">
        <f t="shared" si="40"/>
        <v>-0.00552134979856975</v>
      </c>
      <c r="P162" s="490"/>
      <c r="Q162" s="486"/>
      <c r="R162" s="471" t="e">
        <f t="array" ref="R162">INDEX(正厂竞争者数据汇总!$I$2:$I$243,MATCH($A$158&amp;$B162,正厂竞争者数据汇总!$A$2:$A$243&amp;正厂竞争者数据汇总!$D$2:$D$243,0))</f>
        <v>#N/A</v>
      </c>
      <c r="S162" s="494"/>
      <c r="T162" s="431" t="s">
        <v>180</v>
      </c>
      <c r="U162" s="473" t="e">
        <f>VLOOKUP(B162,正厂竞争者数据汇总!$D$2:$CL$243,25,FALSE)</f>
        <v>#N/A</v>
      </c>
      <c r="V162" s="495"/>
      <c r="W162" s="466"/>
      <c r="X162" s="431"/>
      <c r="Y162" s="431"/>
    </row>
    <row r="163" spans="1:25">
      <c r="A163" s="417" t="s">
        <v>230</v>
      </c>
      <c r="B163" t="s">
        <v>587</v>
      </c>
      <c r="C163" s="429" t="e">
        <f>VLOOKUP(B163,正厂竞争者数据汇总!D:H,2,FALSE)</f>
        <v>#N/A</v>
      </c>
      <c r="D163" s="421" t="e">
        <f>VLOOKUP(B163,正厂竞争者数据汇总!D:H,3,FALSE)</f>
        <v>#N/A</v>
      </c>
      <c r="E163" s="430"/>
      <c r="F163" s="430">
        <v>32663.8333333334</v>
      </c>
      <c r="G163" s="430">
        <v>34450.3333333333</v>
      </c>
      <c r="H163" s="430">
        <v>34122.3333333333</v>
      </c>
      <c r="I163" s="453">
        <f t="shared" si="38"/>
        <v>-0.0518572631130778</v>
      </c>
      <c r="J163" s="490">
        <f t="shared" ref="J163:J166" si="41">F163/$F$168</f>
        <v>0.0762011223143824</v>
      </c>
      <c r="K163" s="490">
        <v>0.076856792120749</v>
      </c>
      <c r="L163" s="490">
        <v>0.0793073400563582</v>
      </c>
      <c r="M163" s="490">
        <v>0.0891833879122434</v>
      </c>
      <c r="N163" s="490">
        <v>0.0836867314656455</v>
      </c>
      <c r="O163" s="452">
        <f t="shared" si="40"/>
        <v>-0.00748560915126305</v>
      </c>
      <c r="P163" s="490"/>
      <c r="Q163" s="486"/>
      <c r="R163" s="471" t="e">
        <f t="array" ref="R163">INDEX(正厂竞争者数据汇总!$I$2:$I$243,MATCH($A$158&amp;$B163,正厂竞争者数据汇总!$A$2:$A$243&amp;正厂竞争者数据汇总!$D$2:$D$243,0))</f>
        <v>#N/A</v>
      </c>
      <c r="S163" s="494"/>
      <c r="T163" s="431"/>
      <c r="U163" s="473"/>
      <c r="V163" s="495"/>
      <c r="W163" s="466"/>
      <c r="X163" s="431"/>
      <c r="Y163" s="431"/>
    </row>
    <row r="164" spans="1:25">
      <c r="A164" s="431"/>
      <c r="B164" s="431"/>
      <c r="C164" s="429"/>
      <c r="D164" s="421"/>
      <c r="E164" s="430"/>
      <c r="F164" s="430"/>
      <c r="G164" s="430"/>
      <c r="H164" s="430"/>
      <c r="I164" s="453"/>
      <c r="J164" s="490"/>
      <c r="K164" s="490"/>
      <c r="L164" s="490"/>
      <c r="M164" s="490"/>
      <c r="N164" s="490"/>
      <c r="O164" s="451"/>
      <c r="P164" s="490"/>
      <c r="Q164" s="486"/>
      <c r="R164" s="471"/>
      <c r="S164" s="494"/>
      <c r="T164" s="431"/>
      <c r="U164" s="473"/>
      <c r="V164" s="495"/>
      <c r="W164" s="466"/>
      <c r="X164" s="431"/>
      <c r="Y164" s="431"/>
    </row>
    <row r="165" spans="1:25">
      <c r="A165" s="417" t="s">
        <v>230</v>
      </c>
      <c r="B165" t="s">
        <v>507</v>
      </c>
      <c r="C165" s="429" t="e">
        <f>VLOOKUP(B165,正厂竞争者数据汇总!D:H,2,FALSE)</f>
        <v>#N/A</v>
      </c>
      <c r="D165" s="421" t="e">
        <f>VLOOKUP(B165,正厂竞争者数据汇总!D:H,3,FALSE)</f>
        <v>#N/A</v>
      </c>
      <c r="E165" s="430"/>
      <c r="F165" s="430">
        <v>43556.02</v>
      </c>
      <c r="G165" s="430">
        <v>45317.305</v>
      </c>
      <c r="H165" s="430">
        <v>51219.025</v>
      </c>
      <c r="I165" s="453"/>
      <c r="J165" s="490">
        <f t="shared" si="41"/>
        <v>0.101611393055959</v>
      </c>
      <c r="K165" s="490">
        <v>0.101100406087728</v>
      </c>
      <c r="L165" s="490">
        <v>0.119043577511213</v>
      </c>
      <c r="M165" s="490">
        <v>0.127679347901479</v>
      </c>
      <c r="N165" s="490">
        <v>0.133895447696618</v>
      </c>
      <c r="O165" s="451"/>
      <c r="P165" s="490"/>
      <c r="Q165" s="486"/>
      <c r="R165" s="471" t="e">
        <f t="array" ref="R165">INDEX(正厂竞争者数据汇总!$I$2:$I$243,MATCH($A$158&amp;$B165,正厂竞争者数据汇总!$A$2:$A$243&amp;正厂竞争者数据汇总!$D$2:$D$243,0))</f>
        <v>#N/A</v>
      </c>
      <c r="S165" s="494"/>
      <c r="T165" s="431"/>
      <c r="U165" s="473"/>
      <c r="V165" s="495"/>
      <c r="W165" s="466"/>
      <c r="X165" s="431"/>
      <c r="Y165" s="431"/>
    </row>
    <row r="166" spans="1:25">
      <c r="A166" s="417" t="s">
        <v>230</v>
      </c>
      <c r="B166" s="431" t="s">
        <v>508</v>
      </c>
      <c r="C166" s="429" t="e">
        <f>VLOOKUP(B166,正厂竞争者数据汇总!D:H,2,FALSE)</f>
        <v>#N/A</v>
      </c>
      <c r="D166" s="421" t="e">
        <f>VLOOKUP(B166,正厂竞争者数据汇总!D:H,3,FALSE)</f>
        <v>#N/A</v>
      </c>
      <c r="E166" s="430"/>
      <c r="F166" s="430">
        <v>27177.6475</v>
      </c>
      <c r="G166" s="430">
        <v>26283.1116666667</v>
      </c>
      <c r="H166" s="430">
        <v>32281.5383333333</v>
      </c>
      <c r="I166" s="453"/>
      <c r="J166" s="490">
        <f t="shared" si="41"/>
        <v>0.0634024555608803</v>
      </c>
      <c r="K166" s="490">
        <v>0.0586361713863854</v>
      </c>
      <c r="L166" s="490">
        <v>0.0750289528308155</v>
      </c>
      <c r="M166" s="490">
        <v>0.0763403559944474</v>
      </c>
      <c r="N166" s="490">
        <v>0.0814174872893112</v>
      </c>
      <c r="O166" s="451"/>
      <c r="P166" s="490"/>
      <c r="Q166" s="486"/>
      <c r="R166" s="471" t="e">
        <f t="array" ref="R166">INDEX(正厂竞争者数据汇总!$I$2:$I$243,MATCH($A$158&amp;$B166,正厂竞争者数据汇总!$A$2:$A$243&amp;正厂竞争者数据汇总!$D$2:$D$243,0))</f>
        <v>#N/A</v>
      </c>
      <c r="S166" s="494"/>
      <c r="T166" s="431"/>
      <c r="U166" s="473"/>
      <c r="V166" s="495"/>
      <c r="W166" s="466"/>
      <c r="X166" s="431"/>
      <c r="Y166" s="431"/>
    </row>
    <row r="167" spans="1:25">
      <c r="A167" s="431"/>
      <c r="B167" s="431"/>
      <c r="C167" s="431"/>
      <c r="D167" s="431"/>
      <c r="E167" s="430"/>
      <c r="F167" s="430"/>
      <c r="G167" s="430"/>
      <c r="H167" s="430"/>
      <c r="I167" s="453"/>
      <c r="J167" s="490"/>
      <c r="K167" s="490"/>
      <c r="L167" s="490"/>
      <c r="M167" s="490"/>
      <c r="N167" s="490"/>
      <c r="O167" s="451"/>
      <c r="P167" s="490"/>
      <c r="Q167" s="486"/>
      <c r="R167" s="471"/>
      <c r="S167" s="494"/>
      <c r="T167" s="431"/>
      <c r="U167" s="473"/>
      <c r="V167" s="495"/>
      <c r="W167" s="466"/>
      <c r="X167" s="431"/>
      <c r="Y167" s="431"/>
    </row>
    <row r="168" spans="1:25">
      <c r="A168" s="428"/>
      <c r="B168" s="421"/>
      <c r="C168" s="439"/>
      <c r="D168" s="421"/>
      <c r="E168" s="421"/>
      <c r="F168" s="430">
        <v>428652.916666666</v>
      </c>
      <c r="G168" s="430">
        <v>448240.583333334</v>
      </c>
      <c r="H168" s="430">
        <v>430254.416666666</v>
      </c>
      <c r="I168" s="453">
        <f t="shared" ref="I168:I177" si="42">(F168/G168)-1</f>
        <v>-0.0436990031580913</v>
      </c>
      <c r="J168" s="430"/>
      <c r="K168" s="430"/>
      <c r="L168" s="430"/>
      <c r="M168" s="430"/>
      <c r="N168" s="430"/>
      <c r="O168" s="451"/>
      <c r="P168" s="451">
        <f>SUM(P160:P161)</f>
        <v>0.0308073707849879</v>
      </c>
      <c r="Q168" s="430"/>
      <c r="R168" s="471"/>
      <c r="S168" s="429"/>
      <c r="T168" s="421"/>
      <c r="U168" s="473"/>
      <c r="V168" s="466"/>
      <c r="W168" s="466"/>
      <c r="X168" s="421"/>
      <c r="Y168" s="421"/>
    </row>
    <row r="169" spans="1:25">
      <c r="A169" s="428"/>
      <c r="B169" s="421"/>
      <c r="C169" s="485"/>
      <c r="D169" s="421"/>
      <c r="E169" s="430"/>
      <c r="F169" s="451"/>
      <c r="G169" s="451"/>
      <c r="H169" s="451"/>
      <c r="I169" s="453"/>
      <c r="J169" s="451"/>
      <c r="K169" s="451"/>
      <c r="L169" s="451"/>
      <c r="M169" s="451"/>
      <c r="N169" s="451"/>
      <c r="O169" s="451"/>
      <c r="P169" s="451"/>
      <c r="Q169" s="451"/>
      <c r="R169" s="471"/>
      <c r="S169" s="429"/>
      <c r="T169" s="421"/>
      <c r="U169" s="473"/>
      <c r="V169" s="466"/>
      <c r="W169" s="466"/>
      <c r="X169" s="421"/>
      <c r="Y169" s="421"/>
    </row>
    <row r="170" ht="17.4" spans="1:25">
      <c r="A170" s="418" t="s">
        <v>174</v>
      </c>
      <c r="B170" s="419"/>
      <c r="C170" s="420"/>
      <c r="D170" s="421"/>
      <c r="E170" s="422" t="s">
        <v>202</v>
      </c>
      <c r="F170" s="422"/>
      <c r="G170" s="422"/>
      <c r="H170" s="422"/>
      <c r="I170" s="422"/>
      <c r="J170" s="422"/>
      <c r="K170" s="422"/>
      <c r="L170" s="422"/>
      <c r="M170" s="422"/>
      <c r="N170" s="422"/>
      <c r="O170" s="443"/>
      <c r="P170" s="444"/>
      <c r="Q170" s="422"/>
      <c r="R170" s="471"/>
      <c r="S170" s="465"/>
      <c r="T170" s="424"/>
      <c r="U170" s="473"/>
      <c r="V170" s="467"/>
      <c r="W170" s="467"/>
      <c r="X170" s="467"/>
      <c r="Y170" s="467"/>
    </row>
    <row r="171" ht="46.8" spans="1:25">
      <c r="A171" s="423" t="s">
        <v>206</v>
      </c>
      <c r="B171" s="424" t="s">
        <v>207</v>
      </c>
      <c r="C171" s="425" t="s">
        <v>208</v>
      </c>
      <c r="D171" s="424" t="s">
        <v>209</v>
      </c>
      <c r="E171" s="426" t="s">
        <v>210</v>
      </c>
      <c r="F171" s="427" t="s">
        <v>396</v>
      </c>
      <c r="G171" s="427" t="s">
        <v>496</v>
      </c>
      <c r="H171" s="427" t="s">
        <v>627</v>
      </c>
      <c r="I171" s="427" t="s">
        <v>628</v>
      </c>
      <c r="J171" s="446" t="s">
        <v>387</v>
      </c>
      <c r="K171" s="446" t="s">
        <v>390</v>
      </c>
      <c r="L171" s="446" t="s">
        <v>629</v>
      </c>
      <c r="M171" s="446" t="s">
        <v>630</v>
      </c>
      <c r="N171" s="446" t="s">
        <v>631</v>
      </c>
      <c r="O171" s="447" t="s">
        <v>632</v>
      </c>
      <c r="P171" s="448" t="s">
        <v>219</v>
      </c>
      <c r="Q171" s="449" t="s">
        <v>220</v>
      </c>
      <c r="R171" s="468" t="s">
        <v>221</v>
      </c>
      <c r="S171" s="469" t="s">
        <v>222</v>
      </c>
      <c r="T171" s="426" t="s">
        <v>223</v>
      </c>
      <c r="U171" s="470" t="s">
        <v>224</v>
      </c>
      <c r="V171" s="467" t="s">
        <v>225</v>
      </c>
      <c r="W171" s="470" t="s">
        <v>226</v>
      </c>
      <c r="X171" s="467"/>
      <c r="Y171" s="467"/>
    </row>
    <row r="172" ht="17.4" spans="1:25">
      <c r="A172" s="435" t="s">
        <v>227</v>
      </c>
      <c r="B172" s="435" t="s">
        <v>588</v>
      </c>
      <c r="C172" s="435" t="e">
        <f>VLOOKUP(B172,正厂竞争者数据汇总!D:H,2,FALSE)</f>
        <v>#N/A</v>
      </c>
      <c r="D172" s="435" t="e">
        <f>VLOOKUP(B172,正厂竞争者数据汇总!D:H,3,FALSE)</f>
        <v>#N/A</v>
      </c>
      <c r="E172" s="436" t="e">
        <f>VLOOKUP(B172,正厂竞争者数据汇总!D:H,4,FALSE)</f>
        <v>#N/A</v>
      </c>
      <c r="F172" s="436">
        <v>185523.083333333</v>
      </c>
      <c r="G172" s="436">
        <v>200202.75</v>
      </c>
      <c r="H172" s="436">
        <v>202049.416666667</v>
      </c>
      <c r="I172" s="454">
        <f t="shared" si="42"/>
        <v>-0.0733240011271924</v>
      </c>
      <c r="J172" s="457">
        <f t="shared" ref="J172:J177" si="43">F172/F$182</f>
        <v>0.416979206077473</v>
      </c>
      <c r="K172" s="457">
        <v>0.38108354789874</v>
      </c>
      <c r="L172" s="457">
        <v>0.467433862428762</v>
      </c>
      <c r="M172" s="457">
        <v>0.479935204833446</v>
      </c>
      <c r="N172" s="457">
        <v>0.497182746290695</v>
      </c>
      <c r="O172" s="456">
        <f t="shared" ref="O172:O177" si="44">J172-N172</f>
        <v>-0.0802035402132217</v>
      </c>
      <c r="P172" s="457" t="str">
        <f t="shared" ref="P172:P174" si="45">IFERROR(Q172*0.5/$F$172,"")</f>
        <v/>
      </c>
      <c r="Q172" s="436" t="s">
        <v>180</v>
      </c>
      <c r="R172" s="471" t="e">
        <f t="array" ref="R172">INDEX(正厂竞争者数据汇总!$I$2:$I$243,MATCH($A$170&amp;$B172,正厂竞争者数据汇总!$A$2:$A$243&amp;正厂竞争者数据汇总!$D$2:$D$243,0))</f>
        <v>#N/A</v>
      </c>
      <c r="S172" s="434" t="s">
        <v>318</v>
      </c>
      <c r="T172" s="435" t="s">
        <v>229</v>
      </c>
      <c r="U172" s="476" t="e">
        <f>VLOOKUP(B172,正厂竞争者数据汇总!$D$2:$CL$243,25,FALSE)</f>
        <v>#N/A</v>
      </c>
      <c r="V172" s="477"/>
      <c r="W172" s="477"/>
      <c r="X172" s="435"/>
      <c r="Y172" s="435"/>
    </row>
    <row r="173" spans="1:25">
      <c r="A173" s="421" t="s">
        <v>230</v>
      </c>
      <c r="B173" s="431" t="s">
        <v>589</v>
      </c>
      <c r="C173" s="421" t="e">
        <f>VLOOKUP(B173,正厂竞争者数据汇总!D:H,2,FALSE)</f>
        <v>#N/A</v>
      </c>
      <c r="D173" s="421" t="e">
        <f>VLOOKUP(B173,正厂竞争者数据汇总!D:H,3,FALSE)</f>
        <v>#N/A</v>
      </c>
      <c r="E173" s="430" t="e">
        <f>VLOOKUP(B173,正厂竞争者数据汇总!D:H,4,FALSE)</f>
        <v>#N/A</v>
      </c>
      <c r="F173" s="430">
        <v>156088.916666667</v>
      </c>
      <c r="G173" s="430">
        <v>189741.833333333</v>
      </c>
      <c r="H173" s="430">
        <v>107337.666666667</v>
      </c>
      <c r="I173" s="453">
        <f t="shared" si="42"/>
        <v>-0.177361608009476</v>
      </c>
      <c r="J173" s="451">
        <f t="shared" si="43"/>
        <v>0.350823365910854</v>
      </c>
      <c r="K173" s="451">
        <v>0.361171317734037</v>
      </c>
      <c r="L173" s="451">
        <v>0.248321727138985</v>
      </c>
      <c r="M173" s="451">
        <v>0.209071997038994</v>
      </c>
      <c r="N173" s="451">
        <v>0.216819556701542</v>
      </c>
      <c r="O173" s="451">
        <f t="shared" si="44"/>
        <v>0.134003809209312</v>
      </c>
      <c r="P173" s="451">
        <f t="shared" si="45"/>
        <v>0.0391323271991761</v>
      </c>
      <c r="Q173" s="430">
        <v>14519.9</v>
      </c>
      <c r="R173" s="471" t="e">
        <f t="array" ref="R173">INDEX(正厂竞争者数据汇总!$I$2:$I$243,MATCH($A$170&amp;$B173,正厂竞争者数据汇总!$A$2:$A$243&amp;正厂竞争者数据汇总!$D$2:$D$243,0))</f>
        <v>#N/A</v>
      </c>
      <c r="S173" s="429" t="s">
        <v>180</v>
      </c>
      <c r="T173" s="421" t="s">
        <v>180</v>
      </c>
      <c r="U173" s="473" t="e">
        <f>VLOOKUP(B173,正厂竞争者数据汇总!$D$2:$CL$243,25,FALSE)</f>
        <v>#N/A</v>
      </c>
      <c r="V173" s="466"/>
      <c r="W173" s="466"/>
      <c r="X173" s="421"/>
      <c r="Y173" s="421"/>
    </row>
    <row r="174" spans="1:25">
      <c r="A174" s="421" t="s">
        <v>238</v>
      </c>
      <c r="B174" s="431" t="s">
        <v>322</v>
      </c>
      <c r="C174" s="421" t="str">
        <f>VLOOKUP(B174,正厂竞争者数据汇总!D:H,2,FALSE)</f>
        <v>原厂目录</v>
      </c>
      <c r="D174" s="421" t="str">
        <f>VLOOKUP(B174,正厂竞争者数据汇总!D:H,3,FALSE)</f>
        <v>MA</v>
      </c>
      <c r="E174" s="430">
        <f>VLOOKUP(B174,正厂竞争者数据汇总!D:H,4,FALSE)</f>
        <v>284511</v>
      </c>
      <c r="F174" s="430">
        <v>37961.4166666666</v>
      </c>
      <c r="G174" s="430">
        <v>51659.6666666667</v>
      </c>
      <c r="H174" s="430">
        <v>43417.9166666667</v>
      </c>
      <c r="I174" s="453">
        <f t="shared" si="42"/>
        <v>-0.265163344711221</v>
      </c>
      <c r="J174" s="451">
        <f t="shared" si="43"/>
        <v>0.0853215734604966</v>
      </c>
      <c r="K174" s="451">
        <v>0.0983335596369161</v>
      </c>
      <c r="L174" s="451">
        <v>0.10044574649573</v>
      </c>
      <c r="M174" s="451">
        <v>0.101279291885003</v>
      </c>
      <c r="N174" s="451">
        <v>0.0985433849578244</v>
      </c>
      <c r="O174" s="451">
        <f t="shared" si="44"/>
        <v>-0.0132218114973278</v>
      </c>
      <c r="P174" s="451" t="str">
        <f t="shared" si="45"/>
        <v/>
      </c>
      <c r="Q174" s="430" t="s">
        <v>180</v>
      </c>
      <c r="R174" s="471">
        <f t="array" ref="R174">INDEX(正厂竞争者数据汇总!$I$2:$I$243,MATCH($A$170&amp;$B174,正厂竞争者数据汇总!$A$2:$A$243&amp;正厂竞争者数据汇总!$D$2:$D$243,0))</f>
        <v>0</v>
      </c>
      <c r="S174" s="429" t="s">
        <v>180</v>
      </c>
      <c r="T174" s="421" t="s">
        <v>180</v>
      </c>
      <c r="U174" s="473">
        <f>VLOOKUP(B174,正厂竞争者数据汇总!$D$2:$CL$243,25,FALSE)</f>
        <v>32770</v>
      </c>
      <c r="V174" s="466"/>
      <c r="W174" s="466"/>
      <c r="X174" s="421"/>
      <c r="Y174" s="421"/>
    </row>
    <row r="175" spans="1:25">
      <c r="A175" s="421" t="s">
        <v>230</v>
      </c>
      <c r="B175" s="431" t="s">
        <v>590</v>
      </c>
      <c r="C175" s="421" t="e">
        <f>VLOOKUP(B175,正厂竞争者数据汇总!D:H,2,FALSE)</f>
        <v>#N/A</v>
      </c>
      <c r="D175" s="421" t="e">
        <f>VLOOKUP(B175,正厂竞争者数据汇总!D:H,3,FALSE)</f>
        <v>#N/A</v>
      </c>
      <c r="E175" s="430" t="e">
        <f>VLOOKUP(B175,正厂竞争者数据汇总!D:H,4,FALSE)</f>
        <v>#N/A</v>
      </c>
      <c r="F175" s="430">
        <v>42251.1666666667</v>
      </c>
      <c r="G175" s="430">
        <v>55426.1666666667</v>
      </c>
      <c r="H175" s="430">
        <v>54908.5</v>
      </c>
      <c r="I175" s="453">
        <f t="shared" si="42"/>
        <v>-0.237703611711676</v>
      </c>
      <c r="J175" s="451">
        <f t="shared" si="43"/>
        <v>0.094963158308766</v>
      </c>
      <c r="K175" s="451">
        <v>0.105503047484414</v>
      </c>
      <c r="L175" s="451">
        <v>0.127028786613686</v>
      </c>
      <c r="M175" s="451">
        <v>0.155184381787876</v>
      </c>
      <c r="N175" s="451">
        <v>0.125751750659769</v>
      </c>
      <c r="O175" s="451">
        <f t="shared" si="44"/>
        <v>-0.030788592351003</v>
      </c>
      <c r="P175" s="451"/>
      <c r="Q175" s="430"/>
      <c r="R175" s="471" t="e">
        <f t="array" ref="R175">INDEX(正厂竞争者数据汇总!$I$2:$I$243,MATCH($A$170&amp;$B175,正厂竞争者数据汇总!$A$2:$A$243&amp;正厂竞争者数据汇总!$D$2:$D$243,0))</f>
        <v>#N/A</v>
      </c>
      <c r="S175" s="429"/>
      <c r="T175" s="421"/>
      <c r="U175" s="473"/>
      <c r="V175" s="466"/>
      <c r="W175" s="466"/>
      <c r="X175" s="421"/>
      <c r="Y175" s="421"/>
    </row>
    <row r="176" spans="1:25">
      <c r="A176" s="421" t="s">
        <v>230</v>
      </c>
      <c r="B176" s="431" t="s">
        <v>591</v>
      </c>
      <c r="C176" s="421" t="e">
        <f>VLOOKUP(B176,正厂竞争者数据汇总!D:H,2,FALSE)</f>
        <v>#N/A</v>
      </c>
      <c r="D176" s="421" t="e">
        <f>VLOOKUP(B176,正厂竞争者数据汇总!D:H,3,FALSE)</f>
        <v>#N/A</v>
      </c>
      <c r="E176" s="430" t="e">
        <f>VLOOKUP(B176,正厂竞争者数据汇总!D:H,4,FALSE)</f>
        <v>#N/A</v>
      </c>
      <c r="F176" s="430">
        <v>10367.5</v>
      </c>
      <c r="G176" s="430">
        <v>10531.25</v>
      </c>
      <c r="H176" s="430">
        <v>13655.5833333334</v>
      </c>
      <c r="I176" s="453">
        <f t="shared" si="42"/>
        <v>-0.0155489614243324</v>
      </c>
      <c r="J176" s="451">
        <f t="shared" si="43"/>
        <v>0.0233018546335872</v>
      </c>
      <c r="K176" s="451">
        <v>0.0200461088262204</v>
      </c>
      <c r="L176" s="451">
        <v>0.0315916876500981</v>
      </c>
      <c r="M176" s="451">
        <v>0.0453008240245723</v>
      </c>
      <c r="N176" s="451">
        <v>0.058173583907704</v>
      </c>
      <c r="O176" s="451">
        <f t="shared" si="44"/>
        <v>-0.0348717292741168</v>
      </c>
      <c r="P176" s="451" t="str">
        <f t="shared" ref="P176:P180" si="46">IFERROR(Q176*0.5/$F$172,"")</f>
        <v/>
      </c>
      <c r="Q176" s="430" t="s">
        <v>180</v>
      </c>
      <c r="R176" s="471" t="e">
        <f t="array" ref="R176">INDEX(正厂竞争者数据汇总!$I$2:$I$243,MATCH($A$170&amp;$B176,正厂竞争者数据汇总!$A$2:$A$243&amp;正厂竞争者数据汇总!$D$2:$D$243,0))</f>
        <v>#N/A</v>
      </c>
      <c r="S176" s="429" t="s">
        <v>180</v>
      </c>
      <c r="T176" s="421" t="s">
        <v>180</v>
      </c>
      <c r="U176" s="473" t="e">
        <f>VLOOKUP(B176,正厂竞争者数据汇总!$D$2:$CL$243,25,FALSE)</f>
        <v>#N/A</v>
      </c>
      <c r="V176" s="466"/>
      <c r="W176" s="466"/>
      <c r="X176" s="421"/>
      <c r="Y176" s="421"/>
    </row>
    <row r="177" spans="1:25">
      <c r="A177" s="421" t="s">
        <v>230</v>
      </c>
      <c r="B177" s="431" t="s">
        <v>592</v>
      </c>
      <c r="C177" s="421" t="e">
        <f>VLOOKUP(B177,正厂竞争者数据汇总!D:H,2,FALSE)</f>
        <v>#N/A</v>
      </c>
      <c r="D177" s="421" t="e">
        <f>VLOOKUP(B177,正厂竞争者数据汇总!D:H,3,FALSE)</f>
        <v>#N/A</v>
      </c>
      <c r="E177" s="430" t="e">
        <f>VLOOKUP(B177,正厂竞争者数据汇总!D:H,4,FALSE)</f>
        <v>#N/A</v>
      </c>
      <c r="F177" s="430">
        <v>12729.5833333333</v>
      </c>
      <c r="G177" s="430">
        <v>17789.6666666667</v>
      </c>
      <c r="H177" s="430">
        <v>10883.3333333333</v>
      </c>
      <c r="I177" s="453">
        <f t="shared" si="42"/>
        <v>-0.284439468605373</v>
      </c>
      <c r="J177" s="451">
        <f t="shared" si="43"/>
        <v>0.0286108416088224</v>
      </c>
      <c r="K177" s="451">
        <v>0.0338624184196735</v>
      </c>
      <c r="L177" s="451">
        <v>0.0251781896727393</v>
      </c>
      <c r="M177" s="451">
        <v>0.00922830043010804</v>
      </c>
      <c r="N177" s="451">
        <v>0.00352897748246585</v>
      </c>
      <c r="O177" s="451">
        <f t="shared" si="44"/>
        <v>0.0250818641263566</v>
      </c>
      <c r="P177" s="451" t="str">
        <f t="shared" si="46"/>
        <v/>
      </c>
      <c r="Q177" s="430" t="s">
        <v>180</v>
      </c>
      <c r="R177" s="471" t="e">
        <f t="array" ref="R177">INDEX(正厂竞争者数据汇总!$I$2:$I$243,MATCH($A$170&amp;$B177,正厂竞争者数据汇总!$A$2:$A$243&amp;正厂竞争者数据汇总!$D$2:$D$243,0))</f>
        <v>#N/A</v>
      </c>
      <c r="S177" s="429" t="s">
        <v>180</v>
      </c>
      <c r="T177" s="421" t="s">
        <v>180</v>
      </c>
      <c r="U177" s="473" t="e">
        <f>VLOOKUP(B177,正厂竞争者数据汇总!$D$2:$CL$243,25,FALSE)</f>
        <v>#N/A</v>
      </c>
      <c r="V177" s="466"/>
      <c r="W177" s="466"/>
      <c r="X177" s="421"/>
      <c r="Y177" s="421"/>
    </row>
    <row r="178" spans="1:25">
      <c r="A178" s="421"/>
      <c r="B178" s="431"/>
      <c r="C178" s="421"/>
      <c r="D178" s="421"/>
      <c r="E178" s="430"/>
      <c r="F178" s="430"/>
      <c r="G178" s="430"/>
      <c r="H178" s="430"/>
      <c r="I178" s="453"/>
      <c r="J178" s="451"/>
      <c r="K178" s="451"/>
      <c r="L178" s="451"/>
      <c r="M178" s="451"/>
      <c r="N178" s="451"/>
      <c r="O178" s="451"/>
      <c r="P178" s="451"/>
      <c r="Q178" s="430"/>
      <c r="R178" s="471"/>
      <c r="S178" s="429"/>
      <c r="T178" s="421"/>
      <c r="U178" s="473"/>
      <c r="V178" s="466"/>
      <c r="W178" s="466"/>
      <c r="X178" s="421"/>
      <c r="Y178" s="421"/>
    </row>
    <row r="179" spans="1:25">
      <c r="A179" s="421" t="s">
        <v>230</v>
      </c>
      <c r="B179" t="s">
        <v>524</v>
      </c>
      <c r="C179" s="421" t="e">
        <f>VLOOKUP(B179,正厂竞争者数据汇总!D:H,2,FALSE)</f>
        <v>#N/A</v>
      </c>
      <c r="D179" s="421" t="e">
        <f>VLOOKUP(B179,正厂竞争者数据汇总!D:H,3,FALSE)</f>
        <v>#N/A</v>
      </c>
      <c r="E179" s="430" t="e">
        <f>VLOOKUP(B179,正厂竞争者数据汇总!D:H,4,FALSE)</f>
        <v>#N/A</v>
      </c>
      <c r="F179" s="430">
        <v>13682.8275</v>
      </c>
      <c r="G179" s="430">
        <v>15605.9325</v>
      </c>
      <c r="H179" s="430">
        <v>17521.68</v>
      </c>
      <c r="I179" s="453"/>
      <c r="J179" s="451">
        <f>F179/$F$182</f>
        <v>0.0307533404756642</v>
      </c>
      <c r="K179" s="451">
        <v>0.0297057064669104</v>
      </c>
      <c r="L179" s="451">
        <v>0.0405357594877529</v>
      </c>
      <c r="M179" s="451">
        <v>0.0464587912972866</v>
      </c>
      <c r="N179" s="451">
        <v>0.0355757822184757</v>
      </c>
      <c r="O179" s="451"/>
      <c r="P179" s="451"/>
      <c r="Q179" s="430"/>
      <c r="R179" s="471" t="e">
        <f t="array" ref="R179">INDEX(正厂竞争者数据汇总!$I$2:$I$243,MATCH($A$170&amp;$B179,正厂竞争者数据汇总!$A$2:$A$243&amp;正厂竞争者数据汇总!$D$2:$D$243,0))</f>
        <v>#N/A</v>
      </c>
      <c r="S179" s="429"/>
      <c r="T179" s="421"/>
      <c r="U179" s="473"/>
      <c r="V179" s="466"/>
      <c r="W179" s="466"/>
      <c r="X179" s="421"/>
      <c r="Y179" s="421"/>
    </row>
    <row r="180" ht="17.4" spans="1:25">
      <c r="A180" s="421" t="s">
        <v>511</v>
      </c>
      <c r="B180" s="438" t="s">
        <v>526</v>
      </c>
      <c r="C180" s="421" t="str">
        <f>VLOOKUP(B180,正厂竞争者数据汇总!D:H,2,FALSE)</f>
        <v>原厂目录</v>
      </c>
      <c r="D180" s="421" t="str">
        <f>VLOOKUP(B180,正厂竞争者数据汇总!D:H,3,FALSE)</f>
        <v>-</v>
      </c>
      <c r="E180" s="430">
        <f>VLOOKUP(B180,正厂竞争者数据汇总!D:H,4,FALSE)</f>
        <v>6238</v>
      </c>
      <c r="F180" s="430">
        <v>5964443.25</v>
      </c>
      <c r="G180" s="430">
        <v>6569465.83333333</v>
      </c>
      <c r="H180" s="430">
        <v>5784862.75</v>
      </c>
      <c r="I180" s="453"/>
      <c r="J180" s="430"/>
      <c r="K180" s="430"/>
      <c r="L180" s="430"/>
      <c r="M180" s="430"/>
      <c r="N180" s="430"/>
      <c r="O180" s="451"/>
      <c r="P180" s="451" t="str">
        <f t="shared" si="46"/>
        <v/>
      </c>
      <c r="Q180" s="430" t="s">
        <v>180</v>
      </c>
      <c r="R180" s="471" t="e">
        <f t="array" ref="R180">INDEX(正厂竞争者数据汇总!$I$2:$I$243,MATCH($A$170&amp;$B180,正厂竞争者数据汇总!$A$2:$A$243&amp;正厂竞争者数据汇总!$D$2:$D$243,0))</f>
        <v>#N/A</v>
      </c>
      <c r="S180" s="429" t="s">
        <v>180</v>
      </c>
      <c r="T180" s="421" t="s">
        <v>180</v>
      </c>
      <c r="U180" s="473">
        <f>VLOOKUP(B180,正厂竞争者数据汇总!$D$2:$CL$243,25,FALSE)</f>
        <v>374749</v>
      </c>
      <c r="V180" s="466"/>
      <c r="W180" s="466"/>
      <c r="X180" s="421"/>
      <c r="Y180" s="421"/>
    </row>
    <row r="181" spans="1:25">
      <c r="A181" s="428"/>
      <c r="B181" s="438"/>
      <c r="C181" s="429"/>
      <c r="D181" s="421"/>
      <c r="E181" s="430"/>
      <c r="F181" s="486"/>
      <c r="G181" s="486"/>
      <c r="H181" s="486"/>
      <c r="I181" s="453"/>
      <c r="J181" s="451"/>
      <c r="K181" s="451"/>
      <c r="L181" s="451"/>
      <c r="M181" s="451"/>
      <c r="N181" s="451"/>
      <c r="O181" s="451"/>
      <c r="P181" s="451"/>
      <c r="Q181" s="430"/>
      <c r="R181" s="471"/>
      <c r="S181" s="429"/>
      <c r="T181" s="421"/>
      <c r="U181" s="473"/>
      <c r="V181" s="466"/>
      <c r="W181" s="466"/>
      <c r="X181" s="421"/>
      <c r="Y181" s="421"/>
    </row>
    <row r="182" spans="1:25">
      <c r="A182" s="428"/>
      <c r="B182" s="421"/>
      <c r="C182" s="439"/>
      <c r="D182" s="421"/>
      <c r="E182" s="421"/>
      <c r="F182" s="430">
        <v>444921.666666667</v>
      </c>
      <c r="G182" s="430">
        <v>525351.333333333</v>
      </c>
      <c r="H182" s="430">
        <v>432252.416666667</v>
      </c>
      <c r="I182" s="453">
        <f t="shared" ref="I182:I188" si="47">(F182/G182)-1</f>
        <v>-0.153096911654041</v>
      </c>
      <c r="J182" s="430"/>
      <c r="K182" s="430"/>
      <c r="L182" s="430"/>
      <c r="M182" s="430"/>
      <c r="N182" s="430"/>
      <c r="O182" s="451"/>
      <c r="P182" s="451">
        <f>SUM(P172:P181)</f>
        <v>0.0391323271991761</v>
      </c>
      <c r="Q182" s="430"/>
      <c r="R182" s="471"/>
      <c r="S182" s="429" t="s">
        <v>180</v>
      </c>
      <c r="T182" s="421" t="s">
        <v>180</v>
      </c>
      <c r="U182" s="473"/>
      <c r="V182" s="466"/>
      <c r="W182" s="466"/>
      <c r="X182" s="421"/>
      <c r="Y182" s="421"/>
    </row>
    <row r="183" spans="1:25">
      <c r="A183" s="428"/>
      <c r="B183" s="421"/>
      <c r="C183" s="439"/>
      <c r="D183" s="421"/>
      <c r="E183" s="430"/>
      <c r="F183" s="430"/>
      <c r="G183" s="430"/>
      <c r="H183" s="430"/>
      <c r="I183" s="453"/>
      <c r="J183" s="430"/>
      <c r="K183" s="430"/>
      <c r="L183" s="430"/>
      <c r="M183" s="430"/>
      <c r="N183" s="430"/>
      <c r="O183" s="451"/>
      <c r="P183" s="459"/>
      <c r="Q183" s="430"/>
      <c r="R183" s="471"/>
      <c r="S183" s="429"/>
      <c r="T183" s="421" t="s">
        <v>180</v>
      </c>
      <c r="U183" s="473"/>
      <c r="V183" s="466"/>
      <c r="W183" s="466"/>
      <c r="X183" s="421"/>
      <c r="Y183" s="421"/>
    </row>
    <row r="184" ht="17.4" spans="1:25">
      <c r="A184" s="418" t="s">
        <v>168</v>
      </c>
      <c r="B184" s="487"/>
      <c r="C184" s="420"/>
      <c r="D184" s="421"/>
      <c r="E184" s="422" t="s">
        <v>202</v>
      </c>
      <c r="F184" s="422"/>
      <c r="G184" s="422"/>
      <c r="H184" s="422"/>
      <c r="I184" s="422"/>
      <c r="J184" s="422"/>
      <c r="K184" s="422"/>
      <c r="L184" s="422"/>
      <c r="M184" s="422"/>
      <c r="N184" s="422"/>
      <c r="O184" s="443"/>
      <c r="P184" s="444"/>
      <c r="Q184" s="422"/>
      <c r="R184" s="471"/>
      <c r="S184" s="465"/>
      <c r="T184" s="424"/>
      <c r="U184" s="473"/>
      <c r="V184" s="467"/>
      <c r="W184" s="467"/>
      <c r="X184" s="467"/>
      <c r="Y184" s="467"/>
    </row>
    <row r="185" ht="46.8" spans="1:25">
      <c r="A185" s="423" t="s">
        <v>206</v>
      </c>
      <c r="B185" s="424" t="s">
        <v>207</v>
      </c>
      <c r="C185" s="425" t="s">
        <v>208</v>
      </c>
      <c r="D185" s="424" t="s">
        <v>209</v>
      </c>
      <c r="E185" s="426" t="s">
        <v>210</v>
      </c>
      <c r="F185" s="427" t="s">
        <v>396</v>
      </c>
      <c r="G185" s="427" t="s">
        <v>496</v>
      </c>
      <c r="H185" s="427" t="s">
        <v>627</v>
      </c>
      <c r="I185" s="427" t="s">
        <v>628</v>
      </c>
      <c r="J185" s="446" t="s">
        <v>387</v>
      </c>
      <c r="K185" s="446" t="s">
        <v>390</v>
      </c>
      <c r="L185" s="446" t="s">
        <v>629</v>
      </c>
      <c r="M185" s="446" t="s">
        <v>630</v>
      </c>
      <c r="N185" s="446" t="s">
        <v>631</v>
      </c>
      <c r="O185" s="447" t="s">
        <v>632</v>
      </c>
      <c r="P185" s="448" t="s">
        <v>219</v>
      </c>
      <c r="Q185" s="449" t="s">
        <v>220</v>
      </c>
      <c r="R185" s="468" t="s">
        <v>221</v>
      </c>
      <c r="S185" s="469" t="s">
        <v>222</v>
      </c>
      <c r="T185" s="426" t="s">
        <v>223</v>
      </c>
      <c r="U185" s="470" t="s">
        <v>224</v>
      </c>
      <c r="V185" s="467" t="s">
        <v>225</v>
      </c>
      <c r="W185" s="470" t="s">
        <v>226</v>
      </c>
      <c r="X185" s="467"/>
      <c r="Y185" s="467"/>
    </row>
    <row r="186" ht="17.4" spans="1:25">
      <c r="A186" s="432" t="s">
        <v>227</v>
      </c>
      <c r="B186" s="488" t="s">
        <v>593</v>
      </c>
      <c r="C186" s="434" t="e">
        <f>VLOOKUP(B186,正厂竞争者数据汇总!D:H,2,FALSE)</f>
        <v>#N/A</v>
      </c>
      <c r="D186" s="435" t="e">
        <f>VLOOKUP(B186,正厂竞争者数据汇总!D:H,3,FALSE)</f>
        <v>#N/A</v>
      </c>
      <c r="E186" s="436" t="e">
        <f>VLOOKUP(B186,正厂竞争者数据汇总!D:H,4,FALSE)</f>
        <v>#N/A</v>
      </c>
      <c r="F186" s="436">
        <v>201623.666666667</v>
      </c>
      <c r="G186" s="436">
        <v>231515.333333333</v>
      </c>
      <c r="H186" s="436">
        <v>247389.25</v>
      </c>
      <c r="I186" s="454">
        <f t="shared" si="47"/>
        <v>-0.129113118497548</v>
      </c>
      <c r="J186" s="457">
        <f t="shared" ref="J186:J189" si="48">F186/F$194</f>
        <v>0.79085705021281</v>
      </c>
      <c r="K186" s="457">
        <v>0.811924267504606</v>
      </c>
      <c r="L186" s="457">
        <v>0.829264347877097</v>
      </c>
      <c r="M186" s="457">
        <v>0.806862789442677</v>
      </c>
      <c r="N186" s="457">
        <v>0.794354770787628</v>
      </c>
      <c r="O186" s="456">
        <f t="shared" ref="O186:O189" si="49">J186-N186</f>
        <v>-0.00349772057481779</v>
      </c>
      <c r="P186" s="457" t="str">
        <f t="shared" ref="P186:P188" si="50">IFERROR(Q186*0.5/$F$186,"")</f>
        <v/>
      </c>
      <c r="Q186" s="436" t="s">
        <v>180</v>
      </c>
      <c r="R186" s="471" t="e">
        <f t="array" ref="R186">INDEX(正厂竞争者数据汇总!$I$2:$I$243,MATCH($A$184&amp;$B186,正厂竞争者数据汇总!$A$2:$A$243&amp;正厂竞争者数据汇总!$D$2:$D$243,0))</f>
        <v>#N/A</v>
      </c>
      <c r="S186" s="434" t="s">
        <v>299</v>
      </c>
      <c r="T186" s="435" t="s">
        <v>229</v>
      </c>
      <c r="U186" s="476" t="e">
        <f>VLOOKUP(B186,正厂竞争者数据汇总!$D$2:$CL$243,25,FALSE)</f>
        <v>#N/A</v>
      </c>
      <c r="V186" s="477"/>
      <c r="W186" s="477"/>
      <c r="X186" s="435"/>
      <c r="Y186" s="435"/>
    </row>
    <row r="187" spans="1:25">
      <c r="A187" s="428" t="s">
        <v>305</v>
      </c>
      <c r="B187" s="431" t="s">
        <v>594</v>
      </c>
      <c r="C187" s="429" t="e">
        <f>VLOOKUP(B187,正厂竞争者数据汇总!D:H,2,FALSE)</f>
        <v>#N/A</v>
      </c>
      <c r="D187" s="421" t="e">
        <f>VLOOKUP(B187,正厂竞争者数据汇总!D:H,3,FALSE)</f>
        <v>#N/A</v>
      </c>
      <c r="E187" s="430" t="e">
        <f>VLOOKUP(B187,正厂竞争者数据汇总!D:H,4,FALSE)</f>
        <v>#N/A</v>
      </c>
      <c r="F187" s="430">
        <v>29677.75</v>
      </c>
      <c r="G187" s="430">
        <v>34015.5833333333</v>
      </c>
      <c r="H187" s="430">
        <v>31685.4166666667</v>
      </c>
      <c r="I187" s="453">
        <f t="shared" si="47"/>
        <v>-0.12752488442797</v>
      </c>
      <c r="J187" s="451">
        <f t="shared" si="48"/>
        <v>0.11640924009559</v>
      </c>
      <c r="K187" s="451">
        <v>0.119292649795659</v>
      </c>
      <c r="L187" s="451">
        <v>0.106211512380984</v>
      </c>
      <c r="M187" s="451">
        <v>0.100650110788801</v>
      </c>
      <c r="N187" s="451">
        <v>0.111051380304401</v>
      </c>
      <c r="O187" s="451">
        <f t="shared" si="49"/>
        <v>0.0053578597911889</v>
      </c>
      <c r="P187" s="451">
        <f t="shared" si="50"/>
        <v>0.0112691693766109</v>
      </c>
      <c r="Q187" s="430">
        <v>4544.2625</v>
      </c>
      <c r="R187" s="471" t="e">
        <f t="array" ref="R187">INDEX(正厂竞争者数据汇总!$I$2:$I$243,MATCH($A$184&amp;$B187,正厂竞争者数据汇总!$A$2:$A$243&amp;正厂竞争者数据汇总!$D$2:$D$243,0))</f>
        <v>#N/A</v>
      </c>
      <c r="S187" s="429" t="s">
        <v>180</v>
      </c>
      <c r="T187" s="421" t="s">
        <v>180</v>
      </c>
      <c r="U187" s="473" t="e">
        <f>VLOOKUP(B187,正厂竞争者数据汇总!$D$2:$CL$243,25,FALSE)</f>
        <v>#N/A</v>
      </c>
      <c r="V187" s="477"/>
      <c r="W187" s="466"/>
      <c r="X187" s="421"/>
      <c r="Y187" s="421"/>
    </row>
    <row r="188" spans="1:25">
      <c r="A188" s="428" t="s">
        <v>230</v>
      </c>
      <c r="B188" s="489" t="s">
        <v>304</v>
      </c>
      <c r="C188" s="429" t="str">
        <f>VLOOKUP(B188,正厂竞争者数据汇总!D:H,2,FALSE)</f>
        <v>Motor目录</v>
      </c>
      <c r="D188" s="421" t="str">
        <f>VLOOKUP(B188,正厂竞争者数据汇总!D:H,3,FALSE)</f>
        <v>CA</v>
      </c>
      <c r="E188" s="430">
        <f>VLOOKUP(B188,正厂竞争者数据汇总!D:H,4,FALSE)</f>
        <v>0</v>
      </c>
      <c r="F188" s="430">
        <v>21363.5833333333</v>
      </c>
      <c r="G188" s="430">
        <v>17332.1666666667</v>
      </c>
      <c r="H188" s="430">
        <v>16407</v>
      </c>
      <c r="I188" s="453">
        <f t="shared" si="47"/>
        <v>0.232597386362539</v>
      </c>
      <c r="J188" s="451">
        <f t="shared" si="48"/>
        <v>0.0837974072007527</v>
      </c>
      <c r="K188" s="451">
        <v>0.0607839080137289</v>
      </c>
      <c r="L188" s="451">
        <v>0.0549972973992181</v>
      </c>
      <c r="M188" s="451">
        <v>0.0782573742328774</v>
      </c>
      <c r="N188" s="451">
        <v>0.078698871349136</v>
      </c>
      <c r="O188" s="451">
        <f t="shared" si="49"/>
        <v>0.00509853585161671</v>
      </c>
      <c r="P188" s="451">
        <f t="shared" si="50"/>
        <v>0.018003714841677</v>
      </c>
      <c r="Q188" s="430">
        <v>7259.95</v>
      </c>
      <c r="R188" s="471">
        <f t="array" ref="R188">INDEX(正厂竞争者数据汇总!$I$2:$I$243,MATCH($A$184&amp;$B188,正厂竞争者数据汇总!$A$2:$A$243&amp;正厂竞争者数据汇总!$D$2:$D$243,0))</f>
        <v>0</v>
      </c>
      <c r="S188" s="429" t="s">
        <v>180</v>
      </c>
      <c r="T188" s="421" t="s">
        <v>180</v>
      </c>
      <c r="U188" s="473">
        <f>VLOOKUP(B188,正厂竞争者数据汇总!$D$2:$CL$243,25,FALSE)</f>
        <v>31125</v>
      </c>
      <c r="V188" s="466"/>
      <c r="W188" s="466"/>
      <c r="X188" s="421"/>
      <c r="Y188" s="421"/>
    </row>
    <row r="189" spans="1:25">
      <c r="A189" s="440" t="s">
        <v>243</v>
      </c>
      <c r="B189" s="431" t="s">
        <v>595</v>
      </c>
      <c r="C189" s="429" t="e">
        <f>VLOOKUP(B189,正厂竞争者数据汇总!D:H,2,FALSE)</f>
        <v>#N/A</v>
      </c>
      <c r="D189" s="421" t="e">
        <f>VLOOKUP(B189,正厂竞争者数据汇总!D:H,3,FALSE)</f>
        <v>#N/A</v>
      </c>
      <c r="E189" s="430" t="e">
        <f>VLOOKUP(#REF!,正厂竞争者数据汇总!D:H,4,FALSE)</f>
        <v>#REF!</v>
      </c>
      <c r="F189" s="430">
        <v>2278.25</v>
      </c>
      <c r="G189" s="430">
        <v>2280.91666666667</v>
      </c>
      <c r="H189" s="430">
        <v>2842.08333333333</v>
      </c>
      <c r="I189" s="453"/>
      <c r="J189" s="451">
        <f t="shared" si="48"/>
        <v>0.00893630249084845</v>
      </c>
      <c r="K189" s="451">
        <v>0.00799917468600662</v>
      </c>
      <c r="L189" s="451">
        <v>0.00952684234270094</v>
      </c>
      <c r="M189" s="451">
        <v>0.0142297255356451</v>
      </c>
      <c r="N189" s="451">
        <v>0.0158949775588358</v>
      </c>
      <c r="O189" s="451">
        <f t="shared" si="49"/>
        <v>-0.00695867506798735</v>
      </c>
      <c r="P189" s="451"/>
      <c r="Q189" s="430"/>
      <c r="R189" s="471" t="e">
        <f t="array" ref="R189">INDEX(正厂竞争者数据汇总!$I$2:$I$243,MATCH($A$184&amp;$B189,正厂竞争者数据汇总!$A$2:$A$243&amp;正厂竞争者数据汇总!$D$2:$D$243,0))</f>
        <v>#N/A</v>
      </c>
      <c r="S189" s="429" t="s">
        <v>180</v>
      </c>
      <c r="T189" s="421"/>
      <c r="U189" s="473" t="e">
        <f>VLOOKUP(B189,正厂竞争者数据汇总!$D$2:$CL$243,25,FALSE)</f>
        <v>#N/A</v>
      </c>
      <c r="V189" s="466"/>
      <c r="W189" s="466"/>
      <c r="X189" s="421"/>
      <c r="Y189" s="421"/>
    </row>
    <row r="190" spans="1:25">
      <c r="A190" s="440"/>
      <c r="B190" s="431"/>
      <c r="C190" s="429"/>
      <c r="D190" s="421"/>
      <c r="E190" s="430"/>
      <c r="F190" s="430"/>
      <c r="G190" s="430"/>
      <c r="H190" s="430"/>
      <c r="I190" s="453"/>
      <c r="J190" s="451"/>
      <c r="K190" s="451"/>
      <c r="L190" s="451"/>
      <c r="M190" s="451"/>
      <c r="N190" s="451"/>
      <c r="O190" s="451"/>
      <c r="P190" s="451"/>
      <c r="Q190" s="430"/>
      <c r="R190" s="471"/>
      <c r="S190" s="429"/>
      <c r="T190" s="421"/>
      <c r="U190" s="473"/>
      <c r="V190" s="466"/>
      <c r="W190" s="466"/>
      <c r="X190" s="421"/>
      <c r="Y190" s="421"/>
    </row>
    <row r="191" spans="1:25">
      <c r="A191" s="440" t="s">
        <v>230</v>
      </c>
      <c r="B191" s="431" t="s">
        <v>524</v>
      </c>
      <c r="C191" s="429" t="e">
        <f>VLOOKUP(B191,正厂竞争者数据汇总!D:H,2,FALSE)</f>
        <v>#N/A</v>
      </c>
      <c r="D191" s="421" t="e">
        <f>VLOOKUP(B191,正厂竞争者数据汇总!D:H,3,FALSE)</f>
        <v>#N/A</v>
      </c>
      <c r="E191" s="430"/>
      <c r="F191" s="430">
        <v>13682.8275</v>
      </c>
      <c r="G191" s="430">
        <v>15605.9325</v>
      </c>
      <c r="H191" s="430">
        <v>17521.68</v>
      </c>
      <c r="I191" s="453"/>
      <c r="J191" s="451">
        <f>F191/F$194</f>
        <v>0.0536700912850213</v>
      </c>
      <c r="K191" s="451">
        <v>0.05473000483966</v>
      </c>
      <c r="L191" s="451">
        <v>0.0587337749676316</v>
      </c>
      <c r="M191" s="451">
        <v>0.0627742630887672</v>
      </c>
      <c r="N191" s="451">
        <v>0.0468827140594315</v>
      </c>
      <c r="O191" s="451"/>
      <c r="P191" s="451"/>
      <c r="Q191" s="430"/>
      <c r="R191" s="471" t="e">
        <f t="array" ref="R191">INDEX(正厂竞争者数据汇总!$I$2:$I$243,MATCH($A$184&amp;$B191,正厂竞争者数据汇总!$A$2:$A$243&amp;正厂竞争者数据汇总!$D$2:$D$243,0))</f>
        <v>#N/A</v>
      </c>
      <c r="S191" s="429"/>
      <c r="T191" s="421"/>
      <c r="U191" s="473"/>
      <c r="V191" s="466"/>
      <c r="W191" s="466"/>
      <c r="X191" s="421"/>
      <c r="Y191" s="421"/>
    </row>
    <row r="192" ht="17.4" spans="1:25">
      <c r="A192" s="440" t="s">
        <v>596</v>
      </c>
      <c r="B192" s="431" t="s">
        <v>597</v>
      </c>
      <c r="C192" s="429" t="str">
        <f>VLOOKUP(B192,正厂竞争者数据汇总!D:H,2,FALSE)</f>
        <v>原厂目录</v>
      </c>
      <c r="D192" s="421" t="str">
        <f>VLOOKUP(B192,正厂竞争者数据汇总!D:H,3,FALSE)</f>
        <v>TX</v>
      </c>
      <c r="E192" s="430">
        <f>VLOOKUP(B192,正厂竞争者数据汇总!D:H,4,FALSE)</f>
        <v>0</v>
      </c>
      <c r="F192" s="430">
        <v>233466.083333333</v>
      </c>
      <c r="G192" s="430">
        <v>185035.833333333</v>
      </c>
      <c r="H192" s="430">
        <v>161855.833333333</v>
      </c>
      <c r="I192" s="453"/>
      <c r="J192" s="451"/>
      <c r="K192" s="451"/>
      <c r="L192" s="451"/>
      <c r="M192" s="451"/>
      <c r="N192" s="451"/>
      <c r="O192" s="451"/>
      <c r="P192" s="451"/>
      <c r="Q192" s="430"/>
      <c r="R192" s="471" t="str">
        <f t="array" ref="R192">INDEX(正厂竞争者数据汇总!$I$2:$I$243,MATCH($A$184&amp;$B192,正厂竞争者数据汇总!$A$2:$A$243&amp;正厂竞争者数据汇总!$D$2:$D$243,0))</f>
        <v>官网</v>
      </c>
      <c r="S192" s="429"/>
      <c r="T192" s="421"/>
      <c r="U192" s="473">
        <f>VLOOKUP(B192,正厂竞争者数据汇总!$D$2:$CL$243,25,FALSE)</f>
        <v>205293</v>
      </c>
      <c r="V192" s="466"/>
      <c r="W192" s="466"/>
      <c r="X192" s="421"/>
      <c r="Y192" s="421"/>
    </row>
    <row r="193" spans="1:25">
      <c r="A193" s="440"/>
      <c r="B193" s="431"/>
      <c r="C193" s="429"/>
      <c r="D193" s="421"/>
      <c r="E193" s="430"/>
      <c r="F193" s="430"/>
      <c r="G193" s="430"/>
      <c r="H193" s="430"/>
      <c r="I193" s="453"/>
      <c r="J193" s="451"/>
      <c r="K193" s="451"/>
      <c r="L193" s="451"/>
      <c r="M193" s="451"/>
      <c r="N193" s="451"/>
      <c r="O193" s="451"/>
      <c r="P193" s="451"/>
      <c r="Q193" s="430"/>
      <c r="R193" s="471"/>
      <c r="S193" s="429"/>
      <c r="T193" s="421"/>
      <c r="U193" s="473"/>
      <c r="V193" s="466"/>
      <c r="W193" s="466"/>
      <c r="X193" s="421"/>
      <c r="Y193" s="421"/>
    </row>
    <row r="194" spans="1:25">
      <c r="A194" s="428"/>
      <c r="B194" s="421"/>
      <c r="C194" s="439"/>
      <c r="D194" s="421"/>
      <c r="E194" s="430"/>
      <c r="F194" s="430">
        <v>254943.25</v>
      </c>
      <c r="G194" s="430">
        <v>285144</v>
      </c>
      <c r="H194" s="430">
        <v>298323.75</v>
      </c>
      <c r="I194" s="453">
        <f t="shared" ref="I194:I203" si="51">(F194/G194)-1</f>
        <v>-0.105914029402688</v>
      </c>
      <c r="J194" s="430"/>
      <c r="K194" s="430"/>
      <c r="L194" s="430"/>
      <c r="M194" s="430"/>
      <c r="N194" s="430"/>
      <c r="O194" s="451"/>
      <c r="P194" s="451">
        <f>SUM(P186:P188)</f>
        <v>0.0292728842182878</v>
      </c>
      <c r="Q194" s="430"/>
      <c r="R194" s="471"/>
      <c r="S194" s="429"/>
      <c r="T194" s="421"/>
      <c r="U194" s="473"/>
      <c r="V194" s="466"/>
      <c r="W194" s="466"/>
      <c r="X194" s="421"/>
      <c r="Y194" s="421"/>
    </row>
    <row r="195" spans="1:25">
      <c r="A195" s="428"/>
      <c r="B195" s="421"/>
      <c r="C195" s="439"/>
      <c r="D195" s="421"/>
      <c r="E195" s="430"/>
      <c r="F195" s="451"/>
      <c r="G195" s="451"/>
      <c r="H195" s="451"/>
      <c r="I195" s="453"/>
      <c r="J195" s="451"/>
      <c r="K195" s="451"/>
      <c r="L195" s="451"/>
      <c r="M195" s="451"/>
      <c r="N195" s="451"/>
      <c r="O195" s="451"/>
      <c r="P195" s="451"/>
      <c r="Q195" s="451"/>
      <c r="R195" s="471"/>
      <c r="S195" s="429"/>
      <c r="T195" s="421"/>
      <c r="U195" s="473"/>
      <c r="V195" s="466"/>
      <c r="W195" s="466"/>
      <c r="X195" s="421"/>
      <c r="Y195" s="421"/>
    </row>
    <row r="196" ht="17.4" spans="1:25">
      <c r="A196" s="418" t="s">
        <v>177</v>
      </c>
      <c r="B196" s="419"/>
      <c r="C196" s="420"/>
      <c r="D196" s="421"/>
      <c r="E196" s="422" t="s">
        <v>202</v>
      </c>
      <c r="F196" s="422"/>
      <c r="G196" s="422"/>
      <c r="H196" s="422"/>
      <c r="I196" s="422"/>
      <c r="J196" s="422"/>
      <c r="K196" s="422"/>
      <c r="L196" s="422"/>
      <c r="M196" s="422"/>
      <c r="N196" s="422"/>
      <c r="O196" s="443"/>
      <c r="P196" s="444"/>
      <c r="Q196" s="422"/>
      <c r="R196" s="471"/>
      <c r="S196" s="465"/>
      <c r="T196" s="424"/>
      <c r="U196" s="473"/>
      <c r="V196" s="467"/>
      <c r="W196" s="467"/>
      <c r="X196" s="467"/>
      <c r="Y196" s="467"/>
    </row>
    <row r="197" ht="46.8" spans="1:25">
      <c r="A197" s="423" t="s">
        <v>206</v>
      </c>
      <c r="B197" s="424" t="s">
        <v>207</v>
      </c>
      <c r="C197" s="425" t="s">
        <v>208</v>
      </c>
      <c r="D197" s="424" t="s">
        <v>209</v>
      </c>
      <c r="E197" s="426" t="s">
        <v>210</v>
      </c>
      <c r="F197" s="427" t="s">
        <v>396</v>
      </c>
      <c r="G197" s="427" t="s">
        <v>496</v>
      </c>
      <c r="H197" s="427" t="s">
        <v>627</v>
      </c>
      <c r="I197" s="427" t="s">
        <v>628</v>
      </c>
      <c r="J197" s="446" t="s">
        <v>387</v>
      </c>
      <c r="K197" s="446" t="s">
        <v>390</v>
      </c>
      <c r="L197" s="446" t="s">
        <v>629</v>
      </c>
      <c r="M197" s="446" t="s">
        <v>630</v>
      </c>
      <c r="N197" s="446" t="s">
        <v>631</v>
      </c>
      <c r="O197" s="447" t="s">
        <v>632</v>
      </c>
      <c r="P197" s="448" t="s">
        <v>219</v>
      </c>
      <c r="Q197" s="449" t="s">
        <v>220</v>
      </c>
      <c r="R197" s="468" t="s">
        <v>221</v>
      </c>
      <c r="S197" s="469" t="s">
        <v>222</v>
      </c>
      <c r="T197" s="426" t="s">
        <v>223</v>
      </c>
      <c r="U197" s="470" t="s">
        <v>224</v>
      </c>
      <c r="V197" s="467" t="s">
        <v>225</v>
      </c>
      <c r="W197" s="470" t="s">
        <v>226</v>
      </c>
      <c r="X197" s="467"/>
      <c r="Y197" s="467"/>
    </row>
    <row r="198" ht="17.4" spans="1:25">
      <c r="A198" s="432" t="s">
        <v>227</v>
      </c>
      <c r="B198" s="435" t="s">
        <v>598</v>
      </c>
      <c r="C198" s="434" t="e">
        <f>VLOOKUP(B198,正厂竞争者数据汇总!D:H,2,FALSE)</f>
        <v>#N/A</v>
      </c>
      <c r="D198" s="435" t="e">
        <f>VLOOKUP(B198,正厂竞争者数据汇总!D:H,3,FALSE)</f>
        <v>#N/A</v>
      </c>
      <c r="E198" s="436" t="e">
        <f>VLOOKUP(B198,正厂竞争者数据汇总!D:H,4,FALSE)</f>
        <v>#N/A</v>
      </c>
      <c r="F198" s="436">
        <v>93560.5000000002</v>
      </c>
      <c r="G198" s="436">
        <v>99136.1666666667</v>
      </c>
      <c r="H198" s="436">
        <v>103311</v>
      </c>
      <c r="I198" s="454">
        <f t="shared" si="51"/>
        <v>-0.0562425081999993</v>
      </c>
      <c r="J198" s="457">
        <f t="shared" ref="J198:J203" si="52">F198/F$207</f>
        <v>0.557215643961991</v>
      </c>
      <c r="K198" s="457">
        <v>0.523614810798058</v>
      </c>
      <c r="L198" s="457">
        <v>0.581531447012909</v>
      </c>
      <c r="M198" s="457">
        <v>0.558094740766719</v>
      </c>
      <c r="N198" s="457">
        <v>0.538265219579611</v>
      </c>
      <c r="O198" s="456">
        <f t="shared" ref="O198:O203" si="53">J198-N198</f>
        <v>0.0189504243823799</v>
      </c>
      <c r="P198" s="457" t="str">
        <f t="shared" ref="P198:P203" si="54">IFERROR(Q198*0.5/$F$205,"")</f>
        <v/>
      </c>
      <c r="Q198" s="436" t="s">
        <v>180</v>
      </c>
      <c r="R198" s="471" t="e">
        <f t="array" ref="R198">INDEX(正厂竞争者数据汇总!$I$2:$I$243,MATCH($A$196&amp;$B198,正厂竞争者数据汇总!$A$2:$A$243&amp;正厂竞争者数据汇总!$D$2:$D$243,0))</f>
        <v>#N/A</v>
      </c>
      <c r="S198" s="434" t="s">
        <v>324</v>
      </c>
      <c r="T198" s="435" t="s">
        <v>229</v>
      </c>
      <c r="U198" s="476" t="e">
        <f>VLOOKUP(B198,正厂竞争者数据汇总!$D$2:$CL$243,25,FALSE)</f>
        <v>#N/A</v>
      </c>
      <c r="V198" s="477"/>
      <c r="W198" s="477"/>
      <c r="X198" s="435"/>
      <c r="Y198" s="435"/>
    </row>
    <row r="199" spans="1:25">
      <c r="A199" s="428" t="s">
        <v>230</v>
      </c>
      <c r="B199" s="431" t="s">
        <v>599</v>
      </c>
      <c r="C199" s="429" t="e">
        <f>VLOOKUP(B199,正厂竞争者数据汇总!D:H,2,FALSE)</f>
        <v>#N/A</v>
      </c>
      <c r="D199" s="421" t="e">
        <f>VLOOKUP(B199,正厂竞争者数据汇总!D:H,3,FALSE)</f>
        <v>#N/A</v>
      </c>
      <c r="E199" s="430" t="e">
        <f>VLOOKUP(B199,正厂竞争者数据汇总!D:H,4,FALSE)</f>
        <v>#N/A</v>
      </c>
      <c r="F199" s="430">
        <v>26530.25</v>
      </c>
      <c r="G199" s="430">
        <v>35479</v>
      </c>
      <c r="H199" s="430">
        <v>16729.5</v>
      </c>
      <c r="I199" s="453">
        <f t="shared" si="51"/>
        <v>-0.252226669297331</v>
      </c>
      <c r="J199" s="451">
        <f t="shared" si="52"/>
        <v>0.158005465321611</v>
      </c>
      <c r="K199" s="451">
        <v>0.18739205374733</v>
      </c>
      <c r="L199" s="451">
        <v>0.0941693560492345</v>
      </c>
      <c r="M199" s="451">
        <v>0.0890076857802551</v>
      </c>
      <c r="N199" s="451">
        <v>0.0837558638447913</v>
      </c>
      <c r="O199" s="451">
        <f t="shared" si="53"/>
        <v>0.0742496014768196</v>
      </c>
      <c r="P199" s="451">
        <f t="shared" si="54"/>
        <v>0.0152321704760268</v>
      </c>
      <c r="Q199" s="430">
        <v>2215.9</v>
      </c>
      <c r="R199" s="471" t="e">
        <f t="array" ref="R199">INDEX(正厂竞争者数据汇总!$I$2:$I$243,MATCH($A$196&amp;$B199,正厂竞争者数据汇总!$A$2:$A$243&amp;正厂竞争者数据汇总!$D$2:$D$243,0))</f>
        <v>#N/A</v>
      </c>
      <c r="S199" s="429" t="s">
        <v>180</v>
      </c>
      <c r="T199" s="421" t="s">
        <v>180</v>
      </c>
      <c r="U199" s="473" t="e">
        <f>VLOOKUP(B199,正厂竞争者数据汇总!$D$2:$CL$243,25,FALSE)</f>
        <v>#N/A</v>
      </c>
      <c r="V199" s="466"/>
      <c r="W199" s="466"/>
      <c r="X199" s="421"/>
      <c r="Y199" s="421"/>
    </row>
    <row r="200" spans="1:25">
      <c r="A200" s="428" t="s">
        <v>230</v>
      </c>
      <c r="B200" s="431" t="s">
        <v>600</v>
      </c>
      <c r="C200" s="429" t="e">
        <f>VLOOKUP(B200,正厂竞争者数据汇总!D:H,2,FALSE)</f>
        <v>#N/A</v>
      </c>
      <c r="D200" s="421" t="e">
        <f>VLOOKUP(B200,正厂竞争者数据汇总!D:H,3,FALSE)</f>
        <v>#N/A</v>
      </c>
      <c r="E200" s="430" t="e">
        <f>VLOOKUP(B200,正厂竞争者数据汇总!D:H,4,FALSE)</f>
        <v>#N/A</v>
      </c>
      <c r="F200" s="430">
        <v>19051.1666666666</v>
      </c>
      <c r="G200" s="430">
        <v>22796.75</v>
      </c>
      <c r="H200" s="430">
        <v>25260.9166666667</v>
      </c>
      <c r="I200" s="453">
        <f t="shared" si="51"/>
        <v>-0.164303391199772</v>
      </c>
      <c r="J200" s="451">
        <f t="shared" si="52"/>
        <v>0.11346249862275</v>
      </c>
      <c r="K200" s="451">
        <v>0.120407277580102</v>
      </c>
      <c r="L200" s="451">
        <v>0.142192190783549</v>
      </c>
      <c r="M200" s="451">
        <v>0.145733324335059</v>
      </c>
      <c r="N200" s="451">
        <v>0.175598619650241</v>
      </c>
      <c r="O200" s="451">
        <f t="shared" si="53"/>
        <v>-0.0621361210274908</v>
      </c>
      <c r="P200" s="451"/>
      <c r="Q200" s="430"/>
      <c r="R200" s="471" t="e">
        <f t="array" ref="R200">INDEX(正厂竞争者数据汇总!$I$2:$I$243,MATCH($A$196&amp;$B200,正厂竞争者数据汇总!$A$2:$A$243&amp;正厂竞争者数据汇总!$D$2:$D$243,0))</f>
        <v>#N/A</v>
      </c>
      <c r="S200" s="429"/>
      <c r="T200" s="421"/>
      <c r="U200" s="473"/>
      <c r="V200" s="466"/>
      <c r="W200" s="466"/>
      <c r="X200" s="421"/>
      <c r="Y200" s="421"/>
    </row>
    <row r="201" spans="1:25">
      <c r="A201" s="428" t="s">
        <v>230</v>
      </c>
      <c r="B201" s="431" t="s">
        <v>601</v>
      </c>
      <c r="C201" s="429" t="e">
        <f>VLOOKUP(B201,正厂竞争者数据汇总!D:H,2,FALSE)</f>
        <v>#N/A</v>
      </c>
      <c r="D201" s="421" t="e">
        <f>VLOOKUP(B201,正厂竞争者数据汇总!D:H,3,FALSE)</f>
        <v>#N/A</v>
      </c>
      <c r="E201" s="430" t="e">
        <f>VLOOKUP(B201,正厂竞争者数据汇总!D:H,4,FALSE)</f>
        <v>#N/A</v>
      </c>
      <c r="F201" s="430">
        <v>16034.6666666667</v>
      </c>
      <c r="G201" s="430">
        <v>17844.1666666667</v>
      </c>
      <c r="H201" s="430">
        <v>18597.0833333333</v>
      </c>
      <c r="I201" s="453">
        <f t="shared" si="51"/>
        <v>-0.101405688133377</v>
      </c>
      <c r="J201" s="451">
        <f t="shared" si="52"/>
        <v>0.095497214234453</v>
      </c>
      <c r="K201" s="451">
        <v>0.0942488525346354</v>
      </c>
      <c r="L201" s="451">
        <v>0.104681871059742</v>
      </c>
      <c r="M201" s="451">
        <v>0.10516696408914</v>
      </c>
      <c r="N201" s="451">
        <v>0.0970243507712329</v>
      </c>
      <c r="O201" s="451">
        <f t="shared" si="53"/>
        <v>-0.00152713653677992</v>
      </c>
      <c r="P201" s="451"/>
      <c r="Q201" s="430"/>
      <c r="R201" s="471" t="e">
        <f t="array" ref="R201">INDEX(正厂竞争者数据汇总!$I$2:$I$243,MATCH($A$196&amp;$B201,正厂竞争者数据汇总!$A$2:$A$243&amp;正厂竞争者数据汇总!$D$2:$D$243,0))</f>
        <v>#N/A</v>
      </c>
      <c r="S201" s="429"/>
      <c r="T201" s="421"/>
      <c r="U201" s="473"/>
      <c r="V201" s="466"/>
      <c r="W201" s="466"/>
      <c r="X201" s="421"/>
      <c r="Y201" s="421"/>
    </row>
    <row r="202" spans="1:25">
      <c r="A202" s="428" t="s">
        <v>230</v>
      </c>
      <c r="B202" s="417" t="s">
        <v>602</v>
      </c>
      <c r="C202" s="429" t="e">
        <f>VLOOKUP(B202,正厂竞争者数据汇总!D:H,2,FALSE)</f>
        <v>#N/A</v>
      </c>
      <c r="D202" s="421" t="e">
        <f>VLOOKUP(B202,正厂竞争者数据汇总!D:H,3,FALSE)</f>
        <v>#N/A</v>
      </c>
      <c r="E202" s="430" t="e">
        <f>VLOOKUP(B202,正厂竞争者数据汇总!D:H,4,FALSE)</f>
        <v>#N/A</v>
      </c>
      <c r="F202" s="430">
        <v>7496.00000000002</v>
      </c>
      <c r="G202" s="430">
        <v>7910.16666666667</v>
      </c>
      <c r="H202" s="430">
        <v>8165.33333333333</v>
      </c>
      <c r="I202" s="453">
        <f t="shared" si="51"/>
        <v>-0.0523587787867912</v>
      </c>
      <c r="J202" s="451">
        <f t="shared" si="52"/>
        <v>0.0446437168157405</v>
      </c>
      <c r="K202" s="451">
        <v>0.0417797112982424</v>
      </c>
      <c r="L202" s="451">
        <v>0.045962173521465</v>
      </c>
      <c r="M202" s="451">
        <v>0.0541832572352212</v>
      </c>
      <c r="N202" s="451">
        <v>0.0475664522731001</v>
      </c>
      <c r="O202" s="451">
        <f t="shared" si="53"/>
        <v>-0.00292273545735963</v>
      </c>
      <c r="P202" s="451" t="str">
        <f t="shared" si="54"/>
        <v/>
      </c>
      <c r="Q202" s="430" t="s">
        <v>180</v>
      </c>
      <c r="R202" s="471" t="e">
        <f t="array" ref="R202">INDEX(正厂竞争者数据汇总!$I$2:$I$243,MATCH($A$196&amp;$B202,正厂竞争者数据汇总!$A$2:$A$243&amp;正厂竞争者数据汇总!$D$2:$D$243,0))</f>
        <v>#N/A</v>
      </c>
      <c r="S202" s="429" t="s">
        <v>180</v>
      </c>
      <c r="T202" s="421" t="s">
        <v>180</v>
      </c>
      <c r="U202" s="473" t="e">
        <f>VLOOKUP(B202,正厂竞争者数据汇总!$D$2:$CL$243,25,FALSE)</f>
        <v>#N/A</v>
      </c>
      <c r="V202" s="466"/>
      <c r="W202" s="466"/>
      <c r="X202" s="421"/>
      <c r="Y202" s="421"/>
    </row>
    <row r="203" spans="1:25">
      <c r="A203" s="428" t="s">
        <v>230</v>
      </c>
      <c r="B203" s="431" t="s">
        <v>603</v>
      </c>
      <c r="C203" s="429" t="e">
        <f>VLOOKUP(B203,正厂竞争者数据汇总!D:H,2,FALSE)</f>
        <v>#N/A</v>
      </c>
      <c r="D203" s="421" t="e">
        <f>VLOOKUP(B203,正厂竞争者数据汇总!D:H,3,FALSE)</f>
        <v>#N/A</v>
      </c>
      <c r="E203" s="430" t="e">
        <f>VLOOKUP(B203,正厂竞争者数据汇总!D:H,4,FALSE)</f>
        <v>#N/A</v>
      </c>
      <c r="F203" s="430">
        <v>5234.58333333333</v>
      </c>
      <c r="G203" s="430">
        <v>6164.08333333333</v>
      </c>
      <c r="H203" s="430">
        <v>5589.5</v>
      </c>
      <c r="I203" s="453">
        <f t="shared" si="51"/>
        <v>-0.150792899728265</v>
      </c>
      <c r="J203" s="451">
        <f t="shared" si="52"/>
        <v>0.0311754610434535</v>
      </c>
      <c r="K203" s="451">
        <v>0.0325572940416309</v>
      </c>
      <c r="L203" s="451">
        <v>0.0314629615731012</v>
      </c>
      <c r="M203" s="451">
        <v>0.0478140277936048</v>
      </c>
      <c r="N203" s="451">
        <v>0.0577894938810241</v>
      </c>
      <c r="O203" s="451">
        <f t="shared" si="53"/>
        <v>-0.0266140328375706</v>
      </c>
      <c r="P203" s="451">
        <f t="shared" si="54"/>
        <v>0.00398333046915278</v>
      </c>
      <c r="Q203" s="430">
        <v>579.475</v>
      </c>
      <c r="R203" s="471" t="e">
        <f t="array" ref="R203">INDEX(正厂竞争者数据汇总!$I$2:$I$243,MATCH($A$196&amp;$B203,正厂竞争者数据汇总!$A$2:$A$243&amp;正厂竞争者数据汇总!$D$2:$D$243,0))</f>
        <v>#N/A</v>
      </c>
      <c r="S203" s="429" t="s">
        <v>180</v>
      </c>
      <c r="T203" s="421" t="s">
        <v>180</v>
      </c>
      <c r="U203" s="473" t="e">
        <f>VLOOKUP(B203,正厂竞争者数据汇总!$D$2:$CL$243,25,FALSE)</f>
        <v>#N/A</v>
      </c>
      <c r="V203" s="466">
        <f>VLOOKUP(B203,'Price &amp; Shipping'!B:DK,2,FALSE)</f>
        <v>0</v>
      </c>
      <c r="W203" s="466"/>
      <c r="X203" s="421"/>
      <c r="Y203" s="421"/>
    </row>
    <row r="204" spans="1:25">
      <c r="A204" s="428"/>
      <c r="B204" s="431"/>
      <c r="C204" s="429"/>
      <c r="D204" s="421"/>
      <c r="E204" s="430"/>
      <c r="F204" s="430"/>
      <c r="G204" s="430"/>
      <c r="H204" s="430"/>
      <c r="I204" s="453"/>
      <c r="J204" s="451"/>
      <c r="K204" s="451"/>
      <c r="L204" s="451"/>
      <c r="M204" s="451"/>
      <c r="N204" s="451"/>
      <c r="O204" s="451"/>
      <c r="P204" s="451"/>
      <c r="Q204" s="430"/>
      <c r="R204" s="471"/>
      <c r="S204" s="429"/>
      <c r="T204" s="421"/>
      <c r="U204" s="473"/>
      <c r="V204" s="466"/>
      <c r="W204" s="466"/>
      <c r="X204" s="421"/>
      <c r="Y204" s="421"/>
    </row>
    <row r="205" ht="17.4" spans="1:25">
      <c r="A205" s="428" t="s">
        <v>604</v>
      </c>
      <c r="B205" s="438" t="s">
        <v>605</v>
      </c>
      <c r="C205" s="429" t="str">
        <f>VLOOKUP(B205,正厂竞争者数据汇总!D:H,2,FALSE)</f>
        <v>原厂目录</v>
      </c>
      <c r="D205" s="421" t="str">
        <f>VLOOKUP(B205,正厂竞争者数据汇总!D:H,3,FALSE)</f>
        <v>-</v>
      </c>
      <c r="E205" s="430">
        <f>VLOOKUP(B205,正厂竞争者数据汇总!D:H,4,FALSE)</f>
        <v>0</v>
      </c>
      <c r="F205" s="430">
        <v>72737.5</v>
      </c>
      <c r="G205" s="430">
        <v>73961.25</v>
      </c>
      <c r="H205" s="430">
        <v>78490.4166666667</v>
      </c>
      <c r="I205" s="453"/>
      <c r="J205" s="451"/>
      <c r="K205" s="451"/>
      <c r="L205" s="451"/>
      <c r="M205" s="451"/>
      <c r="N205" s="451"/>
      <c r="O205" s="451"/>
      <c r="P205" s="451" t="str">
        <f>IFERROR(Q205*0.5/$F$205,"")</f>
        <v/>
      </c>
      <c r="Q205" s="430" t="s">
        <v>180</v>
      </c>
      <c r="R205" s="471" t="str">
        <f t="array" ref="R205">INDEX(正厂竞争者数据汇总!$I$2:$I$243,MATCH($A$196&amp;$B205,正厂竞争者数据汇总!$A$2:$A$243&amp;正厂竞争者数据汇总!$D$2:$D$243,0))</f>
        <v>变成SimplePart</v>
      </c>
      <c r="S205" s="429" t="s">
        <v>180</v>
      </c>
      <c r="T205" s="421" t="s">
        <v>180</v>
      </c>
      <c r="U205" s="473">
        <f>VLOOKUP(B205,正厂竞争者数据汇总!$D$2:$CL$243,25,FALSE)</f>
        <v>78222</v>
      </c>
      <c r="V205" s="466"/>
      <c r="W205" s="466"/>
      <c r="X205" s="421"/>
      <c r="Y205" s="421"/>
    </row>
    <row r="206" spans="1:25">
      <c r="A206" s="428"/>
      <c r="B206" s="431"/>
      <c r="C206" s="429"/>
      <c r="D206" s="421"/>
      <c r="E206" s="430"/>
      <c r="F206" s="430"/>
      <c r="G206" s="430"/>
      <c r="H206" s="430"/>
      <c r="I206" s="453"/>
      <c r="J206" s="451"/>
      <c r="K206" s="451"/>
      <c r="L206" s="451"/>
      <c r="M206" s="451"/>
      <c r="N206" s="451"/>
      <c r="O206" s="451"/>
      <c r="P206" s="451"/>
      <c r="Q206" s="430"/>
      <c r="R206" s="471"/>
      <c r="S206" s="429"/>
      <c r="T206" s="421"/>
      <c r="U206" s="473"/>
      <c r="V206" s="466"/>
      <c r="W206" s="466"/>
      <c r="X206" s="421"/>
      <c r="Y206" s="421"/>
    </row>
    <row r="207" spans="1:25">
      <c r="A207" s="428"/>
      <c r="B207" s="421"/>
      <c r="C207" s="439"/>
      <c r="D207" s="421"/>
      <c r="E207" s="430"/>
      <c r="F207" s="430">
        <v>167907.166666667</v>
      </c>
      <c r="G207" s="430">
        <v>189330.333333333</v>
      </c>
      <c r="H207" s="430">
        <v>177653.333333333</v>
      </c>
      <c r="I207" s="453">
        <f>(F207/G207)-1</f>
        <v>-0.113152321075507</v>
      </c>
      <c r="J207" s="430"/>
      <c r="K207" s="430"/>
      <c r="L207" s="430"/>
      <c r="M207" s="430"/>
      <c r="N207" s="430"/>
      <c r="O207" s="451"/>
      <c r="P207" s="451">
        <f>SUM(P198:P203)</f>
        <v>0.0192155009451796</v>
      </c>
      <c r="Q207" s="430"/>
      <c r="R207" s="471"/>
      <c r="S207" s="493"/>
      <c r="T207" s="421"/>
      <c r="U207" s="473"/>
      <c r="V207" s="466"/>
      <c r="W207" s="466"/>
      <c r="X207" s="421"/>
      <c r="Y207" s="421"/>
    </row>
    <row r="208" spans="1:25">
      <c r="A208" s="428"/>
      <c r="B208" s="421"/>
      <c r="C208" s="439"/>
      <c r="D208" s="421"/>
      <c r="E208" s="430"/>
      <c r="F208" s="430"/>
      <c r="G208" s="430"/>
      <c r="H208" s="430"/>
      <c r="I208" s="453"/>
      <c r="J208" s="430"/>
      <c r="K208" s="430"/>
      <c r="L208" s="430"/>
      <c r="M208" s="430"/>
      <c r="N208" s="430"/>
      <c r="O208" s="451"/>
      <c r="P208" s="451"/>
      <c r="Q208" s="430"/>
      <c r="R208" s="471"/>
      <c r="S208" s="493"/>
      <c r="T208" s="421"/>
      <c r="U208" s="473"/>
      <c r="V208" s="466"/>
      <c r="W208" s="466"/>
      <c r="X208" s="421"/>
      <c r="Y208" s="421"/>
    </row>
    <row r="209" ht="17.4" spans="1:25">
      <c r="A209" s="418" t="s">
        <v>191</v>
      </c>
      <c r="B209" s="419"/>
      <c r="C209" s="420"/>
      <c r="D209" s="421"/>
      <c r="E209" s="422" t="s">
        <v>202</v>
      </c>
      <c r="F209" s="422"/>
      <c r="G209" s="422"/>
      <c r="H209" s="422"/>
      <c r="I209" s="422"/>
      <c r="J209" s="422"/>
      <c r="K209" s="422"/>
      <c r="L209" s="422"/>
      <c r="M209" s="422"/>
      <c r="N209" s="422"/>
      <c r="O209" s="443"/>
      <c r="P209" s="422"/>
      <c r="Q209" s="422"/>
      <c r="R209" s="471"/>
      <c r="S209" s="465"/>
      <c r="T209" s="424"/>
      <c r="U209" s="473"/>
      <c r="V209" s="467"/>
      <c r="W209" s="467"/>
      <c r="X209" s="467"/>
      <c r="Y209" s="467"/>
    </row>
    <row r="210" ht="46.8" spans="1:25">
      <c r="A210" s="423" t="s">
        <v>206</v>
      </c>
      <c r="B210" s="424" t="s">
        <v>207</v>
      </c>
      <c r="C210" s="425" t="s">
        <v>208</v>
      </c>
      <c r="D210" s="424" t="s">
        <v>209</v>
      </c>
      <c r="E210" s="426" t="s">
        <v>210</v>
      </c>
      <c r="F210" s="427" t="s">
        <v>396</v>
      </c>
      <c r="G210" s="427" t="s">
        <v>496</v>
      </c>
      <c r="H210" s="427" t="s">
        <v>627</v>
      </c>
      <c r="I210" s="427" t="s">
        <v>628</v>
      </c>
      <c r="J210" s="446" t="s">
        <v>387</v>
      </c>
      <c r="K210" s="446" t="s">
        <v>390</v>
      </c>
      <c r="L210" s="446" t="s">
        <v>629</v>
      </c>
      <c r="M210" s="446" t="s">
        <v>630</v>
      </c>
      <c r="N210" s="446" t="s">
        <v>631</v>
      </c>
      <c r="O210" s="447" t="s">
        <v>632</v>
      </c>
      <c r="P210" s="448" t="s">
        <v>219</v>
      </c>
      <c r="Q210" s="449" t="s">
        <v>220</v>
      </c>
      <c r="R210" s="468" t="s">
        <v>221</v>
      </c>
      <c r="S210" s="469" t="s">
        <v>222</v>
      </c>
      <c r="T210" s="426" t="s">
        <v>223</v>
      </c>
      <c r="U210" s="470" t="s">
        <v>224</v>
      </c>
      <c r="V210" s="467" t="s">
        <v>225</v>
      </c>
      <c r="W210" s="470" t="s">
        <v>226</v>
      </c>
      <c r="X210" s="467"/>
      <c r="Y210" s="467"/>
    </row>
    <row r="211" spans="1:25">
      <c r="A211" s="428" t="s">
        <v>325</v>
      </c>
      <c r="B211" s="421" t="s">
        <v>606</v>
      </c>
      <c r="C211" s="429" t="e">
        <f>VLOOKUP(B211,正厂竞争者数据汇总!D:H,2,FALSE)</f>
        <v>#N/A</v>
      </c>
      <c r="D211" s="421" t="e">
        <f>VLOOKUP(B211,正厂竞争者数据汇总!D:H,3,FALSE)</f>
        <v>#N/A</v>
      </c>
      <c r="E211" s="430" t="e">
        <f>VLOOKUP(B211,正厂竞争者数据汇总!D:H,4,FALSE)</f>
        <v>#N/A</v>
      </c>
      <c r="F211" s="430">
        <v>99768.6666666667</v>
      </c>
      <c r="G211" s="430">
        <v>93894.75</v>
      </c>
      <c r="H211" s="430">
        <v>101087.083333333</v>
      </c>
      <c r="I211" s="453">
        <f t="shared" ref="I211:I216" si="55">(F211/G211)-1</f>
        <v>0.0625585207550656</v>
      </c>
      <c r="J211" s="451">
        <f>F211/F$216</f>
        <v>0.846811047932418</v>
      </c>
      <c r="K211" s="451">
        <v>0.869580350768875</v>
      </c>
      <c r="L211" s="451">
        <v>0.887338522083888</v>
      </c>
      <c r="M211" s="451">
        <v>0.874804679937397</v>
      </c>
      <c r="N211" s="451">
        <v>0.817116974732097</v>
      </c>
      <c r="O211" s="451">
        <f>J211-N211</f>
        <v>0.0296940732003215</v>
      </c>
      <c r="P211" s="459"/>
      <c r="Q211" s="430"/>
      <c r="R211" s="471" t="e">
        <f>VLOOKUP(B211,正厂竞争者数据汇总!D:M,6,FALSE)</f>
        <v>#N/A</v>
      </c>
      <c r="S211" s="429" t="s">
        <v>180</v>
      </c>
      <c r="T211" s="421" t="s">
        <v>180</v>
      </c>
      <c r="U211" s="473" t="e">
        <f>VLOOKUP(B211,正厂竞争者数据汇总!$D$2:$CL$243,25,FALSE)</f>
        <v>#N/A</v>
      </c>
      <c r="V211" s="466"/>
      <c r="W211" s="466"/>
      <c r="X211" s="421"/>
      <c r="Y211" s="421"/>
    </row>
    <row r="212" spans="1:25">
      <c r="A212" s="428" t="s">
        <v>230</v>
      </c>
      <c r="B212" s="421" t="s">
        <v>607</v>
      </c>
      <c r="C212" s="429" t="e">
        <f>VLOOKUP(B212,正厂竞争者数据汇总!D:H,2,FALSE)</f>
        <v>#N/A</v>
      </c>
      <c r="D212" s="421" t="e">
        <f>VLOOKUP(B212,正厂竞争者数据汇总!D:H,3,FALSE)</f>
        <v>#N/A</v>
      </c>
      <c r="E212" s="430" t="e">
        <f>VLOOKUP(B212,正厂竞争者数据汇总!D:H,4,FALSE)</f>
        <v>#N/A</v>
      </c>
      <c r="F212" s="430">
        <v>0</v>
      </c>
      <c r="G212" s="430">
        <v>0</v>
      </c>
      <c r="H212" s="430">
        <v>0</v>
      </c>
      <c r="I212" s="453"/>
      <c r="J212" s="451"/>
      <c r="K212" s="451"/>
      <c r="L212" s="451"/>
      <c r="M212" s="451"/>
      <c r="N212" s="451"/>
      <c r="O212" s="451"/>
      <c r="P212" s="459"/>
      <c r="Q212" s="430"/>
      <c r="R212" s="471" t="e">
        <f>VLOOKUP(B212,正厂竞争者数据汇总!D:M,6,FALSE)</f>
        <v>#N/A</v>
      </c>
      <c r="S212" s="429" t="s">
        <v>180</v>
      </c>
      <c r="T212" s="421" t="s">
        <v>180</v>
      </c>
      <c r="U212" s="473" t="e">
        <f>VLOOKUP(B212,正厂竞争者数据汇总!$D$2:$CL$243,25,FALSE)</f>
        <v>#N/A</v>
      </c>
      <c r="V212" s="466"/>
      <c r="W212" s="466"/>
      <c r="X212" s="421"/>
      <c r="Y212" s="421"/>
    </row>
    <row r="213" ht="17.4" spans="1:25">
      <c r="A213" s="428" t="s">
        <v>464</v>
      </c>
      <c r="B213" s="431" t="s">
        <v>465</v>
      </c>
      <c r="C213" s="429" t="str">
        <f>VLOOKUP(B213,正厂竞争者数据汇总!D:H,2,FALSE)</f>
        <v>原厂目录</v>
      </c>
      <c r="D213" s="421" t="str">
        <f>VLOOKUP(B213,正厂竞争者数据汇总!D:H,3,FALSE)</f>
        <v>-</v>
      </c>
      <c r="E213" s="430">
        <f>VLOOKUP(B213,正厂竞争者数据汇总!D:H,4,FALSE)</f>
        <v>0</v>
      </c>
      <c r="F213" s="430">
        <v>199184.666666667</v>
      </c>
      <c r="G213" s="430">
        <v>140623.583333333</v>
      </c>
      <c r="H213" s="430">
        <v>172551</v>
      </c>
      <c r="I213" s="453"/>
      <c r="J213" s="451"/>
      <c r="K213" s="451"/>
      <c r="L213" s="451"/>
      <c r="M213" s="451"/>
      <c r="N213" s="451"/>
      <c r="O213" s="451"/>
      <c r="P213" s="459"/>
      <c r="Q213" s="430"/>
      <c r="R213" s="471">
        <f>VLOOKUP(B213,正厂竞争者数据汇总!D:M,6,FALSE)</f>
        <v>0</v>
      </c>
      <c r="S213" s="429" t="s">
        <v>180</v>
      </c>
      <c r="T213" s="421" t="s">
        <v>180</v>
      </c>
      <c r="U213" s="473">
        <f>VLOOKUP(B213,正厂竞争者数据汇总!$D$2:$CL$243,25,FALSE)</f>
        <v>181727</v>
      </c>
      <c r="V213" s="466"/>
      <c r="W213" s="466"/>
      <c r="X213" s="421"/>
      <c r="Y213" s="421"/>
    </row>
    <row r="214" spans="1:25">
      <c r="A214" s="428" t="s">
        <v>325</v>
      </c>
      <c r="B214" s="438" t="s">
        <v>608</v>
      </c>
      <c r="C214" s="429" t="e">
        <f>VLOOKUP(B214,正厂竞争者数据汇总!D:H,2,FALSE)</f>
        <v>#N/A</v>
      </c>
      <c r="D214" s="421" t="e">
        <f>VLOOKUP(B214,正厂竞争者数据汇总!D:H,3,FALSE)</f>
        <v>#N/A</v>
      </c>
      <c r="E214" s="430">
        <f>VLOOKUP(B213,正厂竞争者数据汇总!D:H,4,FALSE)</f>
        <v>0</v>
      </c>
      <c r="F214" s="430">
        <v>18048.25</v>
      </c>
      <c r="G214" s="430">
        <v>14082.3333333333</v>
      </c>
      <c r="H214" s="430">
        <v>12834.5833333333</v>
      </c>
      <c r="I214" s="453">
        <f t="shared" si="55"/>
        <v>0.281623547234126</v>
      </c>
      <c r="J214" s="451">
        <f>F214/F$216</f>
        <v>0.153188952067579</v>
      </c>
      <c r="K214" s="451">
        <v>0.130419649231125</v>
      </c>
      <c r="L214" s="451">
        <v>0.112661477916112</v>
      </c>
      <c r="M214" s="451">
        <v>0.125195320062603</v>
      </c>
      <c r="N214" s="451">
        <v>0.182883025267903</v>
      </c>
      <c r="O214" s="451">
        <f>J214-N214</f>
        <v>-0.029694073200324</v>
      </c>
      <c r="P214" s="459"/>
      <c r="Q214" s="430"/>
      <c r="R214" s="471" t="e">
        <f>VLOOKUP(B214,正厂竞争者数据汇总!D:M,6,FALSE)</f>
        <v>#N/A</v>
      </c>
      <c r="S214" s="429" t="s">
        <v>180</v>
      </c>
      <c r="T214" s="421" t="s">
        <v>180</v>
      </c>
      <c r="U214" s="473" t="e">
        <f>VLOOKUP(B214,正厂竞争者数据汇总!$D$2:$CL$243,25,FALSE)</f>
        <v>#N/A</v>
      </c>
      <c r="V214" s="466"/>
      <c r="W214" s="466"/>
      <c r="X214" s="421"/>
      <c r="Y214" s="421"/>
    </row>
    <row r="215" spans="1:25">
      <c r="A215" s="428"/>
      <c r="B215" s="438"/>
      <c r="C215" s="429"/>
      <c r="D215" s="421"/>
      <c r="E215" s="430"/>
      <c r="F215" s="430"/>
      <c r="G215" s="430"/>
      <c r="H215" s="430"/>
      <c r="I215" s="453"/>
      <c r="J215" s="451"/>
      <c r="K215" s="451"/>
      <c r="L215" s="451"/>
      <c r="M215" s="451"/>
      <c r="N215" s="451"/>
      <c r="O215" s="451"/>
      <c r="P215" s="459"/>
      <c r="Q215" s="430"/>
      <c r="R215" s="471"/>
      <c r="S215" s="429"/>
      <c r="T215" s="421"/>
      <c r="U215" s="473"/>
      <c r="V215" s="466"/>
      <c r="W215" s="466"/>
      <c r="X215" s="421"/>
      <c r="Y215" s="421"/>
    </row>
    <row r="216" spans="1:25">
      <c r="A216" s="428"/>
      <c r="B216" s="421"/>
      <c r="C216" s="439"/>
      <c r="D216" s="421"/>
      <c r="E216" s="421"/>
      <c r="F216" s="496">
        <v>117816.916666667</v>
      </c>
      <c r="G216" s="496">
        <v>107977.083333333</v>
      </c>
      <c r="H216" s="496">
        <v>113921.666666666</v>
      </c>
      <c r="I216" s="453">
        <f t="shared" si="55"/>
        <v>0.0911289046672779</v>
      </c>
      <c r="J216" s="430"/>
      <c r="K216" s="430"/>
      <c r="L216" s="430"/>
      <c r="M216" s="430"/>
      <c r="N216" s="430"/>
      <c r="O216" s="451"/>
      <c r="P216" s="459"/>
      <c r="Q216" s="430"/>
      <c r="R216" s="471"/>
      <c r="S216" s="429"/>
      <c r="T216" s="421"/>
      <c r="U216" s="473"/>
      <c r="V216" s="466"/>
      <c r="W216" s="466"/>
      <c r="X216" s="421"/>
      <c r="Y216" s="421"/>
    </row>
    <row r="217" spans="1:25">
      <c r="A217" s="428"/>
      <c r="B217" s="438"/>
      <c r="C217" s="439"/>
      <c r="D217" s="421"/>
      <c r="E217" s="430"/>
      <c r="F217" s="430"/>
      <c r="G217" s="430"/>
      <c r="H217" s="430"/>
      <c r="I217" s="453"/>
      <c r="J217" s="430"/>
      <c r="K217" s="430"/>
      <c r="L217" s="430"/>
      <c r="M217" s="430"/>
      <c r="N217" s="430"/>
      <c r="O217" s="451"/>
      <c r="P217" s="459"/>
      <c r="Q217" s="430"/>
      <c r="R217" s="471"/>
      <c r="S217" s="429"/>
      <c r="T217" s="421"/>
      <c r="U217" s="473"/>
      <c r="V217" s="466"/>
      <c r="W217" s="466"/>
      <c r="X217" s="421"/>
      <c r="Y217" s="421"/>
    </row>
    <row r="218" ht="17.4" spans="1:25">
      <c r="A218" s="418" t="s">
        <v>189</v>
      </c>
      <c r="B218" s="419"/>
      <c r="C218" s="420"/>
      <c r="D218" s="421"/>
      <c r="E218" s="422" t="s">
        <v>202</v>
      </c>
      <c r="F218" s="422"/>
      <c r="G218" s="422"/>
      <c r="H218" s="422"/>
      <c r="I218" s="422"/>
      <c r="J218" s="422"/>
      <c r="K218" s="422"/>
      <c r="L218" s="422"/>
      <c r="M218" s="422"/>
      <c r="N218" s="422"/>
      <c r="O218" s="443"/>
      <c r="P218" s="422"/>
      <c r="Q218" s="422"/>
      <c r="R218" s="471"/>
      <c r="S218" s="465"/>
      <c r="T218" s="424"/>
      <c r="U218" s="473"/>
      <c r="V218" s="467"/>
      <c r="W218" s="467"/>
      <c r="X218" s="467"/>
      <c r="Y218" s="467"/>
    </row>
    <row r="219" ht="46.8" spans="1:25">
      <c r="A219" s="423" t="s">
        <v>206</v>
      </c>
      <c r="B219" s="424" t="s">
        <v>207</v>
      </c>
      <c r="C219" s="425" t="s">
        <v>208</v>
      </c>
      <c r="D219" s="424" t="s">
        <v>209</v>
      </c>
      <c r="E219" s="426" t="s">
        <v>210</v>
      </c>
      <c r="F219" s="427" t="s">
        <v>396</v>
      </c>
      <c r="G219" s="427" t="s">
        <v>496</v>
      </c>
      <c r="H219" s="427" t="s">
        <v>627</v>
      </c>
      <c r="I219" s="427" t="s">
        <v>628</v>
      </c>
      <c r="J219" s="446" t="s">
        <v>387</v>
      </c>
      <c r="K219" s="446" t="s">
        <v>390</v>
      </c>
      <c r="L219" s="446" t="s">
        <v>629</v>
      </c>
      <c r="M219" s="446" t="s">
        <v>630</v>
      </c>
      <c r="N219" s="446" t="s">
        <v>631</v>
      </c>
      <c r="O219" s="447" t="s">
        <v>632</v>
      </c>
      <c r="P219" s="448" t="s">
        <v>219</v>
      </c>
      <c r="Q219" s="449" t="s">
        <v>220</v>
      </c>
      <c r="R219" s="468" t="s">
        <v>221</v>
      </c>
      <c r="S219" s="469" t="s">
        <v>222</v>
      </c>
      <c r="T219" s="426" t="s">
        <v>223</v>
      </c>
      <c r="U219" s="470" t="s">
        <v>224</v>
      </c>
      <c r="V219" s="467" t="s">
        <v>225</v>
      </c>
      <c r="W219" s="470" t="s">
        <v>226</v>
      </c>
      <c r="X219" s="467"/>
      <c r="Y219" s="467"/>
    </row>
    <row r="220" spans="1:25">
      <c r="A220" s="428" t="s">
        <v>325</v>
      </c>
      <c r="B220" s="421" t="s">
        <v>466</v>
      </c>
      <c r="C220" s="429" t="str">
        <f>VLOOKUP(B220,正厂竞争者数据汇总!D:H,2,FALSE)</f>
        <v>Motor目录，官网</v>
      </c>
      <c r="D220" s="421" t="str">
        <f>VLOOKUP(B220,正厂竞争者数据汇总!D:H,3,FALSE)</f>
        <v>-</v>
      </c>
      <c r="E220" s="430">
        <f>VLOOKUP(B220,正厂竞争者数据汇总!D:H,4,FALSE)</f>
        <v>0</v>
      </c>
      <c r="F220" s="430">
        <v>572372.833333333</v>
      </c>
      <c r="G220" s="430">
        <v>533308</v>
      </c>
      <c r="H220" s="430">
        <v>422976.666666667</v>
      </c>
      <c r="I220" s="453">
        <f t="shared" ref="I220:I223" si="56">(F220/G220)-1</f>
        <v>0.0732500418769886</v>
      </c>
      <c r="J220" s="451">
        <f t="shared" ref="J220:J224" si="57">F220/F$226</f>
        <v>0.690276486501995</v>
      </c>
      <c r="K220" s="451">
        <v>0.613177543068666</v>
      </c>
      <c r="L220" s="451">
        <v>0.485020533764155</v>
      </c>
      <c r="M220" s="451">
        <v>0.446276298376854</v>
      </c>
      <c r="N220" s="451">
        <v>0.44440950208629</v>
      </c>
      <c r="O220" s="451"/>
      <c r="P220" s="459"/>
      <c r="Q220" s="430"/>
      <c r="R220" s="471" t="str">
        <f>VLOOKUP(B220,正厂竞争者数据汇总!D:M,6,FALSE)</f>
        <v>官网</v>
      </c>
      <c r="S220" s="429" t="s">
        <v>180</v>
      </c>
      <c r="T220" s="421" t="s">
        <v>180</v>
      </c>
      <c r="U220" s="473">
        <f>VLOOKUP(B220,正厂竞争者数据汇总!$D$2:$CL$243,25,FALSE)</f>
        <v>387977</v>
      </c>
      <c r="V220" s="466"/>
      <c r="W220" s="466"/>
      <c r="X220" s="421"/>
      <c r="Y220" s="421"/>
    </row>
    <row r="221" spans="1:25">
      <c r="A221" s="428" t="s">
        <v>230</v>
      </c>
      <c r="B221" s="431" t="s">
        <v>609</v>
      </c>
      <c r="C221" s="429" t="e">
        <f>VLOOKUP(B221,正厂竞争者数据汇总!D:H,2,FALSE)</f>
        <v>#N/A</v>
      </c>
      <c r="D221" s="421" t="e">
        <f>VLOOKUP(B221,正厂竞争者数据汇总!D:H,3,FALSE)</f>
        <v>#N/A</v>
      </c>
      <c r="E221" s="430" t="e">
        <f>VLOOKUP(B221,正厂竞争者数据汇总!D:H,4,FALSE)</f>
        <v>#N/A</v>
      </c>
      <c r="F221" s="430">
        <v>201650.166666667</v>
      </c>
      <c r="G221" s="430">
        <v>275573</v>
      </c>
      <c r="H221" s="430">
        <v>384923.416666667</v>
      </c>
      <c r="I221" s="453">
        <f t="shared" si="56"/>
        <v>-0.268251364732151</v>
      </c>
      <c r="J221" s="451">
        <f t="shared" si="57"/>
        <v>0.243188286450601</v>
      </c>
      <c r="K221" s="451">
        <v>0.316843503334024</v>
      </c>
      <c r="L221" s="451">
        <v>0.441385484644517</v>
      </c>
      <c r="M221" s="451">
        <v>0.477779594373522</v>
      </c>
      <c r="N221" s="451">
        <v>0.491110724294559</v>
      </c>
      <c r="O221" s="451">
        <f t="shared" ref="O221:O223" si="58">J221-N221</f>
        <v>-0.247922437843958</v>
      </c>
      <c r="P221" s="459"/>
      <c r="Q221" s="430"/>
      <c r="R221" s="471" t="e">
        <f>VLOOKUP(B221,正厂竞争者数据汇总!D:M,6,FALSE)</f>
        <v>#N/A</v>
      </c>
      <c r="S221" s="429" t="s">
        <v>180</v>
      </c>
      <c r="T221" s="421" t="s">
        <v>180</v>
      </c>
      <c r="U221" s="473" t="e">
        <f>VLOOKUP(B221,正厂竞争者数据汇总!$D$2:$CL$243,25,FALSE)</f>
        <v>#N/A</v>
      </c>
      <c r="V221" s="466"/>
      <c r="W221" s="466"/>
      <c r="X221" s="421"/>
      <c r="Y221" s="421"/>
    </row>
    <row r="222" spans="1:25">
      <c r="A222" s="428" t="s">
        <v>243</v>
      </c>
      <c r="B222" s="421" t="s">
        <v>610</v>
      </c>
      <c r="C222" s="429" t="e">
        <f>VLOOKUP(B222,正厂竞争者数据汇总!D:H,2,FALSE)</f>
        <v>#N/A</v>
      </c>
      <c r="D222" s="421" t="e">
        <f>VLOOKUP(B222,正厂竞争者数据汇总!D:H,3,FALSE)</f>
        <v>#N/A</v>
      </c>
      <c r="E222" s="430" t="e">
        <f>VLOOKUP(B222,正厂竞争者数据汇总!D:H,4,FALSE)</f>
        <v>#N/A</v>
      </c>
      <c r="F222" s="430">
        <v>27170.3333333334</v>
      </c>
      <c r="G222" s="430">
        <v>30171.75</v>
      </c>
      <c r="H222" s="430">
        <v>31095.3333333333</v>
      </c>
      <c r="I222" s="453">
        <f t="shared" si="56"/>
        <v>-0.0994777123191926</v>
      </c>
      <c r="J222" s="451">
        <f t="shared" si="57"/>
        <v>0.0327671775077051</v>
      </c>
      <c r="K222" s="451">
        <v>0.0346903469197575</v>
      </c>
      <c r="L222" s="451">
        <v>0.0356565181000708</v>
      </c>
      <c r="M222" s="451">
        <v>0.0412687797677151</v>
      </c>
      <c r="N222" s="451">
        <v>0.0413046559667631</v>
      </c>
      <c r="O222" s="451">
        <f t="shared" si="58"/>
        <v>-0.00853747845905802</v>
      </c>
      <c r="P222" s="459"/>
      <c r="Q222" s="430"/>
      <c r="R222" s="471" t="e">
        <f>VLOOKUP(B222,正厂竞争者数据汇总!D:M,6,FALSE)</f>
        <v>#N/A</v>
      </c>
      <c r="S222" s="429" t="s">
        <v>180</v>
      </c>
      <c r="T222" s="421" t="s">
        <v>180</v>
      </c>
      <c r="U222" s="473" t="e">
        <f>VLOOKUP(B222,正厂竞争者数据汇总!$D$2:$CL$243,25,FALSE)</f>
        <v>#N/A</v>
      </c>
      <c r="V222" s="466"/>
      <c r="W222" s="466"/>
      <c r="X222" s="421"/>
      <c r="Y222" s="421"/>
    </row>
    <row r="223" spans="1:25">
      <c r="A223" s="428" t="s">
        <v>230</v>
      </c>
      <c r="B223" s="421" t="s">
        <v>611</v>
      </c>
      <c r="C223" s="429" t="e">
        <f>VLOOKUP(B223,正厂竞争者数据汇总!D:H,2,FALSE)</f>
        <v>#N/A</v>
      </c>
      <c r="D223" s="421" t="e">
        <f>VLOOKUP(B223,正厂竞争者数据汇总!D:H,3,FALSE)</f>
        <v>#N/A</v>
      </c>
      <c r="E223" s="430" t="e">
        <f>VLOOKUP(B222,正厂竞争者数据汇总!D:H,4,FALSE)</f>
        <v>#N/A</v>
      </c>
      <c r="F223" s="430">
        <v>27910.6666666667</v>
      </c>
      <c r="G223" s="430">
        <v>30638.3333333333</v>
      </c>
      <c r="H223" s="430">
        <v>33063.6666666667</v>
      </c>
      <c r="I223" s="453">
        <f t="shared" si="56"/>
        <v>-0.0890279062176991</v>
      </c>
      <c r="J223" s="451">
        <f t="shared" si="57"/>
        <v>0.0336600128458142</v>
      </c>
      <c r="K223" s="451">
        <v>0.0352268069428025</v>
      </c>
      <c r="L223" s="451">
        <v>0.0379135742433391</v>
      </c>
      <c r="M223" s="451">
        <v>0.0346297352853238</v>
      </c>
      <c r="N223" s="451">
        <v>0.0230829027833775</v>
      </c>
      <c r="O223" s="451">
        <f t="shared" si="58"/>
        <v>0.0105771100624367</v>
      </c>
      <c r="P223" s="459"/>
      <c r="Q223" s="430"/>
      <c r="R223" s="471" t="e">
        <f>VLOOKUP(B223,正厂竞争者数据汇总!D:M,6,FALSE)</f>
        <v>#N/A</v>
      </c>
      <c r="S223" s="429" t="s">
        <v>180</v>
      </c>
      <c r="T223" s="421" t="s">
        <v>180</v>
      </c>
      <c r="U223" s="473" t="e">
        <f>VLOOKUP(B223,正厂竞争者数据汇总!$D$2:$CL$243,25,FALSE)</f>
        <v>#N/A</v>
      </c>
      <c r="V223" s="466"/>
      <c r="W223" s="466"/>
      <c r="X223" s="421"/>
      <c r="Y223" s="421"/>
    </row>
    <row r="224" spans="1:25">
      <c r="A224" s="428" t="s">
        <v>468</v>
      </c>
      <c r="B224" s="431" t="s">
        <v>612</v>
      </c>
      <c r="C224" s="429" t="e">
        <f>VLOOKUP(B224,正厂竞争者数据汇总!D:H,2,FALSE)</f>
        <v>#N/A</v>
      </c>
      <c r="D224" s="421" t="e">
        <f>VLOOKUP(B224,正厂竞争者数据汇总!D:H,3,FALSE)</f>
        <v>#N/A</v>
      </c>
      <c r="E224" s="430" t="e">
        <f>VLOOKUP(B224,正厂竞争者数据汇总!D:H,4,FALSE)</f>
        <v>#N/A</v>
      </c>
      <c r="F224" s="430">
        <v>89.5833333333335</v>
      </c>
      <c r="G224" s="430">
        <v>53.75</v>
      </c>
      <c r="H224" s="430">
        <v>20.8333333333333</v>
      </c>
      <c r="I224" s="453"/>
      <c r="J224" s="451">
        <f t="shared" si="57"/>
        <v>0.000108036693884209</v>
      </c>
      <c r="K224" s="451">
        <v>6.17997347497897e-5</v>
      </c>
      <c r="L224" s="451">
        <v>2.38892479177414e-5</v>
      </c>
      <c r="M224" s="451">
        <v>4.55921965855275e-5</v>
      </c>
      <c r="N224" s="451">
        <v>9.22148690106799e-5</v>
      </c>
      <c r="O224" s="451"/>
      <c r="P224" s="459"/>
      <c r="Q224" s="430"/>
      <c r="R224" s="471" t="e">
        <f>VLOOKUP(B224,正厂竞争者数据汇总!D:M,6,FALSE)</f>
        <v>#N/A</v>
      </c>
      <c r="S224" s="429" t="s">
        <v>180</v>
      </c>
      <c r="T224" s="421" t="s">
        <v>180</v>
      </c>
      <c r="U224" s="473" t="e">
        <f>VLOOKUP(B224,正厂竞争者数据汇总!$D$2:$CL$243,25,FALSE)</f>
        <v>#N/A</v>
      </c>
      <c r="V224" s="466"/>
      <c r="W224" s="466"/>
      <c r="X224" s="421"/>
      <c r="Y224" s="421"/>
    </row>
    <row r="225" spans="1:25">
      <c r="A225" s="432"/>
      <c r="B225" s="433"/>
      <c r="C225" s="434"/>
      <c r="D225" s="421"/>
      <c r="E225" s="436"/>
      <c r="F225" s="436"/>
      <c r="G225" s="436"/>
      <c r="H225" s="436"/>
      <c r="I225" s="453"/>
      <c r="J225" s="457"/>
      <c r="K225" s="457"/>
      <c r="L225" s="457"/>
      <c r="M225" s="457"/>
      <c r="N225" s="457"/>
      <c r="O225" s="451"/>
      <c r="P225" s="455"/>
      <c r="Q225" s="436"/>
      <c r="R225" s="471"/>
      <c r="S225" s="434"/>
      <c r="T225" s="435"/>
      <c r="U225" s="473"/>
      <c r="V225" s="466"/>
      <c r="W225" s="466"/>
      <c r="X225" s="435"/>
      <c r="Y225" s="435"/>
    </row>
    <row r="226" spans="1:25">
      <c r="A226" s="428"/>
      <c r="B226" s="421"/>
      <c r="C226" s="439"/>
      <c r="D226" s="421"/>
      <c r="E226" s="430"/>
      <c r="F226" s="430">
        <v>829193.583333334</v>
      </c>
      <c r="G226" s="430">
        <v>869744.833333333</v>
      </c>
      <c r="H226" s="430">
        <v>872079.916666667</v>
      </c>
      <c r="I226" s="453">
        <f t="shared" ref="I226:I232" si="59">(F226/G226)-1</f>
        <v>-0.0466243068608809</v>
      </c>
      <c r="J226" s="430"/>
      <c r="K226" s="430"/>
      <c r="L226" s="430"/>
      <c r="M226" s="430"/>
      <c r="N226" s="430"/>
      <c r="O226" s="451"/>
      <c r="P226" s="459"/>
      <c r="Q226" s="430"/>
      <c r="R226" s="471"/>
      <c r="S226" s="429"/>
      <c r="T226" s="421"/>
      <c r="U226" s="473"/>
      <c r="V226" s="466"/>
      <c r="W226" s="466"/>
      <c r="X226" s="421"/>
      <c r="Y226" s="421"/>
    </row>
    <row r="227" spans="1:25">
      <c r="A227" s="428"/>
      <c r="B227" s="421"/>
      <c r="C227" s="439"/>
      <c r="D227" s="421"/>
      <c r="E227" s="430"/>
      <c r="F227" s="430"/>
      <c r="G227" s="430"/>
      <c r="H227" s="430"/>
      <c r="I227" s="453"/>
      <c r="J227" s="430"/>
      <c r="K227" s="430"/>
      <c r="L227" s="430"/>
      <c r="M227" s="430"/>
      <c r="N227" s="430"/>
      <c r="O227" s="451"/>
      <c r="P227" s="459"/>
      <c r="Q227" s="430"/>
      <c r="R227" s="471"/>
      <c r="S227" s="429"/>
      <c r="T227" s="421"/>
      <c r="U227" s="473"/>
      <c r="V227" s="466"/>
      <c r="W227" s="466"/>
      <c r="X227" s="421"/>
      <c r="Y227" s="421"/>
    </row>
    <row r="228" ht="17.4" spans="1:25">
      <c r="A228" s="418" t="s">
        <v>185</v>
      </c>
      <c r="B228" s="419"/>
      <c r="C228" s="420"/>
      <c r="D228" s="421"/>
      <c r="E228" s="422" t="s">
        <v>202</v>
      </c>
      <c r="F228" s="422"/>
      <c r="G228" s="422"/>
      <c r="H228" s="422"/>
      <c r="I228" s="422"/>
      <c r="J228" s="422"/>
      <c r="K228" s="422"/>
      <c r="L228" s="422"/>
      <c r="M228" s="422"/>
      <c r="N228" s="422"/>
      <c r="O228" s="443"/>
      <c r="P228" s="444"/>
      <c r="Q228" s="422"/>
      <c r="R228" s="471"/>
      <c r="S228" s="465"/>
      <c r="T228" s="424"/>
      <c r="U228" s="473"/>
      <c r="V228" s="467"/>
      <c r="W228" s="467"/>
      <c r="X228" s="467"/>
      <c r="Y228" s="467"/>
    </row>
    <row r="229" ht="46.8" spans="1:25">
      <c r="A229" s="423" t="s">
        <v>206</v>
      </c>
      <c r="B229" s="424" t="s">
        <v>207</v>
      </c>
      <c r="C229" s="425" t="s">
        <v>208</v>
      </c>
      <c r="D229" s="424" t="s">
        <v>209</v>
      </c>
      <c r="E229" s="426" t="s">
        <v>210</v>
      </c>
      <c r="F229" s="427" t="s">
        <v>396</v>
      </c>
      <c r="G229" s="427" t="s">
        <v>496</v>
      </c>
      <c r="H229" s="427" t="s">
        <v>627</v>
      </c>
      <c r="I229" s="427" t="s">
        <v>628</v>
      </c>
      <c r="J229" s="446" t="s">
        <v>387</v>
      </c>
      <c r="K229" s="446" t="s">
        <v>390</v>
      </c>
      <c r="L229" s="446" t="s">
        <v>629</v>
      </c>
      <c r="M229" s="446" t="s">
        <v>630</v>
      </c>
      <c r="N229" s="446" t="s">
        <v>631</v>
      </c>
      <c r="O229" s="447" t="s">
        <v>632</v>
      </c>
      <c r="P229" s="448" t="s">
        <v>219</v>
      </c>
      <c r="Q229" s="449" t="s">
        <v>220</v>
      </c>
      <c r="R229" s="468" t="s">
        <v>221</v>
      </c>
      <c r="S229" s="469" t="s">
        <v>222</v>
      </c>
      <c r="T229" s="426" t="s">
        <v>223</v>
      </c>
      <c r="U229" s="470" t="s">
        <v>224</v>
      </c>
      <c r="V229" s="467" t="s">
        <v>225</v>
      </c>
      <c r="W229" s="470" t="s">
        <v>226</v>
      </c>
      <c r="X229" s="467"/>
      <c r="Y229" s="467"/>
    </row>
    <row r="230" spans="1:25">
      <c r="A230" s="497" t="s">
        <v>243</v>
      </c>
      <c r="B230" s="438" t="s">
        <v>613</v>
      </c>
      <c r="C230" s="429" t="e">
        <f>VLOOKUP(B230,正厂竞争者数据汇总!D:H,2,FALSE)</f>
        <v>#N/A</v>
      </c>
      <c r="D230" s="421" t="e">
        <f>VLOOKUP(B230,正厂竞争者数据汇总!D:H,3,FALSE)</f>
        <v>#N/A</v>
      </c>
      <c r="E230" s="430" t="str">
        <f>VLOOKUP(B229,正厂竞争者数据汇总!D:H,4,FALSE)</f>
        <v>Alexa Traffic Rank</v>
      </c>
      <c r="F230" s="430">
        <v>93790.0833333333</v>
      </c>
      <c r="G230" s="430">
        <v>101968.166666667</v>
      </c>
      <c r="H230" s="430">
        <v>96457.9166666667</v>
      </c>
      <c r="I230" s="453">
        <f t="shared" si="59"/>
        <v>-0.0802023180437066</v>
      </c>
      <c r="J230" s="451">
        <f t="shared" ref="J230:J232" si="60">F230/F$236</f>
        <v>0.193520238122463</v>
      </c>
      <c r="K230" s="451">
        <v>0.193161922276992</v>
      </c>
      <c r="L230" s="451">
        <v>0.215205691048446</v>
      </c>
      <c r="M230" s="451">
        <v>0.217338358327438</v>
      </c>
      <c r="N230" s="451">
        <v>0.197054011044407</v>
      </c>
      <c r="O230" s="451">
        <f t="shared" ref="O230:O232" si="61">J230-N230</f>
        <v>-0.00353377292194432</v>
      </c>
      <c r="P230" s="459"/>
      <c r="Q230" s="430"/>
      <c r="R230" s="471" t="e">
        <f>VLOOKUP(B230,正厂竞争者数据汇总!D:M,6,FALSE)</f>
        <v>#N/A</v>
      </c>
      <c r="S230" s="429" t="s">
        <v>180</v>
      </c>
      <c r="T230" s="421" t="s">
        <v>180</v>
      </c>
      <c r="U230" s="473" t="e">
        <f>VLOOKUP(B230,正厂竞争者数据汇总!$D$2:$CL$243,25,FALSE)</f>
        <v>#N/A</v>
      </c>
      <c r="V230" s="466"/>
      <c r="W230" s="466"/>
      <c r="X230" s="421"/>
      <c r="Y230" s="421"/>
    </row>
    <row r="231" spans="1:25">
      <c r="A231" s="428" t="s">
        <v>230</v>
      </c>
      <c r="B231" s="431" t="s">
        <v>614</v>
      </c>
      <c r="C231" s="429" t="e">
        <f>VLOOKUP(B231,正厂竞争者数据汇总!D:H,2,FALSE)</f>
        <v>#N/A</v>
      </c>
      <c r="D231" s="421" t="e">
        <f>VLOOKUP(B231,正厂竞争者数据汇总!D:H,3,FALSE)</f>
        <v>#N/A</v>
      </c>
      <c r="E231" s="430" t="e">
        <f>VLOOKUP(B231,正厂竞争者数据汇总!D:H,4,FALSE)</f>
        <v>#N/A</v>
      </c>
      <c r="F231" s="430">
        <v>153405.25</v>
      </c>
      <c r="G231" s="430">
        <v>153747.916666667</v>
      </c>
      <c r="H231" s="430">
        <v>139498.5</v>
      </c>
      <c r="I231" s="453">
        <f t="shared" si="59"/>
        <v>-0.00222875648721743</v>
      </c>
      <c r="J231" s="451">
        <f t="shared" si="60"/>
        <v>0.316526219554867</v>
      </c>
      <c r="K231" s="451">
        <v>0.291250143061799</v>
      </c>
      <c r="L231" s="451">
        <v>0.311232837388204</v>
      </c>
      <c r="M231" s="451">
        <v>0.348985800381996</v>
      </c>
      <c r="N231" s="451">
        <v>0.371623879056085</v>
      </c>
      <c r="O231" s="451">
        <f t="shared" si="61"/>
        <v>-0.0550976595012181</v>
      </c>
      <c r="P231" s="459"/>
      <c r="Q231" s="430"/>
      <c r="R231" s="471" t="e">
        <f>VLOOKUP(B231,正厂竞争者数据汇总!D:M,6,FALSE)</f>
        <v>#N/A</v>
      </c>
      <c r="S231" s="429" t="s">
        <v>180</v>
      </c>
      <c r="T231" s="421" t="s">
        <v>180</v>
      </c>
      <c r="U231" s="473" t="e">
        <f>VLOOKUP(B231,正厂竞争者数据汇总!$D$2:$CL$243,25,FALSE)</f>
        <v>#N/A</v>
      </c>
      <c r="V231" s="466"/>
      <c r="W231" s="466"/>
      <c r="X231" s="421"/>
      <c r="Y231" s="421"/>
    </row>
    <row r="232" spans="1:25">
      <c r="A232" s="428"/>
      <c r="B232" s="430" t="s">
        <v>615</v>
      </c>
      <c r="C232" s="429" t="e">
        <f>VLOOKUP(B232,正厂竞争者数据汇总!D:H,2,FALSE)</f>
        <v>#N/A</v>
      </c>
      <c r="D232" s="421" t="e">
        <f>VLOOKUP(B232,正厂竞争者数据汇总!D:H,3,FALSE)</f>
        <v>#N/A</v>
      </c>
      <c r="E232" s="430" t="e">
        <f>VLOOKUP(B232,正厂竞争者数据汇总!D:H,4,FALSE)</f>
        <v>#N/A</v>
      </c>
      <c r="F232" s="430">
        <v>64506.0833333334</v>
      </c>
      <c r="G232" s="430">
        <v>97248.6666666667</v>
      </c>
      <c r="H232" s="430">
        <v>52892.1666666667</v>
      </c>
      <c r="I232" s="453">
        <f t="shared" si="59"/>
        <v>-0.336689277659333</v>
      </c>
      <c r="J232" s="451">
        <f t="shared" si="60"/>
        <v>0.133097574534061</v>
      </c>
      <c r="K232" s="451">
        <v>0.184221605686164</v>
      </c>
      <c r="L232" s="451">
        <v>0.1180068538893</v>
      </c>
      <c r="M232" s="451">
        <v>0.0612114407444232</v>
      </c>
      <c r="N232" s="451">
        <v>0.0473762888800119</v>
      </c>
      <c r="O232" s="451">
        <f t="shared" si="61"/>
        <v>0.0857212856540489</v>
      </c>
      <c r="P232" s="459"/>
      <c r="Q232" s="430"/>
      <c r="R232" s="471" t="e">
        <f>VLOOKUP(B232,正厂竞争者数据汇总!D:M,6,FALSE)</f>
        <v>#N/A</v>
      </c>
      <c r="S232" s="429" t="s">
        <v>180</v>
      </c>
      <c r="T232" s="421" t="s">
        <v>180</v>
      </c>
      <c r="U232" s="473" t="e">
        <f>VLOOKUP(B232,正厂竞争者数据汇总!$D$2:$CL$243,25,FALSE)</f>
        <v>#N/A</v>
      </c>
      <c r="V232" s="466"/>
      <c r="W232" s="466"/>
      <c r="X232" s="421"/>
      <c r="Y232" s="421"/>
    </row>
    <row r="233" spans="1:25">
      <c r="A233" s="428"/>
      <c r="B233" s="498" t="s">
        <v>616</v>
      </c>
      <c r="C233" s="429" t="e">
        <f>VLOOKUP(B233,正厂竞争者数据汇总!D:H,2,FALSE)</f>
        <v>#N/A</v>
      </c>
      <c r="D233" s="421" t="e">
        <f>VLOOKUP(B233,正厂竞争者数据汇总!D:H,3,FALSE)</f>
        <v>#N/A</v>
      </c>
      <c r="E233" s="430" t="e">
        <f>VLOOKUP(B233,正厂竞争者数据汇总!D:H,4,FALSE)</f>
        <v>#N/A</v>
      </c>
      <c r="F233" s="430">
        <v>49980.9166666666</v>
      </c>
      <c r="G233" s="430">
        <v>52872.0833333333</v>
      </c>
      <c r="H233" s="430">
        <v>48740.4166666667</v>
      </c>
      <c r="I233" s="453"/>
      <c r="J233" s="451"/>
      <c r="K233" s="451"/>
      <c r="L233" s="451"/>
      <c r="M233" s="451"/>
      <c r="N233" s="451"/>
      <c r="O233" s="451"/>
      <c r="P233" s="459"/>
      <c r="Q233" s="430"/>
      <c r="R233" s="471" t="e">
        <f>VLOOKUP(B233,正厂竞争者数据汇总!D:M,6,FALSE)</f>
        <v>#N/A</v>
      </c>
      <c r="S233" s="429" t="s">
        <v>180</v>
      </c>
      <c r="T233" s="421" t="s">
        <v>180</v>
      </c>
      <c r="U233" s="473" t="e">
        <f>VLOOKUP(B233,正厂竞争者数据汇总!$D$2:$CL$243,25,FALSE)</f>
        <v>#N/A</v>
      </c>
      <c r="V233" s="466"/>
      <c r="W233" s="466"/>
      <c r="X233" s="421"/>
      <c r="Y233" s="421"/>
    </row>
    <row r="234" spans="1:25">
      <c r="A234" s="428" t="s">
        <v>446</v>
      </c>
      <c r="B234" s="499" t="s">
        <v>617</v>
      </c>
      <c r="C234" s="429" t="e">
        <f>VLOOKUP(B234,正厂竞争者数据汇总!D:H,2,FALSE)</f>
        <v>#N/A</v>
      </c>
      <c r="D234" s="421" t="e">
        <f>VLOOKUP(B234,正厂竞争者数据汇总!D:H,3,FALSE)</f>
        <v>#N/A</v>
      </c>
      <c r="E234" s="430" t="e">
        <f>VLOOKUP(B234,正厂竞争者数据汇总!D:H,4,FALSE)</f>
        <v>#N/A</v>
      </c>
      <c r="F234" s="430">
        <v>122970.25</v>
      </c>
      <c r="G234" s="430">
        <v>122052.75</v>
      </c>
      <c r="H234" s="430">
        <v>110623.666666667</v>
      </c>
      <c r="I234" s="453">
        <f>(F234/G234)-1</f>
        <v>0.00751724152057198</v>
      </c>
      <c r="J234" s="451">
        <f>F234/F$236</f>
        <v>0.253728658896725</v>
      </c>
      <c r="K234" s="451">
        <v>0.231208862333111</v>
      </c>
      <c r="L234" s="451">
        <v>0.246810665770267</v>
      </c>
      <c r="M234" s="451">
        <v>0.242188543310652</v>
      </c>
      <c r="N234" s="451">
        <v>0.245837773730424</v>
      </c>
      <c r="O234" s="451">
        <f>J234-N234</f>
        <v>0.00789088516630129</v>
      </c>
      <c r="P234" s="459"/>
      <c r="Q234" s="430"/>
      <c r="R234" s="471" t="e">
        <f>VLOOKUP(B234,正厂竞争者数据汇总!D:M,6,FALSE)</f>
        <v>#N/A</v>
      </c>
      <c r="S234" s="429" t="s">
        <v>180</v>
      </c>
      <c r="T234" s="421" t="s">
        <v>180</v>
      </c>
      <c r="U234" s="473" t="e">
        <f>VLOOKUP(B234,正厂竞争者数据汇总!$D$2:$CL$243,25,FALSE)</f>
        <v>#N/A</v>
      </c>
      <c r="V234" s="466"/>
      <c r="W234" s="466"/>
      <c r="X234" s="421"/>
      <c r="Y234" s="421"/>
    </row>
    <row r="235" spans="1:25">
      <c r="A235" s="432"/>
      <c r="B235" s="433"/>
      <c r="C235" s="434"/>
      <c r="D235" s="421"/>
      <c r="E235" s="436"/>
      <c r="F235" s="436"/>
      <c r="G235" s="436"/>
      <c r="H235" s="436"/>
      <c r="I235" s="453"/>
      <c r="J235" s="457"/>
      <c r="K235" s="457"/>
      <c r="L235" s="457"/>
      <c r="M235" s="457"/>
      <c r="N235" s="457"/>
      <c r="O235" s="451"/>
      <c r="P235" s="455"/>
      <c r="Q235" s="436"/>
      <c r="R235" s="471"/>
      <c r="S235" s="500"/>
      <c r="T235" s="501"/>
      <c r="U235" s="473"/>
      <c r="V235" s="466"/>
      <c r="W235" s="466"/>
      <c r="X235" s="435"/>
      <c r="Y235" s="435"/>
    </row>
    <row r="236" spans="1:25">
      <c r="A236" s="428"/>
      <c r="B236" s="421"/>
      <c r="C236" s="439"/>
      <c r="D236" s="421"/>
      <c r="E236" s="430"/>
      <c r="F236" s="430">
        <v>484652.583333333</v>
      </c>
      <c r="G236" s="430">
        <v>527889.583333334</v>
      </c>
      <c r="H236" s="430">
        <v>448212.666666667</v>
      </c>
      <c r="I236" s="453">
        <f>(F236/G236)-1</f>
        <v>-0.0819053858327398</v>
      </c>
      <c r="J236" s="430"/>
      <c r="K236" s="430"/>
      <c r="L236" s="430"/>
      <c r="M236" s="430"/>
      <c r="N236" s="430"/>
      <c r="O236" s="451"/>
      <c r="P236" s="459"/>
      <c r="Q236" s="430"/>
      <c r="R236" s="471"/>
      <c r="S236" s="429"/>
      <c r="T236" s="421"/>
      <c r="U236" s="473"/>
      <c r="V236" s="466"/>
      <c r="W236" s="466"/>
      <c r="X236" s="421"/>
      <c r="Y236" s="421"/>
    </row>
    <row r="237" spans="1:25">
      <c r="A237" s="423"/>
      <c r="B237" s="421"/>
      <c r="C237" s="425"/>
      <c r="D237" s="421"/>
      <c r="E237" s="430"/>
      <c r="F237" s="430"/>
      <c r="G237" s="430"/>
      <c r="H237" s="430"/>
      <c r="I237" s="453"/>
      <c r="J237" s="430"/>
      <c r="K237" s="430"/>
      <c r="L237" s="430"/>
      <c r="M237" s="430"/>
      <c r="N237" s="430"/>
      <c r="O237" s="451"/>
      <c r="P237" s="459"/>
      <c r="Q237" s="430"/>
      <c r="R237" s="471"/>
      <c r="S237" s="429"/>
      <c r="T237" s="421"/>
      <c r="U237" s="473"/>
      <c r="V237" s="466"/>
      <c r="W237" s="466"/>
      <c r="X237" s="421"/>
      <c r="Y237" s="421"/>
    </row>
    <row r="238" ht="17.4" spans="1:25">
      <c r="A238" s="418" t="s">
        <v>195</v>
      </c>
      <c r="B238" s="419"/>
      <c r="C238" s="420"/>
      <c r="D238" s="421"/>
      <c r="E238" s="422" t="s">
        <v>202</v>
      </c>
      <c r="F238" s="422"/>
      <c r="G238" s="422"/>
      <c r="H238" s="422"/>
      <c r="I238" s="422"/>
      <c r="J238" s="422"/>
      <c r="K238" s="422"/>
      <c r="L238" s="422"/>
      <c r="M238" s="422"/>
      <c r="N238" s="422"/>
      <c r="O238" s="443"/>
      <c r="P238" s="444"/>
      <c r="Q238" s="422"/>
      <c r="R238" s="471"/>
      <c r="S238" s="465"/>
      <c r="T238" s="424"/>
      <c r="U238" s="473"/>
      <c r="V238" s="467"/>
      <c r="W238" s="467"/>
      <c r="X238" s="467"/>
      <c r="Y238" s="467"/>
    </row>
    <row r="239" ht="46.8" spans="1:25">
      <c r="A239" s="423" t="s">
        <v>206</v>
      </c>
      <c r="B239" s="424" t="s">
        <v>207</v>
      </c>
      <c r="C239" s="425" t="s">
        <v>208</v>
      </c>
      <c r="D239" s="424" t="s">
        <v>209</v>
      </c>
      <c r="E239" s="426" t="s">
        <v>210</v>
      </c>
      <c r="F239" s="427" t="s">
        <v>396</v>
      </c>
      <c r="G239" s="427" t="s">
        <v>496</v>
      </c>
      <c r="H239" s="427" t="s">
        <v>627</v>
      </c>
      <c r="I239" s="427" t="s">
        <v>628</v>
      </c>
      <c r="J239" s="446" t="s">
        <v>387</v>
      </c>
      <c r="K239" s="446" t="s">
        <v>390</v>
      </c>
      <c r="L239" s="446" t="s">
        <v>629</v>
      </c>
      <c r="M239" s="446" t="s">
        <v>630</v>
      </c>
      <c r="N239" s="446" t="s">
        <v>631</v>
      </c>
      <c r="O239" s="447" t="s">
        <v>632</v>
      </c>
      <c r="P239" s="448" t="s">
        <v>219</v>
      </c>
      <c r="Q239" s="449" t="s">
        <v>220</v>
      </c>
      <c r="R239" s="468" t="s">
        <v>221</v>
      </c>
      <c r="S239" s="469" t="s">
        <v>222</v>
      </c>
      <c r="T239" s="426" t="s">
        <v>223</v>
      </c>
      <c r="U239" s="470" t="s">
        <v>224</v>
      </c>
      <c r="V239" s="467" t="s">
        <v>225</v>
      </c>
      <c r="W239" s="470" t="s">
        <v>226</v>
      </c>
      <c r="X239" s="467"/>
      <c r="Y239" s="467"/>
    </row>
    <row r="240" spans="1:25">
      <c r="A240" s="428" t="s">
        <v>230</v>
      </c>
      <c r="B240" s="421" t="s">
        <v>618</v>
      </c>
      <c r="C240" s="429" t="e">
        <f>VLOOKUP(B240,正厂竞争者数据汇总!D:H,2,FALSE)</f>
        <v>#N/A</v>
      </c>
      <c r="D240" s="421" t="e">
        <f>VLOOKUP(B240,正厂竞争者数据汇总!D:H,3,FALSE)</f>
        <v>#N/A</v>
      </c>
      <c r="E240" s="430" t="str">
        <f>VLOOKUP(B239,正厂竞争者数据汇总!D:H,4,FALSE)</f>
        <v>Alexa Traffic Rank</v>
      </c>
      <c r="F240" s="430">
        <v>88546.8333333332</v>
      </c>
      <c r="G240" s="430">
        <v>99001.3333333332</v>
      </c>
      <c r="H240" s="430">
        <v>98375.5</v>
      </c>
      <c r="I240" s="453">
        <f>(F240/G240)-1</f>
        <v>-0.105599587884338</v>
      </c>
      <c r="J240" s="451">
        <f>F240/F$243</f>
        <v>1</v>
      </c>
      <c r="K240" s="451">
        <v>0.998571087553668</v>
      </c>
      <c r="L240" s="451">
        <v>0.997128150376804</v>
      </c>
      <c r="M240" s="451">
        <v>0.994868141421947</v>
      </c>
      <c r="N240" s="451">
        <v>1</v>
      </c>
      <c r="O240" s="451">
        <f>J240-N240</f>
        <v>0</v>
      </c>
      <c r="P240" s="459"/>
      <c r="Q240" s="430"/>
      <c r="R240" s="471" t="e">
        <f>VLOOKUP(B240,正厂竞争者数据汇总!D:M,6,FALSE)</f>
        <v>#N/A</v>
      </c>
      <c r="S240" s="429" t="s">
        <v>180</v>
      </c>
      <c r="T240" s="421" t="s">
        <v>180</v>
      </c>
      <c r="U240" s="473" t="e">
        <f>VLOOKUP(B240,正厂竞争者数据汇总!$D$2:$CL$243,25,FALSE)</f>
        <v>#N/A</v>
      </c>
      <c r="V240" s="466"/>
      <c r="W240" s="466"/>
      <c r="X240" s="421"/>
      <c r="Y240" s="421"/>
    </row>
    <row r="241" spans="1:25">
      <c r="A241" s="428" t="s">
        <v>446</v>
      </c>
      <c r="B241" s="421" t="s">
        <v>619</v>
      </c>
      <c r="C241" s="429" t="e">
        <f>VLOOKUP(B241,正厂竞争者数据汇总!D:H,2,FALSE)</f>
        <v>#N/A</v>
      </c>
      <c r="D241" s="421" t="e">
        <f>VLOOKUP(B241,正厂竞争者数据汇总!D:H,3,FALSE)</f>
        <v>#N/A</v>
      </c>
      <c r="E241" s="430" t="e">
        <f>VLOOKUP(B241,正厂竞争者数据汇总!D:H,4,FALSE)</f>
        <v>#N/A</v>
      </c>
      <c r="F241" s="430">
        <v>0</v>
      </c>
      <c r="G241" s="430">
        <v>141.666666666667</v>
      </c>
      <c r="H241" s="430">
        <v>283.333333333333</v>
      </c>
      <c r="I241" s="453"/>
      <c r="J241" s="451"/>
      <c r="K241" s="451"/>
      <c r="L241" s="451"/>
      <c r="M241" s="451"/>
      <c r="N241" s="451"/>
      <c r="O241" s="451"/>
      <c r="P241" s="459"/>
      <c r="Q241" s="430"/>
      <c r="R241" s="471" t="e">
        <f>VLOOKUP(B241,正厂竞争者数据汇总!D:M,6,FALSE)</f>
        <v>#N/A</v>
      </c>
      <c r="S241" s="429" t="s">
        <v>180</v>
      </c>
      <c r="T241" s="421" t="s">
        <v>180</v>
      </c>
      <c r="U241" s="473" t="e">
        <f>VLOOKUP(B241,正厂竞争者数据汇总!$D$2:$CL$243,25,FALSE)</f>
        <v>#N/A</v>
      </c>
      <c r="V241" s="466"/>
      <c r="W241" s="466"/>
      <c r="X241" s="421"/>
      <c r="Y241" s="421"/>
    </row>
    <row r="242" spans="1:25">
      <c r="A242" s="428" t="s">
        <v>446</v>
      </c>
      <c r="B242" s="421" t="s">
        <v>620</v>
      </c>
      <c r="C242" s="429" t="e">
        <f>VLOOKUP(B242,正厂竞争者数据汇总!D:H,2,FALSE)</f>
        <v>#N/A</v>
      </c>
      <c r="D242" s="421" t="e">
        <f>VLOOKUP(B242,正厂竞争者数据汇总!D:H,3,FALSE)</f>
        <v>#N/A</v>
      </c>
      <c r="E242" s="430" t="e">
        <f>VLOOKUP(B242,正厂竞争者数据汇总!D:H,4,FALSE)</f>
        <v>#N/A</v>
      </c>
      <c r="F242" s="430">
        <v>0</v>
      </c>
      <c r="G242" s="430">
        <v>0</v>
      </c>
      <c r="H242" s="430">
        <v>0</v>
      </c>
      <c r="I242" s="453"/>
      <c r="J242" s="451"/>
      <c r="K242" s="451"/>
      <c r="L242" s="451"/>
      <c r="M242" s="451"/>
      <c r="N242" s="451"/>
      <c r="O242" s="451"/>
      <c r="P242" s="459"/>
      <c r="Q242" s="430"/>
      <c r="R242" s="471" t="e">
        <f>VLOOKUP(B242,正厂竞争者数据汇总!D:M,6,FALSE)</f>
        <v>#N/A</v>
      </c>
      <c r="S242" s="429" t="s">
        <v>180</v>
      </c>
      <c r="T242" s="421" t="s">
        <v>180</v>
      </c>
      <c r="U242" s="473" t="e">
        <f>VLOOKUP(B242,正厂竞争者数据汇总!$D$2:$CL$243,25,FALSE)</f>
        <v>#N/A</v>
      </c>
      <c r="V242" s="466"/>
      <c r="W242" s="466"/>
      <c r="X242" s="421"/>
      <c r="Y242" s="421"/>
    </row>
    <row r="243" spans="1:25">
      <c r="A243" s="428"/>
      <c r="B243" s="421"/>
      <c r="C243" s="439"/>
      <c r="D243" s="421"/>
      <c r="E243" s="430"/>
      <c r="F243" s="430">
        <v>88546.8333333332</v>
      </c>
      <c r="G243" s="430">
        <v>99142.9999999999</v>
      </c>
      <c r="H243" s="430">
        <v>98658.8333333333</v>
      </c>
      <c r="I243" s="453">
        <f t="shared" ref="I243:I250" si="62">(F243/G243)-1</f>
        <v>-0.106877607765215</v>
      </c>
      <c r="J243" s="430"/>
      <c r="K243" s="430"/>
      <c r="L243" s="430"/>
      <c r="M243" s="430"/>
      <c r="N243" s="430"/>
      <c r="O243" s="451"/>
      <c r="P243" s="459"/>
      <c r="Q243" s="430"/>
      <c r="R243" s="471"/>
      <c r="S243" s="429"/>
      <c r="T243" s="421"/>
      <c r="U243" s="473"/>
      <c r="V243" s="466"/>
      <c r="W243" s="466"/>
      <c r="X243" s="421"/>
      <c r="Y243" s="421"/>
    </row>
    <row r="244" spans="1:25">
      <c r="A244" s="423"/>
      <c r="B244" s="421"/>
      <c r="C244" s="425"/>
      <c r="D244" s="421"/>
      <c r="E244" s="430"/>
      <c r="F244" s="430"/>
      <c r="G244" s="430"/>
      <c r="H244" s="430"/>
      <c r="I244" s="453"/>
      <c r="J244" s="430"/>
      <c r="K244" s="430"/>
      <c r="L244" s="430"/>
      <c r="M244" s="430"/>
      <c r="N244" s="430"/>
      <c r="O244" s="451"/>
      <c r="P244" s="459"/>
      <c r="Q244" s="430"/>
      <c r="R244" s="471"/>
      <c r="S244" s="429"/>
      <c r="T244" s="421"/>
      <c r="U244" s="473"/>
      <c r="V244" s="466"/>
      <c r="W244" s="466"/>
      <c r="X244" s="421"/>
      <c r="Y244" s="421"/>
    </row>
    <row r="245" ht="17.4" spans="1:25">
      <c r="A245" s="418" t="s">
        <v>187</v>
      </c>
      <c r="B245" s="419"/>
      <c r="C245" s="420"/>
      <c r="D245" s="421"/>
      <c r="E245" s="422" t="s">
        <v>202</v>
      </c>
      <c r="F245" s="422"/>
      <c r="G245" s="422"/>
      <c r="H245" s="422"/>
      <c r="I245" s="422"/>
      <c r="J245" s="422"/>
      <c r="K245" s="422"/>
      <c r="L245" s="422"/>
      <c r="M245" s="422"/>
      <c r="N245" s="422"/>
      <c r="O245" s="443"/>
      <c r="P245" s="422"/>
      <c r="Q245" s="422"/>
      <c r="R245" s="471"/>
      <c r="S245" s="465"/>
      <c r="T245" s="424"/>
      <c r="U245" s="473"/>
      <c r="V245" s="467"/>
      <c r="W245" s="467"/>
      <c r="X245" s="467"/>
      <c r="Y245" s="467"/>
    </row>
    <row r="246" ht="46.8" spans="1:25">
      <c r="A246" s="423" t="s">
        <v>206</v>
      </c>
      <c r="B246" s="424" t="s">
        <v>207</v>
      </c>
      <c r="C246" s="425" t="s">
        <v>208</v>
      </c>
      <c r="D246" s="424" t="s">
        <v>209</v>
      </c>
      <c r="E246" s="426" t="s">
        <v>210</v>
      </c>
      <c r="F246" s="427" t="s">
        <v>396</v>
      </c>
      <c r="G246" s="427" t="s">
        <v>496</v>
      </c>
      <c r="H246" s="427" t="s">
        <v>627</v>
      </c>
      <c r="I246" s="427" t="s">
        <v>628</v>
      </c>
      <c r="J246" s="446" t="s">
        <v>387</v>
      </c>
      <c r="K246" s="446" t="s">
        <v>390</v>
      </c>
      <c r="L246" s="446" t="s">
        <v>629</v>
      </c>
      <c r="M246" s="446" t="s">
        <v>630</v>
      </c>
      <c r="N246" s="446" t="s">
        <v>631</v>
      </c>
      <c r="O246" s="447" t="s">
        <v>632</v>
      </c>
      <c r="P246" s="448" t="s">
        <v>219</v>
      </c>
      <c r="Q246" s="449" t="s">
        <v>220</v>
      </c>
      <c r="R246" s="468" t="s">
        <v>221</v>
      </c>
      <c r="S246" s="469" t="s">
        <v>222</v>
      </c>
      <c r="T246" s="426" t="s">
        <v>223</v>
      </c>
      <c r="U246" s="470" t="s">
        <v>224</v>
      </c>
      <c r="V246" s="467" t="s">
        <v>225</v>
      </c>
      <c r="W246" s="470" t="s">
        <v>226</v>
      </c>
      <c r="X246" s="467"/>
      <c r="Y246" s="467"/>
    </row>
    <row r="247" spans="1:25">
      <c r="A247" s="428" t="s">
        <v>230</v>
      </c>
      <c r="B247" s="438" t="s">
        <v>621</v>
      </c>
      <c r="C247" s="429" t="e">
        <f>VLOOKUP(B247,正厂竞争者数据汇总!D:H,2,FALSE)</f>
        <v>#N/A</v>
      </c>
      <c r="D247" s="421" t="e">
        <f>VLOOKUP(B247,正厂竞争者数据汇总!D:H,3,FALSE)</f>
        <v>#N/A</v>
      </c>
      <c r="E247" s="430" t="e">
        <f>VLOOKUP(B247,正厂竞争者数据汇总!D:H,4,FALSE)</f>
        <v>#N/A</v>
      </c>
      <c r="F247" s="430">
        <v>65360.75</v>
      </c>
      <c r="G247" s="430">
        <v>63726.8333333334</v>
      </c>
      <c r="H247" s="430">
        <v>65765.5833333333</v>
      </c>
      <c r="I247" s="453">
        <f t="shared" si="62"/>
        <v>0.0256393826776256</v>
      </c>
      <c r="J247" s="451">
        <f t="shared" ref="J247:J250" si="63">F247/F$252</f>
        <v>0.674792614120307</v>
      </c>
      <c r="K247" s="451">
        <v>0.649598249439571</v>
      </c>
      <c r="L247" s="451">
        <v>0.628825243940724</v>
      </c>
      <c r="M247" s="451">
        <v>0.552239327681095</v>
      </c>
      <c r="N247" s="451">
        <v>0.492886277912572</v>
      </c>
      <c r="O247" s="451">
        <f t="shared" ref="O247:O250" si="64">J247-N247</f>
        <v>0.181906336207735</v>
      </c>
      <c r="P247" s="459"/>
      <c r="Q247" s="430"/>
      <c r="R247" s="471" t="e">
        <f>VLOOKUP(B247,正厂竞争者数据汇总!D:M,6,FALSE)</f>
        <v>#N/A</v>
      </c>
      <c r="S247" s="429" t="s">
        <v>180</v>
      </c>
      <c r="T247" s="421" t="s">
        <v>180</v>
      </c>
      <c r="U247" s="473" t="e">
        <f>VLOOKUP(B247,正厂竞争者数据汇总!$D$2:$CL$243,25,FALSE)</f>
        <v>#N/A</v>
      </c>
      <c r="V247" s="466"/>
      <c r="W247" s="466"/>
      <c r="X247" s="421"/>
      <c r="Y247" s="421"/>
    </row>
    <row r="248" spans="1:25">
      <c r="A248" s="428" t="s">
        <v>230</v>
      </c>
      <c r="B248" s="438" t="s">
        <v>622</v>
      </c>
      <c r="C248" s="429" t="e">
        <f>VLOOKUP(B248,正厂竞争者数据汇总!D:H,2,FALSE)</f>
        <v>#N/A</v>
      </c>
      <c r="D248" s="421" t="e">
        <f>VLOOKUP(B248,正厂竞争者数据汇总!D:H,3,FALSE)</f>
        <v>#N/A</v>
      </c>
      <c r="E248" s="430" t="e">
        <f>VLOOKUP(B248,正厂竞争者数据汇总!D:H,4,FALSE)</f>
        <v>#N/A</v>
      </c>
      <c r="F248" s="430">
        <v>2194.5</v>
      </c>
      <c r="G248" s="430">
        <v>2898.75</v>
      </c>
      <c r="H248" s="430">
        <v>1273.5</v>
      </c>
      <c r="I248" s="453">
        <f t="shared" si="62"/>
        <v>-0.242949547218629</v>
      </c>
      <c r="J248" s="451">
        <f t="shared" si="63"/>
        <v>0.0226562943614786</v>
      </c>
      <c r="K248" s="451">
        <v>0.0295483523512537</v>
      </c>
      <c r="L248" s="451">
        <v>0.0121767177841274</v>
      </c>
      <c r="M248" s="451">
        <v>0.0178982597054886</v>
      </c>
      <c r="N248" s="451">
        <v>0.00525281206576969</v>
      </c>
      <c r="O248" s="451">
        <f t="shared" si="64"/>
        <v>0.0174034822957089</v>
      </c>
      <c r="P248" s="459"/>
      <c r="Q248" s="430"/>
      <c r="R248" s="471" t="e">
        <f>VLOOKUP(B248,正厂竞争者数据汇总!D:M,6,FALSE)</f>
        <v>#N/A</v>
      </c>
      <c r="S248" s="429" t="s">
        <v>180</v>
      </c>
      <c r="T248" s="421" t="s">
        <v>180</v>
      </c>
      <c r="U248" s="473" t="e">
        <f>VLOOKUP(B248,正厂竞争者数据汇总!$D$2:$CL$243,25,FALSE)</f>
        <v>#N/A</v>
      </c>
      <c r="V248" s="466"/>
      <c r="W248" s="466"/>
      <c r="X248" s="421"/>
      <c r="Y248" s="421"/>
    </row>
    <row r="249" spans="1:25">
      <c r="A249" s="428" t="s">
        <v>230</v>
      </c>
      <c r="B249" s="482" t="s">
        <v>623</v>
      </c>
      <c r="C249" s="429" t="e">
        <f>VLOOKUP(B249,正厂竞争者数据汇总!D:H,2,FALSE)</f>
        <v>#N/A</v>
      </c>
      <c r="D249" s="421" t="e">
        <f>VLOOKUP(B249,正厂竞争者数据汇总!D:H,3,FALSE)</f>
        <v>#N/A</v>
      </c>
      <c r="E249" s="430" t="e">
        <f>VLOOKUP(B249,正厂竞争者数据汇总!D:H,4,FALSE)</f>
        <v>#N/A</v>
      </c>
      <c r="F249" s="430">
        <v>26757.6666666667</v>
      </c>
      <c r="G249" s="430">
        <v>28740.4166666667</v>
      </c>
      <c r="H249" s="430">
        <v>34115.75</v>
      </c>
      <c r="I249" s="453">
        <f t="shared" si="62"/>
        <v>-0.0689882134624584</v>
      </c>
      <c r="J249" s="451">
        <f t="shared" si="63"/>
        <v>0.276249520358316</v>
      </c>
      <c r="K249" s="451">
        <v>0.292964884308241</v>
      </c>
      <c r="L249" s="451">
        <v>0.326201695911931</v>
      </c>
      <c r="M249" s="451">
        <v>0.396110367395508</v>
      </c>
      <c r="N249" s="451">
        <v>0.423857082110337</v>
      </c>
      <c r="O249" s="451">
        <f t="shared" si="64"/>
        <v>-0.147607561752021</v>
      </c>
      <c r="P249" s="459"/>
      <c r="Q249" s="430"/>
      <c r="R249" s="471" t="e">
        <f>VLOOKUP(B249,正厂竞争者数据汇总!D:M,6,FALSE)</f>
        <v>#N/A</v>
      </c>
      <c r="S249" s="429" t="s">
        <v>180</v>
      </c>
      <c r="T249" s="421" t="s">
        <v>180</v>
      </c>
      <c r="U249" s="473" t="e">
        <f>VLOOKUP(B249,正厂竞争者数据汇总!$D$2:$CL$243,25,FALSE)</f>
        <v>#N/A</v>
      </c>
      <c r="V249" s="466"/>
      <c r="W249" s="466"/>
      <c r="X249" s="421"/>
      <c r="Y249" s="421"/>
    </row>
    <row r="250" spans="1:25">
      <c r="A250" s="428" t="s">
        <v>230</v>
      </c>
      <c r="B250" s="438" t="s">
        <v>624</v>
      </c>
      <c r="C250" s="429" t="e">
        <f>VLOOKUP(B250,正厂竞争者数据汇总!D:H,2,FALSE)</f>
        <v>#N/A</v>
      </c>
      <c r="D250" s="421" t="e">
        <f>VLOOKUP(B250,正厂竞争者数据汇总!D:H,3,FALSE)</f>
        <v>#N/A</v>
      </c>
      <c r="E250" s="430" t="e">
        <f>VLOOKUP(B249,正厂竞争者数据汇总!D:H,4,FALSE)</f>
        <v>#N/A</v>
      </c>
      <c r="F250" s="430">
        <v>2547.58333333333</v>
      </c>
      <c r="G250" s="430">
        <v>2735.91666666667</v>
      </c>
      <c r="H250" s="430">
        <v>3430</v>
      </c>
      <c r="I250" s="453">
        <f t="shared" si="62"/>
        <v>-0.0688373793061461</v>
      </c>
      <c r="J250" s="451">
        <f t="shared" si="63"/>
        <v>0.0263015711598983</v>
      </c>
      <c r="K250" s="451">
        <v>0.0278885139009347</v>
      </c>
      <c r="L250" s="451">
        <v>0.0327963423632171</v>
      </c>
      <c r="M250" s="451">
        <v>0.0337520452179087</v>
      </c>
      <c r="N250" s="451">
        <v>0.0780038279113215</v>
      </c>
      <c r="O250" s="451">
        <f t="shared" si="64"/>
        <v>-0.0517022567514232</v>
      </c>
      <c r="P250" s="459"/>
      <c r="Q250" s="430"/>
      <c r="R250" s="471"/>
      <c r="S250" s="429" t="s">
        <v>180</v>
      </c>
      <c r="T250" s="421" t="s">
        <v>180</v>
      </c>
      <c r="U250" s="473" t="e">
        <f>VLOOKUP(B250,正厂竞争者数据汇总!$D$2:$CL$243,25,FALSE)</f>
        <v>#N/A</v>
      </c>
      <c r="V250" s="466"/>
      <c r="W250" s="466"/>
      <c r="X250" s="421"/>
      <c r="Y250" s="421"/>
    </row>
    <row r="251" spans="1:25">
      <c r="A251" s="428"/>
      <c r="B251" s="421"/>
      <c r="C251" s="429"/>
      <c r="D251" s="421"/>
      <c r="E251" s="430"/>
      <c r="F251" s="430"/>
      <c r="G251" s="430"/>
      <c r="H251" s="430"/>
      <c r="I251" s="453"/>
      <c r="J251" s="451"/>
      <c r="K251" s="451"/>
      <c r="L251" s="451"/>
      <c r="M251" s="451"/>
      <c r="N251" s="451"/>
      <c r="O251" s="451"/>
      <c r="P251" s="459"/>
      <c r="Q251" s="430"/>
      <c r="R251" s="471"/>
      <c r="S251" s="429"/>
      <c r="T251" s="421"/>
      <c r="U251" s="473"/>
      <c r="V251" s="466"/>
      <c r="W251" s="466"/>
      <c r="X251" s="421"/>
      <c r="Y251" s="421"/>
    </row>
    <row r="252" spans="1:25">
      <c r="A252" s="428"/>
      <c r="B252" s="421"/>
      <c r="C252" s="439"/>
      <c r="D252" s="421"/>
      <c r="E252" s="430"/>
      <c r="F252" s="430">
        <v>96860.5</v>
      </c>
      <c r="G252" s="430">
        <v>98101.9166666668</v>
      </c>
      <c r="H252" s="430">
        <v>104584.833333333</v>
      </c>
      <c r="I252" s="453">
        <f>(F252/G252)-1</f>
        <v>-0.0126543569060421</v>
      </c>
      <c r="J252" s="430"/>
      <c r="K252" s="430"/>
      <c r="L252" s="430"/>
      <c r="M252" s="430"/>
      <c r="N252" s="430"/>
      <c r="O252" s="451"/>
      <c r="P252" s="459"/>
      <c r="Q252" s="430"/>
      <c r="R252" s="471"/>
      <c r="S252" s="429"/>
      <c r="T252" s="421"/>
      <c r="U252" s="473"/>
      <c r="V252" s="466"/>
      <c r="W252" s="466"/>
      <c r="X252" s="421"/>
      <c r="Y252" s="421"/>
    </row>
    <row r="253" spans="1:25">
      <c r="A253" s="428"/>
      <c r="B253" s="421"/>
      <c r="C253" s="439"/>
      <c r="D253" s="421"/>
      <c r="E253" s="421"/>
      <c r="F253" s="430"/>
      <c r="G253" s="430"/>
      <c r="H253" s="430"/>
      <c r="I253" s="453"/>
      <c r="J253" s="430"/>
      <c r="K253" s="430"/>
      <c r="L253" s="430"/>
      <c r="M253" s="430"/>
      <c r="N253" s="430"/>
      <c r="O253" s="451"/>
      <c r="P253" s="459"/>
      <c r="Q253" s="430"/>
      <c r="R253" s="471"/>
      <c r="S253" s="429"/>
      <c r="T253" s="421"/>
      <c r="U253" s="473"/>
      <c r="V253" s="466"/>
      <c r="W253" s="466"/>
      <c r="X253" s="421"/>
      <c r="Y253" s="421"/>
    </row>
    <row r="254" ht="17.4" spans="1:25">
      <c r="A254" s="418" t="s">
        <v>193</v>
      </c>
      <c r="B254" s="419"/>
      <c r="C254" s="420"/>
      <c r="D254" s="421"/>
      <c r="E254" s="422" t="s">
        <v>202</v>
      </c>
      <c r="F254" s="422"/>
      <c r="G254" s="422"/>
      <c r="H254" s="422"/>
      <c r="I254" s="422"/>
      <c r="J254" s="422"/>
      <c r="K254" s="422"/>
      <c r="L254" s="422"/>
      <c r="M254" s="422"/>
      <c r="N254" s="422"/>
      <c r="O254" s="443"/>
      <c r="P254" s="422"/>
      <c r="Q254" s="422"/>
      <c r="R254" s="471"/>
      <c r="S254" s="465"/>
      <c r="T254" s="424"/>
      <c r="U254" s="473"/>
      <c r="V254" s="467"/>
      <c r="W254" s="467"/>
      <c r="X254" s="467"/>
      <c r="Y254" s="467"/>
    </row>
    <row r="255" ht="46.8" spans="1:25">
      <c r="A255" s="423" t="s">
        <v>206</v>
      </c>
      <c r="B255" s="424" t="s">
        <v>207</v>
      </c>
      <c r="C255" s="425" t="s">
        <v>208</v>
      </c>
      <c r="D255" s="424" t="s">
        <v>209</v>
      </c>
      <c r="E255" s="426" t="s">
        <v>210</v>
      </c>
      <c r="F255" s="427" t="s">
        <v>396</v>
      </c>
      <c r="G255" s="427" t="s">
        <v>496</v>
      </c>
      <c r="H255" s="427" t="s">
        <v>627</v>
      </c>
      <c r="I255" s="427" t="s">
        <v>628</v>
      </c>
      <c r="J255" s="446" t="s">
        <v>387</v>
      </c>
      <c r="K255" s="446" t="s">
        <v>390</v>
      </c>
      <c r="L255" s="446" t="s">
        <v>629</v>
      </c>
      <c r="M255" s="446" t="s">
        <v>630</v>
      </c>
      <c r="N255" s="446" t="s">
        <v>631</v>
      </c>
      <c r="O255" s="447" t="s">
        <v>632</v>
      </c>
      <c r="P255" s="448" t="s">
        <v>219</v>
      </c>
      <c r="Q255" s="449" t="s">
        <v>220</v>
      </c>
      <c r="R255" s="468" t="s">
        <v>221</v>
      </c>
      <c r="S255" s="469" t="s">
        <v>222</v>
      </c>
      <c r="T255" s="426" t="s">
        <v>223</v>
      </c>
      <c r="U255" s="470" t="s">
        <v>224</v>
      </c>
      <c r="V255" s="467" t="s">
        <v>225</v>
      </c>
      <c r="W255" s="470" t="s">
        <v>226</v>
      </c>
      <c r="X255" s="467"/>
      <c r="Y255" s="467"/>
    </row>
    <row r="256" ht="17.4" spans="1:25">
      <c r="A256" s="428" t="s">
        <v>475</v>
      </c>
      <c r="B256" s="438" t="s">
        <v>476</v>
      </c>
      <c r="C256" s="429" t="str">
        <f>VLOOKUP(B256,正厂竞争者数据汇总!D:H,2,FALSE)</f>
        <v>Motor目录</v>
      </c>
      <c r="D256" s="421" t="str">
        <f>VLOOKUP(B256,正厂竞争者数据汇总!D:H,3,FALSE)</f>
        <v>-</v>
      </c>
      <c r="E256" s="430">
        <f>VLOOKUP(B256,正厂竞争者数据汇总!D:H,4,FALSE)</f>
        <v>81390</v>
      </c>
      <c r="F256" s="430">
        <v>273188.083333333</v>
      </c>
      <c r="G256" s="430">
        <v>234455.083333333</v>
      </c>
      <c r="H256" s="430">
        <v>231295</v>
      </c>
      <c r="I256" s="453"/>
      <c r="J256" s="430"/>
      <c r="K256" s="430"/>
      <c r="L256" s="430"/>
      <c r="M256" s="430"/>
      <c r="N256" s="430"/>
      <c r="O256" s="451"/>
      <c r="P256" s="459"/>
      <c r="Q256" s="430"/>
      <c r="R256" s="471" t="str">
        <f>VLOOKUP(B256,正厂竞争者数据汇总!D:M,6,FALSE)</f>
        <v>官网</v>
      </c>
      <c r="S256" s="429" t="s">
        <v>180</v>
      </c>
      <c r="T256" s="421" t="s">
        <v>180</v>
      </c>
      <c r="U256" s="473">
        <f>VLOOKUP(B256,正厂竞争者数据汇总!$D$2:$CL$243,25,FALSE)</f>
        <v>193993</v>
      </c>
      <c r="V256" s="466"/>
      <c r="W256" s="466"/>
      <c r="X256" s="421"/>
      <c r="Y256" s="421"/>
    </row>
    <row r="257" spans="1:25">
      <c r="A257" s="428" t="s">
        <v>230</v>
      </c>
      <c r="B257" s="421" t="s">
        <v>625</v>
      </c>
      <c r="C257" s="429" t="e">
        <f>VLOOKUP(B257,正厂竞争者数据汇总!D:H,2,FALSE)</f>
        <v>#N/A</v>
      </c>
      <c r="D257" s="421" t="e">
        <f>VLOOKUP(B257,正厂竞争者数据汇总!D:H,3,FALSE)</f>
        <v>#N/A</v>
      </c>
      <c r="E257" s="430" t="e">
        <f>VLOOKUP(B257,正厂竞争者数据汇总!D:H,4,FALSE)</f>
        <v>#N/A</v>
      </c>
      <c r="F257" s="430">
        <v>52163.4166666667</v>
      </c>
      <c r="G257" s="430">
        <v>67230.75</v>
      </c>
      <c r="H257" s="430">
        <v>77907</v>
      </c>
      <c r="I257" s="453">
        <f t="shared" ref="I257:I259" si="65">(F257/G257)-1</f>
        <v>-0.22411371780522</v>
      </c>
      <c r="J257" s="451">
        <f t="shared" ref="J257:J259" si="66">F257/F$261</f>
        <v>0.138268348314811</v>
      </c>
      <c r="K257" s="451">
        <v>0.193401745716795</v>
      </c>
      <c r="L257" s="451">
        <v>0.21790242773424</v>
      </c>
      <c r="M257" s="451">
        <v>0.196158011201017</v>
      </c>
      <c r="N257" s="451">
        <v>0.195830219189996</v>
      </c>
      <c r="O257" s="451">
        <f t="shared" ref="O257:O259" si="67">J257-N257</f>
        <v>-0.0575618708751854</v>
      </c>
      <c r="P257" s="459"/>
      <c r="Q257" s="430"/>
      <c r="R257" s="471" t="e">
        <f>VLOOKUP(B257,正厂竞争者数据汇总!D:M,6,FALSE)</f>
        <v>#N/A</v>
      </c>
      <c r="S257" s="429" t="s">
        <v>180</v>
      </c>
      <c r="T257" s="421" t="s">
        <v>180</v>
      </c>
      <c r="U257" s="473" t="e">
        <f>VLOOKUP(B257,正厂竞争者数据汇总!$D$2:$CL$243,25,FALSE)</f>
        <v>#N/A</v>
      </c>
      <c r="V257" s="466"/>
      <c r="W257" s="466"/>
      <c r="X257" s="421"/>
      <c r="Y257" s="421"/>
    </row>
    <row r="258" spans="1:25">
      <c r="A258" s="428" t="s">
        <v>367</v>
      </c>
      <c r="B258" s="438" t="s">
        <v>626</v>
      </c>
      <c r="C258" s="429" t="e">
        <f>VLOOKUP(B258,正厂竞争者数据汇总!D:H,2,FALSE)</f>
        <v>#N/A</v>
      </c>
      <c r="D258" s="421" t="e">
        <f>VLOOKUP(B258,正厂竞争者数据汇总!D:H,3,FALSE)</f>
        <v>#N/A</v>
      </c>
      <c r="E258" s="430" t="e">
        <f>VLOOKUP(B257,正厂竞争者数据汇总!D:H,4,FALSE)</f>
        <v>#N/A</v>
      </c>
      <c r="F258" s="430">
        <v>46192.6666666667</v>
      </c>
      <c r="G258" s="430">
        <v>40496.4166666667</v>
      </c>
      <c r="H258" s="430">
        <v>43907.75</v>
      </c>
      <c r="I258" s="453">
        <f t="shared" si="65"/>
        <v>0.14066059342699</v>
      </c>
      <c r="J258" s="451">
        <f t="shared" si="66"/>
        <v>0.122441820961816</v>
      </c>
      <c r="K258" s="451">
        <v>0.11649546790134</v>
      </c>
      <c r="L258" s="451">
        <v>0.122808031644757</v>
      </c>
      <c r="M258" s="451">
        <v>0.127881193118846</v>
      </c>
      <c r="N258" s="451">
        <v>0.128023780631244</v>
      </c>
      <c r="O258" s="451">
        <f t="shared" si="67"/>
        <v>-0.00558195966942801</v>
      </c>
      <c r="P258" s="459"/>
      <c r="Q258" s="430"/>
      <c r="R258" s="471" t="e">
        <f>VLOOKUP(B258,正厂竞争者数据汇总!D:M,6,FALSE)</f>
        <v>#N/A</v>
      </c>
      <c r="S258" s="429" t="s">
        <v>180</v>
      </c>
      <c r="T258" s="421" t="s">
        <v>180</v>
      </c>
      <c r="U258" s="473" t="e">
        <f>VLOOKUP(B258,正厂竞争者数据汇总!$D$2:$CL$243,25,FALSE)</f>
        <v>#N/A</v>
      </c>
      <c r="V258" s="466"/>
      <c r="W258" s="466"/>
      <c r="X258" s="421"/>
      <c r="Y258" s="421"/>
    </row>
    <row r="259" spans="1:25">
      <c r="A259" s="428" t="s">
        <v>230</v>
      </c>
      <c r="B259" s="421" t="s">
        <v>373</v>
      </c>
      <c r="C259" s="429" t="str">
        <f>VLOOKUP(B259,正厂竞争者数据汇总!D:H,2,FALSE)</f>
        <v>Motor目录</v>
      </c>
      <c r="D259" s="421" t="str">
        <f>VLOOKUP(B259,正厂竞争者数据汇总!D:H,3,FALSE)</f>
        <v>MA</v>
      </c>
      <c r="E259" s="430">
        <f>VLOOKUP(B259,正厂竞争者数据汇总!D:H,4,FALSE)</f>
        <v>3939</v>
      </c>
      <c r="F259" s="430">
        <v>5718</v>
      </c>
      <c r="G259" s="430">
        <v>5440</v>
      </c>
      <c r="H259" s="430">
        <v>4421.83333333333</v>
      </c>
      <c r="I259" s="453">
        <f t="shared" si="65"/>
        <v>0.0511029411764705</v>
      </c>
      <c r="J259" s="451">
        <f t="shared" si="66"/>
        <v>0.0151565688405013</v>
      </c>
      <c r="K259" s="451">
        <v>0.0156491709031859</v>
      </c>
      <c r="L259" s="451">
        <v>0.0123676719469306</v>
      </c>
      <c r="M259" s="451">
        <v>0.0136604949389157</v>
      </c>
      <c r="N259" s="451">
        <v>0.0148881184030655</v>
      </c>
      <c r="O259" s="451">
        <f t="shared" si="67"/>
        <v>0.000268450437435806</v>
      </c>
      <c r="P259" s="459"/>
      <c r="Q259" s="430"/>
      <c r="R259" s="471">
        <f>VLOOKUP(B259,正厂竞争者数据汇总!D:M,6,FALSE)</f>
        <v>0</v>
      </c>
      <c r="S259" s="429" t="s">
        <v>180</v>
      </c>
      <c r="T259" s="421" t="s">
        <v>180</v>
      </c>
      <c r="U259" s="473">
        <f>VLOOKUP(B259,正厂竞争者数据汇总!$D$2:$CL$243,25,FALSE)</f>
        <v>5939</v>
      </c>
      <c r="V259" s="466"/>
      <c r="W259" s="466"/>
      <c r="X259" s="421"/>
      <c r="Y259" s="421"/>
    </row>
    <row r="260" spans="1:25">
      <c r="A260" s="432"/>
      <c r="B260" s="435"/>
      <c r="C260" s="429"/>
      <c r="D260" s="421"/>
      <c r="E260" s="430"/>
      <c r="F260" s="436"/>
      <c r="G260" s="436"/>
      <c r="H260" s="436"/>
      <c r="I260" s="453"/>
      <c r="J260" s="457"/>
      <c r="K260" s="457"/>
      <c r="L260" s="457"/>
      <c r="M260" s="457"/>
      <c r="N260" s="457"/>
      <c r="O260" s="451"/>
      <c r="P260" s="455"/>
      <c r="Q260" s="436"/>
      <c r="R260" s="471"/>
      <c r="S260" s="434"/>
      <c r="T260" s="435"/>
      <c r="U260" s="473"/>
      <c r="V260" s="466"/>
      <c r="W260" s="466"/>
      <c r="X260" s="435"/>
      <c r="Y260" s="435"/>
    </row>
    <row r="261" spans="1:25">
      <c r="A261" s="428"/>
      <c r="B261" s="421"/>
      <c r="C261" s="439"/>
      <c r="D261" s="421"/>
      <c r="E261" s="421"/>
      <c r="F261" s="496">
        <v>377262.166666666</v>
      </c>
      <c r="G261" s="496">
        <v>347622.25</v>
      </c>
      <c r="H261" s="496">
        <v>357531.583333333</v>
      </c>
      <c r="I261" s="453">
        <f>(F261/G261)-1</f>
        <v>0.0852647282119197</v>
      </c>
      <c r="J261" s="430"/>
      <c r="K261" s="430"/>
      <c r="L261" s="430"/>
      <c r="M261" s="430"/>
      <c r="N261" s="430"/>
      <c r="O261" s="451"/>
      <c r="P261" s="459"/>
      <c r="Q261" s="430"/>
      <c r="R261" s="471"/>
      <c r="S261" s="429"/>
      <c r="T261" s="421"/>
      <c r="U261" s="473"/>
      <c r="V261" s="466"/>
      <c r="W261" s="466"/>
      <c r="X261" s="421"/>
      <c r="Y261" s="421"/>
    </row>
    <row r="262" spans="6:9">
      <c r="F262" s="502"/>
      <c r="G262" s="502"/>
      <c r="H262" s="502"/>
      <c r="I262" s="502"/>
    </row>
    <row r="263" spans="5:18">
      <c r="E263" s="412"/>
      <c r="R263" s="416"/>
    </row>
    <row r="274" spans="2:2">
      <c r="B274" s="503"/>
    </row>
  </sheetData>
  <mergeCells count="19">
    <mergeCell ref="W1:Y1"/>
    <mergeCell ref="W22:Y22"/>
    <mergeCell ref="W42:Y42"/>
    <mergeCell ref="W59:Y59"/>
    <mergeCell ref="W79:Y79"/>
    <mergeCell ref="W101:Y101"/>
    <mergeCell ref="W114:Y114"/>
    <mergeCell ref="W129:Y129"/>
    <mergeCell ref="W142:Y142"/>
    <mergeCell ref="W158:Y158"/>
    <mergeCell ref="W170:Y170"/>
    <mergeCell ref="W184:Y184"/>
    <mergeCell ref="W196:Y196"/>
    <mergeCell ref="W209:Y209"/>
    <mergeCell ref="W218:Y218"/>
    <mergeCell ref="W228:Y228"/>
    <mergeCell ref="W238:Y238"/>
    <mergeCell ref="W245:Y245"/>
    <mergeCell ref="W254:Y254"/>
  </mergeCells>
  <conditionalFormatting sqref="B10">
    <cfRule type="duplicateValues" dxfId="0" priority="7"/>
  </conditionalFormatting>
  <conditionalFormatting sqref="B17">
    <cfRule type="duplicateValues" dxfId="0" priority="6"/>
  </conditionalFormatting>
  <conditionalFormatting sqref="B27">
    <cfRule type="duplicateValues" dxfId="0" priority="32"/>
  </conditionalFormatting>
  <conditionalFormatting sqref="I3:I20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{475930e3-e3dd-46ca-bc75-f8b32cb20a1e}</x14:id>
        </ext>
      </extLst>
    </cfRule>
  </conditionalFormatting>
  <conditionalFormatting sqref="I32:I3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{003abc56-afd9-4490-be4a-99f6b5537727}</x14:id>
        </ext>
      </extLst>
    </cfRule>
  </conditionalFormatting>
  <conditionalFormatting sqref="I44:I57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{f23ea54a-aabe-4c47-81a1-8e224b26d386}</x14:id>
        </ext>
      </extLst>
    </cfRule>
  </conditionalFormatting>
  <conditionalFormatting sqref="I61:I7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{1512afdd-faa5-4134-b2b4-8ec3edcd3d2c}</x14:id>
        </ext>
      </extLst>
    </cfRule>
  </conditionalFormatting>
  <conditionalFormatting sqref="I103:I11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{4f5a9462-e3eb-4ac9-b852-e27d47a26988}</x14:id>
        </ext>
      </extLst>
    </cfRule>
  </conditionalFormatting>
  <conditionalFormatting sqref="I116:I127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{6a996bea-d8d2-4a34-82e7-1cb942690bfe}</x14:id>
        </ext>
      </extLst>
    </cfRule>
  </conditionalFormatting>
  <conditionalFormatting sqref="I144:I15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{b7e07881-f4c3-4b52-a777-77c1850dc61c}</x14:id>
        </ext>
      </extLst>
    </cfRule>
  </conditionalFormatting>
  <conditionalFormatting sqref="I160:I168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{ca17a179-6d37-4a8d-add5-bdaab91cb564}</x14:id>
        </ext>
      </extLst>
    </cfRule>
  </conditionalFormatting>
  <conditionalFormatting sqref="I172:I18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{74f328b2-dd83-457d-bc65-3f4d420d7ad4}</x14:id>
        </ext>
      </extLst>
    </cfRule>
  </conditionalFormatting>
  <conditionalFormatting sqref="I186:I194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{81a94d07-accc-4894-a91a-4ffa5d280ae0}</x14:id>
        </ext>
      </extLst>
    </cfRule>
  </conditionalFormatting>
  <conditionalFormatting sqref="O3:O19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{22090ef2-d470-441e-a127-90eea4672a1c}</x14:id>
        </ext>
      </extLst>
    </cfRule>
  </conditionalFormatting>
  <conditionalFormatting sqref="O103:O10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{957fde07-1c6a-4a9a-a89c-254d4ee80d8b}</x14:id>
        </ext>
      </extLst>
    </cfRule>
  </conditionalFormatting>
  <conditionalFormatting sqref="O116:O123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{71e37085-7659-4384-ad63-c351f4794401}</x14:id>
        </ext>
      </extLst>
    </cfRule>
  </conditionalFormatting>
  <conditionalFormatting sqref="O131:O137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{418d12fa-d50c-465f-b210-eec3337dbe32}</x14:id>
        </ext>
      </extLst>
    </cfRule>
  </conditionalFormatting>
  <conditionalFormatting sqref="O144:O153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{d14968e6-29cf-4a56-a0f8-ac879864b47a}</x14:id>
        </ext>
      </extLst>
    </cfRule>
  </conditionalFormatting>
  <conditionalFormatting sqref="O160:O16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{01aeb32b-fa8d-41bc-ac1b-5d454c70f14f}</x14:id>
        </ext>
      </extLst>
    </cfRule>
  </conditionalFormatting>
  <conditionalFormatting sqref="O172:O17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{c268607a-eeb8-407e-9dba-3cc3b018022e}</x14:id>
        </ext>
      </extLst>
    </cfRule>
  </conditionalFormatting>
  <conditionalFormatting sqref="O186:O191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{666ffa45-2891-41df-9999-9598eb86c308}</x14:id>
        </ext>
      </extLst>
    </cfRule>
  </conditionalFormatting>
  <conditionalFormatting sqref="O198:O204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{bd126cf7-4dc2-4c70-9c3d-7f3228bee9cf}</x14:id>
        </ext>
      </extLst>
    </cfRule>
  </conditionalFormatting>
  <conditionalFormatting sqref="B24 B36:B38 B28:B31 B26">
    <cfRule type="duplicateValues" dxfId="0" priority="33"/>
  </conditionalFormatting>
  <conditionalFormatting sqref="I24:I31 I37:I4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{118b447b-790c-4ce9-815c-88bec67e60e9}</x14:id>
        </ext>
      </extLst>
    </cfRule>
  </conditionalFormatting>
  <conditionalFormatting sqref="O24:O31 O36:O38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{5a9ad394-164c-4c95-8055-8f047cf49bd4}</x14:id>
        </ext>
      </extLst>
    </cfRule>
  </conditionalFormatting>
  <conditionalFormatting sqref="O44:O51 O53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{5d9c4e51-a7e8-44ad-9e06-f2fd5a6c1a9d}</x14:id>
        </ext>
      </extLst>
    </cfRule>
  </conditionalFormatting>
  <conditionalFormatting sqref="O54 O5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{8d8fe281-4346-426a-935b-7dc88ad773b3}</x14:id>
        </ext>
      </extLst>
    </cfRule>
  </conditionalFormatting>
  <conditionalFormatting sqref="O61:O72 O75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{577bf310-04ca-46d1-a32a-99f2ed13b7ea}</x14:id>
        </ext>
      </extLst>
    </cfRule>
  </conditionalFormatting>
  <conditionalFormatting sqref="I81:I94 I96:I9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{7cc2f8e3-8f95-4f28-b1ff-cb3647283a1a}</x14:id>
        </ext>
      </extLst>
    </cfRule>
  </conditionalFormatting>
  <conditionalFormatting sqref="O81:O89 O96:O97 O92:O93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{8c17ab68-0245-4737-a5ea-0b0dc13fd18f}</x14:id>
        </ext>
      </extLst>
    </cfRule>
  </conditionalFormatting>
  <conditionalFormatting sqref="O108 O11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{bf033d46-d88d-4a4d-bcd2-fcf010287e62}</x14:id>
        </ext>
      </extLst>
    </cfRule>
  </conditionalFormatting>
  <conditionalFormatting sqref="I131:I137 I139:I140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{7271b3a2-6b04-4c95-8aa1-6af69b2c4a5c}</x14:id>
        </ext>
      </extLst>
    </cfRule>
  </conditionalFormatting>
  <conditionalFormatting sqref="I198:I204 I206:I20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{4b6e3904-d322-4e56-92c3-bd7f9f843dfb}</x14:id>
        </ext>
      </extLst>
    </cfRule>
  </conditionalFormatting>
  <hyperlinks>
    <hyperlink ref="B106" r:id="rId1" display="www.nissanparts.cc" tooltip="http://www.nissanparts.cc"/>
    <hyperlink ref="B160" r:id="rId2" display="www.kiapartsnow.com"/>
    <hyperlink ref="B3" r:id="rId3" display="www.gmpartsonline.net" tooltip="http://www.gmpartsonline.net"/>
    <hyperlink ref="B4" r:id="rId4" display="www.gmpartsdirect.com"/>
    <hyperlink ref="B13" r:id="rId5" display="www.tascaparts.com" tooltip="http://www.tascaparts.com"/>
    <hyperlink ref="B62" r:id="rId5" display="www.tascaparts.com" tooltip="http://www.tascaparts.com"/>
    <hyperlink ref="B200" r:id="rId6" display="www.infinitiwholesaledirect.com"/>
    <hyperlink ref="B7" r:id="rId7" display="www.gmpartscenter.net" tooltip="http://www.gmpartscenter.net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75930e3-e3dd-46ca-bc75-f8b32cb20a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I3:I20</xm:sqref>
        </x14:conditionalFormatting>
        <x14:conditionalFormatting xmlns:xm="http://schemas.microsoft.com/office/excel/2006/main">
          <x14:cfRule type="dataBar" id="{003abc56-afd9-4490-be4a-99f6b55377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I32:I36</xm:sqref>
        </x14:conditionalFormatting>
        <x14:conditionalFormatting xmlns:xm="http://schemas.microsoft.com/office/excel/2006/main">
          <x14:cfRule type="dataBar" id="{f23ea54a-aabe-4c47-81a1-8e224b26d3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I44:I57</xm:sqref>
        </x14:conditionalFormatting>
        <x14:conditionalFormatting xmlns:xm="http://schemas.microsoft.com/office/excel/2006/main">
          <x14:cfRule type="dataBar" id="{1512afdd-faa5-4134-b2b4-8ec3edcd3d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I61:I77</xm:sqref>
        </x14:conditionalFormatting>
        <x14:conditionalFormatting xmlns:xm="http://schemas.microsoft.com/office/excel/2006/main">
          <x14:cfRule type="dataBar" id="{4f5a9462-e3eb-4ac9-b852-e27d47a269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I103:I112</xm:sqref>
        </x14:conditionalFormatting>
        <x14:conditionalFormatting xmlns:xm="http://schemas.microsoft.com/office/excel/2006/main">
          <x14:cfRule type="dataBar" id="{6a996bea-d8d2-4a34-82e7-1cb942690b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I116:I127</xm:sqref>
        </x14:conditionalFormatting>
        <x14:conditionalFormatting xmlns:xm="http://schemas.microsoft.com/office/excel/2006/main">
          <x14:cfRule type="dataBar" id="{b7e07881-f4c3-4b52-a777-77c1850dc6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I144:I156</xm:sqref>
        </x14:conditionalFormatting>
        <x14:conditionalFormatting xmlns:xm="http://schemas.microsoft.com/office/excel/2006/main">
          <x14:cfRule type="dataBar" id="{ca17a179-6d37-4a8d-add5-bdaab91cb5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I160:I168</xm:sqref>
        </x14:conditionalFormatting>
        <x14:conditionalFormatting xmlns:xm="http://schemas.microsoft.com/office/excel/2006/main">
          <x14:cfRule type="dataBar" id="{74f328b2-dd83-457d-bc65-3f4d420d7a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I172:I182</xm:sqref>
        </x14:conditionalFormatting>
        <x14:conditionalFormatting xmlns:xm="http://schemas.microsoft.com/office/excel/2006/main">
          <x14:cfRule type="dataBar" id="{81a94d07-accc-4894-a91a-4ffa5d280ae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I186:I194</xm:sqref>
        </x14:conditionalFormatting>
        <x14:conditionalFormatting xmlns:xm="http://schemas.microsoft.com/office/excel/2006/main">
          <x14:cfRule type="dataBar" id="{22090ef2-d470-441e-a127-90eea4672a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O3:O19</xm:sqref>
        </x14:conditionalFormatting>
        <x14:conditionalFormatting xmlns:xm="http://schemas.microsoft.com/office/excel/2006/main">
          <x14:cfRule type="dataBar" id="{957fde07-1c6a-4a9a-a89c-254d4ee80d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O103:O107</xm:sqref>
        </x14:conditionalFormatting>
        <x14:conditionalFormatting xmlns:xm="http://schemas.microsoft.com/office/excel/2006/main">
          <x14:cfRule type="dataBar" id="{71e37085-7659-4384-ad63-c351f47944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O116:O123</xm:sqref>
        </x14:conditionalFormatting>
        <x14:conditionalFormatting xmlns:xm="http://schemas.microsoft.com/office/excel/2006/main">
          <x14:cfRule type="dataBar" id="{418d12fa-d50c-465f-b210-eec3337dbe3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O131:O137</xm:sqref>
        </x14:conditionalFormatting>
        <x14:conditionalFormatting xmlns:xm="http://schemas.microsoft.com/office/excel/2006/main">
          <x14:cfRule type="dataBar" id="{d14968e6-29cf-4a56-a0f8-ac879864b4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O144:O153</xm:sqref>
        </x14:conditionalFormatting>
        <x14:conditionalFormatting xmlns:xm="http://schemas.microsoft.com/office/excel/2006/main">
          <x14:cfRule type="dataBar" id="{01aeb32b-fa8d-41bc-ac1b-5d454c70f1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O160:O163</xm:sqref>
        </x14:conditionalFormatting>
        <x14:conditionalFormatting xmlns:xm="http://schemas.microsoft.com/office/excel/2006/main">
          <x14:cfRule type="dataBar" id="{c268607a-eeb8-407e-9dba-3cc3b01802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O172:O179</xm:sqref>
        </x14:conditionalFormatting>
        <x14:conditionalFormatting xmlns:xm="http://schemas.microsoft.com/office/excel/2006/main">
          <x14:cfRule type="dataBar" id="{666ffa45-2891-41df-9999-9598eb86c3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O186:O191</xm:sqref>
        </x14:conditionalFormatting>
        <x14:conditionalFormatting xmlns:xm="http://schemas.microsoft.com/office/excel/2006/main">
          <x14:cfRule type="dataBar" id="{bd126cf7-4dc2-4c70-9c3d-7f3228bee9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O198:O204</xm:sqref>
        </x14:conditionalFormatting>
        <x14:conditionalFormatting xmlns:xm="http://schemas.microsoft.com/office/excel/2006/main">
          <x14:cfRule type="dataBar" id="{118b447b-790c-4ce9-815c-88bec67e60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I24:I31 I37:I40</xm:sqref>
        </x14:conditionalFormatting>
        <x14:conditionalFormatting xmlns:xm="http://schemas.microsoft.com/office/excel/2006/main">
          <x14:cfRule type="dataBar" id="{5a9ad394-164c-4c95-8055-8f047cf49b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O24:O31 O36:O38</xm:sqref>
        </x14:conditionalFormatting>
        <x14:conditionalFormatting xmlns:xm="http://schemas.microsoft.com/office/excel/2006/main">
          <x14:cfRule type="dataBar" id="{5d9c4e51-a7e8-44ad-9e06-f2fd5a6c1a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O44:O51 O53</xm:sqref>
        </x14:conditionalFormatting>
        <x14:conditionalFormatting xmlns:xm="http://schemas.microsoft.com/office/excel/2006/main">
          <x14:cfRule type="dataBar" id="{8d8fe281-4346-426a-935b-7dc88ad773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O54 O52</xm:sqref>
        </x14:conditionalFormatting>
        <x14:conditionalFormatting xmlns:xm="http://schemas.microsoft.com/office/excel/2006/main">
          <x14:cfRule type="dataBar" id="{577bf310-04ca-46d1-a32a-99f2ed13b7e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O61:O72 O75</xm:sqref>
        </x14:conditionalFormatting>
        <x14:conditionalFormatting xmlns:xm="http://schemas.microsoft.com/office/excel/2006/main">
          <x14:cfRule type="dataBar" id="{7cc2f8e3-8f95-4f28-b1ff-cb3647283a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I81:I94 I96:I99</xm:sqref>
        </x14:conditionalFormatting>
        <x14:conditionalFormatting xmlns:xm="http://schemas.microsoft.com/office/excel/2006/main">
          <x14:cfRule type="dataBar" id="{8c17ab68-0245-4737-a5ea-0b0dc13fd1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O81:O89 O96:O97 O92:O93</xm:sqref>
        </x14:conditionalFormatting>
        <x14:conditionalFormatting xmlns:xm="http://schemas.microsoft.com/office/excel/2006/main">
          <x14:cfRule type="dataBar" id="{bf033d46-d88d-4a4d-bcd2-fcf010287e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O108 O110</xm:sqref>
        </x14:conditionalFormatting>
        <x14:conditionalFormatting xmlns:xm="http://schemas.microsoft.com/office/excel/2006/main">
          <x14:cfRule type="dataBar" id="{7271b3a2-6b04-4c95-8aa1-6af69b2c4a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I131:I137 I139:I140</xm:sqref>
        </x14:conditionalFormatting>
        <x14:conditionalFormatting xmlns:xm="http://schemas.microsoft.com/office/excel/2006/main">
          <x14:cfRule type="dataBar" id="{4b6e3904-d322-4e56-92c3-bd7f9f843d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I198:I204 I206:I207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274"/>
  <sheetViews>
    <sheetView workbookViewId="0">
      <selection activeCell="A1" sqref="A1"/>
    </sheetView>
  </sheetViews>
  <sheetFormatPr defaultColWidth="9" defaultRowHeight="15.6"/>
  <cols>
    <col min="1" max="1" width="13.4444444444444" style="408" customWidth="1"/>
    <col min="2" max="2" width="31.6666666666667" style="408" customWidth="1"/>
    <col min="3" max="3" width="11.3333333333333" style="411" customWidth="1"/>
    <col min="4" max="4" width="9.22222222222222" style="408" customWidth="1"/>
    <col min="5" max="5" width="17.8888888888889" style="408" hidden="1" customWidth="1"/>
    <col min="6" max="6" width="18.8888888888889" style="412" customWidth="1"/>
    <col min="7" max="8" width="18.8888888888889" style="412" hidden="1" customWidth="1"/>
    <col min="9" max="9" width="19.2222222222222" style="412" hidden="1" customWidth="1"/>
    <col min="10" max="12" width="21.3333333333333" style="412" customWidth="1"/>
    <col min="13" max="13" width="21.3333333333333" style="412" hidden="1" customWidth="1"/>
    <col min="14" max="14" width="19.2222222222222" style="413" hidden="1" customWidth="1"/>
    <col min="15" max="15" width="7.33333333333333" style="414" hidden="1" customWidth="1"/>
    <col min="16" max="16" width="16.3333333333333" style="412" hidden="1" customWidth="1"/>
    <col min="17" max="17" width="96.4444444444444" style="415" customWidth="1"/>
    <col min="18" max="18" width="31.6666666666667" style="408" customWidth="1"/>
    <col min="19" max="19" width="14.8888888888889" style="408" customWidth="1"/>
    <col min="20" max="20" width="10.1111111111111" style="408" customWidth="1"/>
    <col min="21" max="21" width="17.1111111111111" style="416" customWidth="1"/>
    <col min="22" max="22" width="16.8888888888889" style="416" customWidth="1"/>
    <col min="23" max="23" width="10.8888888888889" style="408" hidden="1" customWidth="1"/>
    <col min="24" max="24" width="11.1111111111111" style="408" hidden="1" customWidth="1"/>
    <col min="25" max="16384" width="9" style="417"/>
  </cols>
  <sheetData>
    <row r="1" s="408" customFormat="1" ht="17.4" spans="1:24">
      <c r="A1" s="418" t="s">
        <v>145</v>
      </c>
      <c r="B1" s="419"/>
      <c r="C1" s="420"/>
      <c r="D1" s="421"/>
      <c r="E1" s="422" t="s">
        <v>202</v>
      </c>
      <c r="F1" s="422"/>
      <c r="G1" s="422"/>
      <c r="H1" s="422"/>
      <c r="I1" s="422"/>
      <c r="J1" s="422"/>
      <c r="K1" s="422"/>
      <c r="L1" s="422"/>
      <c r="M1" s="422"/>
      <c r="N1" s="443"/>
      <c r="O1" s="444"/>
      <c r="P1" s="422"/>
      <c r="Q1" s="464"/>
      <c r="R1" s="465"/>
      <c r="S1" s="424"/>
      <c r="T1" s="421"/>
      <c r="U1" s="466"/>
      <c r="V1" s="467"/>
      <c r="W1" s="467"/>
      <c r="X1" s="467"/>
    </row>
    <row r="2" s="409" customFormat="1" ht="46.8" spans="1:24">
      <c r="A2" s="423" t="s">
        <v>206</v>
      </c>
      <c r="B2" s="424" t="s">
        <v>207</v>
      </c>
      <c r="C2" s="425" t="s">
        <v>208</v>
      </c>
      <c r="D2" s="424" t="s">
        <v>209</v>
      </c>
      <c r="E2" s="426" t="s">
        <v>210</v>
      </c>
      <c r="F2" s="427" t="s">
        <v>496</v>
      </c>
      <c r="G2" s="427" t="s">
        <v>633</v>
      </c>
      <c r="H2" s="427" t="s">
        <v>634</v>
      </c>
      <c r="I2" s="445" t="s">
        <v>635</v>
      </c>
      <c r="J2" s="446" t="s">
        <v>390</v>
      </c>
      <c r="K2" s="446" t="s">
        <v>629</v>
      </c>
      <c r="L2" s="446" t="s">
        <v>630</v>
      </c>
      <c r="M2" s="446" t="s">
        <v>631</v>
      </c>
      <c r="N2" s="447" t="s">
        <v>632</v>
      </c>
      <c r="O2" s="448" t="s">
        <v>219</v>
      </c>
      <c r="P2" s="449" t="s">
        <v>220</v>
      </c>
      <c r="Q2" s="468" t="s">
        <v>221</v>
      </c>
      <c r="R2" s="469" t="s">
        <v>222</v>
      </c>
      <c r="S2" s="426" t="s">
        <v>223</v>
      </c>
      <c r="T2" s="470" t="s">
        <v>224</v>
      </c>
      <c r="U2" s="467" t="s">
        <v>225</v>
      </c>
      <c r="V2" s="470" t="s">
        <v>226</v>
      </c>
      <c r="W2" s="467"/>
      <c r="X2" s="467"/>
    </row>
    <row r="3" s="408" customFormat="1" spans="1:24">
      <c r="A3" s="428" t="s">
        <v>230</v>
      </c>
      <c r="B3" s="421" t="s">
        <v>499</v>
      </c>
      <c r="C3" s="429" t="e">
        <f>VLOOKUP(B3,正厂竞争者数据汇总!D:H,2,FALSE)</f>
        <v>#N/A</v>
      </c>
      <c r="D3" s="421" t="e">
        <f>VLOOKUP(B3,正厂竞争者数据汇总!D:H,3,FALSE)</f>
        <v>#N/A</v>
      </c>
      <c r="E3" s="430" t="e">
        <f>VLOOKUP(B3,正厂竞争者数据汇总!D:H,4,FALSE)</f>
        <v>#N/A</v>
      </c>
      <c r="F3" s="430">
        <v>567937.166666667</v>
      </c>
      <c r="G3" s="430">
        <v>537775.416666667</v>
      </c>
      <c r="H3" s="430">
        <v>619177.833333333</v>
      </c>
      <c r="I3" s="450">
        <f t="shared" ref="I3:I11" si="0">(F3/G3)-1</f>
        <v>0.0560861450063184</v>
      </c>
      <c r="J3" s="451">
        <v>0.239689519900405</v>
      </c>
      <c r="K3" s="451">
        <v>0.240930249947536</v>
      </c>
      <c r="L3" s="451">
        <v>0.222954247031028</v>
      </c>
      <c r="M3" s="451">
        <v>0.251503331512816</v>
      </c>
      <c r="N3" s="452">
        <f t="shared" ref="N3:N11" si="1">J3-M3</f>
        <v>-0.011813811612411</v>
      </c>
      <c r="O3" s="451" t="str">
        <f>IFERROR(P3*0.5/$F$5,"")</f>
        <v/>
      </c>
      <c r="P3" s="430" t="s">
        <v>180</v>
      </c>
      <c r="Q3" s="471"/>
      <c r="R3" s="429" t="s">
        <v>180</v>
      </c>
      <c r="S3" s="421" t="s">
        <v>180</v>
      </c>
      <c r="T3" s="472" t="e">
        <f>VLOOKUP(B3,正厂竞争者数据汇总!$D$2:$CL$243,25,FALSE)</f>
        <v>#N/A</v>
      </c>
      <c r="U3" s="466"/>
      <c r="V3" s="466"/>
      <c r="W3" s="466"/>
      <c r="X3" s="466"/>
    </row>
    <row r="4" s="408" customFormat="1" spans="1:24">
      <c r="A4" s="428" t="s">
        <v>230</v>
      </c>
      <c r="B4" s="431" t="s">
        <v>500</v>
      </c>
      <c r="C4" s="429" t="e">
        <f>VLOOKUP(B4,正厂竞争者数据汇总!D:H,2,FALSE)</f>
        <v>#N/A</v>
      </c>
      <c r="D4" s="421" t="e">
        <f>VLOOKUP(B4,正厂竞争者数据汇总!D:H,3,FALSE)</f>
        <v>#N/A</v>
      </c>
      <c r="E4" s="430" t="e">
        <f>VLOOKUP(B3,正厂竞争者数据汇总!D:H,4,FALSE)</f>
        <v>#N/A</v>
      </c>
      <c r="F4" s="430">
        <v>527162.166666667</v>
      </c>
      <c r="G4" s="430">
        <v>534062.083333333</v>
      </c>
      <c r="H4" s="430">
        <v>513674.833333333</v>
      </c>
      <c r="I4" s="453">
        <f t="shared" si="0"/>
        <v>-0.0129196902045553</v>
      </c>
      <c r="J4" s="451">
        <v>0.222481031448592</v>
      </c>
      <c r="K4" s="451">
        <v>0.217148714571972</v>
      </c>
      <c r="L4" s="451">
        <v>0.22141475040911</v>
      </c>
      <c r="M4" s="451">
        <v>0.208649155287305</v>
      </c>
      <c r="N4" s="451">
        <f t="shared" si="1"/>
        <v>0.013831876161287</v>
      </c>
      <c r="O4" s="451">
        <f>IFERROR(P4*0.5/$F$5,"")</f>
        <v>0.0767580995366591</v>
      </c>
      <c r="P4" s="430">
        <v>80224.7</v>
      </c>
      <c r="Q4" s="471" t="e">
        <f t="array" ref="Q4">INDEX(正厂竞争者数据汇总!$I$2:$I$243,MATCH($A$1&amp;$B4,正厂竞争者数据汇总!$A$2:$A$243&amp;正厂竞争者数据汇总!$D$2:$D$243,0))</f>
        <v>#N/A</v>
      </c>
      <c r="R4" s="429" t="s">
        <v>180</v>
      </c>
      <c r="S4" s="421" t="s">
        <v>180</v>
      </c>
      <c r="T4" s="473" t="e">
        <f>VLOOKUP(B4,正厂竞争者数据汇总!$D$2:$CL$243,25,FALSE)</f>
        <v>#N/A</v>
      </c>
      <c r="U4" s="466"/>
      <c r="V4" s="466"/>
      <c r="W4" s="474"/>
      <c r="X4" s="474"/>
    </row>
    <row r="5" s="410" customFormat="1" ht="17.4" spans="1:24">
      <c r="A5" s="432" t="s">
        <v>227</v>
      </c>
      <c r="B5" s="433" t="s">
        <v>501</v>
      </c>
      <c r="C5" s="434" t="e">
        <f>VLOOKUP(B5,正厂竞争者数据汇总!D:H,2,FALSE)</f>
        <v>#N/A</v>
      </c>
      <c r="D5" s="435" t="e">
        <f>VLOOKUP(B5,正厂竞争者数据汇总!D:H,3,FALSE)</f>
        <v>#N/A</v>
      </c>
      <c r="E5" s="436" t="e">
        <f>VLOOKUP(B5,正厂竞争者数据汇总!D:H,4,FALSE)</f>
        <v>#N/A</v>
      </c>
      <c r="F5" s="436">
        <v>522581.333333333</v>
      </c>
      <c r="G5" s="436">
        <v>485471.416666667</v>
      </c>
      <c r="H5" s="436">
        <v>423660.833333333</v>
      </c>
      <c r="I5" s="454">
        <f t="shared" si="0"/>
        <v>0.0764409919773843</v>
      </c>
      <c r="J5" s="455">
        <v>0.220547758180257</v>
      </c>
      <c r="K5" s="455">
        <v>0.225290957461284</v>
      </c>
      <c r="L5" s="455">
        <v>0.201269732314843</v>
      </c>
      <c r="M5" s="455">
        <v>0.172086443148663</v>
      </c>
      <c r="N5" s="456">
        <f t="shared" si="1"/>
        <v>0.048461315031594</v>
      </c>
      <c r="O5" s="457" t="str">
        <f>IFERROR(P5*0.5/$F$5,"")</f>
        <v/>
      </c>
      <c r="P5" s="436" t="s">
        <v>180</v>
      </c>
      <c r="Q5" s="475" t="e">
        <f t="array" ref="Q5">INDEX(正厂竞争者数据汇总!$I$2:$I$243,MATCH($A$1&amp;$B5,正厂竞争者数据汇总!$A$2:$A$243&amp;正厂竞争者数据汇总!$D$2:$D$243,0))</f>
        <v>#N/A</v>
      </c>
      <c r="R5" s="434" t="s">
        <v>254</v>
      </c>
      <c r="S5" s="435" t="s">
        <v>229</v>
      </c>
      <c r="T5" s="476" t="e">
        <f>VLOOKUP(B5,正厂竞争者数据汇总!$D$2:$CL$243,25,FALSE)</f>
        <v>#N/A</v>
      </c>
      <c r="U5" s="477"/>
      <c r="V5" s="477"/>
      <c r="W5" s="435"/>
      <c r="X5" s="435"/>
    </row>
    <row r="6" s="408" customFormat="1" spans="1:24">
      <c r="A6" s="428" t="s">
        <v>230</v>
      </c>
      <c r="B6" s="421" t="s">
        <v>502</v>
      </c>
      <c r="C6" s="429" t="e">
        <f>VLOOKUP(B6,正厂竞争者数据汇总!D:H,2,FALSE)</f>
        <v>#N/A</v>
      </c>
      <c r="D6" s="421" t="e">
        <f>VLOOKUP(B6,正厂竞争者数据汇总!D:H,3,FALSE)</f>
        <v>#N/A</v>
      </c>
      <c r="E6" s="437"/>
      <c r="F6" s="430">
        <v>192798.416666667</v>
      </c>
      <c r="G6" s="430">
        <v>230383.833333333</v>
      </c>
      <c r="H6" s="430">
        <v>246908.666666667</v>
      </c>
      <c r="I6" s="453">
        <f t="shared" si="0"/>
        <v>-0.16314259608783</v>
      </c>
      <c r="J6" s="458">
        <v>0.0813677333350403</v>
      </c>
      <c r="K6" s="458">
        <v>0.0811826860917246</v>
      </c>
      <c r="L6" s="458">
        <v>0.0955139496843029</v>
      </c>
      <c r="M6" s="458">
        <v>0.100291626901029</v>
      </c>
      <c r="N6" s="451">
        <f t="shared" si="1"/>
        <v>-0.0189238935659887</v>
      </c>
      <c r="O6" s="452"/>
      <c r="P6" s="437"/>
      <c r="Q6" s="471" t="e">
        <f t="array" ref="Q6">INDEX(正厂竞争者数据汇总!$I$2:$I$243,MATCH($A$1&amp;$B6,正厂竞争者数据汇总!$A$2:$A$243&amp;正厂竞争者数据汇总!$D$2:$D$243,0))</f>
        <v>#N/A</v>
      </c>
      <c r="R6" s="429"/>
      <c r="S6" s="421"/>
      <c r="T6" s="472"/>
      <c r="U6" s="466"/>
      <c r="V6" s="466"/>
      <c r="W6" s="421"/>
      <c r="X6" s="421"/>
    </row>
    <row r="7" s="408" customFormat="1" spans="1:24">
      <c r="A7" s="428" t="s">
        <v>230</v>
      </c>
      <c r="B7" s="431" t="s">
        <v>503</v>
      </c>
      <c r="C7" s="429" t="e">
        <f>VLOOKUP(B7,正厂竞争者数据汇总!D:H,2,FALSE)</f>
        <v>#N/A</v>
      </c>
      <c r="D7" s="421" t="e">
        <f>VLOOKUP(B7,正厂竞争者数据汇总!D:H,3,FALSE)</f>
        <v>#N/A</v>
      </c>
      <c r="E7" s="430" t="e">
        <f>VLOOKUP(B7,正厂竞争者数据汇总!D:H,4,FALSE)</f>
        <v>#N/A</v>
      </c>
      <c r="F7" s="430">
        <v>250827.416666667</v>
      </c>
      <c r="G7" s="430">
        <v>217619.666666667</v>
      </c>
      <c r="H7" s="430">
        <v>244749.833333333</v>
      </c>
      <c r="I7" s="453">
        <f t="shared" si="0"/>
        <v>0.152595353667484</v>
      </c>
      <c r="J7" s="459">
        <v>0.105858018469811</v>
      </c>
      <c r="K7" s="459">
        <v>0.0924787261708065</v>
      </c>
      <c r="L7" s="459">
        <v>0.0902221027906971</v>
      </c>
      <c r="M7" s="459">
        <v>0.0994147321766307</v>
      </c>
      <c r="N7" s="451">
        <f t="shared" si="1"/>
        <v>0.00644328629318029</v>
      </c>
      <c r="O7" s="451">
        <f>IFERROR(P7*0.5/$F$5,"")</f>
        <v>0.0736094987446931</v>
      </c>
      <c r="P7" s="430">
        <v>76933.9</v>
      </c>
      <c r="Q7" s="471" t="e">
        <f t="array" ref="Q7">INDEX(正厂竞争者数据汇总!$I$2:$I$243,MATCH($A$1&amp;$B7,正厂竞争者数据汇总!$A$2:$A$243&amp;正厂竞争者数据汇总!$D$2:$D$243,0))</f>
        <v>#N/A</v>
      </c>
      <c r="R7" s="429" t="s">
        <v>180</v>
      </c>
      <c r="S7" s="421" t="s">
        <v>180</v>
      </c>
      <c r="T7" s="473" t="e">
        <f>VLOOKUP(B7,正厂竞争者数据汇总!$D$2:$CL$243,25,FALSE)</f>
        <v>#N/A</v>
      </c>
      <c r="U7" s="466">
        <f>VLOOKUP(B7,'Price &amp; Shipping'!B:DK,2,FALSE)</f>
        <v>0</v>
      </c>
      <c r="V7" s="466"/>
      <c r="W7" s="435"/>
      <c r="X7" s="435"/>
    </row>
    <row r="8" s="408" customFormat="1" spans="1:24">
      <c r="A8" s="428" t="s">
        <v>487</v>
      </c>
      <c r="B8" s="431" t="s">
        <v>504</v>
      </c>
      <c r="C8" s="429" t="e">
        <f>VLOOKUP(B8,正厂竞争者数据汇总!D:H,2,FALSE)</f>
        <v>#N/A</v>
      </c>
      <c r="D8" s="421" t="e">
        <f>VLOOKUP(B8,正厂竞争者数据汇总!D:H,3,FALSE)</f>
        <v>#N/A</v>
      </c>
      <c r="E8" s="430" t="e">
        <f>VLOOKUP(B8,正厂竞争者数据汇总!D:H,4,FALSE)</f>
        <v>#N/A</v>
      </c>
      <c r="F8" s="430">
        <v>120187.333333333</v>
      </c>
      <c r="G8" s="430">
        <v>151373.416666667</v>
      </c>
      <c r="H8" s="430">
        <v>144254</v>
      </c>
      <c r="I8" s="453">
        <f t="shared" si="0"/>
        <v>-0.206020872224927</v>
      </c>
      <c r="J8" s="459">
        <v>0.0507232946099552</v>
      </c>
      <c r="K8" s="459">
        <v>0.0538839020313046</v>
      </c>
      <c r="L8" s="459">
        <v>0.0627573241309947</v>
      </c>
      <c r="M8" s="459">
        <v>0.0585944128340885</v>
      </c>
      <c r="N8" s="451">
        <f t="shared" si="1"/>
        <v>-0.0078711182241333</v>
      </c>
      <c r="O8" s="451" t="str">
        <f>IFERROR(P8*0.5/$F$5,"")</f>
        <v/>
      </c>
      <c r="P8" s="430" t="s">
        <v>180</v>
      </c>
      <c r="Q8" s="471" t="e">
        <f t="array" ref="Q8">INDEX(正厂竞争者数据汇总!$I$2:$I$243,MATCH($A$1&amp;$B8,正厂竞争者数据汇总!$A$2:$A$243&amp;正厂竞争者数据汇总!$D$2:$D$243,0))</f>
        <v>#N/A</v>
      </c>
      <c r="R8" s="429" t="s">
        <v>180</v>
      </c>
      <c r="S8" s="421"/>
      <c r="T8" s="473" t="e">
        <f>VLOOKUP(B8,正厂竞争者数据汇总!$D$2:$CL$243,25,FALSE)</f>
        <v>#N/A</v>
      </c>
      <c r="U8" s="466"/>
      <c r="V8" s="466"/>
      <c r="W8" s="421"/>
      <c r="X8" s="421"/>
    </row>
    <row r="9" s="408" customFormat="1" spans="1:24">
      <c r="A9" s="428" t="s">
        <v>230</v>
      </c>
      <c r="B9" s="431" t="s">
        <v>505</v>
      </c>
      <c r="C9" s="429" t="e">
        <f>VLOOKUP(B9,正厂竞争者数据汇总!D:H,2,FALSE)</f>
        <v>#N/A</v>
      </c>
      <c r="D9" s="421" t="e">
        <f>VLOOKUP(B9,正厂竞争者数据汇总!D:H,3,FALSE)</f>
        <v>#N/A</v>
      </c>
      <c r="E9" s="430" t="e">
        <f>VLOOKUP(B9,正厂竞争者数据汇总!D:H,4,FALSE)</f>
        <v>#N/A</v>
      </c>
      <c r="F9" s="430">
        <v>119734.416666667</v>
      </c>
      <c r="G9" s="430">
        <v>146073.083333333</v>
      </c>
      <c r="H9" s="430">
        <v>121486.583333333</v>
      </c>
      <c r="I9" s="453">
        <f t="shared" si="0"/>
        <v>-0.180311567782561</v>
      </c>
      <c r="J9" s="451">
        <v>0.0505321477987239</v>
      </c>
      <c r="K9" s="451">
        <v>0.0530680724161262</v>
      </c>
      <c r="L9" s="451">
        <v>0.0605598792669811</v>
      </c>
      <c r="M9" s="451">
        <v>0.0493465347070877</v>
      </c>
      <c r="N9" s="451">
        <f t="shared" si="1"/>
        <v>0.0011856130916362</v>
      </c>
      <c r="O9" s="451" t="str">
        <f>IFERROR(P9*0.5/$F$5,"")</f>
        <v/>
      </c>
      <c r="P9" s="430" t="s">
        <v>180</v>
      </c>
      <c r="Q9" s="471" t="e">
        <f t="array" ref="Q9">INDEX(正厂竞争者数据汇总!$I$2:$I$243,MATCH($A$1&amp;$B9,正厂竞争者数据汇总!$A$2:$A$243&amp;正厂竞争者数据汇总!$D$2:$D$243,0))</f>
        <v>#N/A</v>
      </c>
      <c r="R9" s="429" t="s">
        <v>180</v>
      </c>
      <c r="S9" s="421" t="s">
        <v>180</v>
      </c>
      <c r="T9" s="473" t="e">
        <f>VLOOKUP(B9,正厂竞争者数据汇总!$D$2:$CL$243,25,FALSE)</f>
        <v>#N/A</v>
      </c>
      <c r="U9" s="466"/>
      <c r="V9" s="466"/>
      <c r="W9" s="421"/>
      <c r="X9" s="421"/>
    </row>
    <row r="10" s="408" customFormat="1" spans="1:24">
      <c r="A10" s="428" t="s">
        <v>230</v>
      </c>
      <c r="B10" s="438" t="s">
        <v>506</v>
      </c>
      <c r="C10" s="429" t="e">
        <f>VLOOKUP(B10,正厂竞争者数据汇总!D:H,2,FALSE)</f>
        <v>#N/A</v>
      </c>
      <c r="D10" s="421" t="e">
        <f>VLOOKUP(B10,正厂竞争者数据汇总!D:H,3,FALSE)</f>
        <v>#N/A</v>
      </c>
      <c r="E10" s="430" t="e">
        <f>VLOOKUP(B10,正厂竞争者数据汇总!D:H,4,FALSE)</f>
        <v>#N/A</v>
      </c>
      <c r="F10" s="430">
        <v>64729.3333333333</v>
      </c>
      <c r="G10" s="430">
        <v>72178.5833333332</v>
      </c>
      <c r="H10" s="430">
        <v>78011.9166666667</v>
      </c>
      <c r="I10" s="453">
        <f t="shared" si="0"/>
        <v>-0.103205821671478</v>
      </c>
      <c r="J10" s="451">
        <v>0.0273180621743778</v>
      </c>
      <c r="K10" s="451">
        <v>0.0306435657872729</v>
      </c>
      <c r="L10" s="451">
        <v>0.0299242419792951</v>
      </c>
      <c r="M10" s="451">
        <v>0.0316875958458356</v>
      </c>
      <c r="N10" s="451">
        <f t="shared" si="1"/>
        <v>-0.0043695336714578</v>
      </c>
      <c r="O10" s="451">
        <f>IFERROR(P10*0.5/$F$5,"")</f>
        <v>0.0224742049722404</v>
      </c>
      <c r="P10" s="430">
        <v>23489.2</v>
      </c>
      <c r="Q10" s="471" t="e">
        <f t="array" ref="Q10">INDEX(正厂竞争者数据汇总!$I$2:$I$243,MATCH($A$1&amp;$B10,正厂竞争者数据汇总!$A$2:$A$243&amp;正厂竞争者数据汇总!$D$2:$D$243,0))</f>
        <v>#N/A</v>
      </c>
      <c r="R10" s="429" t="s">
        <v>180</v>
      </c>
      <c r="S10" s="421" t="s">
        <v>180</v>
      </c>
      <c r="T10" s="473" t="e">
        <f>VLOOKUP(B10,正厂竞争者数据汇总!$D$2:$CL$243,25,FALSE)</f>
        <v>#N/A</v>
      </c>
      <c r="U10" s="466"/>
      <c r="V10" s="466"/>
      <c r="W10" s="421"/>
      <c r="X10" s="421"/>
    </row>
    <row r="11" s="410" customFormat="1" spans="1:24">
      <c r="A11" s="432" t="s">
        <v>227</v>
      </c>
      <c r="B11" s="435" t="s">
        <v>147</v>
      </c>
      <c r="C11" s="434" t="e">
        <f>VLOOKUP(B11,正厂竞争者数据汇总!D:H,2,FALSE)</f>
        <v>#N/A</v>
      </c>
      <c r="D11" s="435" t="e">
        <f>VLOOKUP(B11,正厂竞争者数据汇总!D:H,3,FALSE)</f>
        <v>#N/A</v>
      </c>
      <c r="E11" s="436" t="e">
        <f>VLOOKUP(B11,正厂竞争者数据汇总!D:H,4,FALSE)</f>
        <v>#N/A</v>
      </c>
      <c r="F11" s="436">
        <v>3512.58333333333</v>
      </c>
      <c r="G11" s="436">
        <v>37106.3333333334</v>
      </c>
      <c r="H11" s="436">
        <v>69982.5833333333</v>
      </c>
      <c r="I11" s="454">
        <f t="shared" si="0"/>
        <v>-0.905337363792345</v>
      </c>
      <c r="J11" s="455">
        <v>0.0014824340828375</v>
      </c>
      <c r="K11" s="455">
        <v>0.00537312552197305</v>
      </c>
      <c r="L11" s="455">
        <v>0.0153837723927488</v>
      </c>
      <c r="M11" s="455">
        <v>0.0284261675865441</v>
      </c>
      <c r="N11" s="456">
        <f t="shared" si="1"/>
        <v>-0.0269437335037066</v>
      </c>
      <c r="O11" s="457" t="str">
        <f>IFERROR(P11*0.5/$F$5,"")</f>
        <v/>
      </c>
      <c r="P11" s="436" t="s">
        <v>180</v>
      </c>
      <c r="Q11" s="475" t="e">
        <f t="array" ref="Q11">INDEX(正厂竞争者数据汇总!$I$2:$I$243,MATCH($A$1&amp;$B11,正厂竞争者数据汇总!$A$2:$A$243&amp;正厂竞争者数据汇总!$D$2:$D$243,0))</f>
        <v>#N/A</v>
      </c>
      <c r="R11" s="434" t="s">
        <v>257</v>
      </c>
      <c r="S11" s="435" t="s">
        <v>229</v>
      </c>
      <c r="T11" s="476" t="e">
        <f>VLOOKUP(B11,正厂竞争者数据汇总!$D$2:$CL$243,25,FALSE)</f>
        <v>#N/A</v>
      </c>
      <c r="U11" s="477"/>
      <c r="V11" s="477"/>
      <c r="W11" s="435"/>
      <c r="X11" s="435"/>
    </row>
    <row r="12" s="410" customFormat="1" spans="1:24">
      <c r="A12" s="432"/>
      <c r="B12" s="435"/>
      <c r="C12" s="434"/>
      <c r="D12" s="435"/>
      <c r="E12" s="437"/>
      <c r="F12" s="430"/>
      <c r="G12" s="430"/>
      <c r="H12" s="430"/>
      <c r="I12" s="450"/>
      <c r="J12" s="460"/>
      <c r="K12" s="460"/>
      <c r="L12" s="460"/>
      <c r="M12" s="460"/>
      <c r="N12" s="452"/>
      <c r="O12" s="461"/>
      <c r="P12" s="462"/>
      <c r="Q12" s="471"/>
      <c r="R12" s="434"/>
      <c r="S12" s="435"/>
      <c r="T12" s="473"/>
      <c r="U12" s="477"/>
      <c r="V12" s="466"/>
      <c r="W12" s="435"/>
      <c r="X12" s="435"/>
    </row>
    <row r="13" s="410" customFormat="1" spans="1:24">
      <c r="A13" s="428" t="s">
        <v>230</v>
      </c>
      <c r="B13" s="431" t="s">
        <v>507</v>
      </c>
      <c r="C13" s="429" t="e">
        <f>VLOOKUP(B13,正厂竞争者数据汇总!D:H,2,FALSE)</f>
        <v>#N/A</v>
      </c>
      <c r="D13" s="421" t="e">
        <f>VLOOKUP(B13,正厂竞争者数据汇总!D:H,3,FALSE)</f>
        <v>#N/A</v>
      </c>
      <c r="E13" s="430"/>
      <c r="F13" s="430">
        <v>143504.799166667</v>
      </c>
      <c r="G13" s="430">
        <v>182163.5925</v>
      </c>
      <c r="H13" s="430">
        <v>192690.685</v>
      </c>
      <c r="I13" s="453"/>
      <c r="J13" s="451">
        <v>0.060564087780243</v>
      </c>
      <c r="K13" s="451">
        <v>0.0685193709895229</v>
      </c>
      <c r="L13" s="451">
        <v>0.0755225050152834</v>
      </c>
      <c r="M13" s="451">
        <v>0.0782688698141701</v>
      </c>
      <c r="N13" s="451"/>
      <c r="O13" s="457"/>
      <c r="P13" s="436"/>
      <c r="Q13" s="471" t="e">
        <f t="array" ref="Q13">INDEX(正厂竞争者数据汇总!$I$2:$I$243,MATCH($A$1&amp;$B13,正厂竞争者数据汇总!$A$2:$A$243&amp;正厂竞争者数据汇总!$D$2:$D$243,0))</f>
        <v>#N/A</v>
      </c>
      <c r="R13" s="434"/>
      <c r="S13" s="435"/>
      <c r="T13" s="473"/>
      <c r="U13" s="477"/>
      <c r="V13" s="466"/>
      <c r="W13" s="435"/>
      <c r="X13" s="435"/>
    </row>
    <row r="14" s="410" customFormat="1" spans="1:24">
      <c r="A14" s="428" t="s">
        <v>230</v>
      </c>
      <c r="B14" s="431" t="s">
        <v>508</v>
      </c>
      <c r="C14" s="429" t="e">
        <f>VLOOKUP(B14,正厂竞争者数据汇总!D:H,2,FALSE)</f>
        <v>#N/A</v>
      </c>
      <c r="D14" s="421" t="e">
        <f>VLOOKUP(B14,正厂竞争者数据汇总!D:H,3,FALSE)</f>
        <v>#N/A</v>
      </c>
      <c r="E14" s="430"/>
      <c r="F14" s="430">
        <v>22133.1466666667</v>
      </c>
      <c r="G14" s="430">
        <v>28964.04</v>
      </c>
      <c r="H14" s="430">
        <v>31158.5066666667</v>
      </c>
      <c r="I14" s="453"/>
      <c r="J14" s="451">
        <v>0.00934096870179347</v>
      </c>
      <c r="K14" s="451">
        <v>0.0114841885397942</v>
      </c>
      <c r="L14" s="451">
        <v>0.0120080902344022</v>
      </c>
      <c r="M14" s="451">
        <v>0.0126562480272323</v>
      </c>
      <c r="N14" s="452"/>
      <c r="O14" s="457"/>
      <c r="P14" s="436"/>
      <c r="Q14" s="471" t="e">
        <f t="array" ref="Q14">INDEX(正厂竞争者数据汇总!$I$2:$I$243,MATCH($A$1&amp;$B14,正厂竞争者数据汇总!$A$2:$A$243&amp;正厂竞争者数据汇总!$D$2:$D$243,0))</f>
        <v>#N/A</v>
      </c>
      <c r="R14" s="434"/>
      <c r="S14" s="435"/>
      <c r="T14" s="473"/>
      <c r="U14" s="477"/>
      <c r="V14" s="466"/>
      <c r="W14" s="435"/>
      <c r="X14" s="435"/>
    </row>
    <row r="15" s="410" customFormat="1" spans="1:24">
      <c r="A15" s="428" t="s">
        <v>230</v>
      </c>
      <c r="B15" s="431" t="s">
        <v>509</v>
      </c>
      <c r="C15" s="429" t="e">
        <f>VLOOKUP(B15,正厂竞争者数据汇总!D:H,2,FALSE)</f>
        <v>#N/A</v>
      </c>
      <c r="D15" s="421" t="e">
        <f>VLOOKUP(B15,正厂竞争者数据汇总!D:H,3,FALSE)</f>
        <v>#N/A</v>
      </c>
      <c r="E15" s="430"/>
      <c r="F15" s="430">
        <v>40804.4166666667</v>
      </c>
      <c r="G15" s="430">
        <v>50609.5833333334</v>
      </c>
      <c r="H15" s="430">
        <v>48671.0833333333</v>
      </c>
      <c r="I15" s="453"/>
      <c r="J15" s="451">
        <v>0.0172209033229018</v>
      </c>
      <c r="K15" s="451">
        <v>0.0181840162242156</v>
      </c>
      <c r="L15" s="451">
        <v>0.0209820330103178</v>
      </c>
      <c r="M15" s="451">
        <v>0.0197696670450432</v>
      </c>
      <c r="N15" s="452"/>
      <c r="O15" s="457"/>
      <c r="P15" s="436"/>
      <c r="Q15" s="471" t="e">
        <f t="array" ref="Q15">INDEX(正厂竞争者数据汇总!$I$2:$I$243,MATCH($A$1&amp;$B15,正厂竞争者数据汇总!$A$2:$A$243&amp;正厂竞争者数据汇总!$D$2:$D$243,0))</f>
        <v>#N/A</v>
      </c>
      <c r="R15" s="434"/>
      <c r="S15" s="435"/>
      <c r="T15" s="473"/>
      <c r="U15" s="477"/>
      <c r="V15" s="466"/>
      <c r="W15" s="435"/>
      <c r="X15" s="435"/>
    </row>
    <row r="16" s="410" customFormat="1" spans="1:24">
      <c r="A16" s="428" t="s">
        <v>230</v>
      </c>
      <c r="B16" s="431" t="s">
        <v>510</v>
      </c>
      <c r="C16" s="429" t="e">
        <f>VLOOKUP(B16,正厂竞争者数据汇总!D:H,2,FALSE)</f>
        <v>#N/A</v>
      </c>
      <c r="D16" s="421" t="e">
        <f>VLOOKUP(B16,正厂竞争者数据汇总!D:H,3,FALSE)</f>
        <v>#N/A</v>
      </c>
      <c r="E16" s="430"/>
      <c r="F16" s="430">
        <v>3017.53833333333</v>
      </c>
      <c r="G16" s="430">
        <v>13479.4275</v>
      </c>
      <c r="H16" s="430">
        <v>21416.835</v>
      </c>
      <c r="I16" s="453"/>
      <c r="J16" s="451">
        <v>0.00127350762874485</v>
      </c>
      <c r="K16" s="451">
        <v>0.00296360299422917</v>
      </c>
      <c r="L16" s="451">
        <v>0.00558838413867962</v>
      </c>
      <c r="M16" s="451">
        <v>0.00869928647794553</v>
      </c>
      <c r="N16" s="452"/>
      <c r="O16" s="457"/>
      <c r="P16" s="436"/>
      <c r="Q16" s="471" t="e">
        <f t="array" ref="Q16">INDEX(正厂竞争者数据汇总!$I$2:$I$243,MATCH($A$1&amp;$B16,正厂竞争者数据汇总!$A$2:$A$243&amp;正厂竞争者数据汇总!$D$2:$D$243,0))</f>
        <v>#N/A</v>
      </c>
      <c r="R16" s="434"/>
      <c r="S16" s="435"/>
      <c r="T16" s="473"/>
      <c r="U16" s="477"/>
      <c r="V16" s="466"/>
      <c r="W16" s="435"/>
      <c r="X16" s="435"/>
    </row>
    <row r="17" s="408" customFormat="1" ht="17.4" spans="1:24">
      <c r="A17" s="428" t="s">
        <v>511</v>
      </c>
      <c r="B17" s="431" t="s">
        <v>512</v>
      </c>
      <c r="C17" s="429" t="e">
        <f>VLOOKUP(B17,正厂竞争者数据汇总!D:H,2,FALSE)</f>
        <v>#N/A</v>
      </c>
      <c r="D17" s="421" t="e">
        <f>VLOOKUP(B17,正厂竞争者数据汇总!D:H,3,FALSE)</f>
        <v>#N/A</v>
      </c>
      <c r="E17" s="430" t="e">
        <f>VLOOKUP(B17,正厂竞争者数据汇总!D:H,4,FALSE)</f>
        <v>#N/A</v>
      </c>
      <c r="F17" s="430">
        <v>102352.583333333</v>
      </c>
      <c r="G17" s="430">
        <v>127165.333333333</v>
      </c>
      <c r="H17" s="430">
        <v>117655.666666667</v>
      </c>
      <c r="I17" s="453"/>
      <c r="J17" s="459"/>
      <c r="K17" s="459"/>
      <c r="L17" s="459"/>
      <c r="M17" s="459"/>
      <c r="N17" s="451"/>
      <c r="O17" s="451"/>
      <c r="P17" s="430"/>
      <c r="Q17" s="471" t="e">
        <f t="array" ref="Q17">INDEX(正厂竞争者数据汇总!$I$2:$I$243,MATCH($A$1&amp;$B17,正厂竞争者数据汇总!$A$2:$A$243&amp;正厂竞争者数据汇总!$D$2:$D$243,0))</f>
        <v>#N/A</v>
      </c>
      <c r="R17" s="429"/>
      <c r="S17" s="421"/>
      <c r="T17" s="473" t="e">
        <f>VLOOKUP(B17,正厂竞争者数据汇总!$D$2:$CL$243,25,FALSE)</f>
        <v>#N/A</v>
      </c>
      <c r="U17" s="466"/>
      <c r="V17" s="466"/>
      <c r="W17" s="474"/>
      <c r="X17" s="474"/>
    </row>
    <row r="18" s="410" customFormat="1" spans="1:24">
      <c r="A18" s="428" t="s">
        <v>513</v>
      </c>
      <c r="B18" s="431" t="s">
        <v>514</v>
      </c>
      <c r="C18" s="429" t="e">
        <f>VLOOKUP(B18,正厂竞争者数据汇总!D:H,2,FALSE)</f>
        <v>#N/A</v>
      </c>
      <c r="D18" s="421" t="e">
        <f>VLOOKUP(B18,正厂竞争者数据汇总!D:H,3,FALSE)</f>
        <v>#N/A</v>
      </c>
      <c r="E18" s="430"/>
      <c r="F18" s="430">
        <v>54389.5</v>
      </c>
      <c r="G18" s="430">
        <v>67471.8333333333</v>
      </c>
      <c r="H18" s="430">
        <v>59339.6666666667</v>
      </c>
      <c r="I18" s="450"/>
      <c r="J18" s="455"/>
      <c r="K18" s="455"/>
      <c r="L18" s="455"/>
      <c r="M18" s="455"/>
      <c r="N18" s="452"/>
      <c r="O18" s="457"/>
      <c r="P18" s="436"/>
      <c r="Q18" s="471" t="e">
        <f t="array" ref="Q18">INDEX(正厂竞争者数据汇总!$I$2:$I$243,MATCH($A$1&amp;$B18,正厂竞争者数据汇总!$A$2:$A$243&amp;正厂竞争者数据汇总!$D$2:$D$243,0))</f>
        <v>#N/A</v>
      </c>
      <c r="R18" s="434"/>
      <c r="S18" s="435"/>
      <c r="T18" s="473"/>
      <c r="U18" s="477"/>
      <c r="V18" s="466"/>
      <c r="W18" s="435"/>
      <c r="X18" s="435"/>
    </row>
    <row r="19" s="410" customFormat="1" spans="1:24">
      <c r="A19" s="428"/>
      <c r="B19" s="431"/>
      <c r="C19" s="429"/>
      <c r="D19" s="421"/>
      <c r="E19" s="430"/>
      <c r="F19" s="430"/>
      <c r="G19" s="430"/>
      <c r="H19" s="430"/>
      <c r="I19" s="450"/>
      <c r="J19" s="455"/>
      <c r="K19" s="455"/>
      <c r="L19" s="455"/>
      <c r="M19" s="455"/>
      <c r="N19" s="452"/>
      <c r="O19" s="457"/>
      <c r="P19" s="436"/>
      <c r="Q19" s="471"/>
      <c r="R19" s="434"/>
      <c r="S19" s="435"/>
      <c r="T19" s="473"/>
      <c r="U19" s="477"/>
      <c r="V19" s="466"/>
      <c r="W19" s="435"/>
      <c r="X19" s="435"/>
    </row>
    <row r="20" s="408" customFormat="1" spans="1:24">
      <c r="A20" s="428"/>
      <c r="B20" s="421"/>
      <c r="C20" s="439"/>
      <c r="D20" s="421"/>
      <c r="E20" s="430"/>
      <c r="F20" s="430">
        <v>2369470.16666667</v>
      </c>
      <c r="G20" s="430">
        <v>2412043.83333333</v>
      </c>
      <c r="H20" s="430">
        <v>2461907.08333333</v>
      </c>
      <c r="I20" s="453">
        <f t="shared" ref="I20:I30" si="2">(F20/G20)-1</f>
        <v>-0.0176504531461295</v>
      </c>
      <c r="J20" s="430"/>
      <c r="K20" s="430"/>
      <c r="L20" s="430"/>
      <c r="M20" s="430"/>
      <c r="N20" s="451"/>
      <c r="O20" s="451">
        <f>SUM(O3:O11)</f>
        <v>0.172841803253593</v>
      </c>
      <c r="P20" s="430"/>
      <c r="Q20" s="471"/>
      <c r="R20" s="429"/>
      <c r="S20" s="421"/>
      <c r="T20" s="473"/>
      <c r="U20" s="466"/>
      <c r="V20" s="466"/>
      <c r="W20" s="421"/>
      <c r="X20" s="421"/>
    </row>
    <row r="21" s="408" customFormat="1" spans="1:24">
      <c r="A21" s="428"/>
      <c r="B21" s="421"/>
      <c r="C21" s="439"/>
      <c r="D21" s="421"/>
      <c r="E21" s="430"/>
      <c r="F21" s="430"/>
      <c r="G21" s="430"/>
      <c r="H21" s="430"/>
      <c r="I21" s="453"/>
      <c r="J21" s="430"/>
      <c r="K21" s="430"/>
      <c r="L21" s="430"/>
      <c r="M21" s="430"/>
      <c r="N21" s="451"/>
      <c r="O21" s="451"/>
      <c r="P21" s="430"/>
      <c r="Q21" s="471"/>
      <c r="R21" s="429"/>
      <c r="S21" s="421"/>
      <c r="T21" s="473"/>
      <c r="U21" s="466"/>
      <c r="V21" s="466"/>
      <c r="W21" s="421"/>
      <c r="X21" s="421"/>
    </row>
    <row r="22" s="408" customFormat="1" ht="17.4" spans="1:24">
      <c r="A22" s="418" t="s">
        <v>138</v>
      </c>
      <c r="B22" s="419"/>
      <c r="C22" s="420"/>
      <c r="D22" s="421"/>
      <c r="E22" s="422" t="s">
        <v>202</v>
      </c>
      <c r="F22" s="422"/>
      <c r="G22" s="422"/>
      <c r="H22" s="422"/>
      <c r="I22" s="422"/>
      <c r="J22" s="422"/>
      <c r="K22" s="422"/>
      <c r="L22" s="422"/>
      <c r="M22" s="422"/>
      <c r="N22" s="443"/>
      <c r="O22" s="444"/>
      <c r="P22" s="422"/>
      <c r="Q22" s="471"/>
      <c r="R22" s="465"/>
      <c r="S22" s="424"/>
      <c r="T22" s="473"/>
      <c r="U22" s="467"/>
      <c r="V22" s="467"/>
      <c r="W22" s="467"/>
      <c r="X22" s="467"/>
    </row>
    <row r="23" s="409" customFormat="1" ht="46.8" spans="1:24">
      <c r="A23" s="423" t="s">
        <v>206</v>
      </c>
      <c r="B23" s="424" t="s">
        <v>207</v>
      </c>
      <c r="C23" s="425" t="s">
        <v>208</v>
      </c>
      <c r="D23" s="424" t="s">
        <v>209</v>
      </c>
      <c r="E23" s="426" t="s">
        <v>210</v>
      </c>
      <c r="F23" s="427" t="s">
        <v>496</v>
      </c>
      <c r="G23" s="427" t="s">
        <v>633</v>
      </c>
      <c r="H23" s="427" t="s">
        <v>634</v>
      </c>
      <c r="I23" s="427" t="s">
        <v>635</v>
      </c>
      <c r="J23" s="446" t="s">
        <v>390</v>
      </c>
      <c r="K23" s="446" t="s">
        <v>629</v>
      </c>
      <c r="L23" s="446" t="s">
        <v>630</v>
      </c>
      <c r="M23" s="446" t="s">
        <v>631</v>
      </c>
      <c r="N23" s="447" t="s">
        <v>632</v>
      </c>
      <c r="O23" s="448" t="s">
        <v>219</v>
      </c>
      <c r="P23" s="449" t="s">
        <v>220</v>
      </c>
      <c r="Q23" s="468" t="s">
        <v>221</v>
      </c>
      <c r="R23" s="469" t="s">
        <v>222</v>
      </c>
      <c r="S23" s="426" t="s">
        <v>223</v>
      </c>
      <c r="T23" s="470" t="s">
        <v>224</v>
      </c>
      <c r="U23" s="467" t="s">
        <v>225</v>
      </c>
      <c r="V23" s="470" t="s">
        <v>226</v>
      </c>
      <c r="W23" s="467"/>
      <c r="X23" s="467"/>
    </row>
    <row r="24" s="410" customFormat="1" ht="17.4" spans="1:24">
      <c r="A24" s="432" t="s">
        <v>227</v>
      </c>
      <c r="B24" s="435" t="s">
        <v>515</v>
      </c>
      <c r="C24" s="434" t="e">
        <f>VLOOKUP(B24,正厂竞争者数据汇总!D:H,2,FALSE)</f>
        <v>#N/A</v>
      </c>
      <c r="D24" s="435" t="e">
        <f>VLOOKUP(B24,正厂竞争者数据汇总!D:H,3,FALSE)</f>
        <v>#N/A</v>
      </c>
      <c r="E24" s="436" t="e">
        <f>VLOOKUP(B24,正厂竞争者数据汇总!D:H,4,FALSE)</f>
        <v>#N/A</v>
      </c>
      <c r="F24" s="436">
        <v>1204466.66666667</v>
      </c>
      <c r="G24" s="436">
        <v>1011796.58333333</v>
      </c>
      <c r="H24" s="436">
        <v>1090293.16666667</v>
      </c>
      <c r="I24" s="454">
        <f t="shared" si="2"/>
        <v>0.190423733887888</v>
      </c>
      <c r="J24" s="455">
        <v>0.512622626385865</v>
      </c>
      <c r="K24" s="455">
        <v>0.491894373969336</v>
      </c>
      <c r="L24" s="455">
        <v>0.457447234171004</v>
      </c>
      <c r="M24" s="455">
        <v>0.464467479102897</v>
      </c>
      <c r="N24" s="456">
        <f t="shared" ref="N24:N30" si="3">J24-M24</f>
        <v>0.048155147282968</v>
      </c>
      <c r="O24" s="455" t="str">
        <f t="shared" ref="O24:O26" si="4">IFERROR(P24*0.5/$F$24,"")</f>
        <v/>
      </c>
      <c r="P24" s="436" t="s">
        <v>180</v>
      </c>
      <c r="Q24" s="475" t="e">
        <f t="array" ref="Q24">INDEX(正厂竞争者数据汇总!$I$2:$I$243,MATCH($A$22&amp;$B24,正厂竞争者数据汇总!$A$2:$A$243&amp;正厂竞争者数据汇总!$D$2:$D$243,0))</f>
        <v>#N/A</v>
      </c>
      <c r="R24" s="434" t="s">
        <v>228</v>
      </c>
      <c r="S24" s="435" t="s">
        <v>229</v>
      </c>
      <c r="T24" s="476" t="e">
        <f>VLOOKUP(B24,正厂竞争者数据汇总!$D$2:$CL$243,25,FALSE)</f>
        <v>#N/A</v>
      </c>
      <c r="U24" s="477"/>
      <c r="V24" s="477"/>
      <c r="W24" s="477"/>
      <c r="X24" s="477"/>
    </row>
    <row r="25" s="408" customFormat="1" spans="1:24">
      <c r="A25" s="428" t="s">
        <v>230</v>
      </c>
      <c r="B25" s="431" t="s">
        <v>516</v>
      </c>
      <c r="C25" s="429" t="e">
        <f>VLOOKUP(B25,正厂竞争者数据汇总!D:H,2,FALSE)</f>
        <v>#N/A</v>
      </c>
      <c r="D25" s="421" t="e">
        <f>VLOOKUP(B25,正厂竞争者数据汇总!D:H,3,FALSE)</f>
        <v>#N/A</v>
      </c>
      <c r="E25" s="430" t="e">
        <f>VLOOKUP(B25,正厂竞争者数据汇总!D:H,4,FALSE)</f>
        <v>#N/A</v>
      </c>
      <c r="F25" s="430">
        <v>387099.75</v>
      </c>
      <c r="G25" s="430">
        <v>425321.75</v>
      </c>
      <c r="H25" s="430">
        <v>437607.083333333</v>
      </c>
      <c r="I25" s="453">
        <f t="shared" si="2"/>
        <v>-0.0898660837354309</v>
      </c>
      <c r="J25" s="459">
        <v>0.164750172013874</v>
      </c>
      <c r="K25" s="459">
        <v>0.174250000805389</v>
      </c>
      <c r="L25" s="459">
        <v>0.192293847770559</v>
      </c>
      <c r="M25" s="459">
        <v>0.186421657080371</v>
      </c>
      <c r="N25" s="451">
        <f t="shared" si="3"/>
        <v>-0.021671485066497</v>
      </c>
      <c r="O25" s="459">
        <f t="shared" si="4"/>
        <v>0.0221024070127857</v>
      </c>
      <c r="P25" s="430">
        <v>53243.225</v>
      </c>
      <c r="Q25" s="471" t="e">
        <f t="array" ref="Q25">INDEX(正厂竞争者数据汇总!$I$2:$I$243,MATCH($A$22&amp;$B25,正厂竞争者数据汇总!$A$2:$A$243&amp;正厂竞争者数据汇总!$D$2:$D$243,0))</f>
        <v>#N/A</v>
      </c>
      <c r="R25" s="429" t="s">
        <v>180</v>
      </c>
      <c r="S25" s="435" t="s">
        <v>180</v>
      </c>
      <c r="T25" s="473" t="e">
        <f>VLOOKUP(B25,正厂竞争者数据汇总!$D$2:$CL$243,25,FALSE)</f>
        <v>#N/A</v>
      </c>
      <c r="U25" s="466"/>
      <c r="V25" s="466"/>
      <c r="W25" s="421"/>
      <c r="X25" s="421"/>
    </row>
    <row r="26" s="408" customFormat="1" spans="1:24">
      <c r="A26" s="428" t="s">
        <v>230</v>
      </c>
      <c r="B26" s="421" t="s">
        <v>517</v>
      </c>
      <c r="C26" s="429" t="e">
        <f>VLOOKUP(B26,正厂竞争者数据汇总!D:H,2,FALSE)</f>
        <v>#N/A</v>
      </c>
      <c r="D26" s="421" t="e">
        <f>VLOOKUP(B26,正厂竞争者数据汇总!D:H,3,FALSE)</f>
        <v>#N/A</v>
      </c>
      <c r="E26" s="430" t="e">
        <f>VLOOKUP(B26,正厂竞争者数据汇总!D:H,4,FALSE)</f>
        <v>#N/A</v>
      </c>
      <c r="F26" s="430">
        <v>167588.666666667</v>
      </c>
      <c r="G26" s="430">
        <v>183197.833333333</v>
      </c>
      <c r="H26" s="430">
        <v>187305.333333333</v>
      </c>
      <c r="I26" s="453">
        <f t="shared" si="2"/>
        <v>-0.0852038825058848</v>
      </c>
      <c r="J26" s="459">
        <v>0.0713259609723572</v>
      </c>
      <c r="K26" s="459">
        <v>0.0748231083969446</v>
      </c>
      <c r="L26" s="459">
        <v>0.0828262751079534</v>
      </c>
      <c r="M26" s="459">
        <v>0.0797925169629708</v>
      </c>
      <c r="N26" s="451">
        <f t="shared" si="3"/>
        <v>-0.00846655599061359</v>
      </c>
      <c r="O26" s="459" t="str">
        <f t="shared" si="4"/>
        <v/>
      </c>
      <c r="P26" s="430" t="s">
        <v>180</v>
      </c>
      <c r="Q26" s="471" t="e">
        <f t="array" ref="Q26">INDEX(正厂竞争者数据汇总!$I$2:$I$243,MATCH($A$22&amp;$B26,正厂竞争者数据汇总!$A$2:$A$243&amp;正厂竞争者数据汇总!$D$2:$D$243,0))</f>
        <v>#N/A</v>
      </c>
      <c r="R26" s="429" t="s">
        <v>180</v>
      </c>
      <c r="S26" s="435" t="s">
        <v>180</v>
      </c>
      <c r="T26" s="473" t="e">
        <f>VLOOKUP(B26,正厂竞争者数据汇总!$D$2:$CL$243,25,FALSE)</f>
        <v>#N/A</v>
      </c>
      <c r="U26" s="466"/>
      <c r="V26" s="466"/>
      <c r="W26" s="421"/>
      <c r="X26" s="421"/>
    </row>
    <row r="27" s="408" customFormat="1" spans="1:24">
      <c r="A27" s="428" t="s">
        <v>230</v>
      </c>
      <c r="B27" s="421" t="s">
        <v>518</v>
      </c>
      <c r="C27" s="429" t="e">
        <f>VLOOKUP(B27,正厂竞争者数据汇总!D:H,2,FALSE)</f>
        <v>#N/A</v>
      </c>
      <c r="D27" s="421" t="e">
        <f>VLOOKUP(B27,正厂竞争者数据汇总!D:H,3,FALSE)</f>
        <v>#N/A</v>
      </c>
      <c r="E27" s="430" t="e">
        <f>VLOOKUP(B25,正厂竞争者数据汇总!D:H,4,FALSE)</f>
        <v>#N/A</v>
      </c>
      <c r="F27" s="430">
        <v>201257.083333333</v>
      </c>
      <c r="G27" s="430">
        <v>206695.916666667</v>
      </c>
      <c r="H27" s="430">
        <v>200718.333333333</v>
      </c>
      <c r="I27" s="453">
        <f t="shared" si="2"/>
        <v>-0.0263132113156598</v>
      </c>
      <c r="J27" s="459">
        <v>0.085655284195294</v>
      </c>
      <c r="K27" s="459">
        <v>0.0995038351893125</v>
      </c>
      <c r="L27" s="459">
        <v>0.0934500836938065</v>
      </c>
      <c r="M27" s="459">
        <v>0.0855064868269238</v>
      </c>
      <c r="N27" s="451">
        <f t="shared" si="3"/>
        <v>0.000148797368370202</v>
      </c>
      <c r="O27" s="459"/>
      <c r="P27" s="430"/>
      <c r="Q27" s="471" t="e">
        <f t="array" ref="Q27">INDEX(正厂竞争者数据汇总!$I$2:$I$243,MATCH($A$22&amp;$B27,正厂竞争者数据汇总!$A$2:$A$243&amp;正厂竞争者数据汇总!$D$2:$D$243,0))</f>
        <v>#N/A</v>
      </c>
      <c r="R27" s="429"/>
      <c r="S27" s="435"/>
      <c r="T27" s="473" t="e">
        <f>VLOOKUP(B27,正厂竞争者数据汇总!$D$2:$CL$243,25,FALSE)</f>
        <v>#N/A</v>
      </c>
      <c r="U27" s="466"/>
      <c r="V27" s="466"/>
      <c r="W27" s="421"/>
      <c r="X27" s="421"/>
    </row>
    <row r="28" s="408" customFormat="1" spans="1:24">
      <c r="A28" s="428" t="s">
        <v>238</v>
      </c>
      <c r="B28" s="431" t="s">
        <v>519</v>
      </c>
      <c r="C28" s="429" t="e">
        <f>VLOOKUP(B28,正厂竞争者数据汇总!D:H,2,FALSE)</f>
        <v>#N/A</v>
      </c>
      <c r="D28" s="421" t="e">
        <f>VLOOKUP(B28,正厂竞争者数据汇总!D:H,3,FALSE)</f>
        <v>#N/A</v>
      </c>
      <c r="E28" s="430" t="e">
        <f>VLOOKUP(B28,正厂竞争者数据汇总!D:H,4,FALSE)</f>
        <v>#N/A</v>
      </c>
      <c r="F28" s="430">
        <v>155048.666666667</v>
      </c>
      <c r="G28" s="430">
        <v>150706.583333333</v>
      </c>
      <c r="H28" s="430">
        <v>179208</v>
      </c>
      <c r="I28" s="453">
        <f t="shared" si="2"/>
        <v>0.0288115040318457</v>
      </c>
      <c r="J28" s="459">
        <v>0.0659889201784689</v>
      </c>
      <c r="K28" s="459">
        <v>0.0532089672278444</v>
      </c>
      <c r="L28" s="459">
        <v>0.0681365314459489</v>
      </c>
      <c r="M28" s="459">
        <v>0.0763430337269276</v>
      </c>
      <c r="N28" s="451">
        <f t="shared" si="3"/>
        <v>-0.0103541135484587</v>
      </c>
      <c r="O28" s="459" t="str">
        <f>IFERROR(P28*0.5/$F$24,"")</f>
        <v/>
      </c>
      <c r="P28" s="430" t="s">
        <v>180</v>
      </c>
      <c r="Q28" s="471" t="e">
        <f t="array" ref="Q28">INDEX(正厂竞争者数据汇总!$I$2:$I$243,MATCH($A$22&amp;$B28,正厂竞争者数据汇总!$A$2:$A$243&amp;正厂竞争者数据汇总!$D$2:$D$243,0))</f>
        <v>#N/A</v>
      </c>
      <c r="R28" s="429" t="s">
        <v>180</v>
      </c>
      <c r="S28" s="435" t="s">
        <v>180</v>
      </c>
      <c r="T28" s="473" t="e">
        <f>VLOOKUP(B28,正厂竞争者数据汇总!$D$2:$CL$243,25,FALSE)</f>
        <v>#N/A</v>
      </c>
      <c r="U28" s="466"/>
      <c r="V28" s="466"/>
      <c r="W28" s="421"/>
      <c r="X28" s="421"/>
    </row>
    <row r="29" s="408" customFormat="1" spans="1:24">
      <c r="A29" s="428" t="s">
        <v>230</v>
      </c>
      <c r="B29" s="421" t="s">
        <v>520</v>
      </c>
      <c r="C29" s="429" t="e">
        <f>VLOOKUP(B29,正厂竞争者数据汇总!D:H,2,FALSE)</f>
        <v>#N/A</v>
      </c>
      <c r="D29" s="421" t="e">
        <f>VLOOKUP(B29,正厂竞争者数据汇总!D:H,3,FALSE)</f>
        <v>#N/A</v>
      </c>
      <c r="E29" s="430"/>
      <c r="F29" s="430">
        <v>143783.083333333</v>
      </c>
      <c r="G29" s="430">
        <v>143264.666666667</v>
      </c>
      <c r="H29" s="430">
        <v>143850.5</v>
      </c>
      <c r="I29" s="453">
        <f t="shared" si="2"/>
        <v>0.00361859402410913</v>
      </c>
      <c r="J29" s="459">
        <v>0.0611942728246449</v>
      </c>
      <c r="K29" s="459">
        <v>0.0636077803161487</v>
      </c>
      <c r="L29" s="459">
        <v>0.0647719379573228</v>
      </c>
      <c r="M29" s="459">
        <v>0.0612806547315711</v>
      </c>
      <c r="N29" s="451">
        <f t="shared" si="3"/>
        <v>-8.63819069261973e-5</v>
      </c>
      <c r="O29" s="459"/>
      <c r="P29" s="430"/>
      <c r="Q29" s="471" t="e">
        <f t="array" ref="Q29">INDEX(正厂竞争者数据汇总!$I$2:$I$243,MATCH($A$22&amp;$B29,正厂竞争者数据汇总!$A$2:$A$243&amp;正厂竞争者数据汇总!$D$2:$D$243,0))</f>
        <v>#N/A</v>
      </c>
      <c r="R29" s="429"/>
      <c r="S29" s="435"/>
      <c r="T29" s="473"/>
      <c r="U29" s="466"/>
      <c r="V29" s="466"/>
      <c r="W29" s="421"/>
      <c r="X29" s="421"/>
    </row>
    <row r="30" s="408" customFormat="1" spans="1:24">
      <c r="A30" s="428" t="s">
        <v>230</v>
      </c>
      <c r="B30" s="421" t="s">
        <v>521</v>
      </c>
      <c r="C30" s="429" t="e">
        <f>VLOOKUP(B30,正厂竞争者数据汇总!D:H,2,FALSE)</f>
        <v>#N/A</v>
      </c>
      <c r="D30" s="421" t="e">
        <f>VLOOKUP(B30,正厂竞争者数据汇总!D:H,3,FALSE)</f>
        <v>#N/A</v>
      </c>
      <c r="E30" s="430"/>
      <c r="F30" s="430">
        <v>90372.75</v>
      </c>
      <c r="G30" s="430">
        <v>90849.0000000002</v>
      </c>
      <c r="H30" s="430">
        <v>108422.333333333</v>
      </c>
      <c r="I30" s="453">
        <f t="shared" si="2"/>
        <v>-0.0052422151041861</v>
      </c>
      <c r="J30" s="459">
        <v>0.0384627634294955</v>
      </c>
      <c r="K30" s="459">
        <v>0.0427119340950243</v>
      </c>
      <c r="L30" s="459">
        <v>0.0410740898534053</v>
      </c>
      <c r="M30" s="459">
        <v>0.0461881715683388</v>
      </c>
      <c r="N30" s="451">
        <f t="shared" si="3"/>
        <v>-0.0077254081388433</v>
      </c>
      <c r="O30" s="459"/>
      <c r="P30" s="430"/>
      <c r="Q30" s="471" t="e">
        <f t="array" ref="Q30">INDEX(正厂竞争者数据汇总!$I$2:$I$243,MATCH($A$22&amp;$B30,正厂竞争者数据汇总!$A$2:$A$243&amp;正厂竞争者数据汇总!$D$2:$D$243,0))</f>
        <v>#N/A</v>
      </c>
      <c r="R30" s="429"/>
      <c r="S30" s="435"/>
      <c r="T30" s="473"/>
      <c r="U30" s="466"/>
      <c r="V30" s="466"/>
      <c r="W30" s="421"/>
      <c r="X30" s="421"/>
    </row>
    <row r="31" s="408" customFormat="1" spans="1:24">
      <c r="A31" s="428"/>
      <c r="B31" s="421"/>
      <c r="C31" s="429"/>
      <c r="D31" s="421"/>
      <c r="E31" s="430"/>
      <c r="F31" s="430"/>
      <c r="G31" s="430"/>
      <c r="H31" s="430"/>
      <c r="I31" s="453"/>
      <c r="J31" s="459"/>
      <c r="K31" s="459"/>
      <c r="L31" s="459"/>
      <c r="M31" s="459"/>
      <c r="N31" s="451"/>
      <c r="O31" s="459"/>
      <c r="P31" s="430"/>
      <c r="Q31" s="471"/>
      <c r="R31" s="429"/>
      <c r="S31" s="435"/>
      <c r="T31" s="473"/>
      <c r="U31" s="466"/>
      <c r="V31" s="466"/>
      <c r="W31" s="421"/>
      <c r="X31" s="421"/>
    </row>
    <row r="32" s="410" customFormat="1" spans="1:24">
      <c r="A32" s="431" t="s">
        <v>230</v>
      </c>
      <c r="B32" s="438" t="s">
        <v>510</v>
      </c>
      <c r="C32" s="429" t="e">
        <f>VLOOKUP(B32,正厂竞争者数据汇总!D:H,2,FALSE)</f>
        <v>#N/A</v>
      </c>
      <c r="D32" s="421" t="e">
        <f>VLOOKUP(B32,正厂竞争者数据汇总!D:H,3,FALSE)</f>
        <v>#N/A</v>
      </c>
      <c r="E32" s="430" t="e">
        <f>VLOOKUP(B32,正厂竞争者数据汇总!D:H,4,FALSE)</f>
        <v>#N/A</v>
      </c>
      <c r="F32" s="430">
        <v>6035.07666666667</v>
      </c>
      <c r="G32" s="430">
        <v>26958.855</v>
      </c>
      <c r="H32" s="430">
        <v>42833.67</v>
      </c>
      <c r="I32" s="453"/>
      <c r="J32" s="459">
        <v>0.00256853671166218</v>
      </c>
      <c r="K32" s="459">
        <v>0.00630694430698713</v>
      </c>
      <c r="L32" s="459">
        <v>0.0121884713383188</v>
      </c>
      <c r="M32" s="459">
        <v>0.0182472451757627</v>
      </c>
      <c r="N32" s="451"/>
      <c r="O32" s="459"/>
      <c r="P32" s="430"/>
      <c r="Q32" s="471" t="e">
        <f t="array" ref="Q32">INDEX(正厂竞争者数据汇总!$I$2:$I$243,MATCH($A$22&amp;$B32,正厂竞争者数据汇总!$A$2:$A$243&amp;正厂竞争者数据汇总!$D$2:$D$243,0))</f>
        <v>#N/A</v>
      </c>
      <c r="R32" s="429"/>
      <c r="S32" s="435"/>
      <c r="T32" s="473"/>
      <c r="U32" s="466"/>
      <c r="V32" s="466"/>
      <c r="W32" s="421"/>
      <c r="X32" s="421"/>
    </row>
    <row r="33" s="410" customFormat="1" spans="1:24">
      <c r="A33" s="431" t="s">
        <v>230</v>
      </c>
      <c r="B33" s="431" t="s">
        <v>522</v>
      </c>
      <c r="C33" s="429" t="e">
        <f>VLOOKUP(B33,正厂竞争者数据汇总!D:H,2,FALSE)</f>
        <v>#N/A</v>
      </c>
      <c r="D33" s="421" t="e">
        <f>VLOOKUP(B33,正厂竞争者数据汇总!D:H,3,FALSE)</f>
        <v>#N/A</v>
      </c>
      <c r="E33" s="430" t="e">
        <f>VLOOKUP(B33,正厂竞争者数据汇总!D:H,4,FALSE)</f>
        <v>#N/A</v>
      </c>
      <c r="F33" s="430">
        <v>35498.0833333333</v>
      </c>
      <c r="G33" s="430">
        <v>38407.5</v>
      </c>
      <c r="H33" s="430">
        <v>46642.4166666667</v>
      </c>
      <c r="I33" s="453"/>
      <c r="J33" s="459">
        <v>0.0151080318066067</v>
      </c>
      <c r="K33" s="459">
        <v>0.014233740181086</v>
      </c>
      <c r="L33" s="459">
        <v>0.0173645621420672</v>
      </c>
      <c r="M33" s="459">
        <v>0.0198697803038299</v>
      </c>
      <c r="N33" s="451"/>
      <c r="O33" s="459"/>
      <c r="P33" s="430"/>
      <c r="Q33" s="471" t="e">
        <f t="array" ref="Q33">INDEX(正厂竞争者数据汇总!$I$2:$I$243,MATCH($A$22&amp;$B33,正厂竞争者数据汇总!$A$2:$A$243&amp;正厂竞争者数据汇总!$D$2:$D$243,0))</f>
        <v>#N/A</v>
      </c>
      <c r="R33" s="429"/>
      <c r="S33" s="435"/>
      <c r="T33" s="473"/>
      <c r="U33" s="466"/>
      <c r="V33" s="466"/>
      <c r="W33" s="421"/>
      <c r="X33" s="421"/>
    </row>
    <row r="34" s="410" customFormat="1" spans="1:24">
      <c r="A34" s="431" t="s">
        <v>230</v>
      </c>
      <c r="B34" s="431" t="s">
        <v>523</v>
      </c>
      <c r="C34" s="429" t="e">
        <f>VLOOKUP(B34,正厂竞争者数据汇总!D:H,2,FALSE)</f>
        <v>#N/A</v>
      </c>
      <c r="D34" s="421" t="e">
        <f>VLOOKUP(B34,正厂竞争者数据汇总!D:H,3,FALSE)</f>
        <v>#N/A</v>
      </c>
      <c r="E34" s="430" t="e">
        <f>VLOOKUP(B34,正厂竞争者数据汇总!D:H,4,FALSE)</f>
        <v>#N/A</v>
      </c>
      <c r="F34" s="430">
        <v>28034.6666666667</v>
      </c>
      <c r="G34" s="430">
        <v>24240.8333333333</v>
      </c>
      <c r="H34" s="430">
        <v>22942.3333333333</v>
      </c>
      <c r="I34" s="453"/>
      <c r="J34" s="459">
        <v>0.0119315916780751</v>
      </c>
      <c r="K34" s="459">
        <v>0.00964051089107455</v>
      </c>
      <c r="L34" s="459">
        <v>0.010959616137269</v>
      </c>
      <c r="M34" s="459">
        <v>0.00977348850185863</v>
      </c>
      <c r="N34" s="451"/>
      <c r="O34" s="459"/>
      <c r="P34" s="430"/>
      <c r="Q34" s="471" t="e">
        <f t="array" ref="Q34">INDEX(正厂竞争者数据汇总!$I$2:$I$243,MATCH($A$22&amp;$B34,正厂竞争者数据汇总!$A$2:$A$243&amp;正厂竞争者数据汇总!$D$2:$D$243,0))</f>
        <v>#N/A</v>
      </c>
      <c r="R34" s="429"/>
      <c r="S34" s="435"/>
      <c r="T34" s="473"/>
      <c r="U34" s="466"/>
      <c r="V34" s="466"/>
      <c r="W34" s="421"/>
      <c r="X34" s="421"/>
    </row>
    <row r="35" s="410" customFormat="1" spans="1:24">
      <c r="A35" s="440" t="s">
        <v>230</v>
      </c>
      <c r="B35" s="431" t="s">
        <v>524</v>
      </c>
      <c r="C35" s="429" t="e">
        <f>VLOOKUP(B35,正厂竞争者数据汇总!D:H,2,FALSE)</f>
        <v>#N/A</v>
      </c>
      <c r="D35" s="421" t="e">
        <f>VLOOKUP(B35,正厂竞争者数据汇总!D:H,3,FALSE)</f>
        <v>#N/A</v>
      </c>
      <c r="E35" s="430"/>
      <c r="F35" s="430">
        <v>22541.9025</v>
      </c>
      <c r="G35" s="430">
        <v>26561.7733333333</v>
      </c>
      <c r="H35" s="430">
        <v>19431.1216666667</v>
      </c>
      <c r="I35" s="453"/>
      <c r="J35" s="459">
        <v>0.0095938638926917</v>
      </c>
      <c r="K35" s="459">
        <v>0.011376934891798</v>
      </c>
      <c r="L35" s="459">
        <v>0.0120089452229426</v>
      </c>
      <c r="M35" s="459">
        <v>0.0082777039906163</v>
      </c>
      <c r="N35" s="451"/>
      <c r="O35" s="459"/>
      <c r="P35" s="430"/>
      <c r="Q35" s="471" t="e">
        <f t="array" ref="Q35">INDEX(正厂竞争者数据汇总!$I$2:$I$243,MATCH($A$22&amp;$B35,正厂竞争者数据汇总!$A$2:$A$243&amp;正厂竞争者数据汇总!$D$2:$D$243,0))</f>
        <v>#N/A</v>
      </c>
      <c r="R35" s="429"/>
      <c r="S35" s="435"/>
      <c r="T35" s="473"/>
      <c r="U35" s="466"/>
      <c r="V35" s="466"/>
      <c r="W35" s="421"/>
      <c r="X35" s="421"/>
    </row>
    <row r="36" s="408" customFormat="1" spans="1:24">
      <c r="A36" s="428" t="s">
        <v>243</v>
      </c>
      <c r="B36" s="421" t="s">
        <v>525</v>
      </c>
      <c r="C36" s="429" t="str">
        <f>VLOOKUP(B36,正厂竞争者数据汇总!D:H,2,FALSE)</f>
        <v>原厂目录</v>
      </c>
      <c r="D36" s="421" t="str">
        <f>VLOOKUP(B36,正厂竞争者数据汇总!D:H,3,FALSE)</f>
        <v>GA</v>
      </c>
      <c r="E36" s="430">
        <f>VLOOKUP(B36,正厂竞争者数据汇总!D:H,4,FALSE)</f>
        <v>0</v>
      </c>
      <c r="F36" s="430">
        <v>1643.25</v>
      </c>
      <c r="G36" s="430">
        <v>4566.91666666667</v>
      </c>
      <c r="H36" s="430">
        <v>5516.58333333333</v>
      </c>
      <c r="I36" s="453"/>
      <c r="J36" s="459">
        <v>0.00069936940068238</v>
      </c>
      <c r="K36" s="459">
        <v>0.00163265538527168</v>
      </c>
      <c r="L36" s="459">
        <v>0.00206476621118208</v>
      </c>
      <c r="M36" s="459">
        <v>0.00235007760520777</v>
      </c>
      <c r="N36" s="451"/>
      <c r="O36" s="459" t="str">
        <f t="shared" ref="O36:O38" si="5">IFERROR(P36*0.5/$F$24,"")</f>
        <v/>
      </c>
      <c r="P36" s="430" t="s">
        <v>180</v>
      </c>
      <c r="Q36" s="471" t="str">
        <f t="array" ref="Q36">INDEX(正厂竞争者数据汇总!$I$2:$I$243,MATCH($A$22&amp;$B36,正厂竞争者数据汇总!$A$2:$A$243&amp;正厂竞争者数据汇总!$D$2:$D$243,0))</f>
        <v>202305网站无法正常打开</v>
      </c>
      <c r="R36" s="429" t="s">
        <v>180</v>
      </c>
      <c r="S36" s="435" t="s">
        <v>180</v>
      </c>
      <c r="T36" s="473">
        <f>VLOOKUP(B36,正厂竞争者数据汇总!$D$2:$CL$243,25,FALSE)</f>
        <v>7025</v>
      </c>
      <c r="U36" s="466"/>
      <c r="V36" s="466"/>
      <c r="W36" s="421"/>
      <c r="X36" s="421"/>
    </row>
    <row r="37" s="408" customFormat="1" ht="17.4" spans="1:24">
      <c r="A37" s="428" t="s">
        <v>511</v>
      </c>
      <c r="B37" s="438" t="s">
        <v>526</v>
      </c>
      <c r="C37" s="429" t="str">
        <f>VLOOKUP(B37,正厂竞争者数据汇总!D:H,2,FALSE)</f>
        <v>原厂目录</v>
      </c>
      <c r="D37" s="421" t="str">
        <f>VLOOKUP(B37,正厂竞争者数据汇总!D:H,3,FALSE)</f>
        <v>-</v>
      </c>
      <c r="E37" s="430">
        <f>VLOOKUP(B37,正厂竞争者数据汇总!D:H,4,FALSE)</f>
        <v>6238</v>
      </c>
      <c r="F37" s="430">
        <v>6569465.83333333</v>
      </c>
      <c r="G37" s="430">
        <v>3713119.58333333</v>
      </c>
      <c r="H37" s="430">
        <v>183136.333333333</v>
      </c>
      <c r="I37" s="453"/>
      <c r="J37" s="455"/>
      <c r="K37" s="455"/>
      <c r="L37" s="455"/>
      <c r="M37" s="455"/>
      <c r="N37" s="451"/>
      <c r="O37" s="459" t="str">
        <f t="shared" si="5"/>
        <v/>
      </c>
      <c r="P37" s="430" t="s">
        <v>180</v>
      </c>
      <c r="Q37" s="471" t="str">
        <f t="array" ref="Q37">INDEX(正厂竞争者数据汇总!$I$2:$I$243,MATCH($A$22&amp;$B37,正厂竞争者数据汇总!$A$2:$A$243&amp;正厂竞争者数据汇总!$D$2:$D$243,0))</f>
        <v>semrush升级，无法获取最新流量</v>
      </c>
      <c r="R37" s="429" t="s">
        <v>180</v>
      </c>
      <c r="S37" s="435" t="s">
        <v>180</v>
      </c>
      <c r="T37" s="473">
        <f>VLOOKUP(B37,正厂竞争者数据汇总!$D$2:$CL$243,25,FALSE)</f>
        <v>374749</v>
      </c>
      <c r="U37" s="466"/>
      <c r="V37" s="466"/>
      <c r="W37" s="421"/>
      <c r="X37" s="421"/>
    </row>
    <row r="38" s="408" customFormat="1" spans="1:24">
      <c r="A38" s="431" t="s">
        <v>513</v>
      </c>
      <c r="B38" s="438" t="s">
        <v>527</v>
      </c>
      <c r="C38" s="429" t="e">
        <f>VLOOKUP(B38,正厂竞争者数据汇总!D:H,2,FALSE)</f>
        <v>#N/A</v>
      </c>
      <c r="D38" s="421" t="e">
        <f>VLOOKUP(B38,正厂竞争者数据汇总!D:H,3,FALSE)</f>
        <v>#N/A</v>
      </c>
      <c r="E38" s="430" t="e">
        <f>VLOOKUP(B38,正厂竞争者数据汇总!D:H,4,FALSE)</f>
        <v>#N/A</v>
      </c>
      <c r="F38" s="430">
        <v>94052.8333333333</v>
      </c>
      <c r="G38" s="430">
        <v>110198.666666667</v>
      </c>
      <c r="H38" s="430">
        <v>115135.833333333</v>
      </c>
      <c r="I38" s="453"/>
      <c r="J38" s="459"/>
      <c r="K38" s="459"/>
      <c r="L38" s="459"/>
      <c r="M38" s="459"/>
      <c r="N38" s="451"/>
      <c r="O38" s="459" t="str">
        <f t="shared" si="5"/>
        <v/>
      </c>
      <c r="P38" s="430" t="s">
        <v>180</v>
      </c>
      <c r="Q38" s="471" t="e">
        <f t="array" ref="Q38">INDEX(正厂竞争者数据汇总!$I$2:$I$243,MATCH($A$22&amp;$B38,正厂竞争者数据汇总!$A$2:$A$243&amp;正厂竞争者数据汇总!$D$2:$D$243,0))</f>
        <v>#N/A</v>
      </c>
      <c r="R38" s="429" t="s">
        <v>180</v>
      </c>
      <c r="S38" s="435" t="s">
        <v>180</v>
      </c>
      <c r="T38" s="473" t="e">
        <f>VLOOKUP(B38,正厂竞争者数据汇总!$D$2:$CL$243,25,FALSE)</f>
        <v>#N/A</v>
      </c>
      <c r="U38" s="466"/>
      <c r="V38" s="466"/>
      <c r="W38" s="421"/>
      <c r="X38" s="421"/>
    </row>
    <row r="39" s="410" customFormat="1" spans="1:24">
      <c r="A39" s="432"/>
      <c r="B39" s="435"/>
      <c r="C39" s="434"/>
      <c r="D39" s="435"/>
      <c r="E39" s="430"/>
      <c r="F39" s="430"/>
      <c r="G39" s="430"/>
      <c r="H39" s="430"/>
      <c r="I39" s="453"/>
      <c r="J39" s="436"/>
      <c r="K39" s="436"/>
      <c r="L39" s="436"/>
      <c r="M39" s="436"/>
      <c r="N39" s="451"/>
      <c r="O39" s="455"/>
      <c r="P39" s="436"/>
      <c r="Q39" s="471"/>
      <c r="R39" s="434"/>
      <c r="S39" s="435"/>
      <c r="T39" s="473"/>
      <c r="U39" s="477"/>
      <c r="V39" s="466"/>
      <c r="W39" s="435"/>
      <c r="X39" s="435"/>
    </row>
    <row r="40" s="408" customFormat="1" spans="1:24">
      <c r="A40" s="428"/>
      <c r="B40" s="421"/>
      <c r="C40" s="439"/>
      <c r="D40" s="421"/>
      <c r="E40" s="430"/>
      <c r="F40" s="430">
        <v>2349616.66666667</v>
      </c>
      <c r="G40" s="430">
        <v>2211832.33333333</v>
      </c>
      <c r="H40" s="430">
        <v>2347404.75</v>
      </c>
      <c r="I40" s="453">
        <f t="shared" ref="I40:I50" si="6">(F40/G40)-1</f>
        <v>0.0622942034334457</v>
      </c>
      <c r="J40" s="451"/>
      <c r="K40" s="451"/>
      <c r="L40" s="451"/>
      <c r="M40" s="451"/>
      <c r="N40" s="451"/>
      <c r="O40" s="451">
        <f>SUM(O24:O27)</f>
        <v>0.0221024070127857</v>
      </c>
      <c r="P40" s="451"/>
      <c r="Q40" s="471"/>
      <c r="R40" s="429"/>
      <c r="S40" s="421"/>
      <c r="T40" s="473"/>
      <c r="U40" s="466"/>
      <c r="V40" s="466"/>
      <c r="W40" s="421"/>
      <c r="X40" s="421"/>
    </row>
    <row r="41" s="408" customFormat="1" spans="1:24">
      <c r="A41" s="428"/>
      <c r="B41" s="421"/>
      <c r="C41" s="439"/>
      <c r="D41" s="421"/>
      <c r="E41" s="430"/>
      <c r="F41" s="430"/>
      <c r="G41" s="430"/>
      <c r="H41" s="430"/>
      <c r="I41" s="453"/>
      <c r="J41" s="430"/>
      <c r="K41" s="430"/>
      <c r="L41" s="430"/>
      <c r="M41" s="430"/>
      <c r="N41" s="451"/>
      <c r="O41" s="451"/>
      <c r="P41" s="430"/>
      <c r="Q41" s="471"/>
      <c r="R41" s="429"/>
      <c r="S41" s="421"/>
      <c r="T41" s="473"/>
      <c r="U41" s="466"/>
      <c r="V41" s="466"/>
      <c r="W41" s="421"/>
      <c r="X41" s="421"/>
    </row>
    <row r="42" s="408" customFormat="1" ht="17.4" spans="1:24">
      <c r="A42" s="418" t="s">
        <v>141</v>
      </c>
      <c r="B42" s="441"/>
      <c r="C42" s="420"/>
      <c r="D42" s="421"/>
      <c r="E42" s="422" t="s">
        <v>202</v>
      </c>
      <c r="F42" s="422"/>
      <c r="G42" s="422"/>
      <c r="H42" s="422"/>
      <c r="I42" s="422"/>
      <c r="J42" s="422"/>
      <c r="K42" s="422"/>
      <c r="L42" s="422"/>
      <c r="M42" s="422"/>
      <c r="N42" s="443"/>
      <c r="O42" s="444"/>
      <c r="P42" s="422"/>
      <c r="Q42" s="471"/>
      <c r="R42" s="465"/>
      <c r="S42" s="424"/>
      <c r="T42" s="473"/>
      <c r="U42" s="467"/>
      <c r="V42" s="467"/>
      <c r="W42" s="467"/>
      <c r="X42" s="467"/>
    </row>
    <row r="43" s="409" customFormat="1" ht="46.8" spans="1:24">
      <c r="A43" s="423" t="s">
        <v>206</v>
      </c>
      <c r="B43" s="424" t="s">
        <v>207</v>
      </c>
      <c r="C43" s="425" t="s">
        <v>208</v>
      </c>
      <c r="D43" s="424" t="s">
        <v>209</v>
      </c>
      <c r="E43" s="426" t="s">
        <v>210</v>
      </c>
      <c r="F43" s="427" t="s">
        <v>496</v>
      </c>
      <c r="G43" s="427" t="s">
        <v>633</v>
      </c>
      <c r="H43" s="427" t="s">
        <v>634</v>
      </c>
      <c r="I43" s="427" t="s">
        <v>635</v>
      </c>
      <c r="J43" s="446" t="s">
        <v>390</v>
      </c>
      <c r="K43" s="446" t="s">
        <v>629</v>
      </c>
      <c r="L43" s="446" t="s">
        <v>630</v>
      </c>
      <c r="M43" s="446" t="s">
        <v>631</v>
      </c>
      <c r="N43" s="447" t="s">
        <v>632</v>
      </c>
      <c r="O43" s="448" t="s">
        <v>219</v>
      </c>
      <c r="P43" s="449" t="s">
        <v>220</v>
      </c>
      <c r="Q43" s="468" t="s">
        <v>221</v>
      </c>
      <c r="R43" s="469" t="s">
        <v>222</v>
      </c>
      <c r="S43" s="426" t="s">
        <v>223</v>
      </c>
      <c r="T43" s="470" t="s">
        <v>224</v>
      </c>
      <c r="U43" s="467" t="s">
        <v>225</v>
      </c>
      <c r="V43" s="470" t="s">
        <v>226</v>
      </c>
      <c r="W43" s="467"/>
      <c r="X43" s="467"/>
    </row>
    <row r="44" s="410" customFormat="1" ht="17.4" spans="1:24">
      <c r="A44" s="432" t="s">
        <v>227</v>
      </c>
      <c r="B44" s="433" t="s">
        <v>528</v>
      </c>
      <c r="C44" s="434" t="e">
        <f>VLOOKUP(B44,正厂竞争者数据汇总!D:H,2,FALSE)</f>
        <v>#N/A</v>
      </c>
      <c r="D44" s="435" t="e">
        <f>VLOOKUP(B44,正厂竞争者数据汇总!D:H,3,FALSE)</f>
        <v>#N/A</v>
      </c>
      <c r="E44" s="436" t="e">
        <f>VLOOKUP(B44,正厂竞争者数据汇总!D:H,4,FALSE)</f>
        <v>#N/A</v>
      </c>
      <c r="F44" s="436">
        <v>544041.166666667</v>
      </c>
      <c r="G44" s="436">
        <v>472302.75</v>
      </c>
      <c r="H44" s="436">
        <v>479896.25</v>
      </c>
      <c r="I44" s="454">
        <f t="shared" si="6"/>
        <v>0.151890745219389</v>
      </c>
      <c r="J44" s="455">
        <v>0.33829701696189</v>
      </c>
      <c r="K44" s="455">
        <v>0.302864254696065</v>
      </c>
      <c r="L44" s="455">
        <v>0.282850630327957</v>
      </c>
      <c r="M44" s="455">
        <v>0.260214516960801</v>
      </c>
      <c r="N44" s="456">
        <f t="shared" ref="N44:N50" si="7">J44-M44</f>
        <v>0.078082500001089</v>
      </c>
      <c r="O44" s="455" t="str">
        <f>IFERROR(P44*0.5/#REF!,"")</f>
        <v/>
      </c>
      <c r="P44" s="436" t="s">
        <v>180</v>
      </c>
      <c r="Q44" s="475" t="e">
        <f t="array" ref="Q44">INDEX(正厂竞争者数据汇总!$I$2:$I$243,MATCH($A$42&amp;$B44,正厂竞争者数据汇总!$A$2:$A$243&amp;正厂竞争者数据汇总!$D$2:$D$243,0))</f>
        <v>#N/A</v>
      </c>
      <c r="R44" s="434" t="s">
        <v>241</v>
      </c>
      <c r="S44" s="435" t="s">
        <v>229</v>
      </c>
      <c r="T44" s="476" t="e">
        <f>VLOOKUP(B44,正厂竞争者数据汇总!$D$2:$CL$243,25,FALSE)</f>
        <v>#N/A</v>
      </c>
      <c r="U44" s="477"/>
      <c r="V44" s="477"/>
      <c r="W44" s="435"/>
      <c r="X44" s="435"/>
    </row>
    <row r="45" s="408" customFormat="1" spans="1:24">
      <c r="A45" s="428" t="s">
        <v>230</v>
      </c>
      <c r="B45" s="421" t="s">
        <v>242</v>
      </c>
      <c r="C45" s="429" t="str">
        <f>VLOOKUP(B45,正厂竞争者数据汇总!D:H,2,FALSE)</f>
        <v>Motor目录</v>
      </c>
      <c r="D45" s="421" t="str">
        <f>VLOOKUP(B45,正厂竞争者数据汇总!D:H,3,FALSE)</f>
        <v>KS</v>
      </c>
      <c r="E45" s="430">
        <f>VLOOKUP(B45,正厂竞争者数据汇总!D:H,4,FALSE)</f>
        <v>0</v>
      </c>
      <c r="F45" s="430">
        <v>455733.666666667</v>
      </c>
      <c r="G45" s="430">
        <v>458805.333333333</v>
      </c>
      <c r="H45" s="430">
        <v>458391</v>
      </c>
      <c r="I45" s="453">
        <f t="shared" si="6"/>
        <v>-0.00669492362773905</v>
      </c>
      <c r="J45" s="459">
        <v>0.283385430016364</v>
      </c>
      <c r="K45" s="459">
        <v>0.290271304679787</v>
      </c>
      <c r="L45" s="459">
        <v>0.274767355750441</v>
      </c>
      <c r="M45" s="459">
        <v>0.248553708523829</v>
      </c>
      <c r="N45" s="451">
        <f t="shared" si="7"/>
        <v>0.034831721492535</v>
      </c>
      <c r="O45" s="459" t="str">
        <f>IFERROR(P45*0.5/#REF!,"")</f>
        <v/>
      </c>
      <c r="P45" s="430" t="s">
        <v>180</v>
      </c>
      <c r="Q45" s="471">
        <f t="array" ref="Q45">INDEX(正厂竞争者数据汇总!$I$2:$I$243,MATCH($A$42&amp;$B45,正厂竞争者数据汇总!$A$2:$A$243&amp;正厂竞争者数据汇总!$D$2:$D$243,0))</f>
        <v>0</v>
      </c>
      <c r="R45" s="429" t="s">
        <v>180</v>
      </c>
      <c r="S45" s="435" t="s">
        <v>180</v>
      </c>
      <c r="T45" s="473">
        <f>VLOOKUP(B45,正厂竞争者数据汇总!$D$2:$CL$243,25,FALSE)</f>
        <v>486334</v>
      </c>
      <c r="U45" s="466"/>
      <c r="V45" s="466"/>
      <c r="W45" s="421"/>
      <c r="X45" s="421"/>
    </row>
    <row r="46" s="408" customFormat="1" spans="1:24">
      <c r="A46" s="428" t="s">
        <v>243</v>
      </c>
      <c r="B46" s="421" t="s">
        <v>244</v>
      </c>
      <c r="C46" s="429" t="str">
        <f>VLOOKUP(B46,正厂竞争者数据汇总!D:H,2,FALSE)</f>
        <v>旧年份原厂、新年份Motor</v>
      </c>
      <c r="D46" s="421" t="str">
        <f>VLOOKUP(B46,正厂竞争者数据汇总!D:H,3,FALSE)</f>
        <v>FL</v>
      </c>
      <c r="E46" s="430">
        <f>VLOOKUP(B46,正厂竞争者数据汇总!D:H,4,FALSE)</f>
        <v>0</v>
      </c>
      <c r="F46" s="430">
        <v>259205.083333333</v>
      </c>
      <c r="G46" s="430">
        <v>271384.75</v>
      </c>
      <c r="H46" s="430">
        <v>376630.416666667</v>
      </c>
      <c r="I46" s="453">
        <f t="shared" si="6"/>
        <v>-0.0448797018501114</v>
      </c>
      <c r="J46" s="459">
        <v>0.161179542736241</v>
      </c>
      <c r="K46" s="459">
        <v>0.15719899301889</v>
      </c>
      <c r="L46" s="459">
        <v>0.162525726557584</v>
      </c>
      <c r="M46" s="459">
        <v>0.204220603819392</v>
      </c>
      <c r="N46" s="451">
        <f t="shared" si="7"/>
        <v>-0.043041061083151</v>
      </c>
      <c r="O46" s="459" t="str">
        <f>IFERROR(P46*0.5/#REF!,"")</f>
        <v/>
      </c>
      <c r="P46" s="430" t="s">
        <v>180</v>
      </c>
      <c r="Q46" s="471">
        <f t="array" ref="Q46">INDEX(正厂竞争者数据汇总!$I$2:$I$243,MATCH($A$42&amp;$B46,正厂竞争者数据汇总!$A$2:$A$243&amp;正厂竞争者数据汇总!$D$2:$D$243,0))</f>
        <v>0</v>
      </c>
      <c r="R46" s="429" t="s">
        <v>180</v>
      </c>
      <c r="S46" s="435" t="s">
        <v>180</v>
      </c>
      <c r="T46" s="473">
        <f>VLOOKUP(B46,正厂竞争者数据汇总!$D$2:$CL$243,25,FALSE)</f>
        <v>278886</v>
      </c>
      <c r="U46" s="466"/>
      <c r="V46" s="466"/>
      <c r="W46" s="421"/>
      <c r="X46" s="421"/>
    </row>
    <row r="47" s="408" customFormat="1" spans="1:24">
      <c r="A47" s="428" t="s">
        <v>230</v>
      </c>
      <c r="B47" s="438" t="s">
        <v>416</v>
      </c>
      <c r="C47" s="429" t="str">
        <f>VLOOKUP(B47,正厂竞争者数据汇总!D:H,2,FALSE)</f>
        <v>Motor目录</v>
      </c>
      <c r="D47" s="421" t="str">
        <f>VLOOKUP(B47,正厂竞争者数据汇总!D:H,3,FALSE)</f>
        <v>VA</v>
      </c>
      <c r="E47" s="430">
        <f>VLOOKUP(B47,正厂竞争者数据汇总!D:H,4,FALSE)</f>
        <v>0</v>
      </c>
      <c r="F47" s="430">
        <v>184121.416666667</v>
      </c>
      <c r="G47" s="430">
        <v>222501.083333333</v>
      </c>
      <c r="H47" s="430">
        <v>213588.583333333</v>
      </c>
      <c r="I47" s="453">
        <f t="shared" si="6"/>
        <v>-0.172492044046225</v>
      </c>
      <c r="J47" s="459">
        <v>0.114490832373525</v>
      </c>
      <c r="K47" s="459">
        <v>0.123395176380463</v>
      </c>
      <c r="L47" s="459">
        <v>0.133250487466961</v>
      </c>
      <c r="M47" s="459">
        <v>0.115814303696737</v>
      </c>
      <c r="N47" s="451">
        <f t="shared" si="7"/>
        <v>-0.00132347132321199</v>
      </c>
      <c r="O47" s="459" t="str">
        <f>IFERROR(P47*0.5/#REF!,"")</f>
        <v/>
      </c>
      <c r="P47" s="430" t="s">
        <v>180</v>
      </c>
      <c r="Q47" s="471" t="str">
        <f t="array" ref="Q47">INDEX(正厂竞争者数据汇总!$I$2:$I$243,MATCH($A$42&amp;$B47,正厂竞争者数据汇总!$A$2:$A$243&amp;正厂竞争者数据汇总!$D$2:$D$243,0))</f>
        <v>2023年11月导流至toyotaparts.ourismantoyotaofrichmond.com，原网站流量大幅下跌</v>
      </c>
      <c r="R47" s="429" t="s">
        <v>180</v>
      </c>
      <c r="S47" s="435" t="s">
        <v>180</v>
      </c>
      <c r="T47" s="473">
        <f>VLOOKUP(B47,正厂竞争者数据汇总!$D$2:$CL$243,25,FALSE)</f>
        <v>195034</v>
      </c>
      <c r="U47" s="466"/>
      <c r="V47" s="466"/>
      <c r="W47" s="421"/>
      <c r="X47" s="421"/>
    </row>
    <row r="48" s="410" customFormat="1" spans="1:24">
      <c r="A48" s="428" t="s">
        <v>230</v>
      </c>
      <c r="B48" s="431" t="s">
        <v>529</v>
      </c>
      <c r="C48" s="429" t="e">
        <f>VLOOKUP(B48,正厂竞争者数据汇总!D:H,2,FALSE)</f>
        <v>#N/A</v>
      </c>
      <c r="D48" s="421" t="e">
        <f>VLOOKUP(B48,正厂竞争者数据汇总!D:H,3,FALSE)</f>
        <v>#N/A</v>
      </c>
      <c r="E48" s="430" t="e">
        <f>VLOOKUP(B48,正厂竞争者数据汇总!D:H,4,FALSE)</f>
        <v>#N/A</v>
      </c>
      <c r="F48" s="430">
        <v>153151.666666667</v>
      </c>
      <c r="G48" s="430">
        <v>184918.333333333</v>
      </c>
      <c r="H48" s="430">
        <v>219207.25</v>
      </c>
      <c r="I48" s="453">
        <f t="shared" si="6"/>
        <v>-0.171787545853572</v>
      </c>
      <c r="J48" s="451">
        <v>0.0952331462222223</v>
      </c>
      <c r="K48" s="451">
        <v>0.108173175708525</v>
      </c>
      <c r="L48" s="451">
        <v>0.11074309252387</v>
      </c>
      <c r="M48" s="451">
        <v>0.118860917694305</v>
      </c>
      <c r="N48" s="451">
        <f t="shared" si="7"/>
        <v>-0.0236277714720827</v>
      </c>
      <c r="O48" s="455"/>
      <c r="P48" s="436"/>
      <c r="Q48" s="471" t="e">
        <f t="array" ref="Q48">INDEX(正厂竞争者数据汇总!$I$2:$I$243,MATCH($A$42&amp;$B48,正厂竞争者数据汇总!$A$2:$A$243&amp;正厂竞争者数据汇总!$D$2:$D$243,0))</f>
        <v>#N/A</v>
      </c>
      <c r="R48" s="434"/>
      <c r="S48" s="435"/>
      <c r="T48" s="473" t="e">
        <f>VLOOKUP(B48,正厂竞争者数据汇总!$D$2:$CL$243,25,FALSE)</f>
        <v>#N/A</v>
      </c>
      <c r="U48" s="477"/>
      <c r="V48" s="466"/>
      <c r="W48" s="435"/>
      <c r="X48" s="435"/>
    </row>
    <row r="49" s="408" customFormat="1" spans="1:24">
      <c r="A49" s="428" t="s">
        <v>230</v>
      </c>
      <c r="B49" s="431" t="s">
        <v>510</v>
      </c>
      <c r="C49" s="429" t="e">
        <f>VLOOKUP(B49,正厂竞争者数据汇总!D:H,2,FALSE)</f>
        <v>#N/A</v>
      </c>
      <c r="D49" s="421" t="e">
        <f>VLOOKUP(B49,正厂竞争者数据汇总!D:H,3,FALSE)</f>
        <v>#N/A</v>
      </c>
      <c r="E49" s="430" t="e">
        <f>VLOOKUP(B49,正厂竞争者数据汇总!D:H,4,FALSE)</f>
        <v>#N/A</v>
      </c>
      <c r="F49" s="430">
        <v>10766.5683333333</v>
      </c>
      <c r="G49" s="430">
        <v>45339.8925000001</v>
      </c>
      <c r="H49" s="430">
        <v>72038.445</v>
      </c>
      <c r="I49" s="453">
        <f t="shared" si="6"/>
        <v>-0.762536527113882</v>
      </c>
      <c r="J49" s="459">
        <v>0.00669489401399403</v>
      </c>
      <c r="K49" s="459">
        <v>0.014906015630851</v>
      </c>
      <c r="L49" s="459">
        <v>0.0271529589286254</v>
      </c>
      <c r="M49" s="459">
        <v>0.039061462072859</v>
      </c>
      <c r="N49" s="451">
        <f t="shared" si="7"/>
        <v>-0.032366568058865</v>
      </c>
      <c r="O49" s="459" t="str">
        <f>IFERROR(P49*0.5/#REF!,"")</f>
        <v/>
      </c>
      <c r="P49" s="430" t="s">
        <v>180</v>
      </c>
      <c r="Q49" s="471" t="e">
        <f t="array" ref="Q49">INDEX(正厂竞争者数据汇总!$I$2:$I$243,MATCH($A$42&amp;$B49,正厂竞争者数据汇总!$A$2:$A$243&amp;正厂竞争者数据汇总!$D$2:$D$243,0))</f>
        <v>#N/A</v>
      </c>
      <c r="R49" s="429"/>
      <c r="S49" s="435"/>
      <c r="T49" s="473" t="e">
        <f>VLOOKUP(B49,正厂竞争者数据汇总!$D$2:$CL$243,25,FALSE)</f>
        <v>#N/A</v>
      </c>
      <c r="U49" s="466"/>
      <c r="V49" s="466"/>
      <c r="W49" s="421"/>
      <c r="X49" s="421"/>
    </row>
    <row r="50" s="410" customFormat="1" spans="1:24">
      <c r="A50" s="432" t="s">
        <v>227</v>
      </c>
      <c r="B50" s="435" t="s">
        <v>143</v>
      </c>
      <c r="C50" s="434" t="e">
        <f>VLOOKUP(B50,正厂竞争者数据汇总!D:H,2,FALSE)</f>
        <v>#N/A</v>
      </c>
      <c r="D50" s="435" t="e">
        <f>VLOOKUP(B50,正厂竞争者数据汇总!D:H,3,FALSE)</f>
        <v>#N/A</v>
      </c>
      <c r="E50" s="436" t="e">
        <f>VLOOKUP(B50,正厂竞争者数据汇总!D:H,4,FALSE)</f>
        <v>#N/A</v>
      </c>
      <c r="F50" s="436">
        <v>1156.5</v>
      </c>
      <c r="G50" s="436">
        <v>14543.5</v>
      </c>
      <c r="H50" s="436">
        <v>24481.25</v>
      </c>
      <c r="I50" s="454">
        <f t="shared" si="6"/>
        <v>-0.920479939491869</v>
      </c>
      <c r="J50" s="457">
        <v>0.000719137675763676</v>
      </c>
      <c r="K50" s="457">
        <v>0.00319107988541888</v>
      </c>
      <c r="L50" s="457">
        <v>0.00870974844456154</v>
      </c>
      <c r="M50" s="457">
        <v>0.013274487232077</v>
      </c>
      <c r="N50" s="456">
        <f t="shared" si="7"/>
        <v>-0.0125553495563133</v>
      </c>
      <c r="O50" s="455" t="str">
        <f>IFERROR(P50*0.5/#REF!,"")</f>
        <v/>
      </c>
      <c r="P50" s="436" t="s">
        <v>180</v>
      </c>
      <c r="Q50" s="475" t="e">
        <f t="array" ref="Q50">INDEX(正厂竞争者数据汇总!$I$2:$I$243,MATCH($A$42&amp;$B50,正厂竞争者数据汇总!$A$2:$A$243&amp;正厂竞争者数据汇总!$D$2:$D$243,0))</f>
        <v>#N/A</v>
      </c>
      <c r="R50" s="434" t="s">
        <v>530</v>
      </c>
      <c r="S50" s="435" t="s">
        <v>229</v>
      </c>
      <c r="T50" s="476" t="e">
        <f>VLOOKUP(B50,正厂竞争者数据汇总!$D$2:$CL$243,25,FALSE)</f>
        <v>#N/A</v>
      </c>
      <c r="U50" s="477"/>
      <c r="V50" s="477"/>
      <c r="W50" s="435"/>
      <c r="X50" s="435"/>
    </row>
    <row r="51" s="410" customFormat="1" spans="1:24">
      <c r="A51" s="435"/>
      <c r="B51" s="435"/>
      <c r="C51" s="434"/>
      <c r="D51" s="435"/>
      <c r="E51" s="430"/>
      <c r="F51" s="430"/>
      <c r="G51" s="430"/>
      <c r="H51" s="430"/>
      <c r="I51" s="450"/>
      <c r="J51" s="457"/>
      <c r="K51" s="457"/>
      <c r="L51" s="457"/>
      <c r="M51" s="457"/>
      <c r="N51" s="452"/>
      <c r="O51" s="455"/>
      <c r="P51" s="436"/>
      <c r="Q51" s="471"/>
      <c r="R51" s="434"/>
      <c r="S51" s="435"/>
      <c r="T51" s="473"/>
      <c r="U51" s="477"/>
      <c r="V51" s="466"/>
      <c r="W51" s="435"/>
      <c r="X51" s="435"/>
    </row>
    <row r="52" s="410" customFormat="1" spans="1:24">
      <c r="A52" s="431" t="s">
        <v>230</v>
      </c>
      <c r="B52" s="438" t="s">
        <v>531</v>
      </c>
      <c r="C52" s="429" t="str">
        <f>VLOOKUP(B52,正厂竞争者数据汇总!D:H,2,FALSE)</f>
        <v>Motor目录</v>
      </c>
      <c r="D52" s="421" t="str">
        <f>VLOOKUP(B52,正厂竞争者数据汇总!D:H,3,FALSE)</f>
        <v>MS</v>
      </c>
      <c r="E52" s="430"/>
      <c r="F52" s="430">
        <v>51975.9166666667</v>
      </c>
      <c r="G52" s="430">
        <v>59333.6666666667</v>
      </c>
      <c r="H52" s="430">
        <v>55028.3333333333</v>
      </c>
      <c r="I52" s="453"/>
      <c r="J52" s="451">
        <v>0.0323197923971925</v>
      </c>
      <c r="K52" s="451">
        <v>0.031721952980503</v>
      </c>
      <c r="L52" s="451">
        <v>0.03553348994122</v>
      </c>
      <c r="M52" s="451">
        <v>0.0298380559912508</v>
      </c>
      <c r="N52" s="451"/>
      <c r="O52" s="459"/>
      <c r="P52" s="430"/>
      <c r="Q52" s="471" t="str">
        <f t="array" ref="Q52">INDEX(正厂竞争者数据汇总!$I$2:$I$243,MATCH($A$42&amp;$B52,正厂竞争者数据汇总!$A$2:$A$243&amp;正厂竞争者数据汇总!$D$2:$D$243,0))</f>
        <v>2022年1月，同时卖正副厂零件</v>
      </c>
      <c r="R52" s="429"/>
      <c r="S52" s="435"/>
      <c r="T52" s="473"/>
      <c r="U52" s="466"/>
      <c r="V52" s="466"/>
      <c r="W52" s="421"/>
      <c r="X52" s="421"/>
    </row>
    <row r="53" s="410" customFormat="1" spans="1:24">
      <c r="A53" s="431" t="s">
        <v>230</v>
      </c>
      <c r="B53" s="442" t="s">
        <v>532</v>
      </c>
      <c r="C53" s="429" t="e">
        <f>VLOOKUP(B53,正厂竞争者数据汇总!D:H,2,FALSE)</f>
        <v>#N/A</v>
      </c>
      <c r="D53" s="421" t="e">
        <f>VLOOKUP(B53,正厂竞争者数据汇总!D:H,3,FALSE)</f>
        <v>#N/A</v>
      </c>
      <c r="E53" s="430"/>
      <c r="F53" s="430">
        <v>109067.666666666</v>
      </c>
      <c r="G53" s="430">
        <v>121119.583333334</v>
      </c>
      <c r="H53" s="430">
        <v>117718.416666667</v>
      </c>
      <c r="I53" s="450"/>
      <c r="J53" s="451">
        <v>0.0678207248660904</v>
      </c>
      <c r="K53" s="451">
        <v>0.0733677870168479</v>
      </c>
      <c r="L53" s="451">
        <v>0.0725355727674526</v>
      </c>
      <c r="M53" s="451">
        <v>0.0638305486452686</v>
      </c>
      <c r="N53" s="452"/>
      <c r="O53" s="455"/>
      <c r="P53" s="436"/>
      <c r="Q53" s="471" t="e">
        <f t="array" ref="Q53">INDEX(正厂竞争者数据汇总!$I$2:$I$243,MATCH($A$42&amp;$B53,正厂竞争者数据汇总!$A$2:$A$243&amp;正厂竞争者数据汇总!$D$2:$D$243,0))</f>
        <v>#N/A</v>
      </c>
      <c r="R53" s="434"/>
      <c r="S53" s="435"/>
      <c r="T53" s="473"/>
      <c r="U53" s="477"/>
      <c r="V53" s="466"/>
      <c r="W53" s="435"/>
      <c r="X53" s="435"/>
    </row>
    <row r="54" s="410" customFormat="1" spans="1:24">
      <c r="A54" s="431" t="s">
        <v>230</v>
      </c>
      <c r="B54" s="438" t="s">
        <v>533</v>
      </c>
      <c r="C54" s="429" t="str">
        <f>VLOOKUP(B54,正厂竞争者数据汇总!D:H,2,FALSE)</f>
        <v>-</v>
      </c>
      <c r="D54" s="421" t="str">
        <f>VLOOKUP(B54,正厂竞争者数据汇总!D:H,3,FALSE)</f>
        <v>AZ</v>
      </c>
      <c r="E54" s="430"/>
      <c r="F54" s="430">
        <v>26637.75</v>
      </c>
      <c r="G54" s="430">
        <v>44158.0833333334</v>
      </c>
      <c r="H54" s="430">
        <v>56132.6666666667</v>
      </c>
      <c r="I54" s="453"/>
      <c r="J54" s="451">
        <v>0.0165639512516851</v>
      </c>
      <c r="K54" s="451">
        <v>0.0192957121300773</v>
      </c>
      <c r="L54" s="451">
        <v>0.0264452021609186</v>
      </c>
      <c r="M54" s="451">
        <v>0.0304368595136727</v>
      </c>
      <c r="N54" s="451"/>
      <c r="O54" s="459"/>
      <c r="P54" s="430"/>
      <c r="Q54" s="471">
        <f t="array" ref="Q54">INDEX(正厂竞争者数据汇总!$I$2:$I$243,MATCH($A$42&amp;$B54,正厂竞争者数据汇总!$A$2:$A$243&amp;正厂竞争者数据汇总!$D$2:$D$243,0))</f>
        <v>0</v>
      </c>
      <c r="R54" s="429"/>
      <c r="S54" s="435"/>
      <c r="T54" s="473"/>
      <c r="U54" s="466"/>
      <c r="V54" s="466"/>
      <c r="W54" s="421"/>
      <c r="X54" s="421"/>
    </row>
    <row r="55" s="410" customFormat="1" ht="17.4" spans="1:24">
      <c r="A55" s="421" t="s">
        <v>475</v>
      </c>
      <c r="B55" s="438" t="s">
        <v>534</v>
      </c>
      <c r="C55" s="429" t="str">
        <f>VLOOKUP(B55,正厂竞争者数据汇总!D:H,2,FALSE)</f>
        <v>原厂目录</v>
      </c>
      <c r="D55" s="421" t="str">
        <f>VLOOKUP(B55,正厂竞争者数据汇总!D:H,3,FALSE)</f>
        <v>-</v>
      </c>
      <c r="E55" s="430">
        <f>VLOOKUP(B55,正厂竞争者数据汇总!D:H,4,FALSE)</f>
        <v>0</v>
      </c>
      <c r="F55" s="430">
        <v>810325.000000002</v>
      </c>
      <c r="G55" s="430">
        <v>632908.916666667</v>
      </c>
      <c r="H55" s="430">
        <v>379107.833333333</v>
      </c>
      <c r="I55" s="453"/>
      <c r="J55" s="463"/>
      <c r="K55" s="463"/>
      <c r="L55" s="463"/>
      <c r="M55" s="463"/>
      <c r="N55" s="451"/>
      <c r="O55" s="459" t="str">
        <f>IFERROR(P55*0.5/#REF!,"")</f>
        <v/>
      </c>
      <c r="P55" s="430" t="s">
        <v>180</v>
      </c>
      <c r="Q55" s="471" t="str">
        <f t="array" ref="Q55">INDEX(正厂竞争者数据汇总!$I$2:$I$243,MATCH($A$42&amp;$B55,正厂竞争者数据汇总!$A$2:$A$243&amp;正厂竞争者数据汇总!$D$2:$D$243,0))</f>
        <v>Toyota 卖零件的官网</v>
      </c>
      <c r="R55" s="429" t="s">
        <v>180</v>
      </c>
      <c r="S55" s="435" t="s">
        <v>180</v>
      </c>
      <c r="T55" s="473">
        <f>VLOOKUP(B55,正厂竞争者数据汇总!$D$2:$CL$243,25,FALSE)</f>
        <v>1</v>
      </c>
      <c r="U55" s="466"/>
      <c r="V55" s="466"/>
      <c r="W55" s="421"/>
      <c r="X55" s="421"/>
    </row>
    <row r="56" s="410" customFormat="1" spans="1:24">
      <c r="A56" s="428"/>
      <c r="B56" s="438"/>
      <c r="C56" s="429"/>
      <c r="D56" s="421"/>
      <c r="E56" s="430"/>
      <c r="F56" s="430"/>
      <c r="G56" s="430"/>
      <c r="H56" s="430"/>
      <c r="I56" s="453"/>
      <c r="J56" s="463"/>
      <c r="K56" s="463"/>
      <c r="L56" s="463"/>
      <c r="M56" s="463"/>
      <c r="N56" s="451"/>
      <c r="O56" s="459"/>
      <c r="P56" s="430"/>
      <c r="Q56" s="471"/>
      <c r="R56" s="429"/>
      <c r="S56" s="435"/>
      <c r="T56" s="473"/>
      <c r="U56" s="466"/>
      <c r="V56" s="466"/>
      <c r="W56" s="421"/>
      <c r="X56" s="421"/>
    </row>
    <row r="57" s="408" customFormat="1" spans="1:24">
      <c r="A57" s="428"/>
      <c r="B57" s="421"/>
      <c r="C57" s="439"/>
      <c r="D57" s="421"/>
      <c r="E57" s="430"/>
      <c r="F57" s="430">
        <v>1608176.06833333</v>
      </c>
      <c r="G57" s="430">
        <v>1669795.6425</v>
      </c>
      <c r="H57" s="430">
        <v>1844233.195</v>
      </c>
      <c r="I57" s="453">
        <f t="shared" ref="I57:I70" si="8">(F57/G57)-1</f>
        <v>-0.0369024643485198</v>
      </c>
      <c r="J57" s="430"/>
      <c r="K57" s="430"/>
      <c r="L57" s="430"/>
      <c r="M57" s="430"/>
      <c r="N57" s="451"/>
      <c r="O57" s="459"/>
      <c r="P57" s="430"/>
      <c r="Q57" s="471"/>
      <c r="R57" s="429" t="s">
        <v>180</v>
      </c>
      <c r="S57" s="421"/>
      <c r="T57" s="473"/>
      <c r="U57" s="466"/>
      <c r="V57" s="466"/>
      <c r="W57" s="421"/>
      <c r="X57" s="421"/>
    </row>
    <row r="58" s="408" customFormat="1" spans="1:24">
      <c r="A58" s="428"/>
      <c r="B58" s="421"/>
      <c r="C58" s="439"/>
      <c r="D58" s="421"/>
      <c r="E58" s="430"/>
      <c r="F58" s="430"/>
      <c r="G58" s="430"/>
      <c r="H58" s="430"/>
      <c r="I58" s="453"/>
      <c r="J58" s="430"/>
      <c r="K58" s="430"/>
      <c r="L58" s="430"/>
      <c r="M58" s="430"/>
      <c r="N58" s="451"/>
      <c r="O58" s="451"/>
      <c r="P58" s="430"/>
      <c r="Q58" s="471"/>
      <c r="R58" s="429"/>
      <c r="S58" s="421"/>
      <c r="T58" s="473"/>
      <c r="U58" s="466"/>
      <c r="V58" s="466"/>
      <c r="W58" s="421"/>
      <c r="X58" s="421"/>
    </row>
    <row r="59" s="408" customFormat="1" ht="17.4" spans="1:24">
      <c r="A59" s="418" t="s">
        <v>149</v>
      </c>
      <c r="B59" s="419"/>
      <c r="C59" s="420"/>
      <c r="D59" s="421"/>
      <c r="E59" s="422" t="s">
        <v>202</v>
      </c>
      <c r="F59" s="422"/>
      <c r="G59" s="422"/>
      <c r="H59" s="422"/>
      <c r="I59" s="422"/>
      <c r="J59" s="422"/>
      <c r="K59" s="422"/>
      <c r="L59" s="422"/>
      <c r="M59" s="422"/>
      <c r="N59" s="443"/>
      <c r="O59" s="444"/>
      <c r="P59" s="422"/>
      <c r="Q59" s="471"/>
      <c r="R59" s="465"/>
      <c r="S59" s="424"/>
      <c r="T59" s="473"/>
      <c r="U59" s="467"/>
      <c r="V59" s="467"/>
      <c r="W59" s="467"/>
      <c r="X59" s="467"/>
    </row>
    <row r="60" s="409" customFormat="1" ht="46.8" spans="1:24">
      <c r="A60" s="423" t="s">
        <v>206</v>
      </c>
      <c r="B60" s="424" t="s">
        <v>207</v>
      </c>
      <c r="C60" s="425" t="s">
        <v>208</v>
      </c>
      <c r="D60" s="424" t="s">
        <v>209</v>
      </c>
      <c r="E60" s="426" t="s">
        <v>210</v>
      </c>
      <c r="F60" s="427" t="s">
        <v>496</v>
      </c>
      <c r="G60" s="427" t="s">
        <v>633</v>
      </c>
      <c r="H60" s="427" t="s">
        <v>634</v>
      </c>
      <c r="I60" s="427" t="s">
        <v>635</v>
      </c>
      <c r="J60" s="446" t="s">
        <v>390</v>
      </c>
      <c r="K60" s="446" t="s">
        <v>629</v>
      </c>
      <c r="L60" s="446" t="s">
        <v>630</v>
      </c>
      <c r="M60" s="446" t="s">
        <v>631</v>
      </c>
      <c r="N60" s="447" t="s">
        <v>632</v>
      </c>
      <c r="O60" s="448" t="s">
        <v>219</v>
      </c>
      <c r="P60" s="449" t="s">
        <v>220</v>
      </c>
      <c r="Q60" s="468" t="s">
        <v>221</v>
      </c>
      <c r="R60" s="469" t="s">
        <v>222</v>
      </c>
      <c r="S60" s="426" t="s">
        <v>223</v>
      </c>
      <c r="T60" s="470" t="s">
        <v>224</v>
      </c>
      <c r="U60" s="467" t="s">
        <v>225</v>
      </c>
      <c r="V60" s="470" t="s">
        <v>226</v>
      </c>
      <c r="W60" s="467"/>
      <c r="X60" s="467"/>
    </row>
    <row r="61" s="410" customFormat="1" ht="34.8" spans="1:24">
      <c r="A61" s="432" t="s">
        <v>227</v>
      </c>
      <c r="B61" s="433" t="s">
        <v>535</v>
      </c>
      <c r="C61" s="434" t="e">
        <f>VLOOKUP(B61,正厂竞争者数据汇总!D:H,2,FALSE)</f>
        <v>#N/A</v>
      </c>
      <c r="D61" s="435" t="e">
        <f>VLOOKUP(B61,正厂竞争者数据汇总!D:H,3,FALSE)</f>
        <v>#N/A</v>
      </c>
      <c r="E61" s="436" t="e">
        <f>VLOOKUP(B61,正厂竞争者数据汇总!D:H,4,FALSE)</f>
        <v>#N/A</v>
      </c>
      <c r="F61" s="436">
        <v>589100.083333333</v>
      </c>
      <c r="G61" s="436">
        <v>490518.25</v>
      </c>
      <c r="H61" s="436">
        <v>515307.666666667</v>
      </c>
      <c r="I61" s="454">
        <f t="shared" si="8"/>
        <v>0.200974853297167</v>
      </c>
      <c r="J61" s="455">
        <v>0.368016500505677</v>
      </c>
      <c r="K61" s="455">
        <v>0.325555573313869</v>
      </c>
      <c r="L61" s="455">
        <v>0.296521315065843</v>
      </c>
      <c r="M61" s="455">
        <v>0.296222286855933</v>
      </c>
      <c r="N61" s="456">
        <f t="shared" ref="N61:N70" si="9">J61-M61</f>
        <v>0.071794213649744</v>
      </c>
      <c r="O61" s="457" t="str">
        <f t="shared" ref="O61:O66" si="10">IFERROR(P61*0.5/F$64,"")</f>
        <v/>
      </c>
      <c r="P61" s="436" t="s">
        <v>180</v>
      </c>
      <c r="Q61" s="475" t="e">
        <f t="array" ref="Q61">INDEX(正厂竞争者数据汇总!$I$2:$I$243,MATCH($A$59&amp;$B61,正厂竞争者数据汇总!$A$2:$A$243&amp;正厂竞争者数据汇总!$D$2:$D$243,0))</f>
        <v>#N/A</v>
      </c>
      <c r="R61" s="434" t="s">
        <v>259</v>
      </c>
      <c r="S61" s="435" t="s">
        <v>229</v>
      </c>
      <c r="T61" s="476" t="e">
        <f>VLOOKUP(B61,正厂竞争者数据汇总!$D$2:$CL$243,25,FALSE)</f>
        <v>#N/A</v>
      </c>
      <c r="U61" s="477" t="s">
        <v>405</v>
      </c>
      <c r="V61" s="477"/>
      <c r="W61" s="477"/>
      <c r="X61" s="477"/>
    </row>
    <row r="62" s="408" customFormat="1" spans="1:24">
      <c r="A62" s="428" t="s">
        <v>230</v>
      </c>
      <c r="B62" s="438" t="s">
        <v>507</v>
      </c>
      <c r="C62" s="429" t="e">
        <f>VLOOKUP(B62,正厂竞争者数据汇总!D:H,2,FALSE)</f>
        <v>#N/A</v>
      </c>
      <c r="D62" s="421" t="e">
        <f>VLOOKUP(B62,正厂竞争者数据汇总!D:H,3,FALSE)</f>
        <v>#N/A</v>
      </c>
      <c r="E62" s="430" t="e">
        <f>VLOOKUP(B62,正厂竞争者数据汇总!D:H,4,FALSE)</f>
        <v>#N/A</v>
      </c>
      <c r="F62" s="430">
        <v>219033.640833333</v>
      </c>
      <c r="G62" s="430">
        <v>278039.1675</v>
      </c>
      <c r="H62" s="430">
        <v>294106.835</v>
      </c>
      <c r="I62" s="453">
        <f t="shared" si="8"/>
        <v>-0.212220196158755</v>
      </c>
      <c r="J62" s="451">
        <v>0.136832426735356</v>
      </c>
      <c r="K62" s="451">
        <v>0.152484874527409</v>
      </c>
      <c r="L62" s="451">
        <v>0.168076395907618</v>
      </c>
      <c r="M62" s="451">
        <v>0.16906598694177</v>
      </c>
      <c r="N62" s="451">
        <f t="shared" si="9"/>
        <v>-0.032233560206414</v>
      </c>
      <c r="O62" s="451"/>
      <c r="P62" s="430"/>
      <c r="Q62" s="471" t="e">
        <f t="array" ref="Q62">INDEX(正厂竞争者数据汇总!$I$2:$I$243,MATCH($A$59&amp;$B62,正厂竞争者数据汇总!$A$2:$A$243&amp;正厂竞争者数据汇总!$D$2:$D$243,0))</f>
        <v>#N/A</v>
      </c>
      <c r="R62" s="429"/>
      <c r="S62" s="435"/>
      <c r="T62" s="473"/>
      <c r="U62" s="466"/>
      <c r="V62" s="466"/>
      <c r="W62" s="421"/>
      <c r="X62" s="421"/>
    </row>
    <row r="63" s="410" customFormat="1" spans="1:24">
      <c r="A63" s="428" t="s">
        <v>230</v>
      </c>
      <c r="B63" s="431" t="s">
        <v>536</v>
      </c>
      <c r="C63" s="429" t="e">
        <f>VLOOKUP(B63,正厂竞争者数据汇总!D:H,2,FALSE)</f>
        <v>#N/A</v>
      </c>
      <c r="D63" s="421" t="e">
        <f>VLOOKUP(B63,正厂竞争者数据汇总!D:H,3,FALSE)</f>
        <v>#N/A</v>
      </c>
      <c r="E63" s="430" t="e">
        <f>VLOOKUP(B63,正厂竞争者数据汇总!D:H,4,FALSE)</f>
        <v>#N/A</v>
      </c>
      <c r="F63" s="430">
        <v>206439.333333333</v>
      </c>
      <c r="G63" s="430">
        <v>232313.25</v>
      </c>
      <c r="H63" s="430">
        <v>254182.666666667</v>
      </c>
      <c r="I63" s="453">
        <f t="shared" si="8"/>
        <v>-0.111375122454991</v>
      </c>
      <c r="J63" s="451">
        <v>0.128964641441189</v>
      </c>
      <c r="K63" s="451">
        <v>0.138740388861725</v>
      </c>
      <c r="L63" s="451">
        <v>0.140434796049321</v>
      </c>
      <c r="M63" s="451">
        <v>0.146115758933283</v>
      </c>
      <c r="N63" s="451">
        <f t="shared" si="9"/>
        <v>-0.017151117492094</v>
      </c>
      <c r="O63" s="455"/>
      <c r="P63" s="436"/>
      <c r="Q63" s="471" t="e">
        <f t="array" ref="Q63">INDEX(正厂竞争者数据汇总!$I$2:$I$243,MATCH($A$59&amp;$B63,正厂竞争者数据汇总!$A$2:$A$243&amp;正厂竞争者数据汇总!$D$2:$D$243,0))</f>
        <v>#N/A</v>
      </c>
      <c r="R63" s="434"/>
      <c r="S63" s="435"/>
      <c r="T63" s="473" t="e">
        <f>VLOOKUP(B63,正厂竞争者数据汇总!$D$2:$CL$243,25,FALSE)</f>
        <v>#N/A</v>
      </c>
      <c r="U63" s="477"/>
      <c r="V63" s="466"/>
      <c r="W63" s="435"/>
      <c r="X63" s="435"/>
    </row>
    <row r="64" s="410" customFormat="1" spans="1:24">
      <c r="A64" s="428" t="s">
        <v>243</v>
      </c>
      <c r="B64" s="431" t="s">
        <v>537</v>
      </c>
      <c r="C64" s="429" t="e">
        <f>VLOOKUP(B64,正厂竞争者数据汇总!D:H,2,FALSE)</f>
        <v>#N/A</v>
      </c>
      <c r="D64" s="421" t="s">
        <v>266</v>
      </c>
      <c r="E64" s="430" t="e">
        <f>VLOOKUP(B64,正厂竞争者数据汇总!D:H,4,FALSE)</f>
        <v>#N/A</v>
      </c>
      <c r="F64" s="430">
        <v>134109.583333333</v>
      </c>
      <c r="G64" s="430">
        <v>140939.166666667</v>
      </c>
      <c r="H64" s="430">
        <v>150140.25</v>
      </c>
      <c r="I64" s="453">
        <f t="shared" si="8"/>
        <v>-0.048457667906371</v>
      </c>
      <c r="J64" s="451">
        <v>0.083779549416022</v>
      </c>
      <c r="K64" s="451">
        <v>0.0824477834704117</v>
      </c>
      <c r="L64" s="451">
        <v>0.0851985976959758</v>
      </c>
      <c r="M64" s="451">
        <v>0.0863074452041689</v>
      </c>
      <c r="N64" s="451">
        <f t="shared" si="9"/>
        <v>-0.0025278957881469</v>
      </c>
      <c r="O64" s="451" t="str">
        <f t="shared" si="10"/>
        <v/>
      </c>
      <c r="P64" s="430" t="s">
        <v>180</v>
      </c>
      <c r="Q64" s="471" t="e">
        <f t="array" ref="Q64">INDEX(正厂竞争者数据汇总!$I$2:$I$243,MATCH($A$59&amp;$B64,正厂竞争者数据汇总!$A$2:$A$243&amp;正厂竞争者数据汇总!$D$2:$D$243,0))</f>
        <v>#N/A</v>
      </c>
      <c r="R64" s="429" t="s">
        <v>180</v>
      </c>
      <c r="S64" s="435" t="s">
        <v>180</v>
      </c>
      <c r="T64" s="473" t="e">
        <f>VLOOKUP(B64,正厂竞争者数据汇总!$D$2:$CL$243,25,FALSE)</f>
        <v>#N/A</v>
      </c>
      <c r="U64" s="466"/>
      <c r="V64" s="466"/>
      <c r="W64" s="421"/>
      <c r="X64" s="421"/>
    </row>
    <row r="65" s="408" customFormat="1" spans="1:24">
      <c r="A65" s="428" t="s">
        <v>230</v>
      </c>
      <c r="B65" s="438" t="s">
        <v>538</v>
      </c>
      <c r="C65" s="429" t="e">
        <f>VLOOKUP(B65,正厂竞争者数据汇总!D:H,2,FALSE)</f>
        <v>#N/A</v>
      </c>
      <c r="D65" s="421" t="e">
        <f>VLOOKUP(B65,正厂竞争者数据汇总!D:H,3,FALSE)</f>
        <v>#N/A</v>
      </c>
      <c r="E65" s="430"/>
      <c r="F65" s="430">
        <v>142559.083333333</v>
      </c>
      <c r="G65" s="430">
        <v>143044.166666667</v>
      </c>
      <c r="H65" s="430">
        <v>174238</v>
      </c>
      <c r="I65" s="453">
        <f t="shared" si="8"/>
        <v>-0.00339114376096439</v>
      </c>
      <c r="J65" s="451">
        <v>0.0890580335123538</v>
      </c>
      <c r="K65" s="451">
        <v>0.0819465504039606</v>
      </c>
      <c r="L65" s="451">
        <v>0.0864710832114762</v>
      </c>
      <c r="M65" s="451">
        <v>0.100159928050499</v>
      </c>
      <c r="N65" s="451">
        <f t="shared" si="9"/>
        <v>-0.0111018945381452</v>
      </c>
      <c r="O65" s="451"/>
      <c r="P65" s="430"/>
      <c r="Q65" s="471" t="e">
        <f t="array" ref="Q65">INDEX(正厂竞争者数据汇总!$I$2:$I$243,MATCH($A$59&amp;$B65,正厂竞争者数据汇总!$A$2:$A$243&amp;正厂竞争者数据汇总!$D$2:$D$243,0))</f>
        <v>#N/A</v>
      </c>
      <c r="R65" s="429"/>
      <c r="S65" s="435"/>
      <c r="T65" s="473"/>
      <c r="U65" s="466"/>
      <c r="V65" s="466"/>
      <c r="W65" s="421"/>
      <c r="X65" s="421"/>
    </row>
    <row r="66" s="408" customFormat="1" spans="1:24">
      <c r="A66" s="428" t="s">
        <v>243</v>
      </c>
      <c r="B66" s="438" t="s">
        <v>539</v>
      </c>
      <c r="C66" s="429" t="e">
        <f>VLOOKUP(B66,正厂竞争者数据汇总!D:H,2,FALSE)</f>
        <v>#N/A</v>
      </c>
      <c r="D66" s="421" t="e">
        <f>VLOOKUP(B66,正厂竞争者数据汇总!D:H,3,FALSE)</f>
        <v>#N/A</v>
      </c>
      <c r="E66" s="430" t="e">
        <f>VLOOKUP(B66,正厂竞争者数据汇总!D:H,4,FALSE)</f>
        <v>#N/A</v>
      </c>
      <c r="F66" s="430">
        <v>80035.9166666668</v>
      </c>
      <c r="G66" s="430">
        <v>122160.916666667</v>
      </c>
      <c r="H66" s="430">
        <v>136893.75</v>
      </c>
      <c r="I66" s="453">
        <f t="shared" si="8"/>
        <v>-0.34483205553331</v>
      </c>
      <c r="J66" s="459">
        <v>0.0499992086230351</v>
      </c>
      <c r="K66" s="459">
        <v>0.0626009558914436</v>
      </c>
      <c r="L66" s="459">
        <v>0.0738470294625102</v>
      </c>
      <c r="M66" s="459">
        <v>0.0786927544540401</v>
      </c>
      <c r="N66" s="451">
        <f t="shared" si="9"/>
        <v>-0.028693545831005</v>
      </c>
      <c r="O66" s="451" t="str">
        <f t="shared" si="10"/>
        <v/>
      </c>
      <c r="P66" s="430" t="s">
        <v>180</v>
      </c>
      <c r="Q66" s="471" t="e">
        <f t="array" ref="Q66">INDEX(正厂竞争者数据汇总!$I$2:$I$243,MATCH($A$59&amp;$B66,正厂竞争者数据汇总!$A$2:$A$243&amp;正厂竞争者数据汇总!$D$2:$D$243,0))</f>
        <v>#N/A</v>
      </c>
      <c r="R66" s="429" t="s">
        <v>180</v>
      </c>
      <c r="S66" s="435" t="s">
        <v>180</v>
      </c>
      <c r="T66" s="473" t="e">
        <f>VLOOKUP(B66,正厂竞争者数据汇总!$D$2:$CL$243,25,FALSE)</f>
        <v>#N/A</v>
      </c>
      <c r="U66" s="466"/>
      <c r="V66" s="466"/>
      <c r="W66" s="421"/>
      <c r="X66" s="421"/>
    </row>
    <row r="67" s="408" customFormat="1" spans="1:24">
      <c r="A67" s="428" t="s">
        <v>243</v>
      </c>
      <c r="B67" s="438" t="s">
        <v>540</v>
      </c>
      <c r="C67" s="429" t="e">
        <f>VLOOKUP(B67,正厂竞争者数据汇总!D:H,2,FALSE)</f>
        <v>#N/A</v>
      </c>
      <c r="D67" s="421" t="e">
        <f>VLOOKUP(B67,正厂竞争者数据汇总!D:H,3,FALSE)</f>
        <v>#N/A</v>
      </c>
      <c r="E67" s="430"/>
      <c r="F67" s="430">
        <v>93100.5833333332</v>
      </c>
      <c r="G67" s="430">
        <v>101339.25</v>
      </c>
      <c r="H67" s="430">
        <v>100570.25</v>
      </c>
      <c r="I67" s="453">
        <f t="shared" si="8"/>
        <v>-0.0812978847452177</v>
      </c>
      <c r="J67" s="451">
        <v>0.0581608318224995</v>
      </c>
      <c r="K67" s="451">
        <v>0.0643925112133421</v>
      </c>
      <c r="L67" s="451">
        <v>0.061260203219322</v>
      </c>
      <c r="M67" s="451">
        <v>0.0578123543889434</v>
      </c>
      <c r="N67" s="451">
        <f t="shared" si="9"/>
        <v>0.000348477433556101</v>
      </c>
      <c r="O67" s="451"/>
      <c r="P67" s="430"/>
      <c r="Q67" s="471" t="e">
        <f t="array" ref="Q67">INDEX(正厂竞争者数据汇总!$I$2:$I$243,MATCH($A$59&amp;$B67,正厂竞争者数据汇总!$A$2:$A$243&amp;正厂竞争者数据汇总!$D$2:$D$243,0))</f>
        <v>#N/A</v>
      </c>
      <c r="R67" s="429"/>
      <c r="S67" s="435"/>
      <c r="T67" s="473"/>
      <c r="U67" s="466"/>
      <c r="V67" s="466"/>
      <c r="W67" s="421"/>
      <c r="X67" s="421"/>
    </row>
    <row r="68" s="408" customFormat="1" spans="1:24">
      <c r="A68" s="428" t="s">
        <v>230</v>
      </c>
      <c r="B68" s="438" t="s">
        <v>541</v>
      </c>
      <c r="C68" s="429" t="str">
        <f>VLOOKUP(B68,正厂竞争者数据汇总!D:H,2,FALSE)</f>
        <v>原厂目录</v>
      </c>
      <c r="D68" s="421" t="str">
        <f>VLOOKUP(B68,正厂竞争者数据汇总!D:H,3,FALSE)</f>
        <v>NY</v>
      </c>
      <c r="E68" s="430">
        <f>VLOOKUP(B68,正厂竞争者数据汇总!D:H,4,FALSE)</f>
        <v>0</v>
      </c>
      <c r="F68" s="430">
        <v>43507.3333333334</v>
      </c>
      <c r="G68" s="430">
        <v>46226.6666666667</v>
      </c>
      <c r="H68" s="430">
        <v>43348.25</v>
      </c>
      <c r="I68" s="453">
        <f t="shared" si="8"/>
        <v>-0.0588260744159208</v>
      </c>
      <c r="J68" s="451">
        <v>0.0271794505087645</v>
      </c>
      <c r="K68" s="451">
        <v>0.0334211326844714</v>
      </c>
      <c r="L68" s="451">
        <v>0.0279443058257473</v>
      </c>
      <c r="M68" s="451">
        <v>0.0249185459033911</v>
      </c>
      <c r="N68" s="451">
        <f t="shared" si="9"/>
        <v>0.0022609046053734</v>
      </c>
      <c r="O68" s="451" t="str">
        <f>IFERROR(P68*0.5/F$64,"")</f>
        <v/>
      </c>
      <c r="P68" s="430" t="s">
        <v>180</v>
      </c>
      <c r="Q68" s="471" t="str">
        <f t="array" ref="Q68">INDEX(正厂竞争者数据汇总!$I$2:$I$243,MATCH($A$59&amp;$B68,正厂竞争者数据汇总!$A$2:$A$243&amp;正厂竞争者数据汇总!$D$2:$D$243,0))</f>
        <v>2023年2月加入MarketingShare</v>
      </c>
      <c r="R68" s="429" t="s">
        <v>180</v>
      </c>
      <c r="S68" s="435" t="s">
        <v>180</v>
      </c>
      <c r="T68" s="473">
        <f>VLOOKUP(B68,正厂竞争者数据汇总!$D$2:$CL$243,25,FALSE)</f>
        <v>0</v>
      </c>
      <c r="U68" s="466"/>
      <c r="V68" s="466"/>
      <c r="W68" s="421"/>
      <c r="X68" s="421"/>
    </row>
    <row r="69" s="410" customFormat="1" spans="1:24">
      <c r="A69" s="428" t="s">
        <v>230</v>
      </c>
      <c r="B69" s="438" t="s">
        <v>508</v>
      </c>
      <c r="C69" s="429" t="e">
        <f>VLOOKUP(B69,正厂竞争者数据汇总!D:H,2,FALSE)</f>
        <v>#N/A</v>
      </c>
      <c r="D69" s="421" t="e">
        <f>VLOOKUP(B69,正厂竞争者数据汇总!D:H,3,FALSE)</f>
        <v>#N/A</v>
      </c>
      <c r="E69" s="430" t="e">
        <f>VLOOKUP(B66,正厂竞争者数据汇总!D:H,4,FALSE)</f>
        <v>#N/A</v>
      </c>
      <c r="F69" s="430">
        <v>26283.1116666666</v>
      </c>
      <c r="G69" s="430">
        <v>34394.7975</v>
      </c>
      <c r="H69" s="430">
        <v>37000.7266666667</v>
      </c>
      <c r="I69" s="453">
        <f t="shared" si="8"/>
        <v>-0.23584048818236</v>
      </c>
      <c r="J69" s="451">
        <v>0.0164193132060609</v>
      </c>
      <c r="K69" s="451">
        <v>0.0198839624560038</v>
      </c>
      <c r="L69" s="451">
        <v>0.0207918677564461</v>
      </c>
      <c r="M69" s="451">
        <v>0.0212697007584426</v>
      </c>
      <c r="N69" s="451">
        <f t="shared" si="9"/>
        <v>-0.0048503875523817</v>
      </c>
      <c r="O69" s="455"/>
      <c r="P69" s="436"/>
      <c r="Q69" s="471" t="e">
        <f t="array" ref="Q69">INDEX(正厂竞争者数据汇总!$I$2:$I$243,MATCH($A$59&amp;$B69,正厂竞争者数据汇总!$A$2:$A$243&amp;正厂竞争者数据汇总!$D$2:$D$243,0))</f>
        <v>#N/A</v>
      </c>
      <c r="R69" s="434"/>
      <c r="S69" s="435"/>
      <c r="T69" s="473" t="e">
        <f>VLOOKUP(B69,正厂竞争者数据汇总!$D$2:$CL$243,25,FALSE)</f>
        <v>#N/A</v>
      </c>
      <c r="U69" s="477"/>
      <c r="V69" s="466"/>
      <c r="W69" s="435"/>
      <c r="X69" s="435"/>
    </row>
    <row r="70" s="408" customFormat="1" spans="1:24">
      <c r="A70" s="428" t="s">
        <v>230</v>
      </c>
      <c r="B70" t="s">
        <v>542</v>
      </c>
      <c r="C70" s="429" t="e">
        <f>VLOOKUP(B70,正厂竞争者数据汇总!D:H,2,FALSE)</f>
        <v>#N/A</v>
      </c>
      <c r="D70" s="421" t="e">
        <f>VLOOKUP(B70,正厂竞争者数据汇总!D:H,3,FALSE)</f>
        <v>#N/A</v>
      </c>
      <c r="E70" s="430"/>
      <c r="F70" s="430">
        <v>66575</v>
      </c>
      <c r="G70" s="430">
        <v>65267.1666666667</v>
      </c>
      <c r="H70" s="430">
        <v>33809.5</v>
      </c>
      <c r="I70" s="453">
        <f t="shared" si="8"/>
        <v>0.0200381508823981</v>
      </c>
      <c r="J70" s="451">
        <v>0.0415900442290416</v>
      </c>
      <c r="K70" s="451">
        <v>0.038526267177363</v>
      </c>
      <c r="L70" s="451">
        <v>0.0394544058057402</v>
      </c>
      <c r="M70" s="451">
        <v>0.0194352385095292</v>
      </c>
      <c r="N70" s="451">
        <f t="shared" si="9"/>
        <v>0.0221548057195124</v>
      </c>
      <c r="O70" s="451"/>
      <c r="P70" s="430"/>
      <c r="Q70" s="471" t="e">
        <f t="array" ref="Q70">INDEX(正厂竞争者数据汇总!$I$2:$I$243,MATCH($A$59&amp;$B70,正厂竞争者数据汇总!$A$2:$A$243&amp;正厂竞争者数据汇总!$D$2:$D$243,0))</f>
        <v>#N/A</v>
      </c>
      <c r="R70" s="429"/>
      <c r="S70" s="435"/>
      <c r="T70" s="473"/>
      <c r="U70" s="466"/>
      <c r="V70" s="466"/>
      <c r="W70" s="421"/>
      <c r="X70" s="421"/>
    </row>
    <row r="71" s="408" customFormat="1" spans="1:24">
      <c r="A71" s="428"/>
      <c r="B71" s="438"/>
      <c r="C71" s="429"/>
      <c r="D71" s="421"/>
      <c r="E71" s="430"/>
      <c r="F71" s="430"/>
      <c r="G71" s="430"/>
      <c r="H71" s="430"/>
      <c r="I71" s="453"/>
      <c r="J71" s="451"/>
      <c r="K71" s="451"/>
      <c r="L71" s="451"/>
      <c r="M71" s="451"/>
      <c r="N71" s="451"/>
      <c r="O71" s="451"/>
      <c r="P71" s="430"/>
      <c r="Q71" s="471"/>
      <c r="R71" s="429"/>
      <c r="S71" s="435"/>
      <c r="T71" s="473"/>
      <c r="U71" s="466"/>
      <c r="V71" s="466"/>
      <c r="W71" s="421"/>
      <c r="X71" s="421"/>
    </row>
    <row r="72" s="408" customFormat="1" spans="1:24">
      <c r="A72" s="428" t="s">
        <v>230</v>
      </c>
      <c r="B72" s="438" t="s">
        <v>543</v>
      </c>
      <c r="C72" s="429" t="e">
        <f>VLOOKUP(B72,正厂竞争者数据汇总!D:H,2,FALSE)</f>
        <v>#N/A</v>
      </c>
      <c r="D72" s="421" t="e">
        <f>VLOOKUP(B72,正厂竞争者数据汇总!D:H,3,FALSE)</f>
        <v>#N/A</v>
      </c>
      <c r="E72" s="430"/>
      <c r="F72" s="430">
        <v>106001.916666667</v>
      </c>
      <c r="G72" s="430">
        <v>77011.5833333333</v>
      </c>
      <c r="H72" s="430">
        <v>79908.5833333333</v>
      </c>
      <c r="I72" s="453"/>
      <c r="J72" s="451">
        <v>0.0662204191142301</v>
      </c>
      <c r="K72" s="451">
        <v>0.0568786348761752</v>
      </c>
      <c r="L72" s="451">
        <v>0.0465539782980607</v>
      </c>
      <c r="M72" s="451">
        <v>0.0459350885414433</v>
      </c>
      <c r="N72" s="451"/>
      <c r="O72" s="451"/>
      <c r="P72" s="430"/>
      <c r="Q72" s="471" t="e">
        <f t="array" ref="Q72">INDEX(正厂竞争者数据汇总!$I$2:$I$243,MATCH($A$59&amp;$B72,正厂竞争者数据汇总!$A$2:$A$243&amp;正厂竞争者数据汇总!$D$2:$D$243,0))</f>
        <v>#N/A</v>
      </c>
      <c r="R72" s="429"/>
      <c r="S72" s="435"/>
      <c r="T72" s="473"/>
      <c r="U72" s="466"/>
      <c r="V72" s="466"/>
      <c r="W72" s="421"/>
      <c r="X72" s="421"/>
    </row>
    <row r="73" s="410" customFormat="1" spans="1:24">
      <c r="A73" s="428" t="s">
        <v>230</v>
      </c>
      <c r="B73" s="431" t="s">
        <v>524</v>
      </c>
      <c r="C73" s="429" t="e">
        <f>VLOOKUP(B73,正厂竞争者数据汇总!D:H,2,FALSE)</f>
        <v>#N/A</v>
      </c>
      <c r="D73" s="421" t="e">
        <f>VLOOKUP(B73,正厂竞争者数据汇总!D:H,3,FALSE)</f>
        <v>#N/A</v>
      </c>
      <c r="E73" s="430"/>
      <c r="F73" s="430">
        <v>48551.79</v>
      </c>
      <c r="G73" s="430">
        <v>57209.9733333333</v>
      </c>
      <c r="H73" s="430">
        <v>41851.6466666667</v>
      </c>
      <c r="I73" s="453"/>
      <c r="J73" s="451">
        <v>0.0303307712129049</v>
      </c>
      <c r="K73" s="451">
        <v>0.0335768521702219</v>
      </c>
      <c r="L73" s="451">
        <v>0.0345837826170215</v>
      </c>
      <c r="M73" s="451">
        <v>0.0240582302306515</v>
      </c>
      <c r="N73" s="451"/>
      <c r="O73" s="455"/>
      <c r="P73" s="436"/>
      <c r="Q73" s="471" t="e">
        <f t="array" ref="Q73">INDEX(正厂竞争者数据汇总!$I$2:$I$243,MATCH($A$59&amp;$B73,正厂竞争者数据汇总!$A$2:$A$243&amp;正厂竞争者数据汇总!$D$2:$D$243,0))</f>
        <v>#N/A</v>
      </c>
      <c r="R73" s="434"/>
      <c r="S73" s="435"/>
      <c r="T73" s="473"/>
      <c r="U73" s="477"/>
      <c r="V73" s="466"/>
      <c r="W73" s="435"/>
      <c r="X73" s="435"/>
    </row>
    <row r="74" s="410" customFormat="1" spans="1:24">
      <c r="A74" s="428" t="s">
        <v>230</v>
      </c>
      <c r="B74" s="431" t="s">
        <v>510</v>
      </c>
      <c r="C74" s="429" t="e">
        <f>VLOOKUP(B74,正厂竞争者数据汇总!D:H,2,FALSE)</f>
        <v>#N/A</v>
      </c>
      <c r="D74" s="421" t="e">
        <f>VLOOKUP(B74,正厂竞争者数据汇总!D:H,3,FALSE)</f>
        <v>#N/A</v>
      </c>
      <c r="E74" s="430"/>
      <c r="F74" s="430">
        <v>3017.53833333333</v>
      </c>
      <c r="G74" s="430">
        <v>13479.4275</v>
      </c>
      <c r="H74" s="430">
        <v>21416.835</v>
      </c>
      <c r="I74" s="453"/>
      <c r="J74" s="451">
        <v>0.00188508528345718</v>
      </c>
      <c r="K74" s="451">
        <v>0.00432104736864931</v>
      </c>
      <c r="L74" s="451">
        <v>0.00814839726887773</v>
      </c>
      <c r="M74" s="451">
        <v>0.0123113709562174</v>
      </c>
      <c r="N74" s="451"/>
      <c r="O74" s="455"/>
      <c r="P74" s="436"/>
      <c r="Q74" s="471" t="e">
        <f t="array" ref="Q74">INDEX(正厂竞争者数据汇总!$I$2:$I$243,MATCH($A$59&amp;$B74,正厂竞争者数据汇总!$A$2:$A$243&amp;正厂竞争者数据汇总!$D$2:$D$243,0))</f>
        <v>#N/A</v>
      </c>
      <c r="R74" s="434"/>
      <c r="S74" s="435"/>
      <c r="T74" s="473"/>
      <c r="U74" s="477"/>
      <c r="V74" s="466"/>
      <c r="W74" s="435"/>
      <c r="X74" s="435"/>
    </row>
    <row r="75" s="408" customFormat="1" ht="17.4" spans="1:24">
      <c r="A75" s="428" t="s">
        <v>544</v>
      </c>
      <c r="B75" s="478" t="s">
        <v>545</v>
      </c>
      <c r="C75" s="429" t="str">
        <f>VLOOKUP(B75,正厂竞争者数据汇总!D:H,2,FALSE)</f>
        <v>Motor目录</v>
      </c>
      <c r="D75" s="421" t="str">
        <f>VLOOKUP(B75,正厂竞争者数据汇总!D:H,3,FALSE)</f>
        <v>MI</v>
      </c>
      <c r="E75" s="430">
        <f>VLOOKUP(B75,正厂竞争者数据汇总!D:H,4,FALSE)</f>
        <v>0</v>
      </c>
      <c r="F75" s="430">
        <v>482757.583333333</v>
      </c>
      <c r="G75" s="430">
        <v>403366.916666667</v>
      </c>
      <c r="H75" s="430">
        <v>349938.666666667</v>
      </c>
      <c r="I75" s="453"/>
      <c r="J75" s="451"/>
      <c r="K75" s="451"/>
      <c r="L75" s="451"/>
      <c r="M75" s="451"/>
      <c r="N75" s="451"/>
      <c r="O75" s="451" t="str">
        <f>IFERROR(P75*0.5/F$64,"")</f>
        <v/>
      </c>
      <c r="P75" s="430" t="s">
        <v>180</v>
      </c>
      <c r="Q75" s="471" t="str">
        <f t="array" ref="Q75">INDEX(正厂竞争者数据汇总!$I$2:$I$243,MATCH($A$59&amp;$B75,正厂竞争者数据汇总!$A$2:$A$243&amp;正厂竞争者数据汇总!$D$2:$D$243,0))</f>
        <v>网址更新</v>
      </c>
      <c r="R75" s="429" t="s">
        <v>180</v>
      </c>
      <c r="S75" s="435" t="s">
        <v>180</v>
      </c>
      <c r="T75" s="473">
        <f>VLOOKUP(B75,正厂竞争者数据汇总!$D$2:$CL$243,25,FALSE)</f>
        <v>343683</v>
      </c>
      <c r="U75" s="466"/>
      <c r="V75" s="466"/>
      <c r="W75" s="421"/>
      <c r="X75" s="421"/>
    </row>
    <row r="76" s="410" customFormat="1" spans="1:24">
      <c r="A76" s="428"/>
      <c r="B76" s="431"/>
      <c r="C76" s="429"/>
      <c r="D76" s="421"/>
      <c r="E76" s="430"/>
      <c r="F76" s="430"/>
      <c r="G76" s="430"/>
      <c r="H76" s="430"/>
      <c r="I76" s="453"/>
      <c r="J76" s="451"/>
      <c r="K76" s="451"/>
      <c r="L76" s="451"/>
      <c r="M76" s="451"/>
      <c r="N76" s="451"/>
      <c r="O76" s="455"/>
      <c r="P76" s="436"/>
      <c r="Q76" s="471"/>
      <c r="R76" s="434"/>
      <c r="S76" s="435"/>
      <c r="T76" s="473"/>
      <c r="U76" s="477"/>
      <c r="V76" s="466"/>
      <c r="W76" s="435"/>
      <c r="X76" s="435"/>
    </row>
    <row r="77" s="408" customFormat="1" spans="1:24">
      <c r="A77" s="428"/>
      <c r="B77" s="421"/>
      <c r="C77" s="439"/>
      <c r="D77" s="421"/>
      <c r="E77" s="430"/>
      <c r="F77" s="430">
        <v>1600743.66916667</v>
      </c>
      <c r="G77" s="430">
        <v>1654242.79833333</v>
      </c>
      <c r="H77" s="430">
        <v>1739597.895</v>
      </c>
      <c r="I77" s="453">
        <f t="shared" ref="I77:I88" si="11">(F77/G77)-1</f>
        <v>-0.032340554373615</v>
      </c>
      <c r="J77" s="430"/>
      <c r="K77" s="430"/>
      <c r="L77" s="430"/>
      <c r="M77" s="430"/>
      <c r="N77" s="451"/>
      <c r="O77" s="451"/>
      <c r="P77" s="430"/>
      <c r="Q77" s="471"/>
      <c r="R77" s="429"/>
      <c r="S77" s="421"/>
      <c r="T77" s="473"/>
      <c r="U77" s="466"/>
      <c r="V77" s="466"/>
      <c r="W77" s="421"/>
      <c r="X77" s="421"/>
    </row>
    <row r="78" s="408" customFormat="1" spans="1:24">
      <c r="A78" s="428"/>
      <c r="B78" s="421"/>
      <c r="C78" s="439"/>
      <c r="D78" s="421"/>
      <c r="E78" s="430"/>
      <c r="F78" s="430"/>
      <c r="G78" s="430"/>
      <c r="H78" s="430"/>
      <c r="I78" s="453"/>
      <c r="J78" s="430"/>
      <c r="K78" s="430"/>
      <c r="L78" s="430"/>
      <c r="M78" s="430"/>
      <c r="N78" s="451"/>
      <c r="O78" s="451"/>
      <c r="P78" s="430"/>
      <c r="Q78" s="471"/>
      <c r="R78" s="429"/>
      <c r="S78" s="421"/>
      <c r="T78" s="473"/>
      <c r="U78" s="466"/>
      <c r="V78" s="466"/>
      <c r="W78" s="421"/>
      <c r="X78" s="421"/>
    </row>
    <row r="79" s="408" customFormat="1" ht="17.4" spans="1:24">
      <c r="A79" s="418" t="s">
        <v>152</v>
      </c>
      <c r="B79" s="419"/>
      <c r="C79" s="420"/>
      <c r="D79" s="421"/>
      <c r="E79" s="422" t="s">
        <v>202</v>
      </c>
      <c r="F79" s="422"/>
      <c r="G79" s="422"/>
      <c r="H79" s="422"/>
      <c r="I79" s="422"/>
      <c r="J79" s="422"/>
      <c r="K79" s="422"/>
      <c r="L79" s="422"/>
      <c r="M79" s="422"/>
      <c r="N79" s="443"/>
      <c r="O79" s="444"/>
      <c r="P79" s="422"/>
      <c r="Q79" s="471"/>
      <c r="R79" s="465"/>
      <c r="S79" s="424"/>
      <c r="T79" s="473"/>
      <c r="U79" s="467"/>
      <c r="V79" s="467"/>
      <c r="W79" s="467"/>
      <c r="X79" s="467"/>
    </row>
    <row r="80" s="409" customFormat="1" ht="46.8" spans="1:24">
      <c r="A80" s="423" t="s">
        <v>206</v>
      </c>
      <c r="B80" s="424" t="s">
        <v>207</v>
      </c>
      <c r="C80" s="425" t="s">
        <v>208</v>
      </c>
      <c r="D80" s="424" t="s">
        <v>209</v>
      </c>
      <c r="E80" s="426" t="s">
        <v>210</v>
      </c>
      <c r="F80" s="427" t="s">
        <v>496</v>
      </c>
      <c r="G80" s="427" t="s">
        <v>633</v>
      </c>
      <c r="H80" s="427" t="s">
        <v>634</v>
      </c>
      <c r="I80" s="427" t="s">
        <v>635</v>
      </c>
      <c r="J80" s="446" t="s">
        <v>390</v>
      </c>
      <c r="K80" s="446" t="s">
        <v>629</v>
      </c>
      <c r="L80" s="446" t="s">
        <v>630</v>
      </c>
      <c r="M80" s="446" t="s">
        <v>631</v>
      </c>
      <c r="N80" s="447" t="s">
        <v>632</v>
      </c>
      <c r="O80" s="448" t="s">
        <v>219</v>
      </c>
      <c r="P80" s="449" t="s">
        <v>220</v>
      </c>
      <c r="Q80" s="468" t="s">
        <v>221</v>
      </c>
      <c r="R80" s="469" t="s">
        <v>222</v>
      </c>
      <c r="S80" s="426" t="s">
        <v>223</v>
      </c>
      <c r="T80" s="470" t="s">
        <v>224</v>
      </c>
      <c r="U80" s="467" t="s">
        <v>225</v>
      </c>
      <c r="V80" s="470" t="s">
        <v>226</v>
      </c>
      <c r="W80" s="467"/>
      <c r="X80" s="467"/>
    </row>
    <row r="81" s="410" customFormat="1" ht="17.4" spans="1:24">
      <c r="A81" s="432" t="s">
        <v>227</v>
      </c>
      <c r="B81" s="435" t="s">
        <v>546</v>
      </c>
      <c r="C81" s="434" t="e">
        <f>VLOOKUP(B81,正厂竞争者数据汇总!D:H,2,FALSE)</f>
        <v>#N/A</v>
      </c>
      <c r="D81" s="435" t="e">
        <f>VLOOKUP(B81,正厂竞争者数据汇总!D:H,3,FALSE)</f>
        <v>#N/A</v>
      </c>
      <c r="E81" s="436" t="e">
        <f>VLOOKUP(B81,正厂竞争者数据汇总!D:H,4,FALSE)</f>
        <v>#N/A</v>
      </c>
      <c r="F81" s="436">
        <v>536019.166666667</v>
      </c>
      <c r="G81" s="436">
        <v>488293.25</v>
      </c>
      <c r="H81" s="436">
        <v>455699.25</v>
      </c>
      <c r="I81" s="454">
        <f t="shared" si="11"/>
        <v>0.097740275268329</v>
      </c>
      <c r="J81" s="457">
        <v>0.408448642468448</v>
      </c>
      <c r="K81" s="457">
        <v>0.384478953064256</v>
      </c>
      <c r="L81" s="457">
        <v>0.360102217419299</v>
      </c>
      <c r="M81" s="457">
        <v>0.333423908237882</v>
      </c>
      <c r="N81" s="456">
        <f t="shared" ref="N81:N88" si="12">J81-M81</f>
        <v>0.075024734230566</v>
      </c>
      <c r="O81" s="457" t="str">
        <f t="shared" ref="O81:O85" si="13">IFERROR(P81*0.5/$F$96,"")</f>
        <v/>
      </c>
      <c r="P81" s="436" t="s">
        <v>180</v>
      </c>
      <c r="Q81" s="471" t="e">
        <f t="array" ref="Q81">INDEX(正厂竞争者数据汇总!$I$2:$I$243,MATCH($A$79&amp;$B81,正厂竞争者数据汇总!$A$2:$A$243&amp;正厂竞争者数据汇总!$D$2:$D$243,0))</f>
        <v>#N/A</v>
      </c>
      <c r="R81" s="434" t="s">
        <v>268</v>
      </c>
      <c r="S81" s="435" t="s">
        <v>229</v>
      </c>
      <c r="T81" s="476" t="e">
        <f>VLOOKUP(B81,正厂竞争者数据汇总!$D$2:$CL$243,25,FALSE)</f>
        <v>#N/A</v>
      </c>
      <c r="U81" s="477"/>
      <c r="V81" s="477"/>
      <c r="W81" s="477"/>
      <c r="X81" s="477"/>
    </row>
    <row r="82" s="408" customFormat="1" spans="1:24">
      <c r="A82" s="428" t="s">
        <v>230</v>
      </c>
      <c r="B82" t="s">
        <v>507</v>
      </c>
      <c r="C82" s="429" t="e">
        <f>VLOOKUP(B82,正厂竞争者数据汇总!D:H,2,FALSE)</f>
        <v>#N/A</v>
      </c>
      <c r="D82" s="421" t="e">
        <f>VLOOKUP(B82,正厂竞争者数据汇总!D:H,3,FALSE)</f>
        <v>#N/A</v>
      </c>
      <c r="E82" s="430" t="e">
        <f>VLOOKUP(B82,正厂竞争者数据汇总!D:H,4,FALSE)</f>
        <v>#N/A</v>
      </c>
      <c r="F82" s="430">
        <v>241692.293333333</v>
      </c>
      <c r="G82" s="430">
        <v>306801.84</v>
      </c>
      <c r="H82" s="430">
        <v>324531.68</v>
      </c>
      <c r="I82" s="453">
        <f t="shared" si="11"/>
        <v>-0.212220196158755</v>
      </c>
      <c r="J82" s="451">
        <v>0.184170446219278</v>
      </c>
      <c r="K82" s="451">
        <v>0.208340362982055</v>
      </c>
      <c r="L82" s="451">
        <v>0.226257526378505</v>
      </c>
      <c r="M82" s="451">
        <v>0.237451830549657</v>
      </c>
      <c r="N82" s="451">
        <f t="shared" si="12"/>
        <v>-0.053281384330379</v>
      </c>
      <c r="O82" s="451" t="str">
        <f t="shared" si="13"/>
        <v/>
      </c>
      <c r="P82" s="430" t="s">
        <v>180</v>
      </c>
      <c r="Q82" s="471" t="e">
        <f t="array" ref="Q82">INDEX(正厂竞争者数据汇总!$I$2:$I$243,MATCH($A$79&amp;$B82,正厂竞争者数据汇总!$A$2:$A$243&amp;正厂竞争者数据汇总!$D$2:$D$243,0))</f>
        <v>#N/A</v>
      </c>
      <c r="R82" s="429" t="s">
        <v>180</v>
      </c>
      <c r="S82" s="421" t="s">
        <v>180</v>
      </c>
      <c r="T82" s="473" t="e">
        <f>VLOOKUP(B82,正厂竞争者数据汇总!$D$2:$CL$243,25,FALSE)</f>
        <v>#N/A</v>
      </c>
      <c r="U82" s="466">
        <f>VLOOKUP(B82,'Price &amp; Shipping'!B:DK,2,FALSE)</f>
        <v>0</v>
      </c>
      <c r="V82" s="466"/>
      <c r="W82" s="421"/>
      <c r="X82" s="421"/>
    </row>
    <row r="83" s="408" customFormat="1" spans="1:24">
      <c r="A83" s="428" t="s">
        <v>243</v>
      </c>
      <c r="B83" s="438" t="s">
        <v>270</v>
      </c>
      <c r="C83" s="429" t="str">
        <f>VLOOKUP(B83,正厂竞争者数据汇总!D:H,2,FALSE)</f>
        <v>Motor目录</v>
      </c>
      <c r="D83" s="421" t="str">
        <f>VLOOKUP(B83,正厂竞争者数据汇总!D:H,3,FALSE)</f>
        <v>FL</v>
      </c>
      <c r="E83" s="430">
        <f>VLOOKUP(B83,正厂竞争者数据汇总!D:H,4,FALSE)</f>
        <v>0</v>
      </c>
      <c r="F83" s="430">
        <v>203512.083333333</v>
      </c>
      <c r="G83" s="430">
        <v>198547.083333333</v>
      </c>
      <c r="H83" s="430">
        <v>184058.5</v>
      </c>
      <c r="I83" s="453">
        <f t="shared" si="11"/>
        <v>0.0250066629871588</v>
      </c>
      <c r="J83" s="451">
        <v>0.155076981072055</v>
      </c>
      <c r="K83" s="451">
        <v>0.143553366197232</v>
      </c>
      <c r="L83" s="451">
        <v>0.146422759213787</v>
      </c>
      <c r="M83" s="451">
        <v>0.134671067407731</v>
      </c>
      <c r="N83" s="451">
        <f t="shared" si="12"/>
        <v>0.020405913664324</v>
      </c>
      <c r="O83" s="451" t="str">
        <f t="shared" si="13"/>
        <v/>
      </c>
      <c r="P83" s="430" t="s">
        <v>180</v>
      </c>
      <c r="Q83" s="471">
        <f t="array" ref="Q83">INDEX(正厂竞争者数据汇总!$I$2:$I$243,MATCH($A$79&amp;$B83,正厂竞争者数据汇总!$A$2:$A$243&amp;正厂竞争者数据汇总!$D$2:$D$243,0))</f>
        <v>0</v>
      </c>
      <c r="R83" s="429" t="s">
        <v>180</v>
      </c>
      <c r="S83" s="421" t="s">
        <v>180</v>
      </c>
      <c r="T83" s="473">
        <f>VLOOKUP(B83,正厂竞争者数据汇总!$D$2:$CL$243,25,FALSE)</f>
        <v>269082</v>
      </c>
      <c r="U83" s="466"/>
      <c r="V83" s="466"/>
      <c r="W83" s="421"/>
      <c r="X83" s="421"/>
    </row>
    <row r="84" s="408" customFormat="1" spans="1:24">
      <c r="A84" s="428" t="s">
        <v>230</v>
      </c>
      <c r="B84" s="431" t="s">
        <v>547</v>
      </c>
      <c r="C84" s="429" t="e">
        <f>VLOOKUP(B84,正厂竞争者数据汇总!D:H,2,FALSE)</f>
        <v>#N/A</v>
      </c>
      <c r="D84" s="421" t="e">
        <f>VLOOKUP(B84,正厂竞争者数据汇总!D:H,3,FALSE)</f>
        <v>#N/A</v>
      </c>
      <c r="E84" s="430" t="e">
        <f>VLOOKUP(B84,正厂竞争者数据汇总!D:H,4,FALSE)</f>
        <v>#N/A</v>
      </c>
      <c r="F84" s="430">
        <v>95177</v>
      </c>
      <c r="G84" s="430">
        <v>100042.666666666</v>
      </c>
      <c r="H84" s="430">
        <v>109868.833333333</v>
      </c>
      <c r="I84" s="453">
        <f t="shared" si="11"/>
        <v>-0.0486359153427808</v>
      </c>
      <c r="J84" s="451">
        <v>0.0725252357783589</v>
      </c>
      <c r="K84" s="451">
        <v>0.0745712127618976</v>
      </c>
      <c r="L84" s="451">
        <v>0.0737785871568084</v>
      </c>
      <c r="M84" s="451">
        <v>0.0803883170831124</v>
      </c>
      <c r="N84" s="451">
        <f t="shared" si="12"/>
        <v>-0.00786308130475351</v>
      </c>
      <c r="O84" s="451" t="str">
        <f t="shared" si="13"/>
        <v/>
      </c>
      <c r="P84" s="430" t="s">
        <v>180</v>
      </c>
      <c r="Q84" s="471" t="e">
        <f t="array" ref="Q84">INDEX(正厂竞争者数据汇总!$I$2:$I$243,MATCH($A$79&amp;$B84,正厂竞争者数据汇总!$A$2:$A$243&amp;正厂竞争者数据汇总!$D$2:$D$243,0))</f>
        <v>#N/A</v>
      </c>
      <c r="R84" s="429" t="s">
        <v>180</v>
      </c>
      <c r="S84" s="421" t="s">
        <v>180</v>
      </c>
      <c r="T84" s="473" t="e">
        <f>VLOOKUP(B84,正厂竞争者数据汇总!$D$2:$CL$243,25,FALSE)</f>
        <v>#N/A</v>
      </c>
      <c r="U84" s="466"/>
      <c r="V84" s="466"/>
      <c r="W84" s="421"/>
      <c r="X84" s="421"/>
    </row>
    <row r="85" s="408" customFormat="1" spans="1:24">
      <c r="A85" s="428" t="s">
        <v>230</v>
      </c>
      <c r="B85" s="438" t="s">
        <v>548</v>
      </c>
      <c r="C85" s="429" t="e">
        <f>VLOOKUP(B85,正厂竞争者数据汇总!D:H,2,FALSE)</f>
        <v>#N/A</v>
      </c>
      <c r="D85" s="421" t="e">
        <f>VLOOKUP(B85,正厂竞争者数据汇总!D:H,3,FALSE)</f>
        <v>#N/A</v>
      </c>
      <c r="E85" s="430" t="e">
        <f>VLOOKUP(B85,正厂竞争者数据汇总!D:H,4,FALSE)</f>
        <v>#N/A</v>
      </c>
      <c r="F85" s="430">
        <v>98405.1666666667</v>
      </c>
      <c r="G85" s="430">
        <v>82161.8333333333</v>
      </c>
      <c r="H85" s="430">
        <v>90795.9166666667</v>
      </c>
      <c r="I85" s="453">
        <f t="shared" si="11"/>
        <v>0.197699256142857</v>
      </c>
      <c r="J85" s="451">
        <v>0.0749851110489793</v>
      </c>
      <c r="K85" s="451">
        <v>0.0678828111808882</v>
      </c>
      <c r="L85" s="451">
        <v>0.0605919872342454</v>
      </c>
      <c r="M85" s="451">
        <v>0.0664331341055336</v>
      </c>
      <c r="N85" s="451">
        <f t="shared" si="12"/>
        <v>0.0085519769434457</v>
      </c>
      <c r="O85" s="451" t="str">
        <f t="shared" si="13"/>
        <v/>
      </c>
      <c r="P85" s="430" t="s">
        <v>180</v>
      </c>
      <c r="Q85" s="471" t="e">
        <f t="array" ref="Q85">INDEX(正厂竞争者数据汇总!$I$2:$I$243,MATCH($A$79&amp;$B85,正厂竞争者数据汇总!$A$2:$A$243&amp;正厂竞争者数据汇总!$D$2:$D$243,0))</f>
        <v>#N/A</v>
      </c>
      <c r="R85" s="429" t="s">
        <v>180</v>
      </c>
      <c r="S85" s="421" t="s">
        <v>180</v>
      </c>
      <c r="T85" s="473" t="e">
        <f>VLOOKUP(B85,正厂竞争者数据汇总!$D$2:$CL$243,25,FALSE)</f>
        <v>#N/A</v>
      </c>
      <c r="U85" s="466"/>
      <c r="V85" s="466"/>
      <c r="W85" s="421"/>
      <c r="X85" s="421"/>
    </row>
    <row r="86" s="408" customFormat="1" spans="1:24">
      <c r="A86" s="428" t="s">
        <v>230</v>
      </c>
      <c r="B86" s="438" t="s">
        <v>508</v>
      </c>
      <c r="C86" s="429" t="e">
        <f>VLOOKUP(B86,正厂竞争者数据汇总!D:H,2,FALSE)</f>
        <v>#N/A</v>
      </c>
      <c r="D86" s="421" t="e">
        <f>VLOOKUP(B86,正厂竞争者数据汇总!D:H,3,FALSE)</f>
        <v>#N/A</v>
      </c>
      <c r="E86" s="430" t="e">
        <f>VLOOKUP(B86,正厂竞争者数据汇总!D:H,4,FALSE)</f>
        <v>#N/A</v>
      </c>
      <c r="F86" s="430">
        <v>78023.3683333333</v>
      </c>
      <c r="G86" s="430">
        <v>85081.8675</v>
      </c>
      <c r="H86" s="430">
        <v>91528.1133333333</v>
      </c>
      <c r="I86" s="453">
        <f t="shared" si="11"/>
        <v>-0.0829612627704334</v>
      </c>
      <c r="J86" s="451">
        <v>0.0594541032454977</v>
      </c>
      <c r="K86" s="451">
        <v>0.0609034452229521</v>
      </c>
      <c r="L86" s="451">
        <v>0.0627454283853504</v>
      </c>
      <c r="M86" s="451">
        <v>0.0669688643578848</v>
      </c>
      <c r="N86" s="451">
        <f t="shared" si="12"/>
        <v>-0.00751476111238709</v>
      </c>
      <c r="O86" s="451"/>
      <c r="P86" s="430"/>
      <c r="Q86" s="471" t="e">
        <f t="array" ref="Q86">INDEX(正厂竞争者数据汇总!$I$2:$I$243,MATCH($A$79&amp;$B86,正厂竞争者数据汇总!$A$2:$A$243&amp;正厂竞争者数据汇总!$D$2:$D$243,0))</f>
        <v>#N/A</v>
      </c>
      <c r="R86" s="429"/>
      <c r="S86" s="421"/>
      <c r="T86" s="473" t="e">
        <f>VLOOKUP(B86,正厂竞争者数据汇总!$D$2:$CL$243,25,FALSE)</f>
        <v>#N/A</v>
      </c>
      <c r="U86" s="466"/>
      <c r="V86" s="466"/>
      <c r="W86" s="421"/>
      <c r="X86" s="421"/>
    </row>
    <row r="87" s="408" customFormat="1" spans="1:24">
      <c r="A87" s="428" t="s">
        <v>230</v>
      </c>
      <c r="B87" s="431" t="s">
        <v>549</v>
      </c>
      <c r="C87" s="429" t="e">
        <f>VLOOKUP(B87,正厂竞争者数据汇总!D:H,2,FALSE)</f>
        <v>#N/A</v>
      </c>
      <c r="D87" s="421" t="e">
        <f>VLOOKUP(B87,正厂竞争者数据汇总!D:H,3,FALSE)</f>
        <v>#N/A</v>
      </c>
      <c r="E87" s="430" t="e">
        <f>VLOOKUP(B87,正厂竞争者数据汇总!D:H,4,FALSE)</f>
        <v>#N/A</v>
      </c>
      <c r="F87" s="430">
        <v>51069.75</v>
      </c>
      <c r="G87" s="430">
        <v>73452.0833333333</v>
      </c>
      <c r="H87" s="430">
        <v>72322.4166666667</v>
      </c>
      <c r="I87" s="453">
        <f t="shared" si="11"/>
        <v>-0.304720197407607</v>
      </c>
      <c r="J87" s="451">
        <v>0.0389153436217978</v>
      </c>
      <c r="K87" s="451">
        <v>0.0489280711351889</v>
      </c>
      <c r="L87" s="451">
        <v>0.0541687973003937</v>
      </c>
      <c r="M87" s="451">
        <v>0.0529165295273331</v>
      </c>
      <c r="N87" s="451">
        <f t="shared" si="12"/>
        <v>-0.0140011859055353</v>
      </c>
      <c r="O87" s="451" t="str">
        <f>IFERROR(P87*0.5/$F$96,"")</f>
        <v/>
      </c>
      <c r="P87" s="430" t="s">
        <v>180</v>
      </c>
      <c r="Q87" s="471" t="e">
        <f t="array" ref="Q87">INDEX(正厂竞争者数据汇总!$I$2:$I$243,MATCH($A$79&amp;$B87,正厂竞争者数据汇总!$A$2:$A$243&amp;正厂竞争者数据汇总!$D$2:$D$243,0))</f>
        <v>#N/A</v>
      </c>
      <c r="R87" s="429" t="s">
        <v>180</v>
      </c>
      <c r="S87" s="421" t="s">
        <v>180</v>
      </c>
      <c r="T87" s="473" t="e">
        <f>VLOOKUP(B87,正厂竞争者数据汇总!$D$2:$CL$243,25,FALSE)</f>
        <v>#N/A</v>
      </c>
      <c r="U87" s="466"/>
      <c r="V87" s="466"/>
      <c r="W87" s="421"/>
      <c r="X87" s="421"/>
    </row>
    <row r="88" s="410" customFormat="1" spans="1:24">
      <c r="A88" s="432" t="s">
        <v>227</v>
      </c>
      <c r="B88" s="435" t="s">
        <v>154</v>
      </c>
      <c r="C88" s="434" t="e">
        <f>VLOOKUP(B88,正厂竞争者数据汇总!D:H,2,FALSE)</f>
        <v>#N/A</v>
      </c>
      <c r="D88" s="435" t="e">
        <f>VLOOKUP(B88,正厂竞争者数据汇总!D:H,3,FALSE)</f>
        <v>#N/A</v>
      </c>
      <c r="E88" s="436" t="e">
        <f>VLOOKUP(B88,正厂竞争者数据汇总!D:H,4,FALSE)</f>
        <v>#N/A</v>
      </c>
      <c r="F88" s="436">
        <v>8430.58333333333</v>
      </c>
      <c r="G88" s="436">
        <v>21604.5</v>
      </c>
      <c r="H88" s="436">
        <v>37921.6666666667</v>
      </c>
      <c r="I88" s="454">
        <f t="shared" si="11"/>
        <v>-0.609776512609256</v>
      </c>
      <c r="J88" s="457">
        <v>0.00642413654558457</v>
      </c>
      <c r="K88" s="457">
        <v>0.0113417774555301</v>
      </c>
      <c r="L88" s="457">
        <v>0.0159326969116105</v>
      </c>
      <c r="M88" s="457">
        <v>0.0277463487308663</v>
      </c>
      <c r="N88" s="456">
        <f t="shared" si="12"/>
        <v>-0.0213222121852817</v>
      </c>
      <c r="O88" s="457" t="str">
        <f>IFERROR(P88*0.5/$F$96,"")</f>
        <v/>
      </c>
      <c r="P88" s="436" t="s">
        <v>180</v>
      </c>
      <c r="Q88" s="471" t="e">
        <f t="array" ref="Q88">INDEX(正厂竞争者数据汇总!$I$2:$I$243,MATCH($A$79&amp;$B88,正厂竞争者数据汇总!$A$2:$A$243&amp;正厂竞争者数据汇总!$D$2:$D$243,0))</f>
        <v>#N/A</v>
      </c>
      <c r="R88" s="434" t="s">
        <v>550</v>
      </c>
      <c r="S88" s="435" t="s">
        <v>229</v>
      </c>
      <c r="T88" s="476" t="e">
        <f>VLOOKUP(B88,正厂竞争者数据汇总!$D$2:$CL$243,25,FALSE)</f>
        <v>#N/A</v>
      </c>
      <c r="U88" s="477"/>
      <c r="V88" s="477"/>
      <c r="W88" s="435"/>
      <c r="X88" s="435"/>
    </row>
    <row r="89" s="410" customFormat="1" spans="1:24">
      <c r="A89" s="432"/>
      <c r="B89" s="435"/>
      <c r="C89" s="434"/>
      <c r="D89" s="435"/>
      <c r="E89" s="437"/>
      <c r="F89" s="430"/>
      <c r="G89" s="430"/>
      <c r="H89" s="430"/>
      <c r="I89" s="450"/>
      <c r="J89" s="457"/>
      <c r="K89" s="457"/>
      <c r="L89" s="457"/>
      <c r="M89" s="457"/>
      <c r="N89" s="452"/>
      <c r="O89" s="461"/>
      <c r="P89" s="462"/>
      <c r="Q89" s="471"/>
      <c r="R89" s="434"/>
      <c r="S89" s="435"/>
      <c r="T89" s="473"/>
      <c r="U89" s="477"/>
      <c r="V89" s="466"/>
      <c r="W89" s="435"/>
      <c r="X89" s="435"/>
    </row>
    <row r="90" s="408" customFormat="1" spans="1:24">
      <c r="A90" s="428" t="s">
        <v>230</v>
      </c>
      <c r="B90" s="421" t="s">
        <v>551</v>
      </c>
      <c r="C90" s="429" t="e">
        <f>VLOOKUP(B90,正厂竞争者数据汇总!D:H,2,FALSE)</f>
        <v>#N/A</v>
      </c>
      <c r="D90" s="421" t="e">
        <f>VLOOKUP(B90,正厂竞争者数据汇总!D:H,3,FALSE)</f>
        <v>#N/A</v>
      </c>
      <c r="E90" s="430"/>
      <c r="F90" s="430">
        <v>55112.8333333333</v>
      </c>
      <c r="G90" s="430">
        <v>69264.75</v>
      </c>
      <c r="H90" s="430">
        <v>61009.1666666667</v>
      </c>
      <c r="I90" s="453"/>
      <c r="J90" s="451">
        <v>0.041996188490007</v>
      </c>
      <c r="K90" s="451">
        <v>0.0515126726336764</v>
      </c>
      <c r="L90" s="451">
        <v>0.0510807594903133</v>
      </c>
      <c r="M90" s="451">
        <v>0.0446389033739606</v>
      </c>
      <c r="N90" s="452"/>
      <c r="O90" s="451"/>
      <c r="P90" s="430"/>
      <c r="Q90" s="471" t="e">
        <f t="array" ref="Q90">INDEX(正厂竞争者数据汇总!$I$2:$I$243,MATCH($A$79&amp;$B90,正厂竞争者数据汇总!$A$2:$A$243&amp;正厂竞争者数据汇总!$D$2:$D$243,0))</f>
        <v>#N/A</v>
      </c>
      <c r="R90" s="429"/>
      <c r="S90" s="421"/>
      <c r="T90" s="472"/>
      <c r="U90" s="466"/>
      <c r="V90" s="466"/>
      <c r="W90" s="421"/>
      <c r="X90" s="421"/>
    </row>
    <row r="91" s="408" customFormat="1" spans="1:24">
      <c r="A91" s="428" t="s">
        <v>230</v>
      </c>
      <c r="B91" s="421" t="s">
        <v>552</v>
      </c>
      <c r="C91" s="429" t="str">
        <f>VLOOKUP(B91,正厂竞争者数据汇总!D:H,2,FALSE)</f>
        <v>Motor目录</v>
      </c>
      <c r="D91" s="421" t="str">
        <f>VLOOKUP(B91,正厂竞争者数据汇总!D:H,3,FALSE)</f>
        <v>NY</v>
      </c>
      <c r="E91" s="430"/>
      <c r="F91" s="430">
        <v>31355.8333333333</v>
      </c>
      <c r="G91" s="430">
        <v>31801.3333333333</v>
      </c>
      <c r="H91" s="430">
        <v>42543.5833333333</v>
      </c>
      <c r="I91" s="453"/>
      <c r="J91" s="451">
        <v>0.0238932641870087</v>
      </c>
      <c r="K91" s="451">
        <v>0.0219747057369926</v>
      </c>
      <c r="L91" s="451">
        <v>0.0234525680013467</v>
      </c>
      <c r="M91" s="451">
        <v>0.0311280912256143</v>
      </c>
      <c r="N91" s="452"/>
      <c r="O91" s="451"/>
      <c r="P91" s="430"/>
      <c r="Q91" s="471" t="str">
        <f t="array" ref="Q91">INDEX(正厂竞争者数据汇总!$I$2:$I$243,MATCH($A$79&amp;$B91,正厂竞争者数据汇总!$A$2:$A$243&amp;正厂竞争者数据汇总!$D$2:$D$243,0))</f>
        <v>主营Acc</v>
      </c>
      <c r="R91" s="429"/>
      <c r="S91" s="421"/>
      <c r="T91" s="472"/>
      <c r="U91" s="466"/>
      <c r="V91" s="466"/>
      <c r="W91" s="421"/>
      <c r="X91" s="421"/>
    </row>
    <row r="92" s="408" customFormat="1" spans="1:24">
      <c r="A92" s="428" t="s">
        <v>230</v>
      </c>
      <c r="B92" s="431" t="s">
        <v>510</v>
      </c>
      <c r="C92" s="429" t="e">
        <f>VLOOKUP(B92,正厂竞争者数据汇总!D:H,2,FALSE)</f>
        <v>#N/A</v>
      </c>
      <c r="D92" s="421" t="e">
        <f>VLOOKUP(B92,正厂竞争者数据汇总!D:H,3,FALSE)</f>
        <v>#N/A</v>
      </c>
      <c r="E92" s="430"/>
      <c r="F92" s="430">
        <v>5212.11166666667</v>
      </c>
      <c r="G92" s="430">
        <v>23282.6475</v>
      </c>
      <c r="H92" s="430">
        <v>36992.715</v>
      </c>
      <c r="I92" s="453"/>
      <c r="J92" s="451">
        <v>0.00397164890181594</v>
      </c>
      <c r="K92" s="451">
        <v>0.00924154563318596</v>
      </c>
      <c r="L92" s="451">
        <v>0.0171702823910466</v>
      </c>
      <c r="M92" s="451">
        <v>0.0270666576950261</v>
      </c>
      <c r="N92" s="451"/>
      <c r="O92" s="451"/>
      <c r="P92" s="430"/>
      <c r="Q92" s="471" t="e">
        <f t="array" ref="Q92">INDEX(正厂竞争者数据汇总!$I$2:$I$243,MATCH($A$79&amp;$B92,正厂竞争者数据汇总!$A$2:$A$243&amp;正厂竞争者数据汇总!$D$2:$D$243,0))</f>
        <v>#N/A</v>
      </c>
      <c r="R92" s="429"/>
      <c r="S92" s="421"/>
      <c r="T92" s="473"/>
      <c r="U92" s="466"/>
      <c r="V92" s="466"/>
      <c r="W92" s="421"/>
      <c r="X92" s="421"/>
    </row>
    <row r="93" s="408" customFormat="1" spans="1:24">
      <c r="A93" s="428" t="s">
        <v>230</v>
      </c>
      <c r="B93" s="431" t="s">
        <v>553</v>
      </c>
      <c r="C93" s="429" t="e">
        <f>VLOOKUP(B93,正厂竞争者数据汇总!D:H,2,FALSE)</f>
        <v>#N/A</v>
      </c>
      <c r="D93" s="421" t="e">
        <f>VLOOKUP(B93,正厂竞争者数据汇总!D:H,3,FALSE)</f>
        <v>#N/A</v>
      </c>
      <c r="E93" s="430"/>
      <c r="F93" s="430">
        <v>23685.8333333333</v>
      </c>
      <c r="G93" s="430">
        <v>21805.6666666666</v>
      </c>
      <c r="H93" s="430">
        <v>21912.6666666667</v>
      </c>
      <c r="I93" s="453"/>
      <c r="J93" s="451">
        <v>0.0180486950324859</v>
      </c>
      <c r="K93" s="451">
        <v>0.0171103847886146</v>
      </c>
      <c r="L93" s="451">
        <v>0.0160810515381336</v>
      </c>
      <c r="M93" s="451">
        <v>0.0160329580527376</v>
      </c>
      <c r="N93" s="451"/>
      <c r="O93" s="451"/>
      <c r="P93" s="430"/>
      <c r="Q93" s="471" t="e">
        <f t="array" ref="Q93">INDEX(正厂竞争者数据汇总!$I$2:$I$243,MATCH($A$79&amp;$B93,正厂竞争者数据汇总!$A$2:$A$243&amp;正厂竞争者数据汇总!$D$2:$D$243,0))</f>
        <v>#N/A</v>
      </c>
      <c r="R93" s="429"/>
      <c r="S93" s="421"/>
      <c r="T93" s="473"/>
      <c r="U93" s="466"/>
      <c r="V93" s="466"/>
      <c r="W93" s="421"/>
      <c r="X93" s="421"/>
    </row>
    <row r="94" s="408" customFormat="1" spans="1:24">
      <c r="A94" s="428" t="s">
        <v>230</v>
      </c>
      <c r="B94" s="421" t="s">
        <v>524</v>
      </c>
      <c r="C94" s="429" t="e">
        <f>VLOOKUP(B94,正厂竞争者数据汇总!D:H,2,FALSE)</f>
        <v>#N/A</v>
      </c>
      <c r="D94" s="421" t="e">
        <f>VLOOKUP(B94,正厂竞争者数据汇总!D:H,3,FALSE)</f>
        <v>#N/A</v>
      </c>
      <c r="E94" s="430"/>
      <c r="F94" s="430">
        <v>15605.9325</v>
      </c>
      <c r="G94" s="430">
        <v>18388.92</v>
      </c>
      <c r="H94" s="430">
        <v>13452.315</v>
      </c>
      <c r="I94" s="450"/>
      <c r="J94" s="451">
        <v>0.0118917798848845</v>
      </c>
      <c r="K94" s="451">
        <v>0.0133634663996511</v>
      </c>
      <c r="L94" s="451">
        <v>0.0135612992150641</v>
      </c>
      <c r="M94" s="451">
        <v>0.00984272728591738</v>
      </c>
      <c r="N94" s="452"/>
      <c r="O94" s="451"/>
      <c r="P94" s="430"/>
      <c r="Q94" s="471" t="e">
        <f t="array" ref="Q94">INDEX(正厂竞争者数据汇总!$I$2:$I$243,MATCH($A$79&amp;$B94,正厂竞争者数据汇总!$A$2:$A$243&amp;正厂竞争者数据汇总!$D$2:$D$243,0))</f>
        <v>#N/A</v>
      </c>
      <c r="R94" s="429"/>
      <c r="S94" s="421"/>
      <c r="T94" s="472"/>
      <c r="U94" s="466"/>
      <c r="V94" s="466"/>
      <c r="W94" s="421"/>
      <c r="X94" s="421"/>
    </row>
    <row r="95" s="408" customFormat="1" ht="17.4" spans="1:24">
      <c r="A95" s="428" t="s">
        <v>511</v>
      </c>
      <c r="B95" s="438" t="s">
        <v>554</v>
      </c>
      <c r="C95" s="429" t="str">
        <f>VLOOKUP(B95,正厂竞争者数据汇总!D:H,2,FALSE)</f>
        <v>Motor原厂结合</v>
      </c>
      <c r="D95" s="421" t="str">
        <f>VLOOKUP(B95,正厂竞争者数据汇总!D:H,3,FALSE)</f>
        <v>-</v>
      </c>
      <c r="E95" s="430">
        <f>VLOOKUP(B95,正厂竞争者数据汇总!D:H,4,FALSE)</f>
        <v>0</v>
      </c>
      <c r="F95" s="430">
        <v>13059219.6666667</v>
      </c>
      <c r="G95" s="430">
        <v>7605926.66666667</v>
      </c>
      <c r="H95" s="430">
        <v>272243.916666667</v>
      </c>
      <c r="I95" s="453"/>
      <c r="J95" s="451"/>
      <c r="K95" s="451"/>
      <c r="L95" s="451"/>
      <c r="M95" s="451"/>
      <c r="N95" s="451"/>
      <c r="O95" s="451" t="str">
        <f t="shared" ref="O95:O97" si="14">IFERROR(P95*0.5/$F$96,"")</f>
        <v/>
      </c>
      <c r="P95" s="430" t="s">
        <v>180</v>
      </c>
      <c r="Q95" s="471">
        <f t="array" ref="Q95">INDEX(正厂竞争者数据汇总!$I$2:$I$243,MATCH($A$79&amp;$B95,正厂竞争者数据汇总!$A$2:$A$243&amp;正厂竞争者数据汇总!$D$2:$D$243,0))</f>
        <v>0</v>
      </c>
      <c r="R95" s="429" t="s">
        <v>180</v>
      </c>
      <c r="S95" s="421" t="s">
        <v>180</v>
      </c>
      <c r="T95" s="473">
        <f>VLOOKUP(B95,正厂竞争者数据汇总!$D$2:$CL$243,25,FALSE)</f>
        <v>550839</v>
      </c>
      <c r="U95" s="466">
        <f>VLOOKUP(B95,'Price &amp; Shipping'!B:DK,2,FALSE)</f>
        <v>0</v>
      </c>
      <c r="V95" s="466"/>
      <c r="W95" s="421"/>
      <c r="X95" s="421"/>
    </row>
    <row r="96" s="408" customFormat="1" ht="17.4" spans="1:24">
      <c r="A96" s="428" t="s">
        <v>511</v>
      </c>
      <c r="B96" s="431" t="s">
        <v>555</v>
      </c>
      <c r="C96" s="429" t="str">
        <f>VLOOKUP(B96,正厂竞争者数据汇总!D:H,2,FALSE)</f>
        <v>Acc目录</v>
      </c>
      <c r="D96" s="421" t="str">
        <f>VLOOKUP(B96,正厂竞争者数据汇总!D:H,3,FALSE)</f>
        <v>-</v>
      </c>
      <c r="E96" s="430">
        <f>VLOOKUP(B96,正厂竞争者数据汇总!D:H,4,FALSE)</f>
        <v>0</v>
      </c>
      <c r="F96" s="430">
        <v>223668.916666667</v>
      </c>
      <c r="G96" s="430">
        <v>7514691.58333333</v>
      </c>
      <c r="H96" s="430">
        <v>194036.333333333</v>
      </c>
      <c r="I96" s="453"/>
      <c r="J96" s="451"/>
      <c r="K96" s="451"/>
      <c r="L96" s="451"/>
      <c r="M96" s="451"/>
      <c r="N96" s="451"/>
      <c r="O96" s="451" t="str">
        <f t="shared" si="14"/>
        <v/>
      </c>
      <c r="P96" s="430" t="s">
        <v>180</v>
      </c>
      <c r="Q96" s="471">
        <f t="array" ref="Q96">INDEX(正厂竞争者数据汇总!$I$2:$I$243,MATCH($A$79&amp;$B96,正厂竞争者数据汇总!$A$2:$A$243&amp;正厂竞争者数据汇总!$D$2:$D$243,0))</f>
        <v>0</v>
      </c>
      <c r="R96" s="429" t="s">
        <v>180</v>
      </c>
      <c r="S96" s="421" t="s">
        <v>180</v>
      </c>
      <c r="T96" s="473">
        <f>VLOOKUP(B96,正厂竞争者数据汇总!$D$2:$CL$243,25,FALSE)</f>
        <v>379491</v>
      </c>
      <c r="U96" s="466"/>
      <c r="V96" s="466"/>
      <c r="W96" s="421"/>
      <c r="X96" s="421"/>
    </row>
    <row r="97" s="408" customFormat="1" ht="17.4" spans="1:24">
      <c r="A97" s="428" t="s">
        <v>511</v>
      </c>
      <c r="B97" s="438" t="s">
        <v>556</v>
      </c>
      <c r="C97" s="429" t="str">
        <f>VLOOKUP(B97,正厂竞争者数据汇总!D:H,2,FALSE)</f>
        <v>Acc目录</v>
      </c>
      <c r="D97" s="421" t="str">
        <f>VLOOKUP(B97,正厂竞争者数据汇总!D:H,3,FALSE)</f>
        <v>-</v>
      </c>
      <c r="E97" s="430">
        <f>VLOOKUP(B97,正厂竞争者数据汇总!D:H,4,FALSE)</f>
        <v>0</v>
      </c>
      <c r="F97" s="430">
        <v>65461.25</v>
      </c>
      <c r="G97" s="430">
        <v>7432829</v>
      </c>
      <c r="H97" s="430">
        <v>131988.583333333</v>
      </c>
      <c r="I97" s="453"/>
      <c r="J97" s="451"/>
      <c r="K97" s="451"/>
      <c r="L97" s="451"/>
      <c r="M97" s="451"/>
      <c r="N97" s="451"/>
      <c r="O97" s="451" t="str">
        <f t="shared" si="14"/>
        <v/>
      </c>
      <c r="P97" s="430" t="s">
        <v>180</v>
      </c>
      <c r="Q97" s="471" t="str">
        <f t="array" ref="Q97">INDEX(正厂竞争者数据汇总!$I$2:$I$243,MATCH($A$79&amp;$B97,正厂竞争者数据汇总!$A$2:$A$243&amp;正厂竞争者数据汇总!$D$2:$D$243,0))</f>
        <v>无法获取semrush流量信息</v>
      </c>
      <c r="R97" s="429" t="s">
        <v>180</v>
      </c>
      <c r="S97" s="421" t="s">
        <v>180</v>
      </c>
      <c r="T97" s="473">
        <f>VLOOKUP(B97,正厂竞争者数据汇总!$D$2:$CL$243,25,FALSE)</f>
        <v>255715</v>
      </c>
      <c r="U97" s="466"/>
      <c r="V97" s="466"/>
      <c r="W97" s="421"/>
      <c r="X97" s="421"/>
    </row>
    <row r="98" s="408" customFormat="1" spans="1:24">
      <c r="A98" s="428"/>
      <c r="B98" s="421"/>
      <c r="C98" s="429"/>
      <c r="D98" s="421"/>
      <c r="E98" s="430"/>
      <c r="F98" s="430"/>
      <c r="G98" s="430"/>
      <c r="H98" s="430"/>
      <c r="I98" s="450"/>
      <c r="J98" s="451"/>
      <c r="K98" s="451"/>
      <c r="L98" s="451"/>
      <c r="M98" s="451"/>
      <c r="N98" s="452"/>
      <c r="O98" s="451"/>
      <c r="P98" s="430"/>
      <c r="Q98" s="471"/>
      <c r="R98" s="429"/>
      <c r="S98" s="421"/>
      <c r="T98" s="472"/>
      <c r="U98" s="466"/>
      <c r="V98" s="466"/>
      <c r="W98" s="421"/>
      <c r="X98" s="421"/>
    </row>
    <row r="99" s="408" customFormat="1" spans="1:24">
      <c r="A99" s="428"/>
      <c r="B99" s="421"/>
      <c r="C99" s="439"/>
      <c r="D99" s="421"/>
      <c r="E99" s="430"/>
      <c r="F99" s="430">
        <v>1312329.41166667</v>
      </c>
      <c r="G99" s="430">
        <v>1355985.12416667</v>
      </c>
      <c r="H99" s="430">
        <v>1366726.37666667</v>
      </c>
      <c r="I99" s="453">
        <f t="shared" ref="I99:I107" si="15">(F99/G99)-1</f>
        <v>-0.0321948314343262</v>
      </c>
      <c r="J99" s="430"/>
      <c r="K99" s="430"/>
      <c r="L99" s="430"/>
      <c r="M99" s="430"/>
      <c r="N99" s="451"/>
      <c r="O99" s="459">
        <f>SUM(O81:O88)</f>
        <v>0</v>
      </c>
      <c r="P99" s="430" t="s">
        <v>180</v>
      </c>
      <c r="Q99" s="471"/>
      <c r="R99" s="429"/>
      <c r="S99" s="421"/>
      <c r="T99" s="473"/>
      <c r="U99" s="466"/>
      <c r="V99" s="466"/>
      <c r="W99" s="421"/>
      <c r="X99" s="421"/>
    </row>
    <row r="100" s="408" customFormat="1" spans="1:24">
      <c r="A100" s="428"/>
      <c r="B100" s="421"/>
      <c r="C100" s="439"/>
      <c r="D100" s="421"/>
      <c r="E100" s="430"/>
      <c r="F100" s="430"/>
      <c r="G100" s="430"/>
      <c r="H100" s="430"/>
      <c r="I100" s="453"/>
      <c r="J100" s="430"/>
      <c r="K100" s="430"/>
      <c r="L100" s="430"/>
      <c r="M100" s="430"/>
      <c r="N100" s="451"/>
      <c r="O100" s="459"/>
      <c r="P100" s="430"/>
      <c r="Q100" s="471"/>
      <c r="R100" s="429"/>
      <c r="S100" s="421"/>
      <c r="T100" s="473"/>
      <c r="U100" s="466"/>
      <c r="V100" s="466"/>
      <c r="W100" s="421"/>
      <c r="X100" s="421"/>
    </row>
    <row r="101" s="408" customFormat="1" ht="17.4" spans="1:24">
      <c r="A101" s="418" t="s">
        <v>159</v>
      </c>
      <c r="B101" s="419"/>
      <c r="C101" s="420"/>
      <c r="D101" s="421"/>
      <c r="E101" s="422" t="s">
        <v>202</v>
      </c>
      <c r="F101" s="422"/>
      <c r="G101" s="422"/>
      <c r="H101" s="422"/>
      <c r="I101" s="422"/>
      <c r="J101" s="422"/>
      <c r="K101" s="422"/>
      <c r="L101" s="422"/>
      <c r="M101" s="422"/>
      <c r="N101" s="443"/>
      <c r="O101" s="444"/>
      <c r="P101" s="422"/>
      <c r="Q101" s="471"/>
      <c r="R101" s="465"/>
      <c r="S101" s="424"/>
      <c r="T101" s="473"/>
      <c r="U101" s="467"/>
      <c r="V101" s="467"/>
      <c r="W101" s="467"/>
      <c r="X101" s="467"/>
    </row>
    <row r="102" s="409" customFormat="1" ht="46.8" spans="1:24">
      <c r="A102" s="423" t="s">
        <v>206</v>
      </c>
      <c r="B102" s="424" t="s">
        <v>207</v>
      </c>
      <c r="C102" s="425" t="s">
        <v>208</v>
      </c>
      <c r="D102" s="424" t="s">
        <v>209</v>
      </c>
      <c r="E102" s="426" t="s">
        <v>210</v>
      </c>
      <c r="F102" s="427" t="s">
        <v>496</v>
      </c>
      <c r="G102" s="427" t="s">
        <v>633</v>
      </c>
      <c r="H102" s="427" t="s">
        <v>634</v>
      </c>
      <c r="I102" s="427" t="s">
        <v>635</v>
      </c>
      <c r="J102" s="446" t="s">
        <v>390</v>
      </c>
      <c r="K102" s="446" t="s">
        <v>629</v>
      </c>
      <c r="L102" s="446" t="s">
        <v>630</v>
      </c>
      <c r="M102" s="446" t="s">
        <v>631</v>
      </c>
      <c r="N102" s="447" t="s">
        <v>632</v>
      </c>
      <c r="O102" s="448" t="s">
        <v>219</v>
      </c>
      <c r="P102" s="449" t="s">
        <v>220</v>
      </c>
      <c r="Q102" s="468" t="s">
        <v>221</v>
      </c>
      <c r="R102" s="469" t="s">
        <v>222</v>
      </c>
      <c r="S102" s="426" t="s">
        <v>223</v>
      </c>
      <c r="T102" s="470" t="s">
        <v>224</v>
      </c>
      <c r="U102" s="467" t="s">
        <v>225</v>
      </c>
      <c r="V102" s="470" t="s">
        <v>226</v>
      </c>
      <c r="W102" s="467"/>
      <c r="X102" s="467"/>
    </row>
    <row r="103" s="410" customFormat="1" ht="17.4" spans="1:24">
      <c r="A103" s="432" t="s">
        <v>227</v>
      </c>
      <c r="B103" s="479" t="s">
        <v>557</v>
      </c>
      <c r="C103" s="434" t="e">
        <f>VLOOKUP(B103,正厂竞争者数据汇总!D:H,2,FALSE)</f>
        <v>#N/A</v>
      </c>
      <c r="D103" s="435" t="e">
        <f>VLOOKUP(B103,正厂竞争者数据汇总!D:H,3,FALSE)</f>
        <v>#N/A</v>
      </c>
      <c r="E103" s="436" t="e">
        <f>VLOOKUP(B103,正厂竞争者数据汇总!D:H,4,FALSE)</f>
        <v>#N/A</v>
      </c>
      <c r="F103" s="436">
        <v>385621.333333333</v>
      </c>
      <c r="G103" s="436">
        <v>357713.916666667</v>
      </c>
      <c r="H103" s="436">
        <v>340134.75</v>
      </c>
      <c r="I103" s="454">
        <f t="shared" si="15"/>
        <v>0.0780160216485828</v>
      </c>
      <c r="J103" s="455">
        <v>0.579563558727877</v>
      </c>
      <c r="K103" s="455">
        <v>0.570819078678083</v>
      </c>
      <c r="L103" s="455">
        <v>0.539033201573699</v>
      </c>
      <c r="M103" s="455">
        <v>0.513666916219956</v>
      </c>
      <c r="N103" s="456">
        <f t="shared" ref="N103:N107" si="16">J103-M103</f>
        <v>0.065896642507921</v>
      </c>
      <c r="O103" s="455" t="str">
        <f>IFERROR(P103*0.5/$F$103,"")</f>
        <v/>
      </c>
      <c r="P103" s="436" t="s">
        <v>180</v>
      </c>
      <c r="Q103" s="471" t="e">
        <f t="array" ref="Q103">INDEX(正厂竞争者数据汇总!$I$2:$I$243,MATCH($A$101&amp;$B103,正厂竞争者数据汇总!$A$2:$A$243&amp;正厂竞争者数据汇总!$D$2:$D$243,0))</f>
        <v>#N/A</v>
      </c>
      <c r="R103" s="434" t="s">
        <v>280</v>
      </c>
      <c r="S103" s="435" t="s">
        <v>229</v>
      </c>
      <c r="T103" s="476" t="e">
        <f>VLOOKUP(B103,正厂竞争者数据汇总!$D$2:$CL$243,25,FALSE)</f>
        <v>#N/A</v>
      </c>
      <c r="U103" s="477"/>
      <c r="V103" s="477"/>
      <c r="W103" s="435"/>
      <c r="X103" s="435"/>
    </row>
    <row r="104" s="408" customFormat="1" spans="1:24">
      <c r="A104" s="428" t="s">
        <v>230</v>
      </c>
      <c r="B104" s="421" t="s">
        <v>507</v>
      </c>
      <c r="C104" s="429" t="e">
        <f>VLOOKUP(B104,正厂竞争者数据汇总!D:H,2,FALSE)</f>
        <v>#N/A</v>
      </c>
      <c r="D104" s="421" t="e">
        <f>VLOOKUP(B104,正厂竞争者数据汇总!D:H,3,FALSE)</f>
        <v>#N/A</v>
      </c>
      <c r="E104" s="430"/>
      <c r="F104" s="430">
        <v>105740.378333333</v>
      </c>
      <c r="G104" s="430">
        <v>134225.805</v>
      </c>
      <c r="H104" s="430">
        <v>141982.61</v>
      </c>
      <c r="I104" s="453">
        <f t="shared" si="15"/>
        <v>-0.212220196158756</v>
      </c>
      <c r="J104" s="459">
        <v>0.158920849731944</v>
      </c>
      <c r="K104" s="459">
        <v>0.185089582102394</v>
      </c>
      <c r="L104" s="459">
        <v>0.202262651889996</v>
      </c>
      <c r="M104" s="459">
        <v>0.214420224442109</v>
      </c>
      <c r="N104" s="451">
        <f t="shared" si="16"/>
        <v>-0.055499374710165</v>
      </c>
      <c r="O104" s="459"/>
      <c r="P104" s="430"/>
      <c r="Q104" s="471" t="e">
        <f t="array" ref="Q104">INDEX(正厂竞争者数据汇总!$I$2:$I$243,MATCH($A$101&amp;$B104,正厂竞争者数据汇总!$A$2:$A$243&amp;正厂竞争者数据汇总!$D$2:$D$243,0))</f>
        <v>#N/A</v>
      </c>
      <c r="R104" s="429"/>
      <c r="S104" s="421"/>
      <c r="T104" s="473"/>
      <c r="U104" s="466"/>
      <c r="V104" s="466"/>
      <c r="W104" s="421"/>
      <c r="X104" s="421"/>
    </row>
    <row r="105" s="408" customFormat="1" spans="1:24">
      <c r="A105" s="428" t="s">
        <v>230</v>
      </c>
      <c r="B105" s="438" t="s">
        <v>558</v>
      </c>
      <c r="C105" s="429"/>
      <c r="D105" s="421" t="e">
        <f>VLOOKUP(B105,正厂竞争者数据汇总!D:H,3,FALSE)</f>
        <v>#N/A</v>
      </c>
      <c r="E105" s="430" t="e">
        <f>VLOOKUP(B105,正厂竞争者数据汇总!D:H,4,FALSE)</f>
        <v>#N/A</v>
      </c>
      <c r="F105" s="430">
        <v>113830.416666666</v>
      </c>
      <c r="G105" s="430">
        <v>106094.833333334</v>
      </c>
      <c r="H105" s="430">
        <v>112972.166666667</v>
      </c>
      <c r="I105" s="453">
        <f t="shared" si="15"/>
        <v>0.0729119702655827</v>
      </c>
      <c r="J105" s="459">
        <v>0.17107964646184</v>
      </c>
      <c r="K105" s="459">
        <v>0.158479453995472</v>
      </c>
      <c r="L105" s="459">
        <v>0.159872554624107</v>
      </c>
      <c r="M105" s="459">
        <v>0.170609043828523</v>
      </c>
      <c r="N105" s="451">
        <f t="shared" si="16"/>
        <v>0.000470602633317024</v>
      </c>
      <c r="O105" s="459"/>
      <c r="P105" s="430"/>
      <c r="Q105" s="471" t="e">
        <f t="array" ref="Q105">INDEX(正厂竞争者数据汇总!$I$2:$I$243,MATCH($A$101&amp;$B105,正厂竞争者数据汇总!$A$2:$A$243&amp;正厂竞争者数据汇总!$D$2:$D$243,0))</f>
        <v>#N/A</v>
      </c>
      <c r="R105" s="429"/>
      <c r="S105" s="421"/>
      <c r="T105" s="473"/>
      <c r="U105" s="466"/>
      <c r="V105" s="466"/>
      <c r="W105" s="421"/>
      <c r="X105" s="421"/>
    </row>
    <row r="106" s="408" customFormat="1" spans="1:24">
      <c r="A106" s="428" t="s">
        <v>230</v>
      </c>
      <c r="B106" s="431" t="s">
        <v>559</v>
      </c>
      <c r="C106" s="429" t="e">
        <f>VLOOKUP(B106,正厂竞争者数据汇总!D:H,2,FALSE)</f>
        <v>#N/A</v>
      </c>
      <c r="D106" s="421" t="e">
        <f>VLOOKUP(B106,正厂竞争者数据汇总!D:H,3,FALSE)</f>
        <v>#N/A</v>
      </c>
      <c r="E106" s="430" t="e">
        <f>VLOOKUP(B106,正厂竞争者数据汇总!D:H,4,FALSE)</f>
        <v>#N/A</v>
      </c>
      <c r="F106" s="430">
        <v>32906.25</v>
      </c>
      <c r="G106" s="430">
        <v>30499.1666666667</v>
      </c>
      <c r="H106" s="430">
        <v>32692.0833333333</v>
      </c>
      <c r="I106" s="453">
        <f t="shared" si="15"/>
        <v>0.0789229213912936</v>
      </c>
      <c r="J106" s="459">
        <v>0.049455934373589</v>
      </c>
      <c r="K106" s="459">
        <v>0.0398718859800865</v>
      </c>
      <c r="L106" s="459">
        <v>0.0459586912548967</v>
      </c>
      <c r="M106" s="459">
        <v>0.0493711437324153</v>
      </c>
      <c r="N106" s="451">
        <f t="shared" si="16"/>
        <v>8.47906411736987e-5</v>
      </c>
      <c r="O106" s="459"/>
      <c r="P106" s="430"/>
      <c r="Q106" s="471" t="e">
        <f t="array" ref="Q106">INDEX(正厂竞争者数据汇总!$I$2:$I$243,MATCH($A$101&amp;$B106,正厂竞争者数据汇总!$A$2:$A$243&amp;正厂竞争者数据汇总!$D$2:$D$243,0))</f>
        <v>#N/A</v>
      </c>
      <c r="R106" s="429"/>
      <c r="S106" s="421"/>
      <c r="T106" s="473" t="e">
        <f>VLOOKUP(B106,正厂竞争者数据汇总!$D$2:$CL$243,25,FALSE)</f>
        <v>#N/A</v>
      </c>
      <c r="U106" s="466"/>
      <c r="V106" s="466"/>
      <c r="W106" s="421"/>
      <c r="X106" s="421"/>
    </row>
    <row r="107" s="408" customFormat="1" spans="1:24">
      <c r="A107" s="428" t="s">
        <v>230</v>
      </c>
      <c r="B107" s="431" t="s">
        <v>560</v>
      </c>
      <c r="C107" s="429" t="e">
        <f>VLOOKUP(B107,正厂竞争者数据汇总!D:H,2,FALSE)</f>
        <v>#N/A</v>
      </c>
      <c r="D107" s="421" t="e">
        <f>VLOOKUP(B107,正厂竞争者数据汇总!D:H,3,FALSE)</f>
        <v>#N/A</v>
      </c>
      <c r="E107" s="430" t="e">
        <f>VLOOKUP(B107,正厂竞争者数据汇总!D:H,4,FALSE)</f>
        <v>#N/A</v>
      </c>
      <c r="F107" s="430">
        <v>27266.6666666666</v>
      </c>
      <c r="G107" s="430">
        <v>35087.5833333333</v>
      </c>
      <c r="H107" s="430">
        <v>34388.25</v>
      </c>
      <c r="I107" s="453">
        <f t="shared" si="15"/>
        <v>-0.222896988725833</v>
      </c>
      <c r="J107" s="459">
        <v>0.0409800107047503</v>
      </c>
      <c r="K107" s="459">
        <v>0.0457399992439648</v>
      </c>
      <c r="L107" s="459">
        <v>0.0528729006573007</v>
      </c>
      <c r="M107" s="459">
        <v>0.0519326717769969</v>
      </c>
      <c r="N107" s="451">
        <f t="shared" si="16"/>
        <v>-0.0109526610722466</v>
      </c>
      <c r="O107" s="459">
        <f>IFERROR(P107*0.5/$F$103,"")</f>
        <v>0.0136896277349801</v>
      </c>
      <c r="P107" s="430">
        <v>10558.025</v>
      </c>
      <c r="Q107" s="471" t="e">
        <f t="array" ref="Q107">INDEX(正厂竞争者数据汇总!$I$2:$I$243,MATCH($A$101&amp;$B107,正厂竞争者数据汇总!$A$2:$A$243&amp;正厂竞争者数据汇总!$D$2:$D$243,0))</f>
        <v>#N/A</v>
      </c>
      <c r="R107" s="429" t="s">
        <v>180</v>
      </c>
      <c r="S107" s="421" t="s">
        <v>180</v>
      </c>
      <c r="T107" s="473" t="e">
        <f>VLOOKUP(B107,正厂竞争者数据汇总!$D$2:$CL$243,25,FALSE)</f>
        <v>#N/A</v>
      </c>
      <c r="U107" s="466"/>
      <c r="V107" s="466"/>
      <c r="W107" s="421"/>
      <c r="X107" s="435"/>
    </row>
    <row r="108" s="408" customFormat="1" spans="1:24">
      <c r="A108" s="428"/>
      <c r="B108" s="431"/>
      <c r="C108" s="429"/>
      <c r="D108" s="421"/>
      <c r="E108" s="430"/>
      <c r="F108" s="430"/>
      <c r="G108" s="430"/>
      <c r="H108" s="430"/>
      <c r="I108" s="453"/>
      <c r="J108" s="459"/>
      <c r="K108" s="459"/>
      <c r="L108" s="459"/>
      <c r="M108" s="459"/>
      <c r="N108" s="451"/>
      <c r="O108" s="459"/>
      <c r="P108" s="430"/>
      <c r="Q108" s="471"/>
      <c r="R108" s="429"/>
      <c r="S108" s="421"/>
      <c r="T108" s="473"/>
      <c r="U108" s="466"/>
      <c r="V108" s="466"/>
      <c r="W108" s="421"/>
      <c r="X108" s="435"/>
    </row>
    <row r="109" s="408" customFormat="1" ht="17.4" spans="1:24">
      <c r="A109" s="428" t="s">
        <v>561</v>
      </c>
      <c r="B109" s="421" t="s">
        <v>562</v>
      </c>
      <c r="C109" s="429" t="str">
        <f>VLOOKUP(B109,正厂竞争者数据汇总!D:H,2,FALSE)</f>
        <v>原厂目录</v>
      </c>
      <c r="D109" s="421" t="str">
        <f>VLOOKUP(B109,正厂竞争者数据汇总!D:H,3,FALSE)</f>
        <v>-</v>
      </c>
      <c r="E109" s="430">
        <f>VLOOKUP(B109,正厂竞争者数据汇总!D:H,4,FALSE)</f>
        <v>0</v>
      </c>
      <c r="F109" s="430">
        <v>328157.75</v>
      </c>
      <c r="G109" s="430">
        <v>314252.916666667</v>
      </c>
      <c r="H109" s="430">
        <v>291452.666666667</v>
      </c>
      <c r="I109" s="453"/>
      <c r="J109" s="459"/>
      <c r="K109" s="459"/>
      <c r="L109" s="459"/>
      <c r="M109" s="459"/>
      <c r="N109" s="451"/>
      <c r="O109" s="459" t="str">
        <f>IFERROR(P109*0.5/$F$103,"")</f>
        <v/>
      </c>
      <c r="P109" s="430" t="s">
        <v>180</v>
      </c>
      <c r="Q109" s="471" t="str">
        <f t="array" ref="Q109">INDEX(正厂竞争者数据汇总!$I$2:$I$243,MATCH($A$101&amp;$B109,正厂竞争者数据汇总!$A$2:$A$243&amp;正厂竞争者数据汇总!$D$2:$D$243,0))</f>
        <v>变成simplepart</v>
      </c>
      <c r="R109" s="429" t="s">
        <v>180</v>
      </c>
      <c r="S109" s="421" t="s">
        <v>180</v>
      </c>
      <c r="T109" s="473">
        <f>VLOOKUP(B109,正厂竞争者数据汇总!$D$2:$CL$243,25,FALSE)</f>
        <v>269330</v>
      </c>
      <c r="U109" s="466"/>
      <c r="V109" s="466"/>
      <c r="W109" s="421"/>
      <c r="X109" s="421"/>
    </row>
    <row r="110" s="408" customFormat="1" spans="1:24">
      <c r="A110" s="428" t="s">
        <v>230</v>
      </c>
      <c r="B110" s="442" t="s">
        <v>563</v>
      </c>
      <c r="C110" s="429" t="e">
        <f>VLOOKUP(B110,正厂竞争者数据汇总!D:H,2,FALSE)</f>
        <v>#N/A</v>
      </c>
      <c r="D110" s="421" t="e">
        <f>VLOOKUP(B110,正厂竞争者数据汇总!D:H,3,FALSE)</f>
        <v>#N/A</v>
      </c>
      <c r="E110" s="430" t="e">
        <f>VLOOKUP(B110,正厂竞争者数据汇总!D:H,4,FALSE)</f>
        <v>#N/A</v>
      </c>
      <c r="F110" s="430">
        <v>30276.6666666667</v>
      </c>
      <c r="G110" s="430">
        <v>31440</v>
      </c>
      <c r="H110" s="430">
        <v>20784.9166666667</v>
      </c>
      <c r="I110" s="453"/>
      <c r="J110" s="459">
        <v>0.0455038431823042</v>
      </c>
      <c r="K110" s="459">
        <v>0.0480172680603002</v>
      </c>
      <c r="L110" s="459">
        <v>0.0473764174885855</v>
      </c>
      <c r="M110" s="459">
        <v>0.0313891010784856</v>
      </c>
      <c r="N110" s="451"/>
      <c r="O110" s="459"/>
      <c r="P110" s="430"/>
      <c r="Q110" s="471" t="e">
        <f t="array" ref="Q110">INDEX(正厂竞争者数据汇总!$I$2:$I$243,MATCH($A$101&amp;$B110,正厂竞争者数据汇总!$A$2:$A$243&amp;正厂竞争者数据汇总!$D$2:$D$243,0))</f>
        <v>#N/A</v>
      </c>
      <c r="R110" s="429"/>
      <c r="S110" s="421"/>
      <c r="T110" s="473" t="e">
        <f>VLOOKUP(B110,正厂竞争者数据汇总!$D$2:$CL$243,25,FALSE)</f>
        <v>#N/A</v>
      </c>
      <c r="U110" s="466"/>
      <c r="V110" s="466"/>
      <c r="W110" s="421"/>
      <c r="X110" s="421"/>
    </row>
    <row r="111" s="408" customFormat="1" spans="1:24">
      <c r="A111" s="428"/>
      <c r="B111" s="438"/>
      <c r="C111" s="429"/>
      <c r="D111" s="421"/>
      <c r="E111" s="430"/>
      <c r="F111" s="430"/>
      <c r="G111" s="430"/>
      <c r="H111" s="430"/>
      <c r="I111" s="453"/>
      <c r="J111" s="459"/>
      <c r="K111" s="459"/>
      <c r="L111" s="459"/>
      <c r="M111" s="459"/>
      <c r="N111" s="451"/>
      <c r="O111" s="459"/>
      <c r="P111" s="430"/>
      <c r="Q111" s="471"/>
      <c r="R111" s="429"/>
      <c r="S111" s="421"/>
      <c r="T111" s="473"/>
      <c r="U111" s="466"/>
      <c r="V111" s="466"/>
      <c r="W111" s="421"/>
      <c r="X111" s="421"/>
    </row>
    <row r="112" s="408" customFormat="1" spans="1:24">
      <c r="A112" s="428"/>
      <c r="B112" s="421"/>
      <c r="C112" s="429"/>
      <c r="D112" s="421"/>
      <c r="E112" s="430"/>
      <c r="F112" s="430">
        <v>665365.044999999</v>
      </c>
      <c r="G112" s="430">
        <v>663621.305000001</v>
      </c>
      <c r="H112" s="430">
        <v>662169.86</v>
      </c>
      <c r="I112" s="453">
        <f t="shared" ref="I112:I121" si="17">(F112/G112)-1</f>
        <v>0.00262761304807424</v>
      </c>
      <c r="J112" s="451"/>
      <c r="K112" s="451"/>
      <c r="L112" s="451"/>
      <c r="M112" s="451"/>
      <c r="N112" s="451"/>
      <c r="O112" s="451">
        <f>SUM(O103:O111)</f>
        <v>0.0136896277349801</v>
      </c>
      <c r="P112" s="430"/>
      <c r="Q112" s="471"/>
      <c r="R112" s="429"/>
      <c r="S112" s="421"/>
      <c r="T112" s="473"/>
      <c r="U112" s="466"/>
      <c r="V112" s="466"/>
      <c r="W112" s="421"/>
      <c r="X112" s="421"/>
    </row>
    <row r="113" s="408" customFormat="1" spans="1:24">
      <c r="A113" s="428"/>
      <c r="B113" s="421"/>
      <c r="C113" s="429"/>
      <c r="D113" s="421"/>
      <c r="E113" s="430"/>
      <c r="F113" s="430"/>
      <c r="G113" s="430"/>
      <c r="H113" s="430"/>
      <c r="I113" s="453"/>
      <c r="J113" s="451"/>
      <c r="K113" s="451"/>
      <c r="L113" s="451"/>
      <c r="M113" s="451"/>
      <c r="N113" s="451"/>
      <c r="O113" s="451"/>
      <c r="P113" s="430"/>
      <c r="Q113" s="471"/>
      <c r="R113" s="429"/>
      <c r="S113" s="421"/>
      <c r="T113" s="473"/>
      <c r="U113" s="466"/>
      <c r="V113" s="466"/>
      <c r="W113" s="421"/>
      <c r="X113" s="421"/>
    </row>
    <row r="114" s="408" customFormat="1" ht="17.4" spans="1:24">
      <c r="A114" s="418" t="s">
        <v>274</v>
      </c>
      <c r="B114" s="419"/>
      <c r="C114" s="420"/>
      <c r="D114" s="421"/>
      <c r="E114" s="422" t="s">
        <v>202</v>
      </c>
      <c r="F114" s="422"/>
      <c r="G114" s="422"/>
      <c r="H114" s="422"/>
      <c r="I114" s="422"/>
      <c r="J114" s="422"/>
      <c r="K114" s="422"/>
      <c r="L114" s="422"/>
      <c r="M114" s="422"/>
      <c r="N114" s="443"/>
      <c r="O114" s="444"/>
      <c r="P114" s="422"/>
      <c r="Q114" s="471"/>
      <c r="R114" s="465"/>
      <c r="S114" s="424"/>
      <c r="T114" s="473"/>
      <c r="U114" s="467"/>
      <c r="V114" s="467"/>
      <c r="W114" s="467"/>
      <c r="X114" s="467"/>
    </row>
    <row r="115" s="409" customFormat="1" ht="46.8" spans="1:24">
      <c r="A115" s="423" t="s">
        <v>206</v>
      </c>
      <c r="B115" s="424" t="s">
        <v>207</v>
      </c>
      <c r="C115" s="425" t="s">
        <v>208</v>
      </c>
      <c r="D115" s="424" t="s">
        <v>209</v>
      </c>
      <c r="E115" s="426" t="s">
        <v>210</v>
      </c>
      <c r="F115" s="427" t="s">
        <v>496</v>
      </c>
      <c r="G115" s="427" t="s">
        <v>633</v>
      </c>
      <c r="H115" s="427" t="s">
        <v>634</v>
      </c>
      <c r="I115" s="427" t="s">
        <v>635</v>
      </c>
      <c r="J115" s="446" t="s">
        <v>390</v>
      </c>
      <c r="K115" s="446" t="s">
        <v>629</v>
      </c>
      <c r="L115" s="446" t="s">
        <v>630</v>
      </c>
      <c r="M115" s="446" t="s">
        <v>631</v>
      </c>
      <c r="N115" s="447" t="s">
        <v>632</v>
      </c>
      <c r="O115" s="448" t="s">
        <v>219</v>
      </c>
      <c r="P115" s="449" t="s">
        <v>220</v>
      </c>
      <c r="Q115" s="468" t="s">
        <v>221</v>
      </c>
      <c r="R115" s="469" t="s">
        <v>222</v>
      </c>
      <c r="S115" s="426" t="s">
        <v>223</v>
      </c>
      <c r="T115" s="470" t="s">
        <v>224</v>
      </c>
      <c r="U115" s="467" t="s">
        <v>225</v>
      </c>
      <c r="V115" s="470" t="s">
        <v>226</v>
      </c>
      <c r="W115" s="467"/>
      <c r="X115" s="467"/>
    </row>
    <row r="116" s="410" customFormat="1" ht="17.4" spans="1:24">
      <c r="A116" s="432" t="s">
        <v>227</v>
      </c>
      <c r="B116" s="435" t="s">
        <v>564</v>
      </c>
      <c r="C116" s="434" t="e">
        <f>VLOOKUP(B116,正厂竞争者数据汇总!D:H,2,FALSE)</f>
        <v>#N/A</v>
      </c>
      <c r="D116" s="435" t="e">
        <f>VLOOKUP(B116,正厂竞争者数据汇总!D:H,3,FALSE)</f>
        <v>#N/A</v>
      </c>
      <c r="E116" s="436" t="e">
        <f>VLOOKUP(B116,正厂竞争者数据汇总!D:H,4,FALSE)</f>
        <v>#N/A</v>
      </c>
      <c r="F116" s="436">
        <v>360521.5</v>
      </c>
      <c r="G116" s="436">
        <v>282128.5</v>
      </c>
      <c r="H116" s="436">
        <v>274217.583333333</v>
      </c>
      <c r="I116" s="454">
        <f t="shared" si="17"/>
        <v>0.277862746939781</v>
      </c>
      <c r="J116" s="457">
        <v>0.42821395444871</v>
      </c>
      <c r="K116" s="457">
        <v>0.391359295878328</v>
      </c>
      <c r="L116" s="457">
        <v>0.387314943719049</v>
      </c>
      <c r="M116" s="457">
        <v>0.381270064666922</v>
      </c>
      <c r="N116" s="456">
        <f t="shared" ref="N116:N122" si="18">J116-M116</f>
        <v>0.046943889781788</v>
      </c>
      <c r="O116" s="457" t="str">
        <f t="shared" ref="O116:O122" si="19">IFERROR(P116*0.5/$F$116,"")</f>
        <v/>
      </c>
      <c r="P116" s="436" t="s">
        <v>180</v>
      </c>
      <c r="Q116" s="471" t="e">
        <f t="array" ref="Q116">INDEX(正厂竞争者数据汇总!$I$2:$I$243,MATCH($A$114&amp;$B116,正厂竞争者数据汇总!$A$2:$A$243&amp;正厂竞争者数据汇总!$D$2:$D$243,0))</f>
        <v>#N/A</v>
      </c>
      <c r="R116" s="434" t="s">
        <v>275</v>
      </c>
      <c r="S116" s="435" t="s">
        <v>229</v>
      </c>
      <c r="T116" s="476" t="e">
        <f>VLOOKUP(B116,正厂竞争者数据汇总!$D$2:$CL$243,25,FALSE)</f>
        <v>#N/A</v>
      </c>
      <c r="U116" s="477"/>
      <c r="V116" s="477"/>
      <c r="W116" s="435"/>
      <c r="X116" s="435"/>
    </row>
    <row r="117" s="408" customFormat="1" ht="46.8" spans="1:24">
      <c r="A117" s="428" t="s">
        <v>230</v>
      </c>
      <c r="B117" s="431" t="s">
        <v>276</v>
      </c>
      <c r="C117" s="429" t="str">
        <f>VLOOKUP(B117,正厂竞争者数据汇总!D:H,2,FALSE)</f>
        <v>Motor目录</v>
      </c>
      <c r="D117" s="421" t="str">
        <f>VLOOKUP(B117,正厂竞争者数据汇总!D:H,3,FALSE)</f>
        <v>-</v>
      </c>
      <c r="E117" s="430">
        <f>VLOOKUP(B117,正厂竞争者数据汇总!D:H,4,FALSE)</f>
        <v>0</v>
      </c>
      <c r="F117" s="430">
        <v>149776.083333333</v>
      </c>
      <c r="G117" s="430">
        <v>156608.333333333</v>
      </c>
      <c r="H117" s="430">
        <v>156260.8</v>
      </c>
      <c r="I117" s="453">
        <f t="shared" si="17"/>
        <v>-0.0436263502367904</v>
      </c>
      <c r="J117" s="451">
        <v>0.177898430262845</v>
      </c>
      <c r="K117" s="451">
        <v>0.202508193603763</v>
      </c>
      <c r="L117" s="451">
        <v>0.214996881956038</v>
      </c>
      <c r="M117" s="451">
        <v>0.21726384062135</v>
      </c>
      <c r="N117" s="451">
        <f t="shared" si="18"/>
        <v>-0.039365410358505</v>
      </c>
      <c r="O117" s="457"/>
      <c r="P117" s="430"/>
      <c r="Q117" s="471" t="str">
        <f t="array" ref="Q117">INDEX(正厂竞争者数据汇总!$I$2:$I$243,MATCH($A$114&amp;$B117,正厂竞争者数据汇总!$A$2:$A$243&amp;正厂竞争者数据汇总!$D$2:$D$243,0))</f>
        <v>2022/1新增，经营多品牌零件，按子域名区分, 各 Brand 流量折算比例：Acura:8%,BMW:0%,Ford:20%,GM:5%,Honda:17%,Hyundai:8%,Infiniti:2%,Kia:5%,Lexus:2%,Mopar:9%,Nissan:14%,Subaru:5%,Toyota:6%，折算比例为0的网站按照除0外最低折算比例计</v>
      </c>
      <c r="R117" s="429"/>
      <c r="S117" s="435"/>
      <c r="T117" s="473">
        <f>VLOOKUP(B117,正厂竞争者数据汇总!$D$2:$CL$243,25,FALSE)</f>
        <v>0</v>
      </c>
      <c r="U117" s="466"/>
      <c r="V117" s="466"/>
      <c r="W117" s="421"/>
      <c r="X117" s="421"/>
    </row>
    <row r="118" s="408" customFormat="1" spans="1:24">
      <c r="A118" s="428" t="s">
        <v>391</v>
      </c>
      <c r="B118" s="431" t="s">
        <v>565</v>
      </c>
      <c r="C118" s="429" t="e">
        <f>VLOOKUP(B118,正厂竞争者数据汇总!D:H,2,FALSE)</f>
        <v>#N/A</v>
      </c>
      <c r="D118" s="421" t="e">
        <f>VLOOKUP(B118,正厂竞争者数据汇总!D:H,3,FALSE)</f>
        <v>#N/A</v>
      </c>
      <c r="E118" s="430" t="e">
        <f>VLOOKUP(B118,正厂竞争者数据汇总!D:H,4,FALSE)</f>
        <v>#N/A</v>
      </c>
      <c r="F118" s="430">
        <v>180804.333333333</v>
      </c>
      <c r="G118" s="430">
        <v>149154.166666667</v>
      </c>
      <c r="H118" s="430">
        <v>139068.333333333</v>
      </c>
      <c r="I118" s="453">
        <f t="shared" si="17"/>
        <v>0.212197670195821</v>
      </c>
      <c r="J118" s="451">
        <v>0.214752625178053</v>
      </c>
      <c r="K118" s="451">
        <v>0.206301322455357</v>
      </c>
      <c r="L118" s="451">
        <v>0.204763565779288</v>
      </c>
      <c r="M118" s="451">
        <v>0.193359564323298</v>
      </c>
      <c r="N118" s="451">
        <f t="shared" si="18"/>
        <v>0.021393060854755</v>
      </c>
      <c r="O118" s="457" t="str">
        <f t="shared" si="19"/>
        <v/>
      </c>
      <c r="P118" s="430" t="s">
        <v>180</v>
      </c>
      <c r="Q118" s="471" t="e">
        <f t="array" ref="Q118">INDEX(正厂竞争者数据汇总!$I$2:$I$243,MATCH($A$114&amp;$B118,正厂竞争者数据汇总!$A$2:$A$243&amp;正厂竞争者数据汇总!$D$2:$D$243,0))</f>
        <v>#N/A</v>
      </c>
      <c r="R118" s="429" t="s">
        <v>180</v>
      </c>
      <c r="S118" s="435" t="s">
        <v>180</v>
      </c>
      <c r="T118" s="473" t="e">
        <f>VLOOKUP(B118,正厂竞争者数据汇总!$D$2:$CL$243,25,FALSE)</f>
        <v>#N/A</v>
      </c>
      <c r="U118" s="466"/>
      <c r="V118" s="466"/>
      <c r="W118" s="474"/>
      <c r="X118" s="474"/>
    </row>
    <row r="119" s="408" customFormat="1" spans="1:24">
      <c r="A119" s="428" t="s">
        <v>230</v>
      </c>
      <c r="B119" s="431" t="s">
        <v>566</v>
      </c>
      <c r="C119" s="429" t="e">
        <f>VLOOKUP(B119,正厂竞争者数据汇总!D:H,2,FALSE)</f>
        <v>#N/A</v>
      </c>
      <c r="D119" s="421" t="e">
        <f>VLOOKUP(B119,正厂竞争者数据汇总!D:H,3,FALSE)</f>
        <v>#N/A</v>
      </c>
      <c r="E119" s="430" t="e">
        <f>VLOOKUP(B119,正厂竞争者数据汇总!D:H,4,FALSE)</f>
        <v>#N/A</v>
      </c>
      <c r="F119" s="430">
        <v>115528.166666667</v>
      </c>
      <c r="G119" s="430">
        <v>109108.25</v>
      </c>
      <c r="H119" s="430">
        <v>114453.666666667</v>
      </c>
      <c r="I119" s="453">
        <f t="shared" si="17"/>
        <v>0.0588398830213757</v>
      </c>
      <c r="J119" s="451">
        <v>0.137220035694246</v>
      </c>
      <c r="K119" s="451">
        <v>0.14961706074203</v>
      </c>
      <c r="L119" s="451">
        <v>0.14978726257019</v>
      </c>
      <c r="M119" s="451">
        <v>0.159135516989518</v>
      </c>
      <c r="N119" s="451">
        <f t="shared" si="18"/>
        <v>-0.021915481295272</v>
      </c>
      <c r="O119" s="457"/>
      <c r="P119" s="430"/>
      <c r="Q119" s="471" t="e">
        <f t="array" ref="Q119">INDEX(正厂竞争者数据汇总!$I$2:$I$243,MATCH($A$114&amp;$B119,正厂竞争者数据汇总!$A$2:$A$243&amp;正厂竞争者数据汇总!$D$2:$D$243,0))</f>
        <v>#N/A</v>
      </c>
      <c r="R119" s="429" t="s">
        <v>180</v>
      </c>
      <c r="S119" s="435" t="s">
        <v>180</v>
      </c>
      <c r="T119" s="473" t="e">
        <f>VLOOKUP(B119,正厂竞争者数据汇总!$D$2:$CL$243,25,FALSE)</f>
        <v>#N/A</v>
      </c>
      <c r="U119" s="466"/>
      <c r="V119" s="466"/>
      <c r="W119" s="421"/>
      <c r="X119" s="421"/>
    </row>
    <row r="120" s="408" customFormat="1" spans="1:24">
      <c r="A120" s="428" t="s">
        <v>391</v>
      </c>
      <c r="B120" s="438" t="s">
        <v>567</v>
      </c>
      <c r="C120" s="429" t="e">
        <f>VLOOKUP(B120,正厂竞争者数据汇总!D:H,2,FALSE)</f>
        <v>#N/A</v>
      </c>
      <c r="D120" s="421" t="e">
        <f>VLOOKUP(B120,正厂竞争者数据汇总!D:H,3,FALSE)</f>
        <v>#N/A</v>
      </c>
      <c r="E120" s="430" t="e">
        <f>VLOOKUP(B120,正厂竞争者数据汇总!D:H,4,FALSE)</f>
        <v>#N/A</v>
      </c>
      <c r="F120" s="430">
        <v>21167.5</v>
      </c>
      <c r="G120" s="430">
        <v>27781.3333333334</v>
      </c>
      <c r="H120" s="430">
        <v>31553</v>
      </c>
      <c r="I120" s="453">
        <f t="shared" si="17"/>
        <v>-0.2380675273565</v>
      </c>
      <c r="J120" s="451">
        <v>0.0251419648503434</v>
      </c>
      <c r="K120" s="451">
        <v>0.032393503138954</v>
      </c>
      <c r="L120" s="451">
        <v>0.0381390946197926</v>
      </c>
      <c r="M120" s="451">
        <v>0.0438710537967644</v>
      </c>
      <c r="N120" s="451">
        <f t="shared" si="18"/>
        <v>-0.018729088946421</v>
      </c>
      <c r="O120" s="457" t="str">
        <f t="shared" si="19"/>
        <v/>
      </c>
      <c r="P120" s="430" t="s">
        <v>180</v>
      </c>
      <c r="Q120" s="471" t="e">
        <f t="array" ref="Q120">INDEX(正厂竞争者数据汇总!$I$2:$I$243,MATCH($A$114&amp;$B120,正厂竞争者数据汇总!$A$2:$A$243&amp;正厂竞争者数据汇总!$D$2:$D$243,0))</f>
        <v>#N/A</v>
      </c>
      <c r="R120" s="429" t="s">
        <v>180</v>
      </c>
      <c r="S120" s="435" t="s">
        <v>180</v>
      </c>
      <c r="T120" s="473" t="e">
        <f>VLOOKUP(B120,正厂竞争者数据汇总!$D$2:$CL$243,25,FALSE)</f>
        <v>#N/A</v>
      </c>
      <c r="U120" s="466"/>
      <c r="V120" s="466"/>
      <c r="W120" s="474"/>
      <c r="X120" s="474"/>
    </row>
    <row r="121" s="408" customFormat="1" spans="1:24">
      <c r="A121" s="428" t="s">
        <v>230</v>
      </c>
      <c r="B121" s="431" t="s">
        <v>568</v>
      </c>
      <c r="C121" s="429" t="e">
        <f>VLOOKUP(B121,正厂竞争者数据汇总!D:H,2,FALSE)</f>
        <v>#N/A</v>
      </c>
      <c r="D121" s="421" t="e">
        <f>VLOOKUP(B121,正厂竞争者数据汇总!D:H,3,FALSE)</f>
        <v>#N/A</v>
      </c>
      <c r="E121" s="430" t="e">
        <f>VLOOKUP(B121,正厂竞争者数据汇总!D:H,4,FALSE)</f>
        <v>#N/A</v>
      </c>
      <c r="F121" s="430">
        <v>13927.6666666667</v>
      </c>
      <c r="G121" s="430">
        <v>3064.33333333333</v>
      </c>
      <c r="H121" s="430">
        <v>3242.66666666667</v>
      </c>
      <c r="I121" s="453">
        <f t="shared" si="17"/>
        <v>3.54508865441098</v>
      </c>
      <c r="J121" s="451">
        <v>0.0165427615816999</v>
      </c>
      <c r="K121" s="451">
        <v>0.0173360037143195</v>
      </c>
      <c r="L121" s="451">
        <v>0.00420681388989912</v>
      </c>
      <c r="M121" s="451">
        <v>0.00450857933566723</v>
      </c>
      <c r="N121" s="451">
        <f t="shared" si="18"/>
        <v>0.0120341822460327</v>
      </c>
      <c r="O121" s="457" t="str">
        <f t="shared" si="19"/>
        <v/>
      </c>
      <c r="P121" s="430" t="s">
        <v>180</v>
      </c>
      <c r="Q121" s="471" t="e">
        <f t="array" ref="Q121">INDEX(正厂竞争者数据汇总!$I$2:$I$243,MATCH($A$114&amp;$B121,正厂竞争者数据汇总!$A$2:$A$243&amp;正厂竞争者数据汇总!$D$2:$D$243,0))</f>
        <v>#N/A</v>
      </c>
      <c r="R121" s="429" t="s">
        <v>180</v>
      </c>
      <c r="S121" s="435" t="s">
        <v>180</v>
      </c>
      <c r="T121" s="473" t="e">
        <f>VLOOKUP(B121,正厂竞争者数据汇总!$D$2:$CL$243,25,FALSE)</f>
        <v>#N/A</v>
      </c>
      <c r="U121" s="466"/>
      <c r="V121" s="466"/>
      <c r="W121" s="421"/>
      <c r="X121" s="421"/>
    </row>
    <row r="122" s="408" customFormat="1" spans="1:24">
      <c r="A122" s="428" t="s">
        <v>391</v>
      </c>
      <c r="B122" s="431" t="s">
        <v>569</v>
      </c>
      <c r="C122" s="429" t="e">
        <f>VLOOKUP(B122,正厂竞争者数据汇总!D:H,2,FALSE)</f>
        <v>#N/A</v>
      </c>
      <c r="D122" s="421" t="e">
        <f>VLOOKUP(B122,正厂竞争者数据汇总!D:H,3,FALSE)</f>
        <v>#N/A</v>
      </c>
      <c r="E122" s="430" t="e">
        <f>VLOOKUP(B122,正厂竞争者数据汇总!D:H,4,FALSE)</f>
        <v>#N/A</v>
      </c>
      <c r="F122" s="430">
        <v>193.833333333333</v>
      </c>
      <c r="G122" s="430">
        <v>576.5</v>
      </c>
      <c r="H122" s="430">
        <v>425.333333333333</v>
      </c>
      <c r="I122" s="453"/>
      <c r="J122" s="451">
        <v>0.000230227984102589</v>
      </c>
      <c r="K122" s="451">
        <v>0.000484620467248142</v>
      </c>
      <c r="L122" s="451">
        <v>0.000791437465743559</v>
      </c>
      <c r="M122" s="451">
        <v>0.000591380266479378</v>
      </c>
      <c r="N122" s="451">
        <f t="shared" si="18"/>
        <v>-0.000361152282376789</v>
      </c>
      <c r="O122" s="451" t="str">
        <f t="shared" si="19"/>
        <v/>
      </c>
      <c r="P122" s="430" t="s">
        <v>180</v>
      </c>
      <c r="Q122" s="471" t="e">
        <f t="array" ref="Q122">INDEX(正厂竞争者数据汇总!$I$2:$I$243,MATCH($A$114&amp;$B122,正厂竞争者数据汇总!$A$2:$A$243&amp;正厂竞争者数据汇总!$D$2:$D$243,0))</f>
        <v>#N/A</v>
      </c>
      <c r="R122" s="429" t="s">
        <v>180</v>
      </c>
      <c r="S122" s="435" t="s">
        <v>180</v>
      </c>
      <c r="T122" s="473" t="e">
        <f>VLOOKUP(B122,正厂竞争者数据汇总!$D$2:$CL$243,25,FALSE)</f>
        <v>#N/A</v>
      </c>
      <c r="U122" s="466"/>
      <c r="V122" s="466"/>
      <c r="W122" s="421"/>
      <c r="X122" s="421"/>
    </row>
    <row r="123" s="408" customFormat="1" spans="1:24">
      <c r="A123" s="428"/>
      <c r="B123" s="438"/>
      <c r="C123" s="429"/>
      <c r="D123" s="421"/>
      <c r="E123" s="430"/>
      <c r="F123" s="430"/>
      <c r="G123" s="430"/>
      <c r="H123" s="430"/>
      <c r="I123" s="453"/>
      <c r="J123" s="451"/>
      <c r="K123" s="451"/>
      <c r="L123" s="451"/>
      <c r="M123" s="451"/>
      <c r="N123" s="451"/>
      <c r="O123" s="451"/>
      <c r="P123" s="430"/>
      <c r="Q123" s="471"/>
      <c r="R123" s="429"/>
      <c r="S123" s="435"/>
      <c r="T123" s="473"/>
      <c r="U123" s="466"/>
      <c r="V123" s="466"/>
      <c r="W123" s="474"/>
      <c r="X123" s="474"/>
    </row>
    <row r="124" s="408" customFormat="1" spans="1:24">
      <c r="A124" s="428" t="s">
        <v>230</v>
      </c>
      <c r="B124" s="431" t="s">
        <v>524</v>
      </c>
      <c r="C124" s="429" t="e">
        <f>VLOOKUP(B124,正厂竞争者数据汇总!D:H,2,FALSE)</f>
        <v>#N/A</v>
      </c>
      <c r="D124" s="421" t="e">
        <f>VLOOKUP(B124,正厂竞争者数据汇总!D:H,3,FALSE)</f>
        <v>#N/A</v>
      </c>
      <c r="E124" s="430"/>
      <c r="F124" s="430">
        <v>38147.835</v>
      </c>
      <c r="G124" s="430">
        <v>44950.6933333333</v>
      </c>
      <c r="H124" s="430">
        <v>32883.4366666667</v>
      </c>
      <c r="I124" s="453"/>
      <c r="J124" s="451">
        <v>0.0453105717107216</v>
      </c>
      <c r="K124" s="451">
        <v>0.0587037550376599</v>
      </c>
      <c r="L124" s="451">
        <v>0.0617097360193395</v>
      </c>
      <c r="M124" s="451">
        <v>0.0457208829279571</v>
      </c>
      <c r="N124" s="451"/>
      <c r="O124" s="451"/>
      <c r="P124" s="430"/>
      <c r="Q124" s="471" t="e">
        <f t="array" ref="Q124">INDEX(正厂竞争者数据汇总!$I$2:$I$243,MATCH($A$114&amp;$B124,正厂竞争者数据汇总!$A$2:$A$243&amp;正厂竞争者数据汇总!$D$2:$D$243,0))</f>
        <v>#N/A</v>
      </c>
      <c r="R124" s="429"/>
      <c r="S124" s="435"/>
      <c r="T124" s="473"/>
      <c r="U124" s="466"/>
      <c r="V124" s="466"/>
      <c r="W124" s="421"/>
      <c r="X124" s="421"/>
    </row>
    <row r="125" s="408" customFormat="1" spans="1:24">
      <c r="A125" s="428"/>
      <c r="B125" s="431"/>
      <c r="C125" s="429"/>
      <c r="D125" s="421"/>
      <c r="E125" s="430"/>
      <c r="F125" s="430"/>
      <c r="G125" s="430"/>
      <c r="H125" s="430"/>
      <c r="I125" s="453"/>
      <c r="J125" s="451"/>
      <c r="K125" s="451"/>
      <c r="L125" s="451"/>
      <c r="M125" s="451"/>
      <c r="N125" s="451"/>
      <c r="O125" s="451"/>
      <c r="P125" s="430"/>
      <c r="Q125" s="471"/>
      <c r="R125" s="429"/>
      <c r="S125" s="435"/>
      <c r="T125" s="473"/>
      <c r="U125" s="466"/>
      <c r="V125" s="466"/>
      <c r="W125" s="421"/>
      <c r="X125" s="421"/>
    </row>
    <row r="126" s="408" customFormat="1" spans="1:24">
      <c r="A126" s="428"/>
      <c r="B126" s="431"/>
      <c r="C126" s="429"/>
      <c r="D126" s="421"/>
      <c r="E126" s="430"/>
      <c r="F126" s="430"/>
      <c r="G126" s="430"/>
      <c r="H126" s="430"/>
      <c r="I126" s="453"/>
      <c r="J126" s="451"/>
      <c r="K126" s="451"/>
      <c r="L126" s="451"/>
      <c r="M126" s="451"/>
      <c r="N126" s="451"/>
      <c r="O126" s="451"/>
      <c r="P126" s="430"/>
      <c r="Q126" s="471"/>
      <c r="R126" s="429"/>
      <c r="S126" s="435"/>
      <c r="T126" s="473"/>
      <c r="U126" s="466"/>
      <c r="V126" s="466"/>
      <c r="W126" s="421"/>
      <c r="X126" s="421"/>
    </row>
    <row r="127" s="408" customFormat="1" spans="1:24">
      <c r="A127" s="428"/>
      <c r="B127" s="421"/>
      <c r="C127" s="439"/>
      <c r="D127" s="421"/>
      <c r="E127" s="430"/>
      <c r="F127" s="430">
        <v>841919.083333333</v>
      </c>
      <c r="G127" s="430">
        <v>728421.416666667</v>
      </c>
      <c r="H127" s="430">
        <v>719221.383333333</v>
      </c>
      <c r="I127" s="453">
        <f t="shared" ref="I127:I135" si="20">(F127/G127)-1</f>
        <v>0.155813192843839</v>
      </c>
      <c r="J127" s="480"/>
      <c r="K127" s="480"/>
      <c r="L127" s="480"/>
      <c r="M127" s="480"/>
      <c r="N127" s="451"/>
      <c r="O127" s="451">
        <f>SUM(O116:O122)</f>
        <v>0</v>
      </c>
      <c r="P127" s="430"/>
      <c r="Q127" s="471"/>
      <c r="R127" s="429"/>
      <c r="S127" s="421"/>
      <c r="T127" s="473"/>
      <c r="U127" s="466"/>
      <c r="V127" s="466"/>
      <c r="W127" s="421"/>
      <c r="X127" s="421"/>
    </row>
    <row r="128" s="408" customFormat="1" spans="1:24">
      <c r="A128" s="428"/>
      <c r="B128" s="421"/>
      <c r="C128" s="439"/>
      <c r="D128" s="421"/>
      <c r="E128" s="430"/>
      <c r="F128" s="430"/>
      <c r="G128" s="430"/>
      <c r="H128" s="430"/>
      <c r="I128" s="453"/>
      <c r="J128" s="430"/>
      <c r="K128" s="430"/>
      <c r="L128" s="430"/>
      <c r="M128" s="430"/>
      <c r="N128" s="451"/>
      <c r="O128" s="459"/>
      <c r="P128" s="430"/>
      <c r="Q128" s="471"/>
      <c r="R128" s="429"/>
      <c r="S128" s="421"/>
      <c r="T128" s="473"/>
      <c r="U128" s="466"/>
      <c r="V128" s="466"/>
      <c r="W128" s="421"/>
      <c r="X128" s="421"/>
    </row>
    <row r="129" s="408" customFormat="1" ht="17.4" spans="1:24">
      <c r="A129" s="418" t="s">
        <v>165</v>
      </c>
      <c r="B129" s="419"/>
      <c r="C129" s="420"/>
      <c r="D129" s="421"/>
      <c r="E129" s="422" t="s">
        <v>202</v>
      </c>
      <c r="F129" s="422"/>
      <c r="G129" s="422"/>
      <c r="H129" s="422"/>
      <c r="I129" s="422"/>
      <c r="J129" s="422"/>
      <c r="K129" s="422"/>
      <c r="L129" s="422"/>
      <c r="M129" s="422"/>
      <c r="N129" s="443"/>
      <c r="O129" s="444"/>
      <c r="P129" s="422"/>
      <c r="Q129" s="471"/>
      <c r="R129" s="465"/>
      <c r="S129" s="424"/>
      <c r="T129" s="473"/>
      <c r="U129" s="467"/>
      <c r="V129" s="467"/>
      <c r="W129" s="467"/>
      <c r="X129" s="467"/>
    </row>
    <row r="130" s="409" customFormat="1" ht="46.8" spans="1:24">
      <c r="A130" s="423" t="s">
        <v>206</v>
      </c>
      <c r="B130" s="424" t="s">
        <v>207</v>
      </c>
      <c r="C130" s="425" t="s">
        <v>208</v>
      </c>
      <c r="D130" s="424" t="s">
        <v>209</v>
      </c>
      <c r="E130" s="426" t="s">
        <v>210</v>
      </c>
      <c r="F130" s="427" t="s">
        <v>496</v>
      </c>
      <c r="G130" s="427" t="s">
        <v>633</v>
      </c>
      <c r="H130" s="427" t="s">
        <v>634</v>
      </c>
      <c r="I130" s="427" t="s">
        <v>635</v>
      </c>
      <c r="J130" s="446" t="s">
        <v>390</v>
      </c>
      <c r="K130" s="446" t="s">
        <v>629</v>
      </c>
      <c r="L130" s="446" t="s">
        <v>630</v>
      </c>
      <c r="M130" s="446" t="s">
        <v>631</v>
      </c>
      <c r="N130" s="447" t="s">
        <v>632</v>
      </c>
      <c r="O130" s="448" t="s">
        <v>219</v>
      </c>
      <c r="P130" s="449" t="s">
        <v>220</v>
      </c>
      <c r="Q130" s="468" t="s">
        <v>221</v>
      </c>
      <c r="R130" s="469" t="s">
        <v>222</v>
      </c>
      <c r="S130" s="426" t="s">
        <v>223</v>
      </c>
      <c r="T130" s="470" t="s">
        <v>224</v>
      </c>
      <c r="U130" s="467" t="s">
        <v>225</v>
      </c>
      <c r="V130" s="470" t="s">
        <v>226</v>
      </c>
      <c r="W130" s="467"/>
      <c r="X130" s="467"/>
    </row>
    <row r="131" s="408" customFormat="1" spans="1:24">
      <c r="A131" s="428" t="s">
        <v>230</v>
      </c>
      <c r="B131" s="431" t="s">
        <v>570</v>
      </c>
      <c r="C131" s="429" t="e">
        <f>VLOOKUP(B131,正厂竞争者数据汇总!D:H,2,FALSE)</f>
        <v>#N/A</v>
      </c>
      <c r="D131" s="421" t="e">
        <f>VLOOKUP(B131,正厂竞争者数据汇总!D:H,3,FALSE)</f>
        <v>#N/A</v>
      </c>
      <c r="E131" s="430">
        <f>VLOOKUP(B138,正厂竞争者数据汇总!D:H,4,FALSE)</f>
        <v>0</v>
      </c>
      <c r="F131" s="430">
        <v>227136</v>
      </c>
      <c r="G131" s="430">
        <v>190696.083333333</v>
      </c>
      <c r="H131" s="430">
        <v>208700.75</v>
      </c>
      <c r="I131" s="453">
        <f t="shared" si="20"/>
        <v>0.191088962236161</v>
      </c>
      <c r="J131" s="451">
        <v>0.434276394815321</v>
      </c>
      <c r="K131" s="451">
        <v>0.408382946985332</v>
      </c>
      <c r="L131" s="451">
        <v>0.420672844039564</v>
      </c>
      <c r="M131" s="451">
        <v>0.424131405069947</v>
      </c>
      <c r="N131" s="451">
        <f t="shared" ref="N131:N135" si="21">J131-M131</f>
        <v>0.010144989745374</v>
      </c>
      <c r="O131" s="451" t="str">
        <f>IFERROR(P131*0.5/#REF!,"")</f>
        <v/>
      </c>
      <c r="P131" s="430">
        <v>42711.55</v>
      </c>
      <c r="Q131" s="471" t="e">
        <f t="array" ref="Q131">INDEX(正厂竞争者数据汇总!$I$2:$I$243,MATCH($A$129&amp;$B131,正厂竞争者数据汇总!$A$2:$A$243&amp;正厂竞争者数据汇总!$D$2:$D$243,0))</f>
        <v>#N/A</v>
      </c>
      <c r="R131" s="429" t="s">
        <v>180</v>
      </c>
      <c r="S131" s="421" t="s">
        <v>180</v>
      </c>
      <c r="T131" s="473" t="e">
        <f>VLOOKUP(B131,正厂竞争者数据汇总!$D$2:$CL$243,25,FALSE)</f>
        <v>#N/A</v>
      </c>
      <c r="U131" s="466"/>
      <c r="V131" s="466"/>
      <c r="W131" s="421"/>
      <c r="X131" s="421"/>
    </row>
    <row r="132" s="410" customFormat="1" ht="17.4" spans="1:24">
      <c r="A132" s="432" t="s">
        <v>227</v>
      </c>
      <c r="B132" s="435" t="s">
        <v>571</v>
      </c>
      <c r="C132" s="434" t="e">
        <f>VLOOKUP(B132,正厂竞争者数据汇总!D:H,2,FALSE)</f>
        <v>#N/A</v>
      </c>
      <c r="D132" s="435" t="e">
        <f>VLOOKUP(B132,正厂竞争者数据汇总!D:H,3,FALSE)</f>
        <v>#N/A</v>
      </c>
      <c r="E132" s="436" t="e">
        <f>VLOOKUP(B132,正厂竞争者数据汇总!D:H,4,FALSE)</f>
        <v>#N/A</v>
      </c>
      <c r="F132" s="436">
        <v>126232.75</v>
      </c>
      <c r="G132" s="436">
        <v>85625.0833333333</v>
      </c>
      <c r="H132" s="436">
        <v>89720.0833333333</v>
      </c>
      <c r="I132" s="454">
        <f t="shared" si="20"/>
        <v>0.474249660097655</v>
      </c>
      <c r="J132" s="457">
        <v>0.241352773570124</v>
      </c>
      <c r="K132" s="457">
        <v>0.250328479985516</v>
      </c>
      <c r="L132" s="457">
        <v>0.188887714405731</v>
      </c>
      <c r="M132" s="457">
        <v>0.182333340954258</v>
      </c>
      <c r="N132" s="456">
        <f t="shared" si="21"/>
        <v>0.059019432615866</v>
      </c>
      <c r="O132" s="457" t="str">
        <f>IFERROR(P132*0.5/#REF!,"")</f>
        <v/>
      </c>
      <c r="P132" s="436" t="s">
        <v>180</v>
      </c>
      <c r="Q132" s="471" t="e">
        <f t="array" ref="Q132">INDEX(正厂竞争者数据汇总!$I$2:$I$243,MATCH($A$129&amp;$B132,正厂竞争者数据汇总!$A$2:$A$243&amp;正厂竞争者数据汇总!$D$2:$D$243,0))</f>
        <v>#N/A</v>
      </c>
      <c r="R132" s="434" t="s">
        <v>572</v>
      </c>
      <c r="S132" s="435" t="s">
        <v>229</v>
      </c>
      <c r="T132" s="476" t="e">
        <f>VLOOKUP(B132,正厂竞争者数据汇总!$D$2:$CL$243,25,FALSE)</f>
        <v>#N/A</v>
      </c>
      <c r="U132" s="477"/>
      <c r="V132" s="477"/>
      <c r="W132" s="435"/>
      <c r="X132" s="435"/>
    </row>
    <row r="133" s="408" customFormat="1" spans="1:24">
      <c r="A133" s="428" t="s">
        <v>230</v>
      </c>
      <c r="B133" s="431" t="s">
        <v>573</v>
      </c>
      <c r="C133" s="429" t="e">
        <f>VLOOKUP(B133,正厂竞争者数据汇总!D:H,2,FALSE)</f>
        <v>#N/A</v>
      </c>
      <c r="D133" s="421" t="e">
        <f>VLOOKUP(B133,正厂竞争者数据汇总!D:H,3,FALSE)</f>
        <v>#N/A</v>
      </c>
      <c r="E133" s="430" t="e">
        <f>VLOOKUP(B133,正厂竞争者数据汇总!D:H,4,FALSE)</f>
        <v>#N/A</v>
      </c>
      <c r="F133" s="430">
        <v>132466.666666667</v>
      </c>
      <c r="G133" s="430">
        <v>146165</v>
      </c>
      <c r="H133" s="430">
        <v>159412</v>
      </c>
      <c r="I133" s="453">
        <f t="shared" si="20"/>
        <v>-0.0937182864114733</v>
      </c>
      <c r="J133" s="451">
        <v>0.25327181262857</v>
      </c>
      <c r="K133" s="451">
        <v>0.279323439465878</v>
      </c>
      <c r="L133" s="451">
        <v>0.322437908394603</v>
      </c>
      <c r="M133" s="451">
        <v>0.323964506811837</v>
      </c>
      <c r="N133" s="451">
        <f t="shared" si="21"/>
        <v>-0.070692694183267</v>
      </c>
      <c r="O133" s="451" t="str">
        <f>IFERROR(P133*0.5/#REF!,"")</f>
        <v/>
      </c>
      <c r="P133" s="430" t="s">
        <v>180</v>
      </c>
      <c r="Q133" s="471" t="e">
        <f t="array" ref="Q133">INDEX(正厂竞争者数据汇总!$I$2:$I$243,MATCH($A$129&amp;$B133,正厂竞争者数据汇总!$A$2:$A$243&amp;正厂竞争者数据汇总!$D$2:$D$243,0))</f>
        <v>#N/A</v>
      </c>
      <c r="R133" s="429" t="s">
        <v>180</v>
      </c>
      <c r="S133" s="421" t="s">
        <v>180</v>
      </c>
      <c r="T133" s="473" t="e">
        <f>VLOOKUP(B133,正厂竞争者数据汇总!$D$2:$CL$243,25,FALSE)</f>
        <v>#N/A</v>
      </c>
      <c r="U133" s="466"/>
      <c r="V133" s="466"/>
      <c r="W133" s="421"/>
      <c r="X133" s="421"/>
    </row>
    <row r="134" s="408" customFormat="1" spans="1:24">
      <c r="A134" s="428" t="s">
        <v>230</v>
      </c>
      <c r="B134" s="421" t="s">
        <v>574</v>
      </c>
      <c r="C134" s="429"/>
      <c r="D134" s="421" t="e">
        <f>VLOOKUP(B134,正厂竞争者数据汇总!D:H,3,FALSE)</f>
        <v>#N/A</v>
      </c>
      <c r="E134" s="430" t="e">
        <f>VLOOKUP(B134,正厂竞争者数据汇总!D:H,4,FALSE)</f>
        <v>#N/A</v>
      </c>
      <c r="F134" s="430">
        <v>17388.4166666666</v>
      </c>
      <c r="G134" s="430">
        <v>13743.4166666666</v>
      </c>
      <c r="H134" s="430">
        <v>13508</v>
      </c>
      <c r="I134" s="453">
        <f t="shared" si="20"/>
        <v>0.265217892202935</v>
      </c>
      <c r="J134" s="451">
        <v>0.0332460680013146</v>
      </c>
      <c r="K134" s="451">
        <v>0.0330136324933779</v>
      </c>
      <c r="L134" s="451">
        <v>0.0303177814401225</v>
      </c>
      <c r="M134" s="451">
        <v>0.0274515880737604</v>
      </c>
      <c r="N134" s="451">
        <f t="shared" si="21"/>
        <v>0.0057944799275542</v>
      </c>
      <c r="O134" s="451"/>
      <c r="P134" s="430"/>
      <c r="Q134" s="471" t="e">
        <f t="array" ref="Q134">INDEX(正厂竞争者数据汇总!$I$2:$I$243,MATCH($A$129&amp;$B134,正厂竞争者数据汇总!$A$2:$A$243&amp;正厂竞争者数据汇总!$D$2:$D$243,0))</f>
        <v>#N/A</v>
      </c>
      <c r="R134" s="429"/>
      <c r="S134" s="421"/>
      <c r="T134" s="473" t="e">
        <f>VLOOKUP(B134,正厂竞争者数据汇总!$D$2:$CL$243,25,FALSE)</f>
        <v>#N/A</v>
      </c>
      <c r="U134" s="466"/>
      <c r="V134" s="466"/>
      <c r="W134" s="421"/>
      <c r="X134" s="421"/>
    </row>
    <row r="135" s="408" customFormat="1" spans="1:24">
      <c r="A135" s="428" t="s">
        <v>391</v>
      </c>
      <c r="B135" s="421" t="s">
        <v>297</v>
      </c>
      <c r="C135" s="429" t="str">
        <f>VLOOKUP(B135,正厂竞争者数据汇总!D:H,2,FALSE)</f>
        <v>原厂目录</v>
      </c>
      <c r="D135" s="421" t="str">
        <f>VLOOKUP(B135,正厂竞争者数据汇总!D:H,3,FALSE)</f>
        <v>CT</v>
      </c>
      <c r="E135" s="430">
        <f>VLOOKUP(B135,正厂竞争者数据汇总!D:H,4,FALSE)</f>
        <v>0</v>
      </c>
      <c r="F135" s="430">
        <v>19797.9166666667</v>
      </c>
      <c r="G135" s="430">
        <v>17082.5</v>
      </c>
      <c r="H135" s="430">
        <v>20725.4166666667</v>
      </c>
      <c r="I135" s="453">
        <f t="shared" si="20"/>
        <v>0.158958973608471</v>
      </c>
      <c r="J135" s="451">
        <v>0.0378529509846707</v>
      </c>
      <c r="K135" s="451">
        <v>0.028951501069897</v>
      </c>
      <c r="L135" s="451">
        <v>0.0376837517199796</v>
      </c>
      <c r="M135" s="451">
        <v>0.042119159090197</v>
      </c>
      <c r="N135" s="451">
        <f t="shared" si="21"/>
        <v>-0.0042662081055263</v>
      </c>
      <c r="O135" s="451" t="str">
        <f>IFERROR(P135*0.5/#REF!,"")</f>
        <v/>
      </c>
      <c r="P135" s="430" t="s">
        <v>180</v>
      </c>
      <c r="Q135" s="471" t="str">
        <f t="array" ref="Q135">INDEX(正厂竞争者数据汇总!$I$2:$I$243,MATCH($A$129&amp;$B135,正厂竞争者数据汇总!$A$2:$A$243&amp;正厂竞争者数据汇总!$D$2:$D$243,0))</f>
        <v>2024年1月，因市场份额大于5%，加入监控</v>
      </c>
      <c r="R135" s="429" t="s">
        <v>180</v>
      </c>
      <c r="S135" s="421" t="s">
        <v>180</v>
      </c>
      <c r="T135" s="473">
        <f>VLOOKUP(B135,正厂竞争者数据汇总!$D$2:$CL$243,25,FALSE)</f>
        <v>22560</v>
      </c>
      <c r="U135" s="466"/>
      <c r="V135" s="477"/>
      <c r="W135" s="421"/>
      <c r="X135" s="421"/>
    </row>
    <row r="136" s="408" customFormat="1" spans="1:24">
      <c r="A136" s="428"/>
      <c r="B136" s="421"/>
      <c r="C136" s="429"/>
      <c r="D136" s="421"/>
      <c r="E136" s="430"/>
      <c r="F136" s="430"/>
      <c r="G136" s="430"/>
      <c r="H136" s="430"/>
      <c r="I136" s="453"/>
      <c r="J136" s="451"/>
      <c r="K136" s="451"/>
      <c r="L136" s="451"/>
      <c r="M136" s="451"/>
      <c r="N136" s="451"/>
      <c r="O136" s="451"/>
      <c r="P136" s="430"/>
      <c r="Q136" s="471"/>
      <c r="R136" s="429"/>
      <c r="S136" s="421"/>
      <c r="T136" s="473"/>
      <c r="U136" s="466"/>
      <c r="V136" s="466"/>
      <c r="W136" s="421"/>
      <c r="X136" s="421"/>
    </row>
    <row r="137" s="408" customFormat="1" spans="1:24">
      <c r="A137" s="428" t="s">
        <v>230</v>
      </c>
      <c r="B137" s="421" t="s">
        <v>575</v>
      </c>
      <c r="C137" s="429" t="e">
        <f>VLOOKUP(B137,正厂竞争者数据汇总!D:H,2,FALSE)</f>
        <v>#N/A</v>
      </c>
      <c r="D137" s="421" t="e">
        <f>VLOOKUP(B137,正厂竞争者数据汇总!D:H,3,FALSE)</f>
        <v>#N/A</v>
      </c>
      <c r="E137" s="430" t="e">
        <f>VLOOKUP(B137,正厂竞争者数据汇总!D:H,4,FALSE)</f>
        <v>#N/A</v>
      </c>
      <c r="F137" s="430">
        <v>42133.1666666667</v>
      </c>
      <c r="G137" s="430">
        <v>35547.1666666667</v>
      </c>
      <c r="H137" s="430">
        <v>34941</v>
      </c>
      <c r="I137" s="453"/>
      <c r="J137" s="451">
        <v>0.0805571979877829</v>
      </c>
      <c r="K137" s="451">
        <v>0.0675399456589476</v>
      </c>
      <c r="L137" s="451">
        <v>0.0784165434225319</v>
      </c>
      <c r="M137" s="451">
        <v>0.0710087310397736</v>
      </c>
      <c r="N137" s="451"/>
      <c r="O137" s="451"/>
      <c r="P137" s="430"/>
      <c r="Q137" s="471" t="e">
        <f t="array" ref="Q137">INDEX(正厂竞争者数据汇总!$I$2:$I$243,MATCH($A$129&amp;$B137,正厂竞争者数据汇总!$A$2:$A$243&amp;正厂竞争者数据汇总!$D$2:$D$243,0))</f>
        <v>#N/A</v>
      </c>
      <c r="R137" s="429"/>
      <c r="S137" s="421"/>
      <c r="T137" s="473"/>
      <c r="U137" s="466"/>
      <c r="V137" s="466"/>
      <c r="W137" s="421"/>
      <c r="X137" s="421"/>
    </row>
    <row r="138" s="408" customFormat="1" ht="17.4" spans="1:24">
      <c r="A138" s="428" t="s">
        <v>576</v>
      </c>
      <c r="B138" s="438" t="s">
        <v>577</v>
      </c>
      <c r="C138" s="429" t="str">
        <f>VLOOKUP(B138,正厂竞争者数据汇总!D:H,2,FALSE)</f>
        <v>原厂目录</v>
      </c>
      <c r="D138" s="421" t="str">
        <f>VLOOKUP(B138,正厂竞争者数据汇总!D:H,3,FALSE)</f>
        <v>-</v>
      </c>
      <c r="E138" s="430">
        <f>VLOOKUP(B138,正厂竞争者数据汇总!D:H,4,FALSE)</f>
        <v>0</v>
      </c>
      <c r="F138" s="430">
        <v>655383.666666667</v>
      </c>
      <c r="G138" s="430">
        <v>434604.75</v>
      </c>
      <c r="H138" s="430">
        <v>408957</v>
      </c>
      <c r="I138" s="453"/>
      <c r="J138" s="430"/>
      <c r="K138" s="430"/>
      <c r="L138" s="430"/>
      <c r="M138" s="430"/>
      <c r="N138" s="451"/>
      <c r="O138" s="451" t="str">
        <f>IFERROR(P138*0.5/#REF!,"")</f>
        <v/>
      </c>
      <c r="P138" s="430" t="s">
        <v>180</v>
      </c>
      <c r="Q138" s="471">
        <f t="array" ref="Q138">INDEX(正厂竞争者数据汇总!$I$2:$I$243,MATCH($A$129&amp;$B138,正厂竞争者数据汇总!$A$2:$A$243&amp;正厂竞争者数据汇总!$D$2:$D$243,0))</f>
        <v>0</v>
      </c>
      <c r="R138" s="429" t="s">
        <v>180</v>
      </c>
      <c r="S138" s="421" t="s">
        <v>180</v>
      </c>
      <c r="T138" s="473">
        <f>VLOOKUP(B138,正厂竞争者数据汇总!$D$2:$CL$243,25,FALSE)</f>
        <v>351431</v>
      </c>
      <c r="U138" s="466"/>
      <c r="V138" s="466"/>
      <c r="W138" s="421"/>
      <c r="X138" s="421"/>
    </row>
    <row r="139" s="408" customFormat="1" spans="1:24">
      <c r="A139" s="428"/>
      <c r="B139" s="421"/>
      <c r="C139" s="429"/>
      <c r="D139" s="421"/>
      <c r="E139" s="430"/>
      <c r="F139" s="481"/>
      <c r="G139" s="481"/>
      <c r="H139" s="481"/>
      <c r="I139" s="453"/>
      <c r="J139" s="451"/>
      <c r="K139" s="451"/>
      <c r="L139" s="451"/>
      <c r="M139" s="451"/>
      <c r="N139" s="451"/>
      <c r="O139" s="451"/>
      <c r="P139" s="430"/>
      <c r="Q139" s="471"/>
      <c r="R139" s="429"/>
      <c r="S139" s="421"/>
      <c r="T139" s="473"/>
      <c r="U139" s="466"/>
      <c r="V139" s="466"/>
      <c r="W139" s="421"/>
      <c r="X139" s="421"/>
    </row>
    <row r="140" s="408" customFormat="1" spans="1:24">
      <c r="A140" s="428"/>
      <c r="B140" s="421"/>
      <c r="C140" s="439"/>
      <c r="D140" s="421"/>
      <c r="E140" s="421"/>
      <c r="F140" s="481">
        <v>523021.75</v>
      </c>
      <c r="G140" s="481">
        <v>453312.083333333</v>
      </c>
      <c r="H140" s="481">
        <v>492066.25</v>
      </c>
      <c r="I140" s="453">
        <f t="shared" ref="I140:I149" si="22">(F140/G140)-1</f>
        <v>0.153778531898095</v>
      </c>
      <c r="J140" s="430"/>
      <c r="K140" s="430"/>
      <c r="L140" s="430"/>
      <c r="M140" s="430"/>
      <c r="N140" s="451"/>
      <c r="O140" s="451">
        <f>SUM(O131:O135)</f>
        <v>0</v>
      </c>
      <c r="P140" s="430"/>
      <c r="Q140" s="471"/>
      <c r="R140" s="429"/>
      <c r="S140" s="421"/>
      <c r="T140" s="473"/>
      <c r="U140" s="466"/>
      <c r="V140" s="466"/>
      <c r="W140" s="421"/>
      <c r="X140" s="421"/>
    </row>
    <row r="141" s="408" customFormat="1" spans="1:24">
      <c r="A141" s="428"/>
      <c r="B141" s="421"/>
      <c r="C141" s="429"/>
      <c r="D141" s="421"/>
      <c r="E141" s="430"/>
      <c r="F141" s="451"/>
      <c r="G141" s="451"/>
      <c r="H141" s="451"/>
      <c r="I141" s="453"/>
      <c r="J141" s="451"/>
      <c r="K141" s="451"/>
      <c r="L141" s="451"/>
      <c r="M141" s="451"/>
      <c r="N141" s="451"/>
      <c r="O141" s="451"/>
      <c r="P141" s="451"/>
      <c r="Q141" s="471"/>
      <c r="R141" s="429"/>
      <c r="S141" s="421"/>
      <c r="T141" s="473"/>
      <c r="U141" s="466"/>
      <c r="V141" s="466"/>
      <c r="W141" s="421"/>
      <c r="X141" s="421"/>
    </row>
    <row r="142" s="408" customFormat="1" ht="17.4" spans="1:24">
      <c r="A142" s="418" t="s">
        <v>171</v>
      </c>
      <c r="B142" s="419"/>
      <c r="C142" s="420"/>
      <c r="D142" s="421"/>
      <c r="E142" s="422" t="s">
        <v>202</v>
      </c>
      <c r="F142" s="422"/>
      <c r="G142" s="422"/>
      <c r="H142" s="422"/>
      <c r="I142" s="422"/>
      <c r="J142" s="422"/>
      <c r="K142" s="422"/>
      <c r="L142" s="422"/>
      <c r="M142" s="422"/>
      <c r="N142" s="443"/>
      <c r="O142" s="422"/>
      <c r="P142" s="422"/>
      <c r="Q142" s="471"/>
      <c r="R142" s="465"/>
      <c r="S142" s="424"/>
      <c r="T142" s="473"/>
      <c r="U142" s="467"/>
      <c r="V142" s="467"/>
      <c r="W142" s="467"/>
      <c r="X142" s="467"/>
    </row>
    <row r="143" s="409" customFormat="1" ht="46.8" spans="1:24">
      <c r="A143" s="423" t="s">
        <v>206</v>
      </c>
      <c r="B143" s="424" t="s">
        <v>207</v>
      </c>
      <c r="C143" s="425" t="s">
        <v>208</v>
      </c>
      <c r="D143" s="424" t="s">
        <v>209</v>
      </c>
      <c r="E143" s="426" t="s">
        <v>210</v>
      </c>
      <c r="F143" s="427" t="s">
        <v>496</v>
      </c>
      <c r="G143" s="427" t="s">
        <v>633</v>
      </c>
      <c r="H143" s="427" t="s">
        <v>634</v>
      </c>
      <c r="I143" s="427" t="s">
        <v>635</v>
      </c>
      <c r="J143" s="446" t="s">
        <v>390</v>
      </c>
      <c r="K143" s="446" t="s">
        <v>629</v>
      </c>
      <c r="L143" s="446" t="s">
        <v>630</v>
      </c>
      <c r="M143" s="446" t="s">
        <v>631</v>
      </c>
      <c r="N143" s="447" t="s">
        <v>632</v>
      </c>
      <c r="O143" s="448" t="s">
        <v>219</v>
      </c>
      <c r="P143" s="449" t="s">
        <v>220</v>
      </c>
      <c r="Q143" s="468" t="s">
        <v>221</v>
      </c>
      <c r="R143" s="469" t="s">
        <v>222</v>
      </c>
      <c r="S143" s="426" t="s">
        <v>223</v>
      </c>
      <c r="T143" s="470" t="s">
        <v>224</v>
      </c>
      <c r="U143" s="467" t="s">
        <v>225</v>
      </c>
      <c r="V143" s="470" t="s">
        <v>226</v>
      </c>
      <c r="W143" s="467"/>
      <c r="X143" s="467"/>
    </row>
    <row r="144" s="408" customFormat="1" ht="46.8" spans="1:24">
      <c r="A144" s="428" t="s">
        <v>230</v>
      </c>
      <c r="B144" s="438" t="s">
        <v>578</v>
      </c>
      <c r="C144" s="429" t="e">
        <f>VLOOKUP(B144,正厂竞争者数据汇总!D:H,2,FALSE)</f>
        <v>#N/A</v>
      </c>
      <c r="D144" s="421" t="e">
        <f>VLOOKUP(B144,正厂竞争者数据汇总!D:H,3,FALSE)</f>
        <v>#N/A</v>
      </c>
      <c r="E144" s="430" t="e">
        <f>VLOOKUP(B144,正厂竞争者数据汇总!D:H,4,FALSE)</f>
        <v>#N/A</v>
      </c>
      <c r="F144" s="430">
        <v>152912.166666667</v>
      </c>
      <c r="G144" s="430">
        <v>162954.25</v>
      </c>
      <c r="H144" s="430">
        <v>160035.666666667</v>
      </c>
      <c r="I144" s="453">
        <f t="shared" si="22"/>
        <v>-0.0616251698457266</v>
      </c>
      <c r="J144" s="451">
        <v>0.35021328330321</v>
      </c>
      <c r="K144" s="451">
        <v>0.339170611188838</v>
      </c>
      <c r="L144" s="451">
        <v>0.360235390389442</v>
      </c>
      <c r="M144" s="451">
        <v>0.344368357592742</v>
      </c>
      <c r="N144" s="451">
        <f t="shared" ref="N144:N149" si="23">J144-M144</f>
        <v>0.00584492571046802</v>
      </c>
      <c r="O144" s="459"/>
      <c r="P144" s="430"/>
      <c r="Q144" s="471" t="e">
        <f t="array" ref="Q144">INDEX(正厂竞争者数据汇总!$I$2:$I$243,MATCH($A$142&amp;$B144,正厂竞争者数据汇总!$A$2:$A$243&amp;正厂竞争者数据汇总!$D$2:$D$243,0))</f>
        <v>#N/A</v>
      </c>
      <c r="R144" s="429" t="s">
        <v>180</v>
      </c>
      <c r="S144" s="421" t="s">
        <v>180</v>
      </c>
      <c r="T144" s="473" t="e">
        <f>VLOOKUP(B144,正厂竞争者数据汇总!$D$2:$CL$243,25,FALSE)</f>
        <v>#N/A</v>
      </c>
      <c r="U144" s="466" t="str">
        <f>VLOOKUP(B144,'Price &amp; Shipping'!B:DK,2,FALSE)</f>
        <v>free shipping over $499(most orders)</v>
      </c>
      <c r="V144" s="466"/>
      <c r="W144" s="421"/>
      <c r="X144" s="421"/>
    </row>
    <row r="145" s="408" customFormat="1" spans="1:24">
      <c r="A145" s="428" t="s">
        <v>230</v>
      </c>
      <c r="B145" s="482" t="s">
        <v>311</v>
      </c>
      <c r="C145" s="429" t="str">
        <f>VLOOKUP(B145,正厂竞争者数据汇总!D:H,2,FALSE)</f>
        <v>原厂目录</v>
      </c>
      <c r="D145" s="421" t="str">
        <f>VLOOKUP(B145,正厂竞争者数据汇总!D:H,3,FALSE)</f>
        <v>GA</v>
      </c>
      <c r="E145" s="430">
        <f>VLOOKUP(B145,正厂竞争者数据汇总!D:H,4,FALSE)</f>
        <v>0</v>
      </c>
      <c r="F145" s="430">
        <v>76765.0833333333</v>
      </c>
      <c r="G145" s="430">
        <v>86270</v>
      </c>
      <c r="H145" s="430">
        <v>96220.75</v>
      </c>
      <c r="I145" s="453">
        <f t="shared" si="22"/>
        <v>-0.110176384220085</v>
      </c>
      <c r="J145" s="451">
        <v>0.175814341417422</v>
      </c>
      <c r="K145" s="451">
        <v>0.162027805681015</v>
      </c>
      <c r="L145" s="451">
        <v>0.190713081302863</v>
      </c>
      <c r="M145" s="451">
        <v>0.207049980382551</v>
      </c>
      <c r="N145" s="451">
        <f t="shared" si="23"/>
        <v>-0.031235638965129</v>
      </c>
      <c r="O145" s="459"/>
      <c r="P145" s="430"/>
      <c r="Q145" s="471">
        <f t="array" ref="Q145">INDEX(正厂竞争者数据汇总!$I$2:$I$243,MATCH($A$142&amp;$B145,正厂竞争者数据汇总!$A$2:$A$243&amp;正厂竞争者数据汇总!$D$2:$D$243,0))</f>
        <v>0</v>
      </c>
      <c r="R145" s="429" t="s">
        <v>180</v>
      </c>
      <c r="S145" s="421" t="s">
        <v>180</v>
      </c>
      <c r="T145" s="473">
        <f>VLOOKUP(B145,正厂竞争者数据汇总!$D$2:$CL$243,25,FALSE)</f>
        <v>94324</v>
      </c>
      <c r="U145" s="466"/>
      <c r="V145" s="466"/>
      <c r="W145" s="421"/>
      <c r="X145" s="421"/>
    </row>
    <row r="146" s="410" customFormat="1" spans="1:24">
      <c r="A146" s="432" t="s">
        <v>227</v>
      </c>
      <c r="B146" s="433" t="s">
        <v>172</v>
      </c>
      <c r="C146" s="434" t="str">
        <f>VLOOKUP(B146,正厂竞争者数据汇总!D:H,2,FALSE)</f>
        <v>原厂目录</v>
      </c>
      <c r="D146" s="477" t="str">
        <f>VLOOKUP(B146,正厂竞争者数据汇总!D:H,3,FALSE)</f>
        <v>CA</v>
      </c>
      <c r="E146" s="436">
        <f>VLOOKUP(B146,正厂竞争者数据汇总!D:H,4,FALSE)</f>
        <v>0</v>
      </c>
      <c r="F146" s="436">
        <v>137050.666666667</v>
      </c>
      <c r="G146" s="436">
        <v>99601.1666666667</v>
      </c>
      <c r="H146" s="436">
        <v>95360</v>
      </c>
      <c r="I146" s="454">
        <f t="shared" si="22"/>
        <v>0.375994591763486</v>
      </c>
      <c r="J146" s="457">
        <v>0.313885840469815</v>
      </c>
      <c r="K146" s="457">
        <v>0.308845167401857</v>
      </c>
      <c r="L146" s="457">
        <v>0.220183672149763</v>
      </c>
      <c r="M146" s="457">
        <v>0.205197799115888</v>
      </c>
      <c r="N146" s="456">
        <f t="shared" si="23"/>
        <v>0.108688041353927</v>
      </c>
      <c r="O146" s="455"/>
      <c r="P146" s="436"/>
      <c r="Q146" s="471">
        <f t="array" ref="Q146">INDEX(正厂竞争者数据汇总!$I$2:$I$243,MATCH($A$142&amp;$B146,正厂竞争者数据汇总!$A$2:$A$243&amp;正厂竞争者数据汇总!$D$2:$D$243,0))</f>
        <v>0</v>
      </c>
      <c r="R146" s="491" t="s">
        <v>313</v>
      </c>
      <c r="S146" s="435" t="s">
        <v>180</v>
      </c>
      <c r="T146" s="476">
        <f>VLOOKUP(B146,正厂竞争者数据汇总!$D$2:$CL$243,25,FALSE)</f>
        <v>90437</v>
      </c>
      <c r="U146" s="477"/>
      <c r="V146" s="477"/>
      <c r="W146" s="435"/>
      <c r="X146" s="435"/>
    </row>
    <row r="147" s="408" customFormat="1" spans="1:24">
      <c r="A147" s="428" t="s">
        <v>243</v>
      </c>
      <c r="B147" s="438" t="s">
        <v>314</v>
      </c>
      <c r="C147" s="429" t="str">
        <f>VLOOKUP(B147,正厂竞争者数据汇总!D:H,2,FALSE)</f>
        <v>原厂目录</v>
      </c>
      <c r="D147" s="421" t="str">
        <f>VLOOKUP(B147,正厂竞争者数据汇总!D:H,3,FALSE)</f>
        <v>WA</v>
      </c>
      <c r="E147" s="430">
        <f>VLOOKUP(B147,正厂竞争者数据汇总!D:H,4,FALSE)</f>
        <v>0</v>
      </c>
      <c r="F147" s="430">
        <v>46829.9166666667</v>
      </c>
      <c r="G147" s="430">
        <v>65491.0833333333</v>
      </c>
      <c r="H147" s="430">
        <v>66828.75</v>
      </c>
      <c r="I147" s="453">
        <f t="shared" si="22"/>
        <v>-0.284942097715591</v>
      </c>
      <c r="J147" s="451">
        <v>0.107254113457174</v>
      </c>
      <c r="K147" s="451">
        <v>0.122240403252405</v>
      </c>
      <c r="L147" s="451">
        <v>0.144778095518287</v>
      </c>
      <c r="M147" s="451">
        <v>0.143803611762436</v>
      </c>
      <c r="N147" s="451">
        <f t="shared" si="23"/>
        <v>-0.036549498305262</v>
      </c>
      <c r="O147" s="459"/>
      <c r="P147" s="430"/>
      <c r="Q147" s="471">
        <f t="array" ref="Q147">INDEX(正厂竞争者数据汇总!$I$2:$I$243,MATCH($A$142&amp;$B147,正厂竞争者数据汇总!$A$2:$A$243&amp;正厂竞争者数据汇总!$D$2:$D$243,0))</f>
        <v>0</v>
      </c>
      <c r="R147" s="429" t="s">
        <v>180</v>
      </c>
      <c r="S147" s="421" t="s">
        <v>180</v>
      </c>
      <c r="T147" s="472">
        <f>VLOOKUP(B147,正厂竞争者数据汇总!$D$2:$CL$243,25,FALSE)</f>
        <v>97198</v>
      </c>
      <c r="U147" s="466"/>
      <c r="V147" s="466"/>
      <c r="W147" s="421"/>
      <c r="X147" s="421"/>
    </row>
    <row r="148" s="408" customFormat="1" spans="1:24">
      <c r="A148" s="428" t="s">
        <v>230</v>
      </c>
      <c r="B148" s="421" t="s">
        <v>579</v>
      </c>
      <c r="C148" s="429" t="e">
        <f>VLOOKUP(B148,正厂竞争者数据汇总!D:H,2,FALSE)</f>
        <v>#N/A</v>
      </c>
      <c r="D148" s="421" t="e">
        <f>VLOOKUP(B148,正厂竞争者数据汇总!D:H,3,FALSE)</f>
        <v>#N/A</v>
      </c>
      <c r="E148" s="430"/>
      <c r="F148" s="430">
        <v>8487.75</v>
      </c>
      <c r="G148" s="430">
        <v>19438.25</v>
      </c>
      <c r="H148" s="430">
        <v>25806.4166666667</v>
      </c>
      <c r="I148" s="453">
        <f t="shared" si="22"/>
        <v>-0.563348038017826</v>
      </c>
      <c r="J148" s="451">
        <v>0.0194394132275728</v>
      </c>
      <c r="K148" s="451">
        <v>0.0322554107599236</v>
      </c>
      <c r="L148" s="451">
        <v>0.042971236265624</v>
      </c>
      <c r="M148" s="451">
        <v>0.0555308295204233</v>
      </c>
      <c r="N148" s="451">
        <f t="shared" si="23"/>
        <v>-0.0360914162928505</v>
      </c>
      <c r="O148" s="459"/>
      <c r="P148" s="430"/>
      <c r="Q148" s="471" t="e">
        <f t="array" ref="Q148">INDEX(正厂竞争者数据汇总!$I$2:$I$243,MATCH($A$142&amp;$B148,正厂竞争者数据汇总!$A$2:$A$243&amp;正厂竞争者数据汇总!$D$2:$D$243,0))</f>
        <v>#N/A</v>
      </c>
      <c r="R148" s="429"/>
      <c r="S148" s="421"/>
      <c r="T148" s="473"/>
      <c r="U148" s="466"/>
      <c r="V148" s="466"/>
      <c r="W148" s="421"/>
      <c r="X148" s="421"/>
    </row>
    <row r="149" s="408" customFormat="1" spans="1:24">
      <c r="A149" s="428" t="s">
        <v>243</v>
      </c>
      <c r="B149" s="421" t="s">
        <v>388</v>
      </c>
      <c r="C149" s="429" t="str">
        <f>VLOOKUP(B149,正厂竞争者数据汇总!D:H,2,FALSE)</f>
        <v>原厂目录</v>
      </c>
      <c r="D149" s="421" t="str">
        <f>VLOOKUP(B149,正厂竞争者数据汇总!D:H,3,FALSE)</f>
        <v>CA</v>
      </c>
      <c r="E149" s="430">
        <f>VLOOKUP(B149,正厂竞争者数据汇总!D:H,4,FALSE)</f>
        <v>0</v>
      </c>
      <c r="F149" s="430">
        <v>14580.25</v>
      </c>
      <c r="G149" s="430">
        <v>18600.1666666666</v>
      </c>
      <c r="H149" s="430">
        <v>20470.75</v>
      </c>
      <c r="I149" s="453">
        <f t="shared" si="22"/>
        <v>-0.216122615388748</v>
      </c>
      <c r="J149" s="451">
        <v>0.0333930081248055</v>
      </c>
      <c r="K149" s="451">
        <v>0.0354606017159612</v>
      </c>
      <c r="L149" s="451">
        <v>0.0411185243740211</v>
      </c>
      <c r="M149" s="451">
        <v>0.0440494216259602</v>
      </c>
      <c r="N149" s="451">
        <f t="shared" si="23"/>
        <v>-0.0106564135011547</v>
      </c>
      <c r="O149" s="459"/>
      <c r="P149" s="430"/>
      <c r="Q149" s="471">
        <f t="array" ref="Q149">INDEX(正厂竞争者数据汇总!$I$2:$I$243,MATCH($A$142&amp;$B149,正厂竞争者数据汇总!$A$2:$A$243&amp;正厂竞争者数据汇总!$D$2:$D$243,0))</f>
        <v>0</v>
      </c>
      <c r="R149" s="429" t="s">
        <v>180</v>
      </c>
      <c r="S149" s="421" t="s">
        <v>180</v>
      </c>
      <c r="T149" s="472">
        <f>VLOOKUP(B149,正厂竞争者数据汇总!$D$2:$CL$243,25,FALSE)</f>
        <v>20948</v>
      </c>
      <c r="U149" s="466"/>
      <c r="V149" s="466"/>
      <c r="W149" s="421"/>
      <c r="X149" s="421"/>
    </row>
    <row r="150" s="410" customFormat="1" spans="1:24">
      <c r="A150" s="432"/>
      <c r="B150" s="483"/>
      <c r="C150" s="429"/>
      <c r="D150" s="421"/>
      <c r="E150" s="437"/>
      <c r="F150" s="430"/>
      <c r="G150" s="430"/>
      <c r="H150" s="430"/>
      <c r="I150" s="450"/>
      <c r="J150" s="461"/>
      <c r="K150" s="461"/>
      <c r="L150" s="461"/>
      <c r="M150" s="461"/>
      <c r="N150" s="452"/>
      <c r="O150" s="460"/>
      <c r="P150" s="462"/>
      <c r="Q150" s="471"/>
      <c r="R150" s="491"/>
      <c r="S150" s="435"/>
      <c r="T150" s="473"/>
      <c r="U150" s="477"/>
      <c r="V150" s="466"/>
      <c r="W150" s="435"/>
      <c r="X150" s="435"/>
    </row>
    <row r="151" s="408" customFormat="1" spans="1:24">
      <c r="A151" s="428" t="s">
        <v>230</v>
      </c>
      <c r="B151" s="484" t="s">
        <v>580</v>
      </c>
      <c r="C151" s="429" t="e">
        <f>VLOOKUP(B151,正厂竞争者数据汇总!D:H,2,FALSE)</f>
        <v>#N/A</v>
      </c>
      <c r="D151" s="421" t="e">
        <f>VLOOKUP(B151,正厂竞争者数据汇总!D:H,3,FALSE)</f>
        <v>#N/A</v>
      </c>
      <c r="E151" s="437"/>
      <c r="F151" s="430">
        <v>19049.1666666667</v>
      </c>
      <c r="G151" s="430">
        <v>30022.1666666666</v>
      </c>
      <c r="H151" s="430">
        <v>26623</v>
      </c>
      <c r="I151" s="450"/>
      <c r="J151" s="452">
        <v>0.0436281255308225</v>
      </c>
      <c r="K151" s="452">
        <v>0.0576102295026664</v>
      </c>
      <c r="L151" s="452">
        <v>0.0663686091617956</v>
      </c>
      <c r="M151" s="452">
        <v>0.0572879719574484</v>
      </c>
      <c r="N151" s="452"/>
      <c r="O151" s="458"/>
      <c r="P151" s="437"/>
      <c r="Q151" s="471" t="e">
        <f t="array" ref="Q151">INDEX(正厂竞争者数据汇总!$I$2:$I$243,MATCH($A$142&amp;$B151,正厂竞争者数据汇总!$A$2:$A$243&amp;正厂竞争者数据汇总!$D$2:$D$243,0))</f>
        <v>#N/A</v>
      </c>
      <c r="R151" s="492"/>
      <c r="S151" s="421"/>
      <c r="T151" s="472"/>
      <c r="U151" s="466"/>
      <c r="V151" s="466"/>
      <c r="W151" s="421"/>
      <c r="X151" s="421"/>
    </row>
    <row r="152" s="408" customFormat="1" spans="1:24">
      <c r="A152" s="428" t="s">
        <v>230</v>
      </c>
      <c r="B152" s="484" t="s">
        <v>581</v>
      </c>
      <c r="C152" s="429" t="e">
        <f>VLOOKUP(B152,正厂竞争者数据汇总!D:H,2,FALSE)</f>
        <v>#N/A</v>
      </c>
      <c r="D152" s="421" t="e">
        <f>VLOOKUP(B152,正厂竞争者数据汇总!D:H,3,FALSE)</f>
        <v>#N/A</v>
      </c>
      <c r="E152" s="437"/>
      <c r="F152" s="430">
        <v>15710.0833333333</v>
      </c>
      <c r="G152" s="430">
        <v>17042.3333333334</v>
      </c>
      <c r="H152" s="430">
        <v>13976.4166666667</v>
      </c>
      <c r="I152" s="450"/>
      <c r="J152" s="452">
        <v>0.0359806546795405</v>
      </c>
      <c r="K152" s="452">
        <v>0.0375293109498329</v>
      </c>
      <c r="L152" s="452">
        <v>0.0376746945936074</v>
      </c>
      <c r="M152" s="452">
        <v>0.0300747686611432</v>
      </c>
      <c r="N152" s="452"/>
      <c r="O152" s="458"/>
      <c r="P152" s="437"/>
      <c r="Q152" s="471" t="e">
        <f t="array" ref="Q152">INDEX(正厂竞争者数据汇总!$I$2:$I$243,MATCH($A$142&amp;$B152,正厂竞争者数据汇总!$A$2:$A$243&amp;正厂竞争者数据汇总!$D$2:$D$243,0))</f>
        <v>#N/A</v>
      </c>
      <c r="R152" s="492"/>
      <c r="S152" s="421"/>
      <c r="T152" s="472"/>
      <c r="U152" s="466"/>
      <c r="V152" s="466"/>
      <c r="W152" s="421"/>
      <c r="X152" s="421"/>
    </row>
    <row r="153" s="408" customFormat="1" spans="1:24">
      <c r="A153" s="428" t="s">
        <v>230</v>
      </c>
      <c r="B153" s="421" t="s">
        <v>582</v>
      </c>
      <c r="C153" s="429" t="e">
        <f>VLOOKUP(B153,正厂竞争者数据汇总!D:H,2,FALSE)</f>
        <v>#N/A</v>
      </c>
      <c r="D153" s="421" t="e">
        <f>VLOOKUP(B153,正厂竞争者数据汇总!D:H,3,FALSE)</f>
        <v>#N/A</v>
      </c>
      <c r="E153" s="430"/>
      <c r="F153" s="430">
        <v>2978.66666666667</v>
      </c>
      <c r="G153" s="430">
        <v>4759.58333333333</v>
      </c>
      <c r="H153" s="430">
        <v>3853.58333333333</v>
      </c>
      <c r="I153" s="453"/>
      <c r="J153" s="452">
        <v>0.00682201198203649</v>
      </c>
      <c r="K153" s="452">
        <v>0.00847532609137636</v>
      </c>
      <c r="L153" s="452">
        <v>0.0105217897672163</v>
      </c>
      <c r="M153" s="452">
        <v>0.00829222754519365</v>
      </c>
      <c r="N153" s="451"/>
      <c r="O153" s="459"/>
      <c r="P153" s="430"/>
      <c r="Q153" s="471" t="e">
        <f t="array" ref="Q153">INDEX(正厂竞争者数据汇总!$I$2:$I$243,MATCH($A$142&amp;$B153,正厂竞争者数据汇总!$A$2:$A$243&amp;正厂竞争者数据汇总!$D$2:$D$243,0))</f>
        <v>#N/A</v>
      </c>
      <c r="R153" s="429"/>
      <c r="S153" s="421"/>
      <c r="T153" s="473"/>
      <c r="U153" s="466"/>
      <c r="V153" s="466"/>
      <c r="W153" s="421"/>
      <c r="X153" s="421"/>
    </row>
    <row r="154" s="408" customFormat="1" ht="17.4" spans="1:24">
      <c r="A154" s="428" t="s">
        <v>511</v>
      </c>
      <c r="B154" s="438" t="s">
        <v>583</v>
      </c>
      <c r="C154" s="429" t="str">
        <f>VLOOKUP(B154,正厂竞争者数据汇总!D:H,2,FALSE)</f>
        <v>原厂目录</v>
      </c>
      <c r="D154" s="466" t="str">
        <f>VLOOKUP(B154,正厂竞争者数据汇总!D:H,3,FALSE)</f>
        <v>NJ</v>
      </c>
      <c r="E154" s="430"/>
      <c r="F154" s="430">
        <v>295452.916666667</v>
      </c>
      <c r="G154" s="430">
        <v>259973.5</v>
      </c>
      <c r="H154" s="430">
        <v>314405.25</v>
      </c>
      <c r="I154" s="453"/>
      <c r="J154" s="451"/>
      <c r="K154" s="451"/>
      <c r="L154" s="451"/>
      <c r="M154" s="451"/>
      <c r="N154" s="451"/>
      <c r="O154" s="459"/>
      <c r="P154" s="430"/>
      <c r="Q154" s="471" t="str">
        <f t="array" ref="Q154">INDEX(正厂竞争者数据汇总!$I$2:$I$243,MATCH($A$142&amp;$B154,正厂竞争者数据汇总!$A$2:$A$243&amp;正厂竞争者数据汇总!$D$2:$D$243,0))</f>
        <v>官网</v>
      </c>
      <c r="R154" s="492"/>
      <c r="S154" s="421"/>
      <c r="T154" s="473">
        <f>VLOOKUP(B154,正厂竞争者数据汇总!$D$2:$CL$243,25,FALSE)</f>
        <v>225061</v>
      </c>
      <c r="U154" s="466"/>
      <c r="V154" s="466"/>
      <c r="W154" s="421"/>
      <c r="X154" s="421"/>
    </row>
    <row r="155" s="408" customFormat="1" spans="1:24">
      <c r="A155" s="428"/>
      <c r="B155" s="438"/>
      <c r="C155" s="429"/>
      <c r="D155" s="466"/>
      <c r="E155" s="430"/>
      <c r="F155" s="430"/>
      <c r="G155" s="430"/>
      <c r="H155" s="430"/>
      <c r="I155" s="453"/>
      <c r="J155" s="451"/>
      <c r="K155" s="451"/>
      <c r="L155" s="451"/>
      <c r="M155" s="451"/>
      <c r="N155" s="451"/>
      <c r="O155" s="459"/>
      <c r="P155" s="430"/>
      <c r="Q155" s="471"/>
      <c r="R155" s="492"/>
      <c r="S155" s="421"/>
      <c r="T155" s="473"/>
      <c r="U155" s="466"/>
      <c r="V155" s="466"/>
      <c r="W155" s="421"/>
      <c r="X155" s="421"/>
    </row>
    <row r="156" s="408" customFormat="1" spans="1:24">
      <c r="A156" s="428"/>
      <c r="B156" s="421"/>
      <c r="C156" s="439"/>
      <c r="D156" s="421"/>
      <c r="E156" s="430"/>
      <c r="F156" s="430">
        <v>436625.833333334</v>
      </c>
      <c r="G156" s="430">
        <v>452354.916666667</v>
      </c>
      <c r="H156" s="430">
        <v>464722.333333333</v>
      </c>
      <c r="I156" s="453">
        <f t="shared" ref="I156:I163" si="24">(F156/G156)-1</f>
        <v>-0.0347715538260048</v>
      </c>
      <c r="J156" s="430"/>
      <c r="K156" s="430"/>
      <c r="L156" s="430"/>
      <c r="M156" s="430"/>
      <c r="N156" s="451"/>
      <c r="O156" s="451"/>
      <c r="P156" s="430"/>
      <c r="Q156" s="471"/>
      <c r="R156" s="493"/>
      <c r="S156" s="421"/>
      <c r="T156" s="473"/>
      <c r="U156" s="466"/>
      <c r="V156" s="466"/>
      <c r="W156" s="421"/>
      <c r="X156" s="421"/>
    </row>
    <row r="157" s="408" customFormat="1" spans="1:24">
      <c r="A157" s="428"/>
      <c r="B157" s="421"/>
      <c r="C157" s="439"/>
      <c r="D157" s="421"/>
      <c r="E157" s="430"/>
      <c r="F157" s="430"/>
      <c r="G157" s="430"/>
      <c r="H157" s="430"/>
      <c r="I157" s="453"/>
      <c r="J157" s="430"/>
      <c r="K157" s="430"/>
      <c r="L157" s="430"/>
      <c r="M157" s="430"/>
      <c r="N157" s="451"/>
      <c r="O157" s="451"/>
      <c r="P157" s="430"/>
      <c r="Q157" s="471"/>
      <c r="R157" s="493"/>
      <c r="S157" s="421"/>
      <c r="T157" s="473"/>
      <c r="U157" s="466"/>
      <c r="V157" s="466"/>
      <c r="W157" s="421"/>
      <c r="X157" s="421"/>
    </row>
    <row r="158" s="408" customFormat="1" ht="17.4" spans="1:24">
      <c r="A158" s="418" t="s">
        <v>162</v>
      </c>
      <c r="B158" s="419"/>
      <c r="C158" s="420"/>
      <c r="D158" s="421"/>
      <c r="E158" s="422" t="s">
        <v>202</v>
      </c>
      <c r="F158" s="422"/>
      <c r="G158" s="422"/>
      <c r="H158" s="422"/>
      <c r="I158" s="422"/>
      <c r="J158" s="422"/>
      <c r="K158" s="422"/>
      <c r="L158" s="422"/>
      <c r="M158" s="422"/>
      <c r="N158" s="443"/>
      <c r="O158" s="444"/>
      <c r="P158" s="422"/>
      <c r="Q158" s="471"/>
      <c r="R158" s="465"/>
      <c r="S158" s="424"/>
      <c r="T158" s="473"/>
      <c r="U158" s="467"/>
      <c r="V158" s="467"/>
      <c r="W158" s="467"/>
      <c r="X158" s="467"/>
    </row>
    <row r="159" s="409" customFormat="1" ht="46.8" spans="1:24">
      <c r="A159" s="423" t="s">
        <v>206</v>
      </c>
      <c r="B159" s="424" t="s">
        <v>207</v>
      </c>
      <c r="C159" s="425" t="s">
        <v>208</v>
      </c>
      <c r="D159" s="424" t="s">
        <v>209</v>
      </c>
      <c r="E159" s="426" t="s">
        <v>210</v>
      </c>
      <c r="F159" s="427" t="s">
        <v>496</v>
      </c>
      <c r="G159" s="427" t="s">
        <v>633</v>
      </c>
      <c r="H159" s="427" t="s">
        <v>634</v>
      </c>
      <c r="I159" s="427" t="s">
        <v>635</v>
      </c>
      <c r="J159" s="446" t="s">
        <v>390</v>
      </c>
      <c r="K159" s="446" t="s">
        <v>629</v>
      </c>
      <c r="L159" s="446" t="s">
        <v>630</v>
      </c>
      <c r="M159" s="446" t="s">
        <v>631</v>
      </c>
      <c r="N159" s="447" t="s">
        <v>632</v>
      </c>
      <c r="O159" s="448" t="s">
        <v>219</v>
      </c>
      <c r="P159" s="449" t="s">
        <v>220</v>
      </c>
      <c r="Q159" s="468" t="s">
        <v>221</v>
      </c>
      <c r="R159" s="469" t="s">
        <v>222</v>
      </c>
      <c r="S159" s="426" t="s">
        <v>223</v>
      </c>
      <c r="T159" s="470" t="s">
        <v>224</v>
      </c>
      <c r="U159" s="467" t="s">
        <v>225</v>
      </c>
      <c r="V159" s="470" t="s">
        <v>226</v>
      </c>
      <c r="W159" s="467"/>
      <c r="X159" s="467"/>
    </row>
    <row r="160" s="410" customFormat="1" ht="17.4" spans="1:24">
      <c r="A160" s="432" t="s">
        <v>227</v>
      </c>
      <c r="B160" s="435" t="s">
        <v>584</v>
      </c>
      <c r="C160" s="434" t="e">
        <f>VLOOKUP(B160,正厂竞争者数据汇总!D:H,2,FALSE)</f>
        <v>#N/A</v>
      </c>
      <c r="D160" s="435" t="e">
        <f>VLOOKUP(B160,正厂竞争者数据汇总!D:H,3,FALSE)</f>
        <v>#N/A</v>
      </c>
      <c r="E160" s="436" t="e">
        <f>VLOOKUP(B160,正厂竞争者数据汇总!D:H,4,FALSE)</f>
        <v>#N/A</v>
      </c>
      <c r="F160" s="436">
        <v>237739.5</v>
      </c>
      <c r="G160" s="436">
        <v>218239.166666667</v>
      </c>
      <c r="H160" s="436">
        <v>218457.583333333</v>
      </c>
      <c r="I160" s="454">
        <f t="shared" si="24"/>
        <v>0.089353041579</v>
      </c>
      <c r="J160" s="457">
        <v>0.530383702055834</v>
      </c>
      <c r="K160" s="457">
        <v>0.50467078296504</v>
      </c>
      <c r="L160" s="457">
        <v>0.484388828725184</v>
      </c>
      <c r="M160" s="457">
        <v>0.480700492034354</v>
      </c>
      <c r="N160" s="456">
        <f t="shared" ref="N160:N163" si="25">J160-M160</f>
        <v>0.04968321002148</v>
      </c>
      <c r="O160" s="457" t="str">
        <f>IFERROR(P160*0.5/$F$160,"")</f>
        <v/>
      </c>
      <c r="P160" s="436" t="s">
        <v>180</v>
      </c>
      <c r="Q160" s="471" t="e">
        <f t="array" ref="Q160">INDEX(正厂竞争者数据汇总!$I$2:$I$243,MATCH($A$158&amp;$B160,正厂竞争者数据汇总!$A$2:$A$243&amp;正厂竞争者数据汇总!$D$2:$D$243,0))</f>
        <v>#N/A</v>
      </c>
      <c r="R160" s="434" t="s">
        <v>284</v>
      </c>
      <c r="S160" s="435" t="s">
        <v>229</v>
      </c>
      <c r="T160" s="476" t="e">
        <f>VLOOKUP(B160,正厂竞争者数据汇总!$D$2:$CL$243,25,FALSE)</f>
        <v>#N/A</v>
      </c>
      <c r="U160" s="477"/>
      <c r="V160" s="477"/>
      <c r="W160" s="435"/>
      <c r="X160" s="435"/>
    </row>
    <row r="161" spans="1:24">
      <c r="A161" s="440" t="s">
        <v>230</v>
      </c>
      <c r="B161" t="s">
        <v>585</v>
      </c>
      <c r="C161" s="429" t="e">
        <f>VLOOKUP(B161,正厂竞争者数据汇总!D:H,2,FALSE)</f>
        <v>#N/A</v>
      </c>
      <c r="D161" s="421" t="e">
        <f>VLOOKUP(B161,正厂竞争者数据汇总!D:H,3,FALSE)</f>
        <v>#N/A</v>
      </c>
      <c r="E161" s="430" t="e">
        <f>VLOOKUP(#REF!,正厂竞争者数据汇总!D:H,4,FALSE)</f>
        <v>#REF!</v>
      </c>
      <c r="F161" s="430">
        <v>129824.666666667</v>
      </c>
      <c r="G161" s="430">
        <v>147671.5</v>
      </c>
      <c r="H161" s="430">
        <v>161225.5</v>
      </c>
      <c r="I161" s="453">
        <f t="shared" si="24"/>
        <v>-0.120854960729274</v>
      </c>
      <c r="J161" s="490">
        <v>0.28963166543562</v>
      </c>
      <c r="K161" s="490">
        <v>0.30107670790906</v>
      </c>
      <c r="L161" s="490">
        <v>0.327761629654428</v>
      </c>
      <c r="M161" s="490">
        <v>0.354765332454629</v>
      </c>
      <c r="N161" s="452">
        <f t="shared" si="25"/>
        <v>-0.065133667019009</v>
      </c>
      <c r="O161" s="490">
        <f>IFERROR(P161*0.5/$F$160,"")</f>
        <v>0.030471692756147</v>
      </c>
      <c r="P161" s="486">
        <v>14488.65</v>
      </c>
      <c r="Q161" s="471" t="e">
        <f t="array" ref="Q161">INDEX(正厂竞争者数据汇总!$I$2:$I$243,MATCH($A$158&amp;$B161,正厂竞争者数据汇总!$A$2:$A$243&amp;正厂竞争者数据汇总!$D$2:$D$243,0))</f>
        <v>#N/A</v>
      </c>
      <c r="R161" s="494" t="s">
        <v>180</v>
      </c>
      <c r="S161" s="431" t="s">
        <v>180</v>
      </c>
      <c r="T161" s="473" t="e">
        <f>VLOOKUP(B161,正厂竞争者数据汇总!$D$2:$CL$243,25,FALSE)</f>
        <v>#N/A</v>
      </c>
      <c r="U161" s="495"/>
      <c r="V161" s="466"/>
      <c r="W161" s="431"/>
      <c r="X161" s="431"/>
    </row>
    <row r="162" spans="1:24">
      <c r="A162" s="440" t="s">
        <v>230</v>
      </c>
      <c r="B162" t="s">
        <v>586</v>
      </c>
      <c r="C162" s="429" t="e">
        <f>VLOOKUP(B162,正厂竞争者数据汇总!D:H,2,FALSE)</f>
        <v>#N/A</v>
      </c>
      <c r="D162" s="421" t="e">
        <f>VLOOKUP(B162,正厂竞争者数据汇总!D:H,3,FALSE)</f>
        <v>#N/A</v>
      </c>
      <c r="E162" s="430" t="e">
        <f>VLOOKUP(B162,正厂竞争者数据汇总!D:H,4,FALSE)</f>
        <v>#N/A</v>
      </c>
      <c r="F162" s="430">
        <v>46226.0833333333</v>
      </c>
      <c r="G162" s="430">
        <v>44453.5833333333</v>
      </c>
      <c r="H162" s="430">
        <v>36741.6666666667</v>
      </c>
      <c r="I162" s="453">
        <f t="shared" si="24"/>
        <v>0.0398730511038667</v>
      </c>
      <c r="J162" s="490">
        <v>0.0986661537081444</v>
      </c>
      <c r="K162" s="490">
        <v>0.0986661537081444</v>
      </c>
      <c r="L162" s="490">
        <v>0.0986661537081444</v>
      </c>
      <c r="M162" s="490">
        <v>0.0808474440453721</v>
      </c>
      <c r="N162" s="452">
        <f t="shared" si="25"/>
        <v>0.0178187096627723</v>
      </c>
      <c r="O162" s="490"/>
      <c r="P162" s="486"/>
      <c r="Q162" s="471" t="e">
        <f t="array" ref="Q162">INDEX(正厂竞争者数据汇总!$I$2:$I$243,MATCH($A$158&amp;$B162,正厂竞争者数据汇总!$A$2:$A$243&amp;正厂竞争者数据汇总!$D$2:$D$243,0))</f>
        <v>#N/A</v>
      </c>
      <c r="R162" s="494"/>
      <c r="S162" s="431" t="s">
        <v>180</v>
      </c>
      <c r="T162" s="473" t="e">
        <f>VLOOKUP(B162,正厂竞争者数据汇总!$D$2:$CL$243,25,FALSE)</f>
        <v>#N/A</v>
      </c>
      <c r="U162" s="495"/>
      <c r="V162" s="466"/>
      <c r="W162" s="431"/>
      <c r="X162" s="431"/>
    </row>
    <row r="163" spans="1:24">
      <c r="A163" s="417" t="s">
        <v>230</v>
      </c>
      <c r="B163" t="s">
        <v>587</v>
      </c>
      <c r="C163" s="429" t="e">
        <f>VLOOKUP(B163,正厂竞争者数据汇总!D:H,2,FALSE)</f>
        <v>#N/A</v>
      </c>
      <c r="D163" s="421" t="e">
        <f>VLOOKUP(B163,正厂竞争者数据汇总!D:H,3,FALSE)</f>
        <v>#N/A</v>
      </c>
      <c r="E163" s="430"/>
      <c r="F163" s="430">
        <v>34450.3333333333</v>
      </c>
      <c r="G163" s="430">
        <v>40181.1666666667</v>
      </c>
      <c r="H163" s="430">
        <v>38032</v>
      </c>
      <c r="I163" s="453">
        <f t="shared" si="24"/>
        <v>-0.142624861564499</v>
      </c>
      <c r="J163" s="490">
        <v>0.076856792120749</v>
      </c>
      <c r="K163" s="490">
        <v>0.0793073400563582</v>
      </c>
      <c r="L163" s="490">
        <v>0.0891833879122434</v>
      </c>
      <c r="M163" s="490">
        <v>0.0836867314656455</v>
      </c>
      <c r="N163" s="452">
        <f t="shared" si="25"/>
        <v>-0.00682993934489649</v>
      </c>
      <c r="O163" s="490"/>
      <c r="P163" s="486"/>
      <c r="Q163" s="471" t="e">
        <f t="array" ref="Q163">INDEX(正厂竞争者数据汇总!$I$2:$I$243,MATCH($A$158&amp;$B163,正厂竞争者数据汇总!$A$2:$A$243&amp;正厂竞争者数据汇总!$D$2:$D$243,0))</f>
        <v>#N/A</v>
      </c>
      <c r="R163" s="494"/>
      <c r="S163" s="431"/>
      <c r="T163" s="473"/>
      <c r="U163" s="495"/>
      <c r="V163" s="466"/>
      <c r="W163" s="431"/>
      <c r="X163" s="431"/>
    </row>
    <row r="164" spans="1:24">
      <c r="A164" s="431"/>
      <c r="B164" s="431"/>
      <c r="C164" s="429"/>
      <c r="D164" s="421"/>
      <c r="E164" s="430"/>
      <c r="F164" s="430"/>
      <c r="G164" s="430"/>
      <c r="H164" s="430"/>
      <c r="I164" s="453"/>
      <c r="J164" s="490"/>
      <c r="K164" s="490"/>
      <c r="L164" s="490"/>
      <c r="M164" s="490"/>
      <c r="N164" s="451"/>
      <c r="O164" s="490"/>
      <c r="P164" s="486"/>
      <c r="Q164" s="471"/>
      <c r="R164" s="494"/>
      <c r="S164" s="431"/>
      <c r="T164" s="473"/>
      <c r="U164" s="495"/>
      <c r="V164" s="466"/>
      <c r="W164" s="431"/>
      <c r="X164" s="431"/>
    </row>
    <row r="165" spans="1:24">
      <c r="A165" s="417" t="s">
        <v>230</v>
      </c>
      <c r="B165" t="s">
        <v>507</v>
      </c>
      <c r="C165" s="429" t="e">
        <f>VLOOKUP(B165,正厂竞争者数据汇总!D:H,2,FALSE)</f>
        <v>#N/A</v>
      </c>
      <c r="D165" s="421" t="e">
        <f>VLOOKUP(B165,正厂竞争者数据汇总!D:H,3,FALSE)</f>
        <v>#N/A</v>
      </c>
      <c r="E165" s="430"/>
      <c r="F165" s="430">
        <v>45317.305</v>
      </c>
      <c r="G165" s="430">
        <v>57525.345</v>
      </c>
      <c r="H165" s="430">
        <v>60849.69</v>
      </c>
      <c r="I165" s="453"/>
      <c r="J165" s="490">
        <v>0.101100406087728</v>
      </c>
      <c r="K165" s="490">
        <v>0.119043577511213</v>
      </c>
      <c r="L165" s="490">
        <v>0.127679347901479</v>
      </c>
      <c r="M165" s="490">
        <v>0.133895447696618</v>
      </c>
      <c r="N165" s="451"/>
      <c r="O165" s="490"/>
      <c r="P165" s="486"/>
      <c r="Q165" s="471" t="e">
        <f t="array" ref="Q165">INDEX(正厂竞争者数据汇总!$I$2:$I$243,MATCH($A$158&amp;$B165,正厂竞争者数据汇总!$A$2:$A$243&amp;正厂竞争者数据汇总!$D$2:$D$243,0))</f>
        <v>#N/A</v>
      </c>
      <c r="R165" s="494"/>
      <c r="S165" s="431"/>
      <c r="T165" s="473"/>
      <c r="U165" s="495"/>
      <c r="V165" s="466"/>
      <c r="W165" s="431"/>
      <c r="X165" s="431"/>
    </row>
    <row r="166" spans="1:24">
      <c r="A166" s="417" t="s">
        <v>230</v>
      </c>
      <c r="B166" s="431" t="s">
        <v>508</v>
      </c>
      <c r="C166" s="429" t="e">
        <f>VLOOKUP(B166,正厂竞争者数据汇总!D:H,2,FALSE)</f>
        <v>#N/A</v>
      </c>
      <c r="D166" s="421" t="e">
        <f>VLOOKUP(B166,正厂竞争者数据汇总!D:H,3,FALSE)</f>
        <v>#N/A</v>
      </c>
      <c r="E166" s="430"/>
      <c r="F166" s="430">
        <v>26283.1116666667</v>
      </c>
      <c r="G166" s="430">
        <v>34394.7975</v>
      </c>
      <c r="H166" s="430">
        <v>37000.7266666667</v>
      </c>
      <c r="I166" s="453"/>
      <c r="J166" s="490">
        <v>0.0586361713863854</v>
      </c>
      <c r="K166" s="490">
        <v>0.0750289528308155</v>
      </c>
      <c r="L166" s="490">
        <v>0.0763403559944474</v>
      </c>
      <c r="M166" s="490">
        <v>0.0814174872893112</v>
      </c>
      <c r="N166" s="451"/>
      <c r="O166" s="490"/>
      <c r="P166" s="486"/>
      <c r="Q166" s="471" t="e">
        <f t="array" ref="Q166">INDEX(正厂竞争者数据汇总!$I$2:$I$243,MATCH($A$158&amp;$B166,正厂竞争者数据汇总!$A$2:$A$243&amp;正厂竞争者数据汇总!$D$2:$D$243,0))</f>
        <v>#N/A</v>
      </c>
      <c r="R166" s="494"/>
      <c r="S166" s="431"/>
      <c r="T166" s="473"/>
      <c r="U166" s="495"/>
      <c r="V166" s="466"/>
      <c r="W166" s="431"/>
      <c r="X166" s="431"/>
    </row>
    <row r="167" spans="1:24">
      <c r="A167" s="431"/>
      <c r="B167" s="431"/>
      <c r="C167" s="431"/>
      <c r="D167" s="431"/>
      <c r="E167" s="430"/>
      <c r="F167" s="430"/>
      <c r="G167" s="430"/>
      <c r="H167" s="430"/>
      <c r="I167" s="453"/>
      <c r="J167" s="490"/>
      <c r="K167" s="490"/>
      <c r="L167" s="490"/>
      <c r="M167" s="490"/>
      <c r="N167" s="451"/>
      <c r="O167" s="490"/>
      <c r="P167" s="486"/>
      <c r="Q167" s="471"/>
      <c r="R167" s="494"/>
      <c r="S167" s="431"/>
      <c r="T167" s="473"/>
      <c r="U167" s="495"/>
      <c r="V167" s="466"/>
      <c r="W167" s="431"/>
      <c r="X167" s="431"/>
    </row>
    <row r="168" s="408" customFormat="1" spans="1:24">
      <c r="A168" s="428"/>
      <c r="B168" s="421"/>
      <c r="C168" s="439"/>
      <c r="D168" s="421"/>
      <c r="E168" s="421"/>
      <c r="F168" s="430">
        <v>448240.583333334</v>
      </c>
      <c r="G168" s="430">
        <v>450545.416666667</v>
      </c>
      <c r="H168" s="430">
        <v>454456.75</v>
      </c>
      <c r="I168" s="453">
        <f t="shared" ref="I168:I177" si="26">(F168/G168)-1</f>
        <v>-0.00511565149277327</v>
      </c>
      <c r="J168" s="430"/>
      <c r="K168" s="430"/>
      <c r="L168" s="430"/>
      <c r="M168" s="430"/>
      <c r="N168" s="451"/>
      <c r="O168" s="451">
        <f>SUM(O160:O161)</f>
        <v>0.030471692756147</v>
      </c>
      <c r="P168" s="430"/>
      <c r="Q168" s="471"/>
      <c r="R168" s="429"/>
      <c r="S168" s="421"/>
      <c r="T168" s="473"/>
      <c r="U168" s="466"/>
      <c r="V168" s="466"/>
      <c r="W168" s="421"/>
      <c r="X168" s="421"/>
    </row>
    <row r="169" s="408" customFormat="1" spans="1:24">
      <c r="A169" s="428"/>
      <c r="B169" s="421"/>
      <c r="C169" s="485"/>
      <c r="D169" s="421"/>
      <c r="E169" s="430"/>
      <c r="F169" s="451"/>
      <c r="G169" s="451"/>
      <c r="H169" s="451"/>
      <c r="I169" s="453"/>
      <c r="J169" s="451"/>
      <c r="K169" s="451"/>
      <c r="L169" s="451"/>
      <c r="M169" s="451"/>
      <c r="N169" s="451"/>
      <c r="O169" s="451"/>
      <c r="P169" s="451"/>
      <c r="Q169" s="471"/>
      <c r="R169" s="429"/>
      <c r="S169" s="421"/>
      <c r="T169" s="473"/>
      <c r="U169" s="466"/>
      <c r="V169" s="466"/>
      <c r="W169" s="421"/>
      <c r="X169" s="421"/>
    </row>
    <row r="170" s="408" customFormat="1" ht="17.4" spans="1:24">
      <c r="A170" s="418" t="s">
        <v>174</v>
      </c>
      <c r="B170" s="419"/>
      <c r="C170" s="420"/>
      <c r="D170" s="421"/>
      <c r="E170" s="422" t="s">
        <v>202</v>
      </c>
      <c r="F170" s="422"/>
      <c r="G170" s="422"/>
      <c r="H170" s="422"/>
      <c r="I170" s="422"/>
      <c r="J170" s="422"/>
      <c r="K170" s="422"/>
      <c r="L170" s="422"/>
      <c r="M170" s="422"/>
      <c r="N170" s="443"/>
      <c r="O170" s="444"/>
      <c r="P170" s="422"/>
      <c r="Q170" s="471"/>
      <c r="R170" s="465"/>
      <c r="S170" s="424"/>
      <c r="T170" s="473"/>
      <c r="U170" s="467"/>
      <c r="V170" s="467"/>
      <c r="W170" s="467"/>
      <c r="X170" s="467"/>
    </row>
    <row r="171" s="409" customFormat="1" ht="46.8" spans="1:24">
      <c r="A171" s="423" t="s">
        <v>206</v>
      </c>
      <c r="B171" s="424" t="s">
        <v>207</v>
      </c>
      <c r="C171" s="425" t="s">
        <v>208</v>
      </c>
      <c r="D171" s="424" t="s">
        <v>209</v>
      </c>
      <c r="E171" s="426" t="s">
        <v>210</v>
      </c>
      <c r="F171" s="427" t="s">
        <v>496</v>
      </c>
      <c r="G171" s="427" t="s">
        <v>633</v>
      </c>
      <c r="H171" s="427" t="s">
        <v>634</v>
      </c>
      <c r="I171" s="427" t="s">
        <v>635</v>
      </c>
      <c r="J171" s="446" t="s">
        <v>390</v>
      </c>
      <c r="K171" s="446" t="s">
        <v>629</v>
      </c>
      <c r="L171" s="446" t="s">
        <v>630</v>
      </c>
      <c r="M171" s="446" t="s">
        <v>631</v>
      </c>
      <c r="N171" s="447" t="s">
        <v>632</v>
      </c>
      <c r="O171" s="448" t="s">
        <v>219</v>
      </c>
      <c r="P171" s="449" t="s">
        <v>220</v>
      </c>
      <c r="Q171" s="468" t="s">
        <v>221</v>
      </c>
      <c r="R171" s="469" t="s">
        <v>222</v>
      </c>
      <c r="S171" s="426" t="s">
        <v>223</v>
      </c>
      <c r="T171" s="470" t="s">
        <v>224</v>
      </c>
      <c r="U171" s="467" t="s">
        <v>225</v>
      </c>
      <c r="V171" s="470" t="s">
        <v>226</v>
      </c>
      <c r="W171" s="467"/>
      <c r="X171" s="467"/>
    </row>
    <row r="172" s="410" customFormat="1" ht="17.4" spans="1:24">
      <c r="A172" s="435" t="s">
        <v>227</v>
      </c>
      <c r="B172" s="435" t="s">
        <v>588</v>
      </c>
      <c r="C172" s="435" t="e">
        <f>VLOOKUP(B172,正厂竞争者数据汇总!D:H,2,FALSE)</f>
        <v>#N/A</v>
      </c>
      <c r="D172" s="435" t="e">
        <f>VLOOKUP(B172,正厂竞争者数据汇总!D:H,3,FALSE)</f>
        <v>#N/A</v>
      </c>
      <c r="E172" s="436" t="e">
        <f>VLOOKUP(B172,正厂竞争者数据汇总!D:H,4,FALSE)</f>
        <v>#N/A</v>
      </c>
      <c r="F172" s="436">
        <v>200202.75</v>
      </c>
      <c r="G172" s="436">
        <v>189963.833333333</v>
      </c>
      <c r="H172" s="436">
        <v>188000.333333333</v>
      </c>
      <c r="I172" s="454">
        <f t="shared" si="26"/>
        <v>0.053899294865779</v>
      </c>
      <c r="J172" s="457">
        <v>0.38108354789874</v>
      </c>
      <c r="K172" s="457">
        <v>0.467433862428762</v>
      </c>
      <c r="L172" s="457">
        <v>0.479935204833446</v>
      </c>
      <c r="M172" s="457">
        <v>0.497182746290695</v>
      </c>
      <c r="N172" s="456">
        <f t="shared" ref="N172:N177" si="27">J172-M172</f>
        <v>-0.116099198391955</v>
      </c>
      <c r="O172" s="457" t="str">
        <f t="shared" ref="O172:O174" si="28">IFERROR(P172*0.5/$F$172,"")</f>
        <v/>
      </c>
      <c r="P172" s="436" t="s">
        <v>180</v>
      </c>
      <c r="Q172" s="471" t="e">
        <f t="array" ref="Q172">INDEX(正厂竞争者数据汇总!$I$2:$I$243,MATCH($A$170&amp;$B172,正厂竞争者数据汇总!$A$2:$A$243&amp;正厂竞争者数据汇总!$D$2:$D$243,0))</f>
        <v>#N/A</v>
      </c>
      <c r="R172" s="434" t="s">
        <v>318</v>
      </c>
      <c r="S172" s="435" t="s">
        <v>229</v>
      </c>
      <c r="T172" s="476" t="e">
        <f>VLOOKUP(B172,正厂竞争者数据汇总!$D$2:$CL$243,25,FALSE)</f>
        <v>#N/A</v>
      </c>
      <c r="U172" s="477"/>
      <c r="V172" s="477"/>
      <c r="W172" s="435"/>
      <c r="X172" s="435"/>
    </row>
    <row r="173" s="408" customFormat="1" spans="1:24">
      <c r="A173" s="421" t="s">
        <v>230</v>
      </c>
      <c r="B173" s="431" t="s">
        <v>589</v>
      </c>
      <c r="C173" s="421" t="e">
        <f>VLOOKUP(B173,正厂竞争者数据汇总!D:H,2,FALSE)</f>
        <v>#N/A</v>
      </c>
      <c r="D173" s="421" t="e">
        <f>VLOOKUP(B173,正厂竞争者数据汇总!D:H,3,FALSE)</f>
        <v>#N/A</v>
      </c>
      <c r="E173" s="430" t="e">
        <f>VLOOKUP(B173,正厂竞争者数据汇总!D:H,4,FALSE)</f>
        <v>#N/A</v>
      </c>
      <c r="F173" s="430">
        <v>189741.833333333</v>
      </c>
      <c r="G173" s="430">
        <v>82753.0833333333</v>
      </c>
      <c r="H173" s="430">
        <v>81986.25</v>
      </c>
      <c r="I173" s="453">
        <f t="shared" si="26"/>
        <v>1.2928672345542</v>
      </c>
      <c r="J173" s="451">
        <v>0.361171317734037</v>
      </c>
      <c r="K173" s="451">
        <v>0.248321727138985</v>
      </c>
      <c r="L173" s="451">
        <v>0.209071997038994</v>
      </c>
      <c r="M173" s="451">
        <v>0.216819556701542</v>
      </c>
      <c r="N173" s="451">
        <f t="shared" si="27"/>
        <v>0.144351761032495</v>
      </c>
      <c r="O173" s="451">
        <f t="shared" si="28"/>
        <v>0.036262988395514</v>
      </c>
      <c r="P173" s="430">
        <v>14519.9</v>
      </c>
      <c r="Q173" s="471" t="e">
        <f t="array" ref="Q173">INDEX(正厂竞争者数据汇总!$I$2:$I$243,MATCH($A$170&amp;$B173,正厂竞争者数据汇总!$A$2:$A$243&amp;正厂竞争者数据汇总!$D$2:$D$243,0))</f>
        <v>#N/A</v>
      </c>
      <c r="R173" s="429" t="s">
        <v>180</v>
      </c>
      <c r="S173" s="421" t="s">
        <v>180</v>
      </c>
      <c r="T173" s="473" t="e">
        <f>VLOOKUP(B173,正厂竞争者数据汇总!$D$2:$CL$243,25,FALSE)</f>
        <v>#N/A</v>
      </c>
      <c r="U173" s="466"/>
      <c r="V173" s="466"/>
      <c r="W173" s="421"/>
      <c r="X173" s="421"/>
    </row>
    <row r="174" s="408" customFormat="1" spans="1:24">
      <c r="A174" s="421" t="s">
        <v>238</v>
      </c>
      <c r="B174" s="431" t="s">
        <v>322</v>
      </c>
      <c r="C174" s="421" t="str">
        <f>VLOOKUP(B174,正厂竞争者数据汇总!D:H,2,FALSE)</f>
        <v>原厂目录</v>
      </c>
      <c r="D174" s="421" t="str">
        <f>VLOOKUP(B174,正厂竞争者数据汇总!D:H,3,FALSE)</f>
        <v>MA</v>
      </c>
      <c r="E174" s="430">
        <f>VLOOKUP(B174,正厂竞争者数据汇总!D:H,4,FALSE)</f>
        <v>284511</v>
      </c>
      <c r="F174" s="430">
        <v>51659.6666666667</v>
      </c>
      <c r="G174" s="430">
        <v>40087.5</v>
      </c>
      <c r="H174" s="430">
        <v>37262.3333333333</v>
      </c>
      <c r="I174" s="453">
        <f t="shared" si="26"/>
        <v>0.288672695146036</v>
      </c>
      <c r="J174" s="451">
        <v>0.0983335596369161</v>
      </c>
      <c r="K174" s="451">
        <v>0.10044574649573</v>
      </c>
      <c r="L174" s="451">
        <v>0.101279291885003</v>
      </c>
      <c r="M174" s="451">
        <v>0.0985433849578244</v>
      </c>
      <c r="N174" s="451">
        <f t="shared" si="27"/>
        <v>-0.000209825320908297</v>
      </c>
      <c r="O174" s="451" t="str">
        <f t="shared" si="28"/>
        <v/>
      </c>
      <c r="P174" s="430" t="s">
        <v>180</v>
      </c>
      <c r="Q174" s="471">
        <f t="array" ref="Q174">INDEX(正厂竞争者数据汇总!$I$2:$I$243,MATCH($A$170&amp;$B174,正厂竞争者数据汇总!$A$2:$A$243&amp;正厂竞争者数据汇总!$D$2:$D$243,0))</f>
        <v>0</v>
      </c>
      <c r="R174" s="429" t="s">
        <v>180</v>
      </c>
      <c r="S174" s="421" t="s">
        <v>180</v>
      </c>
      <c r="T174" s="473">
        <f>VLOOKUP(B174,正厂竞争者数据汇总!$D$2:$CL$243,25,FALSE)</f>
        <v>32770</v>
      </c>
      <c r="U174" s="466"/>
      <c r="V174" s="466"/>
      <c r="W174" s="421"/>
      <c r="X174" s="421"/>
    </row>
    <row r="175" s="408" customFormat="1" spans="1:24">
      <c r="A175" s="421" t="s">
        <v>230</v>
      </c>
      <c r="B175" s="431" t="s">
        <v>590</v>
      </c>
      <c r="C175" s="421" t="e">
        <f>VLOOKUP(B175,正厂竞争者数据汇总!D:H,2,FALSE)</f>
        <v>#N/A</v>
      </c>
      <c r="D175" s="421" t="e">
        <f>VLOOKUP(B175,正厂竞争者数据汇总!D:H,3,FALSE)</f>
        <v>#N/A</v>
      </c>
      <c r="E175" s="430" t="e">
        <f>VLOOKUP(B175,正厂竞争者数据汇总!D:H,4,FALSE)</f>
        <v>#N/A</v>
      </c>
      <c r="F175" s="430">
        <v>55426.1666666667</v>
      </c>
      <c r="G175" s="430">
        <v>61423.75</v>
      </c>
      <c r="H175" s="430">
        <v>47550.6666666667</v>
      </c>
      <c r="I175" s="453">
        <f t="shared" si="26"/>
        <v>-0.0976427413391937</v>
      </c>
      <c r="J175" s="451">
        <v>0.105503047484414</v>
      </c>
      <c r="K175" s="451">
        <v>0.127028786613686</v>
      </c>
      <c r="L175" s="451">
        <v>0.155184381787876</v>
      </c>
      <c r="M175" s="451">
        <v>0.125751750659769</v>
      </c>
      <c r="N175" s="451">
        <f t="shared" si="27"/>
        <v>-0.020248703175355</v>
      </c>
      <c r="O175" s="451"/>
      <c r="P175" s="430"/>
      <c r="Q175" s="471" t="e">
        <f t="array" ref="Q175">INDEX(正厂竞争者数据汇总!$I$2:$I$243,MATCH($A$170&amp;$B175,正厂竞争者数据汇总!$A$2:$A$243&amp;正厂竞争者数据汇总!$D$2:$D$243,0))</f>
        <v>#N/A</v>
      </c>
      <c r="R175" s="429"/>
      <c r="S175" s="421"/>
      <c r="T175" s="473"/>
      <c r="U175" s="466"/>
      <c r="V175" s="466"/>
      <c r="W175" s="421"/>
      <c r="X175" s="421"/>
    </row>
    <row r="176" s="408" customFormat="1" spans="1:24">
      <c r="A176" s="421" t="s">
        <v>230</v>
      </c>
      <c r="B176" s="431" t="s">
        <v>591</v>
      </c>
      <c r="C176" s="421" t="e">
        <f>VLOOKUP(B176,正厂竞争者数据汇总!D:H,2,FALSE)</f>
        <v>#N/A</v>
      </c>
      <c r="D176" s="421" t="e">
        <f>VLOOKUP(B176,正厂竞争者数据汇总!D:H,3,FALSE)</f>
        <v>#N/A</v>
      </c>
      <c r="E176" s="430" t="e">
        <f>VLOOKUP(B176,正厂竞争者数据汇总!D:H,4,FALSE)</f>
        <v>#N/A</v>
      </c>
      <c r="F176" s="430">
        <v>10531.25</v>
      </c>
      <c r="G176" s="430">
        <v>17930.5833333333</v>
      </c>
      <c r="H176" s="430">
        <v>21997.25</v>
      </c>
      <c r="I176" s="453">
        <f t="shared" si="26"/>
        <v>-0.412665510975195</v>
      </c>
      <c r="J176" s="451">
        <v>0.0200461088262204</v>
      </c>
      <c r="K176" s="451">
        <v>0.0315916876500981</v>
      </c>
      <c r="L176" s="451">
        <v>0.0453008240245723</v>
      </c>
      <c r="M176" s="451">
        <v>0.058173583907704</v>
      </c>
      <c r="N176" s="451">
        <f t="shared" si="27"/>
        <v>-0.0381274750814836</v>
      </c>
      <c r="O176" s="451" t="str">
        <f t="shared" ref="O176:O180" si="29">IFERROR(P176*0.5/$F$172,"")</f>
        <v/>
      </c>
      <c r="P176" s="430" t="s">
        <v>180</v>
      </c>
      <c r="Q176" s="471" t="e">
        <f t="array" ref="Q176">INDEX(正厂竞争者数据汇总!$I$2:$I$243,MATCH($A$170&amp;$B176,正厂竞争者数据汇总!$A$2:$A$243&amp;正厂竞争者数据汇总!$D$2:$D$243,0))</f>
        <v>#N/A</v>
      </c>
      <c r="R176" s="429" t="s">
        <v>180</v>
      </c>
      <c r="S176" s="421" t="s">
        <v>180</v>
      </c>
      <c r="T176" s="473" t="e">
        <f>VLOOKUP(B176,正厂竞争者数据汇总!$D$2:$CL$243,25,FALSE)</f>
        <v>#N/A</v>
      </c>
      <c r="U176" s="466"/>
      <c r="V176" s="466"/>
      <c r="W176" s="421"/>
      <c r="X176" s="421"/>
    </row>
    <row r="177" s="408" customFormat="1" spans="1:24">
      <c r="A177" s="421" t="s">
        <v>230</v>
      </c>
      <c r="B177" s="431" t="s">
        <v>592</v>
      </c>
      <c r="C177" s="421" t="e">
        <f>VLOOKUP(B177,正厂竞争者数据汇总!D:H,2,FALSE)</f>
        <v>#N/A</v>
      </c>
      <c r="D177" s="421" t="e">
        <f>VLOOKUP(B177,正厂竞争者数据汇总!D:H,3,FALSE)</f>
        <v>#N/A</v>
      </c>
      <c r="E177" s="430" t="e">
        <f>VLOOKUP(B177,正厂竞争者数据汇总!D:H,4,FALSE)</f>
        <v>#N/A</v>
      </c>
      <c r="F177" s="430">
        <v>17789.6666666667</v>
      </c>
      <c r="G177" s="430">
        <v>3652.66666666667</v>
      </c>
      <c r="H177" s="430">
        <v>1334.41666666667</v>
      </c>
      <c r="I177" s="453">
        <f t="shared" si="26"/>
        <v>3.87032305165177</v>
      </c>
      <c r="J177" s="451">
        <v>0.0338624184196735</v>
      </c>
      <c r="K177" s="451">
        <v>0.0251781896727393</v>
      </c>
      <c r="L177" s="451">
        <v>0.00922830043010804</v>
      </c>
      <c r="M177" s="451">
        <v>0.00352897748246585</v>
      </c>
      <c r="N177" s="451">
        <f t="shared" si="27"/>
        <v>0.0303334409372077</v>
      </c>
      <c r="O177" s="451" t="str">
        <f t="shared" si="29"/>
        <v/>
      </c>
      <c r="P177" s="430" t="s">
        <v>180</v>
      </c>
      <c r="Q177" s="471" t="e">
        <f t="array" ref="Q177">INDEX(正厂竞争者数据汇总!$I$2:$I$243,MATCH($A$170&amp;$B177,正厂竞争者数据汇总!$A$2:$A$243&amp;正厂竞争者数据汇总!$D$2:$D$243,0))</f>
        <v>#N/A</v>
      </c>
      <c r="R177" s="429" t="s">
        <v>180</v>
      </c>
      <c r="S177" s="421" t="s">
        <v>180</v>
      </c>
      <c r="T177" s="473" t="e">
        <f>VLOOKUP(B177,正厂竞争者数据汇总!$D$2:$CL$243,25,FALSE)</f>
        <v>#N/A</v>
      </c>
      <c r="U177" s="466"/>
      <c r="V177" s="466"/>
      <c r="W177" s="421"/>
      <c r="X177" s="421"/>
    </row>
    <row r="178" s="408" customFormat="1" spans="1:24">
      <c r="A178" s="421"/>
      <c r="B178" s="431"/>
      <c r="C178" s="421"/>
      <c r="D178" s="421"/>
      <c r="E178" s="430"/>
      <c r="F178" s="430"/>
      <c r="G178" s="430"/>
      <c r="H178" s="430"/>
      <c r="I178" s="453"/>
      <c r="J178" s="451"/>
      <c r="K178" s="451"/>
      <c r="L178" s="451"/>
      <c r="M178" s="451"/>
      <c r="N178" s="451"/>
      <c r="O178" s="451"/>
      <c r="P178" s="430"/>
      <c r="Q178" s="471"/>
      <c r="R178" s="429"/>
      <c r="S178" s="421"/>
      <c r="T178" s="473"/>
      <c r="U178" s="466"/>
      <c r="V178" s="466"/>
      <c r="W178" s="421"/>
      <c r="X178" s="421"/>
    </row>
    <row r="179" s="408" customFormat="1" spans="1:24">
      <c r="A179" s="421" t="s">
        <v>230</v>
      </c>
      <c r="B179" t="s">
        <v>524</v>
      </c>
      <c r="C179" s="421" t="e">
        <f>VLOOKUP(B179,正厂竞争者数据汇总!D:H,2,FALSE)</f>
        <v>#N/A</v>
      </c>
      <c r="D179" s="421" t="e">
        <f>VLOOKUP(B179,正厂竞争者数据汇总!D:H,3,FALSE)</f>
        <v>#N/A</v>
      </c>
      <c r="E179" s="430" t="e">
        <f>VLOOKUP(B179,正厂竞争者数据汇总!D:H,4,FALSE)</f>
        <v>#N/A</v>
      </c>
      <c r="F179" s="430">
        <v>15605.9325</v>
      </c>
      <c r="G179" s="430">
        <v>18388.92</v>
      </c>
      <c r="H179" s="430">
        <v>13452.315</v>
      </c>
      <c r="I179" s="453"/>
      <c r="J179" s="451">
        <v>0.0297057064669104</v>
      </c>
      <c r="K179" s="451">
        <v>0.0405357594877529</v>
      </c>
      <c r="L179" s="451">
        <v>0.0464587912972866</v>
      </c>
      <c r="M179" s="451">
        <v>0.0355757822184757</v>
      </c>
      <c r="N179" s="451"/>
      <c r="O179" s="451"/>
      <c r="P179" s="430"/>
      <c r="Q179" s="471" t="e">
        <f t="array" ref="Q179">INDEX(正厂竞争者数据汇总!$I$2:$I$243,MATCH($A$170&amp;$B179,正厂竞争者数据汇总!$A$2:$A$243&amp;正厂竞争者数据汇总!$D$2:$D$243,0))</f>
        <v>#N/A</v>
      </c>
      <c r="R179" s="429"/>
      <c r="S179" s="421"/>
      <c r="T179" s="473"/>
      <c r="U179" s="466"/>
      <c r="V179" s="466"/>
      <c r="W179" s="421"/>
      <c r="X179" s="421"/>
    </row>
    <row r="180" s="408" customFormat="1" ht="17.4" spans="1:24">
      <c r="A180" s="421" t="s">
        <v>511</v>
      </c>
      <c r="B180" s="438" t="s">
        <v>526</v>
      </c>
      <c r="C180" s="421" t="str">
        <f>VLOOKUP(B180,正厂竞争者数据汇总!D:H,2,FALSE)</f>
        <v>原厂目录</v>
      </c>
      <c r="D180" s="421" t="str">
        <f>VLOOKUP(B180,正厂竞争者数据汇总!D:H,3,FALSE)</f>
        <v>-</v>
      </c>
      <c r="E180" s="430">
        <f>VLOOKUP(B180,正厂竞争者数据汇总!D:H,4,FALSE)</f>
        <v>6238</v>
      </c>
      <c r="F180" s="430">
        <v>6569465.83333333</v>
      </c>
      <c r="G180" s="430">
        <v>3713119.58333333</v>
      </c>
      <c r="H180" s="430">
        <v>183136.333333333</v>
      </c>
      <c r="I180" s="453"/>
      <c r="J180" s="430"/>
      <c r="K180" s="430"/>
      <c r="L180" s="430"/>
      <c r="M180" s="430"/>
      <c r="N180" s="451"/>
      <c r="O180" s="451" t="str">
        <f t="shared" si="29"/>
        <v/>
      </c>
      <c r="P180" s="430" t="s">
        <v>180</v>
      </c>
      <c r="Q180" s="471" t="e">
        <f t="array" ref="Q180">INDEX(正厂竞争者数据汇总!$I$2:$I$243,MATCH($A$170&amp;$B180,正厂竞争者数据汇总!$A$2:$A$243&amp;正厂竞争者数据汇总!$D$2:$D$243,0))</f>
        <v>#N/A</v>
      </c>
      <c r="R180" s="429" t="s">
        <v>180</v>
      </c>
      <c r="S180" s="421" t="s">
        <v>180</v>
      </c>
      <c r="T180" s="473">
        <f>VLOOKUP(B180,正厂竞争者数据汇总!$D$2:$CL$243,25,FALSE)</f>
        <v>374749</v>
      </c>
      <c r="U180" s="466"/>
      <c r="V180" s="466"/>
      <c r="W180" s="421"/>
      <c r="X180" s="421"/>
    </row>
    <row r="181" s="408" customFormat="1" spans="1:24">
      <c r="A181" s="428"/>
      <c r="B181" s="438"/>
      <c r="C181" s="429"/>
      <c r="D181" s="421"/>
      <c r="E181" s="430"/>
      <c r="F181" s="486"/>
      <c r="G181" s="486"/>
      <c r="H181" s="486"/>
      <c r="I181" s="453"/>
      <c r="J181" s="451"/>
      <c r="K181" s="451"/>
      <c r="L181" s="451"/>
      <c r="M181" s="451"/>
      <c r="N181" s="451"/>
      <c r="O181" s="451"/>
      <c r="P181" s="430"/>
      <c r="Q181" s="471"/>
      <c r="R181" s="429"/>
      <c r="S181" s="421"/>
      <c r="T181" s="473"/>
      <c r="U181" s="466"/>
      <c r="V181" s="466"/>
      <c r="W181" s="421"/>
      <c r="X181" s="421"/>
    </row>
    <row r="182" s="408" customFormat="1" spans="1:24">
      <c r="A182" s="428"/>
      <c r="B182" s="421"/>
      <c r="C182" s="439"/>
      <c r="D182" s="421"/>
      <c r="E182" s="421"/>
      <c r="F182" s="430">
        <v>525351.333333333</v>
      </c>
      <c r="G182" s="430">
        <v>395811.416666666</v>
      </c>
      <c r="H182" s="430">
        <v>378131.25</v>
      </c>
      <c r="I182" s="453">
        <f t="shared" ref="I182:I188" si="30">(F182/G182)-1</f>
        <v>0.327276857644962</v>
      </c>
      <c r="J182" s="430"/>
      <c r="K182" s="430"/>
      <c r="L182" s="430"/>
      <c r="M182" s="430"/>
      <c r="N182" s="451"/>
      <c r="O182" s="451">
        <f>SUM(O172:O181)</f>
        <v>0.036262988395514</v>
      </c>
      <c r="P182" s="430"/>
      <c r="Q182" s="471"/>
      <c r="R182" s="429" t="s">
        <v>180</v>
      </c>
      <c r="S182" s="421" t="s">
        <v>180</v>
      </c>
      <c r="T182" s="473"/>
      <c r="U182" s="466"/>
      <c r="V182" s="466"/>
      <c r="W182" s="421"/>
      <c r="X182" s="421"/>
    </row>
    <row r="183" s="408" customFormat="1" spans="1:24">
      <c r="A183" s="428"/>
      <c r="B183" s="421"/>
      <c r="C183" s="439"/>
      <c r="D183" s="421"/>
      <c r="E183" s="430"/>
      <c r="F183" s="430"/>
      <c r="G183" s="430"/>
      <c r="H183" s="430"/>
      <c r="I183" s="453"/>
      <c r="J183" s="430"/>
      <c r="K183" s="430"/>
      <c r="L183" s="430"/>
      <c r="M183" s="430"/>
      <c r="N183" s="451"/>
      <c r="O183" s="459"/>
      <c r="P183" s="430"/>
      <c r="Q183" s="471"/>
      <c r="R183" s="429"/>
      <c r="S183" s="421" t="s">
        <v>180</v>
      </c>
      <c r="T183" s="473"/>
      <c r="U183" s="466"/>
      <c r="V183" s="466"/>
      <c r="W183" s="421"/>
      <c r="X183" s="421"/>
    </row>
    <row r="184" s="408" customFormat="1" ht="17.4" spans="1:24">
      <c r="A184" s="418" t="s">
        <v>168</v>
      </c>
      <c r="B184" s="487"/>
      <c r="C184" s="420"/>
      <c r="D184" s="421"/>
      <c r="E184" s="422" t="s">
        <v>202</v>
      </c>
      <c r="F184" s="422"/>
      <c r="G184" s="422"/>
      <c r="H184" s="422"/>
      <c r="I184" s="422"/>
      <c r="J184" s="422"/>
      <c r="K184" s="422"/>
      <c r="L184" s="422"/>
      <c r="M184" s="422"/>
      <c r="N184" s="443"/>
      <c r="O184" s="444"/>
      <c r="P184" s="422"/>
      <c r="Q184" s="471"/>
      <c r="R184" s="465"/>
      <c r="S184" s="424"/>
      <c r="T184" s="473"/>
      <c r="U184" s="467"/>
      <c r="V184" s="467"/>
      <c r="W184" s="467"/>
      <c r="X184" s="467"/>
    </row>
    <row r="185" s="409" customFormat="1" ht="46.8" spans="1:24">
      <c r="A185" s="423" t="s">
        <v>206</v>
      </c>
      <c r="B185" s="424" t="s">
        <v>207</v>
      </c>
      <c r="C185" s="425" t="s">
        <v>208</v>
      </c>
      <c r="D185" s="424" t="s">
        <v>209</v>
      </c>
      <c r="E185" s="426" t="s">
        <v>210</v>
      </c>
      <c r="F185" s="427" t="s">
        <v>496</v>
      </c>
      <c r="G185" s="427" t="s">
        <v>633</v>
      </c>
      <c r="H185" s="427" t="s">
        <v>634</v>
      </c>
      <c r="I185" s="427" t="s">
        <v>635</v>
      </c>
      <c r="J185" s="446" t="s">
        <v>390</v>
      </c>
      <c r="K185" s="446" t="s">
        <v>629</v>
      </c>
      <c r="L185" s="446" t="s">
        <v>630</v>
      </c>
      <c r="M185" s="446" t="s">
        <v>631</v>
      </c>
      <c r="N185" s="447" t="s">
        <v>632</v>
      </c>
      <c r="O185" s="448" t="s">
        <v>219</v>
      </c>
      <c r="P185" s="449" t="s">
        <v>220</v>
      </c>
      <c r="Q185" s="468" t="s">
        <v>221</v>
      </c>
      <c r="R185" s="469" t="s">
        <v>222</v>
      </c>
      <c r="S185" s="426" t="s">
        <v>223</v>
      </c>
      <c r="T185" s="470" t="s">
        <v>224</v>
      </c>
      <c r="U185" s="467" t="s">
        <v>225</v>
      </c>
      <c r="V185" s="470" t="s">
        <v>226</v>
      </c>
      <c r="W185" s="467"/>
      <c r="X185" s="467"/>
    </row>
    <row r="186" s="410" customFormat="1" ht="17.4" spans="1:24">
      <c r="A186" s="432" t="s">
        <v>227</v>
      </c>
      <c r="B186" s="488" t="s">
        <v>593</v>
      </c>
      <c r="C186" s="434" t="e">
        <f>VLOOKUP(B186,正厂竞争者数据汇总!D:H,2,FALSE)</f>
        <v>#N/A</v>
      </c>
      <c r="D186" s="435" t="e">
        <f>VLOOKUP(B186,正厂竞争者数据汇总!D:H,3,FALSE)</f>
        <v>#N/A</v>
      </c>
      <c r="E186" s="436" t="e">
        <f>VLOOKUP(B186,正厂竞争者数据汇总!D:H,4,FALSE)</f>
        <v>#N/A</v>
      </c>
      <c r="F186" s="436">
        <v>231515.333333333</v>
      </c>
      <c r="G186" s="436">
        <v>236360.166666667</v>
      </c>
      <c r="H186" s="436">
        <v>227928.583333333</v>
      </c>
      <c r="I186" s="454">
        <f t="shared" si="30"/>
        <v>-0.0204976726901981</v>
      </c>
      <c r="J186" s="457">
        <v>0.811924267504606</v>
      </c>
      <c r="K186" s="457">
        <v>0.829264347877097</v>
      </c>
      <c r="L186" s="457">
        <v>0.806862789442677</v>
      </c>
      <c r="M186" s="457">
        <v>0.794354770787628</v>
      </c>
      <c r="N186" s="456">
        <f t="shared" ref="N186:N189" si="31">J186-M186</f>
        <v>0.0175694967169781</v>
      </c>
      <c r="O186" s="457" t="str">
        <f t="shared" ref="O186:O188" si="32">IFERROR(P186*0.5/$F$186,"")</f>
        <v/>
      </c>
      <c r="P186" s="436" t="s">
        <v>180</v>
      </c>
      <c r="Q186" s="471" t="e">
        <f t="array" ref="Q186">INDEX(正厂竞争者数据汇总!$I$2:$I$243,MATCH($A$184&amp;$B186,正厂竞争者数据汇总!$A$2:$A$243&amp;正厂竞争者数据汇总!$D$2:$D$243,0))</f>
        <v>#N/A</v>
      </c>
      <c r="R186" s="434" t="s">
        <v>299</v>
      </c>
      <c r="S186" s="435" t="s">
        <v>229</v>
      </c>
      <c r="T186" s="476" t="e">
        <f>VLOOKUP(B186,正厂竞争者数据汇总!$D$2:$CL$243,25,FALSE)</f>
        <v>#N/A</v>
      </c>
      <c r="U186" s="477"/>
      <c r="V186" s="477"/>
      <c r="W186" s="435"/>
      <c r="X186" s="435"/>
    </row>
    <row r="187" s="408" customFormat="1" spans="1:24">
      <c r="A187" s="428" t="s">
        <v>305</v>
      </c>
      <c r="B187" s="431" t="s">
        <v>594</v>
      </c>
      <c r="C187" s="429" t="e">
        <f>VLOOKUP(B187,正厂竞争者数据汇总!D:H,2,FALSE)</f>
        <v>#N/A</v>
      </c>
      <c r="D187" s="421" t="e">
        <f>VLOOKUP(B187,正厂竞争者数据汇总!D:H,3,FALSE)</f>
        <v>#N/A</v>
      </c>
      <c r="E187" s="430" t="e">
        <f>VLOOKUP(B187,正厂竞争者数据汇总!D:H,4,FALSE)</f>
        <v>#N/A</v>
      </c>
      <c r="F187" s="430">
        <v>34015.5833333333</v>
      </c>
      <c r="G187" s="430">
        <v>29484.1666666666</v>
      </c>
      <c r="H187" s="430">
        <v>31864.5833333333</v>
      </c>
      <c r="I187" s="453">
        <f t="shared" si="30"/>
        <v>0.15368983352647</v>
      </c>
      <c r="J187" s="451">
        <v>0.119292649795659</v>
      </c>
      <c r="K187" s="451">
        <v>0.106211512380984</v>
      </c>
      <c r="L187" s="451">
        <v>0.100650110788801</v>
      </c>
      <c r="M187" s="451">
        <v>0.111051380304401</v>
      </c>
      <c r="N187" s="451">
        <f t="shared" si="31"/>
        <v>0.008241269491258</v>
      </c>
      <c r="O187" s="451">
        <f t="shared" si="32"/>
        <v>0.00981417177551956</v>
      </c>
      <c r="P187" s="430">
        <v>4544.2625</v>
      </c>
      <c r="Q187" s="471" t="e">
        <f t="array" ref="Q187">INDEX(正厂竞争者数据汇总!$I$2:$I$243,MATCH($A$184&amp;$B187,正厂竞争者数据汇总!$A$2:$A$243&amp;正厂竞争者数据汇总!$D$2:$D$243,0))</f>
        <v>#N/A</v>
      </c>
      <c r="R187" s="429" t="s">
        <v>180</v>
      </c>
      <c r="S187" s="421" t="s">
        <v>180</v>
      </c>
      <c r="T187" s="473" t="e">
        <f>VLOOKUP(B187,正厂竞争者数据汇总!$D$2:$CL$243,25,FALSE)</f>
        <v>#N/A</v>
      </c>
      <c r="U187" s="477"/>
      <c r="V187" s="466"/>
      <c r="W187" s="421"/>
      <c r="X187" s="421"/>
    </row>
    <row r="188" s="408" customFormat="1" spans="1:24">
      <c r="A188" s="428" t="s">
        <v>230</v>
      </c>
      <c r="B188" s="489" t="s">
        <v>304</v>
      </c>
      <c r="C188" s="429" t="str">
        <f>VLOOKUP(B188,正厂竞争者数据汇总!D:H,2,FALSE)</f>
        <v>Motor目录</v>
      </c>
      <c r="D188" s="421" t="str">
        <f>VLOOKUP(B188,正厂竞争者数据汇总!D:H,3,FALSE)</f>
        <v>CA</v>
      </c>
      <c r="E188" s="430">
        <f>VLOOKUP(B188,正厂竞争者数据汇总!D:H,4,FALSE)</f>
        <v>0</v>
      </c>
      <c r="F188" s="430">
        <v>17332.1666666667</v>
      </c>
      <c r="G188" s="430">
        <v>22924.5</v>
      </c>
      <c r="H188" s="430">
        <v>22581.5</v>
      </c>
      <c r="I188" s="453">
        <f t="shared" si="30"/>
        <v>-0.24394570583146</v>
      </c>
      <c r="J188" s="451">
        <v>0.0607839080137289</v>
      </c>
      <c r="K188" s="451">
        <v>0.0549972973992181</v>
      </c>
      <c r="L188" s="451">
        <v>0.0782573742328774</v>
      </c>
      <c r="M188" s="451">
        <v>0.078698871349136</v>
      </c>
      <c r="N188" s="451">
        <f t="shared" si="31"/>
        <v>-0.0179149633354071</v>
      </c>
      <c r="O188" s="451">
        <f t="shared" si="32"/>
        <v>0.0156791990739275</v>
      </c>
      <c r="P188" s="430">
        <v>7259.95</v>
      </c>
      <c r="Q188" s="471">
        <f t="array" ref="Q188">INDEX(正厂竞争者数据汇总!$I$2:$I$243,MATCH($A$184&amp;$B188,正厂竞争者数据汇总!$A$2:$A$243&amp;正厂竞争者数据汇总!$D$2:$D$243,0))</f>
        <v>0</v>
      </c>
      <c r="R188" s="429" t="s">
        <v>180</v>
      </c>
      <c r="S188" s="421" t="s">
        <v>180</v>
      </c>
      <c r="T188" s="473">
        <f>VLOOKUP(B188,正厂竞争者数据汇总!$D$2:$CL$243,25,FALSE)</f>
        <v>31125</v>
      </c>
      <c r="U188" s="466"/>
      <c r="V188" s="466"/>
      <c r="W188" s="421"/>
      <c r="X188" s="421"/>
    </row>
    <row r="189" s="408" customFormat="1" spans="1:24">
      <c r="A189" s="440" t="s">
        <v>243</v>
      </c>
      <c r="B189" s="431" t="s">
        <v>595</v>
      </c>
      <c r="C189" s="429" t="e">
        <f>VLOOKUP(B189,正厂竞争者数据汇总!D:H,2,FALSE)</f>
        <v>#N/A</v>
      </c>
      <c r="D189" s="421" t="e">
        <f>VLOOKUP(B189,正厂竞争者数据汇总!D:H,3,FALSE)</f>
        <v>#N/A</v>
      </c>
      <c r="E189" s="430" t="e">
        <f>VLOOKUP(#REF!,正厂竞争者数据汇总!D:H,4,FALSE)</f>
        <v>#REF!</v>
      </c>
      <c r="F189" s="430">
        <v>2280.91666666667</v>
      </c>
      <c r="G189" s="430">
        <v>4168.41666666667</v>
      </c>
      <c r="H189" s="430">
        <v>4560.83333333333</v>
      </c>
      <c r="I189" s="453"/>
      <c r="J189" s="451">
        <v>0.00799917468600662</v>
      </c>
      <c r="K189" s="451">
        <v>0.00952684234270094</v>
      </c>
      <c r="L189" s="451">
        <v>0.0142297255356451</v>
      </c>
      <c r="M189" s="451">
        <v>0.0158949775588358</v>
      </c>
      <c r="N189" s="451">
        <f t="shared" si="31"/>
        <v>-0.00789580287282918</v>
      </c>
      <c r="O189" s="451"/>
      <c r="P189" s="430"/>
      <c r="Q189" s="471" t="e">
        <f t="array" ref="Q189">INDEX(正厂竞争者数据汇总!$I$2:$I$243,MATCH($A$184&amp;$B189,正厂竞争者数据汇总!$A$2:$A$243&amp;正厂竞争者数据汇总!$D$2:$D$243,0))</f>
        <v>#N/A</v>
      </c>
      <c r="R189" s="429" t="s">
        <v>180</v>
      </c>
      <c r="S189" s="421"/>
      <c r="T189" s="473" t="e">
        <f>VLOOKUP(B189,正厂竞争者数据汇总!$D$2:$CL$243,25,FALSE)</f>
        <v>#N/A</v>
      </c>
      <c r="U189" s="466"/>
      <c r="V189" s="466"/>
      <c r="W189" s="421"/>
      <c r="X189" s="421"/>
    </row>
    <row r="190" s="408" customFormat="1" spans="1:24">
      <c r="A190" s="440"/>
      <c r="B190" s="431"/>
      <c r="C190" s="429"/>
      <c r="D190" s="421"/>
      <c r="E190" s="430"/>
      <c r="F190" s="430"/>
      <c r="G190" s="430"/>
      <c r="H190" s="430"/>
      <c r="I190" s="453"/>
      <c r="J190" s="451"/>
      <c r="K190" s="451"/>
      <c r="L190" s="451"/>
      <c r="M190" s="451"/>
      <c r="N190" s="451"/>
      <c r="O190" s="451"/>
      <c r="P190" s="430"/>
      <c r="Q190" s="471"/>
      <c r="R190" s="429"/>
      <c r="S190" s="421"/>
      <c r="T190" s="473"/>
      <c r="U190" s="466"/>
      <c r="V190" s="466"/>
      <c r="W190" s="421"/>
      <c r="X190" s="421"/>
    </row>
    <row r="191" s="408" customFormat="1" spans="1:24">
      <c r="A191" s="440" t="s">
        <v>230</v>
      </c>
      <c r="B191" s="431" t="s">
        <v>524</v>
      </c>
      <c r="C191" s="429" t="e">
        <f>VLOOKUP(B191,正厂竞争者数据汇总!D:H,2,FALSE)</f>
        <v>#N/A</v>
      </c>
      <c r="D191" s="421" t="e">
        <f>VLOOKUP(B191,正厂竞争者数据汇总!D:H,3,FALSE)</f>
        <v>#N/A</v>
      </c>
      <c r="E191" s="430"/>
      <c r="F191" s="430">
        <v>15605.9325</v>
      </c>
      <c r="G191" s="430">
        <v>18388.92</v>
      </c>
      <c r="H191" s="430">
        <v>13452.315</v>
      </c>
      <c r="I191" s="453"/>
      <c r="J191" s="451">
        <v>0.05473000483966</v>
      </c>
      <c r="K191" s="451">
        <v>0.0587337749676316</v>
      </c>
      <c r="L191" s="451">
        <v>0.0627742630887672</v>
      </c>
      <c r="M191" s="451">
        <v>0.0468827140594315</v>
      </c>
      <c r="N191" s="451"/>
      <c r="O191" s="451"/>
      <c r="P191" s="430"/>
      <c r="Q191" s="471" t="e">
        <f t="array" ref="Q191">INDEX(正厂竞争者数据汇总!$I$2:$I$243,MATCH($A$184&amp;$B191,正厂竞争者数据汇总!$A$2:$A$243&amp;正厂竞争者数据汇总!$D$2:$D$243,0))</f>
        <v>#N/A</v>
      </c>
      <c r="R191" s="429"/>
      <c r="S191" s="421"/>
      <c r="T191" s="473"/>
      <c r="U191" s="466"/>
      <c r="V191" s="466"/>
      <c r="W191" s="421"/>
      <c r="X191" s="421"/>
    </row>
    <row r="192" s="408" customFormat="1" ht="17.4" spans="1:24">
      <c r="A192" s="440" t="s">
        <v>596</v>
      </c>
      <c r="B192" s="431" t="s">
        <v>597</v>
      </c>
      <c r="C192" s="429" t="str">
        <f>VLOOKUP(B192,正厂竞争者数据汇总!D:H,2,FALSE)</f>
        <v>原厂目录</v>
      </c>
      <c r="D192" s="421" t="str">
        <f>VLOOKUP(B192,正厂竞争者数据汇总!D:H,3,FALSE)</f>
        <v>TX</v>
      </c>
      <c r="E192" s="430">
        <f>VLOOKUP(B192,正厂竞争者数据汇总!D:H,4,FALSE)</f>
        <v>0</v>
      </c>
      <c r="F192" s="430">
        <v>185035.833333333</v>
      </c>
      <c r="G192" s="430">
        <v>210056.916666667</v>
      </c>
      <c r="H192" s="430">
        <v>198997.083333333</v>
      </c>
      <c r="I192" s="453"/>
      <c r="J192" s="451"/>
      <c r="K192" s="451"/>
      <c r="L192" s="451"/>
      <c r="M192" s="451"/>
      <c r="N192" s="451"/>
      <c r="O192" s="451"/>
      <c r="P192" s="430"/>
      <c r="Q192" s="471" t="str">
        <f t="array" ref="Q192">INDEX(正厂竞争者数据汇总!$I$2:$I$243,MATCH($A$184&amp;$B192,正厂竞争者数据汇总!$A$2:$A$243&amp;正厂竞争者数据汇总!$D$2:$D$243,0))</f>
        <v>官网</v>
      </c>
      <c r="R192" s="429"/>
      <c r="S192" s="421"/>
      <c r="T192" s="473">
        <f>VLOOKUP(B192,正厂竞争者数据汇总!$D$2:$CL$243,25,FALSE)</f>
        <v>205293</v>
      </c>
      <c r="U192" s="466"/>
      <c r="V192" s="466"/>
      <c r="W192" s="421"/>
      <c r="X192" s="421"/>
    </row>
    <row r="193" s="408" customFormat="1" spans="1:24">
      <c r="A193" s="440"/>
      <c r="B193" s="431"/>
      <c r="C193" s="429"/>
      <c r="D193" s="421"/>
      <c r="E193" s="430"/>
      <c r="F193" s="430"/>
      <c r="G193" s="430"/>
      <c r="H193" s="430"/>
      <c r="I193" s="453"/>
      <c r="J193" s="451"/>
      <c r="K193" s="451"/>
      <c r="L193" s="451"/>
      <c r="M193" s="451"/>
      <c r="N193" s="451"/>
      <c r="O193" s="451"/>
      <c r="P193" s="430"/>
      <c r="Q193" s="471"/>
      <c r="R193" s="429"/>
      <c r="S193" s="421"/>
      <c r="T193" s="473"/>
      <c r="U193" s="466"/>
      <c r="V193" s="466"/>
      <c r="W193" s="421"/>
      <c r="X193" s="421"/>
    </row>
    <row r="194" s="408" customFormat="1" spans="1:24">
      <c r="A194" s="428"/>
      <c r="B194" s="421"/>
      <c r="C194" s="439"/>
      <c r="D194" s="421"/>
      <c r="E194" s="430"/>
      <c r="F194" s="430">
        <v>285144</v>
      </c>
      <c r="G194" s="430">
        <v>292937.25</v>
      </c>
      <c r="H194" s="430">
        <v>286935.5</v>
      </c>
      <c r="I194" s="453">
        <f t="shared" ref="I194:I203" si="33">(F194/G194)-1</f>
        <v>-0.026603820442774</v>
      </c>
      <c r="J194" s="430"/>
      <c r="K194" s="430"/>
      <c r="L194" s="430"/>
      <c r="M194" s="430"/>
      <c r="N194" s="451"/>
      <c r="O194" s="451">
        <f>SUM(O186:O188)</f>
        <v>0.025493370849447</v>
      </c>
      <c r="P194" s="430"/>
      <c r="Q194" s="471"/>
      <c r="R194" s="429"/>
      <c r="S194" s="421"/>
      <c r="T194" s="473"/>
      <c r="U194" s="466"/>
      <c r="V194" s="466"/>
      <c r="W194" s="421"/>
      <c r="X194" s="421"/>
    </row>
    <row r="195" s="408" customFormat="1" spans="1:24">
      <c r="A195" s="428"/>
      <c r="B195" s="421"/>
      <c r="C195" s="439"/>
      <c r="D195" s="421"/>
      <c r="E195" s="430"/>
      <c r="F195" s="451"/>
      <c r="G195" s="451"/>
      <c r="H195" s="451"/>
      <c r="I195" s="453"/>
      <c r="J195" s="451"/>
      <c r="K195" s="451"/>
      <c r="L195" s="451"/>
      <c r="M195" s="451"/>
      <c r="N195" s="451"/>
      <c r="O195" s="451"/>
      <c r="P195" s="451"/>
      <c r="Q195" s="471"/>
      <c r="R195" s="429"/>
      <c r="S195" s="421"/>
      <c r="T195" s="473"/>
      <c r="U195" s="466"/>
      <c r="V195" s="466"/>
      <c r="W195" s="421"/>
      <c r="X195" s="421"/>
    </row>
    <row r="196" s="408" customFormat="1" ht="17.4" spans="1:24">
      <c r="A196" s="418" t="s">
        <v>177</v>
      </c>
      <c r="B196" s="419"/>
      <c r="C196" s="420"/>
      <c r="D196" s="421"/>
      <c r="E196" s="422" t="s">
        <v>202</v>
      </c>
      <c r="F196" s="422"/>
      <c r="G196" s="422"/>
      <c r="H196" s="422"/>
      <c r="I196" s="422"/>
      <c r="J196" s="422"/>
      <c r="K196" s="422"/>
      <c r="L196" s="422"/>
      <c r="M196" s="422"/>
      <c r="N196" s="443"/>
      <c r="O196" s="444"/>
      <c r="P196" s="422"/>
      <c r="Q196" s="471"/>
      <c r="R196" s="465"/>
      <c r="S196" s="424"/>
      <c r="T196" s="473"/>
      <c r="U196" s="467"/>
      <c r="V196" s="467"/>
      <c r="W196" s="467"/>
      <c r="X196" s="467"/>
    </row>
    <row r="197" s="409" customFormat="1" ht="46.8" spans="1:24">
      <c r="A197" s="423" t="s">
        <v>206</v>
      </c>
      <c r="B197" s="424" t="s">
        <v>207</v>
      </c>
      <c r="C197" s="425" t="s">
        <v>208</v>
      </c>
      <c r="D197" s="424" t="s">
        <v>209</v>
      </c>
      <c r="E197" s="426" t="s">
        <v>210</v>
      </c>
      <c r="F197" s="427" t="s">
        <v>496</v>
      </c>
      <c r="G197" s="427" t="s">
        <v>633</v>
      </c>
      <c r="H197" s="427" t="s">
        <v>634</v>
      </c>
      <c r="I197" s="427" t="s">
        <v>635</v>
      </c>
      <c r="J197" s="446" t="s">
        <v>390</v>
      </c>
      <c r="K197" s="446" t="s">
        <v>629</v>
      </c>
      <c r="L197" s="446" t="s">
        <v>630</v>
      </c>
      <c r="M197" s="446" t="s">
        <v>631</v>
      </c>
      <c r="N197" s="447" t="s">
        <v>632</v>
      </c>
      <c r="O197" s="448" t="s">
        <v>219</v>
      </c>
      <c r="P197" s="449" t="s">
        <v>220</v>
      </c>
      <c r="Q197" s="468" t="s">
        <v>221</v>
      </c>
      <c r="R197" s="469" t="s">
        <v>222</v>
      </c>
      <c r="S197" s="426" t="s">
        <v>223</v>
      </c>
      <c r="T197" s="470" t="s">
        <v>224</v>
      </c>
      <c r="U197" s="467" t="s">
        <v>225</v>
      </c>
      <c r="V197" s="470" t="s">
        <v>226</v>
      </c>
      <c r="W197" s="467"/>
      <c r="X197" s="467"/>
    </row>
    <row r="198" s="410" customFormat="1" ht="17.4" spans="1:24">
      <c r="A198" s="432" t="s">
        <v>227</v>
      </c>
      <c r="B198" s="435" t="s">
        <v>598</v>
      </c>
      <c r="C198" s="434" t="e">
        <f>VLOOKUP(B198,正厂竞争者数据汇总!D:H,2,FALSE)</f>
        <v>#N/A</v>
      </c>
      <c r="D198" s="435" t="e">
        <f>VLOOKUP(B198,正厂竞争者数据汇总!D:H,3,FALSE)</f>
        <v>#N/A</v>
      </c>
      <c r="E198" s="436" t="e">
        <f>VLOOKUP(B198,正厂竞争者数据汇总!D:H,4,FALSE)</f>
        <v>#N/A</v>
      </c>
      <c r="F198" s="436">
        <v>99136.1666666667</v>
      </c>
      <c r="G198" s="436">
        <v>84074.8333333333</v>
      </c>
      <c r="H198" s="436">
        <v>80654.3333333333</v>
      </c>
      <c r="I198" s="454">
        <f t="shared" si="33"/>
        <v>0.179141994532649</v>
      </c>
      <c r="J198" s="457">
        <v>0.523614810798058</v>
      </c>
      <c r="K198" s="457">
        <v>0.581531447012909</v>
      </c>
      <c r="L198" s="457">
        <v>0.558094740766719</v>
      </c>
      <c r="M198" s="457">
        <v>0.538265219579611</v>
      </c>
      <c r="N198" s="456">
        <f t="shared" ref="N198:N203" si="34">J198-M198</f>
        <v>-0.014650408781553</v>
      </c>
      <c r="O198" s="457" t="str">
        <f t="shared" ref="O198:O203" si="35">IFERROR(P198*0.5/$F$205,"")</f>
        <v/>
      </c>
      <c r="P198" s="436" t="s">
        <v>180</v>
      </c>
      <c r="Q198" s="471" t="e">
        <f t="array" ref="Q198">INDEX(正厂竞争者数据汇总!$I$2:$I$243,MATCH($A$196&amp;$B198,正厂竞争者数据汇总!$A$2:$A$243&amp;正厂竞争者数据汇总!$D$2:$D$243,0))</f>
        <v>#N/A</v>
      </c>
      <c r="R198" s="434" t="s">
        <v>324</v>
      </c>
      <c r="S198" s="435" t="s">
        <v>229</v>
      </c>
      <c r="T198" s="476" t="e">
        <f>VLOOKUP(B198,正厂竞争者数据汇总!$D$2:$CL$243,25,FALSE)</f>
        <v>#N/A</v>
      </c>
      <c r="U198" s="477"/>
      <c r="V198" s="477"/>
      <c r="W198" s="435"/>
      <c r="X198" s="435"/>
    </row>
    <row r="199" s="408" customFormat="1" spans="1:24">
      <c r="A199" s="428" t="s">
        <v>230</v>
      </c>
      <c r="B199" s="431" t="s">
        <v>599</v>
      </c>
      <c r="C199" s="429" t="e">
        <f>VLOOKUP(B199,正厂竞争者数据汇总!D:H,2,FALSE)</f>
        <v>#N/A</v>
      </c>
      <c r="D199" s="421" t="e">
        <f>VLOOKUP(B199,正厂竞争者数据汇总!D:H,3,FALSE)</f>
        <v>#N/A</v>
      </c>
      <c r="E199" s="430" t="e">
        <f>VLOOKUP(B199,正厂竞争者数据汇总!D:H,4,FALSE)</f>
        <v>#N/A</v>
      </c>
      <c r="F199" s="430">
        <v>35479</v>
      </c>
      <c r="G199" s="430">
        <v>13408.6666666666</v>
      </c>
      <c r="H199" s="430">
        <v>12550.0833333333</v>
      </c>
      <c r="I199" s="453">
        <f t="shared" si="33"/>
        <v>1.64597523989461</v>
      </c>
      <c r="J199" s="451">
        <v>0.18739205374733</v>
      </c>
      <c r="K199" s="451">
        <v>0.0941693560492345</v>
      </c>
      <c r="L199" s="451">
        <v>0.0890076857802551</v>
      </c>
      <c r="M199" s="451">
        <v>0.0837558638447913</v>
      </c>
      <c r="N199" s="451">
        <f t="shared" si="34"/>
        <v>0.103636189902539</v>
      </c>
      <c r="O199" s="451">
        <f t="shared" si="35"/>
        <v>0.0149801416282175</v>
      </c>
      <c r="P199" s="430">
        <v>2215.9</v>
      </c>
      <c r="Q199" s="471" t="e">
        <f t="array" ref="Q199">INDEX(正厂竞争者数据汇总!$I$2:$I$243,MATCH($A$196&amp;$B199,正厂竞争者数据汇总!$A$2:$A$243&amp;正厂竞争者数据汇总!$D$2:$D$243,0))</f>
        <v>#N/A</v>
      </c>
      <c r="R199" s="429" t="s">
        <v>180</v>
      </c>
      <c r="S199" s="421" t="s">
        <v>180</v>
      </c>
      <c r="T199" s="473" t="e">
        <f>VLOOKUP(B199,正厂竞争者数据汇总!$D$2:$CL$243,25,FALSE)</f>
        <v>#N/A</v>
      </c>
      <c r="U199" s="466"/>
      <c r="V199" s="466"/>
      <c r="W199" s="421"/>
      <c r="X199" s="421"/>
    </row>
    <row r="200" s="408" customFormat="1" spans="1:24">
      <c r="A200" s="428" t="s">
        <v>230</v>
      </c>
      <c r="B200" s="431" t="s">
        <v>600</v>
      </c>
      <c r="C200" s="429" t="e">
        <f>VLOOKUP(B200,正厂竞争者数据汇总!D:H,2,FALSE)</f>
        <v>#N/A</v>
      </c>
      <c r="D200" s="421" t="e">
        <f>VLOOKUP(B200,正厂竞争者数据汇总!D:H,3,FALSE)</f>
        <v>#N/A</v>
      </c>
      <c r="E200" s="430" t="e">
        <f>VLOOKUP(B200,正厂竞争者数据汇总!D:H,4,FALSE)</f>
        <v>#N/A</v>
      </c>
      <c r="F200" s="430">
        <v>22796.75</v>
      </c>
      <c r="G200" s="430">
        <v>21954.1666666667</v>
      </c>
      <c r="H200" s="430">
        <v>26311.9166666667</v>
      </c>
      <c r="I200" s="453">
        <f t="shared" si="33"/>
        <v>0.0383791990890097</v>
      </c>
      <c r="J200" s="451">
        <v>0.120407277580102</v>
      </c>
      <c r="K200" s="451">
        <v>0.142192190783549</v>
      </c>
      <c r="L200" s="451">
        <v>0.145733324335059</v>
      </c>
      <c r="M200" s="451">
        <v>0.175598619650241</v>
      </c>
      <c r="N200" s="451">
        <f t="shared" si="34"/>
        <v>-0.055191342070139</v>
      </c>
      <c r="O200" s="451"/>
      <c r="P200" s="430"/>
      <c r="Q200" s="471" t="e">
        <f t="array" ref="Q200">INDEX(正厂竞争者数据汇总!$I$2:$I$243,MATCH($A$196&amp;$B200,正厂竞争者数据汇总!$A$2:$A$243&amp;正厂竞争者数据汇总!$D$2:$D$243,0))</f>
        <v>#N/A</v>
      </c>
      <c r="R200" s="429"/>
      <c r="S200" s="421"/>
      <c r="T200" s="473"/>
      <c r="U200" s="466"/>
      <c r="V200" s="466"/>
      <c r="W200" s="421"/>
      <c r="X200" s="421"/>
    </row>
    <row r="201" s="408" customFormat="1" spans="1:24">
      <c r="A201" s="428" t="s">
        <v>230</v>
      </c>
      <c r="B201" s="431" t="s">
        <v>601</v>
      </c>
      <c r="C201" s="429" t="e">
        <f>VLOOKUP(B201,正厂竞争者数据汇总!D:H,2,FALSE)</f>
        <v>#N/A</v>
      </c>
      <c r="D201" s="421" t="e">
        <f>VLOOKUP(B201,正厂竞争者数据汇总!D:H,3,FALSE)</f>
        <v>#N/A</v>
      </c>
      <c r="E201" s="430" t="e">
        <f>VLOOKUP(B201,正厂竞争者数据汇总!D:H,4,FALSE)</f>
        <v>#N/A</v>
      </c>
      <c r="F201" s="430">
        <v>17844.1666666667</v>
      </c>
      <c r="G201" s="430">
        <v>15843</v>
      </c>
      <c r="H201" s="430">
        <v>14538.25</v>
      </c>
      <c r="I201" s="453">
        <f t="shared" si="33"/>
        <v>0.126312356666458</v>
      </c>
      <c r="J201" s="451">
        <v>0.0942488525346354</v>
      </c>
      <c r="K201" s="451">
        <v>0.104681871059742</v>
      </c>
      <c r="L201" s="451">
        <v>0.10516696408914</v>
      </c>
      <c r="M201" s="451">
        <v>0.0970243507712329</v>
      </c>
      <c r="N201" s="451">
        <f t="shared" si="34"/>
        <v>-0.00277549823659751</v>
      </c>
      <c r="O201" s="451"/>
      <c r="P201" s="430"/>
      <c r="Q201" s="471" t="e">
        <f t="array" ref="Q201">INDEX(正厂竞争者数据汇总!$I$2:$I$243,MATCH($A$196&amp;$B201,正厂竞争者数据汇总!$A$2:$A$243&amp;正厂竞争者数据汇总!$D$2:$D$243,0))</f>
        <v>#N/A</v>
      </c>
      <c r="R201" s="429"/>
      <c r="S201" s="421"/>
      <c r="T201" s="473"/>
      <c r="U201" s="466"/>
      <c r="V201" s="466"/>
      <c r="W201" s="421"/>
      <c r="X201" s="421"/>
    </row>
    <row r="202" s="408" customFormat="1" spans="1:24">
      <c r="A202" s="428" t="s">
        <v>230</v>
      </c>
      <c r="B202" s="417" t="s">
        <v>602</v>
      </c>
      <c r="C202" s="429" t="e">
        <f>VLOOKUP(B202,正厂竞争者数据汇总!D:H,2,FALSE)</f>
        <v>#N/A</v>
      </c>
      <c r="D202" s="421" t="e">
        <f>VLOOKUP(B202,正厂竞争者数据汇总!D:H,3,FALSE)</f>
        <v>#N/A</v>
      </c>
      <c r="E202" s="430" t="e">
        <f>VLOOKUP(B202,正厂竞争者数据汇总!D:H,4,FALSE)</f>
        <v>#N/A</v>
      </c>
      <c r="F202" s="430">
        <v>7910.16666666667</v>
      </c>
      <c r="G202" s="430">
        <v>8162.5</v>
      </c>
      <c r="H202" s="430">
        <v>7127.41666666667</v>
      </c>
      <c r="I202" s="453">
        <f t="shared" si="33"/>
        <v>-0.0309137314956607</v>
      </c>
      <c r="J202" s="451">
        <v>0.0417797112982424</v>
      </c>
      <c r="K202" s="451">
        <v>0.045962173521465</v>
      </c>
      <c r="L202" s="451">
        <v>0.0541832572352212</v>
      </c>
      <c r="M202" s="451">
        <v>0.0475664522731001</v>
      </c>
      <c r="N202" s="451">
        <f t="shared" si="34"/>
        <v>-0.0057867409748577</v>
      </c>
      <c r="O202" s="451" t="str">
        <f t="shared" si="35"/>
        <v/>
      </c>
      <c r="P202" s="430" t="s">
        <v>180</v>
      </c>
      <c r="Q202" s="471" t="e">
        <f t="array" ref="Q202">INDEX(正厂竞争者数据汇总!$I$2:$I$243,MATCH($A$196&amp;$B202,正厂竞争者数据汇总!$A$2:$A$243&amp;正厂竞争者数据汇总!$D$2:$D$243,0))</f>
        <v>#N/A</v>
      </c>
      <c r="R202" s="429" t="s">
        <v>180</v>
      </c>
      <c r="S202" s="421" t="s">
        <v>180</v>
      </c>
      <c r="T202" s="473" t="e">
        <f>VLOOKUP(B202,正厂竞争者数据汇总!$D$2:$CL$243,25,FALSE)</f>
        <v>#N/A</v>
      </c>
      <c r="U202" s="466"/>
      <c r="V202" s="466"/>
      <c r="W202" s="421"/>
      <c r="X202" s="421"/>
    </row>
    <row r="203" s="408" customFormat="1" spans="1:24">
      <c r="A203" s="428" t="s">
        <v>230</v>
      </c>
      <c r="B203" s="431" t="s">
        <v>603</v>
      </c>
      <c r="C203" s="429" t="e">
        <f>VLOOKUP(B203,正厂竞争者数据汇总!D:H,2,FALSE)</f>
        <v>#N/A</v>
      </c>
      <c r="D203" s="421" t="e">
        <f>VLOOKUP(B203,正厂竞争者数据汇总!D:H,3,FALSE)</f>
        <v>#N/A</v>
      </c>
      <c r="E203" s="430" t="e">
        <f>VLOOKUP(B203,正厂竞争者数据汇总!D:H,4,FALSE)</f>
        <v>#N/A</v>
      </c>
      <c r="F203" s="430">
        <v>6164.08333333333</v>
      </c>
      <c r="G203" s="430">
        <v>7203.00000000002</v>
      </c>
      <c r="H203" s="430">
        <v>8659.25</v>
      </c>
      <c r="I203" s="453">
        <f t="shared" si="33"/>
        <v>-0.144233884029805</v>
      </c>
      <c r="J203" s="451">
        <v>0.0325572940416309</v>
      </c>
      <c r="K203" s="451">
        <v>0.0314629615731012</v>
      </c>
      <c r="L203" s="451">
        <v>0.0478140277936048</v>
      </c>
      <c r="M203" s="451">
        <v>0.0577894938810241</v>
      </c>
      <c r="N203" s="451">
        <f t="shared" si="34"/>
        <v>-0.0252321998393932</v>
      </c>
      <c r="O203" s="451">
        <f t="shared" si="35"/>
        <v>0.0039174229748686</v>
      </c>
      <c r="P203" s="430">
        <v>579.475</v>
      </c>
      <c r="Q203" s="471" t="e">
        <f t="array" ref="Q203">INDEX(正厂竞争者数据汇总!$I$2:$I$243,MATCH($A$196&amp;$B203,正厂竞争者数据汇总!$A$2:$A$243&amp;正厂竞争者数据汇总!$D$2:$D$243,0))</f>
        <v>#N/A</v>
      </c>
      <c r="R203" s="429" t="s">
        <v>180</v>
      </c>
      <c r="S203" s="421" t="s">
        <v>180</v>
      </c>
      <c r="T203" s="473" t="e">
        <f>VLOOKUP(B203,正厂竞争者数据汇总!$D$2:$CL$243,25,FALSE)</f>
        <v>#N/A</v>
      </c>
      <c r="U203" s="466">
        <f>VLOOKUP(B203,'Price &amp; Shipping'!B:DK,2,FALSE)</f>
        <v>0</v>
      </c>
      <c r="V203" s="466"/>
      <c r="W203" s="421"/>
      <c r="X203" s="421"/>
    </row>
    <row r="204" s="408" customFormat="1" spans="1:24">
      <c r="A204" s="428"/>
      <c r="B204" s="431"/>
      <c r="C204" s="429"/>
      <c r="D204" s="421"/>
      <c r="E204" s="430"/>
      <c r="F204" s="430"/>
      <c r="G204" s="430"/>
      <c r="H204" s="430"/>
      <c r="I204" s="453"/>
      <c r="J204" s="451"/>
      <c r="K204" s="451"/>
      <c r="L204" s="451"/>
      <c r="M204" s="451"/>
      <c r="N204" s="451"/>
      <c r="O204" s="451"/>
      <c r="P204" s="430"/>
      <c r="Q204" s="471"/>
      <c r="R204" s="429"/>
      <c r="S204" s="421"/>
      <c r="T204" s="473"/>
      <c r="U204" s="466"/>
      <c r="V204" s="466"/>
      <c r="W204" s="421"/>
      <c r="X204" s="421"/>
    </row>
    <row r="205" s="408" customFormat="1" ht="17.4" spans="1:24">
      <c r="A205" s="428" t="s">
        <v>604</v>
      </c>
      <c r="B205" s="438" t="s">
        <v>605</v>
      </c>
      <c r="C205" s="429" t="str">
        <f>VLOOKUP(B205,正厂竞争者数据汇总!D:H,2,FALSE)</f>
        <v>原厂目录</v>
      </c>
      <c r="D205" s="421" t="str">
        <f>VLOOKUP(B205,正厂竞争者数据汇总!D:H,3,FALSE)</f>
        <v>-</v>
      </c>
      <c r="E205" s="430">
        <f>VLOOKUP(B205,正厂竞争者数据汇总!D:H,4,FALSE)</f>
        <v>0</v>
      </c>
      <c r="F205" s="430">
        <v>73961.25</v>
      </c>
      <c r="G205" s="430">
        <v>71685.0833333333</v>
      </c>
      <c r="H205" s="430">
        <v>61103.9166666667</v>
      </c>
      <c r="I205" s="453"/>
      <c r="J205" s="451"/>
      <c r="K205" s="451"/>
      <c r="L205" s="451"/>
      <c r="M205" s="451"/>
      <c r="N205" s="451"/>
      <c r="O205" s="451" t="str">
        <f>IFERROR(P205*0.5/$F$205,"")</f>
        <v/>
      </c>
      <c r="P205" s="430" t="s">
        <v>180</v>
      </c>
      <c r="Q205" s="471" t="str">
        <f t="array" ref="Q205">INDEX(正厂竞争者数据汇总!$I$2:$I$243,MATCH($A$196&amp;$B205,正厂竞争者数据汇总!$A$2:$A$243&amp;正厂竞争者数据汇总!$D$2:$D$243,0))</f>
        <v>变成SimplePart</v>
      </c>
      <c r="R205" s="429" t="s">
        <v>180</v>
      </c>
      <c r="S205" s="421" t="s">
        <v>180</v>
      </c>
      <c r="T205" s="473">
        <f>VLOOKUP(B205,正厂竞争者数据汇总!$D$2:$CL$243,25,FALSE)</f>
        <v>78222</v>
      </c>
      <c r="U205" s="466"/>
      <c r="V205" s="466"/>
      <c r="W205" s="421"/>
      <c r="X205" s="421"/>
    </row>
    <row r="206" s="408" customFormat="1" spans="1:24">
      <c r="A206" s="428"/>
      <c r="B206" s="431"/>
      <c r="C206" s="429"/>
      <c r="D206" s="421"/>
      <c r="E206" s="430"/>
      <c r="F206" s="430"/>
      <c r="G206" s="430"/>
      <c r="H206" s="430"/>
      <c r="I206" s="453"/>
      <c r="J206" s="451"/>
      <c r="K206" s="451"/>
      <c r="L206" s="451"/>
      <c r="M206" s="451"/>
      <c r="N206" s="451"/>
      <c r="O206" s="451"/>
      <c r="P206" s="430"/>
      <c r="Q206" s="471"/>
      <c r="R206" s="429"/>
      <c r="S206" s="421"/>
      <c r="T206" s="473"/>
      <c r="U206" s="466"/>
      <c r="V206" s="466"/>
      <c r="W206" s="421"/>
      <c r="X206" s="421"/>
    </row>
    <row r="207" s="408" customFormat="1" spans="1:24">
      <c r="A207" s="428"/>
      <c r="B207" s="421"/>
      <c r="C207" s="439"/>
      <c r="D207" s="421"/>
      <c r="E207" s="430"/>
      <c r="F207" s="430">
        <v>189330.333333333</v>
      </c>
      <c r="G207" s="430">
        <v>150646.166666667</v>
      </c>
      <c r="H207" s="430">
        <v>149841.25</v>
      </c>
      <c r="I207" s="453">
        <f>(F207/G207)-1</f>
        <v>0.256788257694349</v>
      </c>
      <c r="J207" s="430"/>
      <c r="K207" s="430"/>
      <c r="L207" s="430"/>
      <c r="M207" s="430"/>
      <c r="N207" s="451"/>
      <c r="O207" s="451">
        <f>SUM(O198:O203)</f>
        <v>0.0188975646030861</v>
      </c>
      <c r="P207" s="430"/>
      <c r="Q207" s="471"/>
      <c r="R207" s="493"/>
      <c r="S207" s="421"/>
      <c r="T207" s="473"/>
      <c r="U207" s="466"/>
      <c r="V207" s="466"/>
      <c r="W207" s="421"/>
      <c r="X207" s="421"/>
    </row>
    <row r="208" s="408" customFormat="1" spans="1:24">
      <c r="A208" s="428"/>
      <c r="B208" s="421"/>
      <c r="C208" s="439"/>
      <c r="D208" s="421"/>
      <c r="E208" s="430"/>
      <c r="F208" s="430"/>
      <c r="G208" s="430"/>
      <c r="H208" s="430"/>
      <c r="I208" s="453"/>
      <c r="J208" s="430"/>
      <c r="K208" s="430"/>
      <c r="L208" s="430"/>
      <c r="M208" s="430"/>
      <c r="N208" s="451"/>
      <c r="O208" s="451"/>
      <c r="P208" s="430"/>
      <c r="Q208" s="471"/>
      <c r="R208" s="493"/>
      <c r="S208" s="421"/>
      <c r="T208" s="473"/>
      <c r="U208" s="466"/>
      <c r="V208" s="466"/>
      <c r="W208" s="421"/>
      <c r="X208" s="421"/>
    </row>
    <row r="209" s="408" customFormat="1" ht="17.4" spans="1:24">
      <c r="A209" s="418" t="s">
        <v>191</v>
      </c>
      <c r="B209" s="419"/>
      <c r="C209" s="420"/>
      <c r="D209" s="421"/>
      <c r="E209" s="422" t="s">
        <v>202</v>
      </c>
      <c r="F209" s="422"/>
      <c r="G209" s="422"/>
      <c r="H209" s="422"/>
      <c r="I209" s="422"/>
      <c r="J209" s="422"/>
      <c r="K209" s="422"/>
      <c r="L209" s="422"/>
      <c r="M209" s="422"/>
      <c r="N209" s="443"/>
      <c r="O209" s="422"/>
      <c r="P209" s="422"/>
      <c r="Q209" s="471"/>
      <c r="R209" s="465"/>
      <c r="S209" s="424"/>
      <c r="T209" s="473"/>
      <c r="U209" s="467"/>
      <c r="V209" s="467"/>
      <c r="W209" s="467"/>
      <c r="X209" s="467"/>
    </row>
    <row r="210" s="409" customFormat="1" ht="46.8" spans="1:24">
      <c r="A210" s="423" t="s">
        <v>206</v>
      </c>
      <c r="B210" s="424" t="s">
        <v>207</v>
      </c>
      <c r="C210" s="425" t="s">
        <v>208</v>
      </c>
      <c r="D210" s="424" t="s">
        <v>209</v>
      </c>
      <c r="E210" s="426" t="s">
        <v>210</v>
      </c>
      <c r="F210" s="427" t="s">
        <v>496</v>
      </c>
      <c r="G210" s="427" t="s">
        <v>633</v>
      </c>
      <c r="H210" s="427" t="s">
        <v>634</v>
      </c>
      <c r="I210" s="427" t="s">
        <v>635</v>
      </c>
      <c r="J210" s="446" t="s">
        <v>390</v>
      </c>
      <c r="K210" s="446" t="s">
        <v>629</v>
      </c>
      <c r="L210" s="446" t="s">
        <v>630</v>
      </c>
      <c r="M210" s="446" t="s">
        <v>631</v>
      </c>
      <c r="N210" s="447" t="s">
        <v>632</v>
      </c>
      <c r="O210" s="448" t="s">
        <v>219</v>
      </c>
      <c r="P210" s="449" t="s">
        <v>220</v>
      </c>
      <c r="Q210" s="468" t="s">
        <v>221</v>
      </c>
      <c r="R210" s="469" t="s">
        <v>222</v>
      </c>
      <c r="S210" s="426" t="s">
        <v>223</v>
      </c>
      <c r="T210" s="470" t="s">
        <v>224</v>
      </c>
      <c r="U210" s="467" t="s">
        <v>225</v>
      </c>
      <c r="V210" s="470" t="s">
        <v>226</v>
      </c>
      <c r="W210" s="467"/>
      <c r="X210" s="467"/>
    </row>
    <row r="211" s="408" customFormat="1" spans="1:24">
      <c r="A211" s="428" t="s">
        <v>325</v>
      </c>
      <c r="B211" s="421" t="s">
        <v>606</v>
      </c>
      <c r="C211" s="429" t="e">
        <f>VLOOKUP(B211,正厂竞争者数据汇总!D:H,2,FALSE)</f>
        <v>#N/A</v>
      </c>
      <c r="D211" s="421" t="e">
        <f>VLOOKUP(B211,正厂竞争者数据汇总!D:H,3,FALSE)</f>
        <v>#N/A</v>
      </c>
      <c r="E211" s="430" t="e">
        <f>VLOOKUP(B211,正厂竞争者数据汇总!D:H,4,FALSE)</f>
        <v>#N/A</v>
      </c>
      <c r="F211" s="430">
        <v>93894.75</v>
      </c>
      <c r="G211" s="430">
        <v>116729.416666666</v>
      </c>
      <c r="H211" s="430">
        <v>107279.083333333</v>
      </c>
      <c r="I211" s="453">
        <f t="shared" ref="I211:I216" si="36">(F211/G211)-1</f>
        <v>-0.195620498403354</v>
      </c>
      <c r="J211" s="451">
        <v>0.869580350768875</v>
      </c>
      <c r="K211" s="451">
        <v>0.887338522083888</v>
      </c>
      <c r="L211" s="451">
        <v>0.874804679937397</v>
      </c>
      <c r="M211" s="451">
        <v>0.817116974732097</v>
      </c>
      <c r="N211" s="451">
        <f>J211-M211</f>
        <v>0.052463376036778</v>
      </c>
      <c r="O211" s="459"/>
      <c r="P211" s="430"/>
      <c r="Q211" s="471" t="e">
        <f>VLOOKUP(B211,正厂竞争者数据汇总!D:M,6,FALSE)</f>
        <v>#N/A</v>
      </c>
      <c r="R211" s="429" t="s">
        <v>180</v>
      </c>
      <c r="S211" s="421" t="s">
        <v>180</v>
      </c>
      <c r="T211" s="473" t="e">
        <f>VLOOKUP(B211,正厂竞争者数据汇总!$D$2:$CL$243,25,FALSE)</f>
        <v>#N/A</v>
      </c>
      <c r="U211" s="466"/>
      <c r="V211" s="466"/>
      <c r="W211" s="421"/>
      <c r="X211" s="421"/>
    </row>
    <row r="212" s="408" customFormat="1" spans="1:24">
      <c r="A212" s="428" t="s">
        <v>230</v>
      </c>
      <c r="B212" s="421" t="s">
        <v>607</v>
      </c>
      <c r="C212" s="429" t="e">
        <f>VLOOKUP(B212,正厂竞争者数据汇总!D:H,2,FALSE)</f>
        <v>#N/A</v>
      </c>
      <c r="D212" s="421" t="e">
        <f>VLOOKUP(B212,正厂竞争者数据汇总!D:H,3,FALSE)</f>
        <v>#N/A</v>
      </c>
      <c r="E212" s="430" t="e">
        <f>VLOOKUP(B212,正厂竞争者数据汇总!D:H,4,FALSE)</f>
        <v>#N/A</v>
      </c>
      <c r="F212" s="430">
        <v>0</v>
      </c>
      <c r="G212" s="430">
        <v>0</v>
      </c>
      <c r="H212" s="430">
        <v>0</v>
      </c>
      <c r="I212" s="453"/>
      <c r="J212" s="451"/>
      <c r="K212" s="451"/>
      <c r="L212" s="451"/>
      <c r="M212" s="451"/>
      <c r="N212" s="451"/>
      <c r="O212" s="459"/>
      <c r="P212" s="430"/>
      <c r="Q212" s="471" t="e">
        <f>VLOOKUP(B212,正厂竞争者数据汇总!D:M,6,FALSE)</f>
        <v>#N/A</v>
      </c>
      <c r="R212" s="429" t="s">
        <v>180</v>
      </c>
      <c r="S212" s="421" t="s">
        <v>180</v>
      </c>
      <c r="T212" s="473" t="e">
        <f>VLOOKUP(B212,正厂竞争者数据汇总!$D$2:$CL$243,25,FALSE)</f>
        <v>#N/A</v>
      </c>
      <c r="U212" s="466"/>
      <c r="V212" s="466"/>
      <c r="W212" s="421"/>
      <c r="X212" s="421"/>
    </row>
    <row r="213" s="408" customFormat="1" ht="17.4" spans="1:24">
      <c r="A213" s="428" t="s">
        <v>464</v>
      </c>
      <c r="B213" s="431" t="s">
        <v>465</v>
      </c>
      <c r="C213" s="429" t="str">
        <f>VLOOKUP(B213,正厂竞争者数据汇总!D:H,2,FALSE)</f>
        <v>原厂目录</v>
      </c>
      <c r="D213" s="421" t="str">
        <f>VLOOKUP(B213,正厂竞争者数据汇总!D:H,3,FALSE)</f>
        <v>-</v>
      </c>
      <c r="E213" s="430">
        <f>VLOOKUP(B213,正厂竞争者数据汇总!D:H,4,FALSE)</f>
        <v>0</v>
      </c>
      <c r="F213" s="430">
        <v>140623.583333333</v>
      </c>
      <c r="G213" s="430">
        <v>161272.083333333</v>
      </c>
      <c r="H213" s="430">
        <v>138443</v>
      </c>
      <c r="I213" s="453"/>
      <c r="J213" s="451"/>
      <c r="K213" s="451"/>
      <c r="L213" s="451"/>
      <c r="M213" s="451"/>
      <c r="N213" s="451"/>
      <c r="O213" s="459"/>
      <c r="P213" s="430"/>
      <c r="Q213" s="471">
        <f>VLOOKUP(B213,正厂竞争者数据汇总!D:M,6,FALSE)</f>
        <v>0</v>
      </c>
      <c r="R213" s="429" t="s">
        <v>180</v>
      </c>
      <c r="S213" s="421" t="s">
        <v>180</v>
      </c>
      <c r="T213" s="473">
        <f>VLOOKUP(B213,正厂竞争者数据汇总!$D$2:$CL$243,25,FALSE)</f>
        <v>181727</v>
      </c>
      <c r="U213" s="466"/>
      <c r="V213" s="466"/>
      <c r="W213" s="421"/>
      <c r="X213" s="421"/>
    </row>
    <row r="214" s="408" customFormat="1" spans="1:24">
      <c r="A214" s="428" t="s">
        <v>325</v>
      </c>
      <c r="B214" s="438" t="s">
        <v>608</v>
      </c>
      <c r="C214" s="429" t="e">
        <f>VLOOKUP(B214,正厂竞争者数据汇总!D:H,2,FALSE)</f>
        <v>#N/A</v>
      </c>
      <c r="D214" s="421" t="e">
        <f>VLOOKUP(B214,正厂竞争者数据汇总!D:H,3,FALSE)</f>
        <v>#N/A</v>
      </c>
      <c r="E214" s="430">
        <f>VLOOKUP(B213,正厂竞争者数据汇总!D:H,4,FALSE)</f>
        <v>0</v>
      </c>
      <c r="F214" s="430">
        <v>14082.3333333333</v>
      </c>
      <c r="G214" s="430">
        <v>16705.4166666666</v>
      </c>
      <c r="H214" s="430">
        <v>24010.6666666667</v>
      </c>
      <c r="I214" s="453">
        <f t="shared" si="36"/>
        <v>-0.15701992866585</v>
      </c>
      <c r="J214" s="451">
        <v>0.130419649231125</v>
      </c>
      <c r="K214" s="451">
        <v>0.112661477916112</v>
      </c>
      <c r="L214" s="451">
        <v>0.125195320062603</v>
      </c>
      <c r="M214" s="451">
        <v>0.182883025267903</v>
      </c>
      <c r="N214" s="451">
        <f>J214-M214</f>
        <v>-0.052463376036778</v>
      </c>
      <c r="O214" s="459"/>
      <c r="P214" s="430"/>
      <c r="Q214" s="471" t="e">
        <f>VLOOKUP(B214,正厂竞争者数据汇总!D:M,6,FALSE)</f>
        <v>#N/A</v>
      </c>
      <c r="R214" s="429" t="s">
        <v>180</v>
      </c>
      <c r="S214" s="421" t="s">
        <v>180</v>
      </c>
      <c r="T214" s="473" t="e">
        <f>VLOOKUP(B214,正厂竞争者数据汇总!$D$2:$CL$243,25,FALSE)</f>
        <v>#N/A</v>
      </c>
      <c r="U214" s="466"/>
      <c r="V214" s="466"/>
      <c r="W214" s="421"/>
      <c r="X214" s="421"/>
    </row>
    <row r="215" s="408" customFormat="1" spans="1:24">
      <c r="A215" s="428"/>
      <c r="B215" s="438"/>
      <c r="C215" s="429"/>
      <c r="D215" s="421"/>
      <c r="E215" s="430"/>
      <c r="F215" s="430"/>
      <c r="G215" s="430"/>
      <c r="H215" s="430"/>
      <c r="I215" s="453"/>
      <c r="J215" s="451"/>
      <c r="K215" s="451"/>
      <c r="L215" s="451"/>
      <c r="M215" s="451"/>
      <c r="N215" s="451"/>
      <c r="O215" s="459"/>
      <c r="P215" s="430"/>
      <c r="Q215" s="471"/>
      <c r="R215" s="429"/>
      <c r="S215" s="421"/>
      <c r="T215" s="473"/>
      <c r="U215" s="466"/>
      <c r="V215" s="466"/>
      <c r="W215" s="421"/>
      <c r="X215" s="421"/>
    </row>
    <row r="216" s="408" customFormat="1" spans="1:24">
      <c r="A216" s="428"/>
      <c r="B216" s="421"/>
      <c r="C216" s="439"/>
      <c r="D216" s="421"/>
      <c r="E216" s="421"/>
      <c r="F216" s="496">
        <v>107977.083333333</v>
      </c>
      <c r="G216" s="496">
        <v>133434.833333333</v>
      </c>
      <c r="H216" s="496">
        <v>131289.75</v>
      </c>
      <c r="I216" s="453">
        <f t="shared" si="36"/>
        <v>-0.190787887720473</v>
      </c>
      <c r="J216" s="430"/>
      <c r="K216" s="430"/>
      <c r="L216" s="430"/>
      <c r="M216" s="430"/>
      <c r="N216" s="451"/>
      <c r="O216" s="459"/>
      <c r="P216" s="430"/>
      <c r="Q216" s="471"/>
      <c r="R216" s="429"/>
      <c r="S216" s="421"/>
      <c r="T216" s="473"/>
      <c r="U216" s="466"/>
      <c r="V216" s="466"/>
      <c r="W216" s="421"/>
      <c r="X216" s="421"/>
    </row>
    <row r="217" s="408" customFormat="1" spans="1:24">
      <c r="A217" s="428"/>
      <c r="B217" s="438"/>
      <c r="C217" s="439"/>
      <c r="D217" s="421"/>
      <c r="E217" s="430"/>
      <c r="F217" s="430"/>
      <c r="G217" s="430"/>
      <c r="H217" s="430"/>
      <c r="I217" s="453"/>
      <c r="J217" s="430"/>
      <c r="K217" s="430"/>
      <c r="L217" s="430"/>
      <c r="M217" s="430"/>
      <c r="N217" s="451"/>
      <c r="O217" s="459"/>
      <c r="P217" s="430"/>
      <c r="Q217" s="471"/>
      <c r="R217" s="429"/>
      <c r="S217" s="421"/>
      <c r="T217" s="473"/>
      <c r="U217" s="466"/>
      <c r="V217" s="466"/>
      <c r="W217" s="421"/>
      <c r="X217" s="421"/>
    </row>
    <row r="218" s="408" customFormat="1" ht="17.4" spans="1:24">
      <c r="A218" s="418" t="s">
        <v>189</v>
      </c>
      <c r="B218" s="419"/>
      <c r="C218" s="420"/>
      <c r="D218" s="421"/>
      <c r="E218" s="422" t="s">
        <v>202</v>
      </c>
      <c r="F218" s="422"/>
      <c r="G218" s="422"/>
      <c r="H218" s="422"/>
      <c r="I218" s="422"/>
      <c r="J218" s="422"/>
      <c r="K218" s="422"/>
      <c r="L218" s="422"/>
      <c r="M218" s="422"/>
      <c r="N218" s="443"/>
      <c r="O218" s="422"/>
      <c r="P218" s="422"/>
      <c r="Q218" s="471"/>
      <c r="R218" s="465"/>
      <c r="S218" s="424"/>
      <c r="T218" s="473"/>
      <c r="U218" s="467"/>
      <c r="V218" s="467"/>
      <c r="W218" s="467"/>
      <c r="X218" s="467"/>
    </row>
    <row r="219" s="409" customFormat="1" ht="46.8" spans="1:24">
      <c r="A219" s="423" t="s">
        <v>206</v>
      </c>
      <c r="B219" s="424" t="s">
        <v>207</v>
      </c>
      <c r="C219" s="425" t="s">
        <v>208</v>
      </c>
      <c r="D219" s="424" t="s">
        <v>209</v>
      </c>
      <c r="E219" s="426" t="s">
        <v>210</v>
      </c>
      <c r="F219" s="427" t="s">
        <v>496</v>
      </c>
      <c r="G219" s="427" t="s">
        <v>633</v>
      </c>
      <c r="H219" s="427" t="s">
        <v>634</v>
      </c>
      <c r="I219" s="427" t="s">
        <v>635</v>
      </c>
      <c r="J219" s="446" t="s">
        <v>390</v>
      </c>
      <c r="K219" s="446" t="s">
        <v>629</v>
      </c>
      <c r="L219" s="446" t="s">
        <v>630</v>
      </c>
      <c r="M219" s="446" t="s">
        <v>631</v>
      </c>
      <c r="N219" s="447" t="s">
        <v>632</v>
      </c>
      <c r="O219" s="448" t="s">
        <v>219</v>
      </c>
      <c r="P219" s="449" t="s">
        <v>220</v>
      </c>
      <c r="Q219" s="468" t="s">
        <v>221</v>
      </c>
      <c r="R219" s="469" t="s">
        <v>222</v>
      </c>
      <c r="S219" s="426" t="s">
        <v>223</v>
      </c>
      <c r="T219" s="470" t="s">
        <v>224</v>
      </c>
      <c r="U219" s="467" t="s">
        <v>225</v>
      </c>
      <c r="V219" s="470" t="s">
        <v>226</v>
      </c>
      <c r="W219" s="467"/>
      <c r="X219" s="467"/>
    </row>
    <row r="220" s="408" customFormat="1" spans="1:24">
      <c r="A220" s="428" t="s">
        <v>325</v>
      </c>
      <c r="B220" s="421" t="s">
        <v>466</v>
      </c>
      <c r="C220" s="429" t="str">
        <f>VLOOKUP(B220,正厂竞争者数据汇总!D:H,2,FALSE)</f>
        <v>Motor目录，官网</v>
      </c>
      <c r="D220" s="421" t="str">
        <f>VLOOKUP(B220,正厂竞争者数据汇总!D:H,3,FALSE)</f>
        <v>-</v>
      </c>
      <c r="E220" s="430">
        <f>VLOOKUP(B220,正厂竞争者数据汇总!D:H,4,FALSE)</f>
        <v>0</v>
      </c>
      <c r="F220" s="430">
        <v>533308</v>
      </c>
      <c r="G220" s="430">
        <v>407851.5</v>
      </c>
      <c r="H220" s="430">
        <v>389558.666666667</v>
      </c>
      <c r="I220" s="453">
        <f t="shared" ref="I220:I223" si="37">(F220/G220)-1</f>
        <v>0.307603380151845</v>
      </c>
      <c r="J220" s="451">
        <v>0.613177543068666</v>
      </c>
      <c r="K220" s="451">
        <v>0.485020533764155</v>
      </c>
      <c r="L220" s="451">
        <v>0.446276298376854</v>
      </c>
      <c r="M220" s="451">
        <v>0.44440950208629</v>
      </c>
      <c r="N220" s="451"/>
      <c r="O220" s="459"/>
      <c r="P220" s="430"/>
      <c r="Q220" s="471" t="str">
        <f>VLOOKUP(B220,正厂竞争者数据汇总!D:M,6,FALSE)</f>
        <v>官网</v>
      </c>
      <c r="R220" s="429" t="s">
        <v>180</v>
      </c>
      <c r="S220" s="421" t="s">
        <v>180</v>
      </c>
      <c r="T220" s="473">
        <f>VLOOKUP(B220,正厂竞争者数据汇总!$D$2:$CL$243,25,FALSE)</f>
        <v>387977</v>
      </c>
      <c r="U220" s="466"/>
      <c r="V220" s="466"/>
      <c r="W220" s="421"/>
      <c r="X220" s="421"/>
    </row>
    <row r="221" s="408" customFormat="1" spans="1:24">
      <c r="A221" s="428" t="s">
        <v>230</v>
      </c>
      <c r="B221" s="431" t="s">
        <v>609</v>
      </c>
      <c r="C221" s="429" t="e">
        <f>VLOOKUP(B221,正厂竞争者数据汇总!D:H,2,FALSE)</f>
        <v>#N/A</v>
      </c>
      <c r="D221" s="421" t="e">
        <f>VLOOKUP(B221,正厂竞争者数据汇总!D:H,3,FALSE)</f>
        <v>#N/A</v>
      </c>
      <c r="E221" s="430" t="e">
        <f>VLOOKUP(B221,正厂竞争者数据汇总!D:H,4,FALSE)</f>
        <v>#N/A</v>
      </c>
      <c r="F221" s="430">
        <v>275573</v>
      </c>
      <c r="G221" s="430">
        <v>436642.333333333</v>
      </c>
      <c r="H221" s="430">
        <v>430495.833333333</v>
      </c>
      <c r="I221" s="453">
        <f t="shared" si="37"/>
        <v>-0.368881624701223</v>
      </c>
      <c r="J221" s="451">
        <v>0.316843503334024</v>
      </c>
      <c r="K221" s="451">
        <v>0.441385484644517</v>
      </c>
      <c r="L221" s="451">
        <v>0.477779594373522</v>
      </c>
      <c r="M221" s="451">
        <v>0.491110724294559</v>
      </c>
      <c r="N221" s="451">
        <f t="shared" ref="N221:N223" si="38">J221-M221</f>
        <v>-0.174267220960535</v>
      </c>
      <c r="O221" s="459"/>
      <c r="P221" s="430"/>
      <c r="Q221" s="471" t="e">
        <f>VLOOKUP(B221,正厂竞争者数据汇总!D:M,6,FALSE)</f>
        <v>#N/A</v>
      </c>
      <c r="R221" s="429" t="s">
        <v>180</v>
      </c>
      <c r="S221" s="421" t="s">
        <v>180</v>
      </c>
      <c r="T221" s="473" t="e">
        <f>VLOOKUP(B221,正厂竞争者数据汇总!$D$2:$CL$243,25,FALSE)</f>
        <v>#N/A</v>
      </c>
      <c r="U221" s="466"/>
      <c r="V221" s="466"/>
      <c r="W221" s="421"/>
      <c r="X221" s="421"/>
    </row>
    <row r="222" s="408" customFormat="1" spans="1:24">
      <c r="A222" s="428" t="s">
        <v>243</v>
      </c>
      <c r="B222" s="421" t="s">
        <v>610</v>
      </c>
      <c r="C222" s="429" t="e">
        <f>VLOOKUP(B222,正厂竞争者数据汇总!D:H,2,FALSE)</f>
        <v>#N/A</v>
      </c>
      <c r="D222" s="421" t="e">
        <f>VLOOKUP(B222,正厂竞争者数据汇总!D:H,3,FALSE)</f>
        <v>#N/A</v>
      </c>
      <c r="E222" s="430" t="e">
        <f>VLOOKUP(B222,正厂竞争者数据汇总!D:H,4,FALSE)</f>
        <v>#N/A</v>
      </c>
      <c r="F222" s="430">
        <v>30171.75</v>
      </c>
      <c r="G222" s="430">
        <v>37715.5</v>
      </c>
      <c r="H222" s="430">
        <v>36206.6666666667</v>
      </c>
      <c r="I222" s="453">
        <f t="shared" si="37"/>
        <v>-0.200017234293593</v>
      </c>
      <c r="J222" s="451">
        <v>0.0346903469197575</v>
      </c>
      <c r="K222" s="451">
        <v>0.0356565181000708</v>
      </c>
      <c r="L222" s="451">
        <v>0.0412687797677151</v>
      </c>
      <c r="M222" s="451">
        <v>0.0413046559667631</v>
      </c>
      <c r="N222" s="451">
        <f t="shared" si="38"/>
        <v>-0.0066143090470056</v>
      </c>
      <c r="O222" s="459"/>
      <c r="P222" s="430"/>
      <c r="Q222" s="471" t="e">
        <f>VLOOKUP(B222,正厂竞争者数据汇总!D:M,6,FALSE)</f>
        <v>#N/A</v>
      </c>
      <c r="R222" s="429" t="s">
        <v>180</v>
      </c>
      <c r="S222" s="421" t="s">
        <v>180</v>
      </c>
      <c r="T222" s="473" t="e">
        <f>VLOOKUP(B222,正厂竞争者数据汇总!$D$2:$CL$243,25,FALSE)</f>
        <v>#N/A</v>
      </c>
      <c r="U222" s="466"/>
      <c r="V222" s="466"/>
      <c r="W222" s="421"/>
      <c r="X222" s="421"/>
    </row>
    <row r="223" s="408" customFormat="1" spans="1:24">
      <c r="A223" s="428" t="s">
        <v>230</v>
      </c>
      <c r="B223" s="421" t="s">
        <v>611</v>
      </c>
      <c r="C223" s="429" t="e">
        <f>VLOOKUP(B223,正厂竞争者数据汇总!D:H,2,FALSE)</f>
        <v>#N/A</v>
      </c>
      <c r="D223" s="421" t="e">
        <f>VLOOKUP(B223,正厂竞争者数据汇总!D:H,3,FALSE)</f>
        <v>#N/A</v>
      </c>
      <c r="E223" s="430" t="e">
        <f>VLOOKUP(B222,正厂竞争者数据汇总!D:H,4,FALSE)</f>
        <v>#N/A</v>
      </c>
      <c r="F223" s="430">
        <v>30638.3333333333</v>
      </c>
      <c r="G223" s="430">
        <v>31648.0833333334</v>
      </c>
      <c r="H223" s="430">
        <v>20233.9166666667</v>
      </c>
      <c r="I223" s="453">
        <f t="shared" si="37"/>
        <v>-0.0319055656345729</v>
      </c>
      <c r="J223" s="451">
        <v>0.0352268069428025</v>
      </c>
      <c r="K223" s="451">
        <v>0.0379135742433391</v>
      </c>
      <c r="L223" s="451">
        <v>0.0346297352853238</v>
      </c>
      <c r="M223" s="451">
        <v>0.0230829027833775</v>
      </c>
      <c r="N223" s="451">
        <f t="shared" si="38"/>
        <v>0.012143904159425</v>
      </c>
      <c r="O223" s="459"/>
      <c r="P223" s="430"/>
      <c r="Q223" s="471" t="e">
        <f>VLOOKUP(B223,正厂竞争者数据汇总!D:M,6,FALSE)</f>
        <v>#N/A</v>
      </c>
      <c r="R223" s="429" t="s">
        <v>180</v>
      </c>
      <c r="S223" s="421" t="s">
        <v>180</v>
      </c>
      <c r="T223" s="473" t="e">
        <f>VLOOKUP(B223,正厂竞争者数据汇总!$D$2:$CL$243,25,FALSE)</f>
        <v>#N/A</v>
      </c>
      <c r="U223" s="466"/>
      <c r="V223" s="466"/>
      <c r="W223" s="421"/>
      <c r="X223" s="421"/>
    </row>
    <row r="224" s="408" customFormat="1" spans="1:24">
      <c r="A224" s="428" t="s">
        <v>468</v>
      </c>
      <c r="B224" s="431" t="s">
        <v>612</v>
      </c>
      <c r="C224" s="429" t="e">
        <f>VLOOKUP(B224,正厂竞争者数据汇总!D:H,2,FALSE)</f>
        <v>#N/A</v>
      </c>
      <c r="D224" s="421" t="e">
        <f>VLOOKUP(B224,正厂竞争者数据汇总!D:H,3,FALSE)</f>
        <v>#N/A</v>
      </c>
      <c r="E224" s="430" t="e">
        <f>VLOOKUP(B224,正厂竞争者数据汇总!D:H,4,FALSE)</f>
        <v>#N/A</v>
      </c>
      <c r="F224" s="430">
        <v>53.75</v>
      </c>
      <c r="G224" s="430">
        <v>41.6666666666667</v>
      </c>
      <c r="H224" s="430">
        <v>80.8333333333333</v>
      </c>
      <c r="I224" s="453"/>
      <c r="J224" s="451">
        <v>6.17997347497897e-5</v>
      </c>
      <c r="K224" s="451">
        <v>2.38892479177414e-5</v>
      </c>
      <c r="L224" s="451">
        <v>4.55921965855275e-5</v>
      </c>
      <c r="M224" s="451">
        <v>9.22148690106799e-5</v>
      </c>
      <c r="N224" s="451"/>
      <c r="O224" s="459"/>
      <c r="P224" s="430"/>
      <c r="Q224" s="471" t="e">
        <f>VLOOKUP(B224,正厂竞争者数据汇总!D:M,6,FALSE)</f>
        <v>#N/A</v>
      </c>
      <c r="R224" s="429" t="s">
        <v>180</v>
      </c>
      <c r="S224" s="421" t="s">
        <v>180</v>
      </c>
      <c r="T224" s="473" t="e">
        <f>VLOOKUP(B224,正厂竞争者数据汇总!$D$2:$CL$243,25,FALSE)</f>
        <v>#N/A</v>
      </c>
      <c r="U224" s="466"/>
      <c r="V224" s="466"/>
      <c r="W224" s="421"/>
      <c r="X224" s="421"/>
    </row>
    <row r="225" s="410" customFormat="1" spans="1:24">
      <c r="A225" s="432"/>
      <c r="B225" s="433"/>
      <c r="C225" s="434"/>
      <c r="D225" s="421"/>
      <c r="E225" s="436"/>
      <c r="F225" s="436"/>
      <c r="G225" s="436"/>
      <c r="H225" s="436"/>
      <c r="I225" s="453"/>
      <c r="J225" s="457"/>
      <c r="K225" s="457"/>
      <c r="L225" s="457"/>
      <c r="M225" s="457"/>
      <c r="N225" s="451"/>
      <c r="O225" s="455"/>
      <c r="P225" s="436"/>
      <c r="Q225" s="471"/>
      <c r="R225" s="434"/>
      <c r="S225" s="435"/>
      <c r="T225" s="473"/>
      <c r="U225" s="466"/>
      <c r="V225" s="466"/>
      <c r="W225" s="435"/>
      <c r="X225" s="435"/>
    </row>
    <row r="226" s="408" customFormat="1" spans="1:24">
      <c r="A226" s="428"/>
      <c r="B226" s="421"/>
      <c r="C226" s="439"/>
      <c r="D226" s="421"/>
      <c r="E226" s="430"/>
      <c r="F226" s="430">
        <v>869744.833333333</v>
      </c>
      <c r="G226" s="430">
        <v>913899.083333333</v>
      </c>
      <c r="H226" s="430">
        <v>876575.916666667</v>
      </c>
      <c r="I226" s="453">
        <f t="shared" ref="I226:I232" si="39">(F226/G226)-1</f>
        <v>-0.0483141419060766</v>
      </c>
      <c r="J226" s="430"/>
      <c r="K226" s="430"/>
      <c r="L226" s="430"/>
      <c r="M226" s="430"/>
      <c r="N226" s="451"/>
      <c r="O226" s="459"/>
      <c r="P226" s="430"/>
      <c r="Q226" s="471"/>
      <c r="R226" s="429"/>
      <c r="S226" s="421"/>
      <c r="T226" s="473"/>
      <c r="U226" s="466"/>
      <c r="V226" s="466"/>
      <c r="W226" s="421"/>
      <c r="X226" s="421"/>
    </row>
    <row r="227" s="408" customFormat="1" spans="1:24">
      <c r="A227" s="428"/>
      <c r="B227" s="421"/>
      <c r="C227" s="439"/>
      <c r="D227" s="421"/>
      <c r="E227" s="430"/>
      <c r="F227" s="430"/>
      <c r="G227" s="430"/>
      <c r="H227" s="430"/>
      <c r="I227" s="453"/>
      <c r="J227" s="430"/>
      <c r="K227" s="430"/>
      <c r="L227" s="430"/>
      <c r="M227" s="430"/>
      <c r="N227" s="451"/>
      <c r="O227" s="459"/>
      <c r="P227" s="430"/>
      <c r="Q227" s="471"/>
      <c r="R227" s="429"/>
      <c r="S227" s="421"/>
      <c r="T227" s="473"/>
      <c r="U227" s="466"/>
      <c r="V227" s="466"/>
      <c r="W227" s="421"/>
      <c r="X227" s="421"/>
    </row>
    <row r="228" s="408" customFormat="1" ht="17.4" spans="1:24">
      <c r="A228" s="418" t="s">
        <v>185</v>
      </c>
      <c r="B228" s="419"/>
      <c r="C228" s="420"/>
      <c r="D228" s="421"/>
      <c r="E228" s="422" t="s">
        <v>202</v>
      </c>
      <c r="F228" s="422"/>
      <c r="G228" s="422"/>
      <c r="H228" s="422"/>
      <c r="I228" s="422"/>
      <c r="J228" s="422"/>
      <c r="K228" s="422"/>
      <c r="L228" s="422"/>
      <c r="M228" s="422"/>
      <c r="N228" s="443"/>
      <c r="O228" s="444"/>
      <c r="P228" s="422"/>
      <c r="Q228" s="471"/>
      <c r="R228" s="465"/>
      <c r="S228" s="424"/>
      <c r="T228" s="473"/>
      <c r="U228" s="467"/>
      <c r="V228" s="467"/>
      <c r="W228" s="467"/>
      <c r="X228" s="467"/>
    </row>
    <row r="229" s="409" customFormat="1" ht="46.8" spans="1:24">
      <c r="A229" s="423" t="s">
        <v>206</v>
      </c>
      <c r="B229" s="424" t="s">
        <v>207</v>
      </c>
      <c r="C229" s="425" t="s">
        <v>208</v>
      </c>
      <c r="D229" s="424" t="s">
        <v>209</v>
      </c>
      <c r="E229" s="426" t="s">
        <v>210</v>
      </c>
      <c r="F229" s="427" t="s">
        <v>496</v>
      </c>
      <c r="G229" s="427" t="s">
        <v>633</v>
      </c>
      <c r="H229" s="427" t="s">
        <v>634</v>
      </c>
      <c r="I229" s="427" t="s">
        <v>635</v>
      </c>
      <c r="J229" s="446" t="s">
        <v>390</v>
      </c>
      <c r="K229" s="446" t="s">
        <v>629</v>
      </c>
      <c r="L229" s="446" t="s">
        <v>630</v>
      </c>
      <c r="M229" s="446" t="s">
        <v>631</v>
      </c>
      <c r="N229" s="447" t="s">
        <v>632</v>
      </c>
      <c r="O229" s="448" t="s">
        <v>219</v>
      </c>
      <c r="P229" s="449" t="s">
        <v>220</v>
      </c>
      <c r="Q229" s="468" t="s">
        <v>221</v>
      </c>
      <c r="R229" s="469" t="s">
        <v>222</v>
      </c>
      <c r="S229" s="426" t="s">
        <v>223</v>
      </c>
      <c r="T229" s="470" t="s">
        <v>224</v>
      </c>
      <c r="U229" s="467" t="s">
        <v>225</v>
      </c>
      <c r="V229" s="470" t="s">
        <v>226</v>
      </c>
      <c r="W229" s="467"/>
      <c r="X229" s="467"/>
    </row>
    <row r="230" s="408" customFormat="1" spans="1:24">
      <c r="A230" s="497" t="s">
        <v>243</v>
      </c>
      <c r="B230" s="438" t="s">
        <v>613</v>
      </c>
      <c r="C230" s="429" t="e">
        <f>VLOOKUP(B230,正厂竞争者数据汇总!D:H,2,FALSE)</f>
        <v>#N/A</v>
      </c>
      <c r="D230" s="421" t="e">
        <f>VLOOKUP(B230,正厂竞争者数据汇总!D:H,3,FALSE)</f>
        <v>#N/A</v>
      </c>
      <c r="E230" s="430" t="str">
        <f>VLOOKUP(B229,正厂竞争者数据汇总!D:H,4,FALSE)</f>
        <v>Alexa Traffic Rank</v>
      </c>
      <c r="F230" s="430">
        <v>101968.166666667</v>
      </c>
      <c r="G230" s="430">
        <v>90188.9166666667</v>
      </c>
      <c r="H230" s="430">
        <v>83408.25</v>
      </c>
      <c r="I230" s="453">
        <f t="shared" si="39"/>
        <v>0.130606403041027</v>
      </c>
      <c r="J230" s="451">
        <v>0.193161922276992</v>
      </c>
      <c r="K230" s="451">
        <v>0.215205691048446</v>
      </c>
      <c r="L230" s="451">
        <v>0.217338358327438</v>
      </c>
      <c r="M230" s="451">
        <v>0.197054011044407</v>
      </c>
      <c r="N230" s="451">
        <f t="shared" ref="N230:N232" si="40">J230-M230</f>
        <v>-0.00389208876741501</v>
      </c>
      <c r="O230" s="459"/>
      <c r="P230" s="430"/>
      <c r="Q230" s="471" t="e">
        <f>VLOOKUP(B230,正厂竞争者数据汇总!D:M,6,FALSE)</f>
        <v>#N/A</v>
      </c>
      <c r="R230" s="429" t="s">
        <v>180</v>
      </c>
      <c r="S230" s="421" t="s">
        <v>180</v>
      </c>
      <c r="T230" s="473" t="e">
        <f>VLOOKUP(B230,正厂竞争者数据汇总!$D$2:$CL$243,25,FALSE)</f>
        <v>#N/A</v>
      </c>
      <c r="U230" s="466"/>
      <c r="V230" s="466"/>
      <c r="W230" s="421"/>
      <c r="X230" s="421"/>
    </row>
    <row r="231" s="408" customFormat="1" spans="1:24">
      <c r="A231" s="428" t="s">
        <v>230</v>
      </c>
      <c r="B231" s="431" t="s">
        <v>614</v>
      </c>
      <c r="C231" s="429" t="e">
        <f>VLOOKUP(B231,正厂竞争者数据汇总!D:H,2,FALSE)</f>
        <v>#N/A</v>
      </c>
      <c r="D231" s="421" t="e">
        <f>VLOOKUP(B231,正厂竞争者数据汇总!D:H,3,FALSE)</f>
        <v>#N/A</v>
      </c>
      <c r="E231" s="430" t="e">
        <f>VLOOKUP(B231,正厂竞争者数据汇总!D:H,4,FALSE)</f>
        <v>#N/A</v>
      </c>
      <c r="F231" s="430">
        <v>153747.916666667</v>
      </c>
      <c r="G231" s="430">
        <v>144818.666666667</v>
      </c>
      <c r="H231" s="430">
        <v>157299.5</v>
      </c>
      <c r="I231" s="453">
        <f t="shared" si="39"/>
        <v>0.0616581425967184</v>
      </c>
      <c r="J231" s="451">
        <v>0.291250143061799</v>
      </c>
      <c r="K231" s="451">
        <v>0.311232837388204</v>
      </c>
      <c r="L231" s="451">
        <v>0.348985800381996</v>
      </c>
      <c r="M231" s="451">
        <v>0.371623879056085</v>
      </c>
      <c r="N231" s="451">
        <f t="shared" si="40"/>
        <v>-0.080373735994286</v>
      </c>
      <c r="O231" s="459"/>
      <c r="P231" s="430"/>
      <c r="Q231" s="471" t="e">
        <f>VLOOKUP(B231,正厂竞争者数据汇总!D:M,6,FALSE)</f>
        <v>#N/A</v>
      </c>
      <c r="R231" s="429" t="s">
        <v>180</v>
      </c>
      <c r="S231" s="421" t="s">
        <v>180</v>
      </c>
      <c r="T231" s="473" t="e">
        <f>VLOOKUP(B231,正厂竞争者数据汇总!$D$2:$CL$243,25,FALSE)</f>
        <v>#N/A</v>
      </c>
      <c r="U231" s="466"/>
      <c r="V231" s="466"/>
      <c r="W231" s="421"/>
      <c r="X231" s="421"/>
    </row>
    <row r="232" s="408" customFormat="1" spans="1:24">
      <c r="A232" s="428"/>
      <c r="B232" s="430" t="s">
        <v>615</v>
      </c>
      <c r="C232" s="429" t="e">
        <f>VLOOKUP(B232,正厂竞争者数据汇总!D:H,2,FALSE)</f>
        <v>#N/A</v>
      </c>
      <c r="D232" s="421" t="e">
        <f>VLOOKUP(B232,正厂竞争者数据汇总!D:H,3,FALSE)</f>
        <v>#N/A</v>
      </c>
      <c r="E232" s="430" t="e">
        <f>VLOOKUP(B232,正厂竞争者数据汇总!D:H,4,FALSE)</f>
        <v>#N/A</v>
      </c>
      <c r="F232" s="430">
        <v>97248.6666666667</v>
      </c>
      <c r="G232" s="430">
        <v>25400.9166666667</v>
      </c>
      <c r="H232" s="430">
        <v>20053.25</v>
      </c>
      <c r="I232" s="453">
        <f t="shared" si="39"/>
        <v>2.82854949460485</v>
      </c>
      <c r="J232" s="451">
        <v>0.184221605686164</v>
      </c>
      <c r="K232" s="451">
        <v>0.1180068538893</v>
      </c>
      <c r="L232" s="451">
        <v>0.0612114407444232</v>
      </c>
      <c r="M232" s="451">
        <v>0.0473762888800119</v>
      </c>
      <c r="N232" s="451">
        <f t="shared" si="40"/>
        <v>0.136845316806152</v>
      </c>
      <c r="O232" s="459"/>
      <c r="P232" s="430"/>
      <c r="Q232" s="471" t="e">
        <f>VLOOKUP(B232,正厂竞争者数据汇总!D:M,6,FALSE)</f>
        <v>#N/A</v>
      </c>
      <c r="R232" s="429" t="s">
        <v>180</v>
      </c>
      <c r="S232" s="421" t="s">
        <v>180</v>
      </c>
      <c r="T232" s="473" t="e">
        <f>VLOOKUP(B232,正厂竞争者数据汇总!$D$2:$CL$243,25,FALSE)</f>
        <v>#N/A</v>
      </c>
      <c r="U232" s="466"/>
      <c r="V232" s="466"/>
      <c r="W232" s="421"/>
      <c r="X232" s="421"/>
    </row>
    <row r="233" s="408" customFormat="1" spans="1:24">
      <c r="A233" s="428"/>
      <c r="B233" s="498" t="s">
        <v>616</v>
      </c>
      <c r="C233" s="429" t="e">
        <f>VLOOKUP(B233,正厂竞争者数据汇总!D:H,2,FALSE)</f>
        <v>#N/A</v>
      </c>
      <c r="D233" s="421" t="e">
        <f>VLOOKUP(B233,正厂竞争者数据汇总!D:H,3,FALSE)</f>
        <v>#N/A</v>
      </c>
      <c r="E233" s="430" t="e">
        <f>VLOOKUP(B233,正厂竞争者数据汇总!D:H,4,FALSE)</f>
        <v>#N/A</v>
      </c>
      <c r="F233" s="430">
        <v>52872.0833333333</v>
      </c>
      <c r="G233" s="430">
        <v>54060.5833333333</v>
      </c>
      <c r="H233" s="430">
        <v>58457.8333333333</v>
      </c>
      <c r="I233" s="453"/>
      <c r="J233" s="451"/>
      <c r="K233" s="451"/>
      <c r="L233" s="451"/>
      <c r="M233" s="451"/>
      <c r="N233" s="451"/>
      <c r="O233" s="459"/>
      <c r="P233" s="430"/>
      <c r="Q233" s="471" t="e">
        <f>VLOOKUP(B233,正厂竞争者数据汇总!D:M,6,FALSE)</f>
        <v>#N/A</v>
      </c>
      <c r="R233" s="429" t="s">
        <v>180</v>
      </c>
      <c r="S233" s="421" t="s">
        <v>180</v>
      </c>
      <c r="T233" s="473" t="e">
        <f>VLOOKUP(B233,正厂竞争者数据汇总!$D$2:$CL$243,25,FALSE)</f>
        <v>#N/A</v>
      </c>
      <c r="U233" s="466"/>
      <c r="V233" s="466"/>
      <c r="W233" s="421"/>
      <c r="X233" s="421"/>
    </row>
    <row r="234" s="408" customFormat="1" spans="1:24">
      <c r="A234" s="428" t="s">
        <v>446</v>
      </c>
      <c r="B234" s="499" t="s">
        <v>617</v>
      </c>
      <c r="C234" s="429" t="e">
        <f>VLOOKUP(B234,正厂竞争者数据汇总!D:H,2,FALSE)</f>
        <v>#N/A</v>
      </c>
      <c r="D234" s="421" t="e">
        <f>VLOOKUP(B234,正厂竞争者数据汇总!D:H,3,FALSE)</f>
        <v>#N/A</v>
      </c>
      <c r="E234" s="430" t="e">
        <f>VLOOKUP(B234,正厂竞争者数据汇总!D:H,4,FALSE)</f>
        <v>#N/A</v>
      </c>
      <c r="F234" s="430">
        <v>122052.75</v>
      </c>
      <c r="G234" s="430">
        <v>100501</v>
      </c>
      <c r="H234" s="430">
        <v>104057.25</v>
      </c>
      <c r="I234" s="453">
        <f>(F234/G234)-1</f>
        <v>0.214443139869255</v>
      </c>
      <c r="J234" s="451">
        <v>0.231208862333111</v>
      </c>
      <c r="K234" s="451">
        <v>0.246810665770267</v>
      </c>
      <c r="L234" s="451">
        <v>0.242188543310652</v>
      </c>
      <c r="M234" s="451">
        <v>0.245837773730424</v>
      </c>
      <c r="N234" s="451">
        <f>J234-M234</f>
        <v>-0.014628911397313</v>
      </c>
      <c r="O234" s="459"/>
      <c r="P234" s="430"/>
      <c r="Q234" s="471" t="e">
        <f>VLOOKUP(B234,正厂竞争者数据汇总!D:M,6,FALSE)</f>
        <v>#N/A</v>
      </c>
      <c r="R234" s="429" t="s">
        <v>180</v>
      </c>
      <c r="S234" s="421" t="s">
        <v>180</v>
      </c>
      <c r="T234" s="473" t="e">
        <f>VLOOKUP(B234,正厂竞争者数据汇总!$D$2:$CL$243,25,FALSE)</f>
        <v>#N/A</v>
      </c>
      <c r="U234" s="466"/>
      <c r="V234" s="466"/>
      <c r="W234" s="421"/>
      <c r="X234" s="421"/>
    </row>
    <row r="235" s="410" customFormat="1" spans="1:24">
      <c r="A235" s="432"/>
      <c r="B235" s="433"/>
      <c r="C235" s="434"/>
      <c r="D235" s="421"/>
      <c r="E235" s="436"/>
      <c r="F235" s="436"/>
      <c r="G235" s="436"/>
      <c r="H235" s="436"/>
      <c r="I235" s="453"/>
      <c r="J235" s="457"/>
      <c r="K235" s="457"/>
      <c r="L235" s="457"/>
      <c r="M235" s="457"/>
      <c r="N235" s="451"/>
      <c r="O235" s="455"/>
      <c r="P235" s="436"/>
      <c r="Q235" s="471"/>
      <c r="R235" s="500"/>
      <c r="S235" s="501"/>
      <c r="T235" s="473"/>
      <c r="U235" s="466"/>
      <c r="V235" s="466"/>
      <c r="W235" s="435"/>
      <c r="X235" s="435"/>
    </row>
    <row r="236" s="408" customFormat="1" spans="1:24">
      <c r="A236" s="428"/>
      <c r="B236" s="421"/>
      <c r="C236" s="439"/>
      <c r="D236" s="421"/>
      <c r="E236" s="430"/>
      <c r="F236" s="430">
        <v>527889.583333334</v>
      </c>
      <c r="G236" s="430">
        <v>414970.083333334</v>
      </c>
      <c r="H236" s="430">
        <v>423276.083333333</v>
      </c>
      <c r="I236" s="453">
        <f>(F236/G236)-1</f>
        <v>0.272114797030548</v>
      </c>
      <c r="J236" s="430"/>
      <c r="K236" s="430"/>
      <c r="L236" s="430"/>
      <c r="M236" s="430"/>
      <c r="N236" s="451"/>
      <c r="O236" s="459"/>
      <c r="P236" s="430"/>
      <c r="Q236" s="471"/>
      <c r="R236" s="429"/>
      <c r="S236" s="421"/>
      <c r="T236" s="473"/>
      <c r="U236" s="466"/>
      <c r="V236" s="466"/>
      <c r="W236" s="421"/>
      <c r="X236" s="421"/>
    </row>
    <row r="237" s="408" customFormat="1" spans="1:24">
      <c r="A237" s="423"/>
      <c r="B237" s="421"/>
      <c r="C237" s="425"/>
      <c r="D237" s="421"/>
      <c r="E237" s="430"/>
      <c r="F237" s="430"/>
      <c r="G237" s="430"/>
      <c r="H237" s="430"/>
      <c r="I237" s="453"/>
      <c r="J237" s="430"/>
      <c r="K237" s="430"/>
      <c r="L237" s="430"/>
      <c r="M237" s="430"/>
      <c r="N237" s="451"/>
      <c r="O237" s="459"/>
      <c r="P237" s="430"/>
      <c r="Q237" s="471"/>
      <c r="R237" s="429"/>
      <c r="S237" s="421"/>
      <c r="T237" s="473"/>
      <c r="U237" s="466"/>
      <c r="V237" s="466"/>
      <c r="W237" s="421"/>
      <c r="X237" s="421"/>
    </row>
    <row r="238" s="408" customFormat="1" ht="17.4" spans="1:24">
      <c r="A238" s="418" t="s">
        <v>195</v>
      </c>
      <c r="B238" s="419"/>
      <c r="C238" s="420"/>
      <c r="D238" s="421"/>
      <c r="E238" s="422" t="s">
        <v>202</v>
      </c>
      <c r="F238" s="422"/>
      <c r="G238" s="422"/>
      <c r="H238" s="422"/>
      <c r="I238" s="422"/>
      <c r="J238" s="422"/>
      <c r="K238" s="422"/>
      <c r="L238" s="422"/>
      <c r="M238" s="422"/>
      <c r="N238" s="443"/>
      <c r="O238" s="444"/>
      <c r="P238" s="422"/>
      <c r="Q238" s="471"/>
      <c r="R238" s="465"/>
      <c r="S238" s="424"/>
      <c r="T238" s="473"/>
      <c r="U238" s="467"/>
      <c r="V238" s="467"/>
      <c r="W238" s="467"/>
      <c r="X238" s="467"/>
    </row>
    <row r="239" s="409" customFormat="1" ht="46.8" spans="1:24">
      <c r="A239" s="423" t="s">
        <v>206</v>
      </c>
      <c r="B239" s="424" t="s">
        <v>207</v>
      </c>
      <c r="C239" s="425" t="s">
        <v>208</v>
      </c>
      <c r="D239" s="424" t="s">
        <v>209</v>
      </c>
      <c r="E239" s="426" t="s">
        <v>210</v>
      </c>
      <c r="F239" s="427" t="s">
        <v>496</v>
      </c>
      <c r="G239" s="427" t="s">
        <v>633</v>
      </c>
      <c r="H239" s="427" t="s">
        <v>634</v>
      </c>
      <c r="I239" s="427" t="s">
        <v>635</v>
      </c>
      <c r="J239" s="446" t="s">
        <v>390</v>
      </c>
      <c r="K239" s="446" t="s">
        <v>629</v>
      </c>
      <c r="L239" s="446" t="s">
        <v>630</v>
      </c>
      <c r="M239" s="446" t="s">
        <v>631</v>
      </c>
      <c r="N239" s="447" t="s">
        <v>632</v>
      </c>
      <c r="O239" s="448" t="s">
        <v>219</v>
      </c>
      <c r="P239" s="449" t="s">
        <v>220</v>
      </c>
      <c r="Q239" s="468" t="s">
        <v>221</v>
      </c>
      <c r="R239" s="469" t="s">
        <v>222</v>
      </c>
      <c r="S239" s="426" t="s">
        <v>223</v>
      </c>
      <c r="T239" s="470" t="s">
        <v>224</v>
      </c>
      <c r="U239" s="467" t="s">
        <v>225</v>
      </c>
      <c r="V239" s="470" t="s">
        <v>226</v>
      </c>
      <c r="W239" s="467"/>
      <c r="X239" s="467"/>
    </row>
    <row r="240" s="408" customFormat="1" spans="1:24">
      <c r="A240" s="428" t="s">
        <v>230</v>
      </c>
      <c r="B240" s="421" t="s">
        <v>618</v>
      </c>
      <c r="C240" s="429" t="e">
        <f>VLOOKUP(B240,正厂竞争者数据汇总!D:H,2,FALSE)</f>
        <v>#N/A</v>
      </c>
      <c r="D240" s="421" t="e">
        <f>VLOOKUP(B240,正厂竞争者数据汇总!D:H,3,FALSE)</f>
        <v>#N/A</v>
      </c>
      <c r="E240" s="430" t="str">
        <f>VLOOKUP(B239,正厂竞争者数据汇总!D:H,4,FALSE)</f>
        <v>Alexa Traffic Rank</v>
      </c>
      <c r="F240" s="430">
        <v>99001.3333333332</v>
      </c>
      <c r="G240" s="430">
        <v>82391</v>
      </c>
      <c r="H240" s="430">
        <v>90557.75</v>
      </c>
      <c r="I240" s="453">
        <f>(F240/G240)-1</f>
        <v>0.201603735035783</v>
      </c>
      <c r="J240" s="451">
        <v>0.998571087553668</v>
      </c>
      <c r="K240" s="451">
        <v>0.997128150376804</v>
      </c>
      <c r="L240" s="451">
        <v>0.994868141421947</v>
      </c>
      <c r="M240" s="451">
        <v>1</v>
      </c>
      <c r="N240" s="451">
        <f>J240-M240</f>
        <v>-0.00142891244633203</v>
      </c>
      <c r="O240" s="459"/>
      <c r="P240" s="430"/>
      <c r="Q240" s="471" t="e">
        <f>VLOOKUP(B240,正厂竞争者数据汇总!D:M,6,FALSE)</f>
        <v>#N/A</v>
      </c>
      <c r="R240" s="429" t="s">
        <v>180</v>
      </c>
      <c r="S240" s="421" t="s">
        <v>180</v>
      </c>
      <c r="T240" s="473" t="e">
        <f>VLOOKUP(B240,正厂竞争者数据汇总!$D$2:$CL$243,25,FALSE)</f>
        <v>#N/A</v>
      </c>
      <c r="U240" s="466"/>
      <c r="V240" s="466"/>
      <c r="W240" s="421"/>
      <c r="X240" s="421"/>
    </row>
    <row r="241" s="408" customFormat="1" spans="1:24">
      <c r="A241" s="428" t="s">
        <v>446</v>
      </c>
      <c r="B241" s="421" t="s">
        <v>619</v>
      </c>
      <c r="C241" s="429" t="e">
        <f>VLOOKUP(B241,正厂竞争者数据汇总!D:H,2,FALSE)</f>
        <v>#N/A</v>
      </c>
      <c r="D241" s="421" t="e">
        <f>VLOOKUP(B241,正厂竞争者数据汇总!D:H,3,FALSE)</f>
        <v>#N/A</v>
      </c>
      <c r="E241" s="430" t="e">
        <f>VLOOKUP(B241,正厂竞争者数据汇总!D:H,4,FALSE)</f>
        <v>#N/A</v>
      </c>
      <c r="F241" s="430">
        <v>141.666666666667</v>
      </c>
      <c r="G241" s="430">
        <v>425</v>
      </c>
      <c r="H241" s="430">
        <v>0</v>
      </c>
      <c r="I241" s="453"/>
      <c r="J241" s="451"/>
      <c r="K241" s="451"/>
      <c r="L241" s="451"/>
      <c r="M241" s="451"/>
      <c r="N241" s="451"/>
      <c r="O241" s="459"/>
      <c r="P241" s="430"/>
      <c r="Q241" s="471" t="e">
        <f>VLOOKUP(B241,正厂竞争者数据汇总!D:M,6,FALSE)</f>
        <v>#N/A</v>
      </c>
      <c r="R241" s="429" t="s">
        <v>180</v>
      </c>
      <c r="S241" s="421" t="s">
        <v>180</v>
      </c>
      <c r="T241" s="473" t="e">
        <f>VLOOKUP(B241,正厂竞争者数据汇总!$D$2:$CL$243,25,FALSE)</f>
        <v>#N/A</v>
      </c>
      <c r="U241" s="466"/>
      <c r="V241" s="466"/>
      <c r="W241" s="421"/>
      <c r="X241" s="421"/>
    </row>
    <row r="242" s="408" customFormat="1" spans="1:24">
      <c r="A242" s="428" t="s">
        <v>446</v>
      </c>
      <c r="B242" s="421" t="s">
        <v>620</v>
      </c>
      <c r="C242" s="429" t="e">
        <f>VLOOKUP(B242,正厂竞争者数据汇总!D:H,2,FALSE)</f>
        <v>#N/A</v>
      </c>
      <c r="D242" s="421" t="e">
        <f>VLOOKUP(B242,正厂竞争者数据汇总!D:H,3,FALSE)</f>
        <v>#N/A</v>
      </c>
      <c r="E242" s="430" t="e">
        <f>VLOOKUP(B242,正厂竞争者数据汇总!D:H,4,FALSE)</f>
        <v>#N/A</v>
      </c>
      <c r="F242" s="430">
        <v>0</v>
      </c>
      <c r="G242" s="430">
        <v>0</v>
      </c>
      <c r="H242" s="430">
        <v>0</v>
      </c>
      <c r="I242" s="453"/>
      <c r="J242" s="451"/>
      <c r="K242" s="451"/>
      <c r="L242" s="451"/>
      <c r="M242" s="451"/>
      <c r="N242" s="451"/>
      <c r="O242" s="459"/>
      <c r="P242" s="430"/>
      <c r="Q242" s="471" t="e">
        <f>VLOOKUP(B242,正厂竞争者数据汇总!D:M,6,FALSE)</f>
        <v>#N/A</v>
      </c>
      <c r="R242" s="429" t="s">
        <v>180</v>
      </c>
      <c r="S242" s="421" t="s">
        <v>180</v>
      </c>
      <c r="T242" s="473" t="e">
        <f>VLOOKUP(B242,正厂竞争者数据汇总!$D$2:$CL$243,25,FALSE)</f>
        <v>#N/A</v>
      </c>
      <c r="U242" s="466"/>
      <c r="V242" s="466"/>
      <c r="W242" s="421"/>
      <c r="X242" s="421"/>
    </row>
    <row r="243" s="408" customFormat="1" spans="1:24">
      <c r="A243" s="428"/>
      <c r="B243" s="421"/>
      <c r="C243" s="439"/>
      <c r="D243" s="421"/>
      <c r="E243" s="430"/>
      <c r="F243" s="430">
        <v>99142.9999999999</v>
      </c>
      <c r="G243" s="430">
        <v>82816</v>
      </c>
      <c r="H243" s="430">
        <v>90557.75</v>
      </c>
      <c r="I243" s="453">
        <f t="shared" ref="I243:I250" si="41">(F243/G243)-1</f>
        <v>0.197147894126737</v>
      </c>
      <c r="J243" s="430"/>
      <c r="K243" s="430"/>
      <c r="L243" s="430"/>
      <c r="M243" s="430"/>
      <c r="N243" s="451"/>
      <c r="O243" s="459"/>
      <c r="P243" s="430"/>
      <c r="Q243" s="471"/>
      <c r="R243" s="429"/>
      <c r="S243" s="421"/>
      <c r="T243" s="473"/>
      <c r="U243" s="466"/>
      <c r="V243" s="466"/>
      <c r="W243" s="421"/>
      <c r="X243" s="421"/>
    </row>
    <row r="244" s="408" customFormat="1" spans="1:24">
      <c r="A244" s="423"/>
      <c r="B244" s="421"/>
      <c r="C244" s="425"/>
      <c r="D244" s="421"/>
      <c r="E244" s="430"/>
      <c r="F244" s="430"/>
      <c r="G244" s="430"/>
      <c r="H244" s="430"/>
      <c r="I244" s="453"/>
      <c r="J244" s="430"/>
      <c r="K244" s="430"/>
      <c r="L244" s="430"/>
      <c r="M244" s="430"/>
      <c r="N244" s="451"/>
      <c r="O244" s="459"/>
      <c r="P244" s="430"/>
      <c r="Q244" s="471"/>
      <c r="R244" s="429"/>
      <c r="S244" s="421"/>
      <c r="T244" s="473"/>
      <c r="U244" s="466"/>
      <c r="V244" s="466"/>
      <c r="W244" s="421"/>
      <c r="X244" s="421"/>
    </row>
    <row r="245" s="408" customFormat="1" ht="17.4" spans="1:24">
      <c r="A245" s="418" t="s">
        <v>187</v>
      </c>
      <c r="B245" s="419"/>
      <c r="C245" s="420"/>
      <c r="D245" s="421"/>
      <c r="E245" s="422" t="s">
        <v>202</v>
      </c>
      <c r="F245" s="422"/>
      <c r="G245" s="422"/>
      <c r="H245" s="422"/>
      <c r="I245" s="422"/>
      <c r="J245" s="422"/>
      <c r="K245" s="422"/>
      <c r="L245" s="422"/>
      <c r="M245" s="422"/>
      <c r="N245" s="443"/>
      <c r="O245" s="422"/>
      <c r="P245" s="422"/>
      <c r="Q245" s="471"/>
      <c r="R245" s="465"/>
      <c r="S245" s="424"/>
      <c r="T245" s="473"/>
      <c r="U245" s="467"/>
      <c r="V245" s="467"/>
      <c r="W245" s="467"/>
      <c r="X245" s="467"/>
    </row>
    <row r="246" s="409" customFormat="1" ht="46.8" spans="1:24">
      <c r="A246" s="423" t="s">
        <v>206</v>
      </c>
      <c r="B246" s="424" t="s">
        <v>207</v>
      </c>
      <c r="C246" s="425" t="s">
        <v>208</v>
      </c>
      <c r="D246" s="424" t="s">
        <v>209</v>
      </c>
      <c r="E246" s="426" t="s">
        <v>210</v>
      </c>
      <c r="F246" s="427" t="s">
        <v>496</v>
      </c>
      <c r="G246" s="427" t="s">
        <v>633</v>
      </c>
      <c r="H246" s="427" t="s">
        <v>634</v>
      </c>
      <c r="I246" s="427" t="s">
        <v>635</v>
      </c>
      <c r="J246" s="446" t="s">
        <v>390</v>
      </c>
      <c r="K246" s="446" t="s">
        <v>629</v>
      </c>
      <c r="L246" s="446" t="s">
        <v>630</v>
      </c>
      <c r="M246" s="446" t="s">
        <v>631</v>
      </c>
      <c r="N246" s="447" t="s">
        <v>632</v>
      </c>
      <c r="O246" s="448" t="s">
        <v>219</v>
      </c>
      <c r="P246" s="449" t="s">
        <v>220</v>
      </c>
      <c r="Q246" s="468" t="s">
        <v>221</v>
      </c>
      <c r="R246" s="469" t="s">
        <v>222</v>
      </c>
      <c r="S246" s="426" t="s">
        <v>223</v>
      </c>
      <c r="T246" s="470" t="s">
        <v>224</v>
      </c>
      <c r="U246" s="467" t="s">
        <v>225</v>
      </c>
      <c r="V246" s="470" t="s">
        <v>226</v>
      </c>
      <c r="W246" s="467"/>
      <c r="X246" s="467"/>
    </row>
    <row r="247" s="408" customFormat="1" spans="1:24">
      <c r="A247" s="428" t="s">
        <v>230</v>
      </c>
      <c r="B247" s="438" t="s">
        <v>621</v>
      </c>
      <c r="C247" s="429" t="e">
        <f>VLOOKUP(B247,正厂竞争者数据汇总!D:H,2,FALSE)</f>
        <v>#N/A</v>
      </c>
      <c r="D247" s="421" t="e">
        <f>VLOOKUP(B247,正厂竞争者数据汇总!D:H,3,FALSE)</f>
        <v>#N/A</v>
      </c>
      <c r="E247" s="430" t="e">
        <f>VLOOKUP(B247,正厂竞争者数据汇总!D:H,4,FALSE)</f>
        <v>#N/A</v>
      </c>
      <c r="F247" s="430">
        <v>63726.8333333334</v>
      </c>
      <c r="G247" s="430">
        <v>61878.4166666667</v>
      </c>
      <c r="H247" s="430">
        <v>47620.1666666667</v>
      </c>
      <c r="I247" s="453">
        <f t="shared" si="41"/>
        <v>0.029871751189497</v>
      </c>
      <c r="J247" s="451">
        <v>0.649598249439571</v>
      </c>
      <c r="K247" s="451">
        <v>0.628825243940724</v>
      </c>
      <c r="L247" s="451">
        <v>0.552239327681095</v>
      </c>
      <c r="M247" s="451">
        <v>0.492886277912572</v>
      </c>
      <c r="N247" s="451">
        <f t="shared" ref="N247:N250" si="42">J247-M247</f>
        <v>0.156711971526999</v>
      </c>
      <c r="O247" s="459"/>
      <c r="P247" s="430"/>
      <c r="Q247" s="471" t="e">
        <f>VLOOKUP(B247,正厂竞争者数据汇总!D:M,6,FALSE)</f>
        <v>#N/A</v>
      </c>
      <c r="R247" s="429" t="s">
        <v>180</v>
      </c>
      <c r="S247" s="421" t="s">
        <v>180</v>
      </c>
      <c r="T247" s="473" t="e">
        <f>VLOOKUP(B247,正厂竞争者数据汇总!$D$2:$CL$243,25,FALSE)</f>
        <v>#N/A</v>
      </c>
      <c r="U247" s="466"/>
      <c r="V247" s="466"/>
      <c r="W247" s="421"/>
      <c r="X247" s="421"/>
    </row>
    <row r="248" s="408" customFormat="1" spans="1:24">
      <c r="A248" s="428" t="s">
        <v>230</v>
      </c>
      <c r="B248" s="438" t="s">
        <v>622</v>
      </c>
      <c r="C248" s="429" t="e">
        <f>VLOOKUP(B248,正厂竞争者数据汇总!D:H,2,FALSE)</f>
        <v>#N/A</v>
      </c>
      <c r="D248" s="421" t="e">
        <f>VLOOKUP(B248,正厂竞争者数据汇总!D:H,3,FALSE)</f>
        <v>#N/A</v>
      </c>
      <c r="E248" s="430" t="e">
        <f>VLOOKUP(B248,正厂竞争者数据汇总!D:H,4,FALSE)</f>
        <v>#N/A</v>
      </c>
      <c r="F248" s="430">
        <v>2898.75</v>
      </c>
      <c r="G248" s="430">
        <v>2005.5</v>
      </c>
      <c r="H248" s="430">
        <v>507.5</v>
      </c>
      <c r="I248" s="453">
        <f t="shared" si="41"/>
        <v>0.445400149588631</v>
      </c>
      <c r="J248" s="451">
        <v>0.0295483523512537</v>
      </c>
      <c r="K248" s="451">
        <v>0.0121767177841274</v>
      </c>
      <c r="L248" s="451">
        <v>0.0178982597054886</v>
      </c>
      <c r="M248" s="451">
        <v>0.00525281206576969</v>
      </c>
      <c r="N248" s="451">
        <f t="shared" si="42"/>
        <v>0.024295540285484</v>
      </c>
      <c r="O248" s="459"/>
      <c r="P248" s="430"/>
      <c r="Q248" s="471" t="e">
        <f>VLOOKUP(B248,正厂竞争者数据汇总!D:M,6,FALSE)</f>
        <v>#N/A</v>
      </c>
      <c r="R248" s="429" t="s">
        <v>180</v>
      </c>
      <c r="S248" s="421" t="s">
        <v>180</v>
      </c>
      <c r="T248" s="473" t="e">
        <f>VLOOKUP(B248,正厂竞争者数据汇总!$D$2:$CL$243,25,FALSE)</f>
        <v>#N/A</v>
      </c>
      <c r="U248" s="466"/>
      <c r="V248" s="466"/>
      <c r="W248" s="421"/>
      <c r="X248" s="421"/>
    </row>
    <row r="249" s="408" customFormat="1" spans="1:24">
      <c r="A249" s="428" t="s">
        <v>230</v>
      </c>
      <c r="B249" s="482" t="s">
        <v>623</v>
      </c>
      <c r="C249" s="429" t="e">
        <f>VLOOKUP(B249,正厂竞争者数据汇总!D:H,2,FALSE)</f>
        <v>#N/A</v>
      </c>
      <c r="D249" s="421" t="e">
        <f>VLOOKUP(B249,正厂竞争者数据汇总!D:H,3,FALSE)</f>
        <v>#N/A</v>
      </c>
      <c r="E249" s="430" t="e">
        <f>VLOOKUP(B249,正厂竞争者数据汇总!D:H,4,FALSE)</f>
        <v>#N/A</v>
      </c>
      <c r="F249" s="430">
        <v>28740.4166666667</v>
      </c>
      <c r="G249" s="430">
        <v>44384.1666666667</v>
      </c>
      <c r="H249" s="430">
        <v>40950.9166666667</v>
      </c>
      <c r="I249" s="453">
        <f t="shared" si="41"/>
        <v>-0.352462402132892</v>
      </c>
      <c r="J249" s="451">
        <v>0.292964884308241</v>
      </c>
      <c r="K249" s="451">
        <v>0.326201695911931</v>
      </c>
      <c r="L249" s="451">
        <v>0.396110367395508</v>
      </c>
      <c r="M249" s="451">
        <v>0.423857082110337</v>
      </c>
      <c r="N249" s="451">
        <f t="shared" si="42"/>
        <v>-0.130892197802096</v>
      </c>
      <c r="O249" s="459"/>
      <c r="P249" s="430"/>
      <c r="Q249" s="471" t="e">
        <f>VLOOKUP(B249,正厂竞争者数据汇总!D:M,6,FALSE)</f>
        <v>#N/A</v>
      </c>
      <c r="R249" s="429" t="s">
        <v>180</v>
      </c>
      <c r="S249" s="421" t="s">
        <v>180</v>
      </c>
      <c r="T249" s="473" t="e">
        <f>VLOOKUP(B249,正厂竞争者数据汇总!$D$2:$CL$243,25,FALSE)</f>
        <v>#N/A</v>
      </c>
      <c r="U249" s="466"/>
      <c r="V249" s="466"/>
      <c r="W249" s="421"/>
      <c r="X249" s="421"/>
    </row>
    <row r="250" s="408" customFormat="1" spans="1:24">
      <c r="A250" s="428" t="s">
        <v>230</v>
      </c>
      <c r="B250" s="438" t="s">
        <v>624</v>
      </c>
      <c r="C250" s="429" t="e">
        <f>VLOOKUP(B250,正厂竞争者数据汇总!D:H,2,FALSE)</f>
        <v>#N/A</v>
      </c>
      <c r="D250" s="421" t="e">
        <f>VLOOKUP(B250,正厂竞争者数据汇总!D:H,3,FALSE)</f>
        <v>#N/A</v>
      </c>
      <c r="E250" s="430" t="e">
        <f>VLOOKUP(B249,正厂竞争者数据汇总!D:H,4,FALSE)</f>
        <v>#N/A</v>
      </c>
      <c r="F250" s="430">
        <v>2735.91666666667</v>
      </c>
      <c r="G250" s="430">
        <v>3781.91666666667</v>
      </c>
      <c r="H250" s="430">
        <v>7536.33333333333</v>
      </c>
      <c r="I250" s="453">
        <f t="shared" si="41"/>
        <v>-0.276579335874666</v>
      </c>
      <c r="J250" s="451">
        <v>0.0278885139009347</v>
      </c>
      <c r="K250" s="451">
        <v>0.0327963423632171</v>
      </c>
      <c r="L250" s="451">
        <v>0.0337520452179087</v>
      </c>
      <c r="M250" s="451">
        <v>0.0780038279113215</v>
      </c>
      <c r="N250" s="451">
        <f t="shared" si="42"/>
        <v>-0.0501153140103868</v>
      </c>
      <c r="O250" s="459"/>
      <c r="P250" s="430"/>
      <c r="Q250" s="471"/>
      <c r="R250" s="429" t="s">
        <v>180</v>
      </c>
      <c r="S250" s="421" t="s">
        <v>180</v>
      </c>
      <c r="T250" s="473" t="e">
        <f>VLOOKUP(B250,正厂竞争者数据汇总!$D$2:$CL$243,25,FALSE)</f>
        <v>#N/A</v>
      </c>
      <c r="U250" s="466"/>
      <c r="V250" s="466"/>
      <c r="W250" s="421"/>
      <c r="X250" s="421"/>
    </row>
    <row r="251" s="408" customFormat="1" spans="1:24">
      <c r="A251" s="428"/>
      <c r="B251" s="421"/>
      <c r="C251" s="429"/>
      <c r="D251" s="421"/>
      <c r="E251" s="430"/>
      <c r="F251" s="430"/>
      <c r="G251" s="430"/>
      <c r="H251" s="430"/>
      <c r="I251" s="453"/>
      <c r="J251" s="451"/>
      <c r="K251" s="451"/>
      <c r="L251" s="451"/>
      <c r="M251" s="451"/>
      <c r="N251" s="451"/>
      <c r="O251" s="459"/>
      <c r="P251" s="430"/>
      <c r="Q251" s="471"/>
      <c r="R251" s="429"/>
      <c r="S251" s="421"/>
      <c r="T251" s="473"/>
      <c r="U251" s="466"/>
      <c r="V251" s="466"/>
      <c r="W251" s="421"/>
      <c r="X251" s="421"/>
    </row>
    <row r="252" s="408" customFormat="1" spans="1:24">
      <c r="A252" s="428"/>
      <c r="B252" s="421"/>
      <c r="C252" s="439"/>
      <c r="D252" s="421"/>
      <c r="E252" s="430"/>
      <c r="F252" s="430">
        <v>98101.9166666668</v>
      </c>
      <c r="G252" s="430">
        <v>112050</v>
      </c>
      <c r="H252" s="430">
        <v>96614.9166666667</v>
      </c>
      <c r="I252" s="453">
        <f>(F252/G252)-1</f>
        <v>-0.124480886508998</v>
      </c>
      <c r="J252" s="430"/>
      <c r="K252" s="430"/>
      <c r="L252" s="430"/>
      <c r="M252" s="430"/>
      <c r="N252" s="451"/>
      <c r="O252" s="459"/>
      <c r="P252" s="430"/>
      <c r="Q252" s="471"/>
      <c r="R252" s="429"/>
      <c r="S252" s="421"/>
      <c r="T252" s="473"/>
      <c r="U252" s="466"/>
      <c r="V252" s="466"/>
      <c r="W252" s="421"/>
      <c r="X252" s="421"/>
    </row>
    <row r="253" s="408" customFormat="1" spans="1:24">
      <c r="A253" s="428"/>
      <c r="B253" s="421"/>
      <c r="C253" s="439"/>
      <c r="D253" s="421"/>
      <c r="E253" s="421"/>
      <c r="F253" s="430"/>
      <c r="G253" s="430"/>
      <c r="H253" s="430"/>
      <c r="I253" s="453"/>
      <c r="J253" s="430"/>
      <c r="K253" s="430"/>
      <c r="L253" s="430"/>
      <c r="M253" s="430"/>
      <c r="N253" s="451"/>
      <c r="O253" s="459"/>
      <c r="P253" s="430"/>
      <c r="Q253" s="471"/>
      <c r="R253" s="429"/>
      <c r="S253" s="421"/>
      <c r="T253" s="473"/>
      <c r="U253" s="466"/>
      <c r="V253" s="466"/>
      <c r="W253" s="421"/>
      <c r="X253" s="421"/>
    </row>
    <row r="254" s="408" customFormat="1" ht="17.4" spans="1:24">
      <c r="A254" s="418" t="s">
        <v>193</v>
      </c>
      <c r="B254" s="419"/>
      <c r="C254" s="420"/>
      <c r="D254" s="421"/>
      <c r="E254" s="422" t="s">
        <v>202</v>
      </c>
      <c r="F254" s="422"/>
      <c r="G254" s="422"/>
      <c r="H254" s="422"/>
      <c r="I254" s="422"/>
      <c r="J254" s="422"/>
      <c r="K254" s="422"/>
      <c r="L254" s="422"/>
      <c r="M254" s="422"/>
      <c r="N254" s="443"/>
      <c r="O254" s="422"/>
      <c r="P254" s="422"/>
      <c r="Q254" s="471"/>
      <c r="R254" s="465"/>
      <c r="S254" s="424"/>
      <c r="T254" s="473"/>
      <c r="U254" s="467"/>
      <c r="V254" s="467"/>
      <c r="W254" s="467"/>
      <c r="X254" s="467"/>
    </row>
    <row r="255" s="409" customFormat="1" ht="46.8" spans="1:24">
      <c r="A255" s="423" t="s">
        <v>206</v>
      </c>
      <c r="B255" s="424" t="s">
        <v>207</v>
      </c>
      <c r="C255" s="425" t="s">
        <v>208</v>
      </c>
      <c r="D255" s="424" t="s">
        <v>209</v>
      </c>
      <c r="E255" s="426" t="s">
        <v>210</v>
      </c>
      <c r="F255" s="427" t="s">
        <v>496</v>
      </c>
      <c r="G255" s="427" t="s">
        <v>633</v>
      </c>
      <c r="H255" s="427" t="s">
        <v>634</v>
      </c>
      <c r="I255" s="427" t="s">
        <v>635</v>
      </c>
      <c r="J255" s="446" t="s">
        <v>390</v>
      </c>
      <c r="K255" s="446" t="s">
        <v>629</v>
      </c>
      <c r="L255" s="446" t="s">
        <v>630</v>
      </c>
      <c r="M255" s="446" t="s">
        <v>631</v>
      </c>
      <c r="N255" s="447" t="s">
        <v>632</v>
      </c>
      <c r="O255" s="448" t="s">
        <v>219</v>
      </c>
      <c r="P255" s="449" t="s">
        <v>220</v>
      </c>
      <c r="Q255" s="468" t="s">
        <v>221</v>
      </c>
      <c r="R255" s="469" t="s">
        <v>222</v>
      </c>
      <c r="S255" s="426" t="s">
        <v>223</v>
      </c>
      <c r="T255" s="470" t="s">
        <v>224</v>
      </c>
      <c r="U255" s="467" t="s">
        <v>225</v>
      </c>
      <c r="V255" s="470" t="s">
        <v>226</v>
      </c>
      <c r="W255" s="467"/>
      <c r="X255" s="467"/>
    </row>
    <row r="256" s="408" customFormat="1" ht="17.4" spans="1:24">
      <c r="A256" s="428" t="s">
        <v>475</v>
      </c>
      <c r="B256" s="438" t="s">
        <v>476</v>
      </c>
      <c r="C256" s="429" t="str">
        <f>VLOOKUP(B256,正厂竞争者数据汇总!D:H,2,FALSE)</f>
        <v>Motor目录</v>
      </c>
      <c r="D256" s="421" t="str">
        <f>VLOOKUP(B256,正厂竞争者数据汇总!D:H,3,FALSE)</f>
        <v>-</v>
      </c>
      <c r="E256" s="430">
        <f>VLOOKUP(B256,正厂竞争者数据汇总!D:H,4,FALSE)</f>
        <v>81390</v>
      </c>
      <c r="F256" s="430">
        <v>234455.083333333</v>
      </c>
      <c r="G256" s="430">
        <v>217268</v>
      </c>
      <c r="H256" s="430">
        <v>200985.916666667</v>
      </c>
      <c r="I256" s="453"/>
      <c r="J256" s="430"/>
      <c r="K256" s="430"/>
      <c r="L256" s="430"/>
      <c r="M256" s="430"/>
      <c r="N256" s="451"/>
      <c r="O256" s="459"/>
      <c r="P256" s="430"/>
      <c r="Q256" s="471" t="str">
        <f>VLOOKUP(B256,正厂竞争者数据汇总!D:M,6,FALSE)</f>
        <v>官网</v>
      </c>
      <c r="R256" s="429" t="s">
        <v>180</v>
      </c>
      <c r="S256" s="421" t="s">
        <v>180</v>
      </c>
      <c r="T256" s="473">
        <f>VLOOKUP(B256,正厂竞争者数据汇总!$D$2:$CL$243,25,FALSE)</f>
        <v>193993</v>
      </c>
      <c r="U256" s="466"/>
      <c r="V256" s="466"/>
      <c r="W256" s="421"/>
      <c r="X256" s="421"/>
    </row>
    <row r="257" s="408" customFormat="1" spans="1:24">
      <c r="A257" s="428" t="s">
        <v>230</v>
      </c>
      <c r="B257" s="421" t="s">
        <v>625</v>
      </c>
      <c r="C257" s="429" t="e">
        <f>VLOOKUP(B257,正厂竞争者数据汇总!D:H,2,FALSE)</f>
        <v>#N/A</v>
      </c>
      <c r="D257" s="421" t="e">
        <f>VLOOKUP(B257,正厂竞争者数据汇总!D:H,3,FALSE)</f>
        <v>#N/A</v>
      </c>
      <c r="E257" s="430" t="e">
        <f>VLOOKUP(B257,正厂竞争者数据汇总!D:H,4,FALSE)</f>
        <v>#N/A</v>
      </c>
      <c r="F257" s="430">
        <v>67230.75</v>
      </c>
      <c r="G257" s="430">
        <v>64349.75</v>
      </c>
      <c r="H257" s="430">
        <v>59521.5833333333</v>
      </c>
      <c r="I257" s="453">
        <f t="shared" ref="I257:I259" si="43">(F257/G257)-1</f>
        <v>0.0447709587061333</v>
      </c>
      <c r="J257" s="451">
        <v>0.193401745716795</v>
      </c>
      <c r="K257" s="451">
        <v>0.21790242773424</v>
      </c>
      <c r="L257" s="451">
        <v>0.196158011201017</v>
      </c>
      <c r="M257" s="451">
        <v>0.195830219189996</v>
      </c>
      <c r="N257" s="451">
        <f t="shared" ref="N257:N259" si="44">J257-M257</f>
        <v>-0.00242847347320099</v>
      </c>
      <c r="O257" s="459"/>
      <c r="P257" s="430"/>
      <c r="Q257" s="471" t="e">
        <f>VLOOKUP(B257,正厂竞争者数据汇总!D:M,6,FALSE)</f>
        <v>#N/A</v>
      </c>
      <c r="R257" s="429" t="s">
        <v>180</v>
      </c>
      <c r="S257" s="421" t="s">
        <v>180</v>
      </c>
      <c r="T257" s="473" t="e">
        <f>VLOOKUP(B257,正厂竞争者数据汇总!$D$2:$CL$243,25,FALSE)</f>
        <v>#N/A</v>
      </c>
      <c r="U257" s="466"/>
      <c r="V257" s="466"/>
      <c r="W257" s="421"/>
      <c r="X257" s="421"/>
    </row>
    <row r="258" s="408" customFormat="1" spans="1:24">
      <c r="A258" s="428" t="s">
        <v>367</v>
      </c>
      <c r="B258" s="438" t="s">
        <v>626</v>
      </c>
      <c r="C258" s="429" t="e">
        <f>VLOOKUP(B258,正厂竞争者数据汇总!D:H,2,FALSE)</f>
        <v>#N/A</v>
      </c>
      <c r="D258" s="421" t="e">
        <f>VLOOKUP(B258,正厂竞争者数据汇总!D:H,3,FALSE)</f>
        <v>#N/A</v>
      </c>
      <c r="E258" s="430" t="e">
        <f>VLOOKUP(B257,正厂竞争者数据汇总!D:H,4,FALSE)</f>
        <v>#N/A</v>
      </c>
      <c r="F258" s="430">
        <v>40496.4166666667</v>
      </c>
      <c r="G258" s="430">
        <v>41951.5</v>
      </c>
      <c r="H258" s="430">
        <v>38912.1666666667</v>
      </c>
      <c r="I258" s="453">
        <f t="shared" si="43"/>
        <v>-0.0346848940641765</v>
      </c>
      <c r="J258" s="451">
        <v>0.11649546790134</v>
      </c>
      <c r="K258" s="451">
        <v>0.122808031644757</v>
      </c>
      <c r="L258" s="451">
        <v>0.127881193118846</v>
      </c>
      <c r="M258" s="451">
        <v>0.128023780631244</v>
      </c>
      <c r="N258" s="451">
        <f t="shared" si="44"/>
        <v>-0.011528312729904</v>
      </c>
      <c r="O258" s="459"/>
      <c r="P258" s="430"/>
      <c r="Q258" s="471" t="e">
        <f>VLOOKUP(B258,正厂竞争者数据汇总!D:M,6,FALSE)</f>
        <v>#N/A</v>
      </c>
      <c r="R258" s="429" t="s">
        <v>180</v>
      </c>
      <c r="S258" s="421" t="s">
        <v>180</v>
      </c>
      <c r="T258" s="473" t="e">
        <f>VLOOKUP(B258,正厂竞争者数据汇总!$D$2:$CL$243,25,FALSE)</f>
        <v>#N/A</v>
      </c>
      <c r="U258" s="466"/>
      <c r="V258" s="466"/>
      <c r="W258" s="421"/>
      <c r="X258" s="421"/>
    </row>
    <row r="259" s="408" customFormat="1" spans="1:24">
      <c r="A259" s="428" t="s">
        <v>230</v>
      </c>
      <c r="B259" s="421" t="s">
        <v>373</v>
      </c>
      <c r="C259" s="429" t="str">
        <f>VLOOKUP(B259,正厂竞争者数据汇总!D:H,2,FALSE)</f>
        <v>Motor目录</v>
      </c>
      <c r="D259" s="421" t="str">
        <f>VLOOKUP(B259,正厂竞争者数据汇总!D:H,3,FALSE)</f>
        <v>MA</v>
      </c>
      <c r="E259" s="430">
        <f>VLOOKUP(B259,正厂竞争者数据汇总!D:H,4,FALSE)</f>
        <v>3939</v>
      </c>
      <c r="F259" s="430">
        <v>5440</v>
      </c>
      <c r="G259" s="430">
        <v>4481.33333333333</v>
      </c>
      <c r="H259" s="430">
        <v>4525.16666666667</v>
      </c>
      <c r="I259" s="453">
        <f t="shared" si="43"/>
        <v>0.213924427253794</v>
      </c>
      <c r="J259" s="451">
        <v>0.0156491709031859</v>
      </c>
      <c r="K259" s="451">
        <v>0.0123676719469306</v>
      </c>
      <c r="L259" s="451">
        <v>0.0136604949389157</v>
      </c>
      <c r="M259" s="451">
        <v>0.0148881184030655</v>
      </c>
      <c r="N259" s="451">
        <f t="shared" si="44"/>
        <v>0.000761052500120402</v>
      </c>
      <c r="O259" s="459"/>
      <c r="P259" s="430"/>
      <c r="Q259" s="471">
        <f>VLOOKUP(B259,正厂竞争者数据汇总!D:M,6,FALSE)</f>
        <v>0</v>
      </c>
      <c r="R259" s="429" t="s">
        <v>180</v>
      </c>
      <c r="S259" s="421" t="s">
        <v>180</v>
      </c>
      <c r="T259" s="473">
        <f>VLOOKUP(B259,正厂竞争者数据汇总!$D$2:$CL$243,25,FALSE)</f>
        <v>5939</v>
      </c>
      <c r="U259" s="466"/>
      <c r="V259" s="466"/>
      <c r="W259" s="421"/>
      <c r="X259" s="421"/>
    </row>
    <row r="260" s="410" customFormat="1" spans="1:24">
      <c r="A260" s="432"/>
      <c r="B260" s="435"/>
      <c r="C260" s="429"/>
      <c r="D260" s="421"/>
      <c r="E260" s="430"/>
      <c r="F260" s="436"/>
      <c r="G260" s="436"/>
      <c r="H260" s="436"/>
      <c r="I260" s="453"/>
      <c r="J260" s="457"/>
      <c r="K260" s="457"/>
      <c r="L260" s="457"/>
      <c r="M260" s="457"/>
      <c r="N260" s="451"/>
      <c r="O260" s="455"/>
      <c r="P260" s="436"/>
      <c r="Q260" s="471"/>
      <c r="R260" s="434"/>
      <c r="S260" s="435"/>
      <c r="T260" s="473"/>
      <c r="U260" s="466"/>
      <c r="V260" s="466"/>
      <c r="W260" s="435"/>
      <c r="X260" s="435"/>
    </row>
    <row r="261" s="408" customFormat="1" spans="1:24">
      <c r="A261" s="428"/>
      <c r="B261" s="421"/>
      <c r="C261" s="439"/>
      <c r="D261" s="421"/>
      <c r="E261" s="421"/>
      <c r="F261" s="496">
        <v>347622.25</v>
      </c>
      <c r="G261" s="496">
        <v>328050.583333333</v>
      </c>
      <c r="H261" s="496">
        <v>303944.833333333</v>
      </c>
      <c r="I261" s="453">
        <f>(F261/G261)-1</f>
        <v>0.0596605147529341</v>
      </c>
      <c r="J261" s="430"/>
      <c r="K261" s="430"/>
      <c r="L261" s="430"/>
      <c r="M261" s="430"/>
      <c r="N261" s="451"/>
      <c r="O261" s="459"/>
      <c r="P261" s="430"/>
      <c r="Q261" s="471"/>
      <c r="R261" s="429"/>
      <c r="S261" s="421"/>
      <c r="T261" s="473"/>
      <c r="U261" s="466"/>
      <c r="V261" s="466"/>
      <c r="W261" s="421"/>
      <c r="X261" s="421"/>
    </row>
    <row r="262" s="408" customFormat="1" spans="3:22">
      <c r="C262" s="411"/>
      <c r="F262" s="502"/>
      <c r="G262" s="502"/>
      <c r="H262" s="502"/>
      <c r="I262" s="502"/>
      <c r="J262" s="412"/>
      <c r="K262" s="412"/>
      <c r="L262" s="412"/>
      <c r="M262" s="412"/>
      <c r="N262" s="413"/>
      <c r="O262" s="414"/>
      <c r="P262" s="412"/>
      <c r="Q262" s="415"/>
      <c r="U262" s="416"/>
      <c r="V262" s="416"/>
    </row>
    <row r="263" s="408" customFormat="1" spans="3:22">
      <c r="C263" s="411"/>
      <c r="E263" s="412"/>
      <c r="F263" s="412"/>
      <c r="G263" s="412"/>
      <c r="H263" s="412"/>
      <c r="I263" s="412"/>
      <c r="J263" s="412"/>
      <c r="K263" s="412"/>
      <c r="L263" s="412"/>
      <c r="M263" s="412"/>
      <c r="N263" s="413"/>
      <c r="O263" s="414"/>
      <c r="P263" s="412"/>
      <c r="Q263" s="416"/>
      <c r="U263" s="416"/>
      <c r="V263" s="416"/>
    </row>
    <row r="264" s="408" customFormat="1" spans="3:22">
      <c r="C264" s="411"/>
      <c r="F264" s="412"/>
      <c r="G264" s="412"/>
      <c r="H264" s="412"/>
      <c r="I264" s="412"/>
      <c r="J264" s="412"/>
      <c r="K264" s="412"/>
      <c r="L264" s="412"/>
      <c r="M264" s="412"/>
      <c r="N264" s="413"/>
      <c r="O264" s="414"/>
      <c r="P264" s="412"/>
      <c r="Q264" s="415"/>
      <c r="U264" s="416"/>
      <c r="V264" s="416"/>
    </row>
    <row r="265" s="408" customFormat="1" spans="3:22">
      <c r="C265" s="411"/>
      <c r="F265" s="412"/>
      <c r="G265" s="412"/>
      <c r="H265" s="412"/>
      <c r="I265" s="412"/>
      <c r="J265" s="412"/>
      <c r="K265" s="412"/>
      <c r="L265" s="412"/>
      <c r="M265" s="412"/>
      <c r="N265" s="413"/>
      <c r="O265" s="414"/>
      <c r="P265" s="412"/>
      <c r="Q265" s="415"/>
      <c r="U265" s="416"/>
      <c r="V265" s="416"/>
    </row>
    <row r="266" s="408" customFormat="1" spans="3:22">
      <c r="C266" s="411"/>
      <c r="F266" s="412"/>
      <c r="G266" s="412"/>
      <c r="H266" s="412"/>
      <c r="I266" s="412"/>
      <c r="J266" s="412"/>
      <c r="K266" s="412"/>
      <c r="L266" s="412"/>
      <c r="M266" s="412"/>
      <c r="N266" s="413"/>
      <c r="O266" s="414"/>
      <c r="P266" s="412"/>
      <c r="Q266" s="415"/>
      <c r="U266" s="416"/>
      <c r="V266" s="416"/>
    </row>
    <row r="267" s="408" customFormat="1" spans="3:22">
      <c r="C267" s="411"/>
      <c r="F267" s="412"/>
      <c r="G267" s="412"/>
      <c r="H267" s="412"/>
      <c r="I267" s="412"/>
      <c r="J267" s="412"/>
      <c r="K267" s="412"/>
      <c r="L267" s="412"/>
      <c r="M267" s="412"/>
      <c r="N267" s="413"/>
      <c r="O267" s="414"/>
      <c r="P267" s="412"/>
      <c r="Q267" s="415"/>
      <c r="U267" s="416"/>
      <c r="V267" s="416"/>
    </row>
    <row r="268" s="408" customFormat="1" spans="3:22">
      <c r="C268" s="411"/>
      <c r="F268" s="412"/>
      <c r="G268" s="412"/>
      <c r="H268" s="412"/>
      <c r="I268" s="412"/>
      <c r="J268" s="412"/>
      <c r="K268" s="412"/>
      <c r="L268" s="412"/>
      <c r="M268" s="412"/>
      <c r="N268" s="413"/>
      <c r="O268" s="414"/>
      <c r="P268" s="412"/>
      <c r="Q268" s="415"/>
      <c r="U268" s="416"/>
      <c r="V268" s="416"/>
    </row>
    <row r="269" s="408" customFormat="1" spans="3:22">
      <c r="C269" s="411"/>
      <c r="F269" s="412"/>
      <c r="G269" s="412"/>
      <c r="H269" s="412"/>
      <c r="I269" s="412"/>
      <c r="J269" s="412"/>
      <c r="K269" s="412"/>
      <c r="L269" s="412"/>
      <c r="M269" s="412"/>
      <c r="N269" s="413"/>
      <c r="O269" s="414"/>
      <c r="P269" s="412"/>
      <c r="Q269" s="415"/>
      <c r="U269" s="416"/>
      <c r="V269" s="416"/>
    </row>
    <row r="270" s="408" customFormat="1" spans="3:22">
      <c r="C270" s="411"/>
      <c r="F270" s="412"/>
      <c r="G270" s="412"/>
      <c r="H270" s="412"/>
      <c r="I270" s="412"/>
      <c r="J270" s="412"/>
      <c r="K270" s="412"/>
      <c r="L270" s="412"/>
      <c r="M270" s="412"/>
      <c r="N270" s="413"/>
      <c r="O270" s="414"/>
      <c r="P270" s="412"/>
      <c r="Q270" s="415"/>
      <c r="U270" s="416"/>
      <c r="V270" s="416"/>
    </row>
    <row r="271" s="408" customFormat="1" spans="3:22">
      <c r="C271" s="411"/>
      <c r="F271" s="412"/>
      <c r="G271" s="412"/>
      <c r="H271" s="412"/>
      <c r="I271" s="412"/>
      <c r="J271" s="412"/>
      <c r="K271" s="412"/>
      <c r="L271" s="412"/>
      <c r="M271" s="412"/>
      <c r="N271" s="413"/>
      <c r="O271" s="414"/>
      <c r="P271" s="412"/>
      <c r="Q271" s="415"/>
      <c r="U271" s="416"/>
      <c r="V271" s="416"/>
    </row>
    <row r="272" s="408" customFormat="1" spans="3:22">
      <c r="C272" s="411"/>
      <c r="F272" s="412"/>
      <c r="G272" s="412"/>
      <c r="H272" s="412"/>
      <c r="I272" s="412"/>
      <c r="J272" s="412"/>
      <c r="K272" s="412"/>
      <c r="L272" s="412"/>
      <c r="M272" s="412"/>
      <c r="N272" s="413"/>
      <c r="O272" s="414"/>
      <c r="P272" s="412"/>
      <c r="Q272" s="415"/>
      <c r="U272" s="416"/>
      <c r="V272" s="416"/>
    </row>
    <row r="273" s="408" customFormat="1" spans="3:22">
      <c r="C273" s="411"/>
      <c r="F273" s="412"/>
      <c r="G273" s="412"/>
      <c r="H273" s="412"/>
      <c r="I273" s="412"/>
      <c r="J273" s="412"/>
      <c r="K273" s="412"/>
      <c r="L273" s="412"/>
      <c r="M273" s="412"/>
      <c r="N273" s="413"/>
      <c r="O273" s="414"/>
      <c r="P273" s="412"/>
      <c r="Q273" s="415"/>
      <c r="U273" s="416"/>
      <c r="V273" s="416"/>
    </row>
    <row r="274" s="411" customFormat="1" spans="1:24">
      <c r="A274" s="408"/>
      <c r="B274" s="503"/>
      <c r="D274" s="408"/>
      <c r="E274" s="408"/>
      <c r="F274" s="412"/>
      <c r="G274" s="412"/>
      <c r="H274" s="412"/>
      <c r="I274" s="412"/>
      <c r="J274" s="412"/>
      <c r="K274" s="412"/>
      <c r="L274" s="412"/>
      <c r="M274" s="412"/>
      <c r="N274" s="413"/>
      <c r="O274" s="414"/>
      <c r="P274" s="412"/>
      <c r="Q274" s="415"/>
      <c r="R274" s="408"/>
      <c r="S274" s="408"/>
      <c r="T274" s="408"/>
      <c r="U274" s="416"/>
      <c r="V274" s="416"/>
      <c r="W274" s="408"/>
      <c r="X274" s="408"/>
    </row>
  </sheetData>
  <mergeCells count="19">
    <mergeCell ref="V1:X1"/>
    <mergeCell ref="V22:X22"/>
    <mergeCell ref="V42:X42"/>
    <mergeCell ref="V59:X59"/>
    <mergeCell ref="V79:X79"/>
    <mergeCell ref="V101:X101"/>
    <mergeCell ref="V114:X114"/>
    <mergeCell ref="V129:X129"/>
    <mergeCell ref="V142:X142"/>
    <mergeCell ref="V158:X158"/>
    <mergeCell ref="V170:X170"/>
    <mergeCell ref="V184:X184"/>
    <mergeCell ref="V196:X196"/>
    <mergeCell ref="V209:X209"/>
    <mergeCell ref="V218:X218"/>
    <mergeCell ref="V228:X228"/>
    <mergeCell ref="V238:X238"/>
    <mergeCell ref="V245:X245"/>
    <mergeCell ref="V254:X254"/>
  </mergeCells>
  <conditionalFormatting sqref="B10">
    <cfRule type="duplicateValues" dxfId="0" priority="7"/>
  </conditionalFormatting>
  <conditionalFormatting sqref="B17">
    <cfRule type="duplicateValues" dxfId="0" priority="6"/>
  </conditionalFormatting>
  <conditionalFormatting sqref="B27">
    <cfRule type="duplicateValues" dxfId="0" priority="32"/>
  </conditionalFormatting>
  <conditionalFormatting sqref="I3:I20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{c252bbf8-93c7-4346-acf1-ad2325bdc417}</x14:id>
        </ext>
      </extLst>
    </cfRule>
  </conditionalFormatting>
  <conditionalFormatting sqref="I32:I3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{c5700e40-a909-418a-9654-ab0b15f93387}</x14:id>
        </ext>
      </extLst>
    </cfRule>
  </conditionalFormatting>
  <conditionalFormatting sqref="I44:I57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{01679ff4-f142-405e-85d2-44291029777e}</x14:id>
        </ext>
      </extLst>
    </cfRule>
  </conditionalFormatting>
  <conditionalFormatting sqref="I61:I7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{774ae492-091a-4ad5-85a6-15992e42f709}</x14:id>
        </ext>
      </extLst>
    </cfRule>
  </conditionalFormatting>
  <conditionalFormatting sqref="I103:I11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{e04bccd1-7483-4df1-80cd-17b8aa7ffdb5}</x14:id>
        </ext>
      </extLst>
    </cfRule>
  </conditionalFormatting>
  <conditionalFormatting sqref="I116:I127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{fc5f527d-d4ea-457b-a123-36183686e1c5}</x14:id>
        </ext>
      </extLst>
    </cfRule>
  </conditionalFormatting>
  <conditionalFormatting sqref="I144:I15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{14d43249-1e17-497a-b9f7-4a65f7658205}</x14:id>
        </ext>
      </extLst>
    </cfRule>
  </conditionalFormatting>
  <conditionalFormatting sqref="I160:I168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{155eeedd-68cd-4e6f-8683-89cc59fab03a}</x14:id>
        </ext>
      </extLst>
    </cfRule>
  </conditionalFormatting>
  <conditionalFormatting sqref="I172:I18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{041a910c-124f-4731-b56f-b7b05d152104}</x14:id>
        </ext>
      </extLst>
    </cfRule>
  </conditionalFormatting>
  <conditionalFormatting sqref="I186:I194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{c16965f1-d5f6-4dd9-826b-1236cd26000f}</x14:id>
        </ext>
      </extLst>
    </cfRule>
  </conditionalFormatting>
  <conditionalFormatting sqref="N3:N19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{f7ab22ac-6aa9-4406-b434-7e6af8308fab}</x14:id>
        </ext>
      </extLst>
    </cfRule>
  </conditionalFormatting>
  <conditionalFormatting sqref="N103:N10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{2597ee64-c642-404d-b544-2489cd06de08}</x14:id>
        </ext>
      </extLst>
    </cfRule>
  </conditionalFormatting>
  <conditionalFormatting sqref="N116:N123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{e98feb07-e1d4-4e4a-adb9-1057cc77485c}</x14:id>
        </ext>
      </extLst>
    </cfRule>
  </conditionalFormatting>
  <conditionalFormatting sqref="N131:N137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{97a6f997-0de5-427c-9ad3-8f0a7cf9b6b0}</x14:id>
        </ext>
      </extLst>
    </cfRule>
  </conditionalFormatting>
  <conditionalFormatting sqref="N144:N153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{725d0e39-a9d5-43b5-b444-6a41eff1a9e3}</x14:id>
        </ext>
      </extLst>
    </cfRule>
  </conditionalFormatting>
  <conditionalFormatting sqref="N160:N16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{3d7c89ba-f0dd-4dc7-bd30-5b8e12dc1ab2}</x14:id>
        </ext>
      </extLst>
    </cfRule>
  </conditionalFormatting>
  <conditionalFormatting sqref="N172:N17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{dabf3b11-519d-4d02-bc7b-7d5f04843919}</x14:id>
        </ext>
      </extLst>
    </cfRule>
  </conditionalFormatting>
  <conditionalFormatting sqref="N186:N191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{8731e451-5893-4076-8109-ffa13e196be5}</x14:id>
        </ext>
      </extLst>
    </cfRule>
  </conditionalFormatting>
  <conditionalFormatting sqref="N198:N204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{c3a1d7e0-d05f-40bd-8e51-66bcad6f5205}</x14:id>
        </ext>
      </extLst>
    </cfRule>
  </conditionalFormatting>
  <conditionalFormatting sqref="B24 B36:B38 B28:B31 B26">
    <cfRule type="duplicateValues" dxfId="0" priority="33"/>
  </conditionalFormatting>
  <conditionalFormatting sqref="I24:I31 I37:I4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{d8e2a254-0158-4bfd-8965-17e81faccf15}</x14:id>
        </ext>
      </extLst>
    </cfRule>
  </conditionalFormatting>
  <conditionalFormatting sqref="N24:N31 N36:N38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{267f618e-bc84-4d9c-a104-a967f82faa2c}</x14:id>
        </ext>
      </extLst>
    </cfRule>
  </conditionalFormatting>
  <conditionalFormatting sqref="N44:N51 N53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{4269c639-45b8-48cc-9732-830a51d02ea7}</x14:id>
        </ext>
      </extLst>
    </cfRule>
  </conditionalFormatting>
  <conditionalFormatting sqref="N54 N5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{0794ffb4-e31f-4f8a-9390-82f47c76a837}</x14:id>
        </ext>
      </extLst>
    </cfRule>
  </conditionalFormatting>
  <conditionalFormatting sqref="N61:N72 N75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{20e66ca8-5c3b-4862-9fa7-72d28f534004}</x14:id>
        </ext>
      </extLst>
    </cfRule>
  </conditionalFormatting>
  <conditionalFormatting sqref="I81:I94 I96:I9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{84bcb29d-cd36-4c37-8736-9fdbd7ebf23e}</x14:id>
        </ext>
      </extLst>
    </cfRule>
  </conditionalFormatting>
  <conditionalFormatting sqref="N81:N89 N92:N93 N96:N97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{00531a66-ab09-4411-8b16-1999dcdff151}</x14:id>
        </ext>
      </extLst>
    </cfRule>
  </conditionalFormatting>
  <conditionalFormatting sqref="N108 N11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{f86f3ee6-2658-4a3f-be88-578b99e4a7a7}</x14:id>
        </ext>
      </extLst>
    </cfRule>
  </conditionalFormatting>
  <conditionalFormatting sqref="I131:I137 I139:I140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{b45eda2e-043b-48cb-91ed-9930bce34c36}</x14:id>
        </ext>
      </extLst>
    </cfRule>
  </conditionalFormatting>
  <conditionalFormatting sqref="I198:I204 I206:I20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{d2d50495-10e5-4cd1-a8d0-c2c4a82e839a}</x14:id>
        </ext>
      </extLst>
    </cfRule>
  </conditionalFormatting>
  <hyperlinks>
    <hyperlink ref="B106" r:id="rId1" display="www.nissanparts.cc" tooltip="http://www.nissanparts.cc"/>
    <hyperlink ref="B134" r:id="rId2" display="www.subarupartsforyou.com"/>
    <hyperlink ref="B160" r:id="rId3" display="www.kiapartsnow.com"/>
    <hyperlink ref="B3" r:id="rId4" display="www.gmpartsonline.net" tooltip="http://www.gmpartsonline.net"/>
    <hyperlink ref="B4" r:id="rId5" display="www.gmpartsdirect.com"/>
    <hyperlink ref="B13" r:id="rId6" display="www.tascaparts.com" tooltip="http://www.tascaparts.com"/>
    <hyperlink ref="B62" r:id="rId6" display="www.tascaparts.com" tooltip="http://www.tascaparts.com"/>
    <hyperlink ref="B200" r:id="rId7" display="www.infinitiwholesaledirect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52bbf8-93c7-4346-acf1-ad2325bdc4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I3:I20</xm:sqref>
        </x14:conditionalFormatting>
        <x14:conditionalFormatting xmlns:xm="http://schemas.microsoft.com/office/excel/2006/main">
          <x14:cfRule type="dataBar" id="{c5700e40-a909-418a-9654-ab0b15f9338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I32:I36</xm:sqref>
        </x14:conditionalFormatting>
        <x14:conditionalFormatting xmlns:xm="http://schemas.microsoft.com/office/excel/2006/main">
          <x14:cfRule type="dataBar" id="{01679ff4-f142-405e-85d2-4429102977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I44:I57</xm:sqref>
        </x14:conditionalFormatting>
        <x14:conditionalFormatting xmlns:xm="http://schemas.microsoft.com/office/excel/2006/main">
          <x14:cfRule type="dataBar" id="{774ae492-091a-4ad5-85a6-15992e42f7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I61:I77</xm:sqref>
        </x14:conditionalFormatting>
        <x14:conditionalFormatting xmlns:xm="http://schemas.microsoft.com/office/excel/2006/main">
          <x14:cfRule type="dataBar" id="{e04bccd1-7483-4df1-80cd-17b8aa7ffd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I103:I112</xm:sqref>
        </x14:conditionalFormatting>
        <x14:conditionalFormatting xmlns:xm="http://schemas.microsoft.com/office/excel/2006/main">
          <x14:cfRule type="dataBar" id="{fc5f527d-d4ea-457b-a123-36183686e1c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I116:I127</xm:sqref>
        </x14:conditionalFormatting>
        <x14:conditionalFormatting xmlns:xm="http://schemas.microsoft.com/office/excel/2006/main">
          <x14:cfRule type="dataBar" id="{14d43249-1e17-497a-b9f7-4a65f76582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I144:I156</xm:sqref>
        </x14:conditionalFormatting>
        <x14:conditionalFormatting xmlns:xm="http://schemas.microsoft.com/office/excel/2006/main">
          <x14:cfRule type="dataBar" id="{155eeedd-68cd-4e6f-8683-89cc59fab0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I160:I168</xm:sqref>
        </x14:conditionalFormatting>
        <x14:conditionalFormatting xmlns:xm="http://schemas.microsoft.com/office/excel/2006/main">
          <x14:cfRule type="dataBar" id="{041a910c-124f-4731-b56f-b7b05d1521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I172:I182</xm:sqref>
        </x14:conditionalFormatting>
        <x14:conditionalFormatting xmlns:xm="http://schemas.microsoft.com/office/excel/2006/main">
          <x14:cfRule type="dataBar" id="{c16965f1-d5f6-4dd9-826b-1236cd2600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I186:I194</xm:sqref>
        </x14:conditionalFormatting>
        <x14:conditionalFormatting xmlns:xm="http://schemas.microsoft.com/office/excel/2006/main">
          <x14:cfRule type="dataBar" id="{f7ab22ac-6aa9-4406-b434-7e6af8308f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N3:N19</xm:sqref>
        </x14:conditionalFormatting>
        <x14:conditionalFormatting xmlns:xm="http://schemas.microsoft.com/office/excel/2006/main">
          <x14:cfRule type="dataBar" id="{2597ee64-c642-404d-b544-2489cd06de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N103:N107</xm:sqref>
        </x14:conditionalFormatting>
        <x14:conditionalFormatting xmlns:xm="http://schemas.microsoft.com/office/excel/2006/main">
          <x14:cfRule type="dataBar" id="{e98feb07-e1d4-4e4a-adb9-1057cc7748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N116:N123</xm:sqref>
        </x14:conditionalFormatting>
        <x14:conditionalFormatting xmlns:xm="http://schemas.microsoft.com/office/excel/2006/main">
          <x14:cfRule type="dataBar" id="{97a6f997-0de5-427c-9ad3-8f0a7cf9b6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N131:N137</xm:sqref>
        </x14:conditionalFormatting>
        <x14:conditionalFormatting xmlns:xm="http://schemas.microsoft.com/office/excel/2006/main">
          <x14:cfRule type="dataBar" id="{725d0e39-a9d5-43b5-b444-6a41eff1a9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N144:N153</xm:sqref>
        </x14:conditionalFormatting>
        <x14:conditionalFormatting xmlns:xm="http://schemas.microsoft.com/office/excel/2006/main">
          <x14:cfRule type="dataBar" id="{3d7c89ba-f0dd-4dc7-bd30-5b8e12dc1a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N160:N163</xm:sqref>
        </x14:conditionalFormatting>
        <x14:conditionalFormatting xmlns:xm="http://schemas.microsoft.com/office/excel/2006/main">
          <x14:cfRule type="dataBar" id="{dabf3b11-519d-4d02-bc7b-7d5f048439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N172:N179</xm:sqref>
        </x14:conditionalFormatting>
        <x14:conditionalFormatting xmlns:xm="http://schemas.microsoft.com/office/excel/2006/main">
          <x14:cfRule type="dataBar" id="{8731e451-5893-4076-8109-ffa13e196b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N186:N191</xm:sqref>
        </x14:conditionalFormatting>
        <x14:conditionalFormatting xmlns:xm="http://schemas.microsoft.com/office/excel/2006/main">
          <x14:cfRule type="dataBar" id="{c3a1d7e0-d05f-40bd-8e51-66bcad6f52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N198:N204</xm:sqref>
        </x14:conditionalFormatting>
        <x14:conditionalFormatting xmlns:xm="http://schemas.microsoft.com/office/excel/2006/main">
          <x14:cfRule type="dataBar" id="{d8e2a254-0158-4bfd-8965-17e81faccf1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I24:I31 I37:I40</xm:sqref>
        </x14:conditionalFormatting>
        <x14:conditionalFormatting xmlns:xm="http://schemas.microsoft.com/office/excel/2006/main">
          <x14:cfRule type="dataBar" id="{267f618e-bc84-4d9c-a104-a967f82faa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N24:N31 N36:N38</xm:sqref>
        </x14:conditionalFormatting>
        <x14:conditionalFormatting xmlns:xm="http://schemas.microsoft.com/office/excel/2006/main">
          <x14:cfRule type="dataBar" id="{4269c639-45b8-48cc-9732-830a51d02e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N44:N51 N53</xm:sqref>
        </x14:conditionalFormatting>
        <x14:conditionalFormatting xmlns:xm="http://schemas.microsoft.com/office/excel/2006/main">
          <x14:cfRule type="dataBar" id="{0794ffb4-e31f-4f8a-9390-82f47c76a8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N54 N52</xm:sqref>
        </x14:conditionalFormatting>
        <x14:conditionalFormatting xmlns:xm="http://schemas.microsoft.com/office/excel/2006/main">
          <x14:cfRule type="dataBar" id="{20e66ca8-5c3b-4862-9fa7-72d28f5340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N61:N72 N75</xm:sqref>
        </x14:conditionalFormatting>
        <x14:conditionalFormatting xmlns:xm="http://schemas.microsoft.com/office/excel/2006/main">
          <x14:cfRule type="dataBar" id="{84bcb29d-cd36-4c37-8736-9fdbd7ebf2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I81:I94 I96:I99</xm:sqref>
        </x14:conditionalFormatting>
        <x14:conditionalFormatting xmlns:xm="http://schemas.microsoft.com/office/excel/2006/main">
          <x14:cfRule type="dataBar" id="{00531a66-ab09-4411-8b16-1999dcdff1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N81:N89 N92:N93 N96:N97</xm:sqref>
        </x14:conditionalFormatting>
        <x14:conditionalFormatting xmlns:xm="http://schemas.microsoft.com/office/excel/2006/main">
          <x14:cfRule type="dataBar" id="{f86f3ee6-2658-4a3f-be88-578b99e4a7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N108 N110</xm:sqref>
        </x14:conditionalFormatting>
        <x14:conditionalFormatting xmlns:xm="http://schemas.microsoft.com/office/excel/2006/main">
          <x14:cfRule type="dataBar" id="{b45eda2e-043b-48cb-91ed-9930bce34c3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I131:I137 I139:I140</xm:sqref>
        </x14:conditionalFormatting>
        <x14:conditionalFormatting xmlns:xm="http://schemas.microsoft.com/office/excel/2006/main">
          <x14:cfRule type="dataBar" id="{d2d50495-10e5-4cd1-a8d0-c2c4a82e83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I198:I204 I206:I207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N466"/>
  <sheetViews>
    <sheetView workbookViewId="0">
      <selection activeCell="D451" sqref="D451"/>
    </sheetView>
  </sheetViews>
  <sheetFormatPr defaultColWidth="9" defaultRowHeight="14.4"/>
  <cols>
    <col min="1" max="1" width="14.7777777777778" style="255" customWidth="1"/>
    <col min="2" max="2" width="11.7777777777778" style="255" customWidth="1"/>
    <col min="3" max="3" width="13.8888888888889" style="255" customWidth="1"/>
    <col min="4" max="4" width="37.7777777777778" style="255" customWidth="1"/>
    <col min="5" max="5" width="15.5555555555556" style="255" customWidth="1"/>
    <col min="6" max="6" width="10.7777777777778" style="270" customWidth="1"/>
    <col min="7" max="7" width="12.3333333333333" style="270" hidden="1" customWidth="1"/>
    <col min="8" max="8" width="11.7777777777778" style="255" customWidth="1"/>
    <col min="9" max="9" width="37.4444444444444" style="286" customWidth="1"/>
    <col min="10" max="29" width="13.6666666666667" style="255" hidden="1" customWidth="1"/>
    <col min="30" max="41" width="12.8888888888889" style="255" hidden="1" customWidth="1"/>
    <col min="42" max="45" width="11.7777777777778" style="255" hidden="1" customWidth="1"/>
    <col min="46" max="48" width="11.7777777777778" style="255" customWidth="1"/>
    <col min="49" max="49" width="12.3333333333333" style="255" customWidth="1"/>
    <col min="50" max="51" width="13.6666666666667" style="337" hidden="1" customWidth="1"/>
    <col min="52" max="69" width="13.6666666666667" style="338" hidden="1" customWidth="1"/>
    <col min="70" max="85" width="13.6666666666667" style="255" hidden="1" customWidth="1"/>
    <col min="86" max="89" width="13.6666666666667" style="255" customWidth="1"/>
    <col min="90" max="90" width="8.22222222222222" style="271" hidden="1" customWidth="1"/>
    <col min="91" max="91" width="12.462962962963" style="255" customWidth="1"/>
    <col min="92" max="92" width="9.88888888888889" style="255"/>
    <col min="93" max="16384" width="9" style="255"/>
  </cols>
  <sheetData>
    <row r="1" s="268" customFormat="1" ht="64.8" spans="1:92">
      <c r="A1" s="339" t="s">
        <v>636</v>
      </c>
      <c r="B1" s="339" t="s">
        <v>637</v>
      </c>
      <c r="C1" s="339" t="s">
        <v>638</v>
      </c>
      <c r="D1" s="339" t="s">
        <v>207</v>
      </c>
      <c r="E1" s="339" t="s">
        <v>639</v>
      </c>
      <c r="F1" s="340" t="s">
        <v>640</v>
      </c>
      <c r="G1" s="340" t="s">
        <v>210</v>
      </c>
      <c r="H1" s="341" t="s">
        <v>641</v>
      </c>
      <c r="I1" s="350" t="s">
        <v>137</v>
      </c>
      <c r="J1" s="281" t="s">
        <v>642</v>
      </c>
      <c r="K1" s="281" t="s">
        <v>643</v>
      </c>
      <c r="L1" s="281" t="s">
        <v>644</v>
      </c>
      <c r="M1" s="281" t="s">
        <v>645</v>
      </c>
      <c r="N1" s="281" t="s">
        <v>646</v>
      </c>
      <c r="O1" s="281" t="s">
        <v>647</v>
      </c>
      <c r="P1" s="281" t="s">
        <v>648</v>
      </c>
      <c r="Q1" s="281" t="s">
        <v>649</v>
      </c>
      <c r="R1" s="281" t="s">
        <v>650</v>
      </c>
      <c r="S1" s="281" t="s">
        <v>651</v>
      </c>
      <c r="T1" s="281" t="s">
        <v>652</v>
      </c>
      <c r="U1" s="281" t="s">
        <v>653</v>
      </c>
      <c r="V1" s="281" t="s">
        <v>654</v>
      </c>
      <c r="W1" s="281" t="s">
        <v>643</v>
      </c>
      <c r="X1" s="281" t="s">
        <v>644</v>
      </c>
      <c r="Y1" s="281" t="s">
        <v>645</v>
      </c>
      <c r="Z1" s="281" t="s">
        <v>646</v>
      </c>
      <c r="AA1" s="281" t="s">
        <v>647</v>
      </c>
      <c r="AB1" s="281" t="s">
        <v>648</v>
      </c>
      <c r="AC1" s="281" t="s">
        <v>649</v>
      </c>
      <c r="AD1" s="281" t="s">
        <v>650</v>
      </c>
      <c r="AE1" s="281" t="s">
        <v>651</v>
      </c>
      <c r="AF1" s="281" t="s">
        <v>652</v>
      </c>
      <c r="AG1" s="281" t="s">
        <v>653</v>
      </c>
      <c r="AH1" s="281" t="s">
        <v>654</v>
      </c>
      <c r="AI1" s="281" t="s">
        <v>643</v>
      </c>
      <c r="AJ1" s="281" t="s">
        <v>644</v>
      </c>
      <c r="AK1" s="281" t="s">
        <v>645</v>
      </c>
      <c r="AL1" s="281" t="s">
        <v>646</v>
      </c>
      <c r="AM1" s="281" t="s">
        <v>647</v>
      </c>
      <c r="AN1" s="281" t="s">
        <v>648</v>
      </c>
      <c r="AO1" s="281" t="s">
        <v>649</v>
      </c>
      <c r="AP1" s="281" t="s">
        <v>650</v>
      </c>
      <c r="AQ1" s="281" t="s">
        <v>651</v>
      </c>
      <c r="AR1" s="281" t="s">
        <v>652</v>
      </c>
      <c r="AS1" s="281" t="s">
        <v>653</v>
      </c>
      <c r="AT1" s="281" t="s">
        <v>654</v>
      </c>
      <c r="AU1" s="281" t="s">
        <v>655</v>
      </c>
      <c r="AV1" s="281" t="s">
        <v>644</v>
      </c>
      <c r="AW1" s="282" t="s">
        <v>656</v>
      </c>
      <c r="AX1" s="293" t="s">
        <v>657</v>
      </c>
      <c r="AY1" s="293" t="s">
        <v>658</v>
      </c>
      <c r="AZ1" s="293" t="s">
        <v>659</v>
      </c>
      <c r="BA1" s="293" t="s">
        <v>660</v>
      </c>
      <c r="BB1" s="293" t="s">
        <v>661</v>
      </c>
      <c r="BC1" s="293" t="s">
        <v>662</v>
      </c>
      <c r="BD1" s="293" t="s">
        <v>663</v>
      </c>
      <c r="BE1" s="293" t="s">
        <v>664</v>
      </c>
      <c r="BF1" s="293" t="s">
        <v>665</v>
      </c>
      <c r="BG1" s="293" t="s">
        <v>666</v>
      </c>
      <c r="BH1" s="293" t="s">
        <v>667</v>
      </c>
      <c r="BI1" s="293" t="s">
        <v>668</v>
      </c>
      <c r="BJ1" s="293" t="s">
        <v>657</v>
      </c>
      <c r="BK1" s="293" t="s">
        <v>658</v>
      </c>
      <c r="BL1" s="293" t="s">
        <v>659</v>
      </c>
      <c r="BM1" s="293" t="s">
        <v>660</v>
      </c>
      <c r="BN1" s="293" t="s">
        <v>661</v>
      </c>
      <c r="BO1" s="293" t="s">
        <v>662</v>
      </c>
      <c r="BP1" s="293" t="s">
        <v>663</v>
      </c>
      <c r="BQ1" s="293" t="s">
        <v>664</v>
      </c>
      <c r="BR1" s="293" t="s">
        <v>665</v>
      </c>
      <c r="BS1" s="293" t="s">
        <v>666</v>
      </c>
      <c r="BT1" s="293" t="s">
        <v>667</v>
      </c>
      <c r="BU1" s="293" t="s">
        <v>668</v>
      </c>
      <c r="BV1" s="293" t="s">
        <v>657</v>
      </c>
      <c r="BW1" s="293" t="s">
        <v>658</v>
      </c>
      <c r="BX1" s="293" t="s">
        <v>659</v>
      </c>
      <c r="BY1" s="293" t="s">
        <v>660</v>
      </c>
      <c r="BZ1" s="293" t="s">
        <v>661</v>
      </c>
      <c r="CA1" s="293" t="s">
        <v>662</v>
      </c>
      <c r="CB1" s="293" t="s">
        <v>663</v>
      </c>
      <c r="CC1" s="293" t="s">
        <v>664</v>
      </c>
      <c r="CD1" s="293" t="s">
        <v>665</v>
      </c>
      <c r="CE1" s="293" t="s">
        <v>666</v>
      </c>
      <c r="CF1" s="293" t="s">
        <v>667</v>
      </c>
      <c r="CG1" s="293" t="s">
        <v>668</v>
      </c>
      <c r="CH1" s="293" t="s">
        <v>657</v>
      </c>
      <c r="CI1" s="293" t="s">
        <v>669</v>
      </c>
      <c r="CJ1" s="293" t="s">
        <v>659</v>
      </c>
      <c r="CK1" s="282" t="s">
        <v>656</v>
      </c>
      <c r="CL1" s="368" t="s">
        <v>205</v>
      </c>
      <c r="CM1" s="369" t="s">
        <v>670</v>
      </c>
      <c r="CN1" s="369" t="s">
        <v>671</v>
      </c>
    </row>
    <row r="2" ht="31.2" spans="1:92">
      <c r="A2" s="258" t="s">
        <v>174</v>
      </c>
      <c r="B2" s="258" t="s">
        <v>672</v>
      </c>
      <c r="C2" s="258" t="s">
        <v>672</v>
      </c>
      <c r="D2" s="342" t="s">
        <v>673</v>
      </c>
      <c r="E2" s="258" t="s">
        <v>441</v>
      </c>
      <c r="F2" s="260" t="s">
        <v>234</v>
      </c>
      <c r="G2" s="343">
        <v>6238</v>
      </c>
      <c r="H2" s="283">
        <f t="shared" ref="H2:H6" si="0">(AW2+CK2)/2</f>
        <v>8385851.33333333</v>
      </c>
      <c r="I2" s="292" t="s">
        <v>674</v>
      </c>
      <c r="J2" s="351">
        <v>353025</v>
      </c>
      <c r="K2" s="351">
        <v>338530</v>
      </c>
      <c r="L2" s="351">
        <v>321472</v>
      </c>
      <c r="M2" s="351">
        <v>406122</v>
      </c>
      <c r="N2" s="352">
        <v>395118</v>
      </c>
      <c r="O2" s="353">
        <v>392506</v>
      </c>
      <c r="P2" s="353">
        <v>421108</v>
      </c>
      <c r="Q2" s="353">
        <v>430669</v>
      </c>
      <c r="R2" s="353">
        <v>389830</v>
      </c>
      <c r="S2" s="353">
        <v>357243</v>
      </c>
      <c r="T2" s="353">
        <v>339823</v>
      </c>
      <c r="U2" s="353" t="e">
        <f>VLOOKUP(D2,Mid!$A$2:$C$225,2,FALSE)</f>
        <v>#N/A</v>
      </c>
      <c r="V2" s="353">
        <v>339824</v>
      </c>
      <c r="W2" s="353">
        <v>344049</v>
      </c>
      <c r="X2" s="353">
        <v>297638</v>
      </c>
      <c r="Y2" s="353">
        <v>350605</v>
      </c>
      <c r="Z2" s="353">
        <v>330859</v>
      </c>
      <c r="AA2" s="353">
        <v>345656</v>
      </c>
      <c r="AB2" s="353">
        <v>374749</v>
      </c>
      <c r="AC2" s="353">
        <v>367494</v>
      </c>
      <c r="AD2" s="353">
        <v>282566</v>
      </c>
      <c r="AE2" s="353">
        <v>261909</v>
      </c>
      <c r="AF2" s="353">
        <v>242402</v>
      </c>
      <c r="AG2" s="353">
        <v>242202</v>
      </c>
      <c r="AH2" s="353">
        <v>237334</v>
      </c>
      <c r="AI2" s="353">
        <v>259174</v>
      </c>
      <c r="AJ2" s="283">
        <v>273921</v>
      </c>
      <c r="AK2" s="283" t="s">
        <v>675</v>
      </c>
      <c r="AL2" s="283">
        <v>253131</v>
      </c>
      <c r="AM2" s="283" t="s">
        <v>676</v>
      </c>
      <c r="AN2" s="283" t="s">
        <v>677</v>
      </c>
      <c r="AO2" s="283" t="s">
        <v>678</v>
      </c>
      <c r="AP2" s="283">
        <v>245810</v>
      </c>
      <c r="AQ2" s="283">
        <v>243965</v>
      </c>
      <c r="AR2" s="283" t="s">
        <v>679</v>
      </c>
      <c r="AS2" s="283" t="s">
        <v>680</v>
      </c>
      <c r="AT2" s="283" t="s">
        <v>681</v>
      </c>
      <c r="AU2" s="283" t="s">
        <v>682</v>
      </c>
      <c r="AV2" s="283">
        <v>208128</v>
      </c>
      <c r="AW2" s="283">
        <f>SUM(AV2*3+AU2*2+AT2*1)/6</f>
        <v>221702.666666667</v>
      </c>
      <c r="AX2" s="283">
        <v>0</v>
      </c>
      <c r="AY2" s="283">
        <v>0</v>
      </c>
      <c r="AZ2" s="283">
        <v>0</v>
      </c>
      <c r="BA2" s="283">
        <v>0</v>
      </c>
      <c r="BB2" s="283">
        <v>0</v>
      </c>
      <c r="BC2" s="283">
        <v>0</v>
      </c>
      <c r="BD2" s="283">
        <v>0</v>
      </c>
      <c r="BE2" s="283">
        <v>0</v>
      </c>
      <c r="BF2" s="283">
        <v>0</v>
      </c>
      <c r="BG2" s="283">
        <v>0</v>
      </c>
      <c r="BH2" s="283">
        <v>0</v>
      </c>
      <c r="BI2" s="283" t="e">
        <f>VLOOKUP(D2,Mid!$A$2:$C$225,3,FALSE)</f>
        <v>#N/A</v>
      </c>
      <c r="BJ2" s="283">
        <v>0</v>
      </c>
      <c r="BK2" s="283">
        <v>0</v>
      </c>
      <c r="BL2" s="283">
        <v>0</v>
      </c>
      <c r="BM2" s="283">
        <v>0</v>
      </c>
      <c r="BN2" s="283">
        <v>0</v>
      </c>
      <c r="BO2" s="283">
        <v>0</v>
      </c>
      <c r="BP2" s="283">
        <v>0</v>
      </c>
      <c r="BQ2" s="283">
        <v>0</v>
      </c>
      <c r="BR2" s="283">
        <v>14200000</v>
      </c>
      <c r="BS2" s="283">
        <v>13100000</v>
      </c>
      <c r="BT2" s="283">
        <v>12300000</v>
      </c>
      <c r="BU2" s="283">
        <v>10800000</v>
      </c>
      <c r="BV2" s="283">
        <v>9000000</v>
      </c>
      <c r="BW2" s="283">
        <v>10400000</v>
      </c>
      <c r="BX2" s="283">
        <v>12100000</v>
      </c>
      <c r="BY2" s="283">
        <v>12100000</v>
      </c>
      <c r="BZ2" s="283">
        <v>10600000</v>
      </c>
      <c r="CA2" s="283">
        <v>11600000</v>
      </c>
      <c r="CB2" s="283">
        <v>10700000</v>
      </c>
      <c r="CC2" s="283">
        <v>12300000</v>
      </c>
      <c r="CD2" s="283">
        <v>14900000</v>
      </c>
      <c r="CE2" s="283">
        <v>14900000</v>
      </c>
      <c r="CF2" s="283">
        <v>17000000</v>
      </c>
      <c r="CG2" s="283">
        <v>16400000</v>
      </c>
      <c r="CH2" s="283">
        <v>17800000</v>
      </c>
      <c r="CI2" s="283">
        <v>16000000</v>
      </c>
      <c r="CJ2" s="283">
        <v>16500000</v>
      </c>
      <c r="CK2" s="283">
        <f>SUM(CJ2*3+CI2*2+CH2*1)/6</f>
        <v>16550000</v>
      </c>
      <c r="CL2" s="370"/>
      <c r="CM2" s="371">
        <f>Summary!$D$13</f>
        <v>470607.104766667</v>
      </c>
      <c r="CN2" s="258">
        <f t="shared" ref="CN2:CN36" si="1">IF(_xlfn.IFNA(CM2,0),IF(AND(H2/CM2&gt;=0.05,B2&lt;&gt;"官网"),1,0),0)</f>
        <v>0</v>
      </c>
    </row>
    <row r="3" ht="15.6" spans="1:92">
      <c r="A3" s="344" t="s">
        <v>174</v>
      </c>
      <c r="B3" s="344" t="s">
        <v>683</v>
      </c>
      <c r="C3" s="344" t="s">
        <v>227</v>
      </c>
      <c r="D3" s="344" t="s">
        <v>175</v>
      </c>
      <c r="E3" s="344" t="s">
        <v>441</v>
      </c>
      <c r="F3" s="344" t="s">
        <v>49</v>
      </c>
      <c r="G3" s="345">
        <v>325311</v>
      </c>
      <c r="H3" s="345">
        <f t="shared" si="0"/>
        <v>209547.25</v>
      </c>
      <c r="I3" s="292"/>
      <c r="J3" s="351">
        <v>98912</v>
      </c>
      <c r="K3" s="351">
        <v>92487</v>
      </c>
      <c r="L3" s="351">
        <v>83831</v>
      </c>
      <c r="M3" s="351">
        <v>107575</v>
      </c>
      <c r="N3" s="352">
        <v>104020</v>
      </c>
      <c r="O3" s="353">
        <v>108085</v>
      </c>
      <c r="P3" s="353">
        <v>107177</v>
      </c>
      <c r="Q3" s="353">
        <v>113422</v>
      </c>
      <c r="R3" s="353">
        <v>126427</v>
      </c>
      <c r="S3" s="353">
        <v>132465</v>
      </c>
      <c r="T3" s="353">
        <v>130537</v>
      </c>
      <c r="U3" s="353" t="e">
        <f>VLOOKUP(D3,Mid!$A$2:$C$225,2,FALSE)</f>
        <v>#N/A</v>
      </c>
      <c r="V3" s="353">
        <v>156600</v>
      </c>
      <c r="W3" s="353">
        <v>110690</v>
      </c>
      <c r="X3" s="353">
        <v>116887</v>
      </c>
      <c r="Y3" s="353">
        <v>118183</v>
      </c>
      <c r="Z3" s="353">
        <v>125818</v>
      </c>
      <c r="AA3" s="353">
        <v>159487</v>
      </c>
      <c r="AB3" s="353">
        <v>164531</v>
      </c>
      <c r="AC3" s="353">
        <v>172885</v>
      </c>
      <c r="AD3" s="353">
        <v>170155</v>
      </c>
      <c r="AE3" s="353">
        <v>175366</v>
      </c>
      <c r="AF3" s="353">
        <v>168282</v>
      </c>
      <c r="AG3" s="353">
        <v>200349</v>
      </c>
      <c r="AH3" s="353">
        <v>154050</v>
      </c>
      <c r="AI3" s="353">
        <v>201388</v>
      </c>
      <c r="AJ3" s="283">
        <v>172891</v>
      </c>
      <c r="AK3" s="283" t="s">
        <v>684</v>
      </c>
      <c r="AL3" s="283">
        <v>240095</v>
      </c>
      <c r="AM3" s="283" t="s">
        <v>685</v>
      </c>
      <c r="AN3" s="283" t="s">
        <v>686</v>
      </c>
      <c r="AO3" s="283" t="s">
        <v>687</v>
      </c>
      <c r="AP3" s="283">
        <v>232998</v>
      </c>
      <c r="AQ3" s="283" t="s">
        <v>688</v>
      </c>
      <c r="AR3" s="283" t="s">
        <v>689</v>
      </c>
      <c r="AS3" s="283" t="s">
        <v>690</v>
      </c>
      <c r="AT3" s="283" t="s">
        <v>691</v>
      </c>
      <c r="AU3" s="283" t="s">
        <v>692</v>
      </c>
      <c r="AV3" s="283" t="s">
        <v>693</v>
      </c>
      <c r="AW3" s="283">
        <f t="shared" ref="AW3:AW66" si="2">SUM(AV3*3+AU3*2+AT3*1)/6</f>
        <v>229561.166666667</v>
      </c>
      <c r="AX3" s="283">
        <v>157900</v>
      </c>
      <c r="AY3" s="283">
        <v>109200</v>
      </c>
      <c r="AZ3" s="283">
        <v>128700</v>
      </c>
      <c r="BA3" s="283">
        <v>135700</v>
      </c>
      <c r="BB3" s="283">
        <v>97200</v>
      </c>
      <c r="BC3" s="283">
        <v>134300</v>
      </c>
      <c r="BD3" s="283">
        <v>131200</v>
      </c>
      <c r="BE3" s="283">
        <v>122700</v>
      </c>
      <c r="BF3" s="283">
        <v>245200</v>
      </c>
      <c r="BG3" s="283">
        <v>182100</v>
      </c>
      <c r="BH3" s="283">
        <v>214300</v>
      </c>
      <c r="BI3" s="283" t="e">
        <f>VLOOKUP(D3,Mid!$A$2:$C$225,3,FALSE)</f>
        <v>#N/A</v>
      </c>
      <c r="BJ3" s="283">
        <v>121900</v>
      </c>
      <c r="BK3" s="283">
        <v>161200</v>
      </c>
      <c r="BL3" s="283">
        <v>170800</v>
      </c>
      <c r="BM3" s="283">
        <v>187100</v>
      </c>
      <c r="BN3" s="283">
        <v>156200</v>
      </c>
      <c r="BO3" s="283">
        <v>194400</v>
      </c>
      <c r="BP3" s="283">
        <v>289000</v>
      </c>
      <c r="BQ3" s="283">
        <v>158800</v>
      </c>
      <c r="BR3" s="283">
        <v>217400</v>
      </c>
      <c r="BS3" s="283">
        <v>263900</v>
      </c>
      <c r="BT3" s="283">
        <v>210500</v>
      </c>
      <c r="BU3" s="283">
        <v>142800</v>
      </c>
      <c r="BV3" s="283">
        <v>239200</v>
      </c>
      <c r="BW3" s="283">
        <v>239200</v>
      </c>
      <c r="BX3" s="283">
        <v>147500</v>
      </c>
      <c r="BY3" s="283">
        <v>147500</v>
      </c>
      <c r="BZ3" s="283">
        <v>134000</v>
      </c>
      <c r="CA3" s="283">
        <v>365500</v>
      </c>
      <c r="CB3" s="283">
        <v>215000</v>
      </c>
      <c r="CC3" s="283">
        <v>271300</v>
      </c>
      <c r="CD3" s="283">
        <v>197000</v>
      </c>
      <c r="CE3" s="283">
        <v>134000</v>
      </c>
      <c r="CF3" s="283">
        <v>167300</v>
      </c>
      <c r="CG3" s="283">
        <v>201400</v>
      </c>
      <c r="CH3" s="283">
        <v>198900</v>
      </c>
      <c r="CI3" s="283">
        <v>111400</v>
      </c>
      <c r="CJ3" s="283">
        <v>238500</v>
      </c>
      <c r="CK3" s="283">
        <f t="shared" ref="CK3:CK66" si="3">SUM(CJ3*3+CI3*2+CH3*1)/6</f>
        <v>189533.333333333</v>
      </c>
      <c r="CL3" s="370"/>
      <c r="CM3" s="371">
        <f>Summary!$D$13</f>
        <v>470607.104766667</v>
      </c>
      <c r="CN3" s="258">
        <f t="shared" si="1"/>
        <v>1</v>
      </c>
    </row>
    <row r="4" ht="16.05" customHeight="1" spans="1:92">
      <c r="A4" s="258" t="s">
        <v>174</v>
      </c>
      <c r="B4" s="258" t="s">
        <v>694</v>
      </c>
      <c r="C4" s="258" t="s">
        <v>230</v>
      </c>
      <c r="D4" s="258" t="s">
        <v>320</v>
      </c>
      <c r="E4" s="258" t="s">
        <v>441</v>
      </c>
      <c r="F4" s="260" t="s">
        <v>58</v>
      </c>
      <c r="G4" s="343">
        <v>345760</v>
      </c>
      <c r="H4" s="283">
        <f t="shared" si="0"/>
        <v>53020.75</v>
      </c>
      <c r="I4" s="292"/>
      <c r="J4" s="351">
        <v>51868</v>
      </c>
      <c r="K4" s="351">
        <v>63841</v>
      </c>
      <c r="L4" s="351">
        <v>58753</v>
      </c>
      <c r="M4" s="351">
        <v>59107</v>
      </c>
      <c r="N4" s="352">
        <v>90753</v>
      </c>
      <c r="O4" s="353">
        <v>64833</v>
      </c>
      <c r="P4" s="353">
        <v>81998</v>
      </c>
      <c r="Q4" s="353">
        <v>152666</v>
      </c>
      <c r="R4" s="353">
        <v>113313</v>
      </c>
      <c r="S4" s="353">
        <v>66820</v>
      </c>
      <c r="T4" s="353">
        <v>48280</v>
      </c>
      <c r="U4" s="353" t="e">
        <f>VLOOKUP(D4,Mid!$A$2:$C$225,2,FALSE)</f>
        <v>#N/A</v>
      </c>
      <c r="V4" s="353">
        <v>53545</v>
      </c>
      <c r="W4" s="353">
        <v>68142</v>
      </c>
      <c r="X4" s="353">
        <v>95174</v>
      </c>
      <c r="Y4" s="353">
        <v>86277</v>
      </c>
      <c r="Z4" s="353">
        <v>116710</v>
      </c>
      <c r="AA4" s="353">
        <v>113312</v>
      </c>
      <c r="AB4" s="353">
        <v>105912</v>
      </c>
      <c r="AC4" s="353">
        <v>61833</v>
      </c>
      <c r="AD4" s="353">
        <v>51853</v>
      </c>
      <c r="AE4" s="353">
        <v>54471</v>
      </c>
      <c r="AF4" s="353">
        <v>58469</v>
      </c>
      <c r="AG4" s="353">
        <v>96186</v>
      </c>
      <c r="AH4" s="353">
        <v>65572</v>
      </c>
      <c r="AI4" s="353">
        <v>62798</v>
      </c>
      <c r="AJ4" s="353">
        <v>48274</v>
      </c>
      <c r="AK4" s="283" t="s">
        <v>695</v>
      </c>
      <c r="AL4" s="283">
        <v>62857</v>
      </c>
      <c r="AM4" s="283" t="s">
        <v>696</v>
      </c>
      <c r="AN4" s="283" t="s">
        <v>697</v>
      </c>
      <c r="AO4" s="283" t="s">
        <v>698</v>
      </c>
      <c r="AP4" s="283">
        <v>58362</v>
      </c>
      <c r="AQ4" s="283" t="s">
        <v>699</v>
      </c>
      <c r="AR4" s="283" t="s">
        <v>700</v>
      </c>
      <c r="AS4" s="283" t="s">
        <v>701</v>
      </c>
      <c r="AT4" s="283" t="s">
        <v>702</v>
      </c>
      <c r="AU4" s="283" t="s">
        <v>703</v>
      </c>
      <c r="AV4" s="283" t="s">
        <v>704</v>
      </c>
      <c r="AW4" s="283">
        <f t="shared" si="2"/>
        <v>38808.1666666667</v>
      </c>
      <c r="AX4" s="283">
        <v>53600</v>
      </c>
      <c r="AY4" s="283">
        <v>71500</v>
      </c>
      <c r="AZ4" s="283">
        <v>57200</v>
      </c>
      <c r="BA4" s="283">
        <v>62300</v>
      </c>
      <c r="BB4" s="283">
        <v>70500</v>
      </c>
      <c r="BC4" s="283">
        <v>64400</v>
      </c>
      <c r="BD4" s="283">
        <v>51100</v>
      </c>
      <c r="BE4" s="283">
        <v>63800</v>
      </c>
      <c r="BF4" s="283">
        <v>46300</v>
      </c>
      <c r="BG4" s="283">
        <v>37500</v>
      </c>
      <c r="BH4" s="283">
        <v>49600</v>
      </c>
      <c r="BI4" s="283" t="e">
        <f>VLOOKUP(D4,Mid!$A$2:$C$225,3,FALSE)</f>
        <v>#N/A</v>
      </c>
      <c r="BJ4" s="283">
        <v>41800</v>
      </c>
      <c r="BK4" s="283">
        <v>34800</v>
      </c>
      <c r="BL4" s="283">
        <v>46600</v>
      </c>
      <c r="BM4" s="283">
        <v>83700</v>
      </c>
      <c r="BN4" s="283">
        <v>73400</v>
      </c>
      <c r="BO4" s="283">
        <v>82400</v>
      </c>
      <c r="BP4" s="283">
        <v>67600</v>
      </c>
      <c r="BQ4" s="283">
        <v>85200</v>
      </c>
      <c r="BR4" s="283">
        <v>123300</v>
      </c>
      <c r="BS4" s="283">
        <v>209100</v>
      </c>
      <c r="BT4" s="283">
        <v>466400</v>
      </c>
      <c r="BU4" s="283">
        <v>90400</v>
      </c>
      <c r="BV4" s="283">
        <v>96000</v>
      </c>
      <c r="BW4" s="283">
        <v>67100</v>
      </c>
      <c r="BX4" s="283">
        <v>65300</v>
      </c>
      <c r="BY4" s="283">
        <v>65300</v>
      </c>
      <c r="BZ4" s="283">
        <v>68500</v>
      </c>
      <c r="CA4" s="283">
        <v>124584</v>
      </c>
      <c r="CB4" s="283">
        <v>131100</v>
      </c>
      <c r="CC4" s="283">
        <v>155500</v>
      </c>
      <c r="CD4" s="283">
        <v>69500</v>
      </c>
      <c r="CE4" s="283">
        <v>87300</v>
      </c>
      <c r="CF4" s="283">
        <v>17700</v>
      </c>
      <c r="CG4" s="283">
        <v>43295.5</v>
      </c>
      <c r="CH4" s="283">
        <v>56900</v>
      </c>
      <c r="CI4" s="283">
        <v>67800</v>
      </c>
      <c r="CJ4" s="283">
        <v>70300</v>
      </c>
      <c r="CK4" s="283">
        <f t="shared" si="3"/>
        <v>67233.3333333333</v>
      </c>
      <c r="CL4" s="370"/>
      <c r="CM4" s="371">
        <f>Summary!$D$13</f>
        <v>470607.104766667</v>
      </c>
      <c r="CN4" s="258">
        <f t="shared" si="1"/>
        <v>1</v>
      </c>
    </row>
    <row r="5" ht="109.2" spans="1:92">
      <c r="A5" s="258" t="s">
        <v>174</v>
      </c>
      <c r="B5" s="258" t="s">
        <v>694</v>
      </c>
      <c r="C5" s="258" t="s">
        <v>230</v>
      </c>
      <c r="D5" s="258" t="s">
        <v>319</v>
      </c>
      <c r="E5" s="258" t="s">
        <v>233</v>
      </c>
      <c r="F5" s="260" t="s">
        <v>234</v>
      </c>
      <c r="G5" s="346"/>
      <c r="H5" s="283">
        <f t="shared" si="0"/>
        <v>99307.6833333333</v>
      </c>
      <c r="I5" s="292" t="s">
        <v>705</v>
      </c>
      <c r="J5" s="354"/>
      <c r="K5" s="354"/>
      <c r="L5" s="354"/>
      <c r="M5" s="354"/>
      <c r="N5" s="355"/>
      <c r="O5" s="356"/>
      <c r="P5" s="356"/>
      <c r="Q5" s="356"/>
      <c r="R5" s="356"/>
      <c r="S5" s="356"/>
      <c r="T5" s="356"/>
      <c r="U5" s="356"/>
      <c r="V5" s="356"/>
      <c r="W5" s="356"/>
      <c r="X5" s="356"/>
      <c r="Y5" s="356"/>
      <c r="Z5" s="356"/>
      <c r="AA5" s="356"/>
      <c r="AB5" s="356"/>
      <c r="AC5" s="356"/>
      <c r="AD5" s="356"/>
      <c r="AE5" s="356"/>
      <c r="AF5" s="356"/>
      <c r="AG5" s="356">
        <v>71953</v>
      </c>
      <c r="AH5" s="356">
        <v>69210</v>
      </c>
      <c r="AI5" s="353">
        <v>81029</v>
      </c>
      <c r="AJ5" s="353">
        <v>56998</v>
      </c>
      <c r="AK5" s="283" t="s">
        <v>706</v>
      </c>
      <c r="AL5" s="283">
        <v>85789</v>
      </c>
      <c r="AM5" s="283" t="s">
        <v>707</v>
      </c>
      <c r="AN5" s="283">
        <f>153640*0.2473*2</f>
        <v>75990.344</v>
      </c>
      <c r="AO5" s="283">
        <f>112635*0.3263*2</f>
        <v>73505.601</v>
      </c>
      <c r="AP5" s="283">
        <v>90254</v>
      </c>
      <c r="AQ5" s="283" t="s">
        <v>708</v>
      </c>
      <c r="AR5" s="283" t="s">
        <v>709</v>
      </c>
      <c r="AS5" s="283" t="s">
        <v>710</v>
      </c>
      <c r="AT5" s="283" t="s">
        <v>711</v>
      </c>
      <c r="AU5" s="283" t="s">
        <v>712</v>
      </c>
      <c r="AV5" s="283" t="s">
        <v>713</v>
      </c>
      <c r="AW5" s="283">
        <f t="shared" si="2"/>
        <v>79836.1666666667</v>
      </c>
      <c r="AX5" s="283"/>
      <c r="AY5" s="283"/>
      <c r="AZ5" s="283"/>
      <c r="BA5" s="283"/>
      <c r="BB5" s="283"/>
      <c r="BC5" s="283"/>
      <c r="BD5" s="283"/>
      <c r="BE5" s="283"/>
      <c r="BF5" s="283"/>
      <c r="BG5" s="283"/>
      <c r="BH5" s="283"/>
      <c r="BI5" s="283"/>
      <c r="BJ5" s="283"/>
      <c r="BK5" s="283"/>
      <c r="BL5" s="283"/>
      <c r="BM5" s="283"/>
      <c r="BN5" s="283"/>
      <c r="BO5" s="283"/>
      <c r="BP5" s="283"/>
      <c r="BQ5" s="283"/>
      <c r="BR5" s="283"/>
      <c r="BS5" s="283"/>
      <c r="BT5" s="283"/>
      <c r="BU5" s="283"/>
      <c r="BV5" s="283">
        <v>57300</v>
      </c>
      <c r="BW5" s="283">
        <v>81029</v>
      </c>
      <c r="BX5" s="283">
        <v>56998</v>
      </c>
      <c r="BY5" s="283">
        <f>600000*0.09</f>
        <v>54000</v>
      </c>
      <c r="BZ5" s="283">
        <f>526000*0.09</f>
        <v>47340</v>
      </c>
      <c r="CA5" s="283">
        <f>948400*0.3945*2*0.09</f>
        <v>67345.884</v>
      </c>
      <c r="CB5" s="283">
        <v>78500</v>
      </c>
      <c r="CC5" s="283">
        <v>62300</v>
      </c>
      <c r="CD5" s="283">
        <v>89700</v>
      </c>
      <c r="CE5" s="283">
        <f>1300000*0.08*0.3717*2</f>
        <v>77313.6</v>
      </c>
      <c r="CF5" s="283">
        <f>1400000*0.08*0.3978*2</f>
        <v>89107.2</v>
      </c>
      <c r="CG5" s="283">
        <v>98700</v>
      </c>
      <c r="CH5" s="283">
        <v>100771.2</v>
      </c>
      <c r="CI5" s="283">
        <f>0.08*0.3625*2*1800000</f>
        <v>104400</v>
      </c>
      <c r="CJ5" s="283">
        <f>0.4199*2*0.08*2000000</f>
        <v>134368</v>
      </c>
      <c r="CK5" s="283">
        <f t="shared" si="3"/>
        <v>118779.2</v>
      </c>
      <c r="CL5" s="372"/>
      <c r="CM5" s="371">
        <f>Summary!$D$13</f>
        <v>470607.104766667</v>
      </c>
      <c r="CN5" s="258">
        <f t="shared" si="1"/>
        <v>1</v>
      </c>
    </row>
    <row r="6" ht="31.2" spans="1:92">
      <c r="A6" s="258" t="s">
        <v>174</v>
      </c>
      <c r="B6" s="258" t="s">
        <v>694</v>
      </c>
      <c r="C6" s="258" t="s">
        <v>230</v>
      </c>
      <c r="D6" s="258" t="s">
        <v>323</v>
      </c>
      <c r="E6" s="258" t="s">
        <v>441</v>
      </c>
      <c r="F6" s="260" t="s">
        <v>411</v>
      </c>
      <c r="G6" s="343"/>
      <c r="H6" s="283">
        <f t="shared" si="0"/>
        <v>22322.8333333333</v>
      </c>
      <c r="I6" s="292" t="s">
        <v>714</v>
      </c>
      <c r="J6" s="357"/>
      <c r="K6" s="357"/>
      <c r="L6" s="357"/>
      <c r="M6" s="357"/>
      <c r="N6" s="358"/>
      <c r="O6" s="359"/>
      <c r="P6" s="359"/>
      <c r="Q6" s="359"/>
      <c r="R6" s="359"/>
      <c r="S6" s="359"/>
      <c r="T6" s="359"/>
      <c r="U6" s="353"/>
      <c r="V6" s="353">
        <v>36652</v>
      </c>
      <c r="W6" s="353">
        <v>22188</v>
      </c>
      <c r="X6" s="353">
        <v>30024</v>
      </c>
      <c r="Y6" s="353">
        <v>27423</v>
      </c>
      <c r="Z6" s="353">
        <v>30219</v>
      </c>
      <c r="AA6" s="353">
        <v>33028</v>
      </c>
      <c r="AB6" s="353">
        <v>23758</v>
      </c>
      <c r="AC6" s="353">
        <v>56988</v>
      </c>
      <c r="AD6" s="353">
        <v>34717</v>
      </c>
      <c r="AE6" s="353">
        <v>29660</v>
      </c>
      <c r="AF6" s="353">
        <v>35959</v>
      </c>
      <c r="AG6" s="353">
        <v>44112</v>
      </c>
      <c r="AH6" s="353">
        <v>35835</v>
      </c>
      <c r="AI6" s="353">
        <v>35808</v>
      </c>
      <c r="AJ6" s="353">
        <v>46160</v>
      </c>
      <c r="AK6" s="283" t="s">
        <v>715</v>
      </c>
      <c r="AL6" s="283">
        <v>41185</v>
      </c>
      <c r="AM6" s="283" t="s">
        <v>716</v>
      </c>
      <c r="AN6" s="283" t="s">
        <v>717</v>
      </c>
      <c r="AO6" s="283" t="s">
        <v>718</v>
      </c>
      <c r="AP6" s="283">
        <v>36854</v>
      </c>
      <c r="AQ6" s="283" t="s">
        <v>719</v>
      </c>
      <c r="AR6" s="283" t="s">
        <v>720</v>
      </c>
      <c r="AS6" s="283" t="s">
        <v>721</v>
      </c>
      <c r="AT6" s="283" t="s">
        <v>722</v>
      </c>
      <c r="AU6" s="283" t="s">
        <v>723</v>
      </c>
      <c r="AV6" s="283" t="s">
        <v>724</v>
      </c>
      <c r="AW6" s="283">
        <f t="shared" si="2"/>
        <v>33162.3333333333</v>
      </c>
      <c r="AX6" s="283"/>
      <c r="AY6" s="283"/>
      <c r="AZ6" s="283"/>
      <c r="BA6" s="283"/>
      <c r="BB6" s="283"/>
      <c r="BC6" s="283"/>
      <c r="BD6" s="283"/>
      <c r="BE6" s="283"/>
      <c r="BF6" s="283"/>
      <c r="BG6" s="283"/>
      <c r="BH6" s="283"/>
      <c r="BI6" s="283"/>
      <c r="BJ6" s="283">
        <v>11300</v>
      </c>
      <c r="BK6" s="283">
        <v>19300</v>
      </c>
      <c r="BL6" s="283">
        <v>32100</v>
      </c>
      <c r="BM6" s="283">
        <v>35000</v>
      </c>
      <c r="BN6" s="283">
        <v>6500</v>
      </c>
      <c r="BO6" s="283">
        <v>27400</v>
      </c>
      <c r="BP6" s="283">
        <v>66200</v>
      </c>
      <c r="BQ6" s="283">
        <v>53100</v>
      </c>
      <c r="BR6" s="283">
        <v>107600</v>
      </c>
      <c r="BS6" s="283">
        <v>58400</v>
      </c>
      <c r="BT6" s="283">
        <v>79600</v>
      </c>
      <c r="BU6" s="283">
        <v>18500</v>
      </c>
      <c r="BV6" s="283">
        <v>49100</v>
      </c>
      <c r="BW6" s="283">
        <v>106200</v>
      </c>
      <c r="BX6" s="283">
        <v>34000</v>
      </c>
      <c r="BY6" s="283">
        <v>34000</v>
      </c>
      <c r="BZ6" s="283">
        <v>22700</v>
      </c>
      <c r="CA6" s="283">
        <v>56200</v>
      </c>
      <c r="CB6" s="283">
        <v>42200</v>
      </c>
      <c r="CC6" s="283">
        <v>77900</v>
      </c>
      <c r="CD6" s="283">
        <v>17100</v>
      </c>
      <c r="CE6" s="283">
        <v>46600</v>
      </c>
      <c r="CF6" s="283">
        <v>13000</v>
      </c>
      <c r="CG6" s="283">
        <v>16064</v>
      </c>
      <c r="CH6" s="283">
        <v>9900</v>
      </c>
      <c r="CI6" s="283">
        <v>15400</v>
      </c>
      <c r="CJ6" s="283">
        <v>9400</v>
      </c>
      <c r="CK6" s="283">
        <f t="shared" si="3"/>
        <v>11483.3333333333</v>
      </c>
      <c r="CL6" s="370"/>
      <c r="CM6" s="371">
        <f>Summary!$D$13</f>
        <v>470607.104766667</v>
      </c>
      <c r="CN6" s="258">
        <f t="shared" si="1"/>
        <v>0</v>
      </c>
    </row>
    <row r="7" ht="15.6" spans="1:92">
      <c r="A7" s="258" t="s">
        <v>174</v>
      </c>
      <c r="B7" s="258" t="s">
        <v>694</v>
      </c>
      <c r="C7" s="258" t="s">
        <v>230</v>
      </c>
      <c r="D7" s="258" t="s">
        <v>321</v>
      </c>
      <c r="E7" s="258" t="s">
        <v>441</v>
      </c>
      <c r="F7" s="260" t="s">
        <v>57</v>
      </c>
      <c r="G7" s="343"/>
      <c r="H7" s="283">
        <f>(AW7+CK7)/2*0.75</f>
        <v>46909.7625</v>
      </c>
      <c r="I7" s="360" t="s">
        <v>725</v>
      </c>
      <c r="J7" s="351"/>
      <c r="K7" s="351"/>
      <c r="L7" s="351"/>
      <c r="M7" s="351"/>
      <c r="N7" s="352"/>
      <c r="O7" s="353"/>
      <c r="P7" s="353"/>
      <c r="Q7" s="353"/>
      <c r="R7" s="353"/>
      <c r="S7" s="353"/>
      <c r="T7" s="353"/>
      <c r="U7" s="353"/>
      <c r="V7" s="353"/>
      <c r="W7" s="353"/>
      <c r="X7" s="353"/>
      <c r="Y7" s="353"/>
      <c r="Z7" s="353"/>
      <c r="AA7" s="353"/>
      <c r="AB7" s="353"/>
      <c r="AC7" s="353"/>
      <c r="AD7" s="353"/>
      <c r="AE7" s="353"/>
      <c r="AF7" s="353"/>
      <c r="AG7" s="353"/>
      <c r="AH7" s="353"/>
      <c r="AI7" s="353">
        <v>61600</v>
      </c>
      <c r="AJ7" s="353">
        <f>58210</f>
        <v>58210</v>
      </c>
      <c r="AK7" s="283">
        <v>73317</v>
      </c>
      <c r="AL7" s="283">
        <v>63488</v>
      </c>
      <c r="AM7" s="283" t="s">
        <v>726</v>
      </c>
      <c r="AN7" s="283" t="s">
        <v>727</v>
      </c>
      <c r="AO7" s="283" t="s">
        <v>728</v>
      </c>
      <c r="AP7" s="283">
        <v>80109</v>
      </c>
      <c r="AQ7" s="283" t="s">
        <v>729</v>
      </c>
      <c r="AR7" s="283" t="s">
        <v>730</v>
      </c>
      <c r="AS7" s="283" t="s">
        <v>731</v>
      </c>
      <c r="AT7" s="283" t="s">
        <v>732</v>
      </c>
      <c r="AU7" s="283" t="s">
        <v>733</v>
      </c>
      <c r="AV7" s="283" t="s">
        <v>734</v>
      </c>
      <c r="AW7" s="283">
        <f t="shared" si="2"/>
        <v>91792.8333333333</v>
      </c>
      <c r="AX7" s="283"/>
      <c r="AY7" s="283"/>
      <c r="AZ7" s="283"/>
      <c r="BA7" s="283"/>
      <c r="BB7" s="283"/>
      <c r="BC7" s="283"/>
      <c r="BD7" s="283"/>
      <c r="BE7" s="283"/>
      <c r="BF7" s="283"/>
      <c r="BG7" s="283"/>
      <c r="BH7" s="283"/>
      <c r="BI7" s="283"/>
      <c r="BJ7" s="283"/>
      <c r="BK7" s="283"/>
      <c r="BL7" s="283"/>
      <c r="BM7" s="283"/>
      <c r="BN7" s="283"/>
      <c r="BO7" s="283"/>
      <c r="BP7" s="283"/>
      <c r="BQ7" s="283"/>
      <c r="BR7" s="283"/>
      <c r="BS7" s="283"/>
      <c r="BT7" s="283"/>
      <c r="BU7" s="283"/>
      <c r="BV7" s="283"/>
      <c r="BW7" s="283">
        <v>43000</v>
      </c>
      <c r="BX7" s="283">
        <v>79800</v>
      </c>
      <c r="BY7" s="283">
        <v>79800</v>
      </c>
      <c r="BZ7" s="283">
        <v>39000</v>
      </c>
      <c r="CA7" s="283">
        <v>22100</v>
      </c>
      <c r="CB7" s="283">
        <v>39200</v>
      </c>
      <c r="CC7" s="283">
        <v>38100</v>
      </c>
      <c r="CD7" s="283">
        <v>14600</v>
      </c>
      <c r="CE7" s="283">
        <v>34400</v>
      </c>
      <c r="CF7" s="283">
        <v>23100</v>
      </c>
      <c r="CG7" s="283">
        <v>11900</v>
      </c>
      <c r="CH7" s="283">
        <v>15400</v>
      </c>
      <c r="CI7" s="283">
        <f>0.348*2*67600</f>
        <v>47049.6</v>
      </c>
      <c r="CJ7" s="283">
        <v>30100</v>
      </c>
      <c r="CK7" s="283">
        <f t="shared" si="3"/>
        <v>33299.8666666667</v>
      </c>
      <c r="CL7" s="370"/>
      <c r="CM7" s="371">
        <f>Summary!$D$13</f>
        <v>470607.104766667</v>
      </c>
      <c r="CN7" s="258">
        <f t="shared" si="1"/>
        <v>1</v>
      </c>
    </row>
    <row r="8" ht="15.6" spans="1:92">
      <c r="A8" s="258" t="s">
        <v>174</v>
      </c>
      <c r="B8" s="258" t="s">
        <v>694</v>
      </c>
      <c r="C8" s="258" t="s">
        <v>238</v>
      </c>
      <c r="D8" s="347" t="s">
        <v>322</v>
      </c>
      <c r="E8" s="258" t="s">
        <v>441</v>
      </c>
      <c r="F8" s="260" t="s">
        <v>250</v>
      </c>
      <c r="G8" s="343">
        <v>284511</v>
      </c>
      <c r="H8" s="283">
        <f>(AW8+CK8)/2</f>
        <v>39498.8256</v>
      </c>
      <c r="I8" s="292"/>
      <c r="J8" s="351">
        <v>47071</v>
      </c>
      <c r="K8" s="351">
        <v>42545</v>
      </c>
      <c r="L8" s="351">
        <v>32952</v>
      </c>
      <c r="M8" s="351">
        <v>72457</v>
      </c>
      <c r="N8" s="352">
        <v>58320</v>
      </c>
      <c r="O8" s="353">
        <v>44542</v>
      </c>
      <c r="P8" s="353">
        <v>41672</v>
      </c>
      <c r="Q8" s="353">
        <v>46986</v>
      </c>
      <c r="R8" s="353">
        <v>42558</v>
      </c>
      <c r="S8" s="353">
        <v>33278</v>
      </c>
      <c r="T8" s="353">
        <v>33973</v>
      </c>
      <c r="U8" s="353">
        <f>VLOOKUP(D8,Mid!$A$2:$C$225,2,FALSE)</f>
        <v>39851</v>
      </c>
      <c r="V8" s="353">
        <v>34016</v>
      </c>
      <c r="W8" s="353">
        <v>33201</v>
      </c>
      <c r="X8" s="353">
        <v>30600</v>
      </c>
      <c r="Y8" s="353">
        <v>31308</v>
      </c>
      <c r="Z8" s="353">
        <v>36765</v>
      </c>
      <c r="AA8" s="353">
        <v>33351</v>
      </c>
      <c r="AB8" s="353">
        <v>32770</v>
      </c>
      <c r="AC8" s="353">
        <v>39704</v>
      </c>
      <c r="AD8" s="353">
        <v>36624</v>
      </c>
      <c r="AE8" s="353">
        <v>35121</v>
      </c>
      <c r="AF8" s="353">
        <v>41650</v>
      </c>
      <c r="AG8" s="353">
        <v>33772</v>
      </c>
      <c r="AH8" s="353">
        <v>38588</v>
      </c>
      <c r="AI8" s="353">
        <v>39199</v>
      </c>
      <c r="AJ8" s="353">
        <v>37435</v>
      </c>
      <c r="AK8" s="283" t="s">
        <v>735</v>
      </c>
      <c r="AL8" s="283">
        <v>50329</v>
      </c>
      <c r="AM8" s="283">
        <v>34589</v>
      </c>
      <c r="AN8" s="283">
        <v>28331</v>
      </c>
      <c r="AO8" s="283">
        <v>41670</v>
      </c>
      <c r="AP8" s="283">
        <v>40970</v>
      </c>
      <c r="AQ8" s="283">
        <v>55689</v>
      </c>
      <c r="AR8" s="283">
        <v>48211</v>
      </c>
      <c r="AS8" s="283">
        <v>36275</v>
      </c>
      <c r="AT8" s="283">
        <v>10046</v>
      </c>
      <c r="AU8" s="283">
        <f>0.2852*2*66434</f>
        <v>37893.9536</v>
      </c>
      <c r="AV8" s="283">
        <v>63168</v>
      </c>
      <c r="AW8" s="283">
        <f t="shared" si="2"/>
        <v>45889.6512</v>
      </c>
      <c r="AX8" s="283">
        <v>46900</v>
      </c>
      <c r="AY8" s="283">
        <v>34900</v>
      </c>
      <c r="AZ8" s="283">
        <v>33400</v>
      </c>
      <c r="BA8" s="283">
        <v>36900</v>
      </c>
      <c r="BB8" s="283">
        <v>33900</v>
      </c>
      <c r="BC8" s="283">
        <v>27300</v>
      </c>
      <c r="BD8" s="283">
        <v>34700</v>
      </c>
      <c r="BE8" s="283">
        <v>25000</v>
      </c>
      <c r="BF8" s="283">
        <v>30700</v>
      </c>
      <c r="BG8" s="283">
        <v>24100</v>
      </c>
      <c r="BH8" s="283">
        <v>35300</v>
      </c>
      <c r="BI8" s="283">
        <f>VLOOKUP(D8,Mid!$A$2:$C$225,3,FALSE)</f>
        <v>37200</v>
      </c>
      <c r="BJ8" s="283">
        <v>42200</v>
      </c>
      <c r="BK8" s="283">
        <v>24000</v>
      </c>
      <c r="BL8" s="283">
        <v>26300</v>
      </c>
      <c r="BM8" s="283">
        <v>82500</v>
      </c>
      <c r="BN8" s="283">
        <v>19600</v>
      </c>
      <c r="BO8" s="283">
        <v>11045</v>
      </c>
      <c r="BP8" s="283">
        <v>41700</v>
      </c>
      <c r="BQ8" s="283">
        <v>44900</v>
      </c>
      <c r="BR8" s="283">
        <v>42500</v>
      </c>
      <c r="BS8" s="283">
        <v>57600</v>
      </c>
      <c r="BT8" s="283">
        <v>76800</v>
      </c>
      <c r="BU8" s="283">
        <v>8200</v>
      </c>
      <c r="BV8" s="283">
        <v>87100</v>
      </c>
      <c r="BW8" s="283">
        <v>19900</v>
      </c>
      <c r="BX8" s="283">
        <v>16300</v>
      </c>
      <c r="BY8" s="283">
        <v>16300</v>
      </c>
      <c r="BZ8" s="283">
        <v>50800</v>
      </c>
      <c r="CA8" s="283">
        <v>36300</v>
      </c>
      <c r="CB8" s="283">
        <v>44800</v>
      </c>
      <c r="CC8" s="283">
        <v>39300</v>
      </c>
      <c r="CD8" s="283">
        <f>82500*0.1874*2</f>
        <v>30921</v>
      </c>
      <c r="CE8" s="283">
        <v>26747</v>
      </c>
      <c r="CF8" s="283">
        <v>14200</v>
      </c>
      <c r="CG8" s="283">
        <v>18000</v>
      </c>
      <c r="CH8" s="283">
        <v>31800</v>
      </c>
      <c r="CI8" s="283">
        <f>240000*0.0813*2</f>
        <v>39024</v>
      </c>
      <c r="CJ8" s="283">
        <v>29600</v>
      </c>
      <c r="CK8" s="283">
        <f t="shared" si="3"/>
        <v>33108</v>
      </c>
      <c r="CL8" s="370"/>
      <c r="CM8" s="371">
        <f>Summary!$D$13</f>
        <v>470607.104766667</v>
      </c>
      <c r="CN8" s="258">
        <f t="shared" si="1"/>
        <v>1</v>
      </c>
    </row>
    <row r="9" ht="15.6" spans="1:92">
      <c r="A9" s="258" t="s">
        <v>174</v>
      </c>
      <c r="B9" s="258" t="s">
        <v>694</v>
      </c>
      <c r="C9" s="258" t="s">
        <v>230</v>
      </c>
      <c r="D9" s="258" t="s">
        <v>439</v>
      </c>
      <c r="E9" s="258" t="s">
        <v>441</v>
      </c>
      <c r="F9" s="260" t="s">
        <v>460</v>
      </c>
      <c r="G9" s="343"/>
      <c r="H9" s="283">
        <f>(AW9+CK9)/2*0.8</f>
        <v>14684.9333333333</v>
      </c>
      <c r="I9" s="360" t="s">
        <v>736</v>
      </c>
      <c r="J9" s="351"/>
      <c r="K9" s="351"/>
      <c r="L9" s="351"/>
      <c r="M9" s="351"/>
      <c r="N9" s="352"/>
      <c r="O9" s="353"/>
      <c r="P9" s="353"/>
      <c r="Q9" s="353"/>
      <c r="R9" s="353"/>
      <c r="S9" s="353"/>
      <c r="T9" s="353"/>
      <c r="U9" s="353"/>
      <c r="V9" s="353"/>
      <c r="W9" s="353"/>
      <c r="X9" s="353"/>
      <c r="Y9" s="353"/>
      <c r="Z9" s="353"/>
      <c r="AA9" s="353"/>
      <c r="AB9" s="353"/>
      <c r="AC9" s="353"/>
      <c r="AD9" s="353"/>
      <c r="AE9" s="353"/>
      <c r="AF9" s="353"/>
      <c r="AG9" s="353"/>
      <c r="AH9" s="353"/>
      <c r="AI9" s="353">
        <v>20473</v>
      </c>
      <c r="AJ9" s="283">
        <v>18554</v>
      </c>
      <c r="AK9" s="283">
        <v>16697</v>
      </c>
      <c r="AL9" s="283">
        <v>24889</v>
      </c>
      <c r="AM9" s="283" t="s">
        <v>737</v>
      </c>
      <c r="AN9" s="283" t="s">
        <v>738</v>
      </c>
      <c r="AO9" s="283" t="s">
        <v>739</v>
      </c>
      <c r="AP9" s="283">
        <v>31862</v>
      </c>
      <c r="AQ9" s="283" t="s">
        <v>740</v>
      </c>
      <c r="AR9" s="283" t="s">
        <v>741</v>
      </c>
      <c r="AS9" s="283" t="s">
        <v>742</v>
      </c>
      <c r="AT9" s="283" t="s">
        <v>743</v>
      </c>
      <c r="AU9" s="283" t="s">
        <v>744</v>
      </c>
      <c r="AV9" s="283" t="s">
        <v>745</v>
      </c>
      <c r="AW9" s="283">
        <f t="shared" si="2"/>
        <v>26162.3333333333</v>
      </c>
      <c r="AX9" s="283"/>
      <c r="AY9" s="283"/>
      <c r="AZ9" s="283"/>
      <c r="BA9" s="283"/>
      <c r="BB9" s="283"/>
      <c r="BC9" s="283"/>
      <c r="BD9" s="283"/>
      <c r="BE9" s="283"/>
      <c r="BF9" s="283"/>
      <c r="BG9" s="283"/>
      <c r="BH9" s="283"/>
      <c r="BI9" s="283"/>
      <c r="BJ9" s="283"/>
      <c r="BK9" s="283"/>
      <c r="BL9" s="283"/>
      <c r="BM9" s="283"/>
      <c r="BN9" s="283"/>
      <c r="BO9" s="283"/>
      <c r="BP9" s="283"/>
      <c r="BQ9" s="283"/>
      <c r="BR9" s="283"/>
      <c r="BS9" s="283"/>
      <c r="BT9" s="283"/>
      <c r="BU9" s="283"/>
      <c r="BV9" s="283"/>
      <c r="BW9" s="283">
        <v>58000</v>
      </c>
      <c r="BX9" s="283">
        <v>58800</v>
      </c>
      <c r="BY9" s="283">
        <v>58800</v>
      </c>
      <c r="BZ9" s="283">
        <v>12300</v>
      </c>
      <c r="CA9" s="283">
        <v>14100</v>
      </c>
      <c r="CB9" s="283">
        <v>20800</v>
      </c>
      <c r="CC9" s="283">
        <v>8800</v>
      </c>
      <c r="CD9" s="283">
        <v>12900</v>
      </c>
      <c r="CE9" s="283">
        <v>12900</v>
      </c>
      <c r="CF9" s="283">
        <v>12800</v>
      </c>
      <c r="CG9" s="283">
        <v>14600</v>
      </c>
      <c r="CH9" s="283">
        <v>7300</v>
      </c>
      <c r="CI9" s="283">
        <v>12700</v>
      </c>
      <c r="CJ9" s="283">
        <v>10200</v>
      </c>
      <c r="CK9" s="283">
        <f t="shared" si="3"/>
        <v>10550</v>
      </c>
      <c r="CL9" s="370"/>
      <c r="CM9" s="371">
        <f>Summary!$D$13</f>
        <v>470607.104766667</v>
      </c>
      <c r="CN9" s="258">
        <f t="shared" si="1"/>
        <v>0</v>
      </c>
    </row>
    <row r="10" ht="15.6" spans="1:92">
      <c r="A10" s="258" t="s">
        <v>174</v>
      </c>
      <c r="B10" s="258" t="s">
        <v>694</v>
      </c>
      <c r="C10" s="258" t="s">
        <v>230</v>
      </c>
      <c r="D10" s="258" t="s">
        <v>746</v>
      </c>
      <c r="E10" s="258" t="s">
        <v>233</v>
      </c>
      <c r="F10" s="260" t="s">
        <v>266</v>
      </c>
      <c r="G10" s="343"/>
      <c r="H10" s="283">
        <f>(AW10+CK10)*0.09/2</f>
        <v>945.2325</v>
      </c>
      <c r="I10" s="292" t="s">
        <v>747</v>
      </c>
      <c r="J10" s="351">
        <v>176032</v>
      </c>
      <c r="K10" s="351">
        <v>267943</v>
      </c>
      <c r="L10" s="351">
        <v>214616</v>
      </c>
      <c r="M10" s="351">
        <v>258271</v>
      </c>
      <c r="N10" s="352">
        <v>187928</v>
      </c>
      <c r="O10" s="353">
        <v>181520</v>
      </c>
      <c r="P10" s="353">
        <v>224967</v>
      </c>
      <c r="Q10" s="353">
        <v>207895</v>
      </c>
      <c r="R10" s="353">
        <v>206333</v>
      </c>
      <c r="S10" s="353">
        <v>182539</v>
      </c>
      <c r="T10" s="353">
        <v>146238</v>
      </c>
      <c r="U10" s="353" t="e">
        <f>VLOOKUP(D10,Mid!$A$2:$C$225,2,FALSE)</f>
        <v>#N/A</v>
      </c>
      <c r="V10" s="353">
        <v>184359</v>
      </c>
      <c r="W10" s="353">
        <v>174167</v>
      </c>
      <c r="X10" s="353">
        <v>214152</v>
      </c>
      <c r="Y10" s="353">
        <v>199633</v>
      </c>
      <c r="Z10" s="353">
        <v>208932</v>
      </c>
      <c r="AA10" s="353">
        <v>209530</v>
      </c>
      <c r="AB10" s="353">
        <v>184819</v>
      </c>
      <c r="AC10" s="353">
        <v>229858</v>
      </c>
      <c r="AD10" s="353">
        <v>346107</v>
      </c>
      <c r="AE10" s="353">
        <v>271884</v>
      </c>
      <c r="AF10" s="353">
        <v>198072</v>
      </c>
      <c r="AG10" s="353">
        <v>238983</v>
      </c>
      <c r="AH10" s="353">
        <v>396684</v>
      </c>
      <c r="AI10" s="353">
        <v>322537</v>
      </c>
      <c r="AJ10" s="283">
        <v>279868</v>
      </c>
      <c r="AK10" s="283" t="s">
        <v>748</v>
      </c>
      <c r="AL10" s="283">
        <v>213004</v>
      </c>
      <c r="AM10" s="283" t="s">
        <v>749</v>
      </c>
      <c r="AN10" s="283" t="s">
        <v>750</v>
      </c>
      <c r="AO10" s="283" t="s">
        <v>751</v>
      </c>
      <c r="AP10" s="283">
        <v>108207</v>
      </c>
      <c r="AQ10" s="283" t="s">
        <v>752</v>
      </c>
      <c r="AR10" s="283" t="s">
        <v>753</v>
      </c>
      <c r="AS10" s="283" t="s">
        <v>754</v>
      </c>
      <c r="AT10" s="283" t="s">
        <v>755</v>
      </c>
      <c r="AU10" s="283" t="s">
        <v>756</v>
      </c>
      <c r="AV10" s="283" t="s">
        <v>757</v>
      </c>
      <c r="AW10" s="283">
        <f t="shared" si="2"/>
        <v>14215.5</v>
      </c>
      <c r="AX10" s="283">
        <v>253300</v>
      </c>
      <c r="AY10" s="283">
        <v>359800</v>
      </c>
      <c r="AZ10" s="283">
        <v>290900</v>
      </c>
      <c r="BA10" s="283">
        <v>283300</v>
      </c>
      <c r="BB10" s="283">
        <v>231200</v>
      </c>
      <c r="BC10" s="283">
        <v>211200</v>
      </c>
      <c r="BD10" s="283">
        <v>230700</v>
      </c>
      <c r="BE10" s="283">
        <v>235500</v>
      </c>
      <c r="BF10" s="283">
        <v>147000</v>
      </c>
      <c r="BG10" s="283">
        <v>181400</v>
      </c>
      <c r="BH10" s="283">
        <v>218100</v>
      </c>
      <c r="BI10" s="283" t="e">
        <f>VLOOKUP(D10,Mid!$A$2:$C$225,3,FALSE)</f>
        <v>#N/A</v>
      </c>
      <c r="BJ10" s="283">
        <v>242800</v>
      </c>
      <c r="BK10" s="283">
        <v>226800</v>
      </c>
      <c r="BL10" s="283">
        <v>142200</v>
      </c>
      <c r="BM10" s="283">
        <v>68400</v>
      </c>
      <c r="BN10" s="283">
        <v>91600</v>
      </c>
      <c r="BO10" s="283">
        <v>65000</v>
      </c>
      <c r="BP10" s="283">
        <v>78000</v>
      </c>
      <c r="BQ10" s="283">
        <v>101300</v>
      </c>
      <c r="BR10" s="283">
        <v>162800</v>
      </c>
      <c r="BS10" s="283">
        <v>57200</v>
      </c>
      <c r="BT10" s="283">
        <v>106500</v>
      </c>
      <c r="BU10" s="283">
        <v>56400</v>
      </c>
      <c r="BV10" s="283">
        <v>42500</v>
      </c>
      <c r="BW10" s="283">
        <v>76100</v>
      </c>
      <c r="BX10" s="283">
        <v>28100</v>
      </c>
      <c r="BY10" s="283">
        <v>28100</v>
      </c>
      <c r="BZ10" s="283">
        <v>17700</v>
      </c>
      <c r="CA10" s="283">
        <v>32400</v>
      </c>
      <c r="CB10" s="283">
        <v>20300</v>
      </c>
      <c r="CC10" s="283">
        <v>7300</v>
      </c>
      <c r="CD10" s="283">
        <v>12300</v>
      </c>
      <c r="CE10" s="283">
        <v>12300</v>
      </c>
      <c r="CF10" s="283">
        <v>9200</v>
      </c>
      <c r="CG10" s="283">
        <v>16500</v>
      </c>
      <c r="CH10" s="283">
        <v>17700</v>
      </c>
      <c r="CI10" s="283">
        <v>11000</v>
      </c>
      <c r="CJ10" s="283">
        <v>346</v>
      </c>
      <c r="CK10" s="283">
        <f t="shared" si="3"/>
        <v>6789.66666666667</v>
      </c>
      <c r="CL10" s="370"/>
      <c r="CM10" s="371">
        <f>Summary!$D$13</f>
        <v>470607.104766667</v>
      </c>
      <c r="CN10" s="258">
        <f t="shared" si="1"/>
        <v>0</v>
      </c>
    </row>
    <row r="11" ht="15.6" spans="1:92">
      <c r="A11" s="258" t="s">
        <v>174</v>
      </c>
      <c r="B11" s="258" t="s">
        <v>694</v>
      </c>
      <c r="C11" s="258"/>
      <c r="D11" s="258" t="s">
        <v>758</v>
      </c>
      <c r="E11" s="258"/>
      <c r="F11" s="260" t="s">
        <v>423</v>
      </c>
      <c r="G11" s="343"/>
      <c r="H11" s="283">
        <f>(AW11+CK11)/2</f>
        <v>14436.9166666667</v>
      </c>
      <c r="I11" s="360"/>
      <c r="J11" s="351"/>
      <c r="K11" s="351"/>
      <c r="L11" s="351"/>
      <c r="M11" s="351"/>
      <c r="N11" s="352"/>
      <c r="O11" s="353"/>
      <c r="P11" s="353"/>
      <c r="Q11" s="353"/>
      <c r="R11" s="353"/>
      <c r="S11" s="353"/>
      <c r="T11" s="353"/>
      <c r="U11" s="353"/>
      <c r="V11" s="353"/>
      <c r="W11" s="353"/>
      <c r="X11" s="353"/>
      <c r="Y11" s="353"/>
      <c r="Z11" s="353"/>
      <c r="AA11" s="353"/>
      <c r="AB11" s="353"/>
      <c r="AC11" s="353"/>
      <c r="AD11" s="353"/>
      <c r="AE11" s="353"/>
      <c r="AF11" s="353"/>
      <c r="AG11" s="353"/>
      <c r="AH11" s="353"/>
      <c r="AI11" s="353">
        <v>22412</v>
      </c>
      <c r="AJ11" s="353">
        <v>24770</v>
      </c>
      <c r="AK11" s="283">
        <v>21414</v>
      </c>
      <c r="AL11" s="283">
        <v>21088</v>
      </c>
      <c r="AM11" s="283" t="s">
        <v>759</v>
      </c>
      <c r="AN11" s="283" t="s">
        <v>760</v>
      </c>
      <c r="AO11" s="283" t="s">
        <v>761</v>
      </c>
      <c r="AP11" s="283">
        <v>10827</v>
      </c>
      <c r="AQ11" s="283" t="s">
        <v>762</v>
      </c>
      <c r="AR11" s="283" t="s">
        <v>763</v>
      </c>
      <c r="AS11" s="283" t="s">
        <v>764</v>
      </c>
      <c r="AT11" s="283" t="s">
        <v>765</v>
      </c>
      <c r="AU11" s="283" t="s">
        <v>766</v>
      </c>
      <c r="AV11" s="283" t="s">
        <v>767</v>
      </c>
      <c r="AW11" s="283">
        <f t="shared" si="2"/>
        <v>16723.8333333333</v>
      </c>
      <c r="AX11" s="283"/>
      <c r="AY11" s="283"/>
      <c r="AZ11" s="283"/>
      <c r="BA11" s="283"/>
      <c r="BB11" s="283"/>
      <c r="BC11" s="283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283"/>
      <c r="BV11" s="283"/>
      <c r="BW11" s="283">
        <v>6811</v>
      </c>
      <c r="BX11" s="283">
        <v>3500</v>
      </c>
      <c r="BY11" s="283">
        <v>3500</v>
      </c>
      <c r="BZ11" s="283">
        <v>13800</v>
      </c>
      <c r="CA11" s="283">
        <v>31200</v>
      </c>
      <c r="CB11" s="283">
        <v>7100</v>
      </c>
      <c r="CC11" s="283">
        <v>21800</v>
      </c>
      <c r="CD11" s="283">
        <v>2700</v>
      </c>
      <c r="CE11" s="283">
        <v>2700</v>
      </c>
      <c r="CF11" s="283">
        <v>3400</v>
      </c>
      <c r="CG11" s="283">
        <v>1300</v>
      </c>
      <c r="CH11" s="283">
        <v>10600</v>
      </c>
      <c r="CI11" s="283">
        <v>13600</v>
      </c>
      <c r="CJ11" s="283">
        <v>11700</v>
      </c>
      <c r="CK11" s="283">
        <f t="shared" si="3"/>
        <v>12150</v>
      </c>
      <c r="CL11" s="370"/>
      <c r="CM11" s="371">
        <f>Summary!$D$13</f>
        <v>470607.104766667</v>
      </c>
      <c r="CN11" s="258">
        <f t="shared" si="1"/>
        <v>0</v>
      </c>
    </row>
    <row r="12" ht="15.6" spans="1:92">
      <c r="A12" s="258" t="s">
        <v>174</v>
      </c>
      <c r="B12" s="258" t="s">
        <v>694</v>
      </c>
      <c r="C12" s="258" t="s">
        <v>230</v>
      </c>
      <c r="D12" s="258" t="s">
        <v>768</v>
      </c>
      <c r="E12" s="258" t="s">
        <v>441</v>
      </c>
      <c r="F12" s="260" t="s">
        <v>414</v>
      </c>
      <c r="G12" s="343">
        <v>2240207</v>
      </c>
      <c r="H12" s="283">
        <f t="shared" ref="H12:H38" si="4">(AW12+CK12)/2</f>
        <v>20321.9883333333</v>
      </c>
      <c r="I12" s="292"/>
      <c r="J12" s="351">
        <v>17036</v>
      </c>
      <c r="K12" s="351">
        <v>19188</v>
      </c>
      <c r="L12" s="351">
        <v>21766</v>
      </c>
      <c r="M12" s="351">
        <v>47307</v>
      </c>
      <c r="N12" s="352">
        <v>21296</v>
      </c>
      <c r="O12" s="353">
        <v>25690</v>
      </c>
      <c r="P12" s="353">
        <v>19374</v>
      </c>
      <c r="Q12" s="353">
        <v>33569</v>
      </c>
      <c r="R12" s="353">
        <v>9050</v>
      </c>
      <c r="S12" s="353">
        <v>38458</v>
      </c>
      <c r="T12" s="353">
        <v>32478</v>
      </c>
      <c r="U12" s="353" t="e">
        <f>VLOOKUP(D12,Mid!$A$2:$C$225,2,FALSE)</f>
        <v>#N/A</v>
      </c>
      <c r="V12" s="353">
        <v>15421</v>
      </c>
      <c r="W12" s="353">
        <v>33375</v>
      </c>
      <c r="X12" s="353">
        <v>37551</v>
      </c>
      <c r="Y12" s="353">
        <v>17431</v>
      </c>
      <c r="Z12" s="353">
        <v>25565</v>
      </c>
      <c r="AA12" s="353">
        <v>27395</v>
      </c>
      <c r="AB12" s="353">
        <v>17212</v>
      </c>
      <c r="AC12" s="353">
        <v>32116</v>
      </c>
      <c r="AD12" s="353">
        <v>15841</v>
      </c>
      <c r="AE12" s="353">
        <v>12423</v>
      </c>
      <c r="AF12" s="353">
        <v>14396</v>
      </c>
      <c r="AG12" s="353">
        <v>11965</v>
      </c>
      <c r="AH12" s="353">
        <v>13393</v>
      </c>
      <c r="AI12" s="353">
        <v>17367</v>
      </c>
      <c r="AJ12" s="353">
        <v>16354</v>
      </c>
      <c r="AK12" s="283" t="s">
        <v>769</v>
      </c>
      <c r="AL12" s="283">
        <v>19222</v>
      </c>
      <c r="AM12" s="283" t="s">
        <v>770</v>
      </c>
      <c r="AN12" s="283" t="s">
        <v>771</v>
      </c>
      <c r="AO12" s="283" t="s">
        <v>772</v>
      </c>
      <c r="AP12" s="283">
        <v>29517</v>
      </c>
      <c r="AQ12" s="283" t="s">
        <v>773</v>
      </c>
      <c r="AR12" s="283" t="s">
        <v>774</v>
      </c>
      <c r="AS12" s="283" t="s">
        <v>775</v>
      </c>
      <c r="AT12" s="283" t="s">
        <v>776</v>
      </c>
      <c r="AU12" s="283" t="s">
        <v>777</v>
      </c>
      <c r="AV12" s="283" t="s">
        <v>778</v>
      </c>
      <c r="AW12" s="283">
        <f t="shared" si="2"/>
        <v>28860.8333333333</v>
      </c>
      <c r="AX12" s="283">
        <v>15900</v>
      </c>
      <c r="AY12" s="283">
        <v>16000</v>
      </c>
      <c r="AZ12" s="283">
        <v>12400</v>
      </c>
      <c r="BA12" s="283">
        <v>15800</v>
      </c>
      <c r="BB12" s="283">
        <v>20400</v>
      </c>
      <c r="BC12" s="283">
        <v>14600</v>
      </c>
      <c r="BD12" s="283">
        <v>14200</v>
      </c>
      <c r="BE12" s="283">
        <v>12100</v>
      </c>
      <c r="BF12" s="283">
        <v>8900</v>
      </c>
      <c r="BG12" s="283">
        <v>4400</v>
      </c>
      <c r="BH12" s="283">
        <v>11900</v>
      </c>
      <c r="BI12" s="283" t="e">
        <f>VLOOKUP(D12,Mid!$A$2:$C$225,3,FALSE)</f>
        <v>#N/A</v>
      </c>
      <c r="BJ12" s="283">
        <v>4600</v>
      </c>
      <c r="BK12" s="283">
        <v>2000</v>
      </c>
      <c r="BL12" s="283">
        <v>6600</v>
      </c>
      <c r="BM12" s="283">
        <v>13300</v>
      </c>
      <c r="BN12" s="283">
        <v>20800</v>
      </c>
      <c r="BO12" s="283">
        <v>22900</v>
      </c>
      <c r="BP12" s="283">
        <v>20600</v>
      </c>
      <c r="BQ12" s="283">
        <v>13900</v>
      </c>
      <c r="BR12" s="283">
        <v>12600</v>
      </c>
      <c r="BS12" s="283">
        <v>7900</v>
      </c>
      <c r="BT12" s="283">
        <v>4700</v>
      </c>
      <c r="BU12" s="283">
        <v>10000</v>
      </c>
      <c r="BV12" s="283">
        <v>10000</v>
      </c>
      <c r="BW12" s="283">
        <v>5000</v>
      </c>
      <c r="BX12" s="283">
        <v>14100</v>
      </c>
      <c r="BY12" s="283">
        <v>14100</v>
      </c>
      <c r="BZ12" s="283">
        <v>41300</v>
      </c>
      <c r="CA12" s="283">
        <v>11900</v>
      </c>
      <c r="CB12" s="283">
        <v>23500</v>
      </c>
      <c r="CC12" s="283">
        <v>26200</v>
      </c>
      <c r="CD12" s="283">
        <v>6700</v>
      </c>
      <c r="CE12" s="283">
        <v>6700</v>
      </c>
      <c r="CF12" s="283">
        <v>5400</v>
      </c>
      <c r="CG12" s="283">
        <v>5200</v>
      </c>
      <c r="CH12" s="283">
        <v>12298.86</v>
      </c>
      <c r="CI12" s="283">
        <v>7000</v>
      </c>
      <c r="CJ12" s="283">
        <v>14800</v>
      </c>
      <c r="CK12" s="283">
        <f t="shared" si="3"/>
        <v>11783.1433333333</v>
      </c>
      <c r="CL12" s="370"/>
      <c r="CM12" s="371">
        <f>Summary!$D$13</f>
        <v>470607.104766667</v>
      </c>
      <c r="CN12" s="258">
        <f t="shared" si="1"/>
        <v>0</v>
      </c>
    </row>
    <row r="13" ht="15.6" spans="1:92">
      <c r="A13" s="258" t="s">
        <v>174</v>
      </c>
      <c r="B13" s="258" t="s">
        <v>694</v>
      </c>
      <c r="C13" s="258" t="s">
        <v>230</v>
      </c>
      <c r="D13" s="258" t="s">
        <v>779</v>
      </c>
      <c r="E13" s="258" t="s">
        <v>441</v>
      </c>
      <c r="F13" s="260" t="s">
        <v>420</v>
      </c>
      <c r="G13" s="343">
        <v>2886095</v>
      </c>
      <c r="H13" s="283">
        <f t="shared" si="4"/>
        <v>8763.33333333333</v>
      </c>
      <c r="I13" s="292"/>
      <c r="J13" s="357">
        <v>0</v>
      </c>
      <c r="K13" s="357">
        <v>0</v>
      </c>
      <c r="L13" s="357">
        <v>0</v>
      </c>
      <c r="M13" s="357">
        <v>0</v>
      </c>
      <c r="N13" s="358">
        <v>0</v>
      </c>
      <c r="O13" s="358">
        <v>6759</v>
      </c>
      <c r="P13" s="359">
        <v>0</v>
      </c>
      <c r="Q13" s="359">
        <v>0</v>
      </c>
      <c r="R13" s="359">
        <v>0</v>
      </c>
      <c r="S13" s="359">
        <v>0</v>
      </c>
      <c r="T13" s="359">
        <v>10376</v>
      </c>
      <c r="U13" s="353" t="e">
        <f>VLOOKUP(D13,Mid!$A$2:$C$225,2,FALSE)</f>
        <v>#N/A</v>
      </c>
      <c r="V13" s="353">
        <v>0</v>
      </c>
      <c r="W13" s="353">
        <v>0</v>
      </c>
      <c r="X13" s="353">
        <v>0</v>
      </c>
      <c r="Y13" s="353">
        <v>0</v>
      </c>
      <c r="Z13" s="353">
        <v>0</v>
      </c>
      <c r="AA13" s="353">
        <v>0</v>
      </c>
      <c r="AB13" s="353">
        <v>0</v>
      </c>
      <c r="AC13" s="353">
        <v>0</v>
      </c>
      <c r="AD13" s="353">
        <v>0</v>
      </c>
      <c r="AE13" s="353">
        <v>0</v>
      </c>
      <c r="AF13" s="353">
        <v>0</v>
      </c>
      <c r="AG13" s="353">
        <v>0</v>
      </c>
      <c r="AH13" s="353">
        <v>0</v>
      </c>
      <c r="AI13" s="353">
        <v>0</v>
      </c>
      <c r="AJ13" s="353">
        <v>7686</v>
      </c>
      <c r="AK13" s="283">
        <v>6452</v>
      </c>
      <c r="AL13" s="283">
        <v>3471</v>
      </c>
      <c r="AM13" s="283" t="s">
        <v>780</v>
      </c>
      <c r="AN13" s="283" t="s">
        <v>781</v>
      </c>
      <c r="AO13" s="283" t="s">
        <v>782</v>
      </c>
      <c r="AP13" s="283">
        <v>14453</v>
      </c>
      <c r="AQ13" s="283" t="s">
        <v>783</v>
      </c>
      <c r="AR13" s="283" t="s">
        <v>784</v>
      </c>
      <c r="AS13" s="283" t="s">
        <v>785</v>
      </c>
      <c r="AT13" s="283" t="s">
        <v>786</v>
      </c>
      <c r="AU13" s="283" t="s">
        <v>787</v>
      </c>
      <c r="AV13" s="283" t="s">
        <v>788</v>
      </c>
      <c r="AW13" s="283">
        <f t="shared" si="2"/>
        <v>4072.66666666667</v>
      </c>
      <c r="AX13" s="283">
        <v>5300</v>
      </c>
      <c r="AY13" s="283">
        <v>5800</v>
      </c>
      <c r="AZ13" s="283">
        <v>4600</v>
      </c>
      <c r="BA13" s="283">
        <v>6000</v>
      </c>
      <c r="BB13" s="283">
        <v>4400</v>
      </c>
      <c r="BC13" s="283">
        <v>6500</v>
      </c>
      <c r="BD13" s="283">
        <v>4500</v>
      </c>
      <c r="BE13" s="283">
        <v>2600</v>
      </c>
      <c r="BF13" s="283">
        <v>12800</v>
      </c>
      <c r="BG13" s="283">
        <v>3200</v>
      </c>
      <c r="BH13" s="283">
        <v>2900</v>
      </c>
      <c r="BI13" s="283" t="e">
        <f>VLOOKUP(D13,Mid!$A$2:$C$225,3,FALSE)</f>
        <v>#N/A</v>
      </c>
      <c r="BJ13" s="283">
        <v>5500</v>
      </c>
      <c r="BK13" s="283">
        <v>12000</v>
      </c>
      <c r="BL13" s="283">
        <v>2200</v>
      </c>
      <c r="BM13" s="283">
        <v>617500</v>
      </c>
      <c r="BN13" s="283">
        <v>5600</v>
      </c>
      <c r="BO13" s="283">
        <v>2900</v>
      </c>
      <c r="BP13" s="283">
        <v>14700</v>
      </c>
      <c r="BQ13" s="283">
        <v>3600</v>
      </c>
      <c r="BR13" s="283">
        <v>5100</v>
      </c>
      <c r="BS13" s="283">
        <v>1800</v>
      </c>
      <c r="BT13" s="283">
        <v>3900</v>
      </c>
      <c r="BU13" s="283">
        <v>4400</v>
      </c>
      <c r="BV13" s="283">
        <v>3500</v>
      </c>
      <c r="BW13" s="283">
        <v>6500</v>
      </c>
      <c r="BX13" s="283">
        <v>4700</v>
      </c>
      <c r="BY13" s="283">
        <v>4700</v>
      </c>
      <c r="BZ13" s="283">
        <v>11800</v>
      </c>
      <c r="CA13" s="283">
        <v>1600</v>
      </c>
      <c r="CB13" s="283">
        <v>9200</v>
      </c>
      <c r="CC13" s="283">
        <v>26400</v>
      </c>
      <c r="CD13" s="283">
        <v>1300</v>
      </c>
      <c r="CE13" s="283">
        <v>1300</v>
      </c>
      <c r="CF13" s="283">
        <v>5300</v>
      </c>
      <c r="CG13" s="283">
        <v>0</v>
      </c>
      <c r="CH13" s="283">
        <v>3700</v>
      </c>
      <c r="CI13" s="283">
        <v>19900</v>
      </c>
      <c r="CJ13" s="283">
        <v>12408</v>
      </c>
      <c r="CK13" s="283">
        <f t="shared" si="3"/>
        <v>13454</v>
      </c>
      <c r="CL13" s="370"/>
      <c r="CM13" s="371">
        <f>Summary!$D$13</f>
        <v>470607.104766667</v>
      </c>
      <c r="CN13" s="258">
        <f t="shared" si="1"/>
        <v>0</v>
      </c>
    </row>
    <row r="14" ht="31.2" spans="1:92">
      <c r="A14" s="258" t="s">
        <v>174</v>
      </c>
      <c r="B14" s="258" t="s">
        <v>694</v>
      </c>
      <c r="C14" s="258" t="s">
        <v>230</v>
      </c>
      <c r="D14" s="258" t="s">
        <v>789</v>
      </c>
      <c r="E14" s="258" t="s">
        <v>441</v>
      </c>
      <c r="F14" s="260" t="s">
        <v>266</v>
      </c>
      <c r="G14" s="343">
        <v>427242</v>
      </c>
      <c r="H14" s="283">
        <f t="shared" si="4"/>
        <v>2733.16666666667</v>
      </c>
      <c r="I14" s="292" t="s">
        <v>790</v>
      </c>
      <c r="J14" s="351">
        <v>56892</v>
      </c>
      <c r="K14" s="351">
        <v>51584</v>
      </c>
      <c r="L14" s="351">
        <v>42982</v>
      </c>
      <c r="M14" s="351">
        <v>85152</v>
      </c>
      <c r="N14" s="352">
        <v>66545</v>
      </c>
      <c r="O14" s="353">
        <v>75211</v>
      </c>
      <c r="P14" s="353">
        <v>48635</v>
      </c>
      <c r="Q14" s="353">
        <v>50730</v>
      </c>
      <c r="R14" s="353">
        <v>48134</v>
      </c>
      <c r="S14" s="353">
        <v>64506</v>
      </c>
      <c r="T14" s="353">
        <v>50552</v>
      </c>
      <c r="U14" s="353" t="e">
        <f>VLOOKUP(D14,Mid!$A$2:$C$225,2,FALSE)</f>
        <v>#N/A</v>
      </c>
      <c r="V14" s="353">
        <v>42064</v>
      </c>
      <c r="W14" s="353">
        <v>55548</v>
      </c>
      <c r="X14" s="353">
        <v>34680</v>
      </c>
      <c r="Y14" s="353">
        <v>0</v>
      </c>
      <c r="Z14" s="353">
        <v>0</v>
      </c>
      <c r="AA14" s="353">
        <v>0</v>
      </c>
      <c r="AB14" s="353">
        <v>0</v>
      </c>
      <c r="AC14" s="353">
        <v>271</v>
      </c>
      <c r="AD14" s="353">
        <v>14430</v>
      </c>
      <c r="AE14" s="353">
        <v>1123</v>
      </c>
      <c r="AF14" s="353">
        <v>0</v>
      </c>
      <c r="AG14" s="353">
        <v>9044</v>
      </c>
      <c r="AH14" s="353">
        <v>1775</v>
      </c>
      <c r="AI14" s="353">
        <v>0</v>
      </c>
      <c r="AJ14" s="353">
        <v>0</v>
      </c>
      <c r="AK14" s="283" t="s">
        <v>791</v>
      </c>
      <c r="AL14" s="283">
        <v>0</v>
      </c>
      <c r="AM14" s="283" t="s">
        <v>792</v>
      </c>
      <c r="AN14" s="283" t="s">
        <v>793</v>
      </c>
      <c r="AO14" s="283" t="s">
        <v>794</v>
      </c>
      <c r="AP14" s="283">
        <v>10017</v>
      </c>
      <c r="AQ14" s="283" t="s">
        <v>795</v>
      </c>
      <c r="AR14" s="283" t="s">
        <v>796</v>
      </c>
      <c r="AS14" s="283" t="s">
        <v>797</v>
      </c>
      <c r="AT14" s="283" t="s">
        <v>798</v>
      </c>
      <c r="AU14" s="283" t="s">
        <v>799</v>
      </c>
      <c r="AV14" s="283" t="s">
        <v>800</v>
      </c>
      <c r="AW14" s="283">
        <f t="shared" si="2"/>
        <v>5466.33333333333</v>
      </c>
      <c r="AX14" s="283">
        <v>33000</v>
      </c>
      <c r="AY14" s="283">
        <v>60100</v>
      </c>
      <c r="AZ14" s="283">
        <v>33500</v>
      </c>
      <c r="BA14" s="283">
        <v>42900</v>
      </c>
      <c r="BB14" s="283">
        <v>39700</v>
      </c>
      <c r="BC14" s="283">
        <v>60700</v>
      </c>
      <c r="BD14" s="283">
        <v>63100</v>
      </c>
      <c r="BE14" s="283">
        <v>94500</v>
      </c>
      <c r="BF14" s="283">
        <v>56500</v>
      </c>
      <c r="BG14" s="283">
        <v>61500</v>
      </c>
      <c r="BH14" s="283">
        <v>51000</v>
      </c>
      <c r="BI14" s="283" t="e">
        <f>VLOOKUP(D14,Mid!$A$2:$C$225,3,FALSE)</f>
        <v>#N/A</v>
      </c>
      <c r="BJ14" s="283">
        <v>36100</v>
      </c>
      <c r="BK14" s="283">
        <v>32000</v>
      </c>
      <c r="BL14" s="283">
        <v>7000</v>
      </c>
      <c r="BM14" s="283">
        <v>0</v>
      </c>
      <c r="BN14" s="283">
        <v>0</v>
      </c>
      <c r="BO14" s="283">
        <v>15200</v>
      </c>
      <c r="BP14" s="283">
        <v>0</v>
      </c>
      <c r="BQ14" s="283">
        <v>0</v>
      </c>
      <c r="BR14" s="283">
        <v>0</v>
      </c>
      <c r="BS14" s="283">
        <v>32700</v>
      </c>
      <c r="BT14" s="283">
        <v>43800</v>
      </c>
      <c r="BU14" s="283">
        <v>1400</v>
      </c>
      <c r="BV14" s="283">
        <v>1400</v>
      </c>
      <c r="BW14" s="283">
        <v>0</v>
      </c>
      <c r="BX14" s="283">
        <v>3500</v>
      </c>
      <c r="BY14" s="283">
        <v>0</v>
      </c>
      <c r="BZ14" s="283">
        <v>1400</v>
      </c>
      <c r="CA14" s="283">
        <v>0</v>
      </c>
      <c r="CB14" s="283">
        <v>0</v>
      </c>
      <c r="CC14" s="283">
        <v>0</v>
      </c>
      <c r="CD14" s="283">
        <v>33500</v>
      </c>
      <c r="CE14" s="283">
        <v>0</v>
      </c>
      <c r="CF14" s="283">
        <v>0</v>
      </c>
      <c r="CG14" s="283">
        <v>39200</v>
      </c>
      <c r="CH14" s="283">
        <v>0</v>
      </c>
      <c r="CI14" s="283">
        <v>0</v>
      </c>
      <c r="CJ14" s="283">
        <v>0</v>
      </c>
      <c r="CK14" s="283">
        <f t="shared" si="3"/>
        <v>0</v>
      </c>
      <c r="CL14" s="370"/>
      <c r="CM14" s="371">
        <f>Summary!$D$13</f>
        <v>470607.104766667</v>
      </c>
      <c r="CN14" s="258">
        <f t="shared" si="1"/>
        <v>0</v>
      </c>
    </row>
    <row r="15" ht="15.6" spans="1:92">
      <c r="A15" s="258" t="s">
        <v>193</v>
      </c>
      <c r="B15" s="258" t="s">
        <v>672</v>
      </c>
      <c r="C15" s="258" t="s">
        <v>801</v>
      </c>
      <c r="D15" s="342" t="s">
        <v>476</v>
      </c>
      <c r="E15" s="347" t="s">
        <v>233</v>
      </c>
      <c r="F15" s="260" t="s">
        <v>234</v>
      </c>
      <c r="G15" s="343">
        <v>81390</v>
      </c>
      <c r="H15" s="283">
        <f t="shared" si="4"/>
        <v>238470</v>
      </c>
      <c r="I15" s="361" t="s">
        <v>672</v>
      </c>
      <c r="J15" s="351">
        <v>219194</v>
      </c>
      <c r="K15" s="351">
        <v>208984</v>
      </c>
      <c r="L15" s="351">
        <v>189910</v>
      </c>
      <c r="M15" s="351">
        <v>212740</v>
      </c>
      <c r="N15" s="352">
        <v>197774</v>
      </c>
      <c r="O15" s="353">
        <v>282617</v>
      </c>
      <c r="P15" s="353">
        <v>220909</v>
      </c>
      <c r="Q15" s="353">
        <v>231843</v>
      </c>
      <c r="R15" s="353">
        <v>205669</v>
      </c>
      <c r="S15" s="353">
        <v>194513</v>
      </c>
      <c r="T15" s="353">
        <v>194744</v>
      </c>
      <c r="U15" s="353">
        <f>VLOOKUP(D15,Mid!$A$2:$C$225,2,FALSE)</f>
        <v>207908</v>
      </c>
      <c r="V15" s="353">
        <v>195882</v>
      </c>
      <c r="W15" s="353">
        <v>214121</v>
      </c>
      <c r="X15" s="353">
        <v>164968</v>
      </c>
      <c r="Y15" s="353">
        <v>222757</v>
      </c>
      <c r="Z15" s="353">
        <v>195023</v>
      </c>
      <c r="AA15" s="353">
        <v>212533</v>
      </c>
      <c r="AB15" s="353">
        <v>193993</v>
      </c>
      <c r="AC15" s="353">
        <v>201904</v>
      </c>
      <c r="AD15" s="353">
        <v>220405</v>
      </c>
      <c r="AE15" s="353">
        <v>215642</v>
      </c>
      <c r="AF15" s="353">
        <v>229324</v>
      </c>
      <c r="AG15" s="353">
        <v>227489</v>
      </c>
      <c r="AH15" s="353">
        <v>222756</v>
      </c>
      <c r="AI15" s="353">
        <v>242160</v>
      </c>
      <c r="AJ15" s="283">
        <v>228857</v>
      </c>
      <c r="AK15" s="283" t="s">
        <v>802</v>
      </c>
      <c r="AL15" s="283">
        <v>227150</v>
      </c>
      <c r="AM15" s="283" t="s">
        <v>803</v>
      </c>
      <c r="AN15" s="283" t="s">
        <v>804</v>
      </c>
      <c r="AO15" s="283" t="s">
        <v>805</v>
      </c>
      <c r="AP15" s="283">
        <v>385057</v>
      </c>
      <c r="AQ15" s="283" t="s">
        <v>806</v>
      </c>
      <c r="AR15" s="283" t="s">
        <v>807</v>
      </c>
      <c r="AS15" s="283" t="s">
        <v>808</v>
      </c>
      <c r="AT15" s="283" t="s">
        <v>809</v>
      </c>
      <c r="AU15" s="283" t="s">
        <v>810</v>
      </c>
      <c r="AV15" s="283" t="s">
        <v>811</v>
      </c>
      <c r="AW15" s="283">
        <f t="shared" si="2"/>
        <v>238306.666666667</v>
      </c>
      <c r="AX15" s="283">
        <v>357700</v>
      </c>
      <c r="AY15" s="283">
        <v>297700</v>
      </c>
      <c r="AZ15" s="283">
        <v>249200</v>
      </c>
      <c r="BA15" s="283">
        <v>216600</v>
      </c>
      <c r="BB15" s="283">
        <v>236700</v>
      </c>
      <c r="BC15" s="283">
        <v>245600</v>
      </c>
      <c r="BD15" s="283">
        <v>303300</v>
      </c>
      <c r="BE15" s="283">
        <v>276500</v>
      </c>
      <c r="BF15" s="283">
        <v>164900</v>
      </c>
      <c r="BG15" s="283">
        <v>157500</v>
      </c>
      <c r="BH15" s="283">
        <v>193300</v>
      </c>
      <c r="BI15" s="283">
        <f>VLOOKUP(D15,Mid!$A$2:$C$225,3,FALSE)</f>
        <v>173100</v>
      </c>
      <c r="BJ15" s="283">
        <v>152100</v>
      </c>
      <c r="BK15" s="283">
        <v>213700</v>
      </c>
      <c r="BL15" s="283">
        <v>168400</v>
      </c>
      <c r="BM15" s="283">
        <v>208500</v>
      </c>
      <c r="BN15" s="283">
        <v>231700</v>
      </c>
      <c r="BO15" s="283">
        <v>168800</v>
      </c>
      <c r="BP15" s="283">
        <v>178200</v>
      </c>
      <c r="BQ15" s="283">
        <v>226800</v>
      </c>
      <c r="BR15" s="283">
        <v>238800</v>
      </c>
      <c r="BS15" s="283">
        <v>260500</v>
      </c>
      <c r="BT15" s="283">
        <v>238000</v>
      </c>
      <c r="BU15" s="283">
        <v>395000</v>
      </c>
      <c r="BV15" s="283">
        <v>213900</v>
      </c>
      <c r="BW15" s="283">
        <v>380900</v>
      </c>
      <c r="BX15" s="283">
        <v>266800</v>
      </c>
      <c r="BY15" s="283">
        <v>266800</v>
      </c>
      <c r="BZ15" s="283">
        <v>200700</v>
      </c>
      <c r="CA15" s="283">
        <v>201000</v>
      </c>
      <c r="CB15" s="283">
        <v>169600</v>
      </c>
      <c r="CC15" s="283">
        <v>242600</v>
      </c>
      <c r="CD15" s="283">
        <v>224500</v>
      </c>
      <c r="CE15" s="283">
        <v>232511</v>
      </c>
      <c r="CF15" s="283">
        <v>201400</v>
      </c>
      <c r="CG15" s="283">
        <v>277300</v>
      </c>
      <c r="CH15" s="283">
        <v>269700</v>
      </c>
      <c r="CI15" s="283">
        <v>208600</v>
      </c>
      <c r="CJ15" s="283">
        <v>248300</v>
      </c>
      <c r="CK15" s="283">
        <f t="shared" si="3"/>
        <v>238633.333333333</v>
      </c>
      <c r="CL15" s="370"/>
      <c r="CM15" s="371">
        <f>Summary!$D$24</f>
        <v>175626.7701</v>
      </c>
      <c r="CN15" s="258">
        <f t="shared" si="1"/>
        <v>0</v>
      </c>
    </row>
    <row r="16" ht="15.6" spans="1:92">
      <c r="A16" s="258" t="s">
        <v>193</v>
      </c>
      <c r="B16" s="258" t="s">
        <v>812</v>
      </c>
      <c r="C16" s="258" t="s">
        <v>230</v>
      </c>
      <c r="D16" s="258" t="s">
        <v>365</v>
      </c>
      <c r="E16" s="347" t="s">
        <v>233</v>
      </c>
      <c r="F16" s="260" t="s">
        <v>52</v>
      </c>
      <c r="G16" s="343"/>
      <c r="H16" s="283">
        <f t="shared" si="4"/>
        <v>47997.4999333334</v>
      </c>
      <c r="I16" s="361"/>
      <c r="J16" s="351">
        <v>59251</v>
      </c>
      <c r="K16" s="351">
        <v>81068</v>
      </c>
      <c r="L16" s="351">
        <v>69793</v>
      </c>
      <c r="M16" s="351">
        <v>104890</v>
      </c>
      <c r="N16" s="352">
        <v>66820</v>
      </c>
      <c r="O16" s="352">
        <v>64333</v>
      </c>
      <c r="P16" s="352">
        <v>65901</v>
      </c>
      <c r="Q16" s="353">
        <v>66993</v>
      </c>
      <c r="R16" s="353">
        <v>59125</v>
      </c>
      <c r="S16" s="353">
        <v>62158</v>
      </c>
      <c r="T16" s="353">
        <v>73308</v>
      </c>
      <c r="U16" s="353" t="e">
        <f>VLOOKUP(D16,Mid!$A$2:$C$225,2,FALSE)</f>
        <v>#N/A</v>
      </c>
      <c r="V16" s="353">
        <v>48676</v>
      </c>
      <c r="W16" s="353">
        <v>59590</v>
      </c>
      <c r="X16" s="353">
        <v>44814</v>
      </c>
      <c r="Y16" s="353">
        <v>64376</v>
      </c>
      <c r="Z16" s="353">
        <v>52308</v>
      </c>
      <c r="AA16" s="353">
        <v>92500</v>
      </c>
      <c r="AB16" s="353">
        <v>110722</v>
      </c>
      <c r="AC16" s="353">
        <v>68205</v>
      </c>
      <c r="AD16" s="353">
        <v>69155</v>
      </c>
      <c r="AE16" s="353">
        <v>57223</v>
      </c>
      <c r="AF16" s="353">
        <v>48456</v>
      </c>
      <c r="AG16" s="353">
        <v>48342</v>
      </c>
      <c r="AH16" s="353">
        <v>34132</v>
      </c>
      <c r="AI16" s="353">
        <v>65827</v>
      </c>
      <c r="AJ16" s="353">
        <v>77122</v>
      </c>
      <c r="AK16" s="283" t="s">
        <v>813</v>
      </c>
      <c r="AL16" s="283">
        <v>37477</v>
      </c>
      <c r="AM16" s="283" t="s">
        <v>814</v>
      </c>
      <c r="AN16" s="283" t="s">
        <v>815</v>
      </c>
      <c r="AO16" s="283" t="s">
        <v>816</v>
      </c>
      <c r="AP16" s="283">
        <v>88541</v>
      </c>
      <c r="AQ16" s="283" t="s">
        <v>817</v>
      </c>
      <c r="AR16" s="283" t="s">
        <v>818</v>
      </c>
      <c r="AS16" s="283" t="s">
        <v>819</v>
      </c>
      <c r="AT16" s="283">
        <f>0.2254*2*98174</f>
        <v>44256.8392</v>
      </c>
      <c r="AU16" s="283" t="s">
        <v>820</v>
      </c>
      <c r="AV16" s="283" t="s">
        <v>821</v>
      </c>
      <c r="AW16" s="283">
        <f t="shared" si="2"/>
        <v>48308.4732</v>
      </c>
      <c r="AX16" s="283">
        <v>90900</v>
      </c>
      <c r="AY16" s="283">
        <v>63200</v>
      </c>
      <c r="AZ16" s="283">
        <v>61600</v>
      </c>
      <c r="BA16" s="283">
        <v>64200</v>
      </c>
      <c r="BB16" s="283">
        <v>56600</v>
      </c>
      <c r="BC16" s="283">
        <v>47700</v>
      </c>
      <c r="BD16" s="283">
        <v>60700</v>
      </c>
      <c r="BE16" s="283">
        <v>62200</v>
      </c>
      <c r="BF16" s="283">
        <v>52100</v>
      </c>
      <c r="BG16" s="283">
        <v>51200</v>
      </c>
      <c r="BH16" s="283">
        <v>58200</v>
      </c>
      <c r="BI16" s="283" t="e">
        <f>VLOOKUP(D16,Mid!$A$2:$C$225,3,FALSE)</f>
        <v>#N/A</v>
      </c>
      <c r="BJ16" s="283">
        <v>42200</v>
      </c>
      <c r="BK16" s="283">
        <v>30200</v>
      </c>
      <c r="BL16" s="283">
        <v>37100</v>
      </c>
      <c r="BM16" s="283">
        <v>73900</v>
      </c>
      <c r="BN16" s="283">
        <v>23900</v>
      </c>
      <c r="BO16" s="283">
        <v>60000</v>
      </c>
      <c r="BP16" s="283">
        <v>21500</v>
      </c>
      <c r="BQ16" s="283">
        <v>30900</v>
      </c>
      <c r="BR16" s="283">
        <v>78100</v>
      </c>
      <c r="BS16" s="283">
        <v>123200</v>
      </c>
      <c r="BT16" s="283">
        <v>51100</v>
      </c>
      <c r="BU16" s="283">
        <v>33800</v>
      </c>
      <c r="BV16" s="283">
        <v>31200</v>
      </c>
      <c r="BW16" s="283">
        <v>38000</v>
      </c>
      <c r="BX16" s="283">
        <v>41700</v>
      </c>
      <c r="BY16" s="283">
        <v>41700</v>
      </c>
      <c r="BZ16" s="283">
        <v>33800</v>
      </c>
      <c r="CA16" s="283">
        <v>22700</v>
      </c>
      <c r="CB16" s="283">
        <v>31300</v>
      </c>
      <c r="CC16" s="283">
        <v>40000</v>
      </c>
      <c r="CD16" s="283">
        <v>38000</v>
      </c>
      <c r="CE16" s="283">
        <v>45300</v>
      </c>
      <c r="CF16" s="283">
        <v>41600</v>
      </c>
      <c r="CG16" s="283">
        <v>59400</v>
      </c>
      <c r="CH16" s="283">
        <v>81700</v>
      </c>
      <c r="CI16" s="283">
        <v>26100</v>
      </c>
      <c r="CJ16" s="283">
        <v>50739.72</v>
      </c>
      <c r="CK16" s="283">
        <f t="shared" si="3"/>
        <v>47686.5266666667</v>
      </c>
      <c r="CL16" s="370"/>
      <c r="CM16" s="371">
        <f>Summary!$D$24</f>
        <v>175626.7701</v>
      </c>
      <c r="CN16" s="258">
        <f t="shared" si="1"/>
        <v>1</v>
      </c>
    </row>
    <row r="17" ht="15.6" spans="1:92">
      <c r="A17" s="258" t="s">
        <v>193</v>
      </c>
      <c r="B17" s="258" t="s">
        <v>812</v>
      </c>
      <c r="C17" s="258" t="s">
        <v>367</v>
      </c>
      <c r="D17" s="258" t="s">
        <v>368</v>
      </c>
      <c r="E17" s="347" t="s">
        <v>233</v>
      </c>
      <c r="F17" s="260" t="s">
        <v>234</v>
      </c>
      <c r="G17" s="343"/>
      <c r="H17" s="283">
        <f t="shared" si="4"/>
        <v>26592.75</v>
      </c>
      <c r="I17" s="361"/>
      <c r="J17" s="351">
        <v>40886</v>
      </c>
      <c r="K17" s="351">
        <v>50375</v>
      </c>
      <c r="L17" s="351">
        <v>26783</v>
      </c>
      <c r="M17" s="351">
        <v>36484</v>
      </c>
      <c r="N17" s="352">
        <v>60699</v>
      </c>
      <c r="O17" s="352">
        <v>48469</v>
      </c>
      <c r="P17" s="352">
        <v>56658</v>
      </c>
      <c r="Q17" s="353">
        <v>40373</v>
      </c>
      <c r="R17" s="353">
        <v>43566</v>
      </c>
      <c r="S17" s="353">
        <v>51472</v>
      </c>
      <c r="T17" s="353">
        <v>56548</v>
      </c>
      <c r="U17" s="353" t="e">
        <f>VLOOKUP(D17,Mid!$A$2:$C$225,2,FALSE)</f>
        <v>#N/A</v>
      </c>
      <c r="V17" s="353">
        <v>41731</v>
      </c>
      <c r="W17" s="353">
        <v>71855</v>
      </c>
      <c r="X17" s="353">
        <v>52158</v>
      </c>
      <c r="Y17" s="353">
        <v>87644</v>
      </c>
      <c r="Z17" s="353">
        <v>51661</v>
      </c>
      <c r="AA17" s="353">
        <v>50098</v>
      </c>
      <c r="AB17" s="353">
        <v>52681</v>
      </c>
      <c r="AC17" s="353">
        <v>71962</v>
      </c>
      <c r="AD17" s="353">
        <v>46971</v>
      </c>
      <c r="AE17" s="353">
        <v>47463</v>
      </c>
      <c r="AF17" s="353">
        <v>62120</v>
      </c>
      <c r="AG17" s="353">
        <v>82803</v>
      </c>
      <c r="AH17" s="353">
        <v>50551</v>
      </c>
      <c r="AI17" s="353">
        <v>33179</v>
      </c>
      <c r="AJ17" s="353">
        <v>39023</v>
      </c>
      <c r="AK17" s="283" t="s">
        <v>822</v>
      </c>
      <c r="AL17" s="283">
        <v>36270</v>
      </c>
      <c r="AM17" s="283" t="s">
        <v>823</v>
      </c>
      <c r="AN17" s="283" t="s">
        <v>824</v>
      </c>
      <c r="AO17" s="283" t="s">
        <v>825</v>
      </c>
      <c r="AP17" s="283">
        <v>50657</v>
      </c>
      <c r="AQ17" s="283" t="s">
        <v>826</v>
      </c>
      <c r="AR17" s="283" t="s">
        <v>827</v>
      </c>
      <c r="AS17" s="283" t="s">
        <v>828</v>
      </c>
      <c r="AT17" s="283" t="s">
        <v>829</v>
      </c>
      <c r="AU17" s="283" t="s">
        <v>830</v>
      </c>
      <c r="AV17" s="283" t="s">
        <v>831</v>
      </c>
      <c r="AW17" s="283">
        <f t="shared" si="2"/>
        <v>44468.8333333333</v>
      </c>
      <c r="AX17" s="283">
        <v>15100</v>
      </c>
      <c r="AY17" s="283">
        <v>13600</v>
      </c>
      <c r="AZ17" s="283">
        <v>11900</v>
      </c>
      <c r="BA17" s="283">
        <v>11500</v>
      </c>
      <c r="BB17" s="283">
        <v>14600</v>
      </c>
      <c r="BC17" s="283">
        <v>16800</v>
      </c>
      <c r="BD17" s="283">
        <v>16300</v>
      </c>
      <c r="BE17" s="283">
        <v>23100</v>
      </c>
      <c r="BF17" s="283">
        <v>52800</v>
      </c>
      <c r="BG17" s="283">
        <v>41500</v>
      </c>
      <c r="BH17" s="283">
        <v>174700</v>
      </c>
      <c r="BI17" s="283" t="e">
        <f>VLOOKUP(D17,Mid!$A$2:$C$225,3,FALSE)</f>
        <v>#N/A</v>
      </c>
      <c r="BJ17" s="283">
        <v>27900</v>
      </c>
      <c r="BK17" s="283">
        <v>5000</v>
      </c>
      <c r="BL17" s="283">
        <v>11800</v>
      </c>
      <c r="BM17" s="283">
        <v>22200</v>
      </c>
      <c r="BN17" s="283">
        <v>10000</v>
      </c>
      <c r="BO17" s="283">
        <v>36400</v>
      </c>
      <c r="BP17" s="283">
        <v>12200</v>
      </c>
      <c r="BQ17" s="283">
        <v>11600</v>
      </c>
      <c r="BR17" s="283">
        <v>43500</v>
      </c>
      <c r="BS17" s="283">
        <v>40000</v>
      </c>
      <c r="BT17" s="283">
        <v>11400</v>
      </c>
      <c r="BU17" s="283">
        <v>23800</v>
      </c>
      <c r="BV17" s="283">
        <v>13000</v>
      </c>
      <c r="BW17" s="283">
        <v>24000</v>
      </c>
      <c r="BX17" s="283">
        <v>18500</v>
      </c>
      <c r="BY17" s="283">
        <v>18500</v>
      </c>
      <c r="BZ17" s="283">
        <v>10600</v>
      </c>
      <c r="CA17" s="283">
        <v>11500</v>
      </c>
      <c r="CB17" s="283">
        <v>8700</v>
      </c>
      <c r="CC17" s="283">
        <v>14000</v>
      </c>
      <c r="CD17" s="283">
        <v>21200</v>
      </c>
      <c r="CE17" s="283">
        <v>8000</v>
      </c>
      <c r="CF17" s="283">
        <v>12700</v>
      </c>
      <c r="CG17" s="283">
        <v>18100</v>
      </c>
      <c r="CH17" s="283">
        <v>7600</v>
      </c>
      <c r="CI17" s="283">
        <v>12000</v>
      </c>
      <c r="CJ17" s="283">
        <v>6900</v>
      </c>
      <c r="CK17" s="283">
        <f t="shared" si="3"/>
        <v>8716.66666666667</v>
      </c>
      <c r="CL17" s="370"/>
      <c r="CM17" s="371">
        <f>Summary!$D$24</f>
        <v>175626.7701</v>
      </c>
      <c r="CN17" s="258">
        <f t="shared" si="1"/>
        <v>1</v>
      </c>
    </row>
    <row r="18" ht="15.6" spans="1:92">
      <c r="A18" s="258" t="s">
        <v>193</v>
      </c>
      <c r="B18" s="258" t="s">
        <v>812</v>
      </c>
      <c r="C18" s="258" t="s">
        <v>230</v>
      </c>
      <c r="D18" s="342" t="s">
        <v>373</v>
      </c>
      <c r="E18" s="258" t="s">
        <v>233</v>
      </c>
      <c r="F18" s="260" t="s">
        <v>250</v>
      </c>
      <c r="G18" s="343">
        <v>3939</v>
      </c>
      <c r="H18" s="283">
        <f t="shared" si="4"/>
        <v>6411.20983333333</v>
      </c>
      <c r="I18" s="361"/>
      <c r="J18" s="351">
        <v>12697</v>
      </c>
      <c r="K18" s="351">
        <v>12493</v>
      </c>
      <c r="L18" s="351">
        <v>9285</v>
      </c>
      <c r="M18" s="351">
        <v>14881</v>
      </c>
      <c r="N18" s="352">
        <v>13415</v>
      </c>
      <c r="O18" s="353">
        <v>10576</v>
      </c>
      <c r="P18" s="353">
        <v>10846</v>
      </c>
      <c r="Q18" s="353">
        <v>13011</v>
      </c>
      <c r="R18" s="353">
        <v>12141</v>
      </c>
      <c r="S18" s="353">
        <v>9051</v>
      </c>
      <c r="T18" s="353">
        <v>13816</v>
      </c>
      <c r="U18" s="353">
        <f>VLOOKUP(D18,Mid!$A$2:$C$225,2,FALSE)</f>
        <v>10937</v>
      </c>
      <c r="V18" s="353">
        <v>8621</v>
      </c>
      <c r="W18" s="353">
        <v>8165</v>
      </c>
      <c r="X18" s="353">
        <v>6201</v>
      </c>
      <c r="Y18" s="353">
        <v>5990</v>
      </c>
      <c r="Z18" s="353">
        <v>8141</v>
      </c>
      <c r="AA18" s="353">
        <v>8436</v>
      </c>
      <c r="AB18" s="353">
        <v>5939</v>
      </c>
      <c r="AC18" s="353">
        <v>7939</v>
      </c>
      <c r="AD18" s="353">
        <v>7945</v>
      </c>
      <c r="AE18" s="353">
        <v>8433</v>
      </c>
      <c r="AF18" s="353">
        <v>10084</v>
      </c>
      <c r="AG18" s="353">
        <v>9005</v>
      </c>
      <c r="AH18" s="353">
        <v>6491</v>
      </c>
      <c r="AI18" s="353">
        <v>7849</v>
      </c>
      <c r="AJ18" s="353">
        <v>6421</v>
      </c>
      <c r="AK18" s="283" t="s">
        <v>832</v>
      </c>
      <c r="AL18" s="283">
        <v>7286</v>
      </c>
      <c r="AM18" s="283" t="s">
        <v>833</v>
      </c>
      <c r="AN18" s="283" t="s">
        <v>834</v>
      </c>
      <c r="AO18" s="283" t="s">
        <v>835</v>
      </c>
      <c r="AP18" s="283">
        <v>8150</v>
      </c>
      <c r="AQ18" s="283" t="s">
        <v>836</v>
      </c>
      <c r="AR18" s="283" t="s">
        <v>837</v>
      </c>
      <c r="AS18" s="283" t="s">
        <v>838</v>
      </c>
      <c r="AT18" s="283">
        <f>0.0165*2*10046</f>
        <v>331.518</v>
      </c>
      <c r="AU18" s="283" t="s">
        <v>839</v>
      </c>
      <c r="AV18" s="283" t="s">
        <v>840</v>
      </c>
      <c r="AW18" s="283">
        <f t="shared" si="2"/>
        <v>7088.08633333333</v>
      </c>
      <c r="AX18" s="283">
        <v>5600</v>
      </c>
      <c r="AY18" s="283">
        <v>4500</v>
      </c>
      <c r="AZ18" s="283">
        <v>1800</v>
      </c>
      <c r="BA18" s="283">
        <v>4400</v>
      </c>
      <c r="BB18" s="283">
        <v>3500</v>
      </c>
      <c r="BC18" s="283">
        <v>2000</v>
      </c>
      <c r="BD18" s="283">
        <v>3800</v>
      </c>
      <c r="BE18" s="283">
        <v>6000</v>
      </c>
      <c r="BF18" s="283">
        <v>6300</v>
      </c>
      <c r="BG18" s="283">
        <v>2200</v>
      </c>
      <c r="BH18" s="283">
        <v>3400</v>
      </c>
      <c r="BI18" s="283">
        <f>VLOOKUP(D18,Mid!$A$2:$C$225,3,FALSE)</f>
        <v>7800</v>
      </c>
      <c r="BJ18" s="283">
        <v>4100</v>
      </c>
      <c r="BK18" s="283">
        <v>1700</v>
      </c>
      <c r="BL18" s="283">
        <v>2000</v>
      </c>
      <c r="BM18" s="283">
        <v>2900</v>
      </c>
      <c r="BN18" s="283">
        <v>322</v>
      </c>
      <c r="BO18" s="283">
        <v>325</v>
      </c>
      <c r="BP18" s="283">
        <v>873</v>
      </c>
      <c r="BQ18" s="283">
        <v>2700</v>
      </c>
      <c r="BR18" s="283">
        <v>617</v>
      </c>
      <c r="BS18" s="283">
        <v>0</v>
      </c>
      <c r="BT18" s="283">
        <v>3200</v>
      </c>
      <c r="BU18" s="283">
        <v>2200</v>
      </c>
      <c r="BV18" s="283">
        <v>2700</v>
      </c>
      <c r="BW18" s="283">
        <v>903</v>
      </c>
      <c r="BX18" s="283">
        <v>1900</v>
      </c>
      <c r="BY18" s="283">
        <v>1900</v>
      </c>
      <c r="BZ18" s="283">
        <v>1900</v>
      </c>
      <c r="CA18" s="283">
        <v>0</v>
      </c>
      <c r="CB18" s="283">
        <v>0</v>
      </c>
      <c r="CC18" s="283">
        <v>0</v>
      </c>
      <c r="CD18" s="283">
        <v>0</v>
      </c>
      <c r="CE18" s="283">
        <f>85400*0.1566*2</f>
        <v>26747.28</v>
      </c>
      <c r="CF18" s="283">
        <v>14200</v>
      </c>
      <c r="CG18" s="283">
        <v>18000</v>
      </c>
      <c r="CH18" s="283">
        <v>31800</v>
      </c>
      <c r="CI18" s="283">
        <v>484</v>
      </c>
      <c r="CJ18" s="283">
        <v>546</v>
      </c>
      <c r="CK18" s="283">
        <f t="shared" si="3"/>
        <v>5734.33333333333</v>
      </c>
      <c r="CL18" s="370"/>
      <c r="CM18" s="371">
        <f>Summary!$D$24</f>
        <v>175626.7701</v>
      </c>
      <c r="CN18" s="258">
        <f t="shared" si="1"/>
        <v>0</v>
      </c>
    </row>
    <row r="19" ht="15.6" spans="1:92">
      <c r="A19" s="258" t="s">
        <v>193</v>
      </c>
      <c r="B19" s="258" t="s">
        <v>812</v>
      </c>
      <c r="C19" s="258" t="s">
        <v>243</v>
      </c>
      <c r="D19" s="342" t="s">
        <v>369</v>
      </c>
      <c r="E19" s="258" t="s">
        <v>454</v>
      </c>
      <c r="F19" s="260" t="s">
        <v>420</v>
      </c>
      <c r="G19" s="343"/>
      <c r="H19" s="283">
        <f t="shared" si="4"/>
        <v>13591.8333333333</v>
      </c>
      <c r="I19" s="260"/>
      <c r="J19" s="351">
        <v>21216</v>
      </c>
      <c r="K19" s="351">
        <v>30544</v>
      </c>
      <c r="L19" s="351">
        <v>16798</v>
      </c>
      <c r="M19" s="351">
        <v>21327</v>
      </c>
      <c r="N19" s="352">
        <v>23004</v>
      </c>
      <c r="O19" s="353">
        <v>19875</v>
      </c>
      <c r="P19" s="353">
        <v>21982</v>
      </c>
      <c r="Q19" s="353">
        <v>20170</v>
      </c>
      <c r="R19" s="353">
        <v>39757</v>
      </c>
      <c r="S19" s="353">
        <v>21048</v>
      </c>
      <c r="T19" s="353">
        <v>18262</v>
      </c>
      <c r="U19" s="353" t="e">
        <f>VLOOKUP(D19,Mid!$A$2:$C$225,2,FALSE)</f>
        <v>#N/A</v>
      </c>
      <c r="V19" s="353">
        <v>26640</v>
      </c>
      <c r="W19" s="353">
        <v>18350</v>
      </c>
      <c r="X19" s="353">
        <v>20509</v>
      </c>
      <c r="Y19" s="353">
        <v>27826</v>
      </c>
      <c r="Z19" s="353">
        <v>24098</v>
      </c>
      <c r="AA19" s="353">
        <v>22165</v>
      </c>
      <c r="AB19" s="353">
        <v>15646</v>
      </c>
      <c r="AC19" s="353">
        <v>56335</v>
      </c>
      <c r="AD19" s="353">
        <v>20832</v>
      </c>
      <c r="AE19" s="353">
        <v>13368</v>
      </c>
      <c r="AF19" s="353">
        <v>14854</v>
      </c>
      <c r="AG19" s="353">
        <v>16005</v>
      </c>
      <c r="AH19" s="353">
        <v>15080</v>
      </c>
      <c r="AI19" s="353">
        <v>27586</v>
      </c>
      <c r="AJ19" s="353">
        <v>29994</v>
      </c>
      <c r="AK19" s="283" t="s">
        <v>841</v>
      </c>
      <c r="AL19" s="283">
        <v>20858</v>
      </c>
      <c r="AM19" s="283" t="s">
        <v>842</v>
      </c>
      <c r="AN19" s="283" t="s">
        <v>843</v>
      </c>
      <c r="AO19" s="283" t="s">
        <v>844</v>
      </c>
      <c r="AP19" s="283">
        <v>53545</v>
      </c>
      <c r="AQ19" s="283" t="s">
        <v>845</v>
      </c>
      <c r="AR19" s="283">
        <f>64632*0.2004*2</f>
        <v>25904.5056</v>
      </c>
      <c r="AS19" s="283" t="s">
        <v>846</v>
      </c>
      <c r="AT19" s="283" t="s">
        <v>847</v>
      </c>
      <c r="AU19" s="283" t="s">
        <v>848</v>
      </c>
      <c r="AV19" s="283" t="s">
        <v>849</v>
      </c>
      <c r="AW19" s="283">
        <f t="shared" si="2"/>
        <v>18183.6666666667</v>
      </c>
      <c r="AX19" s="283">
        <v>36200</v>
      </c>
      <c r="AY19" s="283">
        <v>25100</v>
      </c>
      <c r="AZ19" s="283">
        <v>25800</v>
      </c>
      <c r="BA19" s="283">
        <v>26200</v>
      </c>
      <c r="BB19" s="283">
        <v>22000</v>
      </c>
      <c r="BC19" s="283">
        <v>25000</v>
      </c>
      <c r="BD19" s="283">
        <v>18600</v>
      </c>
      <c r="BE19" s="283">
        <v>22900</v>
      </c>
      <c r="BF19" s="283">
        <v>23100</v>
      </c>
      <c r="BG19" s="283">
        <v>6100</v>
      </c>
      <c r="BH19" s="283">
        <v>6500</v>
      </c>
      <c r="BI19" s="283" t="e">
        <f>VLOOKUP(D19,Mid!$A$2:$C$225,3,FALSE)</f>
        <v>#N/A</v>
      </c>
      <c r="BJ19" s="283">
        <v>6600</v>
      </c>
      <c r="BK19" s="283">
        <v>10500</v>
      </c>
      <c r="BL19" s="283">
        <v>17000</v>
      </c>
      <c r="BM19" s="283">
        <v>16300</v>
      </c>
      <c r="BN19" s="283">
        <v>29700</v>
      </c>
      <c r="BO19" s="283">
        <v>15500</v>
      </c>
      <c r="BP19" s="283">
        <v>25700</v>
      </c>
      <c r="BQ19" s="283">
        <v>11800</v>
      </c>
      <c r="BR19" s="283">
        <v>18100</v>
      </c>
      <c r="BS19" s="283">
        <v>11400</v>
      </c>
      <c r="BT19" s="283">
        <v>5600</v>
      </c>
      <c r="BU19" s="283">
        <v>11000</v>
      </c>
      <c r="BV19" s="283">
        <v>10200</v>
      </c>
      <c r="BW19" s="283">
        <v>15300</v>
      </c>
      <c r="BX19" s="283">
        <v>13500</v>
      </c>
      <c r="BY19" s="283">
        <v>13500</v>
      </c>
      <c r="BZ19" s="283">
        <v>17440</v>
      </c>
      <c r="CA19" s="283">
        <v>23200</v>
      </c>
      <c r="CB19" s="283">
        <v>25000</v>
      </c>
      <c r="CC19" s="283">
        <v>24700</v>
      </c>
      <c r="CD19" s="283">
        <v>8800</v>
      </c>
      <c r="CE19" s="283">
        <v>21800</v>
      </c>
      <c r="CF19" s="283">
        <v>15200</v>
      </c>
      <c r="CG19" s="283">
        <v>19600</v>
      </c>
      <c r="CH19" s="283">
        <v>2800</v>
      </c>
      <c r="CI19" s="283">
        <v>16300</v>
      </c>
      <c r="CJ19" s="283">
        <v>6200</v>
      </c>
      <c r="CK19" s="283">
        <f t="shared" si="3"/>
        <v>9000</v>
      </c>
      <c r="CL19" s="370"/>
      <c r="CM19" s="371">
        <f>Summary!$D$24</f>
        <v>175626.7701</v>
      </c>
      <c r="CN19" s="258">
        <f t="shared" si="1"/>
        <v>1</v>
      </c>
    </row>
    <row r="20" ht="15.6" spans="1:92">
      <c r="A20" s="258" t="s">
        <v>193</v>
      </c>
      <c r="B20" s="258" t="s">
        <v>812</v>
      </c>
      <c r="C20" s="258" t="s">
        <v>230</v>
      </c>
      <c r="D20" s="258" t="s">
        <v>370</v>
      </c>
      <c r="E20" s="258" t="s">
        <v>233</v>
      </c>
      <c r="F20" s="260" t="s">
        <v>371</v>
      </c>
      <c r="G20" s="343"/>
      <c r="H20" s="283">
        <f t="shared" si="4"/>
        <v>13764.5833333333</v>
      </c>
      <c r="I20" s="260"/>
      <c r="J20" s="357">
        <v>0</v>
      </c>
      <c r="K20" s="357">
        <v>0</v>
      </c>
      <c r="L20" s="357">
        <v>0</v>
      </c>
      <c r="M20" s="357">
        <v>0</v>
      </c>
      <c r="N20" s="358">
        <v>0</v>
      </c>
      <c r="O20" s="359">
        <v>0</v>
      </c>
      <c r="P20" s="359">
        <v>0</v>
      </c>
      <c r="Q20" s="359">
        <v>0</v>
      </c>
      <c r="R20" s="359">
        <v>41430</v>
      </c>
      <c r="S20" s="359">
        <v>0</v>
      </c>
      <c r="T20" s="359">
        <v>13465</v>
      </c>
      <c r="U20" s="353" t="e">
        <f>VLOOKUP(D20,Mid!$A$2:$C$225,2,FALSE)</f>
        <v>#N/A</v>
      </c>
      <c r="V20" s="353">
        <v>8746</v>
      </c>
      <c r="W20" s="353">
        <v>9556</v>
      </c>
      <c r="X20" s="353">
        <v>0</v>
      </c>
      <c r="Y20" s="353">
        <v>0</v>
      </c>
      <c r="Z20" s="353">
        <v>0</v>
      </c>
      <c r="AA20" s="353">
        <v>0</v>
      </c>
      <c r="AB20" s="353">
        <v>0</v>
      </c>
      <c r="AC20" s="353">
        <v>22633</v>
      </c>
      <c r="AD20" s="353">
        <v>14235</v>
      </c>
      <c r="AE20" s="353">
        <v>21925</v>
      </c>
      <c r="AF20" s="353">
        <v>44160</v>
      </c>
      <c r="AG20" s="353">
        <v>54001</v>
      </c>
      <c r="AH20" s="353">
        <v>26977</v>
      </c>
      <c r="AI20" s="353">
        <v>22451</v>
      </c>
      <c r="AJ20" s="353">
        <v>11911</v>
      </c>
      <c r="AK20" s="283" t="s">
        <v>850</v>
      </c>
      <c r="AL20" s="283">
        <v>21</v>
      </c>
      <c r="AM20" s="283" t="s">
        <v>851</v>
      </c>
      <c r="AN20" s="283" t="s">
        <v>852</v>
      </c>
      <c r="AO20" s="283" t="s">
        <v>853</v>
      </c>
      <c r="AP20" s="283">
        <v>50550</v>
      </c>
      <c r="AQ20" s="283" t="s">
        <v>854</v>
      </c>
      <c r="AR20" s="283" t="s">
        <v>855</v>
      </c>
      <c r="AS20" s="283" t="s">
        <v>856</v>
      </c>
      <c r="AT20" s="283" t="s">
        <v>857</v>
      </c>
      <c r="AU20" s="283" t="s">
        <v>858</v>
      </c>
      <c r="AV20" s="283" t="s">
        <v>859</v>
      </c>
      <c r="AW20" s="283">
        <f t="shared" si="2"/>
        <v>16379.1666666667</v>
      </c>
      <c r="AX20" s="283">
        <v>0</v>
      </c>
      <c r="AY20" s="283">
        <v>0</v>
      </c>
      <c r="AZ20" s="283">
        <v>0</v>
      </c>
      <c r="BA20" s="283">
        <v>0</v>
      </c>
      <c r="BB20" s="283">
        <v>0</v>
      </c>
      <c r="BC20" s="283">
        <v>0</v>
      </c>
      <c r="BD20" s="283">
        <v>0</v>
      </c>
      <c r="BE20" s="283">
        <v>0</v>
      </c>
      <c r="BF20" s="283">
        <v>8400</v>
      </c>
      <c r="BG20" s="283">
        <v>2100</v>
      </c>
      <c r="BH20" s="283">
        <v>9300</v>
      </c>
      <c r="BI20" s="283" t="e">
        <f>VLOOKUP(D20,Mid!$A$2:$C$225,3,FALSE)</f>
        <v>#N/A</v>
      </c>
      <c r="BJ20" s="283">
        <v>4500</v>
      </c>
      <c r="BK20" s="283">
        <v>5100</v>
      </c>
      <c r="BL20" s="283">
        <v>5600</v>
      </c>
      <c r="BM20" s="283">
        <v>8900</v>
      </c>
      <c r="BN20" s="283">
        <v>6900</v>
      </c>
      <c r="BO20" s="283">
        <v>10800</v>
      </c>
      <c r="BP20" s="283">
        <v>8400</v>
      </c>
      <c r="BQ20" s="283">
        <v>10500</v>
      </c>
      <c r="BR20" s="283">
        <v>40400</v>
      </c>
      <c r="BS20" s="283">
        <v>9200</v>
      </c>
      <c r="BT20" s="283">
        <v>15200</v>
      </c>
      <c r="BU20" s="283">
        <v>33000</v>
      </c>
      <c r="BV20" s="283">
        <v>11800</v>
      </c>
      <c r="BW20" s="283">
        <v>16100</v>
      </c>
      <c r="BX20" s="283">
        <v>20500</v>
      </c>
      <c r="BY20" s="283">
        <v>20500</v>
      </c>
      <c r="BZ20" s="283">
        <v>9600</v>
      </c>
      <c r="CA20" s="283">
        <v>7100</v>
      </c>
      <c r="CB20" s="283">
        <v>22500</v>
      </c>
      <c r="CC20" s="283">
        <v>11800</v>
      </c>
      <c r="CD20" s="283">
        <v>12200</v>
      </c>
      <c r="CE20" s="283">
        <v>11200</v>
      </c>
      <c r="CF20" s="283">
        <v>15500</v>
      </c>
      <c r="CG20" s="283">
        <v>9900</v>
      </c>
      <c r="CH20" s="283">
        <v>5600</v>
      </c>
      <c r="CI20" s="283">
        <v>16100</v>
      </c>
      <c r="CJ20" s="283">
        <v>9700</v>
      </c>
      <c r="CK20" s="283">
        <f t="shared" si="3"/>
        <v>11150</v>
      </c>
      <c r="CL20" s="370"/>
      <c r="CM20" s="371">
        <f>Summary!$D$24</f>
        <v>175626.7701</v>
      </c>
      <c r="CN20" s="258">
        <f t="shared" si="1"/>
        <v>1</v>
      </c>
    </row>
    <row r="21" ht="15.6" spans="1:92">
      <c r="A21" s="258" t="s">
        <v>171</v>
      </c>
      <c r="B21" s="258" t="s">
        <v>672</v>
      </c>
      <c r="C21" s="258" t="s">
        <v>672</v>
      </c>
      <c r="D21" s="342" t="s">
        <v>583</v>
      </c>
      <c r="E21" s="258" t="s">
        <v>441</v>
      </c>
      <c r="F21" s="260" t="s">
        <v>411</v>
      </c>
      <c r="G21" s="343"/>
      <c r="H21" s="283">
        <f t="shared" si="4"/>
        <v>189576.25</v>
      </c>
      <c r="I21" s="361" t="s">
        <v>672</v>
      </c>
      <c r="J21" s="351">
        <v>221274</v>
      </c>
      <c r="K21" s="351">
        <v>152762</v>
      </c>
      <c r="L21" s="351">
        <v>156201</v>
      </c>
      <c r="M21" s="351">
        <v>191212</v>
      </c>
      <c r="N21" s="352">
        <v>232496</v>
      </c>
      <c r="O21" s="353">
        <v>194740</v>
      </c>
      <c r="P21" s="353">
        <v>356547</v>
      </c>
      <c r="Q21" s="353">
        <v>299732</v>
      </c>
      <c r="R21" s="353">
        <v>242507</v>
      </c>
      <c r="S21" s="353">
        <v>238190</v>
      </c>
      <c r="T21" s="353">
        <v>236527</v>
      </c>
      <c r="U21" s="353">
        <f>VLOOKUP(D21,Mid!$A$2:$C$225,2,FALSE)</f>
        <v>227722</v>
      </c>
      <c r="V21" s="353">
        <v>213701</v>
      </c>
      <c r="W21" s="353">
        <v>199243</v>
      </c>
      <c r="X21" s="353">
        <v>169977</v>
      </c>
      <c r="Y21" s="353">
        <v>242600</v>
      </c>
      <c r="Z21" s="353">
        <v>227665</v>
      </c>
      <c r="AA21" s="353">
        <v>178401</v>
      </c>
      <c r="AB21" s="353">
        <v>225061</v>
      </c>
      <c r="AC21" s="353">
        <v>227080</v>
      </c>
      <c r="AD21" s="353">
        <v>199687</v>
      </c>
      <c r="AE21" s="353">
        <v>165082</v>
      </c>
      <c r="AF21" s="353">
        <v>220328</v>
      </c>
      <c r="AG21" s="353">
        <v>236602</v>
      </c>
      <c r="AH21" s="353">
        <v>229131</v>
      </c>
      <c r="AI21" s="353">
        <v>182819</v>
      </c>
      <c r="AJ21" s="353">
        <v>152915</v>
      </c>
      <c r="AK21" s="283" t="s">
        <v>860</v>
      </c>
      <c r="AL21" s="283">
        <v>152888</v>
      </c>
      <c r="AM21" s="283" t="s">
        <v>861</v>
      </c>
      <c r="AN21" s="283" t="s">
        <v>862</v>
      </c>
      <c r="AO21" s="283" t="s">
        <v>863</v>
      </c>
      <c r="AP21" s="283">
        <v>159027</v>
      </c>
      <c r="AQ21" s="283" t="s">
        <v>864</v>
      </c>
      <c r="AR21" s="283" t="s">
        <v>865</v>
      </c>
      <c r="AS21" s="283" t="s">
        <v>866</v>
      </c>
      <c r="AT21" s="283" t="s">
        <v>867</v>
      </c>
      <c r="AU21" s="283" t="s">
        <v>868</v>
      </c>
      <c r="AV21" s="283" t="s">
        <v>869</v>
      </c>
      <c r="AW21" s="283">
        <f t="shared" si="2"/>
        <v>182152.5</v>
      </c>
      <c r="AX21" s="283">
        <v>314200</v>
      </c>
      <c r="AY21" s="283">
        <v>242200</v>
      </c>
      <c r="AZ21" s="283">
        <v>259800</v>
      </c>
      <c r="BA21" s="283">
        <v>269100</v>
      </c>
      <c r="BB21" s="283">
        <v>256900</v>
      </c>
      <c r="BC21" s="283">
        <v>294500</v>
      </c>
      <c r="BD21" s="283">
        <v>414500</v>
      </c>
      <c r="BE21" s="283">
        <v>396300</v>
      </c>
      <c r="BF21" s="283">
        <v>1000000</v>
      </c>
      <c r="BG21" s="283">
        <v>879500</v>
      </c>
      <c r="BH21" s="283">
        <v>975400</v>
      </c>
      <c r="BI21" s="283">
        <f>VLOOKUP(D21,Mid!$A$2:$C$225,3,FALSE)</f>
        <v>608100</v>
      </c>
      <c r="BJ21" s="283">
        <v>564400</v>
      </c>
      <c r="BK21" s="283">
        <v>480900</v>
      </c>
      <c r="BL21" s="283">
        <v>449600</v>
      </c>
      <c r="BM21" s="283">
        <v>367500</v>
      </c>
      <c r="BN21" s="283">
        <v>443000</v>
      </c>
      <c r="BO21" s="283">
        <v>455700</v>
      </c>
      <c r="BP21" s="283">
        <v>388700</v>
      </c>
      <c r="BQ21" s="283">
        <v>410000</v>
      </c>
      <c r="BR21" s="283">
        <v>210900</v>
      </c>
      <c r="BS21" s="283">
        <v>479500</v>
      </c>
      <c r="BT21" s="283">
        <v>394900</v>
      </c>
      <c r="BU21" s="283">
        <v>216000</v>
      </c>
      <c r="BV21" s="283">
        <v>245200</v>
      </c>
      <c r="BW21" s="283">
        <v>267900</v>
      </c>
      <c r="BX21" s="283">
        <v>201800</v>
      </c>
      <c r="BY21" s="283">
        <v>201800</v>
      </c>
      <c r="BZ21" s="283">
        <v>206400</v>
      </c>
      <c r="CA21" s="283">
        <v>197700</v>
      </c>
      <c r="CB21" s="283">
        <v>141100</v>
      </c>
      <c r="CC21" s="283">
        <v>144700</v>
      </c>
      <c r="CD21" s="283">
        <v>282200</v>
      </c>
      <c r="CE21" s="283">
        <v>282200</v>
      </c>
      <c r="CF21" s="283">
        <v>182400</v>
      </c>
      <c r="CG21" s="283">
        <v>146000</v>
      </c>
      <c r="CH21" s="283">
        <v>102700</v>
      </c>
      <c r="CI21" s="283">
        <v>237400</v>
      </c>
      <c r="CJ21" s="283">
        <v>201500</v>
      </c>
      <c r="CK21" s="283">
        <f t="shared" si="3"/>
        <v>197000</v>
      </c>
      <c r="CL21" s="370"/>
      <c r="CM21" s="371">
        <f>Summary!$D$12</f>
        <v>489885.37</v>
      </c>
      <c r="CN21" s="258">
        <f t="shared" si="1"/>
        <v>0</v>
      </c>
    </row>
    <row r="22" ht="15.6" spans="1:92">
      <c r="A22" s="258" t="s">
        <v>171</v>
      </c>
      <c r="B22" s="258" t="s">
        <v>812</v>
      </c>
      <c r="C22" s="258" t="s">
        <v>230</v>
      </c>
      <c r="D22" s="258" t="s">
        <v>310</v>
      </c>
      <c r="E22" s="258" t="s">
        <v>233</v>
      </c>
      <c r="F22" s="260" t="s">
        <v>371</v>
      </c>
      <c r="G22" s="343"/>
      <c r="H22" s="283">
        <f t="shared" si="4"/>
        <v>137534.186666667</v>
      </c>
      <c r="I22" s="292"/>
      <c r="J22" s="351">
        <v>109065</v>
      </c>
      <c r="K22" s="351">
        <v>143328</v>
      </c>
      <c r="L22" s="351">
        <v>122114</v>
      </c>
      <c r="M22" s="351">
        <v>163351</v>
      </c>
      <c r="N22" s="352">
        <v>150619</v>
      </c>
      <c r="O22" s="352">
        <v>141722</v>
      </c>
      <c r="P22" s="352">
        <v>145042</v>
      </c>
      <c r="Q22" s="353">
        <v>159724</v>
      </c>
      <c r="R22" s="353">
        <v>200873</v>
      </c>
      <c r="S22" s="353">
        <v>141926</v>
      </c>
      <c r="T22" s="353">
        <v>151634</v>
      </c>
      <c r="U22" s="353" t="e">
        <f>VLOOKUP(D22,Mid!$A$2:$C$225,2,FALSE)</f>
        <v>#N/A</v>
      </c>
      <c r="V22" s="353">
        <v>162804</v>
      </c>
      <c r="W22" s="353">
        <v>180483</v>
      </c>
      <c r="X22" s="353">
        <v>157360</v>
      </c>
      <c r="Y22" s="353">
        <v>139026</v>
      </c>
      <c r="Z22" s="353">
        <v>141832</v>
      </c>
      <c r="AA22" s="353">
        <v>180334</v>
      </c>
      <c r="AB22" s="353">
        <v>183636</v>
      </c>
      <c r="AC22" s="353">
        <v>182574</v>
      </c>
      <c r="AD22" s="353">
        <v>139289</v>
      </c>
      <c r="AE22" s="353">
        <v>176175</v>
      </c>
      <c r="AF22" s="353">
        <v>159369</v>
      </c>
      <c r="AG22" s="353">
        <v>17417</v>
      </c>
      <c r="AH22" s="353">
        <v>159725</v>
      </c>
      <c r="AI22" s="353">
        <v>123434</v>
      </c>
      <c r="AJ22" s="353">
        <v>129996</v>
      </c>
      <c r="AK22" s="283" t="s">
        <v>870</v>
      </c>
      <c r="AL22" s="283">
        <v>147021</v>
      </c>
      <c r="AM22" s="283" t="s">
        <v>871</v>
      </c>
      <c r="AN22" s="283">
        <f>190306*0.3161*2</f>
        <v>120311.4532</v>
      </c>
      <c r="AO22" s="283" t="s">
        <v>872</v>
      </c>
      <c r="AP22" s="283">
        <v>121888</v>
      </c>
      <c r="AQ22" s="283" t="s">
        <v>873</v>
      </c>
      <c r="AR22" s="283" t="s">
        <v>874</v>
      </c>
      <c r="AS22" s="283" t="s">
        <v>875</v>
      </c>
      <c r="AT22" s="283" t="s">
        <v>876</v>
      </c>
      <c r="AU22" s="283" t="s">
        <v>877</v>
      </c>
      <c r="AV22" s="283" t="s">
        <v>878</v>
      </c>
      <c r="AW22" s="283">
        <f t="shared" si="2"/>
        <v>166930.666666667</v>
      </c>
      <c r="AX22" s="283">
        <v>157400</v>
      </c>
      <c r="AY22" s="283">
        <v>137300</v>
      </c>
      <c r="AZ22" s="283">
        <v>133800</v>
      </c>
      <c r="BA22" s="283">
        <v>138600</v>
      </c>
      <c r="BB22" s="283">
        <v>145300</v>
      </c>
      <c r="BC22" s="283">
        <v>144000</v>
      </c>
      <c r="BD22" s="283">
        <v>131000</v>
      </c>
      <c r="BE22" s="283">
        <v>159200</v>
      </c>
      <c r="BF22" s="283">
        <v>127900</v>
      </c>
      <c r="BG22" s="283">
        <v>127800</v>
      </c>
      <c r="BH22" s="283">
        <v>150000</v>
      </c>
      <c r="BI22" s="283" t="e">
        <f>VLOOKUP(D22,Mid!$A$2:$C$225,3,FALSE)</f>
        <v>#N/A</v>
      </c>
      <c r="BJ22" s="283">
        <v>131800</v>
      </c>
      <c r="BK22" s="283">
        <v>136400</v>
      </c>
      <c r="BL22" s="283">
        <v>89700</v>
      </c>
      <c r="BM22" s="283">
        <v>186400</v>
      </c>
      <c r="BN22" s="283">
        <v>148100</v>
      </c>
      <c r="BO22" s="283">
        <v>136200</v>
      </c>
      <c r="BP22" s="283">
        <v>134000</v>
      </c>
      <c r="BQ22" s="283">
        <v>140300</v>
      </c>
      <c r="BR22" s="283">
        <v>191400</v>
      </c>
      <c r="BS22" s="283">
        <v>96300</v>
      </c>
      <c r="BT22" s="283">
        <v>160400</v>
      </c>
      <c r="BU22" s="283">
        <v>129200</v>
      </c>
      <c r="BV22" s="283">
        <v>109600</v>
      </c>
      <c r="BW22" s="283">
        <v>118100</v>
      </c>
      <c r="BX22" s="283">
        <v>117600</v>
      </c>
      <c r="BY22" s="283">
        <v>117600</v>
      </c>
      <c r="BZ22" s="283">
        <v>86600</v>
      </c>
      <c r="CA22" s="283">
        <v>70700</v>
      </c>
      <c r="CB22" s="283">
        <v>96700</v>
      </c>
      <c r="CC22" s="283">
        <v>109000</v>
      </c>
      <c r="CD22" s="283">
        <v>65000</v>
      </c>
      <c r="CE22" s="283">
        <v>78000</v>
      </c>
      <c r="CF22" s="283">
        <v>128643.84</v>
      </c>
      <c r="CG22" s="283">
        <v>113300</v>
      </c>
      <c r="CH22" s="283">
        <v>93700</v>
      </c>
      <c r="CI22" s="283">
        <f>0.3492*2*154300</f>
        <v>107763.12</v>
      </c>
      <c r="CJ22" s="283">
        <v>113200</v>
      </c>
      <c r="CK22" s="283">
        <f t="shared" si="3"/>
        <v>108137.706666667</v>
      </c>
      <c r="CL22" s="370"/>
      <c r="CM22" s="371">
        <f>Summary!$D$12</f>
        <v>489885.37</v>
      </c>
      <c r="CN22" s="258">
        <f t="shared" si="1"/>
        <v>1</v>
      </c>
    </row>
    <row r="23" ht="15.6" spans="1:92">
      <c r="A23" s="258" t="s">
        <v>171</v>
      </c>
      <c r="B23" s="258" t="s">
        <v>812</v>
      </c>
      <c r="C23" s="258" t="s">
        <v>243</v>
      </c>
      <c r="D23" s="342" t="s">
        <v>311</v>
      </c>
      <c r="E23" s="258" t="s">
        <v>441</v>
      </c>
      <c r="F23" s="260" t="s">
        <v>420</v>
      </c>
      <c r="G23" s="343"/>
      <c r="H23" s="283">
        <f t="shared" si="4"/>
        <v>95372.9166666667</v>
      </c>
      <c r="I23" s="292"/>
      <c r="J23" s="351">
        <v>78226</v>
      </c>
      <c r="K23" s="351">
        <v>84338</v>
      </c>
      <c r="L23" s="351">
        <v>71357</v>
      </c>
      <c r="M23" s="351">
        <v>80432</v>
      </c>
      <c r="N23" s="352">
        <v>90694</v>
      </c>
      <c r="O23" s="353">
        <v>84295</v>
      </c>
      <c r="P23" s="353">
        <v>98491</v>
      </c>
      <c r="Q23" s="353">
        <v>94718</v>
      </c>
      <c r="R23" s="353">
        <v>74827</v>
      </c>
      <c r="S23" s="353">
        <v>89437</v>
      </c>
      <c r="T23" s="353">
        <v>101110</v>
      </c>
      <c r="U23" s="353">
        <f>VLOOKUP(D23,Mid!$A$2:$C$225,2,FALSE)</f>
        <v>95327</v>
      </c>
      <c r="V23" s="353">
        <v>68238</v>
      </c>
      <c r="W23" s="353">
        <v>73585</v>
      </c>
      <c r="X23" s="353">
        <v>64899</v>
      </c>
      <c r="Y23" s="353">
        <v>64023</v>
      </c>
      <c r="Z23" s="353">
        <v>94169</v>
      </c>
      <c r="AA23" s="353">
        <v>100438</v>
      </c>
      <c r="AB23" s="353">
        <v>94324</v>
      </c>
      <c r="AC23" s="353">
        <v>88321</v>
      </c>
      <c r="AD23" s="353">
        <v>59358</v>
      </c>
      <c r="AE23" s="353">
        <v>47752</v>
      </c>
      <c r="AF23" s="353">
        <v>77373</v>
      </c>
      <c r="AG23" s="353">
        <v>69941</v>
      </c>
      <c r="AH23" s="353">
        <v>88474</v>
      </c>
      <c r="AI23" s="353">
        <v>56130</v>
      </c>
      <c r="AJ23" s="353">
        <v>62260</v>
      </c>
      <c r="AK23" s="283" t="s">
        <v>879</v>
      </c>
      <c r="AL23" s="283">
        <v>71761</v>
      </c>
      <c r="AM23" s="283" t="s">
        <v>880</v>
      </c>
      <c r="AN23" s="283" t="s">
        <v>881</v>
      </c>
      <c r="AO23" s="283" t="s">
        <v>882</v>
      </c>
      <c r="AP23" s="283">
        <v>91688</v>
      </c>
      <c r="AQ23" s="283" t="s">
        <v>883</v>
      </c>
      <c r="AR23" s="283" t="s">
        <v>884</v>
      </c>
      <c r="AS23" s="283" t="s">
        <v>885</v>
      </c>
      <c r="AT23" s="283" t="s">
        <v>886</v>
      </c>
      <c r="AU23" s="283" t="s">
        <v>887</v>
      </c>
      <c r="AV23" s="283" t="s">
        <v>888</v>
      </c>
      <c r="AW23" s="283">
        <f t="shared" si="2"/>
        <v>125729.166666667</v>
      </c>
      <c r="AX23" s="283">
        <v>56900</v>
      </c>
      <c r="AY23" s="283">
        <v>62800</v>
      </c>
      <c r="AZ23" s="283">
        <v>51000</v>
      </c>
      <c r="BA23" s="283">
        <v>46900</v>
      </c>
      <c r="BB23" s="283">
        <v>60200</v>
      </c>
      <c r="BC23" s="283">
        <v>67800</v>
      </c>
      <c r="BD23" s="283">
        <v>55700</v>
      </c>
      <c r="BE23" s="283">
        <v>65300</v>
      </c>
      <c r="BF23" s="283">
        <v>93900</v>
      </c>
      <c r="BG23" s="283">
        <v>96200</v>
      </c>
      <c r="BH23" s="283">
        <v>131100</v>
      </c>
      <c r="BI23" s="283">
        <f>VLOOKUP(D23,Mid!$A$2:$C$225,3,FALSE)</f>
        <v>96900</v>
      </c>
      <c r="BJ23" s="283">
        <v>95200</v>
      </c>
      <c r="BK23" s="283">
        <v>77600</v>
      </c>
      <c r="BL23" s="283">
        <v>55300</v>
      </c>
      <c r="BM23" s="283">
        <v>85200</v>
      </c>
      <c r="BN23" s="283">
        <v>135100</v>
      </c>
      <c r="BO23" s="283">
        <v>92200</v>
      </c>
      <c r="BP23" s="283">
        <v>76300</v>
      </c>
      <c r="BQ23" s="283">
        <v>118600</v>
      </c>
      <c r="BR23" s="283">
        <v>90900</v>
      </c>
      <c r="BS23" s="283">
        <v>70000</v>
      </c>
      <c r="BT23" s="283">
        <v>101100</v>
      </c>
      <c r="BU23" s="283">
        <v>285700</v>
      </c>
      <c r="BV23" s="283">
        <v>78500</v>
      </c>
      <c r="BW23" s="283">
        <v>79700</v>
      </c>
      <c r="BX23" s="283">
        <v>56200</v>
      </c>
      <c r="BY23" s="283">
        <v>56200</v>
      </c>
      <c r="BZ23" s="283">
        <v>86000</v>
      </c>
      <c r="CA23" s="283">
        <v>58700</v>
      </c>
      <c r="CB23" s="283">
        <v>95200</v>
      </c>
      <c r="CC23" s="283">
        <v>105000</v>
      </c>
      <c r="CD23" s="283">
        <v>54500</v>
      </c>
      <c r="CE23" s="283">
        <v>36900</v>
      </c>
      <c r="CF23" s="283">
        <v>88300</v>
      </c>
      <c r="CG23" s="283">
        <v>66200</v>
      </c>
      <c r="CH23" s="283">
        <v>84800</v>
      </c>
      <c r="CI23" s="283">
        <v>54400</v>
      </c>
      <c r="CJ23" s="283">
        <v>65500</v>
      </c>
      <c r="CK23" s="283">
        <f t="shared" si="3"/>
        <v>65016.6666666667</v>
      </c>
      <c r="CL23" s="370"/>
      <c r="CM23" s="371">
        <f>Summary!$D$12</f>
        <v>489885.37</v>
      </c>
      <c r="CN23" s="258">
        <f t="shared" si="1"/>
        <v>1</v>
      </c>
    </row>
    <row r="24" ht="15.6" spans="1:92">
      <c r="A24" s="258" t="s">
        <v>171</v>
      </c>
      <c r="B24" s="258" t="s">
        <v>812</v>
      </c>
      <c r="C24" s="258" t="s">
        <v>243</v>
      </c>
      <c r="D24" s="342" t="s">
        <v>314</v>
      </c>
      <c r="E24" s="258" t="s">
        <v>441</v>
      </c>
      <c r="F24" s="260" t="s">
        <v>50</v>
      </c>
      <c r="G24" s="343"/>
      <c r="H24" s="283">
        <f t="shared" si="4"/>
        <v>60722.6666666667</v>
      </c>
      <c r="I24" s="292"/>
      <c r="J24" s="351">
        <v>105626</v>
      </c>
      <c r="K24" s="351">
        <v>66725</v>
      </c>
      <c r="L24" s="351">
        <v>57697</v>
      </c>
      <c r="M24" s="351">
        <v>75582</v>
      </c>
      <c r="N24" s="352">
        <v>64714</v>
      </c>
      <c r="O24" s="353">
        <v>74334</v>
      </c>
      <c r="P24" s="353">
        <v>86780</v>
      </c>
      <c r="Q24" s="353">
        <v>87500</v>
      </c>
      <c r="R24" s="353">
        <v>95998</v>
      </c>
      <c r="S24" s="353">
        <v>79907</v>
      </c>
      <c r="T24" s="353">
        <v>84964</v>
      </c>
      <c r="U24" s="353">
        <f>VLOOKUP(D24,Mid!$A$2:$C$225,2,FALSE)</f>
        <v>73738</v>
      </c>
      <c r="V24" s="353">
        <v>74434</v>
      </c>
      <c r="W24" s="353">
        <v>96041</v>
      </c>
      <c r="X24" s="353">
        <v>77375</v>
      </c>
      <c r="Y24" s="353">
        <v>104017</v>
      </c>
      <c r="Z24" s="353">
        <v>88930</v>
      </c>
      <c r="AA24" s="353">
        <v>72372</v>
      </c>
      <c r="AB24" s="353">
        <v>97198</v>
      </c>
      <c r="AC24" s="353">
        <v>89359</v>
      </c>
      <c r="AD24" s="353">
        <v>60659</v>
      </c>
      <c r="AE24" s="353">
        <v>53755</v>
      </c>
      <c r="AF24" s="353">
        <v>55630</v>
      </c>
      <c r="AG24" s="353">
        <v>47971</v>
      </c>
      <c r="AH24" s="353">
        <v>43497</v>
      </c>
      <c r="AI24" s="353">
        <v>55653</v>
      </c>
      <c r="AJ24" s="353">
        <v>59418</v>
      </c>
      <c r="AK24" s="283" t="s">
        <v>889</v>
      </c>
      <c r="AL24" s="283">
        <v>81524</v>
      </c>
      <c r="AM24" s="283" t="s">
        <v>890</v>
      </c>
      <c r="AN24" s="283" t="s">
        <v>891</v>
      </c>
      <c r="AO24" s="283" t="s">
        <v>892</v>
      </c>
      <c r="AP24" s="283">
        <v>97283</v>
      </c>
      <c r="AQ24" s="283" t="s">
        <v>893</v>
      </c>
      <c r="AR24" s="283" t="s">
        <v>894</v>
      </c>
      <c r="AS24" s="283" t="s">
        <v>895</v>
      </c>
      <c r="AT24" s="283" t="s">
        <v>896</v>
      </c>
      <c r="AU24" s="283" t="s">
        <v>897</v>
      </c>
      <c r="AV24" s="283" t="s">
        <v>898</v>
      </c>
      <c r="AW24" s="283">
        <f t="shared" si="2"/>
        <v>72445.3333333333</v>
      </c>
      <c r="AX24" s="283">
        <v>49500</v>
      </c>
      <c r="AY24" s="283">
        <v>48200</v>
      </c>
      <c r="AZ24" s="283">
        <v>47700</v>
      </c>
      <c r="BA24" s="283">
        <v>42800</v>
      </c>
      <c r="BB24" s="283">
        <v>47100</v>
      </c>
      <c r="BC24" s="283">
        <v>39600</v>
      </c>
      <c r="BD24" s="283">
        <v>52100</v>
      </c>
      <c r="BE24" s="283">
        <v>55400</v>
      </c>
      <c r="BF24" s="283">
        <v>32500</v>
      </c>
      <c r="BG24" s="283">
        <v>39300</v>
      </c>
      <c r="BH24" s="283">
        <v>47800</v>
      </c>
      <c r="BI24" s="283">
        <f>VLOOKUP(D24,Mid!$A$2:$C$225,3,FALSE)</f>
        <v>61900</v>
      </c>
      <c r="BJ24" s="283">
        <v>58400</v>
      </c>
      <c r="BK24" s="283">
        <v>34000</v>
      </c>
      <c r="BL24" s="283">
        <v>33100</v>
      </c>
      <c r="BM24" s="283">
        <v>32000</v>
      </c>
      <c r="BN24" s="283">
        <v>41100</v>
      </c>
      <c r="BO24" s="283">
        <v>32300</v>
      </c>
      <c r="BP24" s="283">
        <v>31900</v>
      </c>
      <c r="BQ24" s="283">
        <v>57000</v>
      </c>
      <c r="BR24" s="283">
        <v>60700</v>
      </c>
      <c r="BS24" s="283">
        <v>33000</v>
      </c>
      <c r="BT24" s="283">
        <v>33400</v>
      </c>
      <c r="BU24" s="283">
        <v>78600</v>
      </c>
      <c r="BV24" s="283">
        <v>66800</v>
      </c>
      <c r="BW24" s="283">
        <v>158200</v>
      </c>
      <c r="BX24" s="283">
        <v>67600</v>
      </c>
      <c r="BY24" s="283">
        <v>67600</v>
      </c>
      <c r="BZ24" s="283">
        <v>95800</v>
      </c>
      <c r="CA24" s="283">
        <v>46700</v>
      </c>
      <c r="CB24" s="283">
        <v>47100</v>
      </c>
      <c r="CC24" s="283">
        <v>45800</v>
      </c>
      <c r="CD24" s="283">
        <v>40900</v>
      </c>
      <c r="CE24" s="283">
        <v>11800</v>
      </c>
      <c r="CF24" s="283">
        <v>36800</v>
      </c>
      <c r="CG24" s="283">
        <v>52600</v>
      </c>
      <c r="CH24" s="283">
        <v>60700</v>
      </c>
      <c r="CI24" s="283">
        <v>48100</v>
      </c>
      <c r="CJ24" s="283">
        <v>45700</v>
      </c>
      <c r="CK24" s="283">
        <f t="shared" si="3"/>
        <v>49000</v>
      </c>
      <c r="CL24" s="370"/>
      <c r="CM24" s="371">
        <f>Summary!$D$12</f>
        <v>489885.37</v>
      </c>
      <c r="CN24" s="258">
        <f t="shared" si="1"/>
        <v>1</v>
      </c>
    </row>
    <row r="25" ht="15.6" spans="1:92">
      <c r="A25" s="344" t="s">
        <v>171</v>
      </c>
      <c r="B25" s="344" t="s">
        <v>683</v>
      </c>
      <c r="C25" s="348" t="s">
        <v>227</v>
      </c>
      <c r="D25" s="348" t="s">
        <v>312</v>
      </c>
      <c r="E25" s="344" t="s">
        <v>441</v>
      </c>
      <c r="F25" s="344" t="s">
        <v>49</v>
      </c>
      <c r="G25" s="345"/>
      <c r="H25" s="345">
        <f t="shared" si="4"/>
        <v>78672.6166666667</v>
      </c>
      <c r="I25" s="292"/>
      <c r="J25" s="351">
        <v>24906</v>
      </c>
      <c r="K25" s="351">
        <v>44360</v>
      </c>
      <c r="L25" s="351">
        <v>22896</v>
      </c>
      <c r="M25" s="351">
        <v>25292</v>
      </c>
      <c r="N25" s="352">
        <v>53435</v>
      </c>
      <c r="O25" s="353">
        <v>78046</v>
      </c>
      <c r="P25" s="353">
        <v>75958</v>
      </c>
      <c r="Q25" s="353">
        <v>47495</v>
      </c>
      <c r="R25" s="353">
        <v>76823</v>
      </c>
      <c r="S25" s="353">
        <v>54708</v>
      </c>
      <c r="T25" s="353">
        <v>49070</v>
      </c>
      <c r="U25" s="353">
        <f>VLOOKUP(D25,Mid!$A$2:$C$225,2,FALSE)</f>
        <v>56078</v>
      </c>
      <c r="V25" s="353">
        <v>58501</v>
      </c>
      <c r="W25" s="353">
        <v>69912</v>
      </c>
      <c r="X25" s="353">
        <v>60736</v>
      </c>
      <c r="Y25" s="353">
        <v>73796</v>
      </c>
      <c r="Z25" s="353">
        <v>79819</v>
      </c>
      <c r="AA25" s="353">
        <v>77246</v>
      </c>
      <c r="AB25" s="353">
        <v>90437</v>
      </c>
      <c r="AC25" s="353">
        <v>121700</v>
      </c>
      <c r="AD25" s="353">
        <v>81059</v>
      </c>
      <c r="AE25" s="353">
        <v>96590</v>
      </c>
      <c r="AF25" s="353">
        <v>88223</v>
      </c>
      <c r="AG25" s="353">
        <v>115883</v>
      </c>
      <c r="AH25" s="353">
        <v>123654</v>
      </c>
      <c r="AI25" s="353">
        <v>88517</v>
      </c>
      <c r="AJ25" s="353">
        <v>98616</v>
      </c>
      <c r="AK25" s="283">
        <v>99706</v>
      </c>
      <c r="AL25" s="283">
        <v>98788</v>
      </c>
      <c r="AM25" s="283" t="s">
        <v>899</v>
      </c>
      <c r="AN25" s="283" t="s">
        <v>900</v>
      </c>
      <c r="AO25" s="283" t="s">
        <v>901</v>
      </c>
      <c r="AP25" s="283">
        <v>99574</v>
      </c>
      <c r="AQ25" s="283" t="s">
        <v>902</v>
      </c>
      <c r="AR25" s="283" t="s">
        <v>903</v>
      </c>
      <c r="AS25" s="283" t="s">
        <v>904</v>
      </c>
      <c r="AT25" s="283" t="s">
        <v>905</v>
      </c>
      <c r="AU25" s="283" t="s">
        <v>906</v>
      </c>
      <c r="AV25" s="283" t="s">
        <v>907</v>
      </c>
      <c r="AW25" s="283">
        <f t="shared" si="2"/>
        <v>74406.3333333333</v>
      </c>
      <c r="AX25" s="283">
        <v>33000</v>
      </c>
      <c r="AY25" s="283">
        <v>45600</v>
      </c>
      <c r="AZ25" s="283">
        <v>33700</v>
      </c>
      <c r="BA25" s="283">
        <v>37500</v>
      </c>
      <c r="BB25" s="283">
        <v>44100</v>
      </c>
      <c r="BC25" s="283">
        <v>52400</v>
      </c>
      <c r="BD25" s="283">
        <v>49600</v>
      </c>
      <c r="BE25" s="283">
        <v>45100</v>
      </c>
      <c r="BF25" s="283">
        <v>61400</v>
      </c>
      <c r="BG25" s="283">
        <v>42700</v>
      </c>
      <c r="BH25" s="283">
        <v>55000</v>
      </c>
      <c r="BI25" s="283">
        <f>VLOOKUP(D25,Mid!$A$2:$C$225,3,FALSE)</f>
        <v>47500</v>
      </c>
      <c r="BJ25" s="283">
        <v>49500</v>
      </c>
      <c r="BK25" s="283">
        <v>55600</v>
      </c>
      <c r="BL25" s="283">
        <v>51000</v>
      </c>
      <c r="BM25" s="283">
        <v>86800</v>
      </c>
      <c r="BN25" s="283">
        <v>53100</v>
      </c>
      <c r="BO25" s="283">
        <v>75500</v>
      </c>
      <c r="BP25" s="283">
        <v>101300</v>
      </c>
      <c r="BQ25" s="283">
        <v>81000</v>
      </c>
      <c r="BR25" s="283">
        <v>118300</v>
      </c>
      <c r="BS25" s="283">
        <v>249800</v>
      </c>
      <c r="BT25" s="283">
        <v>162600</v>
      </c>
      <c r="BU25" s="283">
        <v>149900</v>
      </c>
      <c r="BV25" s="283">
        <v>144600</v>
      </c>
      <c r="BW25" s="283">
        <v>160000</v>
      </c>
      <c r="BX25" s="283">
        <v>143600</v>
      </c>
      <c r="BY25" s="283">
        <v>143600</v>
      </c>
      <c r="BZ25" s="283">
        <v>155600</v>
      </c>
      <c r="CA25" s="283">
        <v>62500</v>
      </c>
      <c r="CB25" s="283">
        <v>68400</v>
      </c>
      <c r="CC25" s="283">
        <v>108500</v>
      </c>
      <c r="CD25" s="283">
        <v>85400</v>
      </c>
      <c r="CE25" s="283">
        <v>198700</v>
      </c>
      <c r="CF25" s="283">
        <v>53000</v>
      </c>
      <c r="CG25" s="283">
        <v>80382.12</v>
      </c>
      <c r="CH25" s="283">
        <v>72267</v>
      </c>
      <c r="CI25" s="283">
        <f>0.342*2*104800</f>
        <v>71683.2</v>
      </c>
      <c r="CJ25" s="283">
        <v>94000</v>
      </c>
      <c r="CK25" s="283">
        <f t="shared" si="3"/>
        <v>82938.9</v>
      </c>
      <c r="CL25" s="370"/>
      <c r="CM25" s="371">
        <f>Summary!$D$12</f>
        <v>489885.37</v>
      </c>
      <c r="CN25" s="258">
        <f t="shared" si="1"/>
        <v>1</v>
      </c>
    </row>
    <row r="26" ht="15.6" spans="1:92">
      <c r="A26" s="258" t="s">
        <v>171</v>
      </c>
      <c r="B26" s="258" t="s">
        <v>812</v>
      </c>
      <c r="C26" s="258" t="s">
        <v>230</v>
      </c>
      <c r="D26" s="258" t="s">
        <v>908</v>
      </c>
      <c r="E26" s="258" t="s">
        <v>234</v>
      </c>
      <c r="F26" s="260" t="s">
        <v>371</v>
      </c>
      <c r="G26" s="343"/>
      <c r="H26" s="283">
        <f t="shared" si="4"/>
        <v>10474.5</v>
      </c>
      <c r="I26" s="360" t="s">
        <v>909</v>
      </c>
      <c r="J26" s="351">
        <v>60182</v>
      </c>
      <c r="K26" s="351">
        <v>83233</v>
      </c>
      <c r="L26" s="351">
        <v>68709</v>
      </c>
      <c r="M26" s="351">
        <v>100121</v>
      </c>
      <c r="N26" s="352">
        <v>52957</v>
      </c>
      <c r="O26" s="352">
        <v>71634</v>
      </c>
      <c r="P26" s="352">
        <v>65239</v>
      </c>
      <c r="Q26" s="353">
        <v>88298</v>
      </c>
      <c r="R26" s="353">
        <v>71441</v>
      </c>
      <c r="S26" s="353">
        <v>108518</v>
      </c>
      <c r="T26" s="353">
        <v>66993</v>
      </c>
      <c r="U26" s="353" t="e">
        <f>VLOOKUP(D26,Mid!$A$2:$C$225,2,FALSE)</f>
        <v>#N/A</v>
      </c>
      <c r="V26" s="353">
        <v>43789</v>
      </c>
      <c r="W26" s="353">
        <v>95849</v>
      </c>
      <c r="X26" s="353">
        <v>57633</v>
      </c>
      <c r="Y26" s="353">
        <v>91348</v>
      </c>
      <c r="Z26" s="353">
        <v>48389</v>
      </c>
      <c r="AA26" s="353">
        <v>49931</v>
      </c>
      <c r="AB26" s="353">
        <v>48339</v>
      </c>
      <c r="AC26" s="353">
        <v>35856</v>
      </c>
      <c r="AD26" s="353">
        <v>22436</v>
      </c>
      <c r="AE26" s="353">
        <v>20771</v>
      </c>
      <c r="AF26" s="353">
        <v>4625</v>
      </c>
      <c r="AG26" s="353">
        <v>14007</v>
      </c>
      <c r="AH26" s="353">
        <v>12769</v>
      </c>
      <c r="AI26" s="353">
        <v>14029</v>
      </c>
      <c r="AJ26" s="353">
        <v>17524</v>
      </c>
      <c r="AK26" s="283" t="s">
        <v>910</v>
      </c>
      <c r="AL26" s="283">
        <v>35904</v>
      </c>
      <c r="AM26" s="283" t="s">
        <v>911</v>
      </c>
      <c r="AN26" s="283" t="s">
        <v>912</v>
      </c>
      <c r="AO26" s="283" t="s">
        <v>913</v>
      </c>
      <c r="AP26" s="283">
        <v>29857</v>
      </c>
      <c r="AQ26" s="283" t="s">
        <v>914</v>
      </c>
      <c r="AR26" s="283" t="s">
        <v>915</v>
      </c>
      <c r="AS26" s="283" t="s">
        <v>916</v>
      </c>
      <c r="AT26" s="283" t="s">
        <v>917</v>
      </c>
      <c r="AU26" s="283" t="s">
        <v>918</v>
      </c>
      <c r="AV26" s="283" t="s">
        <v>919</v>
      </c>
      <c r="AW26" s="283">
        <f t="shared" si="2"/>
        <v>17737.6666666667</v>
      </c>
      <c r="AX26" s="283">
        <v>7100</v>
      </c>
      <c r="AY26" s="283">
        <v>5700</v>
      </c>
      <c r="AZ26" s="283">
        <v>4600</v>
      </c>
      <c r="BA26" s="283">
        <v>5200</v>
      </c>
      <c r="BB26" s="283">
        <v>7000</v>
      </c>
      <c r="BC26" s="283">
        <v>7800</v>
      </c>
      <c r="BD26" s="283">
        <v>5500</v>
      </c>
      <c r="BE26" s="283">
        <v>5800</v>
      </c>
      <c r="BF26" s="283">
        <v>16900</v>
      </c>
      <c r="BG26" s="283">
        <v>15300</v>
      </c>
      <c r="BH26" s="283">
        <v>16600</v>
      </c>
      <c r="BI26" s="283" t="e">
        <f>VLOOKUP(D26,Mid!$A$2:$C$225,3,FALSE)</f>
        <v>#N/A</v>
      </c>
      <c r="BJ26" s="283">
        <v>5300</v>
      </c>
      <c r="BK26" s="283">
        <v>9900</v>
      </c>
      <c r="BL26" s="283">
        <v>9500</v>
      </c>
      <c r="BM26" s="283">
        <v>11900</v>
      </c>
      <c r="BN26" s="283">
        <v>5900</v>
      </c>
      <c r="BO26" s="283">
        <v>6200</v>
      </c>
      <c r="BP26" s="283">
        <v>7700</v>
      </c>
      <c r="BQ26" s="283">
        <v>11300</v>
      </c>
      <c r="BR26" s="283">
        <v>5200</v>
      </c>
      <c r="BS26" s="283">
        <v>2200</v>
      </c>
      <c r="BT26" s="283">
        <v>4800</v>
      </c>
      <c r="BU26" s="283">
        <v>1600</v>
      </c>
      <c r="BV26" s="283">
        <v>4400</v>
      </c>
      <c r="BW26" s="283">
        <v>2200</v>
      </c>
      <c r="BX26" s="283">
        <v>5300</v>
      </c>
      <c r="BY26" s="283">
        <v>5300</v>
      </c>
      <c r="BZ26" s="283">
        <v>4100</v>
      </c>
      <c r="CA26" s="283">
        <v>9200</v>
      </c>
      <c r="CB26" s="283">
        <v>12200</v>
      </c>
      <c r="CC26" s="283">
        <v>7600</v>
      </c>
      <c r="CD26" s="283">
        <v>2100</v>
      </c>
      <c r="CE26" s="283">
        <v>2100</v>
      </c>
      <c r="CF26" s="283">
        <v>2200</v>
      </c>
      <c r="CG26" s="283">
        <v>864</v>
      </c>
      <c r="CH26" s="283">
        <v>1200</v>
      </c>
      <c r="CI26" s="283">
        <v>484</v>
      </c>
      <c r="CJ26" s="283">
        <v>5700</v>
      </c>
      <c r="CK26" s="283">
        <f t="shared" si="3"/>
        <v>3211.33333333333</v>
      </c>
      <c r="CL26" s="370"/>
      <c r="CM26" s="371">
        <f>Summary!$D$12</f>
        <v>489885.37</v>
      </c>
      <c r="CN26" s="258">
        <f t="shared" si="1"/>
        <v>0</v>
      </c>
    </row>
    <row r="27" ht="15.6" spans="1:92">
      <c r="A27" s="258" t="s">
        <v>171</v>
      </c>
      <c r="B27" s="258" t="s">
        <v>812</v>
      </c>
      <c r="C27" s="258" t="s">
        <v>243</v>
      </c>
      <c r="D27" s="342" t="s">
        <v>388</v>
      </c>
      <c r="E27" s="258" t="s">
        <v>441</v>
      </c>
      <c r="F27" s="260" t="s">
        <v>49</v>
      </c>
      <c r="G27" s="343"/>
      <c r="H27" s="283">
        <f t="shared" si="4"/>
        <v>18827.8333333333</v>
      </c>
      <c r="I27" s="292"/>
      <c r="J27" s="351">
        <v>19810</v>
      </c>
      <c r="K27" s="351">
        <v>25072</v>
      </c>
      <c r="L27" s="351">
        <v>25645</v>
      </c>
      <c r="M27" s="351">
        <v>22330</v>
      </c>
      <c r="N27" s="352">
        <v>22071</v>
      </c>
      <c r="O27" s="353">
        <v>28220</v>
      </c>
      <c r="P27" s="353">
        <v>31623</v>
      </c>
      <c r="Q27" s="353">
        <v>32311</v>
      </c>
      <c r="R27" s="353">
        <v>43887</v>
      </c>
      <c r="S27" s="353">
        <v>31629</v>
      </c>
      <c r="T27" s="353">
        <v>32056</v>
      </c>
      <c r="U27" s="353">
        <f>VLOOKUP(D27,Mid!$A$2:$C$225,2,FALSE)</f>
        <v>27719</v>
      </c>
      <c r="V27" s="353">
        <v>37623</v>
      </c>
      <c r="W27" s="353">
        <v>33277</v>
      </c>
      <c r="X27" s="353">
        <v>24773</v>
      </c>
      <c r="Y27" s="353">
        <v>32667</v>
      </c>
      <c r="Z27" s="353">
        <v>30265</v>
      </c>
      <c r="AA27" s="353">
        <v>45409</v>
      </c>
      <c r="AB27" s="353">
        <v>20948</v>
      </c>
      <c r="AC27" s="353">
        <v>27948</v>
      </c>
      <c r="AD27" s="353">
        <v>19386</v>
      </c>
      <c r="AE27" s="353">
        <v>13649</v>
      </c>
      <c r="AF27" s="353">
        <v>10793</v>
      </c>
      <c r="AG27" s="353">
        <v>27869</v>
      </c>
      <c r="AH27" s="353">
        <v>27140</v>
      </c>
      <c r="AI27" s="353">
        <v>11026</v>
      </c>
      <c r="AJ27" s="353">
        <v>17054</v>
      </c>
      <c r="AK27" s="283" t="s">
        <v>920</v>
      </c>
      <c r="AL27" s="283">
        <v>18510</v>
      </c>
      <c r="AM27" s="283">
        <f>33174*0.2575*2</f>
        <v>17084.61</v>
      </c>
      <c r="AN27" s="283">
        <f>40220*0.2929*2</f>
        <v>23560.876</v>
      </c>
      <c r="AO27" s="283" t="s">
        <v>921</v>
      </c>
      <c r="AP27" s="283">
        <v>29920</v>
      </c>
      <c r="AQ27" s="283" t="s">
        <v>922</v>
      </c>
      <c r="AR27" s="283" t="s">
        <v>923</v>
      </c>
      <c r="AS27" s="283" t="s">
        <v>924</v>
      </c>
      <c r="AT27" s="283" t="s">
        <v>925</v>
      </c>
      <c r="AU27" s="283" t="s">
        <v>926</v>
      </c>
      <c r="AV27" s="283" t="s">
        <v>927</v>
      </c>
      <c r="AW27" s="283">
        <f t="shared" si="2"/>
        <v>26910.3333333333</v>
      </c>
      <c r="AX27" s="283">
        <v>20400</v>
      </c>
      <c r="AY27" s="283">
        <v>25500</v>
      </c>
      <c r="AZ27" s="283">
        <v>21200</v>
      </c>
      <c r="BA27" s="283">
        <v>24000</v>
      </c>
      <c r="BB27" s="283">
        <v>23100</v>
      </c>
      <c r="BC27" s="283">
        <v>33900</v>
      </c>
      <c r="BD27" s="283">
        <v>19700</v>
      </c>
      <c r="BE27" s="283">
        <v>25900</v>
      </c>
      <c r="BF27" s="283">
        <v>13300</v>
      </c>
      <c r="BG27" s="283">
        <v>21700</v>
      </c>
      <c r="BH27" s="283">
        <v>18500</v>
      </c>
      <c r="BI27" s="283">
        <f>VLOOKUP(D27,Mid!$A$2:$C$225,3,FALSE)</f>
        <v>13500</v>
      </c>
      <c r="BJ27" s="283">
        <v>23100</v>
      </c>
      <c r="BK27" s="283">
        <v>12600</v>
      </c>
      <c r="BL27" s="283">
        <v>6700</v>
      </c>
      <c r="BM27" s="283">
        <v>25500</v>
      </c>
      <c r="BN27" s="283">
        <v>19400</v>
      </c>
      <c r="BO27" s="283">
        <v>6900</v>
      </c>
      <c r="BP27" s="283">
        <v>12800</v>
      </c>
      <c r="BQ27" s="283">
        <v>14000</v>
      </c>
      <c r="BR27" s="283">
        <v>15800</v>
      </c>
      <c r="BS27" s="283">
        <v>11700</v>
      </c>
      <c r="BT27" s="283">
        <v>18900</v>
      </c>
      <c r="BU27" s="283">
        <v>16300</v>
      </c>
      <c r="BV27" s="283">
        <v>18100</v>
      </c>
      <c r="BW27" s="283">
        <v>17800</v>
      </c>
      <c r="BX27" s="283">
        <v>12000</v>
      </c>
      <c r="BY27" s="283">
        <v>12000</v>
      </c>
      <c r="BZ27" s="283">
        <v>14100</v>
      </c>
      <c r="CA27" s="283">
        <v>11500</v>
      </c>
      <c r="CB27" s="283">
        <v>19400</v>
      </c>
      <c r="CC27" s="283">
        <v>21800</v>
      </c>
      <c r="CD27" s="283">
        <v>17800</v>
      </c>
      <c r="CE27" s="283">
        <v>15700</v>
      </c>
      <c r="CF27" s="283">
        <v>7400</v>
      </c>
      <c r="CG27" s="283">
        <v>18600</v>
      </c>
      <c r="CH27" s="283">
        <v>3600</v>
      </c>
      <c r="CI27" s="283">
        <f>0.1976*2*55000</f>
        <v>21736</v>
      </c>
      <c r="CJ27" s="283">
        <v>5800</v>
      </c>
      <c r="CK27" s="283">
        <f t="shared" si="3"/>
        <v>10745.3333333333</v>
      </c>
      <c r="CL27" s="370"/>
      <c r="CM27" s="371">
        <f>Summary!$D$12</f>
        <v>489885.37</v>
      </c>
      <c r="CN27" s="258">
        <f t="shared" si="1"/>
        <v>0</v>
      </c>
    </row>
    <row r="28" ht="15.6" spans="1:92">
      <c r="A28" s="258" t="s">
        <v>171</v>
      </c>
      <c r="B28" s="258" t="s">
        <v>812</v>
      </c>
      <c r="C28" s="258" t="s">
        <v>230</v>
      </c>
      <c r="D28" s="342" t="s">
        <v>316</v>
      </c>
      <c r="E28" s="258" t="s">
        <v>233</v>
      </c>
      <c r="F28" s="260" t="s">
        <v>430</v>
      </c>
      <c r="G28" s="343"/>
      <c r="H28" s="283">
        <f t="shared" si="4"/>
        <v>30905.6933333333</v>
      </c>
      <c r="I28" s="360"/>
      <c r="J28" s="351">
        <v>20235</v>
      </c>
      <c r="K28" s="351">
        <v>19333</v>
      </c>
      <c r="L28" s="351">
        <v>15503</v>
      </c>
      <c r="M28" s="351">
        <v>8912</v>
      </c>
      <c r="N28" s="352">
        <v>13064</v>
      </c>
      <c r="O28" s="353">
        <v>14219</v>
      </c>
      <c r="P28" s="353">
        <v>18459</v>
      </c>
      <c r="Q28" s="353">
        <v>9062</v>
      </c>
      <c r="R28" s="353">
        <v>9464</v>
      </c>
      <c r="S28" s="353">
        <v>11217</v>
      </c>
      <c r="T28" s="353">
        <v>15529</v>
      </c>
      <c r="U28" s="353" t="e">
        <f>VLOOKUP(D28,Mid!$A$2:$C$225,2,FALSE)</f>
        <v>#N/A</v>
      </c>
      <c r="V28" s="353">
        <v>25724</v>
      </c>
      <c r="W28" s="353">
        <v>18138</v>
      </c>
      <c r="X28" s="353">
        <v>12037</v>
      </c>
      <c r="Y28" s="353">
        <v>18615</v>
      </c>
      <c r="Z28" s="353">
        <v>9630</v>
      </c>
      <c r="AA28" s="353">
        <v>12047</v>
      </c>
      <c r="AB28" s="353">
        <v>15597</v>
      </c>
      <c r="AC28" s="353">
        <v>26192</v>
      </c>
      <c r="AD28" s="353">
        <v>23209</v>
      </c>
      <c r="AE28" s="353">
        <v>23882</v>
      </c>
      <c r="AF28" s="353">
        <v>24916</v>
      </c>
      <c r="AG28" s="353">
        <v>24237</v>
      </c>
      <c r="AH28" s="353">
        <v>12440</v>
      </c>
      <c r="AI28" s="353">
        <v>12323</v>
      </c>
      <c r="AJ28" s="353">
        <v>12123</v>
      </c>
      <c r="AK28" s="283" t="s">
        <v>928</v>
      </c>
      <c r="AL28" s="283">
        <v>18164</v>
      </c>
      <c r="AM28" s="283" t="s">
        <v>929</v>
      </c>
      <c r="AN28" s="283" t="s">
        <v>930</v>
      </c>
      <c r="AO28" s="283" t="s">
        <v>931</v>
      </c>
      <c r="AP28" s="283">
        <v>12102</v>
      </c>
      <c r="AQ28" s="283" t="s">
        <v>932</v>
      </c>
      <c r="AR28" s="283" t="s">
        <v>933</v>
      </c>
      <c r="AS28" s="283" t="s">
        <v>934</v>
      </c>
      <c r="AT28" s="283" t="s">
        <v>935</v>
      </c>
      <c r="AU28" s="283" t="s">
        <v>936</v>
      </c>
      <c r="AV28" s="283" t="s">
        <v>937</v>
      </c>
      <c r="AW28" s="283">
        <f t="shared" si="2"/>
        <v>37033.1666666667</v>
      </c>
      <c r="AX28" s="283">
        <v>0</v>
      </c>
      <c r="AY28" s="283">
        <v>0</v>
      </c>
      <c r="AZ28" s="283">
        <v>0</v>
      </c>
      <c r="BA28" s="283">
        <v>0</v>
      </c>
      <c r="BB28" s="283">
        <v>0</v>
      </c>
      <c r="BC28" s="283">
        <v>12500</v>
      </c>
      <c r="BD28" s="283">
        <v>18700</v>
      </c>
      <c r="BE28" s="283">
        <v>12900</v>
      </c>
      <c r="BF28" s="283">
        <v>5100</v>
      </c>
      <c r="BG28" s="283">
        <v>6600</v>
      </c>
      <c r="BH28" s="283">
        <v>6800</v>
      </c>
      <c r="BI28" s="283" t="e">
        <f>VLOOKUP(D28,Mid!$A$2:$C$225,3,FALSE)</f>
        <v>#N/A</v>
      </c>
      <c r="BJ28" s="283">
        <v>4900</v>
      </c>
      <c r="BK28" s="283">
        <v>10300</v>
      </c>
      <c r="BL28" s="283">
        <v>4200</v>
      </c>
      <c r="BM28" s="283">
        <v>9800</v>
      </c>
      <c r="BN28" s="283">
        <v>4200</v>
      </c>
      <c r="BO28" s="283">
        <v>5700</v>
      </c>
      <c r="BP28" s="283">
        <v>10200</v>
      </c>
      <c r="BQ28" s="283">
        <v>6600</v>
      </c>
      <c r="BR28" s="283">
        <v>14500</v>
      </c>
      <c r="BS28" s="283">
        <v>6500</v>
      </c>
      <c r="BT28" s="283">
        <v>5100</v>
      </c>
      <c r="BU28" s="283">
        <v>4900</v>
      </c>
      <c r="BV28" s="283">
        <v>6600</v>
      </c>
      <c r="BW28" s="283">
        <v>5500</v>
      </c>
      <c r="BX28" s="283">
        <v>8200</v>
      </c>
      <c r="BY28" s="283">
        <v>8200</v>
      </c>
      <c r="BZ28" s="283">
        <v>7750</v>
      </c>
      <c r="CA28" s="283">
        <v>11600</v>
      </c>
      <c r="CB28" s="283">
        <v>16000</v>
      </c>
      <c r="CC28" s="283">
        <v>27830</v>
      </c>
      <c r="CD28" s="283">
        <v>862</v>
      </c>
      <c r="CE28" s="283">
        <v>13800</v>
      </c>
      <c r="CF28" s="283">
        <v>7200</v>
      </c>
      <c r="CG28" s="283">
        <v>1800</v>
      </c>
      <c r="CH28" s="283">
        <v>6600</v>
      </c>
      <c r="CI28" s="283">
        <v>20947.56</v>
      </c>
      <c r="CJ28" s="283">
        <v>33391.4</v>
      </c>
      <c r="CK28" s="283">
        <f t="shared" si="3"/>
        <v>24778.22</v>
      </c>
      <c r="CL28" s="370"/>
      <c r="CM28" s="371">
        <f>Summary!$D$12</f>
        <v>489885.37</v>
      </c>
      <c r="CN28" s="258">
        <f t="shared" si="1"/>
        <v>1</v>
      </c>
    </row>
    <row r="29" ht="15.6" spans="1:92">
      <c r="A29" s="258" t="s">
        <v>171</v>
      </c>
      <c r="B29" s="258" t="s">
        <v>812</v>
      </c>
      <c r="C29" s="258" t="s">
        <v>230</v>
      </c>
      <c r="D29" s="342" t="s">
        <v>315</v>
      </c>
      <c r="E29" s="258" t="s">
        <v>233</v>
      </c>
      <c r="F29" s="260" t="s">
        <v>422</v>
      </c>
      <c r="G29" s="343"/>
      <c r="H29" s="283">
        <f t="shared" si="4"/>
        <v>59929.6233333334</v>
      </c>
      <c r="I29" s="360"/>
      <c r="J29" s="351"/>
      <c r="K29" s="351"/>
      <c r="L29" s="351"/>
      <c r="M29" s="351"/>
      <c r="N29" s="352"/>
      <c r="O29" s="353"/>
      <c r="P29" s="353"/>
      <c r="Q29" s="353"/>
      <c r="R29" s="353"/>
      <c r="S29" s="353"/>
      <c r="T29" s="353"/>
      <c r="U29" s="353"/>
      <c r="V29" s="353"/>
      <c r="W29" s="353"/>
      <c r="X29" s="353"/>
      <c r="Y29" s="353"/>
      <c r="Z29" s="353"/>
      <c r="AA29" s="353"/>
      <c r="AB29" s="353"/>
      <c r="AC29" s="353"/>
      <c r="AD29" s="353"/>
      <c r="AE29" s="353"/>
      <c r="AF29" s="353"/>
      <c r="AG29" s="353"/>
      <c r="AH29" s="353"/>
      <c r="AI29" s="353">
        <v>70948</v>
      </c>
      <c r="AJ29" s="353">
        <v>56292</v>
      </c>
      <c r="AK29" s="283">
        <v>66778</v>
      </c>
      <c r="AL29" s="283">
        <v>43044</v>
      </c>
      <c r="AM29" s="283" t="s">
        <v>938</v>
      </c>
      <c r="AN29" s="283" t="s">
        <v>939</v>
      </c>
      <c r="AO29" s="283" t="s">
        <v>940</v>
      </c>
      <c r="AP29" s="283">
        <v>54424</v>
      </c>
      <c r="AQ29" s="283" t="s">
        <v>941</v>
      </c>
      <c r="AR29" s="283" t="s">
        <v>942</v>
      </c>
      <c r="AS29" s="283" t="s">
        <v>943</v>
      </c>
      <c r="AT29" s="283" t="s">
        <v>944</v>
      </c>
      <c r="AU29" s="283" t="s">
        <v>945</v>
      </c>
      <c r="AV29" s="283" t="s">
        <v>946</v>
      </c>
      <c r="AW29" s="283">
        <f t="shared" si="2"/>
        <v>83004.5</v>
      </c>
      <c r="AX29" s="283"/>
      <c r="AY29" s="283"/>
      <c r="AZ29" s="283"/>
      <c r="BA29" s="283"/>
      <c r="BB29" s="283"/>
      <c r="BC29" s="283"/>
      <c r="BD29" s="283"/>
      <c r="BE29" s="283"/>
      <c r="BF29" s="283"/>
      <c r="BG29" s="283"/>
      <c r="BH29" s="283"/>
      <c r="BI29" s="283"/>
      <c r="BJ29" s="283"/>
      <c r="BK29" s="283"/>
      <c r="BL29" s="283"/>
      <c r="BM29" s="283"/>
      <c r="BN29" s="283"/>
      <c r="BO29" s="283"/>
      <c r="BP29" s="283"/>
      <c r="BQ29" s="283"/>
      <c r="BR29" s="283"/>
      <c r="BS29" s="283"/>
      <c r="BT29" s="283"/>
      <c r="BU29" s="283"/>
      <c r="BV29" s="283"/>
      <c r="BW29" s="283">
        <v>27000</v>
      </c>
      <c r="BX29" s="283">
        <v>77700</v>
      </c>
      <c r="BY29" s="283">
        <v>77700</v>
      </c>
      <c r="BZ29" s="283">
        <v>58400</v>
      </c>
      <c r="CA29" s="283">
        <v>25500</v>
      </c>
      <c r="CB29" s="283">
        <v>25929</v>
      </c>
      <c r="CC29" s="283">
        <v>26200</v>
      </c>
      <c r="CD29" s="283">
        <v>36000</v>
      </c>
      <c r="CE29" s="283">
        <v>25400</v>
      </c>
      <c r="CF29" s="283">
        <v>24100</v>
      </c>
      <c r="CG29" s="283">
        <v>30600</v>
      </c>
      <c r="CH29" s="283">
        <v>29000</v>
      </c>
      <c r="CI29" s="283">
        <f>0.3644*2*74800</f>
        <v>54514.24</v>
      </c>
      <c r="CJ29" s="283">
        <v>27700</v>
      </c>
      <c r="CK29" s="283">
        <f t="shared" si="3"/>
        <v>36854.7466666667</v>
      </c>
      <c r="CL29" s="370"/>
      <c r="CM29" s="371">
        <f>Summary!$D$12</f>
        <v>489885.37</v>
      </c>
      <c r="CN29" s="258">
        <f t="shared" si="1"/>
        <v>1</v>
      </c>
    </row>
    <row r="30" ht="15.6" spans="1:92">
      <c r="A30" s="258" t="s">
        <v>171</v>
      </c>
      <c r="B30" s="258" t="s">
        <v>812</v>
      </c>
      <c r="C30" s="258" t="s">
        <v>230</v>
      </c>
      <c r="D30" s="342" t="s">
        <v>392</v>
      </c>
      <c r="E30" s="258" t="s">
        <v>233</v>
      </c>
      <c r="F30" s="260" t="s">
        <v>425</v>
      </c>
      <c r="G30" s="343"/>
      <c r="H30" s="283">
        <f t="shared" si="4"/>
        <v>16920.0366666666</v>
      </c>
      <c r="I30" s="360"/>
      <c r="J30" s="351"/>
      <c r="K30" s="351"/>
      <c r="L30" s="351"/>
      <c r="M30" s="351"/>
      <c r="N30" s="352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/>
      <c r="AC30" s="353"/>
      <c r="AD30" s="353"/>
      <c r="AE30" s="353"/>
      <c r="AF30" s="353"/>
      <c r="AG30" s="353"/>
      <c r="AH30" s="353"/>
      <c r="AI30" s="353">
        <v>42336</v>
      </c>
      <c r="AJ30" s="353">
        <v>31740</v>
      </c>
      <c r="AK30" s="283">
        <v>27393</v>
      </c>
      <c r="AL30" s="283">
        <v>30872</v>
      </c>
      <c r="AM30" s="283" t="s">
        <v>947</v>
      </c>
      <c r="AN30" s="283" t="s">
        <v>948</v>
      </c>
      <c r="AO30" s="283" t="s">
        <v>949</v>
      </c>
      <c r="AP30" s="283">
        <v>23370</v>
      </c>
      <c r="AQ30" s="283" t="s">
        <v>950</v>
      </c>
      <c r="AR30" s="283" t="s">
        <v>951</v>
      </c>
      <c r="AS30" s="283" t="s">
        <v>952</v>
      </c>
      <c r="AT30" s="283" t="s">
        <v>953</v>
      </c>
      <c r="AU30" s="283" t="s">
        <v>954</v>
      </c>
      <c r="AV30" s="283" t="s">
        <v>955</v>
      </c>
      <c r="AW30" s="283">
        <f t="shared" si="2"/>
        <v>18418.5</v>
      </c>
      <c r="AX30" s="283"/>
      <c r="AY30" s="283"/>
      <c r="AZ30" s="283"/>
      <c r="BA30" s="283"/>
      <c r="BB30" s="283"/>
      <c r="BC30" s="283"/>
      <c r="BD30" s="283"/>
      <c r="BE30" s="283"/>
      <c r="BF30" s="283"/>
      <c r="BG30" s="283"/>
      <c r="BH30" s="283"/>
      <c r="BI30" s="283"/>
      <c r="BJ30" s="283"/>
      <c r="BK30" s="283"/>
      <c r="BL30" s="283"/>
      <c r="BM30" s="283"/>
      <c r="BN30" s="283"/>
      <c r="BO30" s="283"/>
      <c r="BP30" s="283"/>
      <c r="BQ30" s="283"/>
      <c r="BR30" s="283"/>
      <c r="BS30" s="283"/>
      <c r="BT30" s="283"/>
      <c r="BU30" s="283"/>
      <c r="BV30" s="283"/>
      <c r="BW30" s="283">
        <v>86000</v>
      </c>
      <c r="BX30" s="283">
        <v>20800</v>
      </c>
      <c r="BY30" s="283">
        <v>20800</v>
      </c>
      <c r="BZ30" s="283">
        <v>38000</v>
      </c>
      <c r="CA30" s="283">
        <v>21800</v>
      </c>
      <c r="CB30" s="283">
        <v>22900</v>
      </c>
      <c r="CC30" s="283">
        <v>17600</v>
      </c>
      <c r="CD30" s="283">
        <v>12300</v>
      </c>
      <c r="CE30" s="283">
        <v>12300</v>
      </c>
      <c r="CF30" s="283">
        <v>13950.88</v>
      </c>
      <c r="CG30" s="283">
        <v>7000</v>
      </c>
      <c r="CH30" s="283">
        <v>10000</v>
      </c>
      <c r="CI30" s="283">
        <v>18914.72</v>
      </c>
      <c r="CJ30" s="283">
        <v>14900</v>
      </c>
      <c r="CK30" s="283">
        <f t="shared" si="3"/>
        <v>15421.5733333333</v>
      </c>
      <c r="CL30" s="370"/>
      <c r="CM30" s="371">
        <f>Summary!$D$12</f>
        <v>489885.37</v>
      </c>
      <c r="CN30" s="258">
        <f t="shared" si="1"/>
        <v>0</v>
      </c>
    </row>
    <row r="31" ht="15.6" spans="1:92">
      <c r="A31" s="258" t="s">
        <v>171</v>
      </c>
      <c r="B31" s="258" t="s">
        <v>812</v>
      </c>
      <c r="C31" s="258" t="s">
        <v>230</v>
      </c>
      <c r="D31" s="342" t="s">
        <v>317</v>
      </c>
      <c r="E31" s="258" t="s">
        <v>233</v>
      </c>
      <c r="F31" s="260" t="s">
        <v>424</v>
      </c>
      <c r="G31" s="343"/>
      <c r="H31" s="283">
        <f t="shared" si="4"/>
        <v>26747.6666666667</v>
      </c>
      <c r="I31" s="360"/>
      <c r="J31" s="351"/>
      <c r="K31" s="351"/>
      <c r="L31" s="351"/>
      <c r="M31" s="351"/>
      <c r="N31" s="352"/>
      <c r="O31" s="353"/>
      <c r="P31" s="353"/>
      <c r="Q31" s="353"/>
      <c r="R31" s="353"/>
      <c r="S31" s="353"/>
      <c r="T31" s="353"/>
      <c r="U31" s="353"/>
      <c r="V31" s="353"/>
      <c r="W31" s="353"/>
      <c r="X31" s="353"/>
      <c r="Y31" s="353"/>
      <c r="Z31" s="353"/>
      <c r="AA31" s="353"/>
      <c r="AB31" s="353"/>
      <c r="AC31" s="353"/>
      <c r="AD31" s="353"/>
      <c r="AE31" s="353"/>
      <c r="AF31" s="353"/>
      <c r="AG31" s="353"/>
      <c r="AH31" s="353"/>
      <c r="AI31" s="353">
        <v>31940</v>
      </c>
      <c r="AJ31" s="353">
        <v>30091</v>
      </c>
      <c r="AK31" s="283">
        <v>41037</v>
      </c>
      <c r="AL31" s="283">
        <v>28127</v>
      </c>
      <c r="AM31" s="283" t="s">
        <v>956</v>
      </c>
      <c r="AN31" s="283" t="s">
        <v>957</v>
      </c>
      <c r="AO31" s="283" t="s">
        <v>958</v>
      </c>
      <c r="AP31" s="283">
        <v>35705</v>
      </c>
      <c r="AQ31" s="283" t="s">
        <v>959</v>
      </c>
      <c r="AR31" s="283" t="s">
        <v>960</v>
      </c>
      <c r="AS31" s="283" t="s">
        <v>961</v>
      </c>
      <c r="AT31" s="283" t="s">
        <v>962</v>
      </c>
      <c r="AU31" s="283" t="s">
        <v>963</v>
      </c>
      <c r="AV31" s="283" t="s">
        <v>964</v>
      </c>
      <c r="AW31" s="283">
        <f t="shared" si="2"/>
        <v>40645.3333333333</v>
      </c>
      <c r="AX31" s="283"/>
      <c r="AY31" s="283"/>
      <c r="AZ31" s="283"/>
      <c r="BA31" s="283"/>
      <c r="BB31" s="283"/>
      <c r="BC31" s="283"/>
      <c r="BD31" s="283"/>
      <c r="BE31" s="283"/>
      <c r="BF31" s="283"/>
      <c r="BG31" s="283"/>
      <c r="BH31" s="283"/>
      <c r="BI31" s="283"/>
      <c r="BJ31" s="283"/>
      <c r="BK31" s="283"/>
      <c r="BL31" s="283"/>
      <c r="BM31" s="283"/>
      <c r="BN31" s="283"/>
      <c r="BO31" s="283"/>
      <c r="BP31" s="283"/>
      <c r="BQ31" s="283"/>
      <c r="BR31" s="283"/>
      <c r="BS31" s="283"/>
      <c r="BT31" s="283"/>
      <c r="BU31" s="283"/>
      <c r="BV31" s="283"/>
      <c r="BW31" s="283">
        <v>22000</v>
      </c>
      <c r="BX31" s="283">
        <v>41100</v>
      </c>
      <c r="BY31" s="283">
        <v>41100</v>
      </c>
      <c r="BZ31" s="283">
        <v>24200</v>
      </c>
      <c r="CA31" s="283">
        <v>19000</v>
      </c>
      <c r="CB31" s="283">
        <v>30100</v>
      </c>
      <c r="CC31" s="283">
        <v>31000</v>
      </c>
      <c r="CD31" s="283">
        <v>6500</v>
      </c>
      <c r="CE31" s="283">
        <v>23600</v>
      </c>
      <c r="CF31" s="283">
        <v>18395.4</v>
      </c>
      <c r="CG31" s="283">
        <v>6900</v>
      </c>
      <c r="CH31" s="283">
        <v>8900</v>
      </c>
      <c r="CI31" s="283">
        <v>9500</v>
      </c>
      <c r="CJ31" s="283">
        <v>16400</v>
      </c>
      <c r="CK31" s="283">
        <f t="shared" si="3"/>
        <v>12850</v>
      </c>
      <c r="CL31" s="370"/>
      <c r="CM31" s="371">
        <f>Summary!$D$12</f>
        <v>489885.37</v>
      </c>
      <c r="CN31" s="258">
        <f t="shared" si="1"/>
        <v>1</v>
      </c>
    </row>
    <row r="32" ht="15.6" spans="1:92">
      <c r="A32" s="258" t="s">
        <v>171</v>
      </c>
      <c r="B32" s="258" t="s">
        <v>812</v>
      </c>
      <c r="C32" s="258"/>
      <c r="D32" s="342" t="s">
        <v>965</v>
      </c>
      <c r="E32" s="258"/>
      <c r="F32" s="260" t="s">
        <v>60</v>
      </c>
      <c r="G32" s="343"/>
      <c r="H32" s="283">
        <f t="shared" si="4"/>
        <v>111368.9019</v>
      </c>
      <c r="I32" s="360" t="s">
        <v>966</v>
      </c>
      <c r="J32" s="351"/>
      <c r="K32" s="351"/>
      <c r="L32" s="351"/>
      <c r="M32" s="351"/>
      <c r="N32" s="352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>
        <v>74994</v>
      </c>
      <c r="AJ32" s="353">
        <v>48699</v>
      </c>
      <c r="AK32" s="283">
        <v>51336</v>
      </c>
      <c r="AL32" s="283">
        <v>50340</v>
      </c>
      <c r="AM32" s="283">
        <v>39654</v>
      </c>
      <c r="AN32" s="283" t="s">
        <v>967</v>
      </c>
      <c r="AO32" s="283" t="s">
        <v>968</v>
      </c>
      <c r="AP32" s="283">
        <v>51492</v>
      </c>
      <c r="AQ32" s="283" t="s">
        <v>969</v>
      </c>
      <c r="AR32" s="283" t="s">
        <v>970</v>
      </c>
      <c r="AS32" s="283" t="s">
        <v>971</v>
      </c>
      <c r="AT32" s="283" t="s">
        <v>972</v>
      </c>
      <c r="AU32" s="283">
        <f>0.1941*2*154077</f>
        <v>59812.6914</v>
      </c>
      <c r="AV32" s="283" t="s">
        <v>973</v>
      </c>
      <c r="AW32" s="283">
        <f t="shared" si="2"/>
        <v>111317.730466667</v>
      </c>
      <c r="AX32" s="283"/>
      <c r="AY32" s="283"/>
      <c r="AZ32" s="283"/>
      <c r="BA32" s="283"/>
      <c r="BB32" s="283"/>
      <c r="BC32" s="283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283"/>
      <c r="BV32" s="283"/>
      <c r="BW32" s="283">
        <v>55000</v>
      </c>
      <c r="BX32" s="283">
        <v>38500</v>
      </c>
      <c r="BY32" s="283">
        <v>38500</v>
      </c>
      <c r="BZ32" s="283">
        <v>38300</v>
      </c>
      <c r="CA32" s="283">
        <v>54200</v>
      </c>
      <c r="CB32" s="283">
        <v>53700</v>
      </c>
      <c r="CC32" s="283">
        <v>31400</v>
      </c>
      <c r="CD32" s="283">
        <v>22100</v>
      </c>
      <c r="CE32" s="283">
        <v>30600</v>
      </c>
      <c r="CF32" s="283">
        <v>75600</v>
      </c>
      <c r="CG32" s="283">
        <v>74329.32</v>
      </c>
      <c r="CH32" s="283">
        <v>66897.08</v>
      </c>
      <c r="CI32" s="283">
        <v>108300</v>
      </c>
      <c r="CJ32" s="283">
        <v>128341.12</v>
      </c>
      <c r="CK32" s="283">
        <f t="shared" si="3"/>
        <v>111420.073333333</v>
      </c>
      <c r="CL32" s="370"/>
      <c r="CM32" s="371">
        <f>Summary!$D$12</f>
        <v>489885.37</v>
      </c>
      <c r="CN32" s="258">
        <f t="shared" si="1"/>
        <v>1</v>
      </c>
    </row>
    <row r="33" ht="15.6" spans="1:92">
      <c r="A33" s="258" t="s">
        <v>171</v>
      </c>
      <c r="B33" s="258" t="s">
        <v>812</v>
      </c>
      <c r="C33" s="258" t="s">
        <v>230</v>
      </c>
      <c r="D33" s="342" t="s">
        <v>974</v>
      </c>
      <c r="E33" s="258" t="s">
        <v>234</v>
      </c>
      <c r="F33" s="260" t="s">
        <v>49</v>
      </c>
      <c r="G33" s="343"/>
      <c r="H33" s="283">
        <f t="shared" si="4"/>
        <v>2919.91666666667</v>
      </c>
      <c r="I33" s="360"/>
      <c r="J33" s="351">
        <v>4224</v>
      </c>
      <c r="K33" s="351">
        <v>9158</v>
      </c>
      <c r="L33" s="351">
        <v>3360</v>
      </c>
      <c r="M33" s="351">
        <v>4357</v>
      </c>
      <c r="N33" s="352">
        <v>3281</v>
      </c>
      <c r="O33" s="353">
        <v>3012</v>
      </c>
      <c r="P33" s="353">
        <v>4321</v>
      </c>
      <c r="Q33" s="353">
        <v>2925</v>
      </c>
      <c r="R33" s="353">
        <v>3418</v>
      </c>
      <c r="S33" s="353">
        <v>1495</v>
      </c>
      <c r="T33" s="353">
        <v>13474</v>
      </c>
      <c r="U33" s="353" t="e">
        <f>VLOOKUP(D33,Mid!$A$2:$C$225,2,FALSE)</f>
        <v>#N/A</v>
      </c>
      <c r="V33" s="353">
        <v>2917</v>
      </c>
      <c r="W33" s="353">
        <v>4301</v>
      </c>
      <c r="X33" s="353">
        <v>2875</v>
      </c>
      <c r="Y33" s="353">
        <v>13207</v>
      </c>
      <c r="Z33" s="353">
        <v>3326</v>
      </c>
      <c r="AA33" s="353">
        <v>3820</v>
      </c>
      <c r="AB33" s="353">
        <v>1173</v>
      </c>
      <c r="AC33" s="353">
        <v>2159</v>
      </c>
      <c r="AD33" s="353">
        <v>2408</v>
      </c>
      <c r="AE33" s="353">
        <v>282</v>
      </c>
      <c r="AF33" s="353">
        <v>2424</v>
      </c>
      <c r="AG33" s="353">
        <v>877</v>
      </c>
      <c r="AH33" s="353">
        <v>2381</v>
      </c>
      <c r="AI33" s="353">
        <v>629</v>
      </c>
      <c r="AJ33" s="353">
        <v>6716</v>
      </c>
      <c r="AK33" s="283" t="s">
        <v>975</v>
      </c>
      <c r="AL33" s="283">
        <v>7882</v>
      </c>
      <c r="AM33" s="283" t="s">
        <v>976</v>
      </c>
      <c r="AN33" s="283" t="s">
        <v>977</v>
      </c>
      <c r="AO33" s="283" t="s">
        <v>978</v>
      </c>
      <c r="AP33" s="283">
        <v>5000</v>
      </c>
      <c r="AQ33" s="283" t="s">
        <v>979</v>
      </c>
      <c r="AR33" s="283" t="s">
        <v>980</v>
      </c>
      <c r="AS33" s="283" t="s">
        <v>981</v>
      </c>
      <c r="AT33" s="283" t="s">
        <v>982</v>
      </c>
      <c r="AU33" s="283" t="s">
        <v>983</v>
      </c>
      <c r="AV33" s="283" t="s">
        <v>984</v>
      </c>
      <c r="AW33" s="283">
        <f t="shared" si="2"/>
        <v>2823.16666666667</v>
      </c>
      <c r="AX33" s="283">
        <v>34600</v>
      </c>
      <c r="AY33" s="283">
        <v>8700</v>
      </c>
      <c r="AZ33" s="283">
        <v>13600</v>
      </c>
      <c r="BA33" s="283">
        <v>12000</v>
      </c>
      <c r="BB33" s="283">
        <v>10400</v>
      </c>
      <c r="BC33" s="283">
        <v>22600</v>
      </c>
      <c r="BD33" s="283">
        <v>25200</v>
      </c>
      <c r="BE33" s="283">
        <v>17600</v>
      </c>
      <c r="BF33" s="283">
        <v>34000</v>
      </c>
      <c r="BG33" s="283">
        <v>21900</v>
      </c>
      <c r="BH33" s="283">
        <v>22800</v>
      </c>
      <c r="BI33" s="283" t="e">
        <f>VLOOKUP(D33,Mid!$A$2:$C$225,3,FALSE)</f>
        <v>#N/A</v>
      </c>
      <c r="BJ33" s="283">
        <v>7500</v>
      </c>
      <c r="BK33" s="283">
        <v>27100</v>
      </c>
      <c r="BL33" s="283">
        <v>1500</v>
      </c>
      <c r="BM33" s="283">
        <v>18000</v>
      </c>
      <c r="BN33" s="283">
        <v>26200</v>
      </c>
      <c r="BO33" s="283">
        <v>3000</v>
      </c>
      <c r="BP33" s="283">
        <v>3600</v>
      </c>
      <c r="BQ33" s="283">
        <v>7800</v>
      </c>
      <c r="BR33" s="283">
        <v>8400</v>
      </c>
      <c r="BS33" s="283">
        <v>4200</v>
      </c>
      <c r="BT33" s="283">
        <v>2900</v>
      </c>
      <c r="BU33" s="283">
        <v>5600</v>
      </c>
      <c r="BV33" s="283">
        <v>5700</v>
      </c>
      <c r="BW33" s="283">
        <v>6000</v>
      </c>
      <c r="BX33" s="283">
        <v>2500</v>
      </c>
      <c r="BY33" s="283">
        <v>2500</v>
      </c>
      <c r="BZ33" s="283">
        <v>0</v>
      </c>
      <c r="CA33" s="283">
        <v>7800</v>
      </c>
      <c r="CB33" s="283">
        <v>7000</v>
      </c>
      <c r="CC33" s="283">
        <v>7500</v>
      </c>
      <c r="CD33" s="283">
        <v>2900</v>
      </c>
      <c r="CE33" s="283">
        <v>2900</v>
      </c>
      <c r="CF33" s="283">
        <v>4400</v>
      </c>
      <c r="CG33" s="283">
        <v>4700</v>
      </c>
      <c r="CH33" s="283">
        <v>0</v>
      </c>
      <c r="CI33" s="283">
        <v>2600</v>
      </c>
      <c r="CJ33" s="283">
        <v>4300</v>
      </c>
      <c r="CK33" s="283">
        <f t="shared" si="3"/>
        <v>3016.66666666667</v>
      </c>
      <c r="CL33" s="370"/>
      <c r="CM33" s="371">
        <f>Summary!$D$12</f>
        <v>489885.37</v>
      </c>
      <c r="CN33" s="258">
        <f t="shared" si="1"/>
        <v>0</v>
      </c>
    </row>
    <row r="34" ht="15.6" spans="1:92">
      <c r="A34" s="258" t="s">
        <v>171</v>
      </c>
      <c r="B34" s="258" t="s">
        <v>812</v>
      </c>
      <c r="C34" s="258" t="s">
        <v>243</v>
      </c>
      <c r="D34" s="258" t="s">
        <v>985</v>
      </c>
      <c r="E34" s="258" t="s">
        <v>234</v>
      </c>
      <c r="F34" s="260" t="s">
        <v>426</v>
      </c>
      <c r="G34" s="343"/>
      <c r="H34" s="283">
        <f t="shared" si="4"/>
        <v>815.75</v>
      </c>
      <c r="I34" s="360"/>
      <c r="J34" s="357">
        <v>0</v>
      </c>
      <c r="K34" s="357">
        <v>0</v>
      </c>
      <c r="L34" s="357">
        <v>0</v>
      </c>
      <c r="M34" s="357">
        <v>0</v>
      </c>
      <c r="N34" s="358">
        <v>0</v>
      </c>
      <c r="O34" s="359">
        <v>0</v>
      </c>
      <c r="P34" s="359">
        <v>0</v>
      </c>
      <c r="Q34" s="359">
        <v>0</v>
      </c>
      <c r="R34" s="359">
        <v>0</v>
      </c>
      <c r="S34" s="359">
        <v>0</v>
      </c>
      <c r="T34" s="359">
        <v>7054</v>
      </c>
      <c r="U34" s="353" t="e">
        <f>VLOOKUP(D34,Mid!$A$2:$C$225,2,FALSE)</f>
        <v>#N/A</v>
      </c>
      <c r="V34" s="353">
        <v>0</v>
      </c>
      <c r="W34" s="353">
        <v>0</v>
      </c>
      <c r="X34" s="353">
        <v>0</v>
      </c>
      <c r="Y34" s="353">
        <v>0</v>
      </c>
      <c r="Z34" s="353">
        <v>0</v>
      </c>
      <c r="AA34" s="353">
        <v>0</v>
      </c>
      <c r="AB34" s="353">
        <v>0</v>
      </c>
      <c r="AC34" s="353">
        <v>0</v>
      </c>
      <c r="AD34" s="353">
        <v>0</v>
      </c>
      <c r="AE34" s="353">
        <v>0</v>
      </c>
      <c r="AF34" s="353">
        <v>0</v>
      </c>
      <c r="AG34" s="353">
        <v>0</v>
      </c>
      <c r="AH34" s="353">
        <v>0</v>
      </c>
      <c r="AI34" s="353">
        <v>0</v>
      </c>
      <c r="AJ34" s="353">
        <v>2163</v>
      </c>
      <c r="AK34" s="283">
        <v>5000</v>
      </c>
      <c r="AL34" s="283">
        <v>1747</v>
      </c>
      <c r="AM34" s="283" t="s">
        <v>986</v>
      </c>
      <c r="AN34" s="283" t="s">
        <v>987</v>
      </c>
      <c r="AO34" s="283" t="s">
        <v>988</v>
      </c>
      <c r="AP34" s="283">
        <v>5000</v>
      </c>
      <c r="AQ34" s="283" t="s">
        <v>989</v>
      </c>
      <c r="AR34" s="283" t="s">
        <v>990</v>
      </c>
      <c r="AS34" s="283" t="s">
        <v>991</v>
      </c>
      <c r="AT34" s="283" t="s">
        <v>992</v>
      </c>
      <c r="AU34" s="283" t="s">
        <v>993</v>
      </c>
      <c r="AV34" s="283" t="s">
        <v>796</v>
      </c>
      <c r="AW34" s="283">
        <f t="shared" si="2"/>
        <v>947.166666666667</v>
      </c>
      <c r="AX34" s="283">
        <v>0</v>
      </c>
      <c r="AY34" s="283">
        <v>0</v>
      </c>
      <c r="AZ34" s="283">
        <v>0</v>
      </c>
      <c r="BA34" s="283">
        <v>0</v>
      </c>
      <c r="BB34" s="283">
        <v>0</v>
      </c>
      <c r="BC34" s="283">
        <v>0</v>
      </c>
      <c r="BD34" s="283">
        <v>0</v>
      </c>
      <c r="BE34" s="283">
        <v>0</v>
      </c>
      <c r="BF34" s="283">
        <v>5300</v>
      </c>
      <c r="BG34" s="283">
        <v>1300</v>
      </c>
      <c r="BH34" s="283">
        <v>2000</v>
      </c>
      <c r="BI34" s="283" t="e">
        <f>VLOOKUP(D34,Mid!$A$2:$C$225,3,FALSE)</f>
        <v>#N/A</v>
      </c>
      <c r="BJ34" s="283">
        <v>9000</v>
      </c>
      <c r="BK34" s="283">
        <v>4200</v>
      </c>
      <c r="BL34" s="283">
        <v>3300</v>
      </c>
      <c r="BM34" s="283">
        <v>5300</v>
      </c>
      <c r="BN34" s="283">
        <v>1600</v>
      </c>
      <c r="BO34" s="283">
        <v>3800</v>
      </c>
      <c r="BP34" s="283">
        <v>0</v>
      </c>
      <c r="BQ34" s="283">
        <v>1500</v>
      </c>
      <c r="BR34" s="283">
        <v>6300</v>
      </c>
      <c r="BS34" s="283">
        <v>2000</v>
      </c>
      <c r="BT34" s="283">
        <v>2200</v>
      </c>
      <c r="BU34" s="283">
        <v>3500</v>
      </c>
      <c r="BV34" s="283">
        <v>3800</v>
      </c>
      <c r="BW34" s="283">
        <v>6304</v>
      </c>
      <c r="BX34" s="283">
        <v>4300</v>
      </c>
      <c r="BY34" s="283">
        <v>4300</v>
      </c>
      <c r="BZ34" s="283">
        <v>2800</v>
      </c>
      <c r="CA34" s="283">
        <v>3300</v>
      </c>
      <c r="CB34" s="283">
        <v>5500</v>
      </c>
      <c r="CC34" s="283">
        <v>15400</v>
      </c>
      <c r="CD34" s="283">
        <v>969</v>
      </c>
      <c r="CE34" s="283">
        <v>969</v>
      </c>
      <c r="CF34" s="283">
        <v>2</v>
      </c>
      <c r="CG34" s="283">
        <v>0</v>
      </c>
      <c r="CH34" s="283">
        <v>1500</v>
      </c>
      <c r="CI34" s="283">
        <v>484</v>
      </c>
      <c r="CJ34" s="283">
        <v>546</v>
      </c>
      <c r="CK34" s="283">
        <f t="shared" si="3"/>
        <v>684.333333333333</v>
      </c>
      <c r="CL34" s="370"/>
      <c r="CM34" s="371">
        <f>Summary!$D$12</f>
        <v>489885.37</v>
      </c>
      <c r="CN34" s="258">
        <f t="shared" si="1"/>
        <v>0</v>
      </c>
    </row>
    <row r="35" ht="15.6" spans="1:92">
      <c r="A35" s="258" t="s">
        <v>171</v>
      </c>
      <c r="B35" s="258" t="s">
        <v>812</v>
      </c>
      <c r="C35" s="258" t="s">
        <v>230</v>
      </c>
      <c r="D35" s="342" t="s">
        <v>994</v>
      </c>
      <c r="E35" s="258" t="s">
        <v>233</v>
      </c>
      <c r="F35" s="260" t="s">
        <v>422</v>
      </c>
      <c r="G35" s="343"/>
      <c r="H35" s="283">
        <f t="shared" si="4"/>
        <v>3941.91666666667</v>
      </c>
      <c r="I35" s="292"/>
      <c r="J35" s="357">
        <v>0</v>
      </c>
      <c r="K35" s="357">
        <v>0</v>
      </c>
      <c r="L35" s="357">
        <v>0</v>
      </c>
      <c r="M35" s="357">
        <v>0</v>
      </c>
      <c r="N35" s="358">
        <v>0</v>
      </c>
      <c r="O35" s="358">
        <v>5794</v>
      </c>
      <c r="P35" s="359">
        <v>0</v>
      </c>
      <c r="Q35" s="359">
        <v>0</v>
      </c>
      <c r="R35" s="353">
        <v>6667</v>
      </c>
      <c r="S35" s="353">
        <v>0</v>
      </c>
      <c r="T35" s="353">
        <v>5290</v>
      </c>
      <c r="U35" s="353" t="e">
        <f>VLOOKUP(D35,Mid!$A$2:$C$225,2,FALSE)</f>
        <v>#N/A</v>
      </c>
      <c r="V35" s="353">
        <v>0</v>
      </c>
      <c r="W35" s="353">
        <v>0</v>
      </c>
      <c r="X35" s="353">
        <v>0</v>
      </c>
      <c r="Y35" s="353">
        <v>0</v>
      </c>
      <c r="Z35" s="353">
        <v>0</v>
      </c>
      <c r="AA35" s="353">
        <v>0</v>
      </c>
      <c r="AB35" s="353">
        <v>0</v>
      </c>
      <c r="AC35" s="353">
        <v>0</v>
      </c>
      <c r="AD35" s="353">
        <v>0</v>
      </c>
      <c r="AE35" s="353">
        <v>0</v>
      </c>
      <c r="AF35" s="353">
        <v>0</v>
      </c>
      <c r="AG35" s="353">
        <v>0</v>
      </c>
      <c r="AH35" s="353">
        <v>0</v>
      </c>
      <c r="AI35" s="353">
        <v>0</v>
      </c>
      <c r="AJ35" s="353">
        <v>4690</v>
      </c>
      <c r="AK35" s="283">
        <v>5000</v>
      </c>
      <c r="AL35" s="283">
        <v>7786</v>
      </c>
      <c r="AM35" s="283" t="s">
        <v>995</v>
      </c>
      <c r="AN35" s="283" t="s">
        <v>996</v>
      </c>
      <c r="AO35" s="283" t="s">
        <v>997</v>
      </c>
      <c r="AP35" s="283">
        <v>8074</v>
      </c>
      <c r="AQ35" s="283" t="s">
        <v>998</v>
      </c>
      <c r="AR35" s="283" t="s">
        <v>999</v>
      </c>
      <c r="AS35" s="283" t="s">
        <v>1000</v>
      </c>
      <c r="AT35" s="283" t="s">
        <v>1001</v>
      </c>
      <c r="AU35" s="283" t="s">
        <v>1002</v>
      </c>
      <c r="AV35" s="283" t="s">
        <v>1003</v>
      </c>
      <c r="AW35" s="283">
        <f t="shared" si="2"/>
        <v>4765</v>
      </c>
      <c r="AX35" s="283">
        <v>2700</v>
      </c>
      <c r="AY35" s="283">
        <v>3300</v>
      </c>
      <c r="AZ35" s="283">
        <v>3700</v>
      </c>
      <c r="BA35" s="283">
        <v>4100</v>
      </c>
      <c r="BB35" s="283">
        <v>0</v>
      </c>
      <c r="BC35" s="283">
        <v>3800</v>
      </c>
      <c r="BD35" s="283">
        <v>999</v>
      </c>
      <c r="BE35" s="283">
        <v>0</v>
      </c>
      <c r="BF35" s="283">
        <v>2200</v>
      </c>
      <c r="BG35" s="283">
        <v>2300</v>
      </c>
      <c r="BH35" s="283">
        <v>1200</v>
      </c>
      <c r="BI35" s="283" t="e">
        <f>VLOOKUP(D35,Mid!$A$2:$C$225,3,FALSE)</f>
        <v>#N/A</v>
      </c>
      <c r="BJ35" s="283">
        <v>5700</v>
      </c>
      <c r="BK35" s="283">
        <v>1300</v>
      </c>
      <c r="BL35" s="283">
        <v>266</v>
      </c>
      <c r="BM35" s="283">
        <v>5300</v>
      </c>
      <c r="BN35" s="283">
        <v>3900</v>
      </c>
      <c r="BO35" s="283">
        <v>201</v>
      </c>
      <c r="BP35" s="283">
        <v>5100</v>
      </c>
      <c r="BQ35" s="283">
        <v>3700</v>
      </c>
      <c r="BR35" s="283">
        <v>7600</v>
      </c>
      <c r="BS35" s="283">
        <v>8400</v>
      </c>
      <c r="BT35" s="283">
        <v>2400</v>
      </c>
      <c r="BU35" s="283">
        <v>2500</v>
      </c>
      <c r="BV35" s="283">
        <v>3000</v>
      </c>
      <c r="BW35" s="283">
        <v>5200</v>
      </c>
      <c r="BX35" s="283">
        <v>5500</v>
      </c>
      <c r="BY35" s="283">
        <v>5500</v>
      </c>
      <c r="BZ35" s="283">
        <v>4800</v>
      </c>
      <c r="CA35" s="283">
        <v>5400</v>
      </c>
      <c r="CB35" s="283">
        <v>3200</v>
      </c>
      <c r="CC35" s="283">
        <v>6500</v>
      </c>
      <c r="CD35" s="283">
        <v>4100</v>
      </c>
      <c r="CE35" s="283">
        <v>4100</v>
      </c>
      <c r="CF35" s="283">
        <v>838</v>
      </c>
      <c r="CG35" s="283">
        <v>1200</v>
      </c>
      <c r="CH35" s="283">
        <v>513</v>
      </c>
      <c r="CI35" s="283">
        <v>7000</v>
      </c>
      <c r="CJ35" s="283">
        <v>1400</v>
      </c>
      <c r="CK35" s="283">
        <f t="shared" si="3"/>
        <v>3118.83333333333</v>
      </c>
      <c r="CL35" s="370"/>
      <c r="CM35" s="371">
        <f>Summary!$D$12</f>
        <v>489885.37</v>
      </c>
      <c r="CN35" s="258">
        <f t="shared" si="1"/>
        <v>0</v>
      </c>
    </row>
    <row r="36" ht="15.6" spans="1:92">
      <c r="A36" s="258" t="s">
        <v>171</v>
      </c>
      <c r="B36" s="258" t="s">
        <v>812</v>
      </c>
      <c r="C36" s="258" t="s">
        <v>230</v>
      </c>
      <c r="D36" s="258" t="s">
        <v>1004</v>
      </c>
      <c r="E36" s="258" t="s">
        <v>234</v>
      </c>
      <c r="F36" s="260" t="s">
        <v>234</v>
      </c>
      <c r="G36" s="343"/>
      <c r="H36" s="283">
        <f t="shared" si="4"/>
        <v>8797.83333333332</v>
      </c>
      <c r="I36" s="360" t="s">
        <v>1005</v>
      </c>
      <c r="J36" s="357">
        <v>0</v>
      </c>
      <c r="K36" s="357">
        <v>0</v>
      </c>
      <c r="L36" s="357">
        <v>0</v>
      </c>
      <c r="M36" s="357">
        <v>0</v>
      </c>
      <c r="N36" s="358">
        <v>0</v>
      </c>
      <c r="O36" s="359">
        <v>0</v>
      </c>
      <c r="P36" s="359">
        <v>0</v>
      </c>
      <c r="Q36" s="359">
        <v>0</v>
      </c>
      <c r="R36" s="359">
        <v>5156</v>
      </c>
      <c r="S36" s="359">
        <v>0</v>
      </c>
      <c r="T36" s="359">
        <v>0</v>
      </c>
      <c r="U36" s="353" t="e">
        <f>VLOOKUP(D36,Mid!$A$2:$C$225,2,FALSE)</f>
        <v>#N/A</v>
      </c>
      <c r="V36" s="353">
        <v>0</v>
      </c>
      <c r="W36" s="353">
        <v>0</v>
      </c>
      <c r="X36" s="353">
        <v>0</v>
      </c>
      <c r="Y36" s="353">
        <v>0</v>
      </c>
      <c r="Z36" s="353">
        <v>0</v>
      </c>
      <c r="AA36" s="353">
        <v>0</v>
      </c>
      <c r="AB36" s="353">
        <v>0</v>
      </c>
      <c r="AC36" s="353">
        <v>0</v>
      </c>
      <c r="AD36" s="353">
        <v>0</v>
      </c>
      <c r="AE36" s="353">
        <v>0</v>
      </c>
      <c r="AF36" s="353">
        <v>0</v>
      </c>
      <c r="AG36" s="353">
        <v>0</v>
      </c>
      <c r="AH36" s="353">
        <v>0</v>
      </c>
      <c r="AI36" s="353">
        <v>0</v>
      </c>
      <c r="AJ36" s="353">
        <v>3718</v>
      </c>
      <c r="AK36" s="283">
        <v>5690</v>
      </c>
      <c r="AL36" s="283">
        <v>7964</v>
      </c>
      <c r="AM36" s="283" t="s">
        <v>1006</v>
      </c>
      <c r="AN36" s="283" t="s">
        <v>1007</v>
      </c>
      <c r="AO36" s="283" t="s">
        <v>1008</v>
      </c>
      <c r="AP36" s="283">
        <v>5410</v>
      </c>
      <c r="AQ36" s="283" t="s">
        <v>1009</v>
      </c>
      <c r="AR36" s="283" t="s">
        <v>1010</v>
      </c>
      <c r="AS36" s="283" t="s">
        <v>1011</v>
      </c>
      <c r="AT36" s="283" t="s">
        <v>1012</v>
      </c>
      <c r="AU36" s="283" t="s">
        <v>1013</v>
      </c>
      <c r="AV36" s="283" t="s">
        <v>1014</v>
      </c>
      <c r="AW36" s="283">
        <f t="shared" si="2"/>
        <v>7062.33333333333</v>
      </c>
      <c r="AX36" s="283">
        <v>0</v>
      </c>
      <c r="AY36" s="283">
        <v>0</v>
      </c>
      <c r="AZ36" s="283">
        <v>0</v>
      </c>
      <c r="BA36" s="283">
        <v>0</v>
      </c>
      <c r="BB36" s="283">
        <v>0</v>
      </c>
      <c r="BC36" s="283">
        <v>0</v>
      </c>
      <c r="BD36" s="283">
        <v>0</v>
      </c>
      <c r="BE36" s="283">
        <v>0</v>
      </c>
      <c r="BF36" s="283">
        <v>2200</v>
      </c>
      <c r="BG36" s="283">
        <v>4900</v>
      </c>
      <c r="BH36" s="283">
        <v>1200</v>
      </c>
      <c r="BI36" s="283" t="e">
        <f>VLOOKUP(D36,Mid!$A$2:$C$225,3,FALSE)</f>
        <v>#N/A</v>
      </c>
      <c r="BJ36" s="283">
        <v>3600</v>
      </c>
      <c r="BK36" s="283">
        <v>5400</v>
      </c>
      <c r="BL36" s="283">
        <v>1200</v>
      </c>
      <c r="BM36" s="283">
        <v>8100</v>
      </c>
      <c r="BN36" s="283">
        <v>1600</v>
      </c>
      <c r="BO36" s="283">
        <v>1800</v>
      </c>
      <c r="BP36" s="283">
        <v>4500</v>
      </c>
      <c r="BQ36" s="283">
        <v>14800</v>
      </c>
      <c r="BR36" s="283">
        <v>15000</v>
      </c>
      <c r="BS36" s="283">
        <v>6600</v>
      </c>
      <c r="BT36" s="283">
        <v>3900</v>
      </c>
      <c r="BU36" s="283">
        <v>14800</v>
      </c>
      <c r="BV36" s="283">
        <v>5400</v>
      </c>
      <c r="BW36" s="283">
        <v>36900</v>
      </c>
      <c r="BX36" s="283">
        <v>16400</v>
      </c>
      <c r="BY36" s="283">
        <v>16400</v>
      </c>
      <c r="BZ36" s="283">
        <v>13700</v>
      </c>
      <c r="CA36" s="283">
        <v>6700</v>
      </c>
      <c r="CB36" s="283">
        <v>1400</v>
      </c>
      <c r="CC36" s="283">
        <v>10300</v>
      </c>
      <c r="CD36" s="283">
        <v>5600</v>
      </c>
      <c r="CE36" s="283">
        <v>5600</v>
      </c>
      <c r="CF36" s="283">
        <v>1800</v>
      </c>
      <c r="CG36" s="283">
        <v>5900</v>
      </c>
      <c r="CH36" s="283">
        <v>4300</v>
      </c>
      <c r="CI36" s="283">
        <v>7700</v>
      </c>
      <c r="CJ36" s="283">
        <v>14500</v>
      </c>
      <c r="CK36" s="283">
        <f t="shared" si="3"/>
        <v>10533.3333333333</v>
      </c>
      <c r="CL36" s="370"/>
      <c r="CM36" s="371">
        <f>Summary!$D$12</f>
        <v>489885.37</v>
      </c>
      <c r="CN36" s="258">
        <f t="shared" si="1"/>
        <v>0</v>
      </c>
    </row>
    <row r="37" s="270" customFormat="1" ht="15.6" spans="1:92">
      <c r="A37" s="258" t="s">
        <v>171</v>
      </c>
      <c r="B37" s="258" t="s">
        <v>812</v>
      </c>
      <c r="C37" s="258" t="s">
        <v>230</v>
      </c>
      <c r="D37" s="342" t="s">
        <v>393</v>
      </c>
      <c r="E37" s="258" t="s">
        <v>233</v>
      </c>
      <c r="F37" s="260" t="s">
        <v>60</v>
      </c>
      <c r="G37" s="343"/>
      <c r="H37" s="343">
        <f t="shared" si="4"/>
        <v>11945.9166666667</v>
      </c>
      <c r="I37" s="360" t="s">
        <v>1015</v>
      </c>
      <c r="J37" s="362"/>
      <c r="K37" s="362"/>
      <c r="L37" s="362"/>
      <c r="M37" s="362"/>
      <c r="N37" s="363"/>
      <c r="O37" s="364"/>
      <c r="P37" s="364"/>
      <c r="Q37" s="364"/>
      <c r="R37" s="364"/>
      <c r="S37" s="364"/>
      <c r="T37" s="364"/>
      <c r="U37" s="365"/>
      <c r="V37" s="365">
        <v>21073</v>
      </c>
      <c r="W37" s="353">
        <v>33463</v>
      </c>
      <c r="X37" s="353">
        <v>25282</v>
      </c>
      <c r="Y37" s="353">
        <v>22437</v>
      </c>
      <c r="Z37" s="353">
        <v>27144</v>
      </c>
      <c r="AA37" s="353">
        <v>22499</v>
      </c>
      <c r="AB37" s="353">
        <v>21869</v>
      </c>
      <c r="AC37" s="353">
        <v>43413</v>
      </c>
      <c r="AD37" s="353">
        <v>41857</v>
      </c>
      <c r="AE37" s="353">
        <v>25533</v>
      </c>
      <c r="AF37" s="353">
        <v>20189</v>
      </c>
      <c r="AG37" s="353">
        <v>28078</v>
      </c>
      <c r="AH37" s="353">
        <v>21670</v>
      </c>
      <c r="AI37" s="353">
        <v>21375</v>
      </c>
      <c r="AJ37" s="353">
        <v>21945</v>
      </c>
      <c r="AK37" s="283" t="s">
        <v>1016</v>
      </c>
      <c r="AL37" s="283">
        <v>35058</v>
      </c>
      <c r="AM37" s="283">
        <v>35962</v>
      </c>
      <c r="AN37" s="283" t="s">
        <v>1017</v>
      </c>
      <c r="AO37" s="283" t="s">
        <v>1018</v>
      </c>
      <c r="AP37" s="283">
        <v>30481</v>
      </c>
      <c r="AQ37" s="283" t="s">
        <v>1019</v>
      </c>
      <c r="AR37" s="283" t="s">
        <v>1020</v>
      </c>
      <c r="AS37" s="283" t="s">
        <v>1021</v>
      </c>
      <c r="AT37" s="283" t="s">
        <v>1022</v>
      </c>
      <c r="AU37" s="283" t="s">
        <v>1023</v>
      </c>
      <c r="AV37" s="283" t="s">
        <v>1024</v>
      </c>
      <c r="AW37" s="283">
        <f t="shared" si="2"/>
        <v>14375.1666666667</v>
      </c>
      <c r="AX37" s="283"/>
      <c r="AY37" s="283"/>
      <c r="AZ37" s="283"/>
      <c r="BA37" s="283"/>
      <c r="BB37" s="283"/>
      <c r="BC37" s="283"/>
      <c r="BD37" s="283"/>
      <c r="BE37" s="283"/>
      <c r="BF37" s="283"/>
      <c r="BG37" s="283"/>
      <c r="BH37" s="283"/>
      <c r="BI37" s="283"/>
      <c r="BJ37" s="283">
        <v>20000</v>
      </c>
      <c r="BK37" s="283">
        <v>16500</v>
      </c>
      <c r="BL37" s="283">
        <v>9000</v>
      </c>
      <c r="BM37" s="283">
        <v>27000</v>
      </c>
      <c r="BN37" s="283">
        <v>20600</v>
      </c>
      <c r="BO37" s="283">
        <v>18100</v>
      </c>
      <c r="BP37" s="283">
        <v>29800</v>
      </c>
      <c r="BQ37" s="283">
        <v>15100</v>
      </c>
      <c r="BR37" s="283">
        <v>22000</v>
      </c>
      <c r="BS37" s="283">
        <v>14400</v>
      </c>
      <c r="BT37" s="283">
        <v>8100</v>
      </c>
      <c r="BU37" s="283">
        <v>27400</v>
      </c>
      <c r="BV37" s="283">
        <v>12300</v>
      </c>
      <c r="BW37" s="283">
        <v>20000</v>
      </c>
      <c r="BX37" s="283">
        <v>20400</v>
      </c>
      <c r="BY37" s="283">
        <v>20400</v>
      </c>
      <c r="BZ37" s="283">
        <v>9600</v>
      </c>
      <c r="CA37" s="283">
        <v>18400</v>
      </c>
      <c r="CB37" s="283">
        <v>17700</v>
      </c>
      <c r="CC37" s="283">
        <v>16900</v>
      </c>
      <c r="CD37" s="283">
        <v>5600</v>
      </c>
      <c r="CE37" s="283">
        <v>13100</v>
      </c>
      <c r="CF37" s="283">
        <v>10100</v>
      </c>
      <c r="CG37" s="283">
        <v>5000</v>
      </c>
      <c r="CH37" s="283">
        <v>6800</v>
      </c>
      <c r="CI37" s="283">
        <v>17200</v>
      </c>
      <c r="CJ37" s="283">
        <v>5300</v>
      </c>
      <c r="CK37" s="283">
        <f t="shared" si="3"/>
        <v>9516.66666666667</v>
      </c>
      <c r="CL37" s="370"/>
      <c r="CM37" s="371">
        <f>Summary!$D$12</f>
        <v>489885.37</v>
      </c>
      <c r="CN37" s="258">
        <f t="shared" ref="CN37:CN88" si="5">IF(_xlfn.IFNA(CM37,0),IF(AND(H37/CM37&gt;=0.05,B37&lt;&gt;"官网"),1,0),0)</f>
        <v>0</v>
      </c>
    </row>
    <row r="38" ht="15.6" spans="1:92">
      <c r="A38" s="344" t="s">
        <v>152</v>
      </c>
      <c r="B38" s="344" t="s">
        <v>683</v>
      </c>
      <c r="C38" s="344" t="s">
        <v>227</v>
      </c>
      <c r="D38" s="348" t="s">
        <v>153</v>
      </c>
      <c r="E38" s="344" t="s">
        <v>441</v>
      </c>
      <c r="F38" s="344" t="s">
        <v>49</v>
      </c>
      <c r="G38" s="345"/>
      <c r="H38" s="345">
        <f t="shared" si="4"/>
        <v>448158.68</v>
      </c>
      <c r="I38" s="292"/>
      <c r="J38" s="351">
        <v>312151</v>
      </c>
      <c r="K38" s="351">
        <v>325022</v>
      </c>
      <c r="L38" s="351">
        <v>260070</v>
      </c>
      <c r="M38" s="351">
        <v>311866</v>
      </c>
      <c r="N38" s="352">
        <v>290407</v>
      </c>
      <c r="O38" s="353">
        <v>273000</v>
      </c>
      <c r="P38" s="353">
        <v>308782</v>
      </c>
      <c r="Q38" s="353">
        <v>317784</v>
      </c>
      <c r="R38" s="353">
        <v>308934</v>
      </c>
      <c r="S38" s="353">
        <v>289764</v>
      </c>
      <c r="T38" s="353">
        <v>281335</v>
      </c>
      <c r="U38" s="353" t="e">
        <f>VLOOKUP(D38,Mid!$A$2:$C$225,2,FALSE)</f>
        <v>#N/A</v>
      </c>
      <c r="V38" s="353">
        <v>320683</v>
      </c>
      <c r="W38" s="353">
        <v>339706</v>
      </c>
      <c r="X38" s="353">
        <v>429133</v>
      </c>
      <c r="Y38" s="353">
        <v>478026</v>
      </c>
      <c r="Z38" s="353">
        <v>440135</v>
      </c>
      <c r="AA38" s="353">
        <v>460493</v>
      </c>
      <c r="AB38" s="353">
        <v>377493</v>
      </c>
      <c r="AC38" s="353">
        <v>432904</v>
      </c>
      <c r="AD38" s="353">
        <v>469006</v>
      </c>
      <c r="AE38" s="353">
        <v>460786</v>
      </c>
      <c r="AF38" s="353">
        <v>499484</v>
      </c>
      <c r="AG38" s="353">
        <v>453024</v>
      </c>
      <c r="AH38" s="353">
        <v>425345</v>
      </c>
      <c r="AI38" s="353">
        <v>452317</v>
      </c>
      <c r="AJ38" s="353">
        <v>435422</v>
      </c>
      <c r="AK38" s="283" t="s">
        <v>1025</v>
      </c>
      <c r="AL38" s="283">
        <v>430174</v>
      </c>
      <c r="AM38" s="283" t="s">
        <v>1026</v>
      </c>
      <c r="AN38" s="283" t="s">
        <v>1027</v>
      </c>
      <c r="AO38" s="283" t="s">
        <v>1028</v>
      </c>
      <c r="AP38" s="283">
        <v>458954</v>
      </c>
      <c r="AQ38" s="283" t="s">
        <v>1029</v>
      </c>
      <c r="AR38" s="283" t="s">
        <v>1030</v>
      </c>
      <c r="AS38" s="283" t="s">
        <v>1031</v>
      </c>
      <c r="AT38" s="283" t="s">
        <v>1032</v>
      </c>
      <c r="AU38" s="283" t="s">
        <v>1033</v>
      </c>
      <c r="AV38" s="283" t="s">
        <v>1034</v>
      </c>
      <c r="AW38" s="283">
        <f t="shared" si="2"/>
        <v>493728</v>
      </c>
      <c r="AX38" s="283">
        <v>378800</v>
      </c>
      <c r="AY38" s="283">
        <v>318900</v>
      </c>
      <c r="AZ38" s="283">
        <v>320900</v>
      </c>
      <c r="BA38" s="283">
        <v>329900</v>
      </c>
      <c r="BB38" s="283">
        <v>333000</v>
      </c>
      <c r="BC38" s="283">
        <v>291100</v>
      </c>
      <c r="BD38" s="283">
        <v>316600</v>
      </c>
      <c r="BE38" s="283">
        <v>280600</v>
      </c>
      <c r="BF38" s="283">
        <v>406700</v>
      </c>
      <c r="BG38" s="283">
        <v>330600</v>
      </c>
      <c r="BH38" s="283">
        <v>343000</v>
      </c>
      <c r="BI38" s="283" t="e">
        <f>VLOOKUP(D38,Mid!$A$2:$C$225,3,FALSE)</f>
        <v>#N/A</v>
      </c>
      <c r="BJ38" s="283">
        <v>289900</v>
      </c>
      <c r="BK38" s="283">
        <v>357900</v>
      </c>
      <c r="BL38" s="283">
        <v>353600</v>
      </c>
      <c r="BM38" s="283">
        <v>322800</v>
      </c>
      <c r="BN38" s="283">
        <v>563100</v>
      </c>
      <c r="BO38" s="283">
        <v>576300</v>
      </c>
      <c r="BP38" s="283">
        <v>388700</v>
      </c>
      <c r="BQ38" s="283">
        <v>533500</v>
      </c>
      <c r="BR38" s="283">
        <v>584500</v>
      </c>
      <c r="BS38" s="283">
        <v>531200</v>
      </c>
      <c r="BT38" s="283">
        <v>632100</v>
      </c>
      <c r="BU38" s="283">
        <v>424300</v>
      </c>
      <c r="BV38" s="283">
        <v>358800</v>
      </c>
      <c r="BW38" s="283">
        <v>263500</v>
      </c>
      <c r="BX38" s="283">
        <v>496600</v>
      </c>
      <c r="BY38" s="283">
        <v>496600</v>
      </c>
      <c r="BZ38" s="283">
        <v>331700</v>
      </c>
      <c r="CA38" s="283">
        <v>326700</v>
      </c>
      <c r="CB38" s="283">
        <v>317400</v>
      </c>
      <c r="CC38" s="283">
        <v>251000</v>
      </c>
      <c r="CD38" s="283">
        <v>412600</v>
      </c>
      <c r="CE38" s="283">
        <v>361600</v>
      </c>
      <c r="CF38" s="283">
        <v>506200</v>
      </c>
      <c r="CG38" s="283">
        <v>630800</v>
      </c>
      <c r="CH38" s="283">
        <v>378600</v>
      </c>
      <c r="CI38" s="283">
        <v>371518.08</v>
      </c>
      <c r="CJ38" s="283">
        <v>431300</v>
      </c>
      <c r="CK38" s="283">
        <f t="shared" si="3"/>
        <v>402589.36</v>
      </c>
      <c r="CL38" s="370"/>
      <c r="CM38" s="371">
        <f>Summary!$D$6</f>
        <v>1473053.7196</v>
      </c>
      <c r="CN38" s="258">
        <f t="shared" si="5"/>
        <v>1</v>
      </c>
    </row>
    <row r="39" ht="15.6" spans="1:92">
      <c r="A39" s="258" t="s">
        <v>152</v>
      </c>
      <c r="B39" s="258" t="s">
        <v>672</v>
      </c>
      <c r="C39" s="258" t="s">
        <v>672</v>
      </c>
      <c r="D39" s="258" t="s">
        <v>554</v>
      </c>
      <c r="E39" s="258" t="s">
        <v>1035</v>
      </c>
      <c r="F39" s="260" t="s">
        <v>234</v>
      </c>
      <c r="G39" s="343"/>
      <c r="H39" s="283">
        <f>(AW39+CK39)</f>
        <v>1055594.5</v>
      </c>
      <c r="I39" s="292"/>
      <c r="J39" s="351">
        <v>521120</v>
      </c>
      <c r="K39" s="351">
        <v>537259</v>
      </c>
      <c r="L39" s="351">
        <v>492025</v>
      </c>
      <c r="M39" s="351">
        <v>564401</v>
      </c>
      <c r="N39" s="352">
        <v>553953</v>
      </c>
      <c r="O39" s="353">
        <v>592521</v>
      </c>
      <c r="P39" s="353">
        <v>664753</v>
      </c>
      <c r="Q39" s="353">
        <v>661630</v>
      </c>
      <c r="R39" s="353">
        <v>613533</v>
      </c>
      <c r="S39" s="353">
        <v>548974</v>
      </c>
      <c r="T39" s="353">
        <v>560132</v>
      </c>
      <c r="U39" s="353">
        <f>VLOOKUP(D39,Mid!$A$2:$C$225,2,FALSE)</f>
        <v>554954</v>
      </c>
      <c r="V39" s="353">
        <v>573539</v>
      </c>
      <c r="W39" s="353">
        <v>622774</v>
      </c>
      <c r="X39" s="353">
        <v>551834</v>
      </c>
      <c r="Y39" s="353">
        <v>582555</v>
      </c>
      <c r="Z39" s="353">
        <v>546278</v>
      </c>
      <c r="AA39" s="353">
        <v>545372</v>
      </c>
      <c r="AB39" s="353">
        <v>550839</v>
      </c>
      <c r="AC39" s="353">
        <v>539959</v>
      </c>
      <c r="AD39" s="353">
        <v>680121</v>
      </c>
      <c r="AE39" s="353">
        <v>560369</v>
      </c>
      <c r="AF39" s="353">
        <v>603259</v>
      </c>
      <c r="AG39" s="353">
        <v>539825</v>
      </c>
      <c r="AH39" s="353">
        <v>508666</v>
      </c>
      <c r="AI39" s="353">
        <v>572741</v>
      </c>
      <c r="AJ39" s="353">
        <v>488930</v>
      </c>
      <c r="AK39" s="283" t="s">
        <v>1036</v>
      </c>
      <c r="AL39" s="283">
        <v>533884</v>
      </c>
      <c r="AM39" s="283" t="s">
        <v>1037</v>
      </c>
      <c r="AN39" s="283" t="s">
        <v>1038</v>
      </c>
      <c r="AO39" s="283" t="s">
        <v>1039</v>
      </c>
      <c r="AP39" s="283">
        <v>626348</v>
      </c>
      <c r="AQ39" s="283" t="s">
        <v>1040</v>
      </c>
      <c r="AR39" s="283" t="s">
        <v>1041</v>
      </c>
      <c r="AS39" s="283" t="s">
        <v>1042</v>
      </c>
      <c r="AT39" s="283" t="s">
        <v>1043</v>
      </c>
      <c r="AU39" s="283" t="s">
        <v>1044</v>
      </c>
      <c r="AV39" s="283" t="s">
        <v>1045</v>
      </c>
      <c r="AW39" s="283">
        <f t="shared" si="2"/>
        <v>688927.833333333</v>
      </c>
      <c r="AX39" s="283">
        <v>0</v>
      </c>
      <c r="AY39" s="283">
        <v>0</v>
      </c>
      <c r="AZ39" s="283">
        <v>0</v>
      </c>
      <c r="BA39" s="283">
        <v>0</v>
      </c>
      <c r="BB39" s="283">
        <v>0</v>
      </c>
      <c r="BC39" s="283">
        <v>0</v>
      </c>
      <c r="BD39" s="283">
        <v>0</v>
      </c>
      <c r="BE39" s="283">
        <v>0</v>
      </c>
      <c r="BF39" s="283">
        <v>0</v>
      </c>
      <c r="BG39" s="283">
        <v>0</v>
      </c>
      <c r="BH39" s="283">
        <v>0</v>
      </c>
      <c r="BI39" s="283">
        <f>VLOOKUP(D39,Mid!$A$2:$C$225,3,FALSE)</f>
        <v>0</v>
      </c>
      <c r="BJ39" s="283">
        <v>0</v>
      </c>
      <c r="BK39" s="283">
        <v>0</v>
      </c>
      <c r="BL39" s="283">
        <v>0</v>
      </c>
      <c r="BM39" s="283">
        <v>0</v>
      </c>
      <c r="BN39" s="283">
        <v>0</v>
      </c>
      <c r="BO39" s="283">
        <v>0</v>
      </c>
      <c r="BP39" s="283">
        <v>0</v>
      </c>
      <c r="BQ39" s="283">
        <v>0</v>
      </c>
      <c r="BR39" s="283">
        <v>29200000</v>
      </c>
      <c r="BS39" s="283">
        <v>24600000</v>
      </c>
      <c r="BT39" s="283">
        <v>24900000</v>
      </c>
      <c r="BU39" s="283">
        <v>20300000</v>
      </c>
      <c r="BV39" s="283">
        <v>19200000</v>
      </c>
      <c r="BW39" s="283">
        <v>18400000</v>
      </c>
      <c r="BX39" s="283">
        <v>3366000</v>
      </c>
      <c r="BY39" s="283">
        <v>0</v>
      </c>
      <c r="BZ39" s="283">
        <v>0</v>
      </c>
      <c r="CA39" s="283">
        <v>0</v>
      </c>
      <c r="CB39" s="283">
        <v>0</v>
      </c>
      <c r="CC39" s="283">
        <v>0</v>
      </c>
      <c r="CD39" s="283">
        <v>0</v>
      </c>
      <c r="CE39" s="283">
        <v>0</v>
      </c>
      <c r="CF39" s="283">
        <v>0</v>
      </c>
      <c r="CG39" s="283">
        <v>0</v>
      </c>
      <c r="CH39" s="283">
        <v>0</v>
      </c>
      <c r="CI39" s="283">
        <v>1100000</v>
      </c>
      <c r="CJ39" s="283">
        <v>0</v>
      </c>
      <c r="CK39" s="283">
        <f t="shared" si="3"/>
        <v>366666.666666667</v>
      </c>
      <c r="CL39" s="370"/>
      <c r="CM39" s="371">
        <f>Summary!$D$6</f>
        <v>1473053.7196</v>
      </c>
      <c r="CN39" s="258">
        <f t="shared" si="5"/>
        <v>0</v>
      </c>
    </row>
    <row r="40" ht="93.6" spans="1:92">
      <c r="A40" s="258" t="s">
        <v>152</v>
      </c>
      <c r="B40" s="258" t="s">
        <v>694</v>
      </c>
      <c r="C40" s="258" t="s">
        <v>230</v>
      </c>
      <c r="D40" s="258" t="s">
        <v>255</v>
      </c>
      <c r="E40" s="258" t="s">
        <v>233</v>
      </c>
      <c r="F40" s="260" t="s">
        <v>419</v>
      </c>
      <c r="G40" s="343"/>
      <c r="H40" s="283">
        <f>(AW40+CK40)*0.36/2</f>
        <v>203422.1712</v>
      </c>
      <c r="I40" s="292" t="s">
        <v>1046</v>
      </c>
      <c r="J40" s="351">
        <v>742524</v>
      </c>
      <c r="K40" s="351">
        <v>832806</v>
      </c>
      <c r="L40" s="351">
        <v>630060</v>
      </c>
      <c r="M40" s="351">
        <v>859832</v>
      </c>
      <c r="N40" s="352">
        <v>865492</v>
      </c>
      <c r="O40" s="353">
        <v>766580</v>
      </c>
      <c r="P40" s="353">
        <v>748274</v>
      </c>
      <c r="Q40" s="353">
        <v>882707</v>
      </c>
      <c r="R40" s="353">
        <v>901829</v>
      </c>
      <c r="S40" s="353">
        <v>839737</v>
      </c>
      <c r="T40" s="353">
        <v>863111</v>
      </c>
      <c r="U40" s="353" t="e">
        <f>VLOOKUP(D40,Mid!$A$2:$C$225,2,FALSE)</f>
        <v>#N/A</v>
      </c>
      <c r="V40" s="353">
        <v>873182</v>
      </c>
      <c r="W40" s="353">
        <v>954371</v>
      </c>
      <c r="X40" s="353">
        <v>902765</v>
      </c>
      <c r="Y40" s="353">
        <v>1069000</v>
      </c>
      <c r="Z40" s="353">
        <v>965481</v>
      </c>
      <c r="AA40" s="353">
        <v>1005000</v>
      </c>
      <c r="AB40" s="353">
        <v>963869</v>
      </c>
      <c r="AC40" s="353">
        <v>1091000</v>
      </c>
      <c r="AD40" s="353">
        <v>1053000</v>
      </c>
      <c r="AE40" s="353">
        <v>869935</v>
      </c>
      <c r="AF40" s="353">
        <v>850897</v>
      </c>
      <c r="AG40" s="353">
        <v>690825</v>
      </c>
      <c r="AH40" s="353">
        <v>774044</v>
      </c>
      <c r="AI40" s="353">
        <v>760293</v>
      </c>
      <c r="AJ40" s="353">
        <v>841107</v>
      </c>
      <c r="AK40" s="283" t="s">
        <v>1047</v>
      </c>
      <c r="AL40" s="283">
        <v>807389</v>
      </c>
      <c r="AM40" s="283" t="s">
        <v>1048</v>
      </c>
      <c r="AN40" s="283" t="s">
        <v>1049</v>
      </c>
      <c r="AO40" s="283" t="s">
        <v>1050</v>
      </c>
      <c r="AP40" s="283">
        <v>1137000</v>
      </c>
      <c r="AQ40" s="283">
        <f>1230000*0.3836*2</f>
        <v>943656</v>
      </c>
      <c r="AR40" s="283" t="s">
        <v>1051</v>
      </c>
      <c r="AS40" s="283" t="s">
        <v>1052</v>
      </c>
      <c r="AT40" s="283" t="s">
        <v>1053</v>
      </c>
      <c r="AU40" s="283" t="s">
        <v>1054</v>
      </c>
      <c r="AV40" s="283" t="s">
        <v>1055</v>
      </c>
      <c r="AW40" s="283">
        <f t="shared" si="2"/>
        <v>728444</v>
      </c>
      <c r="AX40" s="283">
        <v>918900</v>
      </c>
      <c r="AY40" s="283">
        <v>826100</v>
      </c>
      <c r="AZ40" s="283">
        <v>857900</v>
      </c>
      <c r="BA40" s="283">
        <v>864900</v>
      </c>
      <c r="BB40" s="283">
        <v>850300</v>
      </c>
      <c r="BC40" s="283">
        <v>819800</v>
      </c>
      <c r="BD40" s="283">
        <v>835700</v>
      </c>
      <c r="BE40" s="283">
        <v>862400</v>
      </c>
      <c r="BF40" s="283">
        <v>794000</v>
      </c>
      <c r="BG40" s="283">
        <v>860900</v>
      </c>
      <c r="BH40" s="283">
        <v>783700</v>
      </c>
      <c r="BI40" s="283" t="e">
        <f>VLOOKUP(D40,Mid!$A$2:$C$225,3,FALSE)</f>
        <v>#N/A</v>
      </c>
      <c r="BJ40" s="283">
        <v>467200</v>
      </c>
      <c r="BK40" s="283">
        <v>586200</v>
      </c>
      <c r="BL40" s="283">
        <v>560700</v>
      </c>
      <c r="BM40" s="283">
        <v>966800</v>
      </c>
      <c r="BN40" s="283">
        <v>494800</v>
      </c>
      <c r="BO40" s="283">
        <v>711400</v>
      </c>
      <c r="BP40" s="283">
        <v>976400</v>
      </c>
      <c r="BQ40" s="283">
        <v>1100000</v>
      </c>
      <c r="BR40" s="283">
        <v>674600</v>
      </c>
      <c r="BS40" s="283">
        <v>662600</v>
      </c>
      <c r="BT40" s="283">
        <v>572700</v>
      </c>
      <c r="BU40" s="283">
        <v>753000</v>
      </c>
      <c r="BV40" s="283">
        <v>995800</v>
      </c>
      <c r="BW40" s="283">
        <v>695000</v>
      </c>
      <c r="BX40" s="283">
        <v>844500</v>
      </c>
      <c r="BY40" s="283">
        <v>677400</v>
      </c>
      <c r="BZ40" s="283">
        <v>440000</v>
      </c>
      <c r="CA40" s="283">
        <v>564220</v>
      </c>
      <c r="CB40" s="283">
        <v>580900</v>
      </c>
      <c r="CC40" s="283">
        <v>671600</v>
      </c>
      <c r="CD40" s="283">
        <v>553400</v>
      </c>
      <c r="CE40" s="283">
        <v>810500</v>
      </c>
      <c r="CF40" s="283">
        <v>987700</v>
      </c>
      <c r="CG40" s="283">
        <v>356400</v>
      </c>
      <c r="CH40" s="283">
        <v>282400</v>
      </c>
      <c r="CI40" s="283">
        <v>407660</v>
      </c>
      <c r="CJ40" s="283">
        <v>437451.68</v>
      </c>
      <c r="CK40" s="283">
        <f t="shared" si="3"/>
        <v>401679.173333333</v>
      </c>
      <c r="CL40" s="370"/>
      <c r="CM40" s="371">
        <f>Summary!$D$6</f>
        <v>1473053.7196</v>
      </c>
      <c r="CN40" s="258">
        <f t="shared" si="5"/>
        <v>1</v>
      </c>
    </row>
    <row r="41" ht="15.6" spans="1:92">
      <c r="A41" s="258" t="s">
        <v>152</v>
      </c>
      <c r="B41" s="258" t="s">
        <v>694</v>
      </c>
      <c r="C41" s="258" t="s">
        <v>243</v>
      </c>
      <c r="D41" s="258" t="s">
        <v>270</v>
      </c>
      <c r="E41" s="258" t="s">
        <v>233</v>
      </c>
      <c r="F41" s="260" t="s">
        <v>266</v>
      </c>
      <c r="G41" s="343"/>
      <c r="H41" s="283">
        <f t="shared" ref="H41:H50" si="6">(AW41+CK41)/2</f>
        <v>252953.33</v>
      </c>
      <c r="I41" s="292"/>
      <c r="J41" s="351">
        <v>241875</v>
      </c>
      <c r="K41" s="351">
        <v>258485</v>
      </c>
      <c r="L41" s="351">
        <v>202286</v>
      </c>
      <c r="M41" s="351">
        <v>237664</v>
      </c>
      <c r="N41" s="352">
        <v>233897</v>
      </c>
      <c r="O41" s="353">
        <v>264648</v>
      </c>
      <c r="P41" s="353">
        <v>244687</v>
      </c>
      <c r="Q41" s="353">
        <v>305943</v>
      </c>
      <c r="R41" s="353">
        <v>284467</v>
      </c>
      <c r="S41" s="353">
        <v>265592</v>
      </c>
      <c r="T41" s="353">
        <v>284343</v>
      </c>
      <c r="U41" s="353">
        <f>VLOOKUP(D41,Mid!$A$2:$C$225,2,FALSE)</f>
        <v>327674</v>
      </c>
      <c r="V41" s="353">
        <v>329431</v>
      </c>
      <c r="W41" s="353">
        <v>341071</v>
      </c>
      <c r="X41" s="353">
        <v>288230</v>
      </c>
      <c r="Y41" s="353">
        <v>292640</v>
      </c>
      <c r="Z41" s="353">
        <v>317662</v>
      </c>
      <c r="AA41" s="353">
        <v>277487</v>
      </c>
      <c r="AB41" s="353">
        <v>269082</v>
      </c>
      <c r="AC41" s="353">
        <v>232517</v>
      </c>
      <c r="AD41" s="353">
        <v>246783</v>
      </c>
      <c r="AE41" s="353">
        <v>227793</v>
      </c>
      <c r="AF41" s="353">
        <v>239792</v>
      </c>
      <c r="AG41" s="353">
        <v>240755</v>
      </c>
      <c r="AH41" s="353">
        <v>194389</v>
      </c>
      <c r="AI41" s="353">
        <v>235863</v>
      </c>
      <c r="AJ41" s="353">
        <v>199518</v>
      </c>
      <c r="AK41" s="283" t="s">
        <v>1056</v>
      </c>
      <c r="AL41" s="283">
        <v>193200</v>
      </c>
      <c r="AM41" s="283" t="s">
        <v>1057</v>
      </c>
      <c r="AN41" s="283" t="s">
        <v>1058</v>
      </c>
      <c r="AO41" s="283" t="s">
        <v>1059</v>
      </c>
      <c r="AP41" s="283">
        <v>413301</v>
      </c>
      <c r="AQ41" s="283" t="s">
        <v>1060</v>
      </c>
      <c r="AR41" s="283" t="s">
        <v>1061</v>
      </c>
      <c r="AS41" s="283" t="s">
        <v>1062</v>
      </c>
      <c r="AT41" s="283" t="s">
        <v>1063</v>
      </c>
      <c r="AU41" s="283" t="s">
        <v>1064</v>
      </c>
      <c r="AV41" s="283" t="s">
        <v>1065</v>
      </c>
      <c r="AW41" s="283">
        <f t="shared" si="2"/>
        <v>277249.166666667</v>
      </c>
      <c r="AX41" s="283">
        <v>200400</v>
      </c>
      <c r="AY41" s="283">
        <v>192000</v>
      </c>
      <c r="AZ41" s="283">
        <v>196000</v>
      </c>
      <c r="BA41" s="283">
        <v>192200</v>
      </c>
      <c r="BB41" s="283">
        <v>153700</v>
      </c>
      <c r="BC41" s="283">
        <v>198000</v>
      </c>
      <c r="BD41" s="283">
        <v>223600</v>
      </c>
      <c r="BE41" s="283">
        <v>203100</v>
      </c>
      <c r="BF41" s="283">
        <v>155400</v>
      </c>
      <c r="BG41" s="283">
        <v>86400</v>
      </c>
      <c r="BH41" s="283">
        <v>127300</v>
      </c>
      <c r="BI41" s="283">
        <f>VLOOKUP(D41,Mid!$A$2:$C$225,3,FALSE)</f>
        <v>108700</v>
      </c>
      <c r="BJ41" s="283">
        <v>100300</v>
      </c>
      <c r="BK41" s="283">
        <v>100600</v>
      </c>
      <c r="BL41" s="283">
        <v>72600</v>
      </c>
      <c r="BM41" s="283">
        <v>250900</v>
      </c>
      <c r="BN41" s="283">
        <v>206800</v>
      </c>
      <c r="BO41" s="283">
        <v>139200</v>
      </c>
      <c r="BP41" s="283">
        <v>105500</v>
      </c>
      <c r="BQ41" s="283">
        <v>115100</v>
      </c>
      <c r="BR41" s="283">
        <v>190800</v>
      </c>
      <c r="BS41" s="283">
        <v>117500</v>
      </c>
      <c r="BT41" s="283">
        <v>198200</v>
      </c>
      <c r="BU41" s="283">
        <v>254900</v>
      </c>
      <c r="BV41" s="283">
        <v>310800</v>
      </c>
      <c r="BW41" s="283">
        <v>166900</v>
      </c>
      <c r="BX41" s="283">
        <v>319000</v>
      </c>
      <c r="BY41" s="283">
        <v>319000</v>
      </c>
      <c r="BZ41" s="283">
        <v>225900</v>
      </c>
      <c r="CA41" s="283">
        <v>196000</v>
      </c>
      <c r="CB41" s="283">
        <v>111600</v>
      </c>
      <c r="CC41" s="283">
        <v>205000</v>
      </c>
      <c r="CD41" s="283">
        <v>170900</v>
      </c>
      <c r="CE41" s="283">
        <v>198465</v>
      </c>
      <c r="CF41" s="283">
        <v>192500</v>
      </c>
      <c r="CG41" s="283">
        <v>263700</v>
      </c>
      <c r="CH41" s="283">
        <v>287300</v>
      </c>
      <c r="CI41" s="283">
        <v>228000</v>
      </c>
      <c r="CJ41" s="283">
        <v>209548.32</v>
      </c>
      <c r="CK41" s="283">
        <f t="shared" si="3"/>
        <v>228657.493333333</v>
      </c>
      <c r="CL41" s="370"/>
      <c r="CM41" s="371">
        <f>Summary!$D$6</f>
        <v>1473053.7196</v>
      </c>
      <c r="CN41" s="258">
        <f t="shared" si="5"/>
        <v>1</v>
      </c>
    </row>
    <row r="42" ht="15.6" spans="1:92">
      <c r="A42" s="258" t="s">
        <v>152</v>
      </c>
      <c r="B42" s="258" t="s">
        <v>672</v>
      </c>
      <c r="C42" s="258" t="s">
        <v>672</v>
      </c>
      <c r="D42" s="258" t="s">
        <v>555</v>
      </c>
      <c r="E42" s="258" t="s">
        <v>470</v>
      </c>
      <c r="F42" s="260" t="s">
        <v>234</v>
      </c>
      <c r="G42" s="343"/>
      <c r="H42" s="283">
        <f>(AW42+CK42)</f>
        <v>954481.666666667</v>
      </c>
      <c r="I42" s="292"/>
      <c r="J42" s="351">
        <v>294050</v>
      </c>
      <c r="K42" s="351">
        <v>273610</v>
      </c>
      <c r="L42" s="351">
        <v>259916</v>
      </c>
      <c r="M42" s="351">
        <v>294029</v>
      </c>
      <c r="N42" s="352">
        <v>304425</v>
      </c>
      <c r="O42" s="353">
        <v>342658</v>
      </c>
      <c r="P42" s="353">
        <v>356390</v>
      </c>
      <c r="Q42" s="353">
        <v>346937</v>
      </c>
      <c r="R42" s="353">
        <v>327802</v>
      </c>
      <c r="S42" s="353">
        <v>320512</v>
      </c>
      <c r="T42" s="353">
        <v>352667</v>
      </c>
      <c r="U42" s="353">
        <f>VLOOKUP(D42,Mid!$A$2:$C$225,2,FALSE)</f>
        <v>399483</v>
      </c>
      <c r="V42" s="353">
        <v>393069</v>
      </c>
      <c r="W42" s="353">
        <v>439955</v>
      </c>
      <c r="X42" s="353">
        <v>399596</v>
      </c>
      <c r="Y42" s="353">
        <v>443744</v>
      </c>
      <c r="Z42" s="353">
        <v>420558</v>
      </c>
      <c r="AA42" s="353">
        <v>402994</v>
      </c>
      <c r="AB42" s="353">
        <v>379491</v>
      </c>
      <c r="AC42" s="353">
        <v>388820</v>
      </c>
      <c r="AD42" s="353">
        <v>473056</v>
      </c>
      <c r="AE42" s="353">
        <v>452066</v>
      </c>
      <c r="AF42" s="353">
        <v>435613</v>
      </c>
      <c r="AG42" s="353">
        <v>605966</v>
      </c>
      <c r="AH42" s="353">
        <v>730074</v>
      </c>
      <c r="AI42" s="353">
        <v>461926</v>
      </c>
      <c r="AJ42" s="353">
        <v>450915</v>
      </c>
      <c r="AK42" s="283" t="s">
        <v>1066</v>
      </c>
      <c r="AL42" s="283">
        <v>506251</v>
      </c>
      <c r="AM42" s="283" t="s">
        <v>1067</v>
      </c>
      <c r="AN42" s="283" t="s">
        <v>1068</v>
      </c>
      <c r="AO42" s="283" t="s">
        <v>1069</v>
      </c>
      <c r="AP42" s="283">
        <v>508697</v>
      </c>
      <c r="AQ42" s="283" t="s">
        <v>1070</v>
      </c>
      <c r="AR42" s="283" t="s">
        <v>1071</v>
      </c>
      <c r="AS42" s="283" t="s">
        <v>1072</v>
      </c>
      <c r="AT42" s="283" t="s">
        <v>1073</v>
      </c>
      <c r="AU42" s="283" t="s">
        <v>1074</v>
      </c>
      <c r="AV42" s="283" t="s">
        <v>1075</v>
      </c>
      <c r="AW42" s="283">
        <f t="shared" si="2"/>
        <v>506381.666666667</v>
      </c>
      <c r="AX42" s="283">
        <v>0</v>
      </c>
      <c r="AY42" s="283">
        <v>0</v>
      </c>
      <c r="AZ42" s="283">
        <v>0</v>
      </c>
      <c r="BA42" s="283">
        <v>0</v>
      </c>
      <c r="BB42" s="283">
        <v>0</v>
      </c>
      <c r="BC42" s="283">
        <v>0</v>
      </c>
      <c r="BD42" s="283">
        <v>0</v>
      </c>
      <c r="BE42" s="283">
        <v>0</v>
      </c>
      <c r="BF42" s="283">
        <v>0</v>
      </c>
      <c r="BG42" s="283">
        <v>0</v>
      </c>
      <c r="BH42" s="283">
        <v>0</v>
      </c>
      <c r="BI42" s="283">
        <f>VLOOKUP(D42,Mid!$A$2:$C$225,3,FALSE)</f>
        <v>0</v>
      </c>
      <c r="BJ42" s="283">
        <v>0</v>
      </c>
      <c r="BK42" s="283">
        <v>0</v>
      </c>
      <c r="BL42" s="283">
        <v>0</v>
      </c>
      <c r="BM42" s="283">
        <v>0</v>
      </c>
      <c r="BN42" s="283">
        <v>0</v>
      </c>
      <c r="BO42" s="283">
        <v>0</v>
      </c>
      <c r="BP42" s="283">
        <v>0</v>
      </c>
      <c r="BQ42" s="283">
        <v>0</v>
      </c>
      <c r="BR42" s="283">
        <v>0</v>
      </c>
      <c r="BS42" s="283">
        <v>0</v>
      </c>
      <c r="BT42" s="283">
        <v>0</v>
      </c>
      <c r="BU42" s="283">
        <v>0</v>
      </c>
      <c r="BV42" s="283">
        <v>904300</v>
      </c>
      <c r="BW42" s="283">
        <v>828900</v>
      </c>
      <c r="BX42" s="283">
        <v>540200</v>
      </c>
      <c r="BY42" s="283" t="s">
        <v>1066</v>
      </c>
      <c r="BZ42" s="283">
        <v>0</v>
      </c>
      <c r="CA42" s="283">
        <v>0</v>
      </c>
      <c r="CB42" s="283">
        <v>0</v>
      </c>
      <c r="CC42" s="283">
        <v>0</v>
      </c>
      <c r="CD42" s="283">
        <v>0</v>
      </c>
      <c r="CE42" s="283">
        <v>0</v>
      </c>
      <c r="CF42" s="283">
        <v>0</v>
      </c>
      <c r="CG42" s="283">
        <v>0</v>
      </c>
      <c r="CH42" s="283">
        <v>0</v>
      </c>
      <c r="CI42" s="283">
        <v>0</v>
      </c>
      <c r="CJ42" s="283">
        <v>896200</v>
      </c>
      <c r="CK42" s="283">
        <f t="shared" si="3"/>
        <v>448100</v>
      </c>
      <c r="CL42" s="370"/>
      <c r="CM42" s="371">
        <f>Summary!$D$6</f>
        <v>1473053.7196</v>
      </c>
      <c r="CN42" s="258">
        <f t="shared" si="5"/>
        <v>0</v>
      </c>
    </row>
    <row r="43" ht="15.6" spans="1:92">
      <c r="A43" s="258" t="s">
        <v>152</v>
      </c>
      <c r="B43" s="258" t="s">
        <v>694</v>
      </c>
      <c r="C43" s="342" t="s">
        <v>230</v>
      </c>
      <c r="D43" s="258" t="s">
        <v>273</v>
      </c>
      <c r="E43" s="258" t="s">
        <v>233</v>
      </c>
      <c r="F43" s="260" t="s">
        <v>420</v>
      </c>
      <c r="G43" s="343"/>
      <c r="H43" s="283">
        <f t="shared" si="6"/>
        <v>130931.25</v>
      </c>
      <c r="I43" s="292"/>
      <c r="J43" s="351">
        <v>170638</v>
      </c>
      <c r="K43" s="351">
        <v>141743</v>
      </c>
      <c r="L43" s="351">
        <v>118650</v>
      </c>
      <c r="M43" s="351">
        <v>149721</v>
      </c>
      <c r="N43" s="352">
        <v>176248</v>
      </c>
      <c r="O43" s="353">
        <v>153699</v>
      </c>
      <c r="P43" s="353">
        <v>165635</v>
      </c>
      <c r="Q43" s="353">
        <v>189363</v>
      </c>
      <c r="R43" s="353">
        <v>156101</v>
      </c>
      <c r="S43" s="353">
        <v>155813</v>
      </c>
      <c r="T43" s="353">
        <v>224683</v>
      </c>
      <c r="U43" s="353" t="e">
        <f>VLOOKUP(D43,Mid!$A$2:$C$225,2,FALSE)</f>
        <v>#N/A</v>
      </c>
      <c r="V43" s="353">
        <v>146454</v>
      </c>
      <c r="W43" s="353">
        <v>163467</v>
      </c>
      <c r="X43" s="353">
        <v>158867</v>
      </c>
      <c r="Y43" s="353">
        <v>162860</v>
      </c>
      <c r="Z43" s="353">
        <v>142644</v>
      </c>
      <c r="AA43" s="353">
        <v>101401</v>
      </c>
      <c r="AB43" s="353">
        <v>83934</v>
      </c>
      <c r="AC43" s="353">
        <v>81594</v>
      </c>
      <c r="AD43" s="353">
        <v>87440</v>
      </c>
      <c r="AE43" s="353">
        <v>96897</v>
      </c>
      <c r="AF43" s="353">
        <v>77076</v>
      </c>
      <c r="AG43" s="353">
        <v>88465</v>
      </c>
      <c r="AH43" s="353">
        <v>105909</v>
      </c>
      <c r="AI43" s="353">
        <v>122787</v>
      </c>
      <c r="AJ43" s="353">
        <v>139674</v>
      </c>
      <c r="AK43" s="283" t="s">
        <v>1076</v>
      </c>
      <c r="AL43" s="283">
        <v>129206</v>
      </c>
      <c r="AM43" s="283" t="s">
        <v>1077</v>
      </c>
      <c r="AN43" s="283" t="s">
        <v>1078</v>
      </c>
      <c r="AO43" s="283" t="s">
        <v>1079</v>
      </c>
      <c r="AP43" s="283">
        <v>129761</v>
      </c>
      <c r="AQ43" s="283" t="s">
        <v>1080</v>
      </c>
      <c r="AR43" s="283" t="s">
        <v>1081</v>
      </c>
      <c r="AS43" s="283" t="s">
        <v>1082</v>
      </c>
      <c r="AT43" s="283" t="s">
        <v>1083</v>
      </c>
      <c r="AU43" s="283" t="s">
        <v>1084</v>
      </c>
      <c r="AV43" s="283" t="s">
        <v>1085</v>
      </c>
      <c r="AW43" s="283">
        <f t="shared" si="2"/>
        <v>116762.5</v>
      </c>
      <c r="AX43" s="283">
        <v>136900</v>
      </c>
      <c r="AY43" s="283">
        <v>141800</v>
      </c>
      <c r="AZ43" s="283">
        <v>143500</v>
      </c>
      <c r="BA43" s="283">
        <v>143900</v>
      </c>
      <c r="BB43" s="283">
        <v>150200</v>
      </c>
      <c r="BC43" s="283">
        <v>139200</v>
      </c>
      <c r="BD43" s="283">
        <v>152200</v>
      </c>
      <c r="BE43" s="283">
        <v>136800</v>
      </c>
      <c r="BF43" s="283">
        <v>214800</v>
      </c>
      <c r="BG43" s="283">
        <v>208800</v>
      </c>
      <c r="BH43" s="283">
        <v>222500</v>
      </c>
      <c r="BI43" s="283" t="e">
        <f>VLOOKUP(D43,Mid!$A$2:$C$225,3,FALSE)</f>
        <v>#N/A</v>
      </c>
      <c r="BJ43" s="283">
        <v>175900</v>
      </c>
      <c r="BK43" s="283">
        <v>160900</v>
      </c>
      <c r="BL43" s="283">
        <v>107700</v>
      </c>
      <c r="BM43" s="283">
        <v>220500</v>
      </c>
      <c r="BN43" s="283">
        <v>147900</v>
      </c>
      <c r="BO43" s="283">
        <v>139100</v>
      </c>
      <c r="BP43" s="283">
        <v>109300</v>
      </c>
      <c r="BQ43" s="283">
        <v>72600</v>
      </c>
      <c r="BR43" s="283">
        <v>74000</v>
      </c>
      <c r="BS43" s="283">
        <v>100100</v>
      </c>
      <c r="BT43" s="283">
        <v>131400</v>
      </c>
      <c r="BU43" s="283">
        <v>85600</v>
      </c>
      <c r="BV43" s="283">
        <v>124000</v>
      </c>
      <c r="BW43" s="283">
        <v>134300</v>
      </c>
      <c r="BX43" s="283">
        <v>99000</v>
      </c>
      <c r="BY43" s="283">
        <v>99000</v>
      </c>
      <c r="BZ43" s="283">
        <v>112200</v>
      </c>
      <c r="CA43" s="283">
        <v>124600</v>
      </c>
      <c r="CB43" s="283">
        <v>57700</v>
      </c>
      <c r="CC43" s="283">
        <v>87100</v>
      </c>
      <c r="CD43" s="283">
        <v>101200</v>
      </c>
      <c r="CE43" s="283">
        <v>88600</v>
      </c>
      <c r="CF43" s="283">
        <v>82824.42</v>
      </c>
      <c r="CG43" s="283">
        <v>75600</v>
      </c>
      <c r="CH43" s="283">
        <v>109200</v>
      </c>
      <c r="CI43" s="283">
        <v>132300</v>
      </c>
      <c r="CJ43" s="283">
        <v>165600</v>
      </c>
      <c r="CK43" s="283">
        <f t="shared" si="3"/>
        <v>145100</v>
      </c>
      <c r="CL43" s="370"/>
      <c r="CM43" s="371">
        <f>Summary!$D$6</f>
        <v>1473053.7196</v>
      </c>
      <c r="CN43" s="258">
        <f t="shared" si="5"/>
        <v>1</v>
      </c>
    </row>
    <row r="44" ht="15.6" spans="1:92">
      <c r="A44" s="258" t="s">
        <v>152</v>
      </c>
      <c r="B44" s="258" t="s">
        <v>694</v>
      </c>
      <c r="C44" s="342"/>
      <c r="D44" s="258" t="s">
        <v>483</v>
      </c>
      <c r="E44" s="258" t="s">
        <v>233</v>
      </c>
      <c r="F44" s="260" t="s">
        <v>423</v>
      </c>
      <c r="G44" s="343"/>
      <c r="H44" s="283">
        <f t="shared" si="6"/>
        <v>70004.4366666666</v>
      </c>
      <c r="I44" s="360"/>
      <c r="J44" s="351"/>
      <c r="K44" s="351"/>
      <c r="L44" s="351"/>
      <c r="M44" s="351"/>
      <c r="N44" s="352"/>
      <c r="O44" s="353"/>
      <c r="P44" s="353"/>
      <c r="Q44" s="353"/>
      <c r="R44" s="353"/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/>
      <c r="AD44" s="353"/>
      <c r="AE44" s="353"/>
      <c r="AF44" s="353"/>
      <c r="AG44" s="353"/>
      <c r="AH44" s="353"/>
      <c r="AI44" s="353">
        <v>98283</v>
      </c>
      <c r="AJ44" s="353">
        <v>86758</v>
      </c>
      <c r="AK44" s="283">
        <v>72644</v>
      </c>
      <c r="AL44" s="283">
        <v>60923</v>
      </c>
      <c r="AM44" s="283" t="s">
        <v>1086</v>
      </c>
      <c r="AN44" s="283" t="s">
        <v>1087</v>
      </c>
      <c r="AO44" s="283" t="s">
        <v>1088</v>
      </c>
      <c r="AP44" s="283">
        <v>51283</v>
      </c>
      <c r="AQ44" s="283" t="s">
        <v>1089</v>
      </c>
      <c r="AR44" s="283" t="s">
        <v>1090</v>
      </c>
      <c r="AS44" s="283" t="s">
        <v>1091</v>
      </c>
      <c r="AT44" s="283" t="s">
        <v>1092</v>
      </c>
      <c r="AU44" s="283" t="s">
        <v>1093</v>
      </c>
      <c r="AV44" s="283" t="s">
        <v>1094</v>
      </c>
      <c r="AW44" s="283">
        <f t="shared" si="2"/>
        <v>88522</v>
      </c>
      <c r="AX44" s="283"/>
      <c r="AY44" s="283"/>
      <c r="AZ44" s="283"/>
      <c r="BA44" s="283"/>
      <c r="BB44" s="283"/>
      <c r="BC44" s="283"/>
      <c r="BD44" s="283"/>
      <c r="BE44" s="283"/>
      <c r="BF44" s="283"/>
      <c r="BG44" s="283"/>
      <c r="BH44" s="283"/>
      <c r="BI44" s="283"/>
      <c r="BJ44" s="283"/>
      <c r="BK44" s="283"/>
      <c r="BL44" s="283"/>
      <c r="BM44" s="283"/>
      <c r="BN44" s="283"/>
      <c r="BO44" s="283"/>
      <c r="BP44" s="283"/>
      <c r="BQ44" s="283"/>
      <c r="BR44" s="283"/>
      <c r="BS44" s="283"/>
      <c r="BT44" s="283"/>
      <c r="BU44" s="283"/>
      <c r="BV44" s="283"/>
      <c r="BW44" s="283">
        <v>19000</v>
      </c>
      <c r="BX44" s="283">
        <v>50408</v>
      </c>
      <c r="BY44" s="283">
        <v>72644</v>
      </c>
      <c r="BZ44" s="283">
        <v>10200</v>
      </c>
      <c r="CA44" s="283">
        <v>22700</v>
      </c>
      <c r="CB44" s="283">
        <v>23100</v>
      </c>
      <c r="CC44" s="283">
        <v>18400</v>
      </c>
      <c r="CD44" s="283">
        <v>24900</v>
      </c>
      <c r="CE44" s="283">
        <v>24900</v>
      </c>
      <c r="CF44" s="283">
        <v>15200</v>
      </c>
      <c r="CG44" s="283">
        <v>32630.26</v>
      </c>
      <c r="CH44" s="283">
        <v>41000</v>
      </c>
      <c r="CI44" s="283">
        <v>45010.62</v>
      </c>
      <c r="CJ44" s="283">
        <v>59300</v>
      </c>
      <c r="CK44" s="283">
        <f t="shared" si="3"/>
        <v>51486.8733333333</v>
      </c>
      <c r="CL44" s="370"/>
      <c r="CM44" s="371">
        <f>Summary!$D$6</f>
        <v>1473053.7196</v>
      </c>
      <c r="CN44" s="258">
        <f t="shared" si="5"/>
        <v>0</v>
      </c>
    </row>
    <row r="45" ht="109.2" spans="1:92">
      <c r="A45" s="258" t="s">
        <v>152</v>
      </c>
      <c r="B45" s="258" t="s">
        <v>694</v>
      </c>
      <c r="C45" s="258" t="s">
        <v>230</v>
      </c>
      <c r="D45" s="258" t="s">
        <v>269</v>
      </c>
      <c r="E45" s="258" t="s">
        <v>233</v>
      </c>
      <c r="F45" s="260" t="s">
        <v>234</v>
      </c>
      <c r="G45" s="346"/>
      <c r="H45" s="283">
        <f t="shared" si="6"/>
        <v>306029.11</v>
      </c>
      <c r="I45" s="292" t="s">
        <v>705</v>
      </c>
      <c r="J45" s="354"/>
      <c r="K45" s="354"/>
      <c r="L45" s="354"/>
      <c r="M45" s="354"/>
      <c r="N45" s="355"/>
      <c r="O45" s="356"/>
      <c r="P45" s="356"/>
      <c r="Q45" s="356"/>
      <c r="R45" s="356"/>
      <c r="S45" s="356"/>
      <c r="T45" s="356"/>
      <c r="U45" s="356"/>
      <c r="V45" s="356"/>
      <c r="W45" s="356"/>
      <c r="X45" s="356"/>
      <c r="Y45" s="356"/>
      <c r="Z45" s="356"/>
      <c r="AA45" s="356"/>
      <c r="AB45" s="356"/>
      <c r="AC45" s="356"/>
      <c r="AD45" s="356"/>
      <c r="AE45" s="356"/>
      <c r="AF45" s="356"/>
      <c r="AG45" s="356"/>
      <c r="AH45" s="356"/>
      <c r="AI45" s="353">
        <v>112750</v>
      </c>
      <c r="AJ45" s="353">
        <v>108407</v>
      </c>
      <c r="AK45" s="283">
        <v>153223</v>
      </c>
      <c r="AL45" s="283">
        <v>162955</v>
      </c>
      <c r="AM45" s="283" t="s">
        <v>1095</v>
      </c>
      <c r="AN45" s="283" t="s">
        <v>1096</v>
      </c>
      <c r="AO45" s="283" t="s">
        <v>1097</v>
      </c>
      <c r="AP45" s="283">
        <v>296047</v>
      </c>
      <c r="AQ45" s="283" t="s">
        <v>1098</v>
      </c>
      <c r="AR45" s="283" t="s">
        <v>1099</v>
      </c>
      <c r="AS45" s="283" t="s">
        <v>1100</v>
      </c>
      <c r="AT45" s="283" t="s">
        <v>1101</v>
      </c>
      <c r="AU45" s="283" t="s">
        <v>1102</v>
      </c>
      <c r="AV45" s="283" t="s">
        <v>1103</v>
      </c>
      <c r="AW45" s="283">
        <f t="shared" si="2"/>
        <v>366651.833333333</v>
      </c>
      <c r="AX45" s="283"/>
      <c r="AY45" s="283"/>
      <c r="AZ45" s="283"/>
      <c r="BA45" s="283"/>
      <c r="BB45" s="283"/>
      <c r="BC45" s="283"/>
      <c r="BD45" s="283"/>
      <c r="BE45" s="283"/>
      <c r="BF45" s="283"/>
      <c r="BG45" s="283"/>
      <c r="BH45" s="283"/>
      <c r="BI45" s="283"/>
      <c r="BJ45" s="283"/>
      <c r="BK45" s="283"/>
      <c r="BL45" s="283"/>
      <c r="BM45" s="283"/>
      <c r="BN45" s="283"/>
      <c r="BO45" s="283"/>
      <c r="BP45" s="283"/>
      <c r="BQ45" s="283"/>
      <c r="BR45" s="283"/>
      <c r="BS45" s="283"/>
      <c r="BT45" s="283"/>
      <c r="BU45" s="283"/>
      <c r="BV45" s="283">
        <v>57300</v>
      </c>
      <c r="BW45" s="283">
        <v>695000</v>
      </c>
      <c r="BX45" s="283">
        <f>124385</f>
        <v>124385</v>
      </c>
      <c r="BY45" s="283">
        <v>124386</v>
      </c>
      <c r="BZ45" s="283">
        <v>135800</v>
      </c>
      <c r="CA45" s="283">
        <v>179200</v>
      </c>
      <c r="CB45" s="283">
        <v>176400</v>
      </c>
      <c r="CC45" s="283">
        <v>159100</v>
      </c>
      <c r="CD45" s="283">
        <v>207700</v>
      </c>
      <c r="CE45" s="283">
        <v>119778</v>
      </c>
      <c r="CF45" s="283">
        <v>184800</v>
      </c>
      <c r="CG45" s="283">
        <v>387400</v>
      </c>
      <c r="CH45" s="283">
        <v>227699.32</v>
      </c>
      <c r="CI45" s="283">
        <f>0.2211*2*372500</f>
        <v>164719.5</v>
      </c>
      <c r="CJ45" s="283">
        <v>305100</v>
      </c>
      <c r="CK45" s="283">
        <f t="shared" si="3"/>
        <v>245406.386666667</v>
      </c>
      <c r="CL45" s="372"/>
      <c r="CM45" s="371">
        <f>Summary!$D$6</f>
        <v>1473053.7196</v>
      </c>
      <c r="CN45" s="258">
        <f t="shared" si="5"/>
        <v>1</v>
      </c>
    </row>
    <row r="46" ht="15.6" spans="1:92">
      <c r="A46" s="258" t="s">
        <v>152</v>
      </c>
      <c r="B46" s="258" t="s">
        <v>694</v>
      </c>
      <c r="C46" s="258" t="s">
        <v>230</v>
      </c>
      <c r="D46" s="258" t="s">
        <v>1104</v>
      </c>
      <c r="E46" s="258" t="s">
        <v>233</v>
      </c>
      <c r="F46" s="260" t="s">
        <v>1105</v>
      </c>
      <c r="G46" s="343"/>
      <c r="H46" s="283">
        <f t="shared" si="6"/>
        <v>27321.6533333333</v>
      </c>
      <c r="I46" s="360"/>
      <c r="J46" s="351"/>
      <c r="K46" s="351"/>
      <c r="L46" s="351"/>
      <c r="M46" s="351"/>
      <c r="N46" s="352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>
        <v>47343</v>
      </c>
      <c r="AJ46" s="353">
        <v>63416</v>
      </c>
      <c r="AK46" s="283">
        <v>69829</v>
      </c>
      <c r="AL46" s="283">
        <v>60709</v>
      </c>
      <c r="AM46" s="283">
        <f>177404*0.1715*2</f>
        <v>60849.572</v>
      </c>
      <c r="AN46" s="283" t="s">
        <v>1106</v>
      </c>
      <c r="AO46" s="283" t="s">
        <v>1107</v>
      </c>
      <c r="AP46" s="283">
        <f>108306*0.2716*2</f>
        <v>58831.8192</v>
      </c>
      <c r="AQ46" s="283" t="s">
        <v>1108</v>
      </c>
      <c r="AR46" s="283" t="s">
        <v>1109</v>
      </c>
      <c r="AS46" s="283" t="s">
        <v>1110</v>
      </c>
      <c r="AT46" s="283" t="s">
        <v>1111</v>
      </c>
      <c r="AU46" s="283" t="s">
        <v>1112</v>
      </c>
      <c r="AV46" s="283" t="s">
        <v>1113</v>
      </c>
      <c r="AW46" s="283">
        <f t="shared" si="2"/>
        <v>35055.1666666667</v>
      </c>
      <c r="AX46" s="283"/>
      <c r="AY46" s="283"/>
      <c r="AZ46" s="283"/>
      <c r="BA46" s="283"/>
      <c r="BB46" s="283"/>
      <c r="BC46" s="283"/>
      <c r="BD46" s="283"/>
      <c r="BE46" s="283"/>
      <c r="BF46" s="283"/>
      <c r="BG46" s="283"/>
      <c r="BH46" s="283"/>
      <c r="BI46" s="283"/>
      <c r="BJ46" s="283"/>
      <c r="BK46" s="283"/>
      <c r="BL46" s="283"/>
      <c r="BM46" s="283"/>
      <c r="BN46" s="283"/>
      <c r="BO46" s="283"/>
      <c r="BP46" s="283"/>
      <c r="BQ46" s="283"/>
      <c r="BR46" s="283"/>
      <c r="BS46" s="283"/>
      <c r="BT46" s="283"/>
      <c r="BU46" s="283"/>
      <c r="BV46" s="283"/>
      <c r="BW46" s="283">
        <v>26000</v>
      </c>
      <c r="BX46" s="283">
        <v>60500</v>
      </c>
      <c r="BY46" s="283">
        <v>60500</v>
      </c>
      <c r="BZ46" s="283">
        <v>56500</v>
      </c>
      <c r="CA46" s="283">
        <v>79500</v>
      </c>
      <c r="CB46" s="283">
        <v>41600</v>
      </c>
      <c r="CC46" s="283">
        <v>55044</v>
      </c>
      <c r="CD46" s="283">
        <v>16300</v>
      </c>
      <c r="CE46" s="283">
        <v>25672</v>
      </c>
      <c r="CF46" s="283">
        <v>22171.68</v>
      </c>
      <c r="CG46" s="283">
        <v>26900</v>
      </c>
      <c r="CH46" s="283">
        <v>26200</v>
      </c>
      <c r="CI46" s="283">
        <v>22000</v>
      </c>
      <c r="CJ46" s="283">
        <v>15776.28</v>
      </c>
      <c r="CK46" s="283">
        <f t="shared" si="3"/>
        <v>19588.14</v>
      </c>
      <c r="CL46" s="370"/>
      <c r="CM46" s="371">
        <f>Summary!$D$6</f>
        <v>1473053.7196</v>
      </c>
      <c r="CN46" s="258">
        <f t="shared" si="5"/>
        <v>0</v>
      </c>
    </row>
    <row r="47" ht="15.6" spans="1:92">
      <c r="A47" s="258" t="s">
        <v>152</v>
      </c>
      <c r="B47" s="258" t="s">
        <v>694</v>
      </c>
      <c r="C47" s="342"/>
      <c r="D47" s="258" t="s">
        <v>1114</v>
      </c>
      <c r="E47" s="258"/>
      <c r="F47" s="260" t="s">
        <v>426</v>
      </c>
      <c r="G47" s="343"/>
      <c r="H47" s="283">
        <f t="shared" si="6"/>
        <v>29405.5</v>
      </c>
      <c r="I47" s="360"/>
      <c r="J47" s="351"/>
      <c r="K47" s="351"/>
      <c r="L47" s="351"/>
      <c r="M47" s="351"/>
      <c r="N47" s="352"/>
      <c r="O47" s="353"/>
      <c r="P47" s="353"/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/>
      <c r="AC47" s="353"/>
      <c r="AD47" s="353"/>
      <c r="AE47" s="353"/>
      <c r="AF47" s="353"/>
      <c r="AG47" s="353"/>
      <c r="AH47" s="353"/>
      <c r="AI47" s="353">
        <v>30193</v>
      </c>
      <c r="AJ47" s="353">
        <v>28114</v>
      </c>
      <c r="AK47" s="283">
        <v>35461</v>
      </c>
      <c r="AL47" s="283">
        <v>35745</v>
      </c>
      <c r="AM47" s="283" t="s">
        <v>1115</v>
      </c>
      <c r="AN47" s="283" t="s">
        <v>1116</v>
      </c>
      <c r="AO47" s="283" t="s">
        <v>1117</v>
      </c>
      <c r="AP47" s="283">
        <v>36694</v>
      </c>
      <c r="AQ47" s="283" t="s">
        <v>1118</v>
      </c>
      <c r="AR47" s="283" t="s">
        <v>1119</v>
      </c>
      <c r="AS47" s="283" t="s">
        <v>1120</v>
      </c>
      <c r="AT47" s="283" t="s">
        <v>1121</v>
      </c>
      <c r="AU47" s="283" t="s">
        <v>1122</v>
      </c>
      <c r="AV47" s="283" t="s">
        <v>1123</v>
      </c>
      <c r="AW47" s="283">
        <f t="shared" si="2"/>
        <v>29727.6666666667</v>
      </c>
      <c r="AX47" s="283"/>
      <c r="AY47" s="283"/>
      <c r="AZ47" s="283"/>
      <c r="BA47" s="283"/>
      <c r="BB47" s="283"/>
      <c r="BC47" s="283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83"/>
      <c r="BO47" s="283"/>
      <c r="BP47" s="283"/>
      <c r="BQ47" s="283"/>
      <c r="BR47" s="283"/>
      <c r="BS47" s="283"/>
      <c r="BT47" s="283"/>
      <c r="BU47" s="283"/>
      <c r="BV47" s="283"/>
      <c r="BW47" s="283">
        <v>24000</v>
      </c>
      <c r="BX47" s="283">
        <v>30900</v>
      </c>
      <c r="BY47" s="283">
        <v>30900</v>
      </c>
      <c r="BZ47" s="283">
        <v>20400</v>
      </c>
      <c r="CA47" s="283">
        <v>17300</v>
      </c>
      <c r="CB47" s="283">
        <v>16500</v>
      </c>
      <c r="CC47" s="283">
        <v>20600</v>
      </c>
      <c r="CD47" s="283">
        <v>56600</v>
      </c>
      <c r="CE47" s="283">
        <v>56600</v>
      </c>
      <c r="CF47" s="283">
        <v>13200</v>
      </c>
      <c r="CG47" s="283">
        <v>11900</v>
      </c>
      <c r="CH47" s="283">
        <v>15700</v>
      </c>
      <c r="CI47" s="283">
        <v>19400</v>
      </c>
      <c r="CJ47" s="283">
        <v>40000</v>
      </c>
      <c r="CK47" s="283">
        <f t="shared" si="3"/>
        <v>29083.3333333333</v>
      </c>
      <c r="CL47" s="370"/>
      <c r="CM47" s="371">
        <f>Summary!$D$6</f>
        <v>1473053.7196</v>
      </c>
      <c r="CN47" s="258">
        <f t="shared" si="5"/>
        <v>0</v>
      </c>
    </row>
    <row r="48" ht="15.6" spans="1:92">
      <c r="A48" s="258" t="s">
        <v>152</v>
      </c>
      <c r="B48" s="258" t="s">
        <v>694</v>
      </c>
      <c r="C48" s="342"/>
      <c r="D48" s="258" t="s">
        <v>1124</v>
      </c>
      <c r="E48" s="258"/>
      <c r="F48" s="260" t="s">
        <v>266</v>
      </c>
      <c r="G48" s="343"/>
      <c r="H48" s="283">
        <f t="shared" si="6"/>
        <v>2365</v>
      </c>
      <c r="I48" s="360"/>
      <c r="J48" s="351"/>
      <c r="K48" s="351"/>
      <c r="L48" s="351"/>
      <c r="M48" s="351"/>
      <c r="N48" s="352"/>
      <c r="O48" s="353"/>
      <c r="P48" s="353"/>
      <c r="Q48" s="353"/>
      <c r="R48" s="353"/>
      <c r="S48" s="353"/>
      <c r="T48" s="353"/>
      <c r="U48" s="353"/>
      <c r="V48" s="353"/>
      <c r="W48" s="353"/>
      <c r="X48" s="353"/>
      <c r="Y48" s="353"/>
      <c r="Z48" s="353"/>
      <c r="AA48" s="353"/>
      <c r="AB48" s="353"/>
      <c r="AC48" s="353"/>
      <c r="AD48" s="353"/>
      <c r="AE48" s="353"/>
      <c r="AF48" s="353"/>
      <c r="AG48" s="353"/>
      <c r="AH48" s="353"/>
      <c r="AI48" s="353">
        <v>22669</v>
      </c>
      <c r="AJ48" s="353">
        <v>20988</v>
      </c>
      <c r="AK48" s="283">
        <v>23901</v>
      </c>
      <c r="AL48" s="283">
        <v>39989</v>
      </c>
      <c r="AM48" s="283" t="s">
        <v>1125</v>
      </c>
      <c r="AN48" s="283" t="s">
        <v>1126</v>
      </c>
      <c r="AO48" s="283" t="s">
        <v>1127</v>
      </c>
      <c r="AP48" s="283">
        <v>17165</v>
      </c>
      <c r="AQ48" s="283" t="s">
        <v>1128</v>
      </c>
      <c r="AR48" s="283" t="s">
        <v>1129</v>
      </c>
      <c r="AS48" s="283" t="s">
        <v>1130</v>
      </c>
      <c r="AT48" s="283" t="s">
        <v>1131</v>
      </c>
      <c r="AU48" s="283" t="s">
        <v>1132</v>
      </c>
      <c r="AV48" s="283" t="s">
        <v>796</v>
      </c>
      <c r="AW48" s="283">
        <f t="shared" si="2"/>
        <v>2530</v>
      </c>
      <c r="AX48" s="283"/>
      <c r="AY48" s="283"/>
      <c r="AZ48" s="283"/>
      <c r="BA48" s="283"/>
      <c r="BB48" s="283"/>
      <c r="BC48" s="283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83"/>
      <c r="BO48" s="283"/>
      <c r="BP48" s="283"/>
      <c r="BQ48" s="283"/>
      <c r="BR48" s="283"/>
      <c r="BS48" s="283"/>
      <c r="BT48" s="283"/>
      <c r="BU48" s="283"/>
      <c r="BV48" s="283"/>
      <c r="BW48" s="283">
        <v>16000</v>
      </c>
      <c r="BX48" s="283">
        <v>73000</v>
      </c>
      <c r="BY48" s="283">
        <v>73000</v>
      </c>
      <c r="BZ48" s="283">
        <v>10700</v>
      </c>
      <c r="CA48" s="283">
        <v>22200</v>
      </c>
      <c r="CB48" s="283">
        <v>16100</v>
      </c>
      <c r="CC48" s="283">
        <v>14800</v>
      </c>
      <c r="CD48" s="283">
        <v>39000</v>
      </c>
      <c r="CE48" s="283">
        <v>39000</v>
      </c>
      <c r="CF48" s="283">
        <v>4700</v>
      </c>
      <c r="CG48" s="283">
        <v>6100</v>
      </c>
      <c r="CH48" s="283">
        <v>5200</v>
      </c>
      <c r="CI48" s="283">
        <v>4000</v>
      </c>
      <c r="CJ48" s="283">
        <v>0</v>
      </c>
      <c r="CK48" s="283">
        <f t="shared" si="3"/>
        <v>2200</v>
      </c>
      <c r="CL48" s="370"/>
      <c r="CM48" s="371">
        <f>Summary!$D$6</f>
        <v>1473053.7196</v>
      </c>
      <c r="CN48" s="258">
        <f t="shared" si="5"/>
        <v>0</v>
      </c>
    </row>
    <row r="49" ht="15.6" spans="1:92">
      <c r="A49" s="258" t="s">
        <v>152</v>
      </c>
      <c r="B49" s="258" t="s">
        <v>694</v>
      </c>
      <c r="C49" s="342" t="s">
        <v>234</v>
      </c>
      <c r="D49" s="258" t="s">
        <v>552</v>
      </c>
      <c r="E49" s="258" t="s">
        <v>233</v>
      </c>
      <c r="F49" s="260" t="s">
        <v>423</v>
      </c>
      <c r="G49" s="343"/>
      <c r="H49" s="283">
        <f t="shared" si="6"/>
        <v>32005</v>
      </c>
      <c r="I49" s="360" t="s">
        <v>1133</v>
      </c>
      <c r="J49" s="351"/>
      <c r="K49" s="351"/>
      <c r="L49" s="351"/>
      <c r="M49" s="351"/>
      <c r="N49" s="352"/>
      <c r="O49" s="353"/>
      <c r="P49" s="353"/>
      <c r="Q49" s="353"/>
      <c r="R49" s="353"/>
      <c r="S49" s="353"/>
      <c r="T49" s="353"/>
      <c r="U49" s="353"/>
      <c r="V49" s="353"/>
      <c r="W49" s="353"/>
      <c r="X49" s="353"/>
      <c r="Y49" s="353"/>
      <c r="Z49" s="353"/>
      <c r="AA49" s="353"/>
      <c r="AB49" s="353"/>
      <c r="AC49" s="353"/>
      <c r="AD49" s="353"/>
      <c r="AE49" s="353"/>
      <c r="AF49" s="353"/>
      <c r="AG49" s="353"/>
      <c r="AH49" s="353"/>
      <c r="AI49" s="353">
        <v>128016</v>
      </c>
      <c r="AJ49" s="353">
        <v>100358</v>
      </c>
      <c r="AK49" s="283">
        <v>109880</v>
      </c>
      <c r="AL49" s="283">
        <v>16081</v>
      </c>
      <c r="AM49" s="283" t="s">
        <v>1134</v>
      </c>
      <c r="AN49" s="283" t="s">
        <v>1135</v>
      </c>
      <c r="AO49" s="283" t="s">
        <v>1136</v>
      </c>
      <c r="AP49" s="366">
        <v>122333</v>
      </c>
      <c r="AQ49" s="366" t="s">
        <v>1137</v>
      </c>
      <c r="AR49" s="283" t="s">
        <v>1138</v>
      </c>
      <c r="AS49" s="283" t="s">
        <v>1139</v>
      </c>
      <c r="AT49" s="283" t="s">
        <v>1140</v>
      </c>
      <c r="AU49" s="283" t="s">
        <v>1141</v>
      </c>
      <c r="AV49" s="283" t="s">
        <v>1142</v>
      </c>
      <c r="AW49" s="283">
        <f t="shared" si="2"/>
        <v>61100.8333333333</v>
      </c>
      <c r="AX49" s="283"/>
      <c r="AY49" s="283"/>
      <c r="AZ49" s="283"/>
      <c r="BA49" s="283"/>
      <c r="BB49" s="283"/>
      <c r="BC49" s="283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83"/>
      <c r="BO49" s="283"/>
      <c r="BP49" s="283"/>
      <c r="BQ49" s="283"/>
      <c r="BR49" s="283"/>
      <c r="BS49" s="283"/>
      <c r="BT49" s="283"/>
      <c r="BU49" s="283"/>
      <c r="BV49" s="283"/>
      <c r="BW49" s="283">
        <v>65000</v>
      </c>
      <c r="BX49" s="283">
        <v>92900</v>
      </c>
      <c r="BY49" s="283">
        <v>92900</v>
      </c>
      <c r="BZ49" s="283">
        <v>0</v>
      </c>
      <c r="CA49" s="283">
        <v>3100</v>
      </c>
      <c r="CB49" s="283">
        <v>28900</v>
      </c>
      <c r="CC49" s="283">
        <v>4500</v>
      </c>
      <c r="CD49" s="283">
        <v>3000</v>
      </c>
      <c r="CE49" s="283">
        <v>300</v>
      </c>
      <c r="CF49" s="283">
        <v>2200</v>
      </c>
      <c r="CG49" s="283">
        <v>865</v>
      </c>
      <c r="CH49" s="283">
        <v>8600</v>
      </c>
      <c r="CI49" s="283">
        <v>3700</v>
      </c>
      <c r="CJ49" s="283">
        <v>485</v>
      </c>
      <c r="CK49" s="283">
        <f t="shared" si="3"/>
        <v>2909.16666666667</v>
      </c>
      <c r="CL49" s="370"/>
      <c r="CM49" s="371">
        <f>Summary!$D$6</f>
        <v>1473053.7196</v>
      </c>
      <c r="CN49" s="258">
        <f t="shared" si="5"/>
        <v>0</v>
      </c>
    </row>
    <row r="50" ht="78" spans="1:92">
      <c r="A50" s="258" t="s">
        <v>152</v>
      </c>
      <c r="B50" s="258" t="s">
        <v>694</v>
      </c>
      <c r="C50" s="258"/>
      <c r="D50" s="258" t="s">
        <v>1143</v>
      </c>
      <c r="E50" s="258"/>
      <c r="F50" s="260" t="s">
        <v>234</v>
      </c>
      <c r="G50" s="343"/>
      <c r="H50" s="283">
        <f>(AW50+CK50)/2*0.01</f>
        <v>371.322266666667</v>
      </c>
      <c r="I50" s="361" t="s">
        <v>1144</v>
      </c>
      <c r="J50" s="351"/>
      <c r="K50" s="351"/>
      <c r="L50" s="351"/>
      <c r="M50" s="351"/>
      <c r="N50" s="352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>
        <v>51569</v>
      </c>
      <c r="AJ50" s="353">
        <v>13809</v>
      </c>
      <c r="AK50" s="283">
        <v>19718</v>
      </c>
      <c r="AL50" s="283">
        <v>47902</v>
      </c>
      <c r="AM50" s="283" t="s">
        <v>1145</v>
      </c>
      <c r="AN50" s="283" t="s">
        <v>1146</v>
      </c>
      <c r="AO50" s="283" t="s">
        <v>1147</v>
      </c>
      <c r="AP50" s="283">
        <v>20086</v>
      </c>
      <c r="AQ50" s="283" t="s">
        <v>1148</v>
      </c>
      <c r="AR50" s="283" t="s">
        <v>1149</v>
      </c>
      <c r="AS50" s="283" t="s">
        <v>1150</v>
      </c>
      <c r="AT50" s="283" t="s">
        <v>1151</v>
      </c>
      <c r="AU50" s="283" t="s">
        <v>1152</v>
      </c>
      <c r="AV50" s="283" t="s">
        <v>1153</v>
      </c>
      <c r="AW50" s="283">
        <f t="shared" si="2"/>
        <v>40310.1666666667</v>
      </c>
      <c r="AX50" s="283"/>
      <c r="AY50" s="283"/>
      <c r="AZ50" s="283"/>
      <c r="BA50" s="283"/>
      <c r="BB50" s="283"/>
      <c r="BC50" s="283"/>
      <c r="BD50" s="283"/>
      <c r="BE50" s="283"/>
      <c r="BF50" s="283"/>
      <c r="BG50" s="283"/>
      <c r="BH50" s="283"/>
      <c r="BI50" s="283"/>
      <c r="BJ50" s="283"/>
      <c r="BK50" s="283"/>
      <c r="BL50" s="283"/>
      <c r="BM50" s="283"/>
      <c r="BN50" s="283"/>
      <c r="BO50" s="283"/>
      <c r="BP50" s="283"/>
      <c r="BQ50" s="283"/>
      <c r="BR50" s="283"/>
      <c r="BS50" s="283"/>
      <c r="BT50" s="283"/>
      <c r="BU50" s="283"/>
      <c r="BV50" s="283"/>
      <c r="BW50" s="283">
        <v>100000</v>
      </c>
      <c r="BX50" s="283">
        <v>10138.4615384615</v>
      </c>
      <c r="BY50" s="283">
        <v>7769.23076923077</v>
      </c>
      <c r="BZ50" s="283">
        <v>5653.84615384615</v>
      </c>
      <c r="CA50" s="283">
        <v>9400</v>
      </c>
      <c r="CB50" s="283">
        <v>8000</v>
      </c>
      <c r="CC50" s="283">
        <f>62400*0.08</f>
        <v>4992</v>
      </c>
      <c r="CD50" s="283">
        <v>3100</v>
      </c>
      <c r="CE50" s="283">
        <f>150600*0.0429*2</f>
        <v>12921.48</v>
      </c>
      <c r="CF50" s="283">
        <f>163500*0.08</f>
        <v>13080</v>
      </c>
      <c r="CG50" s="283">
        <v>14896</v>
      </c>
      <c r="CH50" s="283">
        <v>15280</v>
      </c>
      <c r="CI50" s="283">
        <f>132300*0.3414*2</f>
        <v>90334.44</v>
      </c>
      <c r="CJ50" s="283">
        <f>45800*0.0283*2</f>
        <v>2592.28</v>
      </c>
      <c r="CK50" s="283">
        <f t="shared" si="3"/>
        <v>33954.2866666667</v>
      </c>
      <c r="CL50" s="370"/>
      <c r="CM50" s="371">
        <f>Summary!$D$6</f>
        <v>1473053.7196</v>
      </c>
      <c r="CN50" s="258">
        <f t="shared" si="5"/>
        <v>0</v>
      </c>
    </row>
    <row r="51" ht="62.4" spans="1:92">
      <c r="A51" s="258" t="s">
        <v>152</v>
      </c>
      <c r="B51" s="258" t="s">
        <v>694</v>
      </c>
      <c r="C51" s="342"/>
      <c r="D51" s="258" t="s">
        <v>1154</v>
      </c>
      <c r="E51" s="349"/>
      <c r="F51" s="260" t="s">
        <v>234</v>
      </c>
      <c r="G51" s="343"/>
      <c r="H51" s="283">
        <f>(AW51+CK51)/2*0.52</f>
        <v>8679.36333333333</v>
      </c>
      <c r="I51" s="292" t="s">
        <v>1155</v>
      </c>
      <c r="J51" s="351"/>
      <c r="K51" s="351"/>
      <c r="L51" s="351"/>
      <c r="M51" s="351"/>
      <c r="N51" s="352"/>
      <c r="O51" s="353"/>
      <c r="P51" s="353"/>
      <c r="Q51" s="353"/>
      <c r="R51" s="353"/>
      <c r="S51" s="353"/>
      <c r="T51" s="353"/>
      <c r="U51" s="353"/>
      <c r="V51" s="353"/>
      <c r="W51" s="353"/>
      <c r="X51" s="353"/>
      <c r="Y51" s="353"/>
      <c r="Z51" s="353"/>
      <c r="AA51" s="353"/>
      <c r="AB51" s="353"/>
      <c r="AC51" s="353"/>
      <c r="AD51" s="353"/>
      <c r="AE51" s="353"/>
      <c r="AF51" s="353"/>
      <c r="AG51" s="353"/>
      <c r="AH51" s="353"/>
      <c r="AI51" s="353">
        <v>68772</v>
      </c>
      <c r="AJ51" s="353">
        <v>58235</v>
      </c>
      <c r="AK51" s="283">
        <v>62835</v>
      </c>
      <c r="AL51" s="283">
        <v>23438</v>
      </c>
      <c r="AM51" s="283" t="s">
        <v>1156</v>
      </c>
      <c r="AN51" s="283" t="s">
        <v>1157</v>
      </c>
      <c r="AO51" s="283" t="s">
        <v>1158</v>
      </c>
      <c r="AP51" s="283">
        <v>53801</v>
      </c>
      <c r="AQ51" s="283" t="s">
        <v>1159</v>
      </c>
      <c r="AR51" s="283" t="s">
        <v>1160</v>
      </c>
      <c r="AS51" s="283" t="s">
        <v>1161</v>
      </c>
      <c r="AT51" s="283" t="s">
        <v>1162</v>
      </c>
      <c r="AU51" s="283" t="s">
        <v>1163</v>
      </c>
      <c r="AV51" s="283" t="s">
        <v>1164</v>
      </c>
      <c r="AW51" s="283">
        <f t="shared" si="2"/>
        <v>26032.1666666667</v>
      </c>
      <c r="AX51" s="283"/>
      <c r="AY51" s="283"/>
      <c r="AZ51" s="283"/>
      <c r="BA51" s="283"/>
      <c r="BB51" s="283"/>
      <c r="BC51" s="283"/>
      <c r="BD51" s="283"/>
      <c r="BE51" s="283"/>
      <c r="BF51" s="283"/>
      <c r="BG51" s="283"/>
      <c r="BH51" s="283"/>
      <c r="BI51" s="283"/>
      <c r="BJ51" s="283"/>
      <c r="BK51" s="283"/>
      <c r="BL51" s="283"/>
      <c r="BM51" s="283"/>
      <c r="BN51" s="283"/>
      <c r="BO51" s="283"/>
      <c r="BP51" s="283"/>
      <c r="BQ51" s="283"/>
      <c r="BR51" s="283"/>
      <c r="BS51" s="283"/>
      <c r="BT51" s="283"/>
      <c r="BU51" s="283"/>
      <c r="BV51" s="283"/>
      <c r="BW51" s="283">
        <v>34000</v>
      </c>
      <c r="BX51" s="283">
        <v>88800</v>
      </c>
      <c r="BY51" s="283">
        <v>88800</v>
      </c>
      <c r="BZ51" s="283">
        <v>8800</v>
      </c>
      <c r="CA51" s="283">
        <v>29800</v>
      </c>
      <c r="CB51" s="283">
        <v>32600</v>
      </c>
      <c r="CC51" s="283">
        <v>73700</v>
      </c>
      <c r="CD51" s="283">
        <v>50400</v>
      </c>
      <c r="CE51" s="283">
        <v>50400</v>
      </c>
      <c r="CF51" s="283">
        <v>14500</v>
      </c>
      <c r="CG51" s="283">
        <v>30300</v>
      </c>
      <c r="CH51" s="283">
        <v>12900</v>
      </c>
      <c r="CI51" s="283">
        <v>4800</v>
      </c>
      <c r="CJ51" s="283">
        <v>7200</v>
      </c>
      <c r="CK51" s="283">
        <f t="shared" si="3"/>
        <v>7350</v>
      </c>
      <c r="CL51" s="370"/>
      <c r="CM51" s="371">
        <f>Summary!$D$6</f>
        <v>1473053.7196</v>
      </c>
      <c r="CN51" s="258">
        <f t="shared" si="5"/>
        <v>0</v>
      </c>
    </row>
    <row r="52" ht="15.6" spans="1:92">
      <c r="A52" s="258" t="s">
        <v>152</v>
      </c>
      <c r="B52" s="258" t="s">
        <v>694</v>
      </c>
      <c r="C52" s="342"/>
      <c r="D52" s="258" t="s">
        <v>1165</v>
      </c>
      <c r="E52" s="258"/>
      <c r="F52" s="260" t="s">
        <v>451</v>
      </c>
      <c r="G52" s="343"/>
      <c r="H52" s="283">
        <f t="shared" ref="H52:H53" si="7">(AW52+CK52)/2</f>
        <v>11178.75</v>
      </c>
      <c r="I52" s="360"/>
      <c r="J52" s="351"/>
      <c r="K52" s="351"/>
      <c r="L52" s="351"/>
      <c r="M52" s="351"/>
      <c r="N52" s="352"/>
      <c r="O52" s="353"/>
      <c r="P52" s="353"/>
      <c r="Q52" s="353"/>
      <c r="R52" s="353"/>
      <c r="S52" s="353"/>
      <c r="T52" s="353"/>
      <c r="U52" s="353"/>
      <c r="V52" s="353"/>
      <c r="W52" s="353"/>
      <c r="X52" s="353"/>
      <c r="Y52" s="353"/>
      <c r="Z52" s="353"/>
      <c r="AA52" s="353"/>
      <c r="AB52" s="353"/>
      <c r="AC52" s="353"/>
      <c r="AD52" s="353"/>
      <c r="AE52" s="353"/>
      <c r="AF52" s="353"/>
      <c r="AG52" s="353"/>
      <c r="AH52" s="353"/>
      <c r="AI52" s="353">
        <v>17455</v>
      </c>
      <c r="AJ52" s="353">
        <v>21301</v>
      </c>
      <c r="AK52" s="283">
        <v>22915</v>
      </c>
      <c r="AL52" s="283">
        <v>37742</v>
      </c>
      <c r="AM52" s="283" t="s">
        <v>1166</v>
      </c>
      <c r="AN52" s="283" t="s">
        <v>1167</v>
      </c>
      <c r="AO52" s="283" t="s">
        <v>1168</v>
      </c>
      <c r="AP52" s="283">
        <v>24489</v>
      </c>
      <c r="AQ52" s="283" t="s">
        <v>1169</v>
      </c>
      <c r="AR52" s="283" t="s">
        <v>1170</v>
      </c>
      <c r="AS52" s="283" t="s">
        <v>1171</v>
      </c>
      <c r="AT52" s="283" t="s">
        <v>1172</v>
      </c>
      <c r="AU52" s="283" t="s">
        <v>1173</v>
      </c>
      <c r="AV52" s="283" t="s">
        <v>1174</v>
      </c>
      <c r="AW52" s="283">
        <f t="shared" si="2"/>
        <v>20040.8333333333</v>
      </c>
      <c r="AX52" s="283"/>
      <c r="AY52" s="283"/>
      <c r="AZ52" s="283"/>
      <c r="BA52" s="283"/>
      <c r="BB52" s="283"/>
      <c r="BC52" s="283"/>
      <c r="BD52" s="283"/>
      <c r="BE52" s="283"/>
      <c r="BF52" s="283"/>
      <c r="BG52" s="283"/>
      <c r="BH52" s="283"/>
      <c r="BI52" s="283"/>
      <c r="BJ52" s="283"/>
      <c r="BK52" s="283"/>
      <c r="BL52" s="283"/>
      <c r="BM52" s="283"/>
      <c r="BN52" s="283"/>
      <c r="BO52" s="283"/>
      <c r="BP52" s="283"/>
      <c r="BQ52" s="283"/>
      <c r="BR52" s="283"/>
      <c r="BS52" s="283"/>
      <c r="BT52" s="283"/>
      <c r="BU52" s="283"/>
      <c r="BV52" s="283"/>
      <c r="BW52" s="283">
        <v>19000</v>
      </c>
      <c r="BX52" s="283">
        <v>57700</v>
      </c>
      <c r="BY52" s="283">
        <v>57700</v>
      </c>
      <c r="BZ52" s="283">
        <v>52900</v>
      </c>
      <c r="CA52" s="283">
        <v>28400</v>
      </c>
      <c r="CB52" s="283">
        <v>28100</v>
      </c>
      <c r="CC52" s="283">
        <v>11300</v>
      </c>
      <c r="CD52" s="283">
        <v>28800</v>
      </c>
      <c r="CE52" s="283">
        <v>28800</v>
      </c>
      <c r="CF52" s="283">
        <v>9700</v>
      </c>
      <c r="CG52" s="283">
        <v>10400</v>
      </c>
      <c r="CH52" s="283">
        <v>4200</v>
      </c>
      <c r="CI52" s="283">
        <v>1400</v>
      </c>
      <c r="CJ52" s="283">
        <v>2300</v>
      </c>
      <c r="CK52" s="283">
        <f t="shared" si="3"/>
        <v>2316.66666666667</v>
      </c>
      <c r="CL52" s="370"/>
      <c r="CM52" s="371">
        <f>Summary!$D$6</f>
        <v>1473053.7196</v>
      </c>
      <c r="CN52" s="258">
        <f t="shared" si="5"/>
        <v>0</v>
      </c>
    </row>
    <row r="53" ht="15.6" spans="1:92">
      <c r="A53" s="258" t="s">
        <v>152</v>
      </c>
      <c r="B53" s="258" t="s">
        <v>694</v>
      </c>
      <c r="C53" s="342"/>
      <c r="D53" s="258" t="s">
        <v>1175</v>
      </c>
      <c r="E53" s="258"/>
      <c r="F53" s="260" t="s">
        <v>60</v>
      </c>
      <c r="G53" s="343"/>
      <c r="H53" s="283">
        <f t="shared" si="7"/>
        <v>0</v>
      </c>
      <c r="I53" s="360"/>
      <c r="J53" s="351"/>
      <c r="K53" s="351"/>
      <c r="L53" s="351"/>
      <c r="M53" s="351"/>
      <c r="N53" s="352"/>
      <c r="O53" s="353"/>
      <c r="P53" s="353"/>
      <c r="Q53" s="353"/>
      <c r="R53" s="353"/>
      <c r="S53" s="353"/>
      <c r="T53" s="353"/>
      <c r="U53" s="353"/>
      <c r="V53" s="353"/>
      <c r="W53" s="353"/>
      <c r="X53" s="353"/>
      <c r="Y53" s="353"/>
      <c r="Z53" s="353"/>
      <c r="AA53" s="353"/>
      <c r="AB53" s="353"/>
      <c r="AC53" s="353"/>
      <c r="AD53" s="353"/>
      <c r="AE53" s="353"/>
      <c r="AF53" s="353"/>
      <c r="AG53" s="353"/>
      <c r="AH53" s="353"/>
      <c r="AI53" s="353">
        <v>26469</v>
      </c>
      <c r="AJ53" s="353">
        <v>24524</v>
      </c>
      <c r="AK53" s="283">
        <v>49878</v>
      </c>
      <c r="AL53" s="283">
        <v>113011</v>
      </c>
      <c r="AM53" s="283" t="s">
        <v>1176</v>
      </c>
      <c r="AN53" s="283" t="s">
        <v>1177</v>
      </c>
      <c r="AO53" s="283" t="s">
        <v>1178</v>
      </c>
      <c r="AP53" s="283">
        <v>0</v>
      </c>
      <c r="AQ53" s="283" t="s">
        <v>1179</v>
      </c>
      <c r="AR53" s="283" t="s">
        <v>796</v>
      </c>
      <c r="AS53" s="283" t="s">
        <v>796</v>
      </c>
      <c r="AT53" s="283" t="s">
        <v>796</v>
      </c>
      <c r="AU53" s="283" t="s">
        <v>796</v>
      </c>
      <c r="AV53" s="283" t="s">
        <v>796</v>
      </c>
      <c r="AW53" s="283">
        <f t="shared" si="2"/>
        <v>0</v>
      </c>
      <c r="AX53" s="283"/>
      <c r="AY53" s="283"/>
      <c r="AZ53" s="283"/>
      <c r="BA53" s="283"/>
      <c r="BB53" s="283"/>
      <c r="BC53" s="283"/>
      <c r="BD53" s="283"/>
      <c r="BE53" s="283"/>
      <c r="BF53" s="283"/>
      <c r="BG53" s="283"/>
      <c r="BH53" s="283"/>
      <c r="BI53" s="283"/>
      <c r="BJ53" s="283"/>
      <c r="BK53" s="283"/>
      <c r="BL53" s="283"/>
      <c r="BM53" s="283"/>
      <c r="BN53" s="283"/>
      <c r="BO53" s="283"/>
      <c r="BP53" s="283"/>
      <c r="BQ53" s="283"/>
      <c r="BR53" s="283"/>
      <c r="BS53" s="283"/>
      <c r="BT53" s="283"/>
      <c r="BU53" s="283"/>
      <c r="BV53" s="283"/>
      <c r="BW53" s="283">
        <v>16000</v>
      </c>
      <c r="BX53" s="283">
        <v>63400</v>
      </c>
      <c r="BY53" s="283">
        <v>63400</v>
      </c>
      <c r="BZ53" s="283">
        <v>93900</v>
      </c>
      <c r="CA53" s="283">
        <v>15800</v>
      </c>
      <c r="CB53" s="283">
        <v>16600</v>
      </c>
      <c r="CC53" s="283">
        <v>8200</v>
      </c>
      <c r="CD53" s="283">
        <v>0</v>
      </c>
      <c r="CE53" s="283">
        <v>0</v>
      </c>
      <c r="CF53" s="283">
        <v>0</v>
      </c>
      <c r="CG53" s="283">
        <v>0</v>
      </c>
      <c r="CH53" s="283">
        <v>0</v>
      </c>
      <c r="CI53" s="283">
        <v>0</v>
      </c>
      <c r="CJ53" s="283">
        <v>0</v>
      </c>
      <c r="CK53" s="283">
        <f t="shared" si="3"/>
        <v>0</v>
      </c>
      <c r="CL53" s="370"/>
      <c r="CM53" s="371">
        <f>Summary!$D$6</f>
        <v>1473053.7196</v>
      </c>
      <c r="CN53" s="258">
        <f t="shared" si="5"/>
        <v>0</v>
      </c>
    </row>
    <row r="54" ht="46.8" spans="1:92">
      <c r="A54" s="258" t="s">
        <v>152</v>
      </c>
      <c r="B54" s="258" t="s">
        <v>694</v>
      </c>
      <c r="C54" s="342" t="s">
        <v>230</v>
      </c>
      <c r="D54" s="258" t="s">
        <v>459</v>
      </c>
      <c r="E54" s="258" t="s">
        <v>233</v>
      </c>
      <c r="F54" s="260" t="s">
        <v>419</v>
      </c>
      <c r="G54" s="343"/>
      <c r="H54" s="283">
        <f>(AW54+CK54)/2*0.33</f>
        <v>26517.0125</v>
      </c>
      <c r="I54" s="292" t="s">
        <v>1180</v>
      </c>
      <c r="J54" s="351"/>
      <c r="K54" s="351"/>
      <c r="L54" s="351"/>
      <c r="M54" s="351"/>
      <c r="N54" s="352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>
        <v>177587</v>
      </c>
      <c r="AJ54" s="353">
        <v>122783</v>
      </c>
      <c r="AK54" s="283">
        <v>136385</v>
      </c>
      <c r="AL54" s="283">
        <v>210581</v>
      </c>
      <c r="AM54" s="283" t="s">
        <v>1181</v>
      </c>
      <c r="AN54" s="283" t="s">
        <v>1182</v>
      </c>
      <c r="AO54" s="283" t="s">
        <v>1183</v>
      </c>
      <c r="AP54" s="283">
        <v>155870</v>
      </c>
      <c r="AQ54" s="283" t="s">
        <v>1184</v>
      </c>
      <c r="AR54" s="283" t="s">
        <v>1185</v>
      </c>
      <c r="AS54" s="283" t="s">
        <v>1186</v>
      </c>
      <c r="AT54" s="283" t="s">
        <v>1187</v>
      </c>
      <c r="AU54" s="283" t="s">
        <v>1188</v>
      </c>
      <c r="AV54" s="283" t="s">
        <v>1189</v>
      </c>
      <c r="AW54" s="283">
        <f t="shared" si="2"/>
        <v>126679.166666667</v>
      </c>
      <c r="AX54" s="283"/>
      <c r="AY54" s="283"/>
      <c r="AZ54" s="283"/>
      <c r="BA54" s="283"/>
      <c r="BB54" s="283"/>
      <c r="BC54" s="283"/>
      <c r="BD54" s="283"/>
      <c r="BE54" s="283"/>
      <c r="BF54" s="283"/>
      <c r="BG54" s="283"/>
      <c r="BH54" s="283"/>
      <c r="BI54" s="283"/>
      <c r="BJ54" s="283"/>
      <c r="BK54" s="283"/>
      <c r="BL54" s="283"/>
      <c r="BM54" s="283"/>
      <c r="BN54" s="283"/>
      <c r="BO54" s="283"/>
      <c r="BP54" s="283"/>
      <c r="BQ54" s="283"/>
      <c r="BR54" s="283"/>
      <c r="BS54" s="283"/>
      <c r="BT54" s="283"/>
      <c r="BU54" s="283"/>
      <c r="BV54" s="283"/>
      <c r="BW54" s="283">
        <v>128000</v>
      </c>
      <c r="BX54" s="283">
        <v>101600</v>
      </c>
      <c r="BY54" s="283">
        <v>101600</v>
      </c>
      <c r="BZ54" s="283">
        <v>0</v>
      </c>
      <c r="CA54" s="283">
        <v>108100</v>
      </c>
      <c r="CB54" s="283">
        <v>43100</v>
      </c>
      <c r="CC54" s="283">
        <v>27600</v>
      </c>
      <c r="CD54" s="283">
        <v>39400</v>
      </c>
      <c r="CE54" s="283">
        <v>51000</v>
      </c>
      <c r="CF54" s="283">
        <v>11100</v>
      </c>
      <c r="CG54" s="283">
        <v>51800</v>
      </c>
      <c r="CH54" s="283">
        <v>55100</v>
      </c>
      <c r="CI54" s="283">
        <v>28100</v>
      </c>
      <c r="CJ54" s="283">
        <v>30960</v>
      </c>
      <c r="CK54" s="283">
        <f t="shared" si="3"/>
        <v>34030</v>
      </c>
      <c r="CL54" s="370"/>
      <c r="CM54" s="371">
        <f>Summary!$D$6</f>
        <v>1473053.7196</v>
      </c>
      <c r="CN54" s="258">
        <f t="shared" si="5"/>
        <v>0</v>
      </c>
    </row>
    <row r="55" ht="15.6" spans="1:92">
      <c r="A55" s="258" t="s">
        <v>152</v>
      </c>
      <c r="B55" s="258" t="s">
        <v>1190</v>
      </c>
      <c r="C55" s="258" t="s">
        <v>672</v>
      </c>
      <c r="D55" s="258" t="s">
        <v>556</v>
      </c>
      <c r="E55" s="258" t="s">
        <v>470</v>
      </c>
      <c r="F55" s="260" t="s">
        <v>234</v>
      </c>
      <c r="G55" s="343"/>
      <c r="H55" s="283">
        <f>(AW55+CK55)/2</f>
        <v>135485.083333333</v>
      </c>
      <c r="I55" s="292" t="s">
        <v>1191</v>
      </c>
      <c r="J55" s="351">
        <v>240635</v>
      </c>
      <c r="K55" s="351">
        <v>255041</v>
      </c>
      <c r="L55" s="351">
        <v>236726</v>
      </c>
      <c r="M55" s="351">
        <v>267681</v>
      </c>
      <c r="N55" s="352">
        <v>251740</v>
      </c>
      <c r="O55" s="353">
        <v>302810</v>
      </c>
      <c r="P55" s="353">
        <v>317443</v>
      </c>
      <c r="Q55" s="353">
        <v>293371</v>
      </c>
      <c r="R55" s="353">
        <v>308102</v>
      </c>
      <c r="S55" s="353">
        <v>255640</v>
      </c>
      <c r="T55" s="353">
        <v>242954</v>
      </c>
      <c r="U55" s="353">
        <f>VLOOKUP(D55,Mid!$A$2:$C$225,2,FALSE)</f>
        <v>336635</v>
      </c>
      <c r="V55" s="353">
        <v>295277</v>
      </c>
      <c r="W55" s="353">
        <v>312973</v>
      </c>
      <c r="X55" s="353">
        <v>272197</v>
      </c>
      <c r="Y55" s="353">
        <v>283129</v>
      </c>
      <c r="Z55" s="353">
        <v>283201</v>
      </c>
      <c r="AA55" s="353">
        <v>284687</v>
      </c>
      <c r="AB55" s="353">
        <v>255715</v>
      </c>
      <c r="AC55" s="353">
        <v>262582</v>
      </c>
      <c r="AD55" s="353">
        <v>271023</v>
      </c>
      <c r="AE55" s="353">
        <v>257256</v>
      </c>
      <c r="AF55" s="353">
        <v>0</v>
      </c>
      <c r="AG55" s="353">
        <v>253071</v>
      </c>
      <c r="AH55" s="353">
        <v>271064</v>
      </c>
      <c r="AI55" s="353">
        <v>243627</v>
      </c>
      <c r="AJ55" s="353">
        <v>222911</v>
      </c>
      <c r="AK55" s="283">
        <v>234553</v>
      </c>
      <c r="AL55" s="283">
        <v>86410</v>
      </c>
      <c r="AM55" s="283">
        <v>226418</v>
      </c>
      <c r="AN55" s="283" t="s">
        <v>796</v>
      </c>
      <c r="AO55" s="283">
        <f>256127*0.2358*2</f>
        <v>120789.4932</v>
      </c>
      <c r="AP55" s="283">
        <v>251088</v>
      </c>
      <c r="AQ55" s="283">
        <f>314959*0.2521*2</f>
        <v>158802.3278</v>
      </c>
      <c r="AR55" s="283">
        <v>260709</v>
      </c>
      <c r="AS55" s="283">
        <v>245420</v>
      </c>
      <c r="AT55" s="283">
        <v>257846</v>
      </c>
      <c r="AU55" s="283">
        <v>278575</v>
      </c>
      <c r="AV55" s="283">
        <v>270275</v>
      </c>
      <c r="AW55" s="283">
        <f t="shared" si="2"/>
        <v>270970.166666667</v>
      </c>
      <c r="AX55" s="283">
        <v>0</v>
      </c>
      <c r="AY55" s="283">
        <v>0</v>
      </c>
      <c r="AZ55" s="283">
        <v>0</v>
      </c>
      <c r="BA55" s="283">
        <v>0</v>
      </c>
      <c r="BB55" s="283">
        <v>0</v>
      </c>
      <c r="BC55" s="283">
        <v>0</v>
      </c>
      <c r="BD55" s="283">
        <v>0</v>
      </c>
      <c r="BE55" s="283">
        <v>0</v>
      </c>
      <c r="BF55" s="283">
        <v>0</v>
      </c>
      <c r="BG55" s="283">
        <v>0</v>
      </c>
      <c r="BH55" s="283">
        <v>0</v>
      </c>
      <c r="BI55" s="283">
        <f>VLOOKUP(D55,Mid!$A$2:$C$225,3,FALSE)</f>
        <v>0</v>
      </c>
      <c r="BJ55" s="283">
        <v>0</v>
      </c>
      <c r="BK55" s="283">
        <v>0</v>
      </c>
      <c r="BL55" s="283">
        <v>0</v>
      </c>
      <c r="BM55" s="283">
        <v>0</v>
      </c>
      <c r="BN55" s="283">
        <v>0</v>
      </c>
      <c r="BO55" s="283">
        <v>0</v>
      </c>
      <c r="BP55" s="283">
        <v>0</v>
      </c>
      <c r="BQ55" s="283">
        <v>0</v>
      </c>
      <c r="BR55" s="283">
        <v>0</v>
      </c>
      <c r="BS55" s="283">
        <v>0</v>
      </c>
      <c r="BT55" s="283">
        <v>0</v>
      </c>
      <c r="BU55" s="283">
        <v>0</v>
      </c>
      <c r="BV55" s="283">
        <v>19200000</v>
      </c>
      <c r="BW55" s="283">
        <v>18400000</v>
      </c>
      <c r="BX55" s="283">
        <v>128800</v>
      </c>
      <c r="BY55" s="283">
        <v>0</v>
      </c>
      <c r="BZ55" s="283">
        <v>79800</v>
      </c>
      <c r="CA55" s="283">
        <v>0</v>
      </c>
      <c r="CB55" s="283">
        <v>0</v>
      </c>
      <c r="CC55" s="283">
        <v>0</v>
      </c>
      <c r="CD55" s="283">
        <v>0</v>
      </c>
      <c r="CE55" s="283">
        <v>0</v>
      </c>
      <c r="CF55" s="283">
        <v>0</v>
      </c>
      <c r="CG55" s="283">
        <v>0</v>
      </c>
      <c r="CH55" s="283">
        <v>0</v>
      </c>
      <c r="CI55" s="283">
        <v>0</v>
      </c>
      <c r="CJ55" s="283">
        <v>0</v>
      </c>
      <c r="CK55" s="283">
        <f t="shared" si="3"/>
        <v>0</v>
      </c>
      <c r="CL55" s="370"/>
      <c r="CM55" s="371">
        <f>Summary!$D$6</f>
        <v>1473053.7196</v>
      </c>
      <c r="CN55" s="258">
        <f t="shared" si="5"/>
        <v>1</v>
      </c>
    </row>
    <row r="56" s="269" customFormat="1" ht="15.6" spans="1:92">
      <c r="A56" s="258" t="s">
        <v>152</v>
      </c>
      <c r="B56" s="258" t="s">
        <v>694</v>
      </c>
      <c r="C56" s="258" t="s">
        <v>230</v>
      </c>
      <c r="D56" s="258" t="s">
        <v>400</v>
      </c>
      <c r="E56" s="260" t="s">
        <v>233</v>
      </c>
      <c r="F56" s="260" t="s">
        <v>272</v>
      </c>
      <c r="G56" s="283"/>
      <c r="H56" s="283">
        <f>(AW56+CK56)/2</f>
        <v>54398.65</v>
      </c>
      <c r="I56" s="283"/>
      <c r="J56" s="283">
        <v>111949</v>
      </c>
      <c r="K56" s="283">
        <v>167351</v>
      </c>
      <c r="L56" s="283">
        <v>135554</v>
      </c>
      <c r="M56" s="283">
        <v>114053</v>
      </c>
      <c r="N56" s="283">
        <v>146467</v>
      </c>
      <c r="O56" s="283">
        <v>116740</v>
      </c>
      <c r="P56" s="283">
        <v>149956</v>
      </c>
      <c r="Q56" s="258">
        <v>325436</v>
      </c>
      <c r="R56" s="258">
        <v>216687</v>
      </c>
      <c r="S56" s="258">
        <v>130877</v>
      </c>
      <c r="T56" s="258">
        <v>120271</v>
      </c>
      <c r="U56" s="258" t="e">
        <f>VLOOKUP(D56,Mid!$A$2:$C$225,2,FALSE)</f>
        <v>#N/A</v>
      </c>
      <c r="V56" s="258">
        <v>223801</v>
      </c>
      <c r="W56" s="258">
        <v>168225</v>
      </c>
      <c r="X56" s="258">
        <v>190749</v>
      </c>
      <c r="Y56" s="258">
        <v>244018</v>
      </c>
      <c r="Z56" s="258">
        <v>166139</v>
      </c>
      <c r="AA56" s="258">
        <v>144693</v>
      </c>
      <c r="AB56" s="258">
        <v>178278</v>
      </c>
      <c r="AC56" s="258">
        <v>120859</v>
      </c>
      <c r="AD56" s="258">
        <v>117872</v>
      </c>
      <c r="AE56" s="258">
        <v>101499</v>
      </c>
      <c r="AF56" s="258">
        <v>102518</v>
      </c>
      <c r="AG56" s="258">
        <v>100657</v>
      </c>
      <c r="AH56" s="258">
        <v>115818</v>
      </c>
      <c r="AI56" s="258">
        <v>106729</v>
      </c>
      <c r="AJ56" s="258">
        <v>94365</v>
      </c>
      <c r="AK56" s="258" t="s">
        <v>1192</v>
      </c>
      <c r="AL56" s="258">
        <v>86410</v>
      </c>
      <c r="AM56" s="258" t="s">
        <v>1193</v>
      </c>
      <c r="AN56" s="258" t="s">
        <v>1194</v>
      </c>
      <c r="AO56" s="258" t="s">
        <v>1195</v>
      </c>
      <c r="AP56" s="367">
        <v>102337</v>
      </c>
      <c r="AQ56" s="367" t="s">
        <v>1196</v>
      </c>
      <c r="AR56" s="283" t="s">
        <v>1197</v>
      </c>
      <c r="AS56" s="283" t="s">
        <v>1198</v>
      </c>
      <c r="AT56" s="283" t="s">
        <v>1199</v>
      </c>
      <c r="AU56" s="283" t="s">
        <v>1200</v>
      </c>
      <c r="AV56" s="283" t="s">
        <v>1201</v>
      </c>
      <c r="AW56" s="283">
        <f t="shared" si="2"/>
        <v>75570.6666666667</v>
      </c>
      <c r="AX56" s="258">
        <v>60000</v>
      </c>
      <c r="AY56" s="258">
        <v>69300</v>
      </c>
      <c r="AZ56" s="258">
        <v>80100</v>
      </c>
      <c r="BA56" s="258">
        <v>83100</v>
      </c>
      <c r="BB56" s="258">
        <v>72200</v>
      </c>
      <c r="BC56" s="258">
        <v>100400</v>
      </c>
      <c r="BD56" s="258">
        <v>94500</v>
      </c>
      <c r="BE56" s="258">
        <v>75000</v>
      </c>
      <c r="BF56" s="258">
        <v>82000</v>
      </c>
      <c r="BG56" s="258">
        <v>88000</v>
      </c>
      <c r="BH56" s="258">
        <v>124700</v>
      </c>
      <c r="BI56" s="258" t="e">
        <f>VLOOKUP(D56,Mid!$A$2:$C$225,3,FALSE)</f>
        <v>#N/A</v>
      </c>
      <c r="BJ56" s="258">
        <v>71100</v>
      </c>
      <c r="BK56" s="258">
        <v>55700</v>
      </c>
      <c r="BL56" s="258">
        <v>68200</v>
      </c>
      <c r="BM56" s="258">
        <v>112400</v>
      </c>
      <c r="BN56" s="258">
        <v>116800</v>
      </c>
      <c r="BO56" s="258">
        <v>134900</v>
      </c>
      <c r="BP56" s="258">
        <v>71500</v>
      </c>
      <c r="BQ56" s="258">
        <v>58900</v>
      </c>
      <c r="BR56" s="258">
        <v>79200</v>
      </c>
      <c r="BS56" s="258">
        <v>98300</v>
      </c>
      <c r="BT56" s="258">
        <v>79300</v>
      </c>
      <c r="BU56" s="258">
        <v>79300</v>
      </c>
      <c r="BV56" s="258">
        <v>121000</v>
      </c>
      <c r="BW56" s="258">
        <v>46900</v>
      </c>
      <c r="BX56" s="258">
        <v>38137</v>
      </c>
      <c r="BY56" s="258">
        <v>38137</v>
      </c>
      <c r="BZ56" s="258">
        <v>58128</v>
      </c>
      <c r="CA56" s="258">
        <v>78700</v>
      </c>
      <c r="CB56" s="258">
        <v>37700</v>
      </c>
      <c r="CC56" s="258">
        <v>27472</v>
      </c>
      <c r="CD56" s="258">
        <v>23800</v>
      </c>
      <c r="CE56" s="258">
        <v>23800</v>
      </c>
      <c r="CF56" s="258">
        <v>58300</v>
      </c>
      <c r="CG56" s="258">
        <v>8400</v>
      </c>
      <c r="CH56" s="258">
        <v>47386</v>
      </c>
      <c r="CI56" s="258">
        <v>53186.9</v>
      </c>
      <c r="CJ56" s="258">
        <v>15200</v>
      </c>
      <c r="CK56" s="283">
        <f t="shared" si="3"/>
        <v>33226.6333333333</v>
      </c>
      <c r="CL56" s="258"/>
      <c r="CM56" s="371">
        <f>Summary!$D$6</f>
        <v>1473053.7196</v>
      </c>
      <c r="CN56" s="258">
        <f t="shared" si="5"/>
        <v>0</v>
      </c>
    </row>
    <row r="57" ht="46.8" spans="1:92">
      <c r="A57" s="258" t="s">
        <v>152</v>
      </c>
      <c r="B57" s="258" t="s">
        <v>694</v>
      </c>
      <c r="C57" s="258" t="s">
        <v>230</v>
      </c>
      <c r="D57" s="342" t="s">
        <v>292</v>
      </c>
      <c r="E57" s="258" t="s">
        <v>233</v>
      </c>
      <c r="F57" s="260" t="s">
        <v>250</v>
      </c>
      <c r="G57" s="343"/>
      <c r="H57" s="283">
        <f>(AW57+CK57)*0.23/2</f>
        <v>27951.0183333333</v>
      </c>
      <c r="I57" s="292" t="s">
        <v>1202</v>
      </c>
      <c r="J57" s="351">
        <v>234548</v>
      </c>
      <c r="K57" s="351">
        <v>314484</v>
      </c>
      <c r="L57" s="351">
        <v>239914</v>
      </c>
      <c r="M57" s="351">
        <v>279684</v>
      </c>
      <c r="N57" s="352">
        <v>227715</v>
      </c>
      <c r="O57" s="353">
        <v>241408</v>
      </c>
      <c r="P57" s="353">
        <v>320702</v>
      </c>
      <c r="Q57" s="353">
        <v>231020</v>
      </c>
      <c r="R57" s="353">
        <v>299454</v>
      </c>
      <c r="S57" s="353">
        <v>273694</v>
      </c>
      <c r="T57" s="353">
        <v>324908</v>
      </c>
      <c r="U57" s="353" t="e">
        <f>VLOOKUP(D57,Mid!$A$2:$C$225,2,FALSE)</f>
        <v>#N/A</v>
      </c>
      <c r="V57" s="353">
        <v>381338</v>
      </c>
      <c r="W57" s="353">
        <v>225827</v>
      </c>
      <c r="X57" s="353">
        <v>259851</v>
      </c>
      <c r="Y57" s="353">
        <v>342894</v>
      </c>
      <c r="Z57" s="353">
        <v>240069</v>
      </c>
      <c r="AA57" s="353">
        <v>290215</v>
      </c>
      <c r="AB57" s="353">
        <v>235131</v>
      </c>
      <c r="AC57" s="353">
        <v>258837</v>
      </c>
      <c r="AD57" s="353">
        <v>211466</v>
      </c>
      <c r="AE57" s="353">
        <v>204555</v>
      </c>
      <c r="AF57" s="353">
        <v>215270</v>
      </c>
      <c r="AG57" s="353">
        <v>182796</v>
      </c>
      <c r="AH57" s="353">
        <v>220053</v>
      </c>
      <c r="AI57" s="353">
        <v>213505</v>
      </c>
      <c r="AJ57" s="353">
        <v>176703</v>
      </c>
      <c r="AK57" s="283" t="s">
        <v>1203</v>
      </c>
      <c r="AL57" s="283">
        <v>51827</v>
      </c>
      <c r="AM57" s="283" t="s">
        <v>1204</v>
      </c>
      <c r="AN57" s="283" t="s">
        <v>1205</v>
      </c>
      <c r="AO57" s="283" t="s">
        <v>1206</v>
      </c>
      <c r="AP57" s="283">
        <v>201459</v>
      </c>
      <c r="AQ57" s="283" t="s">
        <v>1207</v>
      </c>
      <c r="AR57" s="283" t="s">
        <v>1208</v>
      </c>
      <c r="AS57" s="283" t="s">
        <v>1209</v>
      </c>
      <c r="AT57" s="283" t="s">
        <v>1210</v>
      </c>
      <c r="AU57" s="283" t="s">
        <v>1211</v>
      </c>
      <c r="AV57" s="283" t="s">
        <v>1212</v>
      </c>
      <c r="AW57" s="283">
        <f t="shared" si="2"/>
        <v>150235.666666667</v>
      </c>
      <c r="AX57" s="283">
        <v>80300</v>
      </c>
      <c r="AY57" s="283">
        <v>85200</v>
      </c>
      <c r="AZ57" s="283">
        <v>96700</v>
      </c>
      <c r="BA57" s="283">
        <v>97500</v>
      </c>
      <c r="BB57" s="283">
        <v>93100</v>
      </c>
      <c r="BC57" s="283">
        <v>110000</v>
      </c>
      <c r="BD57" s="283">
        <v>102900</v>
      </c>
      <c r="BE57" s="283">
        <v>96600</v>
      </c>
      <c r="BF57" s="283">
        <v>116600</v>
      </c>
      <c r="BG57" s="283">
        <v>74500</v>
      </c>
      <c r="BH57" s="283">
        <v>91700</v>
      </c>
      <c r="BI57" s="283" t="e">
        <f>VLOOKUP(D57,Mid!$A$2:$C$225,3,FALSE)</f>
        <v>#N/A</v>
      </c>
      <c r="BJ57" s="283">
        <v>89800</v>
      </c>
      <c r="BK57" s="283">
        <v>102100</v>
      </c>
      <c r="BL57" s="283">
        <v>90400</v>
      </c>
      <c r="BM57" s="283">
        <v>251500</v>
      </c>
      <c r="BN57" s="283">
        <v>232500</v>
      </c>
      <c r="BO57" s="283">
        <v>170100</v>
      </c>
      <c r="BP57" s="283">
        <v>102200</v>
      </c>
      <c r="BQ57" s="283">
        <v>141800</v>
      </c>
      <c r="BR57" s="283">
        <v>133100</v>
      </c>
      <c r="BS57" s="283">
        <v>111800</v>
      </c>
      <c r="BT57" s="283">
        <v>123000</v>
      </c>
      <c r="BU57" s="283">
        <v>132200</v>
      </c>
      <c r="BV57" s="283">
        <v>115800</v>
      </c>
      <c r="BW57" s="283">
        <v>158000</v>
      </c>
      <c r="BX57" s="283">
        <v>129000</v>
      </c>
      <c r="BY57" s="283">
        <v>129000</v>
      </c>
      <c r="BZ57" s="283">
        <v>7100</v>
      </c>
      <c r="CA57" s="283">
        <v>172300</v>
      </c>
      <c r="CB57" s="283">
        <v>125300</v>
      </c>
      <c r="CC57" s="283">
        <v>110824</v>
      </c>
      <c r="CD57" s="283">
        <v>97700</v>
      </c>
      <c r="CE57" s="283">
        <v>97700</v>
      </c>
      <c r="CF57" s="283">
        <v>164200</v>
      </c>
      <c r="CG57" s="283">
        <v>59333.4</v>
      </c>
      <c r="CH57" s="283">
        <v>77600</v>
      </c>
      <c r="CI57" s="283">
        <v>112900</v>
      </c>
      <c r="CJ57" s="283">
        <v>84500</v>
      </c>
      <c r="CK57" s="283">
        <f t="shared" si="3"/>
        <v>92816.6666666667</v>
      </c>
      <c r="CL57" s="370"/>
      <c r="CM57" s="371">
        <f>Summary!$D$6</f>
        <v>1473053.7196</v>
      </c>
      <c r="CN57" s="258">
        <f t="shared" si="5"/>
        <v>0</v>
      </c>
    </row>
    <row r="58" ht="15.6" spans="1:92">
      <c r="A58" s="258" t="s">
        <v>152</v>
      </c>
      <c r="B58" s="258" t="s">
        <v>694</v>
      </c>
      <c r="C58" s="258" t="s">
        <v>234</v>
      </c>
      <c r="D58" s="258" t="s">
        <v>1213</v>
      </c>
      <c r="E58" s="258" t="s">
        <v>233</v>
      </c>
      <c r="F58" s="260" t="s">
        <v>50</v>
      </c>
      <c r="G58" s="343"/>
      <c r="H58" s="283">
        <f>(AW58+CK58)/2</f>
        <v>9850.83333333334</v>
      </c>
      <c r="I58" s="292"/>
      <c r="J58" s="351">
        <v>26838</v>
      </c>
      <c r="K58" s="351">
        <v>61135</v>
      </c>
      <c r="L58" s="351">
        <v>35382</v>
      </c>
      <c r="M58" s="351">
        <v>48135</v>
      </c>
      <c r="N58" s="352">
        <v>64173</v>
      </c>
      <c r="O58" s="353">
        <v>31088</v>
      </c>
      <c r="P58" s="353">
        <v>37378</v>
      </c>
      <c r="Q58" s="353">
        <v>52269</v>
      </c>
      <c r="R58" s="353">
        <v>67504</v>
      </c>
      <c r="S58" s="353">
        <v>44228</v>
      </c>
      <c r="T58" s="353">
        <v>33066</v>
      </c>
      <c r="U58" s="353" t="e">
        <f>VLOOKUP(D58,Mid!$A$2:$C$225,2,FALSE)</f>
        <v>#N/A</v>
      </c>
      <c r="V58" s="353">
        <v>108944</v>
      </c>
      <c r="W58" s="353">
        <v>38228</v>
      </c>
      <c r="X58" s="353">
        <v>36973</v>
      </c>
      <c r="Y58" s="353">
        <v>29617</v>
      </c>
      <c r="Z58" s="353">
        <v>55073</v>
      </c>
      <c r="AA58" s="353">
        <v>64537</v>
      </c>
      <c r="AB58" s="353">
        <v>57621</v>
      </c>
      <c r="AC58" s="353">
        <v>37038</v>
      </c>
      <c r="AD58" s="353">
        <v>50206</v>
      </c>
      <c r="AE58" s="353">
        <v>52991</v>
      </c>
      <c r="AF58" s="353">
        <v>37666</v>
      </c>
      <c r="AG58" s="353">
        <v>30683</v>
      </c>
      <c r="AH58" s="353">
        <v>50847</v>
      </c>
      <c r="AI58" s="353">
        <v>54469</v>
      </c>
      <c r="AJ58" s="353">
        <v>40204</v>
      </c>
      <c r="AK58" s="283" t="s">
        <v>1214</v>
      </c>
      <c r="AL58" s="283">
        <v>66506</v>
      </c>
      <c r="AM58" s="283" t="s">
        <v>1215</v>
      </c>
      <c r="AN58" s="283" t="s">
        <v>1216</v>
      </c>
      <c r="AO58" s="283" t="s">
        <v>1217</v>
      </c>
      <c r="AP58" s="283">
        <v>92681</v>
      </c>
      <c r="AQ58" s="283" t="s">
        <v>1218</v>
      </c>
      <c r="AR58" s="283" t="s">
        <v>1219</v>
      </c>
      <c r="AS58" s="283" t="s">
        <v>1220</v>
      </c>
      <c r="AT58" s="283" t="s">
        <v>1221</v>
      </c>
      <c r="AU58" s="283" t="s">
        <v>1222</v>
      </c>
      <c r="AV58" s="283" t="s">
        <v>1223</v>
      </c>
      <c r="AW58" s="283">
        <f t="shared" si="2"/>
        <v>15185</v>
      </c>
      <c r="AX58" s="283">
        <v>44900</v>
      </c>
      <c r="AY58" s="283">
        <v>37600</v>
      </c>
      <c r="AZ58" s="283">
        <v>31300</v>
      </c>
      <c r="BA58" s="283">
        <v>32400</v>
      </c>
      <c r="BB58" s="283">
        <v>40800</v>
      </c>
      <c r="BC58" s="283">
        <v>39400</v>
      </c>
      <c r="BD58" s="283">
        <v>37400</v>
      </c>
      <c r="BE58" s="283">
        <v>33000</v>
      </c>
      <c r="BF58" s="283">
        <v>8700</v>
      </c>
      <c r="BG58" s="283">
        <v>24100</v>
      </c>
      <c r="BH58" s="283">
        <v>15200</v>
      </c>
      <c r="BI58" s="283" t="e">
        <f>VLOOKUP(D58,Mid!$A$2:$C$225,3,FALSE)</f>
        <v>#N/A</v>
      </c>
      <c r="BJ58" s="283">
        <v>8000</v>
      </c>
      <c r="BK58" s="283">
        <v>16100</v>
      </c>
      <c r="BL58" s="283">
        <v>16800</v>
      </c>
      <c r="BM58" s="283">
        <v>72500</v>
      </c>
      <c r="BN58" s="283">
        <v>68000</v>
      </c>
      <c r="BO58" s="283">
        <v>72700</v>
      </c>
      <c r="BP58" s="283">
        <v>40700</v>
      </c>
      <c r="BQ58" s="283">
        <v>27500</v>
      </c>
      <c r="BR58" s="283">
        <v>47700</v>
      </c>
      <c r="BS58" s="283">
        <v>32700</v>
      </c>
      <c r="BT58" s="283">
        <v>66300</v>
      </c>
      <c r="BU58" s="283">
        <v>46100</v>
      </c>
      <c r="BV58" s="283">
        <v>51200</v>
      </c>
      <c r="BW58" s="283">
        <v>34700</v>
      </c>
      <c r="BX58" s="283">
        <v>102900</v>
      </c>
      <c r="BY58" s="283">
        <v>102900</v>
      </c>
      <c r="BZ58" s="283">
        <v>45800</v>
      </c>
      <c r="CA58" s="283">
        <v>64638</v>
      </c>
      <c r="CB58" s="283">
        <v>27200</v>
      </c>
      <c r="CC58" s="283">
        <v>24400</v>
      </c>
      <c r="CD58" s="283">
        <v>17400</v>
      </c>
      <c r="CE58" s="283">
        <v>17400</v>
      </c>
      <c r="CF58" s="283">
        <v>22000</v>
      </c>
      <c r="CG58" s="283">
        <v>36124.66</v>
      </c>
      <c r="CH58" s="283">
        <v>10900</v>
      </c>
      <c r="CI58" s="283">
        <v>2400</v>
      </c>
      <c r="CJ58" s="283">
        <v>3800</v>
      </c>
      <c r="CK58" s="283">
        <f t="shared" si="3"/>
        <v>4516.66666666667</v>
      </c>
      <c r="CL58" s="370"/>
      <c r="CM58" s="371">
        <f>Summary!$D$6</f>
        <v>1473053.7196</v>
      </c>
      <c r="CN58" s="258">
        <f t="shared" si="5"/>
        <v>0</v>
      </c>
    </row>
    <row r="59" ht="15.6" spans="1:92">
      <c r="A59" s="258" t="s">
        <v>152</v>
      </c>
      <c r="B59" s="258" t="s">
        <v>694</v>
      </c>
      <c r="C59" s="258" t="s">
        <v>230</v>
      </c>
      <c r="D59" s="258" t="s">
        <v>492</v>
      </c>
      <c r="E59" s="258" t="s">
        <v>233</v>
      </c>
      <c r="F59" s="260" t="s">
        <v>451</v>
      </c>
      <c r="G59" s="343"/>
      <c r="H59" s="283">
        <f>(AW59+CK59)/2</f>
        <v>27115.1666666667</v>
      </c>
      <c r="I59" s="292"/>
      <c r="J59" s="351">
        <v>46776</v>
      </c>
      <c r="K59" s="351">
        <v>99298</v>
      </c>
      <c r="L59" s="351">
        <v>59440</v>
      </c>
      <c r="M59" s="351">
        <v>89231</v>
      </c>
      <c r="N59" s="352">
        <v>65073</v>
      </c>
      <c r="O59" s="353">
        <v>69406</v>
      </c>
      <c r="P59" s="353">
        <v>59580</v>
      </c>
      <c r="Q59" s="353">
        <v>57949</v>
      </c>
      <c r="R59" s="353">
        <v>54915</v>
      </c>
      <c r="S59" s="353">
        <v>46061</v>
      </c>
      <c r="T59" s="353">
        <v>43866</v>
      </c>
      <c r="U59" s="353" t="e">
        <f>VLOOKUP(D59,Mid!$A$2:$C$225,2,FALSE)</f>
        <v>#N/A</v>
      </c>
      <c r="V59" s="353">
        <v>63305</v>
      </c>
      <c r="W59" s="353">
        <v>54781</v>
      </c>
      <c r="X59" s="353">
        <v>60243</v>
      </c>
      <c r="Y59" s="353">
        <v>96945</v>
      </c>
      <c r="Z59" s="353">
        <v>96528</v>
      </c>
      <c r="AA59" s="353">
        <v>70067</v>
      </c>
      <c r="AB59" s="353">
        <v>74439</v>
      </c>
      <c r="AC59" s="353">
        <v>94908</v>
      </c>
      <c r="AD59" s="353">
        <v>78490</v>
      </c>
      <c r="AE59" s="353">
        <v>69248</v>
      </c>
      <c r="AF59" s="353">
        <v>67017</v>
      </c>
      <c r="AG59" s="353">
        <v>55026</v>
      </c>
      <c r="AH59" s="353">
        <v>59471</v>
      </c>
      <c r="AI59" s="353">
        <v>54558</v>
      </c>
      <c r="AJ59" s="353">
        <v>47035</v>
      </c>
      <c r="AK59" s="283" t="s">
        <v>1224</v>
      </c>
      <c r="AL59" s="283">
        <v>57341</v>
      </c>
      <c r="AM59" s="283" t="s">
        <v>1225</v>
      </c>
      <c r="AN59" s="283" t="s">
        <v>1226</v>
      </c>
      <c r="AO59" s="283" t="s">
        <v>1227</v>
      </c>
      <c r="AP59" s="283">
        <v>35567</v>
      </c>
      <c r="AQ59" s="283" t="s">
        <v>1228</v>
      </c>
      <c r="AR59" s="283" t="s">
        <v>1229</v>
      </c>
      <c r="AS59" s="283" t="s">
        <v>1230</v>
      </c>
      <c r="AT59" s="283" t="s">
        <v>1231</v>
      </c>
      <c r="AU59" s="283" t="s">
        <v>1232</v>
      </c>
      <c r="AV59" s="283" t="s">
        <v>1233</v>
      </c>
      <c r="AW59" s="283">
        <f t="shared" si="2"/>
        <v>44297</v>
      </c>
      <c r="AX59" s="283">
        <v>49000</v>
      </c>
      <c r="AY59" s="283">
        <v>37600</v>
      </c>
      <c r="AZ59" s="283">
        <v>48600</v>
      </c>
      <c r="BA59" s="283">
        <v>47900</v>
      </c>
      <c r="BB59" s="283">
        <v>51400</v>
      </c>
      <c r="BC59" s="283">
        <v>53900</v>
      </c>
      <c r="BD59" s="283">
        <v>54500</v>
      </c>
      <c r="BE59" s="283">
        <v>54400</v>
      </c>
      <c r="BF59" s="283">
        <v>44000</v>
      </c>
      <c r="BG59" s="283">
        <v>28400</v>
      </c>
      <c r="BH59" s="283">
        <v>30000</v>
      </c>
      <c r="BI59" s="283" t="e">
        <f>VLOOKUP(D59,Mid!$A$2:$C$225,3,FALSE)</f>
        <v>#N/A</v>
      </c>
      <c r="BJ59" s="283">
        <v>41600</v>
      </c>
      <c r="BK59" s="283">
        <v>47400</v>
      </c>
      <c r="BL59" s="283">
        <v>45700</v>
      </c>
      <c r="BM59" s="283">
        <v>85400</v>
      </c>
      <c r="BN59" s="283">
        <v>41300</v>
      </c>
      <c r="BO59" s="283">
        <v>76100</v>
      </c>
      <c r="BP59" s="283">
        <v>71900</v>
      </c>
      <c r="BQ59" s="283">
        <v>48100</v>
      </c>
      <c r="BR59" s="283">
        <v>71200</v>
      </c>
      <c r="BS59" s="283">
        <v>39900</v>
      </c>
      <c r="BT59" s="283">
        <v>14600</v>
      </c>
      <c r="BU59" s="283">
        <v>30900</v>
      </c>
      <c r="BV59" s="283">
        <v>37700</v>
      </c>
      <c r="BW59" s="283">
        <v>65900</v>
      </c>
      <c r="BX59" s="283">
        <v>49100</v>
      </c>
      <c r="BY59" s="283">
        <v>49100</v>
      </c>
      <c r="BZ59" s="283">
        <v>17100</v>
      </c>
      <c r="CA59" s="283">
        <v>8200</v>
      </c>
      <c r="CB59" s="283">
        <v>20900</v>
      </c>
      <c r="CC59" s="283">
        <v>12400</v>
      </c>
      <c r="CD59" s="283">
        <v>5200</v>
      </c>
      <c r="CE59" s="283">
        <v>5200</v>
      </c>
      <c r="CF59" s="283">
        <v>13600</v>
      </c>
      <c r="CG59" s="283">
        <v>2000</v>
      </c>
      <c r="CH59" s="283">
        <v>7500</v>
      </c>
      <c r="CI59" s="283">
        <v>24400</v>
      </c>
      <c r="CJ59" s="283">
        <v>1100</v>
      </c>
      <c r="CK59" s="283">
        <f t="shared" si="3"/>
        <v>9933.33333333333</v>
      </c>
      <c r="CL59" s="370"/>
      <c r="CM59" s="371">
        <f>Summary!$D$6</f>
        <v>1473053.7196</v>
      </c>
      <c r="CN59" s="258">
        <f t="shared" si="5"/>
        <v>0</v>
      </c>
    </row>
    <row r="60" ht="15.6" spans="1:92">
      <c r="A60" s="258" t="s">
        <v>152</v>
      </c>
      <c r="B60" s="258" t="s">
        <v>694</v>
      </c>
      <c r="C60" s="258" t="s">
        <v>230</v>
      </c>
      <c r="D60" s="342" t="s">
        <v>1234</v>
      </c>
      <c r="E60" s="258" t="s">
        <v>233</v>
      </c>
      <c r="F60" s="260" t="s">
        <v>55</v>
      </c>
      <c r="G60" s="343"/>
      <c r="H60" s="283">
        <f>(AW60+CK60)/2</f>
        <v>14977.0833333333</v>
      </c>
      <c r="I60" s="292"/>
      <c r="J60" s="351">
        <v>16423</v>
      </c>
      <c r="K60" s="351">
        <v>14428</v>
      </c>
      <c r="L60" s="351">
        <v>18455</v>
      </c>
      <c r="M60" s="351">
        <v>30704</v>
      </c>
      <c r="N60" s="352">
        <v>27028</v>
      </c>
      <c r="O60" s="353">
        <v>10300</v>
      </c>
      <c r="P60" s="353">
        <v>31206</v>
      </c>
      <c r="Q60" s="353">
        <v>30324</v>
      </c>
      <c r="R60" s="353">
        <v>22415</v>
      </c>
      <c r="S60" s="353">
        <v>32578</v>
      </c>
      <c r="T60" s="353">
        <v>30739</v>
      </c>
      <c r="U60" s="353" t="e">
        <f>VLOOKUP(D60,Mid!$A$2:$C$225,2,FALSE)</f>
        <v>#N/A</v>
      </c>
      <c r="V60" s="353">
        <v>51658</v>
      </c>
      <c r="W60" s="353">
        <v>32859</v>
      </c>
      <c r="X60" s="353">
        <v>28087</v>
      </c>
      <c r="Y60" s="353">
        <v>17283</v>
      </c>
      <c r="Z60" s="353">
        <v>24891</v>
      </c>
      <c r="AA60" s="353">
        <v>17556</v>
      </c>
      <c r="AB60" s="353">
        <v>27720</v>
      </c>
      <c r="AC60" s="353">
        <v>27952</v>
      </c>
      <c r="AD60" s="353">
        <v>27748</v>
      </c>
      <c r="AE60" s="353">
        <v>30222</v>
      </c>
      <c r="AF60" s="353">
        <v>33046</v>
      </c>
      <c r="AG60" s="353">
        <v>22612</v>
      </c>
      <c r="AH60" s="353">
        <v>23000</v>
      </c>
      <c r="AI60" s="353">
        <v>28373</v>
      </c>
      <c r="AJ60" s="353">
        <v>17821</v>
      </c>
      <c r="AK60" s="283" t="s">
        <v>1235</v>
      </c>
      <c r="AL60" s="283">
        <v>25414</v>
      </c>
      <c r="AM60" s="283" t="s">
        <v>1236</v>
      </c>
      <c r="AN60" s="283" t="s">
        <v>1237</v>
      </c>
      <c r="AO60" s="283" t="s">
        <v>1238</v>
      </c>
      <c r="AP60" s="283">
        <v>28994</v>
      </c>
      <c r="AQ60" s="283" t="s">
        <v>1239</v>
      </c>
      <c r="AR60" s="283" t="s">
        <v>1240</v>
      </c>
      <c r="AS60" s="283" t="s">
        <v>1241</v>
      </c>
      <c r="AT60" s="283" t="s">
        <v>1242</v>
      </c>
      <c r="AU60" s="283" t="s">
        <v>1243</v>
      </c>
      <c r="AV60" s="283" t="s">
        <v>1244</v>
      </c>
      <c r="AW60" s="283">
        <f t="shared" si="2"/>
        <v>23870.8333333333</v>
      </c>
      <c r="AX60" s="283">
        <v>3100</v>
      </c>
      <c r="AY60" s="283">
        <v>5800</v>
      </c>
      <c r="AZ60" s="283">
        <v>3700</v>
      </c>
      <c r="BA60" s="283">
        <v>5300</v>
      </c>
      <c r="BB60" s="283">
        <v>5500</v>
      </c>
      <c r="BC60" s="283">
        <v>5800</v>
      </c>
      <c r="BD60" s="283">
        <v>5000</v>
      </c>
      <c r="BE60" s="283">
        <v>3200</v>
      </c>
      <c r="BF60" s="283">
        <v>9800</v>
      </c>
      <c r="BG60" s="283">
        <v>12300</v>
      </c>
      <c r="BH60" s="283">
        <v>9000</v>
      </c>
      <c r="BI60" s="283" t="e">
        <f>VLOOKUP(D60,Mid!$A$2:$C$225,3,FALSE)</f>
        <v>#N/A</v>
      </c>
      <c r="BJ60" s="283">
        <v>6800</v>
      </c>
      <c r="BK60" s="283">
        <v>14400</v>
      </c>
      <c r="BL60" s="283">
        <v>7900</v>
      </c>
      <c r="BM60" s="283">
        <v>15800</v>
      </c>
      <c r="BN60" s="283">
        <v>20100</v>
      </c>
      <c r="BO60" s="283">
        <v>16600</v>
      </c>
      <c r="BP60" s="283">
        <v>12500</v>
      </c>
      <c r="BQ60" s="283">
        <v>21500</v>
      </c>
      <c r="BR60" s="283">
        <v>13100</v>
      </c>
      <c r="BS60" s="283">
        <v>15800</v>
      </c>
      <c r="BT60" s="283">
        <v>17400</v>
      </c>
      <c r="BU60" s="283">
        <v>11600</v>
      </c>
      <c r="BV60" s="283">
        <v>26000</v>
      </c>
      <c r="BW60" s="283">
        <v>16900</v>
      </c>
      <c r="BX60" s="283">
        <v>60300</v>
      </c>
      <c r="BY60" s="283">
        <v>60300</v>
      </c>
      <c r="BZ60" s="283">
        <v>68800</v>
      </c>
      <c r="CA60" s="283">
        <v>62400</v>
      </c>
      <c r="CB60" s="283">
        <v>12300</v>
      </c>
      <c r="CC60" s="283">
        <v>11000</v>
      </c>
      <c r="CD60" s="283">
        <v>46100</v>
      </c>
      <c r="CE60" s="283">
        <v>46100</v>
      </c>
      <c r="CF60" s="283">
        <v>5500</v>
      </c>
      <c r="CG60" s="283">
        <v>12530.4</v>
      </c>
      <c r="CH60" s="283">
        <v>5100</v>
      </c>
      <c r="CI60" s="283">
        <v>3700</v>
      </c>
      <c r="CJ60" s="283">
        <v>8000</v>
      </c>
      <c r="CK60" s="283">
        <f t="shared" si="3"/>
        <v>6083.33333333333</v>
      </c>
      <c r="CL60" s="370"/>
      <c r="CM60" s="371">
        <f>Summary!$D$6</f>
        <v>1473053.7196</v>
      </c>
      <c r="CN60" s="258">
        <f t="shared" si="5"/>
        <v>0</v>
      </c>
    </row>
    <row r="61" ht="15.6" spans="1:92">
      <c r="A61" s="258" t="s">
        <v>152</v>
      </c>
      <c r="B61" s="258" t="s">
        <v>694</v>
      </c>
      <c r="C61" s="258" t="s">
        <v>230</v>
      </c>
      <c r="D61" s="258" t="s">
        <v>746</v>
      </c>
      <c r="E61" s="258" t="s">
        <v>233</v>
      </c>
      <c r="F61" s="260" t="s">
        <v>266</v>
      </c>
      <c r="G61" s="343"/>
      <c r="H61" s="283">
        <f>(AW61+CK61)*0.09/2</f>
        <v>945.2325</v>
      </c>
      <c r="I61" s="292" t="s">
        <v>747</v>
      </c>
      <c r="J61" s="351">
        <v>176032</v>
      </c>
      <c r="K61" s="351">
        <v>267943</v>
      </c>
      <c r="L61" s="351">
        <v>214616</v>
      </c>
      <c r="M61" s="351">
        <v>258271</v>
      </c>
      <c r="N61" s="352">
        <v>187928</v>
      </c>
      <c r="O61" s="353">
        <v>181520</v>
      </c>
      <c r="P61" s="353">
        <v>224967</v>
      </c>
      <c r="Q61" s="353">
        <v>207895</v>
      </c>
      <c r="R61" s="353">
        <v>206333</v>
      </c>
      <c r="S61" s="353">
        <v>182539</v>
      </c>
      <c r="T61" s="353">
        <v>146238</v>
      </c>
      <c r="U61" s="353" t="e">
        <f>VLOOKUP(D61,Mid!$A$2:$C$225,2,FALSE)</f>
        <v>#N/A</v>
      </c>
      <c r="V61" s="353">
        <v>184359</v>
      </c>
      <c r="W61" s="353">
        <v>174167</v>
      </c>
      <c r="X61" s="353">
        <v>214152</v>
      </c>
      <c r="Y61" s="353">
        <v>199633</v>
      </c>
      <c r="Z61" s="353">
        <v>208932</v>
      </c>
      <c r="AA61" s="353">
        <v>209530</v>
      </c>
      <c r="AB61" s="353">
        <v>184819</v>
      </c>
      <c r="AC61" s="353">
        <v>229858</v>
      </c>
      <c r="AD61" s="353">
        <v>346107</v>
      </c>
      <c r="AE61" s="353">
        <v>271884</v>
      </c>
      <c r="AF61" s="353">
        <v>198072</v>
      </c>
      <c r="AG61" s="353">
        <v>238983</v>
      </c>
      <c r="AH61" s="353">
        <v>396684</v>
      </c>
      <c r="AI61" s="353">
        <v>322537</v>
      </c>
      <c r="AJ61" s="353">
        <v>279868</v>
      </c>
      <c r="AK61" s="283" t="s">
        <v>748</v>
      </c>
      <c r="AL61" s="283">
        <v>213004</v>
      </c>
      <c r="AM61" s="283" t="s">
        <v>749</v>
      </c>
      <c r="AN61" s="283" t="s">
        <v>750</v>
      </c>
      <c r="AO61" s="283" t="s">
        <v>751</v>
      </c>
      <c r="AP61" s="283">
        <v>108207</v>
      </c>
      <c r="AQ61" s="283" t="s">
        <v>752</v>
      </c>
      <c r="AR61" s="283" t="s">
        <v>753</v>
      </c>
      <c r="AS61" s="283" t="s">
        <v>754</v>
      </c>
      <c r="AT61" s="283" t="s">
        <v>755</v>
      </c>
      <c r="AU61" s="283" t="s">
        <v>756</v>
      </c>
      <c r="AV61" s="283" t="s">
        <v>757</v>
      </c>
      <c r="AW61" s="283">
        <f t="shared" si="2"/>
        <v>14215.5</v>
      </c>
      <c r="AX61" s="283">
        <v>253300</v>
      </c>
      <c r="AY61" s="283">
        <v>359800</v>
      </c>
      <c r="AZ61" s="283">
        <v>290900</v>
      </c>
      <c r="BA61" s="283">
        <v>283300</v>
      </c>
      <c r="BB61" s="283">
        <v>231200</v>
      </c>
      <c r="BC61" s="283">
        <v>211200</v>
      </c>
      <c r="BD61" s="283">
        <v>230700</v>
      </c>
      <c r="BE61" s="283">
        <v>235500</v>
      </c>
      <c r="BF61" s="283">
        <v>147000</v>
      </c>
      <c r="BG61" s="283">
        <v>181400</v>
      </c>
      <c r="BH61" s="283">
        <v>218100</v>
      </c>
      <c r="BI61" s="283" t="e">
        <f>VLOOKUP(D61,Mid!$A$2:$C$225,3,FALSE)</f>
        <v>#N/A</v>
      </c>
      <c r="BJ61" s="283">
        <v>242800</v>
      </c>
      <c r="BK61" s="283">
        <v>226800</v>
      </c>
      <c r="BL61" s="283">
        <v>142200</v>
      </c>
      <c r="BM61" s="283">
        <v>68400</v>
      </c>
      <c r="BN61" s="283">
        <v>91600</v>
      </c>
      <c r="BO61" s="283">
        <v>65000</v>
      </c>
      <c r="BP61" s="283">
        <v>78000</v>
      </c>
      <c r="BQ61" s="283">
        <v>101300</v>
      </c>
      <c r="BR61" s="283">
        <v>162800</v>
      </c>
      <c r="BS61" s="283">
        <v>57200</v>
      </c>
      <c r="BT61" s="283">
        <v>106500</v>
      </c>
      <c r="BU61" s="283">
        <v>56400</v>
      </c>
      <c r="BV61" s="283">
        <v>42500</v>
      </c>
      <c r="BW61" s="283">
        <v>76100</v>
      </c>
      <c r="BX61" s="283">
        <v>28100</v>
      </c>
      <c r="BY61" s="283">
        <v>28100</v>
      </c>
      <c r="BZ61" s="283">
        <v>17700</v>
      </c>
      <c r="CA61" s="283">
        <v>32400</v>
      </c>
      <c r="CB61" s="283">
        <v>20300</v>
      </c>
      <c r="CC61" s="283">
        <v>7300</v>
      </c>
      <c r="CD61" s="283">
        <v>12300</v>
      </c>
      <c r="CE61" s="283">
        <v>12300</v>
      </c>
      <c r="CF61" s="283">
        <v>9200</v>
      </c>
      <c r="CG61" s="283">
        <v>16500</v>
      </c>
      <c r="CH61" s="283">
        <v>17700</v>
      </c>
      <c r="CI61" s="283">
        <v>11000</v>
      </c>
      <c r="CJ61" s="283">
        <v>346</v>
      </c>
      <c r="CK61" s="283">
        <f t="shared" si="3"/>
        <v>6789.66666666667</v>
      </c>
      <c r="CL61" s="370"/>
      <c r="CM61" s="371">
        <f>Summary!$D$6</f>
        <v>1473053.7196</v>
      </c>
      <c r="CN61" s="258">
        <f t="shared" si="5"/>
        <v>0</v>
      </c>
    </row>
    <row r="62" ht="15.6" spans="1:92">
      <c r="A62" s="344" t="s">
        <v>152</v>
      </c>
      <c r="B62" s="344" t="s">
        <v>683</v>
      </c>
      <c r="C62" s="344" t="s">
        <v>227</v>
      </c>
      <c r="D62" s="344" t="s">
        <v>1245</v>
      </c>
      <c r="E62" s="344" t="s">
        <v>233</v>
      </c>
      <c r="F62" s="344" t="s">
        <v>49</v>
      </c>
      <c r="G62" s="345"/>
      <c r="H62" s="345">
        <f>(AW62+CK62)/2</f>
        <v>0</v>
      </c>
      <c r="I62" s="292"/>
      <c r="J62" s="351">
        <v>12486</v>
      </c>
      <c r="K62" s="351">
        <v>9675</v>
      </c>
      <c r="L62" s="351">
        <v>7215</v>
      </c>
      <c r="M62" s="351">
        <v>14102</v>
      </c>
      <c r="N62" s="352">
        <v>16163</v>
      </c>
      <c r="O62" s="353">
        <v>9311</v>
      </c>
      <c r="P62" s="353">
        <v>16079</v>
      </c>
      <c r="Q62" s="353">
        <v>15446</v>
      </c>
      <c r="R62" s="353">
        <v>14201</v>
      </c>
      <c r="S62" s="353">
        <v>12244</v>
      </c>
      <c r="T62" s="353">
        <v>11157</v>
      </c>
      <c r="U62" s="353" t="e">
        <f>VLOOKUP(D62,Mid!$A$2:$C$225,2,FALSE)</f>
        <v>#N/A</v>
      </c>
      <c r="V62" s="353">
        <v>16728</v>
      </c>
      <c r="W62" s="353">
        <v>14402</v>
      </c>
      <c r="X62" s="353">
        <v>23059</v>
      </c>
      <c r="Y62" s="353">
        <v>22520</v>
      </c>
      <c r="Z62" s="353">
        <v>21563</v>
      </c>
      <c r="AA62" s="353">
        <v>20371</v>
      </c>
      <c r="AB62" s="353">
        <v>25819</v>
      </c>
      <c r="AC62" s="353">
        <v>20617</v>
      </c>
      <c r="AD62" s="353">
        <v>2867</v>
      </c>
      <c r="AE62" s="353">
        <v>1200</v>
      </c>
      <c r="AF62" s="353">
        <v>0</v>
      </c>
      <c r="AG62" s="353">
        <v>405</v>
      </c>
      <c r="AH62" s="353">
        <v>0</v>
      </c>
      <c r="AI62" s="353">
        <v>0</v>
      </c>
      <c r="AJ62" s="353">
        <v>263</v>
      </c>
      <c r="AK62" s="283">
        <v>1134</v>
      </c>
      <c r="AL62" s="283">
        <v>0</v>
      </c>
      <c r="AM62" s="283" t="s">
        <v>796</v>
      </c>
      <c r="AN62" s="283" t="s">
        <v>796</v>
      </c>
      <c r="AO62" s="283" t="s">
        <v>796</v>
      </c>
      <c r="AP62" s="283">
        <v>0</v>
      </c>
      <c r="AQ62" s="283" t="s">
        <v>796</v>
      </c>
      <c r="AR62" s="283" t="s">
        <v>796</v>
      </c>
      <c r="AS62" s="283" t="s">
        <v>796</v>
      </c>
      <c r="AT62" s="283" t="s">
        <v>796</v>
      </c>
      <c r="AU62" s="283" t="s">
        <v>796</v>
      </c>
      <c r="AV62" s="283" t="s">
        <v>796</v>
      </c>
      <c r="AW62" s="283">
        <f t="shared" si="2"/>
        <v>0</v>
      </c>
      <c r="AX62" s="283">
        <v>6900</v>
      </c>
      <c r="AY62" s="283">
        <v>9400</v>
      </c>
      <c r="AZ62" s="283">
        <v>11900</v>
      </c>
      <c r="BA62" s="283">
        <v>11700</v>
      </c>
      <c r="BB62" s="283">
        <v>13700</v>
      </c>
      <c r="BC62" s="283">
        <v>14100</v>
      </c>
      <c r="BD62" s="283">
        <v>15900</v>
      </c>
      <c r="BE62" s="283">
        <v>13300</v>
      </c>
      <c r="BF62" s="283">
        <v>12200</v>
      </c>
      <c r="BG62" s="283">
        <v>16900</v>
      </c>
      <c r="BH62" s="283">
        <v>23000</v>
      </c>
      <c r="BI62" s="283" t="e">
        <f>VLOOKUP(D62,Mid!$A$2:$C$225,3,FALSE)</f>
        <v>#N/A</v>
      </c>
      <c r="BJ62" s="283">
        <v>15300</v>
      </c>
      <c r="BK62" s="283">
        <v>20600</v>
      </c>
      <c r="BL62" s="283">
        <v>19200</v>
      </c>
      <c r="BM62" s="283">
        <v>64300</v>
      </c>
      <c r="BN62" s="283">
        <v>60300</v>
      </c>
      <c r="BO62" s="283">
        <v>37300</v>
      </c>
      <c r="BP62" s="283">
        <v>72800</v>
      </c>
      <c r="BQ62" s="283">
        <v>46100</v>
      </c>
      <c r="BR62" s="283">
        <v>6200</v>
      </c>
      <c r="BS62" s="283">
        <v>30000</v>
      </c>
      <c r="BT62" s="283">
        <v>9900</v>
      </c>
      <c r="BU62" s="283">
        <v>0</v>
      </c>
      <c r="BV62" s="283">
        <v>0</v>
      </c>
      <c r="BW62" s="283">
        <v>0</v>
      </c>
      <c r="BX62" s="283">
        <v>0</v>
      </c>
      <c r="BY62" s="283">
        <v>0</v>
      </c>
      <c r="BZ62" s="283">
        <v>0</v>
      </c>
      <c r="CA62" s="283">
        <v>0</v>
      </c>
      <c r="CB62" s="283">
        <v>0</v>
      </c>
      <c r="CC62" s="283">
        <v>0</v>
      </c>
      <c r="CD62" s="283">
        <v>0</v>
      </c>
      <c r="CE62" s="283">
        <v>0</v>
      </c>
      <c r="CF62" s="283">
        <v>0</v>
      </c>
      <c r="CG62" s="283">
        <v>0</v>
      </c>
      <c r="CH62" s="283">
        <v>0</v>
      </c>
      <c r="CI62" s="283">
        <v>0</v>
      </c>
      <c r="CJ62" s="283">
        <v>0</v>
      </c>
      <c r="CK62" s="283">
        <f t="shared" si="3"/>
        <v>0</v>
      </c>
      <c r="CL62" s="370"/>
      <c r="CM62" s="371">
        <f>Summary!$D$6</f>
        <v>1473053.7196</v>
      </c>
      <c r="CN62" s="258">
        <f t="shared" si="5"/>
        <v>0</v>
      </c>
    </row>
    <row r="63" s="269" customFormat="1" ht="15.6" spans="1:92">
      <c r="A63" s="258" t="s">
        <v>152</v>
      </c>
      <c r="B63" s="258" t="s">
        <v>694</v>
      </c>
      <c r="C63" s="342" t="s">
        <v>230</v>
      </c>
      <c r="D63" s="258" t="s">
        <v>1246</v>
      </c>
      <c r="E63" s="258" t="s">
        <v>234</v>
      </c>
      <c r="F63" s="260" t="s">
        <v>266</v>
      </c>
      <c r="G63" s="343"/>
      <c r="H63" s="283">
        <f>(AW63+CK63)/2</f>
        <v>32340.9</v>
      </c>
      <c r="I63" s="360" t="s">
        <v>1247</v>
      </c>
      <c r="J63" s="357"/>
      <c r="K63" s="357"/>
      <c r="L63" s="357"/>
      <c r="M63" s="357"/>
      <c r="N63" s="358"/>
      <c r="O63" s="359"/>
      <c r="P63" s="359"/>
      <c r="Q63" s="359"/>
      <c r="R63" s="359"/>
      <c r="S63" s="359"/>
      <c r="T63" s="359"/>
      <c r="U63" s="353"/>
      <c r="V63" s="353">
        <v>93443</v>
      </c>
      <c r="W63" s="353">
        <v>131140</v>
      </c>
      <c r="X63" s="353">
        <v>120980</v>
      </c>
      <c r="Y63" s="353">
        <v>104524</v>
      </c>
      <c r="Z63" s="353">
        <v>110798</v>
      </c>
      <c r="AA63" s="353">
        <v>109518</v>
      </c>
      <c r="AB63" s="353">
        <v>112150</v>
      </c>
      <c r="AC63" s="353">
        <v>113464</v>
      </c>
      <c r="AD63" s="353">
        <v>108133</v>
      </c>
      <c r="AE63" s="353">
        <v>110456</v>
      </c>
      <c r="AF63" s="353">
        <v>61803</v>
      </c>
      <c r="AG63" s="353">
        <v>64196</v>
      </c>
      <c r="AH63" s="353">
        <v>60586</v>
      </c>
      <c r="AI63" s="353">
        <v>91041</v>
      </c>
      <c r="AJ63" s="353">
        <v>90106</v>
      </c>
      <c r="AK63" s="283" t="s">
        <v>1248</v>
      </c>
      <c r="AL63" s="283">
        <v>61650</v>
      </c>
      <c r="AM63" s="283" t="s">
        <v>1249</v>
      </c>
      <c r="AN63" s="283" t="s">
        <v>1250</v>
      </c>
      <c r="AO63" s="283" t="s">
        <v>1251</v>
      </c>
      <c r="AP63" s="283">
        <v>69225</v>
      </c>
      <c r="AQ63" s="283" t="s">
        <v>1252</v>
      </c>
      <c r="AR63" s="283" t="s">
        <v>1253</v>
      </c>
      <c r="AS63" s="283" t="s">
        <v>1254</v>
      </c>
      <c r="AT63" s="283" t="s">
        <v>1255</v>
      </c>
      <c r="AU63" s="283" t="s">
        <v>1256</v>
      </c>
      <c r="AV63" s="283" t="s">
        <v>1257</v>
      </c>
      <c r="AW63" s="283">
        <f t="shared" si="2"/>
        <v>58414.5</v>
      </c>
      <c r="AX63" s="283"/>
      <c r="AY63" s="283"/>
      <c r="AZ63" s="283"/>
      <c r="BA63" s="283"/>
      <c r="BB63" s="283"/>
      <c r="BC63" s="283"/>
      <c r="BD63" s="283"/>
      <c r="BE63" s="283"/>
      <c r="BF63" s="283"/>
      <c r="BG63" s="283"/>
      <c r="BH63" s="283"/>
      <c r="BI63" s="283"/>
      <c r="BJ63" s="283">
        <v>29800</v>
      </c>
      <c r="BK63" s="283">
        <v>18200</v>
      </c>
      <c r="BL63" s="283">
        <v>15800</v>
      </c>
      <c r="BM63" s="283">
        <v>28700</v>
      </c>
      <c r="BN63" s="283">
        <v>28700</v>
      </c>
      <c r="BO63" s="283">
        <v>34400</v>
      </c>
      <c r="BP63" s="283">
        <v>4700</v>
      </c>
      <c r="BQ63" s="283">
        <v>4700</v>
      </c>
      <c r="BR63" s="283">
        <v>51200</v>
      </c>
      <c r="BS63" s="283">
        <v>14100</v>
      </c>
      <c r="BT63" s="283">
        <v>22500</v>
      </c>
      <c r="BU63" s="283">
        <v>0</v>
      </c>
      <c r="BV63" s="283">
        <v>1900</v>
      </c>
      <c r="BW63" s="283">
        <v>563</v>
      </c>
      <c r="BX63" s="283">
        <v>0</v>
      </c>
      <c r="BY63" s="283">
        <v>0</v>
      </c>
      <c r="BZ63" s="283">
        <v>0</v>
      </c>
      <c r="CA63" s="283">
        <v>2100</v>
      </c>
      <c r="CB63" s="283">
        <v>0</v>
      </c>
      <c r="CC63" s="283">
        <v>2</v>
      </c>
      <c r="CD63" s="283">
        <v>0</v>
      </c>
      <c r="CE63" s="283">
        <v>0</v>
      </c>
      <c r="CF63" s="283">
        <v>0</v>
      </c>
      <c r="CG63" s="283">
        <v>0</v>
      </c>
      <c r="CH63" s="283">
        <v>1000</v>
      </c>
      <c r="CI63" s="283">
        <v>6400</v>
      </c>
      <c r="CJ63" s="283">
        <v>7934.6</v>
      </c>
      <c r="CK63" s="283">
        <f t="shared" si="3"/>
        <v>6267.3</v>
      </c>
      <c r="CL63" s="370"/>
      <c r="CM63" s="371">
        <f>Summary!$D$6</f>
        <v>1473053.7196</v>
      </c>
      <c r="CN63" s="258">
        <f t="shared" si="5"/>
        <v>0</v>
      </c>
    </row>
    <row r="64" ht="93.6" spans="1:92">
      <c r="A64" s="258" t="s">
        <v>145</v>
      </c>
      <c r="B64" s="258" t="s">
        <v>694</v>
      </c>
      <c r="C64" s="258" t="s">
        <v>230</v>
      </c>
      <c r="D64" s="258" t="s">
        <v>255</v>
      </c>
      <c r="E64" s="258" t="s">
        <v>233</v>
      </c>
      <c r="F64" s="260" t="s">
        <v>419</v>
      </c>
      <c r="G64" s="343"/>
      <c r="H64" s="283">
        <f>(AW64+CK64)*0.25/2</f>
        <v>141265.396666667</v>
      </c>
      <c r="I64" s="292" t="s">
        <v>1046</v>
      </c>
      <c r="J64" s="351">
        <v>742524</v>
      </c>
      <c r="K64" s="351">
        <v>832806</v>
      </c>
      <c r="L64" s="351">
        <v>630060</v>
      </c>
      <c r="M64" s="351">
        <v>859832</v>
      </c>
      <c r="N64" s="352">
        <v>865492</v>
      </c>
      <c r="O64" s="353">
        <v>766580</v>
      </c>
      <c r="P64" s="353">
        <v>748274</v>
      </c>
      <c r="Q64" s="353">
        <v>882707</v>
      </c>
      <c r="R64" s="353">
        <v>901829</v>
      </c>
      <c r="S64" s="353">
        <v>839737</v>
      </c>
      <c r="T64" s="353">
        <v>863111</v>
      </c>
      <c r="U64" s="353" t="e">
        <f>VLOOKUP(D64,Mid!$A$2:$C$225,2,FALSE)</f>
        <v>#N/A</v>
      </c>
      <c r="V64" s="353">
        <v>873182</v>
      </c>
      <c r="W64" s="353">
        <v>954371</v>
      </c>
      <c r="X64" s="353">
        <v>902765</v>
      </c>
      <c r="Y64" s="353">
        <v>1069000</v>
      </c>
      <c r="Z64" s="353">
        <v>965481</v>
      </c>
      <c r="AA64" s="353">
        <v>1005000</v>
      </c>
      <c r="AB64" s="353">
        <v>963869</v>
      </c>
      <c r="AC64" s="353">
        <v>1091000</v>
      </c>
      <c r="AD64" s="353">
        <v>1053000</v>
      </c>
      <c r="AE64" s="353">
        <v>869935</v>
      </c>
      <c r="AF64" s="353">
        <v>850897</v>
      </c>
      <c r="AG64" s="353">
        <v>690825</v>
      </c>
      <c r="AH64" s="353">
        <v>774044</v>
      </c>
      <c r="AI64" s="353">
        <v>760293</v>
      </c>
      <c r="AJ64" s="353">
        <v>841107</v>
      </c>
      <c r="AK64" s="283" t="s">
        <v>1047</v>
      </c>
      <c r="AL64" s="283">
        <v>807389</v>
      </c>
      <c r="AM64" s="283" t="s">
        <v>1048</v>
      </c>
      <c r="AN64" s="283" t="s">
        <v>1049</v>
      </c>
      <c r="AO64" s="283" t="s">
        <v>1050</v>
      </c>
      <c r="AP64" s="283">
        <v>1137000</v>
      </c>
      <c r="AQ64" s="283">
        <f>1230000*0.3836*2</f>
        <v>943656</v>
      </c>
      <c r="AR64" s="283" t="s">
        <v>1051</v>
      </c>
      <c r="AS64" s="283" t="s">
        <v>1052</v>
      </c>
      <c r="AT64" s="283" t="s">
        <v>1053</v>
      </c>
      <c r="AU64" s="283" t="s">
        <v>1054</v>
      </c>
      <c r="AV64" s="283" t="s">
        <v>1055</v>
      </c>
      <c r="AW64" s="283">
        <f t="shared" si="2"/>
        <v>728444</v>
      </c>
      <c r="AX64" s="283">
        <v>918900</v>
      </c>
      <c r="AY64" s="283">
        <v>826100</v>
      </c>
      <c r="AZ64" s="283">
        <v>857900</v>
      </c>
      <c r="BA64" s="283">
        <v>864900</v>
      </c>
      <c r="BB64" s="283">
        <v>850300</v>
      </c>
      <c r="BC64" s="283">
        <v>819800</v>
      </c>
      <c r="BD64" s="283">
        <v>835700</v>
      </c>
      <c r="BE64" s="283">
        <v>862400</v>
      </c>
      <c r="BF64" s="283">
        <v>794000</v>
      </c>
      <c r="BG64" s="283">
        <v>860900</v>
      </c>
      <c r="BH64" s="283">
        <v>783700</v>
      </c>
      <c r="BI64" s="283" t="e">
        <f>VLOOKUP(D64,Mid!$A$2:$C$225,3,FALSE)</f>
        <v>#N/A</v>
      </c>
      <c r="BJ64" s="283">
        <v>467200</v>
      </c>
      <c r="BK64" s="283">
        <v>586200</v>
      </c>
      <c r="BL64" s="283">
        <v>560700</v>
      </c>
      <c r="BM64" s="283">
        <v>966800</v>
      </c>
      <c r="BN64" s="283">
        <v>494800</v>
      </c>
      <c r="BO64" s="283">
        <v>711400</v>
      </c>
      <c r="BP64" s="283">
        <v>976400</v>
      </c>
      <c r="BQ64" s="283">
        <v>1100000</v>
      </c>
      <c r="BR64" s="283">
        <v>674600</v>
      </c>
      <c r="BS64" s="283">
        <v>662600</v>
      </c>
      <c r="BT64" s="283">
        <v>572700</v>
      </c>
      <c r="BU64" s="283">
        <v>753000</v>
      </c>
      <c r="BV64" s="283">
        <v>995800</v>
      </c>
      <c r="BW64" s="283">
        <v>695000</v>
      </c>
      <c r="BX64" s="283">
        <v>844500</v>
      </c>
      <c r="BY64" s="283">
        <v>677400</v>
      </c>
      <c r="BZ64" s="283">
        <v>440000</v>
      </c>
      <c r="CA64" s="283">
        <v>564220</v>
      </c>
      <c r="CB64" s="283">
        <v>580900</v>
      </c>
      <c r="CC64" s="283">
        <v>671600</v>
      </c>
      <c r="CD64" s="283">
        <v>553400</v>
      </c>
      <c r="CE64" s="283">
        <v>810500</v>
      </c>
      <c r="CF64" s="283">
        <v>987700</v>
      </c>
      <c r="CG64" s="283">
        <v>356400</v>
      </c>
      <c r="CH64" s="283">
        <v>282400</v>
      </c>
      <c r="CI64" s="283">
        <v>407660</v>
      </c>
      <c r="CJ64" s="283">
        <v>437451.68</v>
      </c>
      <c r="CK64" s="283">
        <f t="shared" si="3"/>
        <v>401679.173333333</v>
      </c>
      <c r="CL64" s="370"/>
      <c r="CM64" s="371">
        <f>Summary!$D$4</f>
        <v>1816871.23333333</v>
      </c>
      <c r="CN64" s="258">
        <f t="shared" si="5"/>
        <v>1</v>
      </c>
    </row>
    <row r="65" ht="15.6" spans="1:92">
      <c r="A65" s="258" t="s">
        <v>145</v>
      </c>
      <c r="B65" s="258" t="s">
        <v>694</v>
      </c>
      <c r="C65" s="258" t="s">
        <v>230</v>
      </c>
      <c r="D65" s="258" t="s">
        <v>258</v>
      </c>
      <c r="E65" s="258" t="s">
        <v>233</v>
      </c>
      <c r="F65" s="260" t="s">
        <v>59</v>
      </c>
      <c r="G65" s="343"/>
      <c r="H65" s="283">
        <f>(AW65+CK65)/2</f>
        <v>129169.583333333</v>
      </c>
      <c r="I65" s="260"/>
      <c r="J65" s="357"/>
      <c r="K65" s="357"/>
      <c r="L65" s="357"/>
      <c r="M65" s="357"/>
      <c r="N65" s="358"/>
      <c r="O65" s="359"/>
      <c r="P65" s="359"/>
      <c r="Q65" s="359"/>
      <c r="R65" s="359"/>
      <c r="S65" s="359"/>
      <c r="T65" s="359"/>
      <c r="U65" s="353"/>
      <c r="V65" s="353">
        <v>540260</v>
      </c>
      <c r="W65" s="353">
        <v>536350</v>
      </c>
      <c r="X65" s="353">
        <v>599977</v>
      </c>
      <c r="Y65" s="353">
        <v>884544</v>
      </c>
      <c r="Z65" s="353">
        <v>869707</v>
      </c>
      <c r="AA65" s="353">
        <v>360860</v>
      </c>
      <c r="AB65" s="353">
        <v>397989</v>
      </c>
      <c r="AC65" s="353">
        <v>353722</v>
      </c>
      <c r="AD65" s="353">
        <v>258591</v>
      </c>
      <c r="AE65" s="353">
        <v>247942</v>
      </c>
      <c r="AF65" s="353">
        <v>323802</v>
      </c>
      <c r="AG65" s="353">
        <v>310094</v>
      </c>
      <c r="AH65" s="353">
        <v>200252</v>
      </c>
      <c r="AI65" s="353">
        <v>282767</v>
      </c>
      <c r="AJ65" s="353">
        <v>265096</v>
      </c>
      <c r="AK65" s="283" t="s">
        <v>1258</v>
      </c>
      <c r="AL65" s="283">
        <v>222707</v>
      </c>
      <c r="AM65" s="283" t="s">
        <v>1259</v>
      </c>
      <c r="AN65" s="283" t="s">
        <v>1260</v>
      </c>
      <c r="AO65" s="283" t="s">
        <v>1261</v>
      </c>
      <c r="AP65" s="283">
        <v>235914</v>
      </c>
      <c r="AQ65" s="283" t="s">
        <v>1262</v>
      </c>
      <c r="AR65" s="283" t="s">
        <v>1263</v>
      </c>
      <c r="AS65" s="283" t="s">
        <v>1264</v>
      </c>
      <c r="AT65" s="283" t="s">
        <v>1265</v>
      </c>
      <c r="AU65" s="283" t="s">
        <v>1266</v>
      </c>
      <c r="AV65" s="283" t="s">
        <v>1267</v>
      </c>
      <c r="AW65" s="283">
        <f t="shared" si="2"/>
        <v>138889.166666667</v>
      </c>
      <c r="AX65" s="283"/>
      <c r="AY65" s="283"/>
      <c r="AZ65" s="283"/>
      <c r="BA65" s="283"/>
      <c r="BB65" s="283"/>
      <c r="BC65" s="283"/>
      <c r="BD65" s="283"/>
      <c r="BE65" s="283"/>
      <c r="BF65" s="283"/>
      <c r="BG65" s="283"/>
      <c r="BH65" s="283"/>
      <c r="BI65" s="283"/>
      <c r="BJ65" s="283">
        <v>225500</v>
      </c>
      <c r="BK65" s="283">
        <v>332100</v>
      </c>
      <c r="BL65" s="283">
        <v>363100</v>
      </c>
      <c r="BM65" s="283">
        <v>242700</v>
      </c>
      <c r="BN65" s="283">
        <v>220400</v>
      </c>
      <c r="BO65" s="283">
        <v>154700</v>
      </c>
      <c r="BP65" s="283">
        <v>160100</v>
      </c>
      <c r="BQ65" s="283">
        <v>90000</v>
      </c>
      <c r="BR65" s="283">
        <v>181100</v>
      </c>
      <c r="BS65" s="283">
        <v>79700</v>
      </c>
      <c r="BT65" s="283">
        <v>82400</v>
      </c>
      <c r="BU65" s="283">
        <v>118600</v>
      </c>
      <c r="BV65" s="283">
        <v>151700</v>
      </c>
      <c r="BW65" s="283">
        <v>151700</v>
      </c>
      <c r="BX65" s="283">
        <v>82800</v>
      </c>
      <c r="BY65" s="283">
        <v>82800</v>
      </c>
      <c r="BZ65" s="283">
        <v>52600</v>
      </c>
      <c r="CA65" s="283">
        <v>118900</v>
      </c>
      <c r="CB65" s="283">
        <v>197100</v>
      </c>
      <c r="CC65" s="283">
        <v>65900</v>
      </c>
      <c r="CD65" s="283">
        <v>113400</v>
      </c>
      <c r="CE65" s="283">
        <v>100800</v>
      </c>
      <c r="CF65" s="283">
        <v>145600</v>
      </c>
      <c r="CG65" s="283">
        <v>103400</v>
      </c>
      <c r="CH65" s="283">
        <v>193400</v>
      </c>
      <c r="CI65" s="283">
        <v>198200</v>
      </c>
      <c r="CJ65" s="283">
        <v>42300</v>
      </c>
      <c r="CK65" s="283">
        <f t="shared" si="3"/>
        <v>119450</v>
      </c>
      <c r="CL65" s="370"/>
      <c r="CM65" s="371">
        <f>Summary!$D$4</f>
        <v>1816871.23333333</v>
      </c>
      <c r="CN65" s="258">
        <f t="shared" si="5"/>
        <v>1</v>
      </c>
    </row>
    <row r="66" ht="15.6" spans="1:92">
      <c r="A66" s="258" t="s">
        <v>145</v>
      </c>
      <c r="B66" s="258" t="s">
        <v>694</v>
      </c>
      <c r="C66" s="258" t="s">
        <v>230</v>
      </c>
      <c r="D66" s="258" t="s">
        <v>251</v>
      </c>
      <c r="E66" s="258" t="s">
        <v>233</v>
      </c>
      <c r="F66" s="260" t="s">
        <v>417</v>
      </c>
      <c r="G66" s="343"/>
      <c r="H66" s="283">
        <f>(AW66+CK66)/2</f>
        <v>362304.673333334</v>
      </c>
      <c r="I66" s="260"/>
      <c r="J66" s="351">
        <v>535229</v>
      </c>
      <c r="K66" s="351">
        <v>512430</v>
      </c>
      <c r="L66" s="351">
        <v>435064</v>
      </c>
      <c r="M66" s="351">
        <v>540975</v>
      </c>
      <c r="N66" s="352">
        <v>554726</v>
      </c>
      <c r="O66" s="353">
        <v>496806</v>
      </c>
      <c r="P66" s="353">
        <v>554557</v>
      </c>
      <c r="Q66" s="353">
        <v>624227</v>
      </c>
      <c r="R66" s="353">
        <v>519215</v>
      </c>
      <c r="S66" s="353">
        <v>490729</v>
      </c>
      <c r="T66" s="353">
        <v>463329</v>
      </c>
      <c r="U66" s="353" t="e">
        <f>VLOOKUP(D66,Mid!$A$2:$C$225,2,FALSE)</f>
        <v>#N/A</v>
      </c>
      <c r="V66" s="353">
        <v>480622</v>
      </c>
      <c r="W66" s="353">
        <v>466672</v>
      </c>
      <c r="X66" s="353">
        <v>637207</v>
      </c>
      <c r="Y66" s="353">
        <v>813774</v>
      </c>
      <c r="Z66" s="353">
        <v>695672</v>
      </c>
      <c r="AA66" s="353">
        <v>624558</v>
      </c>
      <c r="AB66" s="353">
        <v>521535</v>
      </c>
      <c r="AC66" s="353">
        <v>587890</v>
      </c>
      <c r="AD66" s="353">
        <v>629710</v>
      </c>
      <c r="AE66" s="353">
        <v>527565</v>
      </c>
      <c r="AF66" s="353">
        <v>590502</v>
      </c>
      <c r="AG66" s="353">
        <v>577468</v>
      </c>
      <c r="AH66" s="353">
        <v>537256</v>
      </c>
      <c r="AI66" s="353">
        <v>555437</v>
      </c>
      <c r="AJ66" s="353">
        <v>490471</v>
      </c>
      <c r="AK66" s="283" t="s">
        <v>1268</v>
      </c>
      <c r="AL66" s="283">
        <v>568741</v>
      </c>
      <c r="AM66" s="283" t="s">
        <v>1269</v>
      </c>
      <c r="AN66" s="283" t="s">
        <v>1270</v>
      </c>
      <c r="AO66" s="283" t="s">
        <v>1271</v>
      </c>
      <c r="AP66" s="283">
        <v>547009</v>
      </c>
      <c r="AQ66" s="283" t="s">
        <v>1272</v>
      </c>
      <c r="AR66" s="283" t="s">
        <v>1273</v>
      </c>
      <c r="AS66" s="283" t="s">
        <v>1274</v>
      </c>
      <c r="AT66" s="283" t="s">
        <v>1275</v>
      </c>
      <c r="AU66" s="283" t="s">
        <v>1276</v>
      </c>
      <c r="AV66" s="283" t="s">
        <v>1277</v>
      </c>
      <c r="AW66" s="283">
        <f t="shared" si="2"/>
        <v>365337.5</v>
      </c>
      <c r="AX66" s="283">
        <v>684700</v>
      </c>
      <c r="AY66" s="283">
        <v>577900</v>
      </c>
      <c r="AZ66" s="283">
        <v>608900</v>
      </c>
      <c r="BA66" s="283">
        <v>614400</v>
      </c>
      <c r="BB66" s="283">
        <v>620100</v>
      </c>
      <c r="BC66" s="283">
        <v>645800</v>
      </c>
      <c r="BD66" s="283">
        <v>659500</v>
      </c>
      <c r="BE66" s="283">
        <v>634800</v>
      </c>
      <c r="BF66" s="283">
        <v>671400</v>
      </c>
      <c r="BG66" s="283">
        <v>584200</v>
      </c>
      <c r="BH66" s="283">
        <v>608800</v>
      </c>
      <c r="BI66" s="283" t="e">
        <f>VLOOKUP(D66,Mid!$A$2:$C$225,3,FALSE)</f>
        <v>#N/A</v>
      </c>
      <c r="BJ66" s="283">
        <v>477700</v>
      </c>
      <c r="BK66" s="283">
        <v>508400</v>
      </c>
      <c r="BL66" s="283">
        <v>427000</v>
      </c>
      <c r="BM66" s="283">
        <v>565600</v>
      </c>
      <c r="BN66" s="283">
        <v>471700</v>
      </c>
      <c r="BO66" s="283">
        <v>408600</v>
      </c>
      <c r="BP66" s="283">
        <v>632900</v>
      </c>
      <c r="BQ66" s="283">
        <v>352800</v>
      </c>
      <c r="BR66" s="283">
        <v>494600</v>
      </c>
      <c r="BS66" s="283">
        <v>465400</v>
      </c>
      <c r="BT66" s="283">
        <v>481400</v>
      </c>
      <c r="BU66" s="283">
        <v>484800</v>
      </c>
      <c r="BV66" s="283">
        <v>648800</v>
      </c>
      <c r="BW66" s="283">
        <v>420400</v>
      </c>
      <c r="BX66" s="283">
        <v>632900</v>
      </c>
      <c r="BY66" s="283">
        <v>632900</v>
      </c>
      <c r="BZ66" s="283">
        <v>672800</v>
      </c>
      <c r="CA66" s="283">
        <v>520100</v>
      </c>
      <c r="CB66" s="283">
        <v>562000</v>
      </c>
      <c r="CC66" s="283">
        <v>642900</v>
      </c>
      <c r="CD66" s="283">
        <v>561000</v>
      </c>
      <c r="CE66" s="283">
        <v>364700</v>
      </c>
      <c r="CF66" s="283">
        <v>373000</v>
      </c>
      <c r="CG66" s="283">
        <v>455400</v>
      </c>
      <c r="CH66" s="283">
        <v>403400</v>
      </c>
      <c r="CI66" s="283">
        <v>372392.8</v>
      </c>
      <c r="CJ66" s="283">
        <v>335815.16</v>
      </c>
      <c r="CK66" s="283">
        <f t="shared" si="3"/>
        <v>359271.846666667</v>
      </c>
      <c r="CL66" s="370"/>
      <c r="CM66" s="371">
        <f>Summary!$D$4</f>
        <v>1816871.23333333</v>
      </c>
      <c r="CN66" s="258">
        <f t="shared" si="5"/>
        <v>1</v>
      </c>
    </row>
    <row r="67" ht="62.4" spans="1:92">
      <c r="A67" s="258" t="s">
        <v>145</v>
      </c>
      <c r="B67" s="258" t="s">
        <v>694</v>
      </c>
      <c r="C67" s="258" t="s">
        <v>230</v>
      </c>
      <c r="D67" s="258" t="s">
        <v>450</v>
      </c>
      <c r="E67" s="258" t="s">
        <v>233</v>
      </c>
      <c r="F67" s="260" t="s">
        <v>60</v>
      </c>
      <c r="G67" s="343"/>
      <c r="H67" s="283">
        <f>(AW67+CK67)/2</f>
        <v>9727.41666666667</v>
      </c>
      <c r="I67" s="292" t="s">
        <v>1278</v>
      </c>
      <c r="J67" s="351">
        <v>258083</v>
      </c>
      <c r="K67" s="351">
        <v>368967</v>
      </c>
      <c r="L67" s="351">
        <v>288019</v>
      </c>
      <c r="M67" s="351">
        <v>305929</v>
      </c>
      <c r="N67" s="352">
        <v>363553</v>
      </c>
      <c r="O67" s="353">
        <v>361369</v>
      </c>
      <c r="P67" s="353">
        <v>417995</v>
      </c>
      <c r="Q67" s="353">
        <v>444814</v>
      </c>
      <c r="R67" s="353">
        <v>367414</v>
      </c>
      <c r="S67" s="353">
        <v>462933</v>
      </c>
      <c r="T67" s="353">
        <v>448184</v>
      </c>
      <c r="U67" s="353" t="e">
        <f>VLOOKUP(D67,Mid!$A$2:$C$225,2,FALSE)</f>
        <v>#N/A</v>
      </c>
      <c r="V67" s="353">
        <v>409194</v>
      </c>
      <c r="W67" s="353">
        <v>440812</v>
      </c>
      <c r="X67" s="353">
        <v>599663</v>
      </c>
      <c r="Y67" s="353">
        <v>672931</v>
      </c>
      <c r="Z67" s="353">
        <v>550495</v>
      </c>
      <c r="AA67" s="353">
        <v>581760</v>
      </c>
      <c r="AB67" s="353">
        <v>545209</v>
      </c>
      <c r="AC67" s="353">
        <v>483652</v>
      </c>
      <c r="AD67" s="353">
        <v>457764</v>
      </c>
      <c r="AE67" s="353">
        <v>487550</v>
      </c>
      <c r="AF67" s="353">
        <v>534194</v>
      </c>
      <c r="AG67" s="353">
        <v>435645</v>
      </c>
      <c r="AH67" s="353">
        <v>474402</v>
      </c>
      <c r="AI67" s="353">
        <v>517037</v>
      </c>
      <c r="AJ67" s="353">
        <v>464123</v>
      </c>
      <c r="AK67" s="283" t="s">
        <v>1279</v>
      </c>
      <c r="AL67" s="283">
        <v>517319</v>
      </c>
      <c r="AM67" s="283" t="s">
        <v>1280</v>
      </c>
      <c r="AN67" s="283" t="s">
        <v>1281</v>
      </c>
      <c r="AO67" s="283">
        <f>AO299+36709</f>
        <v>113527.2688</v>
      </c>
      <c r="AP67" s="283">
        <v>130273</v>
      </c>
      <c r="AQ67" s="283" t="s">
        <v>1282</v>
      </c>
      <c r="AR67" s="283">
        <v>152271</v>
      </c>
      <c r="AS67" s="283" t="s">
        <v>1283</v>
      </c>
      <c r="AT67" s="283" t="s">
        <v>1284</v>
      </c>
      <c r="AU67" s="283" t="s">
        <v>1285</v>
      </c>
      <c r="AV67" s="283" t="s">
        <v>1286</v>
      </c>
      <c r="AW67" s="283">
        <f t="shared" ref="AW67:AW130" si="8">SUM(AV67*3+AU67*2+AT67*1)/6</f>
        <v>4754.83333333333</v>
      </c>
      <c r="AX67" s="283">
        <v>264900</v>
      </c>
      <c r="AY67" s="283">
        <v>261000</v>
      </c>
      <c r="AZ67" s="283">
        <v>267600</v>
      </c>
      <c r="BA67" s="283">
        <v>274000</v>
      </c>
      <c r="BB67" s="283">
        <v>344000</v>
      </c>
      <c r="BC67" s="283">
        <v>321700</v>
      </c>
      <c r="BD67" s="283">
        <v>310800</v>
      </c>
      <c r="BE67" s="283">
        <v>336400</v>
      </c>
      <c r="BF67" s="283">
        <v>1000000</v>
      </c>
      <c r="BG67" s="283">
        <v>1000000</v>
      </c>
      <c r="BH67" s="283">
        <v>1000000</v>
      </c>
      <c r="BI67" s="283" t="e">
        <f>VLOOKUP(D67,Mid!$A$2:$C$225,3,FALSE)</f>
        <v>#N/A</v>
      </c>
      <c r="BJ67" s="283">
        <v>956400</v>
      </c>
      <c r="BK67" s="283">
        <v>1000000</v>
      </c>
      <c r="BL67" s="283">
        <v>793500</v>
      </c>
      <c r="BM67" s="283">
        <v>727200</v>
      </c>
      <c r="BN67" s="283">
        <v>539400</v>
      </c>
      <c r="BO67" s="283">
        <v>629500</v>
      </c>
      <c r="BP67" s="283">
        <v>645800</v>
      </c>
      <c r="BQ67" s="283">
        <v>795300</v>
      </c>
      <c r="BR67" s="283">
        <v>443700</v>
      </c>
      <c r="BS67" s="283">
        <v>766400</v>
      </c>
      <c r="BT67" s="283">
        <v>601100</v>
      </c>
      <c r="BU67" s="283">
        <v>418200</v>
      </c>
      <c r="BV67" s="283">
        <v>451900</v>
      </c>
      <c r="BW67" s="283">
        <v>346200</v>
      </c>
      <c r="BX67" s="283">
        <v>523900</v>
      </c>
      <c r="BY67" s="283">
        <v>523900</v>
      </c>
      <c r="BZ67" s="283">
        <v>442700</v>
      </c>
      <c r="CA67" s="283">
        <v>642800</v>
      </c>
      <c r="CB67" s="283">
        <v>67800</v>
      </c>
      <c r="CC67" s="283">
        <f>2200+CC299</f>
        <v>55500</v>
      </c>
      <c r="CD67" s="283">
        <v>76200</v>
      </c>
      <c r="CE67" s="283">
        <v>136000</v>
      </c>
      <c r="CF67" s="283">
        <v>170300</v>
      </c>
      <c r="CG67" s="283">
        <v>10600</v>
      </c>
      <c r="CH67" s="283">
        <v>0</v>
      </c>
      <c r="CI67" s="283">
        <v>44100</v>
      </c>
      <c r="CJ67" s="283">
        <v>0</v>
      </c>
      <c r="CK67" s="283">
        <f t="shared" ref="CK67:CK130" si="9">SUM(CJ67*3+CI67*2+CH67*1)/6</f>
        <v>14700</v>
      </c>
      <c r="CL67" s="370"/>
      <c r="CM67" s="371">
        <f>Summary!$D$4</f>
        <v>1816871.23333333</v>
      </c>
      <c r="CN67" s="258">
        <f t="shared" si="5"/>
        <v>0</v>
      </c>
    </row>
    <row r="68" ht="15.6" spans="1:92">
      <c r="A68" s="344" t="s">
        <v>145</v>
      </c>
      <c r="B68" s="344" t="s">
        <v>683</v>
      </c>
      <c r="C68" s="344" t="s">
        <v>227</v>
      </c>
      <c r="D68" s="344" t="s">
        <v>146</v>
      </c>
      <c r="E68" s="344" t="s">
        <v>441</v>
      </c>
      <c r="F68" s="344" t="s">
        <v>58</v>
      </c>
      <c r="G68" s="345"/>
      <c r="H68" s="345">
        <f>(AW68+CK68)/2</f>
        <v>596083.916666667</v>
      </c>
      <c r="I68" s="292"/>
      <c r="J68" s="351">
        <v>357303</v>
      </c>
      <c r="K68" s="351">
        <v>366909</v>
      </c>
      <c r="L68" s="351">
        <v>333309</v>
      </c>
      <c r="M68" s="351">
        <v>297799</v>
      </c>
      <c r="N68" s="352">
        <v>298079</v>
      </c>
      <c r="O68" s="353">
        <v>269666</v>
      </c>
      <c r="P68" s="353">
        <v>306039</v>
      </c>
      <c r="Q68" s="353">
        <v>394037</v>
      </c>
      <c r="R68" s="353">
        <v>375788</v>
      </c>
      <c r="S68" s="353">
        <v>377746</v>
      </c>
      <c r="T68" s="353">
        <v>404938</v>
      </c>
      <c r="U68" s="353" t="e">
        <f>VLOOKUP(D68,Mid!$A$2:$C$225,2,FALSE)</f>
        <v>#N/A</v>
      </c>
      <c r="V68" s="353">
        <v>390377</v>
      </c>
      <c r="W68" s="353">
        <v>434697</v>
      </c>
      <c r="X68" s="353">
        <v>442867</v>
      </c>
      <c r="Y68" s="353">
        <v>540023</v>
      </c>
      <c r="Z68" s="353">
        <v>538242</v>
      </c>
      <c r="AA68" s="353">
        <v>510332</v>
      </c>
      <c r="AB68" s="353">
        <v>465870</v>
      </c>
      <c r="AC68" s="353">
        <v>513986</v>
      </c>
      <c r="AD68" s="353">
        <v>736405</v>
      </c>
      <c r="AE68" s="353">
        <v>667031</v>
      </c>
      <c r="AF68" s="353">
        <v>616503</v>
      </c>
      <c r="AG68" s="353">
        <v>524447</v>
      </c>
      <c r="AH68" s="353">
        <v>492016</v>
      </c>
      <c r="AI68" s="353">
        <v>549151</v>
      </c>
      <c r="AJ68" s="353">
        <v>478022</v>
      </c>
      <c r="AK68" s="283" t="s">
        <v>1287</v>
      </c>
      <c r="AL68" s="283">
        <v>474051</v>
      </c>
      <c r="AM68" s="283" t="s">
        <v>1288</v>
      </c>
      <c r="AN68" s="283" t="s">
        <v>1289</v>
      </c>
      <c r="AO68" s="283" t="s">
        <v>1290</v>
      </c>
      <c r="AP68" s="283">
        <v>637955</v>
      </c>
      <c r="AQ68" s="283" t="s">
        <v>1291</v>
      </c>
      <c r="AR68" s="283" t="s">
        <v>1292</v>
      </c>
      <c r="AS68" s="283" t="s">
        <v>1293</v>
      </c>
      <c r="AT68" s="283" t="s">
        <v>1294</v>
      </c>
      <c r="AU68" s="283" t="s">
        <v>1295</v>
      </c>
      <c r="AV68" s="283" t="s">
        <v>1296</v>
      </c>
      <c r="AW68" s="283">
        <f t="shared" si="8"/>
        <v>611551.166666667</v>
      </c>
      <c r="AX68" s="283">
        <v>438300</v>
      </c>
      <c r="AY68" s="283">
        <v>371200</v>
      </c>
      <c r="AZ68" s="283">
        <v>389900</v>
      </c>
      <c r="BA68" s="283">
        <v>395800</v>
      </c>
      <c r="BB68" s="283">
        <v>349700</v>
      </c>
      <c r="BC68" s="283">
        <v>436700</v>
      </c>
      <c r="BD68" s="283">
        <v>400000</v>
      </c>
      <c r="BE68" s="283">
        <v>447200</v>
      </c>
      <c r="BF68" s="283">
        <v>507400</v>
      </c>
      <c r="BG68" s="283">
        <v>453700</v>
      </c>
      <c r="BH68" s="283">
        <v>406600</v>
      </c>
      <c r="BI68" s="283" t="e">
        <f>VLOOKUP(D68,Mid!$A$2:$C$225,3,FALSE)</f>
        <v>#N/A</v>
      </c>
      <c r="BJ68" s="283">
        <v>258400</v>
      </c>
      <c r="BK68" s="283">
        <v>340800</v>
      </c>
      <c r="BL68" s="283">
        <v>330600</v>
      </c>
      <c r="BM68" s="283">
        <v>445900</v>
      </c>
      <c r="BN68" s="283">
        <v>447000</v>
      </c>
      <c r="BO68" s="283">
        <v>541800</v>
      </c>
      <c r="BP68" s="283">
        <v>356500</v>
      </c>
      <c r="BQ68" s="283">
        <v>281700</v>
      </c>
      <c r="BR68" s="283">
        <v>400900</v>
      </c>
      <c r="BS68" s="283">
        <v>442700</v>
      </c>
      <c r="BT68" s="283">
        <v>354900</v>
      </c>
      <c r="BU68" s="283">
        <v>310100</v>
      </c>
      <c r="BV68" s="283">
        <v>335700</v>
      </c>
      <c r="BW68" s="283">
        <v>324300</v>
      </c>
      <c r="BX68" s="283">
        <v>379400</v>
      </c>
      <c r="BY68" s="283">
        <v>379400</v>
      </c>
      <c r="BZ68" s="283">
        <v>425400</v>
      </c>
      <c r="CA68" s="283">
        <v>541000</v>
      </c>
      <c r="CB68" s="283">
        <v>457600</v>
      </c>
      <c r="CC68" s="283">
        <v>524200</v>
      </c>
      <c r="CD68" s="283">
        <v>446100</v>
      </c>
      <c r="CE68" s="283">
        <v>524000</v>
      </c>
      <c r="CF68" s="283">
        <v>667300</v>
      </c>
      <c r="CG68" s="283">
        <v>582800</v>
      </c>
      <c r="CH68" s="283">
        <v>692100</v>
      </c>
      <c r="CI68" s="283">
        <v>466700</v>
      </c>
      <c r="CJ68" s="283">
        <v>619400</v>
      </c>
      <c r="CK68" s="283">
        <f t="shared" si="9"/>
        <v>580616.666666667</v>
      </c>
      <c r="CL68" s="370"/>
      <c r="CM68" s="371">
        <f>Summary!$D$4</f>
        <v>1816871.23333333</v>
      </c>
      <c r="CN68" s="258">
        <f t="shared" si="5"/>
        <v>1</v>
      </c>
    </row>
    <row r="69" ht="46.8" spans="1:92">
      <c r="A69" s="258" t="s">
        <v>145</v>
      </c>
      <c r="B69" s="258" t="s">
        <v>694</v>
      </c>
      <c r="C69" s="258" t="s">
        <v>230</v>
      </c>
      <c r="D69" s="342" t="s">
        <v>292</v>
      </c>
      <c r="E69" s="258" t="s">
        <v>233</v>
      </c>
      <c r="F69" s="260" t="s">
        <v>250</v>
      </c>
      <c r="G69" s="343"/>
      <c r="H69" s="283">
        <f>(AW69+CK69)*0.23/2</f>
        <v>27951.0183333333</v>
      </c>
      <c r="I69" s="292" t="s">
        <v>1202</v>
      </c>
      <c r="J69" s="351">
        <v>234548</v>
      </c>
      <c r="K69" s="351">
        <v>314484</v>
      </c>
      <c r="L69" s="351">
        <v>239914</v>
      </c>
      <c r="M69" s="351">
        <v>279684</v>
      </c>
      <c r="N69" s="352">
        <v>227715</v>
      </c>
      <c r="O69" s="353">
        <v>241408</v>
      </c>
      <c r="P69" s="353">
        <v>320702</v>
      </c>
      <c r="Q69" s="353">
        <v>231020</v>
      </c>
      <c r="R69" s="353">
        <v>299454</v>
      </c>
      <c r="S69" s="353">
        <v>273694</v>
      </c>
      <c r="T69" s="353">
        <v>324908</v>
      </c>
      <c r="U69" s="353" t="e">
        <f>VLOOKUP(D69,Mid!$A$2:$C$225,2,FALSE)</f>
        <v>#N/A</v>
      </c>
      <c r="V69" s="353">
        <v>381338</v>
      </c>
      <c r="W69" s="353">
        <v>225827</v>
      </c>
      <c r="X69" s="353">
        <v>259851</v>
      </c>
      <c r="Y69" s="353">
        <v>342894</v>
      </c>
      <c r="Z69" s="353">
        <v>240069</v>
      </c>
      <c r="AA69" s="353">
        <v>290215</v>
      </c>
      <c r="AB69" s="353">
        <v>235131</v>
      </c>
      <c r="AC69" s="353">
        <v>258837</v>
      </c>
      <c r="AD69" s="353">
        <v>211466</v>
      </c>
      <c r="AE69" s="353">
        <v>204555</v>
      </c>
      <c r="AF69" s="353">
        <v>215270</v>
      </c>
      <c r="AG69" s="353">
        <v>182796</v>
      </c>
      <c r="AH69" s="353">
        <v>220053</v>
      </c>
      <c r="AI69" s="353">
        <v>213505</v>
      </c>
      <c r="AJ69" s="353">
        <v>176703</v>
      </c>
      <c r="AK69" s="283" t="s">
        <v>1203</v>
      </c>
      <c r="AL69" s="283">
        <v>271048</v>
      </c>
      <c r="AM69" s="283" t="s">
        <v>1204</v>
      </c>
      <c r="AN69" s="283" t="s">
        <v>1205</v>
      </c>
      <c r="AO69" s="283" t="s">
        <v>1206</v>
      </c>
      <c r="AP69" s="283">
        <v>201459</v>
      </c>
      <c r="AQ69" s="283" t="s">
        <v>1207</v>
      </c>
      <c r="AR69" s="283" t="s">
        <v>1208</v>
      </c>
      <c r="AS69" s="283" t="s">
        <v>1209</v>
      </c>
      <c r="AT69" s="283" t="s">
        <v>1210</v>
      </c>
      <c r="AU69" s="283" t="s">
        <v>1211</v>
      </c>
      <c r="AV69" s="283" t="s">
        <v>1212</v>
      </c>
      <c r="AW69" s="283">
        <f t="shared" si="8"/>
        <v>150235.666666667</v>
      </c>
      <c r="AX69" s="283">
        <v>80300</v>
      </c>
      <c r="AY69" s="283">
        <v>85200</v>
      </c>
      <c r="AZ69" s="283">
        <v>96700</v>
      </c>
      <c r="BA69" s="283">
        <v>97500</v>
      </c>
      <c r="BB69" s="283">
        <v>93100</v>
      </c>
      <c r="BC69" s="283">
        <v>110000</v>
      </c>
      <c r="BD69" s="283">
        <v>102900</v>
      </c>
      <c r="BE69" s="283">
        <v>96600</v>
      </c>
      <c r="BF69" s="283">
        <v>116600</v>
      </c>
      <c r="BG69" s="283">
        <v>74500</v>
      </c>
      <c r="BH69" s="283">
        <v>91700</v>
      </c>
      <c r="BI69" s="283" t="e">
        <f>VLOOKUP(D69,Mid!$A$2:$C$225,3,FALSE)</f>
        <v>#N/A</v>
      </c>
      <c r="BJ69" s="283">
        <v>89800</v>
      </c>
      <c r="BK69" s="283">
        <v>102100</v>
      </c>
      <c r="BL69" s="283">
        <v>90400</v>
      </c>
      <c r="BM69" s="283">
        <v>251500</v>
      </c>
      <c r="BN69" s="283">
        <v>232500</v>
      </c>
      <c r="BO69" s="283">
        <v>170100</v>
      </c>
      <c r="BP69" s="283">
        <v>102200</v>
      </c>
      <c r="BQ69" s="283">
        <v>141800</v>
      </c>
      <c r="BR69" s="283">
        <v>133100</v>
      </c>
      <c r="BS69" s="283">
        <v>111800</v>
      </c>
      <c r="BT69" s="283">
        <v>12300</v>
      </c>
      <c r="BU69" s="283">
        <v>132200</v>
      </c>
      <c r="BV69" s="283">
        <v>115800</v>
      </c>
      <c r="BW69" s="283">
        <v>115800</v>
      </c>
      <c r="BX69" s="283">
        <v>129000</v>
      </c>
      <c r="BY69" s="283">
        <v>129000</v>
      </c>
      <c r="BZ69" s="283">
        <v>138400</v>
      </c>
      <c r="CA69" s="283">
        <v>172300</v>
      </c>
      <c r="CB69" s="283">
        <v>125300</v>
      </c>
      <c r="CC69" s="283">
        <v>110824</v>
      </c>
      <c r="CD69" s="283">
        <v>97700</v>
      </c>
      <c r="CE69" s="283">
        <v>97700</v>
      </c>
      <c r="CF69" s="283">
        <v>164200</v>
      </c>
      <c r="CG69" s="283">
        <v>59333.4</v>
      </c>
      <c r="CH69" s="283">
        <v>77600</v>
      </c>
      <c r="CI69" s="283">
        <v>112900</v>
      </c>
      <c r="CJ69" s="283">
        <v>84500</v>
      </c>
      <c r="CK69" s="283">
        <f t="shared" si="9"/>
        <v>92816.6666666667</v>
      </c>
      <c r="CL69" s="370"/>
      <c r="CM69" s="371">
        <f>Summary!$D$4</f>
        <v>1816871.23333333</v>
      </c>
      <c r="CN69" s="258">
        <f t="shared" si="5"/>
        <v>0</v>
      </c>
    </row>
    <row r="70" ht="15.6" spans="1:92">
      <c r="A70" s="258" t="s">
        <v>145</v>
      </c>
      <c r="B70" s="258" t="s">
        <v>694</v>
      </c>
      <c r="C70" s="258" t="s">
        <v>230</v>
      </c>
      <c r="D70" s="342" t="s">
        <v>252</v>
      </c>
      <c r="E70" s="258" t="s">
        <v>233</v>
      </c>
      <c r="F70" s="260" t="s">
        <v>58</v>
      </c>
      <c r="G70" s="343"/>
      <c r="H70" s="283">
        <f>(AW70+CK70)/2</f>
        <v>282674.693333333</v>
      </c>
      <c r="I70" s="292"/>
      <c r="J70" s="351">
        <v>221834</v>
      </c>
      <c r="K70" s="351">
        <v>193433</v>
      </c>
      <c r="L70" s="351">
        <v>177289</v>
      </c>
      <c r="M70" s="351">
        <v>231741</v>
      </c>
      <c r="N70" s="352">
        <v>226148</v>
      </c>
      <c r="O70" s="353">
        <v>213462</v>
      </c>
      <c r="P70" s="353">
        <v>207014</v>
      </c>
      <c r="Q70" s="353">
        <v>238261</v>
      </c>
      <c r="R70" s="353">
        <v>195795</v>
      </c>
      <c r="S70" s="353">
        <v>258523</v>
      </c>
      <c r="T70" s="353">
        <v>242007</v>
      </c>
      <c r="U70" s="353" t="e">
        <f>VLOOKUP(D70,Mid!$A$2:$C$225,2,FALSE)</f>
        <v>#N/A</v>
      </c>
      <c r="V70" s="353">
        <v>286149</v>
      </c>
      <c r="W70" s="353">
        <v>267334</v>
      </c>
      <c r="X70" s="353">
        <v>439312</v>
      </c>
      <c r="Y70" s="353">
        <v>346579</v>
      </c>
      <c r="Z70" s="353">
        <v>265898</v>
      </c>
      <c r="AA70" s="353">
        <v>275737</v>
      </c>
      <c r="AB70" s="353">
        <v>215479</v>
      </c>
      <c r="AC70" s="353">
        <v>252901</v>
      </c>
      <c r="AD70" s="353">
        <v>212485</v>
      </c>
      <c r="AE70" s="353">
        <v>210176</v>
      </c>
      <c r="AF70" s="353">
        <v>258964</v>
      </c>
      <c r="AG70" s="353">
        <v>230558</v>
      </c>
      <c r="AH70" s="353">
        <v>254507</v>
      </c>
      <c r="AI70" s="353">
        <v>248791</v>
      </c>
      <c r="AJ70" s="353">
        <v>217838</v>
      </c>
      <c r="AK70" s="283" t="s">
        <v>1297</v>
      </c>
      <c r="AL70" s="283">
        <v>272060</v>
      </c>
      <c r="AM70" s="283" t="s">
        <v>1298</v>
      </c>
      <c r="AN70" s="283" t="s">
        <v>1299</v>
      </c>
      <c r="AO70" s="283" t="s">
        <v>1300</v>
      </c>
      <c r="AP70" s="283">
        <v>321768</v>
      </c>
      <c r="AQ70" s="283" t="s">
        <v>1301</v>
      </c>
      <c r="AR70" s="283" t="s">
        <v>1302</v>
      </c>
      <c r="AS70" s="283" t="s">
        <v>1303</v>
      </c>
      <c r="AT70" s="283" t="s">
        <v>1304</v>
      </c>
      <c r="AU70" s="283" t="s">
        <v>1305</v>
      </c>
      <c r="AV70" s="283" t="s">
        <v>1306</v>
      </c>
      <c r="AW70" s="283">
        <f t="shared" si="8"/>
        <v>308349.5</v>
      </c>
      <c r="AX70" s="283">
        <v>421300</v>
      </c>
      <c r="AY70" s="283">
        <v>353800</v>
      </c>
      <c r="AZ70" s="283">
        <v>377900</v>
      </c>
      <c r="BA70" s="283">
        <v>378400</v>
      </c>
      <c r="BB70" s="283">
        <v>417900</v>
      </c>
      <c r="BC70" s="283">
        <v>419400</v>
      </c>
      <c r="BD70" s="283">
        <v>417700</v>
      </c>
      <c r="BE70" s="283">
        <v>395100</v>
      </c>
      <c r="BF70" s="283">
        <v>405600</v>
      </c>
      <c r="BG70" s="283">
        <v>386500</v>
      </c>
      <c r="BH70" s="283">
        <v>313700</v>
      </c>
      <c r="BI70" s="283" t="e">
        <f>VLOOKUP(D70,Mid!$A$2:$C$225,3,FALSE)</f>
        <v>#N/A</v>
      </c>
      <c r="BJ70" s="283">
        <v>183400</v>
      </c>
      <c r="BK70" s="283">
        <v>234500</v>
      </c>
      <c r="BL70" s="283">
        <v>238400</v>
      </c>
      <c r="BM70" s="283">
        <v>306700</v>
      </c>
      <c r="BN70" s="283">
        <v>265300</v>
      </c>
      <c r="BO70" s="283">
        <v>197900</v>
      </c>
      <c r="BP70" s="283">
        <v>259900</v>
      </c>
      <c r="BQ70" s="283">
        <v>251300</v>
      </c>
      <c r="BR70" s="283">
        <v>163400</v>
      </c>
      <c r="BS70" s="283">
        <v>246800</v>
      </c>
      <c r="BT70" s="283">
        <v>314400</v>
      </c>
      <c r="BU70" s="283">
        <v>399300</v>
      </c>
      <c r="BV70" s="283">
        <v>212900</v>
      </c>
      <c r="BW70" s="283">
        <v>129200</v>
      </c>
      <c r="BX70" s="283">
        <v>251200</v>
      </c>
      <c r="BY70" s="283">
        <v>251200</v>
      </c>
      <c r="BZ70" s="283">
        <v>177600</v>
      </c>
      <c r="CA70" s="283">
        <v>191500</v>
      </c>
      <c r="CB70" s="283">
        <v>162100</v>
      </c>
      <c r="CC70" s="283">
        <v>156300</v>
      </c>
      <c r="CD70" s="283">
        <v>209900</v>
      </c>
      <c r="CE70" s="283">
        <v>221200</v>
      </c>
      <c r="CF70" s="283">
        <v>161100</v>
      </c>
      <c r="CG70" s="283">
        <v>236800</v>
      </c>
      <c r="CH70" s="283">
        <v>168743.92</v>
      </c>
      <c r="CI70" s="283">
        <v>215027.7</v>
      </c>
      <c r="CJ70" s="283">
        <v>314400</v>
      </c>
      <c r="CK70" s="283">
        <f t="shared" si="9"/>
        <v>256999.886666667</v>
      </c>
      <c r="CL70" s="370"/>
      <c r="CM70" s="371">
        <f>Summary!$D$4</f>
        <v>1816871.23333333</v>
      </c>
      <c r="CN70" s="258">
        <f t="shared" si="5"/>
        <v>1</v>
      </c>
    </row>
    <row r="71" ht="15.6" spans="1:92">
      <c r="A71" s="258" t="s">
        <v>145</v>
      </c>
      <c r="B71" s="258" t="s">
        <v>694</v>
      </c>
      <c r="C71" s="258" t="s">
        <v>230</v>
      </c>
      <c r="D71" s="258" t="s">
        <v>1307</v>
      </c>
      <c r="E71" s="260" t="s">
        <v>233</v>
      </c>
      <c r="F71" s="260" t="s">
        <v>426</v>
      </c>
      <c r="G71" s="343"/>
      <c r="H71" s="283">
        <f>(AW71+CK71)*0.11/2</f>
        <v>116.728333333333</v>
      </c>
      <c r="I71" s="292" t="s">
        <v>1308</v>
      </c>
      <c r="J71" s="283">
        <v>247191</v>
      </c>
      <c r="K71" s="283">
        <v>240395</v>
      </c>
      <c r="L71" s="283">
        <v>21043</v>
      </c>
      <c r="M71" s="283">
        <v>300137</v>
      </c>
      <c r="N71" s="352">
        <v>228009</v>
      </c>
      <c r="O71" s="352">
        <v>248721</v>
      </c>
      <c r="P71" s="352">
        <v>212565</v>
      </c>
      <c r="Q71" s="353">
        <v>267893</v>
      </c>
      <c r="R71" s="353">
        <v>362086</v>
      </c>
      <c r="S71" s="353">
        <v>309651</v>
      </c>
      <c r="T71" s="353">
        <v>290906</v>
      </c>
      <c r="U71" s="353" t="e">
        <f>VLOOKUP(D71,Mid!$A$2:$C$225,2,FALSE)</f>
        <v>#N/A</v>
      </c>
      <c r="V71" s="353">
        <v>250171</v>
      </c>
      <c r="W71" s="353">
        <v>262328</v>
      </c>
      <c r="X71" s="353">
        <v>295799</v>
      </c>
      <c r="Y71" s="353">
        <v>355833</v>
      </c>
      <c r="Z71" s="353">
        <v>291036</v>
      </c>
      <c r="AA71" s="353">
        <v>255682</v>
      </c>
      <c r="AB71" s="353">
        <v>228825</v>
      </c>
      <c r="AC71" s="353">
        <v>214850</v>
      </c>
      <c r="AD71" s="353">
        <v>91086</v>
      </c>
      <c r="AE71" s="353">
        <v>42691</v>
      </c>
      <c r="AF71" s="353">
        <v>23506</v>
      </c>
      <c r="AG71" s="353">
        <v>12729</v>
      </c>
      <c r="AH71" s="353">
        <v>12318</v>
      </c>
      <c r="AI71" s="353">
        <v>8569</v>
      </c>
      <c r="AJ71" s="353">
        <v>7509</v>
      </c>
      <c r="AK71" s="283" t="s">
        <v>1309</v>
      </c>
      <c r="AL71" s="283">
        <v>8493</v>
      </c>
      <c r="AM71" s="283" t="s">
        <v>1310</v>
      </c>
      <c r="AN71" s="283" t="s">
        <v>1311</v>
      </c>
      <c r="AO71" s="283" t="s">
        <v>1312</v>
      </c>
      <c r="AP71" s="283">
        <v>7694</v>
      </c>
      <c r="AQ71" s="283" t="s">
        <v>1313</v>
      </c>
      <c r="AR71" s="283" t="s">
        <v>1314</v>
      </c>
      <c r="AS71" s="283" t="s">
        <v>1315</v>
      </c>
      <c r="AT71" s="283" t="s">
        <v>1316</v>
      </c>
      <c r="AU71" s="283" t="s">
        <v>1317</v>
      </c>
      <c r="AV71" s="283" t="s">
        <v>1318</v>
      </c>
      <c r="AW71" s="283">
        <f t="shared" si="8"/>
        <v>1486.83333333333</v>
      </c>
      <c r="AX71" s="283">
        <v>75300</v>
      </c>
      <c r="AY71" s="283">
        <v>56100</v>
      </c>
      <c r="AZ71" s="283">
        <v>78000</v>
      </c>
      <c r="BA71" s="283">
        <v>80900</v>
      </c>
      <c r="BB71" s="283">
        <v>64600</v>
      </c>
      <c r="BC71" s="283">
        <v>69600</v>
      </c>
      <c r="BD71" s="283">
        <v>66000</v>
      </c>
      <c r="BE71" s="283">
        <v>71800</v>
      </c>
      <c r="BF71" s="283">
        <v>429400</v>
      </c>
      <c r="BG71" s="283">
        <v>454200</v>
      </c>
      <c r="BH71" s="283">
        <v>410100</v>
      </c>
      <c r="BI71" s="283" t="e">
        <f>VLOOKUP(D71,Mid!$A$2:$C$225,3,FALSE)</f>
        <v>#N/A</v>
      </c>
      <c r="BJ71" s="283">
        <v>233100</v>
      </c>
      <c r="BK71" s="283">
        <v>297400</v>
      </c>
      <c r="BL71" s="283">
        <v>260800</v>
      </c>
      <c r="BM71" s="283">
        <v>269300</v>
      </c>
      <c r="BN71" s="283">
        <v>377100</v>
      </c>
      <c r="BO71" s="283">
        <v>218700</v>
      </c>
      <c r="BP71" s="283">
        <v>203200</v>
      </c>
      <c r="BQ71" s="283">
        <v>117800</v>
      </c>
      <c r="BR71" s="283">
        <v>33300</v>
      </c>
      <c r="BS71" s="283">
        <v>18600</v>
      </c>
      <c r="BT71" s="283">
        <v>3900</v>
      </c>
      <c r="BU71" s="283">
        <v>3200</v>
      </c>
      <c r="BV71" s="283">
        <v>6600</v>
      </c>
      <c r="BW71" s="283">
        <v>5700</v>
      </c>
      <c r="BX71" s="283">
        <v>9500</v>
      </c>
      <c r="BY71" s="283">
        <v>9500</v>
      </c>
      <c r="BZ71" s="283">
        <v>6800</v>
      </c>
      <c r="CA71" s="283">
        <v>2300</v>
      </c>
      <c r="CB71" s="283">
        <v>2600</v>
      </c>
      <c r="CC71" s="283">
        <v>6100</v>
      </c>
      <c r="CD71" s="283">
        <v>2000</v>
      </c>
      <c r="CE71" s="283">
        <v>2000</v>
      </c>
      <c r="CF71" s="283">
        <v>0</v>
      </c>
      <c r="CG71" s="283">
        <v>5200</v>
      </c>
      <c r="CH71" s="283">
        <v>513</v>
      </c>
      <c r="CI71" s="283">
        <v>0</v>
      </c>
      <c r="CJ71" s="283">
        <v>1100</v>
      </c>
      <c r="CK71" s="283">
        <f t="shared" si="9"/>
        <v>635.5</v>
      </c>
      <c r="CL71" s="370"/>
      <c r="CM71" s="371">
        <f>Summary!$D$4</f>
        <v>1816871.23333333</v>
      </c>
      <c r="CN71" s="258">
        <f t="shared" si="5"/>
        <v>0</v>
      </c>
    </row>
    <row r="72" ht="62.4" spans="1:92">
      <c r="A72" s="258" t="s">
        <v>145</v>
      </c>
      <c r="B72" s="258" t="s">
        <v>672</v>
      </c>
      <c r="C72" s="258" t="s">
        <v>672</v>
      </c>
      <c r="D72" s="258" t="s">
        <v>1319</v>
      </c>
      <c r="E72" s="258" t="s">
        <v>441</v>
      </c>
      <c r="F72" s="260" t="s">
        <v>451</v>
      </c>
      <c r="G72" s="343"/>
      <c r="H72" s="283">
        <f t="shared" ref="H72:H81" si="10">(AW72+CK72)/2</f>
        <v>166782.416666667</v>
      </c>
      <c r="I72" s="374" t="s">
        <v>1320</v>
      </c>
      <c r="J72" s="351">
        <v>134658</v>
      </c>
      <c r="K72" s="351">
        <v>157102</v>
      </c>
      <c r="L72" s="351">
        <v>181208</v>
      </c>
      <c r="M72" s="351">
        <v>202956</v>
      </c>
      <c r="N72" s="352">
        <v>247836</v>
      </c>
      <c r="O72" s="352">
        <v>277565</v>
      </c>
      <c r="P72" s="352">
        <v>240313</v>
      </c>
      <c r="Q72" s="353">
        <v>261154</v>
      </c>
      <c r="R72" s="353">
        <v>174361</v>
      </c>
      <c r="S72" s="353">
        <v>235712</v>
      </c>
      <c r="T72" s="353">
        <v>180258</v>
      </c>
      <c r="U72" s="353" t="e">
        <f>VLOOKUP(D72,Mid!$A$2:$C$225,2,FALSE)</f>
        <v>#N/A</v>
      </c>
      <c r="V72" s="353">
        <v>170877</v>
      </c>
      <c r="W72" s="353">
        <v>201064</v>
      </c>
      <c r="X72" s="353">
        <v>238208</v>
      </c>
      <c r="Y72" s="353">
        <v>261006</v>
      </c>
      <c r="Z72" s="353">
        <v>230325</v>
      </c>
      <c r="AA72" s="353">
        <v>177551</v>
      </c>
      <c r="AB72" s="353">
        <v>174127</v>
      </c>
      <c r="AC72" s="353">
        <v>214621</v>
      </c>
      <c r="AD72" s="353">
        <v>202905</v>
      </c>
      <c r="AE72" s="353">
        <v>131969</v>
      </c>
      <c r="AF72" s="353">
        <v>166896</v>
      </c>
      <c r="AG72" s="353">
        <v>88623</v>
      </c>
      <c r="AH72" s="353">
        <v>17509</v>
      </c>
      <c r="AI72" s="353">
        <v>51816</v>
      </c>
      <c r="AJ72" s="353">
        <v>11642</v>
      </c>
      <c r="AK72" s="283">
        <v>125631</v>
      </c>
      <c r="AL72" s="283">
        <v>139358</v>
      </c>
      <c r="AM72" s="283" t="s">
        <v>1321</v>
      </c>
      <c r="AN72" s="283" t="s">
        <v>1322</v>
      </c>
      <c r="AO72" s="283" t="s">
        <v>1323</v>
      </c>
      <c r="AP72" s="283">
        <v>185040</v>
      </c>
      <c r="AQ72" s="283" t="s">
        <v>1324</v>
      </c>
      <c r="AR72" s="283" t="s">
        <v>1325</v>
      </c>
      <c r="AS72" s="283" t="s">
        <v>1326</v>
      </c>
      <c r="AT72" s="283" t="s">
        <v>1327</v>
      </c>
      <c r="AU72" s="283" t="s">
        <v>1328</v>
      </c>
      <c r="AV72" s="283" t="s">
        <v>1329</v>
      </c>
      <c r="AW72" s="283">
        <f t="shared" si="8"/>
        <v>175164.833333333</v>
      </c>
      <c r="AX72" s="283">
        <v>162500</v>
      </c>
      <c r="AY72" s="283">
        <v>175300</v>
      </c>
      <c r="AZ72" s="283">
        <v>198200</v>
      </c>
      <c r="BA72" s="283">
        <v>200900</v>
      </c>
      <c r="BB72" s="283">
        <v>189800</v>
      </c>
      <c r="BC72" s="283">
        <v>196000</v>
      </c>
      <c r="BD72" s="283">
        <v>223600</v>
      </c>
      <c r="BE72" s="283">
        <v>192100</v>
      </c>
      <c r="BF72" s="283">
        <v>78700</v>
      </c>
      <c r="BG72" s="283">
        <v>72000</v>
      </c>
      <c r="BH72" s="283">
        <v>55700</v>
      </c>
      <c r="BI72" s="283" t="e">
        <f>VLOOKUP(D72,Mid!$A$2:$C$225,3,FALSE)</f>
        <v>#N/A</v>
      </c>
      <c r="BJ72" s="283">
        <v>44600</v>
      </c>
      <c r="BK72" s="283">
        <v>38800</v>
      </c>
      <c r="BL72" s="283">
        <v>36000</v>
      </c>
      <c r="BM72" s="283">
        <v>66800</v>
      </c>
      <c r="BN72" s="283">
        <v>34500</v>
      </c>
      <c r="BO72" s="283">
        <v>41000</v>
      </c>
      <c r="BP72" s="283">
        <v>39400</v>
      </c>
      <c r="BQ72" s="283">
        <v>40800</v>
      </c>
      <c r="BR72" s="283">
        <v>64300</v>
      </c>
      <c r="BS72" s="283">
        <v>42400</v>
      </c>
      <c r="BT72" s="283">
        <v>37200</v>
      </c>
      <c r="BU72" s="283">
        <v>26000</v>
      </c>
      <c r="BV72" s="283">
        <v>0</v>
      </c>
      <c r="BW72" s="283">
        <v>12300</v>
      </c>
      <c r="BX72" s="283">
        <v>12300</v>
      </c>
      <c r="BY72" s="283">
        <v>58500</v>
      </c>
      <c r="BZ72" s="283">
        <v>223800</v>
      </c>
      <c r="CA72" s="283">
        <v>536800</v>
      </c>
      <c r="CB72" s="283">
        <v>297000</v>
      </c>
      <c r="CC72" s="283">
        <v>168400</v>
      </c>
      <c r="CD72" s="283">
        <v>177258.9</v>
      </c>
      <c r="CE72" s="283">
        <v>241264</v>
      </c>
      <c r="CF72" s="283">
        <v>292500</v>
      </c>
      <c r="CG72" s="283">
        <v>211700</v>
      </c>
      <c r="CH72" s="283">
        <v>193500</v>
      </c>
      <c r="CI72" s="283">
        <v>212400</v>
      </c>
      <c r="CJ72" s="283">
        <v>110700</v>
      </c>
      <c r="CK72" s="283">
        <f t="shared" si="9"/>
        <v>158400</v>
      </c>
      <c r="CL72" s="370"/>
      <c r="CM72" s="371">
        <f>Summary!$D$4</f>
        <v>1816871.23333333</v>
      </c>
      <c r="CN72" s="258">
        <f t="shared" si="5"/>
        <v>0</v>
      </c>
    </row>
    <row r="73" ht="15.6" spans="1:92">
      <c r="A73" s="258" t="s">
        <v>145</v>
      </c>
      <c r="B73" s="258" t="s">
        <v>694</v>
      </c>
      <c r="C73" s="258" t="s">
        <v>487</v>
      </c>
      <c r="D73" s="258" t="s">
        <v>256</v>
      </c>
      <c r="E73" s="258" t="s">
        <v>441</v>
      </c>
      <c r="F73" s="260" t="s">
        <v>418</v>
      </c>
      <c r="G73" s="343"/>
      <c r="H73" s="283">
        <f t="shared" si="10"/>
        <v>130630.14</v>
      </c>
      <c r="I73" s="292"/>
      <c r="J73" s="351">
        <v>228836</v>
      </c>
      <c r="K73" s="351">
        <v>305774</v>
      </c>
      <c r="L73" s="351">
        <v>219983</v>
      </c>
      <c r="M73" s="351">
        <v>291887</v>
      </c>
      <c r="N73" s="352">
        <v>243531</v>
      </c>
      <c r="O73" s="353">
        <v>261851</v>
      </c>
      <c r="P73" s="353">
        <v>232500</v>
      </c>
      <c r="Q73" s="353">
        <v>231833</v>
      </c>
      <c r="R73" s="353">
        <v>233133</v>
      </c>
      <c r="S73" s="353">
        <v>252959</v>
      </c>
      <c r="T73" s="353">
        <v>247915</v>
      </c>
      <c r="U73" s="353" t="e">
        <f>VLOOKUP(D73,Mid!$A$2:$C$225,2,FALSE)</f>
        <v>#N/A</v>
      </c>
      <c r="V73" s="353">
        <v>158418</v>
      </c>
      <c r="W73" s="353">
        <v>186758</v>
      </c>
      <c r="X73" s="353">
        <v>189655</v>
      </c>
      <c r="Y73" s="353">
        <v>167323</v>
      </c>
      <c r="Z73" s="353">
        <v>190374</v>
      </c>
      <c r="AA73" s="353">
        <v>214064</v>
      </c>
      <c r="AB73" s="353">
        <v>202755</v>
      </c>
      <c r="AC73" s="353">
        <v>198958</v>
      </c>
      <c r="AD73" s="353">
        <v>170970</v>
      </c>
      <c r="AE73" s="353">
        <v>113266</v>
      </c>
      <c r="AF73" s="353">
        <v>155282</v>
      </c>
      <c r="AG73" s="353">
        <v>129277</v>
      </c>
      <c r="AH73" s="353">
        <v>135457</v>
      </c>
      <c r="AI73" s="353">
        <v>152995</v>
      </c>
      <c r="AJ73" s="283">
        <v>141149</v>
      </c>
      <c r="AK73" s="283" t="s">
        <v>1330</v>
      </c>
      <c r="AL73" s="283">
        <v>150631</v>
      </c>
      <c r="AM73" s="283" t="s">
        <v>1331</v>
      </c>
      <c r="AN73" s="283" t="s">
        <v>1332</v>
      </c>
      <c r="AO73" s="283" t="s">
        <v>1333</v>
      </c>
      <c r="AP73" s="283">
        <v>220241</v>
      </c>
      <c r="AQ73" s="283" t="s">
        <v>1334</v>
      </c>
      <c r="AR73" s="283" t="s">
        <v>1335</v>
      </c>
      <c r="AS73" s="283" t="s">
        <v>1336</v>
      </c>
      <c r="AT73" s="283" t="s">
        <v>1337</v>
      </c>
      <c r="AU73" s="283" t="s">
        <v>1338</v>
      </c>
      <c r="AV73" s="283" t="s">
        <v>1339</v>
      </c>
      <c r="AW73" s="283">
        <f t="shared" si="8"/>
        <v>161667.666666667</v>
      </c>
      <c r="AX73" s="283">
        <v>215800</v>
      </c>
      <c r="AY73" s="283">
        <v>197500</v>
      </c>
      <c r="AZ73" s="283">
        <v>224400</v>
      </c>
      <c r="BA73" s="283">
        <v>231600</v>
      </c>
      <c r="BB73" s="283">
        <v>221800</v>
      </c>
      <c r="BC73" s="283">
        <v>263000</v>
      </c>
      <c r="BD73" s="283">
        <v>219000</v>
      </c>
      <c r="BE73" s="283">
        <v>223300</v>
      </c>
      <c r="BF73" s="283">
        <v>151400</v>
      </c>
      <c r="BG73" s="283">
        <v>145300</v>
      </c>
      <c r="BH73" s="283">
        <v>146300</v>
      </c>
      <c r="BI73" s="283" t="e">
        <f>VLOOKUP(D73,Mid!$A$2:$C$225,3,FALSE)</f>
        <v>#N/A</v>
      </c>
      <c r="BJ73" s="283">
        <v>99800</v>
      </c>
      <c r="BK73" s="283">
        <v>92200</v>
      </c>
      <c r="BL73" s="283">
        <v>85700</v>
      </c>
      <c r="BM73" s="283">
        <v>64000</v>
      </c>
      <c r="BN73" s="283">
        <v>60600</v>
      </c>
      <c r="BO73" s="283">
        <v>82500</v>
      </c>
      <c r="BP73" s="283">
        <v>101000</v>
      </c>
      <c r="BQ73" s="283">
        <v>76700</v>
      </c>
      <c r="BR73" s="283">
        <v>149500</v>
      </c>
      <c r="BS73" s="283">
        <v>91400</v>
      </c>
      <c r="BT73" s="283">
        <v>82200</v>
      </c>
      <c r="BU73" s="283">
        <v>88200</v>
      </c>
      <c r="BV73" s="283">
        <v>79300</v>
      </c>
      <c r="BW73" s="283">
        <v>74800</v>
      </c>
      <c r="BX73" s="283">
        <v>97600</v>
      </c>
      <c r="BY73" s="283">
        <v>97600</v>
      </c>
      <c r="BZ73" s="283">
        <v>156700</v>
      </c>
      <c r="CA73" s="283">
        <v>138910</v>
      </c>
      <c r="CB73" s="283">
        <v>116900</v>
      </c>
      <c r="CC73" s="283">
        <v>114100</v>
      </c>
      <c r="CD73" s="283">
        <v>107200</v>
      </c>
      <c r="CE73" s="283">
        <v>188900</v>
      </c>
      <c r="CF73" s="283">
        <v>190276.6</v>
      </c>
      <c r="CG73" s="283">
        <v>176000</v>
      </c>
      <c r="CH73" s="283">
        <v>113600</v>
      </c>
      <c r="CI73" s="283">
        <v>73982.04</v>
      </c>
      <c r="CJ73" s="283">
        <v>111997.2</v>
      </c>
      <c r="CK73" s="283">
        <f t="shared" si="9"/>
        <v>99592.6133333333</v>
      </c>
      <c r="CL73" s="370"/>
      <c r="CM73" s="371">
        <f>Summary!$D$4</f>
        <v>1816871.23333333</v>
      </c>
      <c r="CN73" s="258">
        <f t="shared" si="5"/>
        <v>1</v>
      </c>
    </row>
    <row r="74" ht="15.6" spans="1:92">
      <c r="A74" s="258" t="s">
        <v>145</v>
      </c>
      <c r="B74" s="258" t="s">
        <v>513</v>
      </c>
      <c r="C74" s="258" t="s">
        <v>234</v>
      </c>
      <c r="D74" s="373" t="s">
        <v>1340</v>
      </c>
      <c r="E74" s="258" t="s">
        <v>470</v>
      </c>
      <c r="F74" s="260" t="s">
        <v>234</v>
      </c>
      <c r="G74" s="343"/>
      <c r="H74" s="283">
        <f t="shared" si="10"/>
        <v>116940.703333333</v>
      </c>
      <c r="I74" s="292"/>
      <c r="J74" s="351">
        <v>70995</v>
      </c>
      <c r="K74" s="351">
        <v>99332</v>
      </c>
      <c r="L74" s="351">
        <v>81147</v>
      </c>
      <c r="M74" s="351">
        <v>98788</v>
      </c>
      <c r="N74" s="352">
        <v>125097</v>
      </c>
      <c r="O74" s="353">
        <v>73868</v>
      </c>
      <c r="P74" s="353">
        <v>94422</v>
      </c>
      <c r="Q74" s="353">
        <v>95710</v>
      </c>
      <c r="R74" s="353">
        <v>72085</v>
      </c>
      <c r="S74" s="353">
        <v>75260</v>
      </c>
      <c r="T74" s="353">
        <v>62786</v>
      </c>
      <c r="U74" s="353" t="e">
        <f>VLOOKUP(D74,Mid!$A$2:$C$225,2,FALSE)</f>
        <v>#N/A</v>
      </c>
      <c r="V74" s="353">
        <v>106324</v>
      </c>
      <c r="W74" s="353">
        <v>51465</v>
      </c>
      <c r="X74" s="353">
        <v>58570</v>
      </c>
      <c r="Y74" s="353">
        <v>56625</v>
      </c>
      <c r="Z74" s="353">
        <v>58504</v>
      </c>
      <c r="AA74" s="353">
        <v>69586</v>
      </c>
      <c r="AB74" s="353">
        <v>76209</v>
      </c>
      <c r="AC74" s="353">
        <v>79624</v>
      </c>
      <c r="AD74" s="353">
        <v>79035</v>
      </c>
      <c r="AE74" s="353">
        <v>47512</v>
      </c>
      <c r="AF74" s="353">
        <v>47505</v>
      </c>
      <c r="AG74" s="353">
        <v>54247</v>
      </c>
      <c r="AH74" s="353">
        <v>75472</v>
      </c>
      <c r="AI74" s="353">
        <v>76655</v>
      </c>
      <c r="AJ74" s="353">
        <v>72370</v>
      </c>
      <c r="AK74" s="283" t="s">
        <v>1341</v>
      </c>
      <c r="AL74" s="283">
        <v>97390</v>
      </c>
      <c r="AM74" s="283" t="s">
        <v>1342</v>
      </c>
      <c r="AN74" s="283" t="s">
        <v>1343</v>
      </c>
      <c r="AO74" s="283" t="s">
        <v>1344</v>
      </c>
      <c r="AP74" s="283">
        <v>73540</v>
      </c>
      <c r="AQ74" s="283" t="s">
        <v>1345</v>
      </c>
      <c r="AR74" s="283" t="s">
        <v>1346</v>
      </c>
      <c r="AS74" s="283" t="s">
        <v>1347</v>
      </c>
      <c r="AT74" s="283" t="s">
        <v>1348</v>
      </c>
      <c r="AU74" s="283" t="s">
        <v>1349</v>
      </c>
      <c r="AV74" s="283" t="s">
        <v>1350</v>
      </c>
      <c r="AW74" s="283">
        <f t="shared" si="8"/>
        <v>113767</v>
      </c>
      <c r="AX74" s="283">
        <v>95800</v>
      </c>
      <c r="AY74" s="283">
        <v>73500</v>
      </c>
      <c r="AZ74" s="283">
        <v>90700</v>
      </c>
      <c r="BA74" s="283">
        <v>92300</v>
      </c>
      <c r="BB74" s="283">
        <v>108100</v>
      </c>
      <c r="BC74" s="283">
        <v>97900</v>
      </c>
      <c r="BD74" s="283">
        <v>121900</v>
      </c>
      <c r="BE74" s="283">
        <v>88000</v>
      </c>
      <c r="BF74" s="283">
        <v>32700</v>
      </c>
      <c r="BG74" s="283">
        <v>47000</v>
      </c>
      <c r="BH74" s="283">
        <v>53500</v>
      </c>
      <c r="BI74" s="283" t="e">
        <f>VLOOKUP(D74,Mid!$A$2:$C$225,3,FALSE)</f>
        <v>#N/A</v>
      </c>
      <c r="BJ74" s="283">
        <v>37000</v>
      </c>
      <c r="BK74" s="283">
        <v>27800</v>
      </c>
      <c r="BL74" s="283">
        <v>29600</v>
      </c>
      <c r="BM74" s="283">
        <v>52700</v>
      </c>
      <c r="BN74" s="283">
        <v>38600</v>
      </c>
      <c r="BO74" s="283">
        <v>53000</v>
      </c>
      <c r="BP74" s="283">
        <v>60100</v>
      </c>
      <c r="BQ74" s="283">
        <v>26000</v>
      </c>
      <c r="BR74" s="283">
        <v>75000</v>
      </c>
      <c r="BS74" s="283">
        <v>45500</v>
      </c>
      <c r="BT74" s="283">
        <v>56700</v>
      </c>
      <c r="BU74" s="283">
        <v>61700</v>
      </c>
      <c r="BV74" s="283">
        <v>37600</v>
      </c>
      <c r="BW74" s="283">
        <v>38000</v>
      </c>
      <c r="BX74" s="283">
        <v>80900</v>
      </c>
      <c r="BY74" s="283">
        <v>80900</v>
      </c>
      <c r="BZ74" s="283">
        <v>60300</v>
      </c>
      <c r="CA74" s="283">
        <v>45291.6</v>
      </c>
      <c r="CB74" s="283">
        <v>56400</v>
      </c>
      <c r="CC74" s="283">
        <v>113700</v>
      </c>
      <c r="CD74" s="283">
        <v>125800</v>
      </c>
      <c r="CE74" s="283">
        <v>125800</v>
      </c>
      <c r="CF74" s="283">
        <v>46800</v>
      </c>
      <c r="CG74" s="283">
        <v>93400</v>
      </c>
      <c r="CH74" s="283">
        <v>144186.44</v>
      </c>
      <c r="CI74" s="283">
        <v>173800</v>
      </c>
      <c r="CJ74" s="283">
        <v>76300</v>
      </c>
      <c r="CK74" s="283">
        <f t="shared" si="9"/>
        <v>120114.406666667</v>
      </c>
      <c r="CL74" s="370"/>
      <c r="CM74" s="371">
        <f>Summary!$D$4</f>
        <v>1816871.23333333</v>
      </c>
      <c r="CN74" s="258">
        <f t="shared" si="5"/>
        <v>1</v>
      </c>
    </row>
    <row r="75" ht="15.6" spans="1:92">
      <c r="A75" s="258" t="s">
        <v>145</v>
      </c>
      <c r="B75" s="258" t="s">
        <v>694</v>
      </c>
      <c r="C75" s="258" t="s">
        <v>230</v>
      </c>
      <c r="D75" s="373" t="s">
        <v>490</v>
      </c>
      <c r="E75" s="258" t="s">
        <v>233</v>
      </c>
      <c r="F75" s="260" t="s">
        <v>58</v>
      </c>
      <c r="G75" s="343"/>
      <c r="H75" s="283">
        <f t="shared" si="10"/>
        <v>53645.4166666667</v>
      </c>
      <c r="I75" s="292"/>
      <c r="J75" s="351">
        <v>107445</v>
      </c>
      <c r="K75" s="351">
        <v>99092</v>
      </c>
      <c r="L75" s="351">
        <v>98505</v>
      </c>
      <c r="M75" s="351">
        <v>118596</v>
      </c>
      <c r="N75" s="352">
        <v>153538</v>
      </c>
      <c r="O75" s="353">
        <v>114249</v>
      </c>
      <c r="P75" s="353">
        <v>137474</v>
      </c>
      <c r="Q75" s="353">
        <v>130045</v>
      </c>
      <c r="R75" s="353">
        <v>99319</v>
      </c>
      <c r="S75" s="353">
        <v>142350</v>
      </c>
      <c r="T75" s="353">
        <v>117908</v>
      </c>
      <c r="U75" s="353" t="e">
        <f>VLOOKUP(D75,Mid!$A$2:$C$225,2,FALSE)</f>
        <v>#N/A</v>
      </c>
      <c r="V75" s="353">
        <v>103921</v>
      </c>
      <c r="W75" s="353">
        <v>98525</v>
      </c>
      <c r="X75" s="353">
        <v>191978</v>
      </c>
      <c r="Y75" s="353">
        <v>120015</v>
      </c>
      <c r="Z75" s="353">
        <v>106308</v>
      </c>
      <c r="AA75" s="353">
        <v>110452</v>
      </c>
      <c r="AB75" s="353">
        <v>81793</v>
      </c>
      <c r="AC75" s="353">
        <v>127535</v>
      </c>
      <c r="AD75" s="353">
        <v>97560</v>
      </c>
      <c r="AE75" s="353">
        <v>109163</v>
      </c>
      <c r="AF75" s="353">
        <v>91722</v>
      </c>
      <c r="AG75" s="353">
        <v>84971</v>
      </c>
      <c r="AH75" s="353">
        <v>87071</v>
      </c>
      <c r="AI75" s="353">
        <v>85319</v>
      </c>
      <c r="AJ75" s="283">
        <v>110600</v>
      </c>
      <c r="AK75" s="283">
        <v>127431</v>
      </c>
      <c r="AL75" s="283">
        <v>94738</v>
      </c>
      <c r="AM75" s="283">
        <v>80084</v>
      </c>
      <c r="AN75" s="283" t="s">
        <v>796</v>
      </c>
      <c r="AO75" s="283">
        <f>216984*0.2452*2</f>
        <v>106408.9536</v>
      </c>
      <c r="AP75" s="283">
        <v>111847</v>
      </c>
      <c r="AQ75" s="283">
        <v>104049</v>
      </c>
      <c r="AR75" s="283">
        <v>89468</v>
      </c>
      <c r="AS75" s="283">
        <v>99116</v>
      </c>
      <c r="AT75" s="283">
        <v>105223</v>
      </c>
      <c r="AU75" s="283">
        <v>96147</v>
      </c>
      <c r="AV75" s="283">
        <v>78576</v>
      </c>
      <c r="AW75" s="283">
        <f t="shared" si="8"/>
        <v>88874.1666666667</v>
      </c>
      <c r="AX75" s="283">
        <v>103500</v>
      </c>
      <c r="AY75" s="283">
        <v>85700</v>
      </c>
      <c r="AZ75" s="283">
        <v>88800</v>
      </c>
      <c r="BA75" s="283">
        <v>91600</v>
      </c>
      <c r="BB75" s="283">
        <v>97700</v>
      </c>
      <c r="BC75" s="283">
        <v>81700</v>
      </c>
      <c r="BD75" s="283">
        <v>90000</v>
      </c>
      <c r="BE75" s="283">
        <v>85900</v>
      </c>
      <c r="BF75" s="283">
        <v>98700</v>
      </c>
      <c r="BG75" s="283">
        <v>88500</v>
      </c>
      <c r="BH75" s="283">
        <v>121200</v>
      </c>
      <c r="BI75" s="283" t="e">
        <f>VLOOKUP(D75,Mid!$A$2:$C$225,3,FALSE)</f>
        <v>#N/A</v>
      </c>
      <c r="BJ75" s="283">
        <v>34400</v>
      </c>
      <c r="BK75" s="283">
        <v>48500</v>
      </c>
      <c r="BL75" s="283">
        <v>63500</v>
      </c>
      <c r="BM75" s="283">
        <v>44500</v>
      </c>
      <c r="BN75" s="283">
        <v>28000</v>
      </c>
      <c r="BO75" s="283">
        <v>40600</v>
      </c>
      <c r="BP75" s="283">
        <v>56000</v>
      </c>
      <c r="BQ75" s="283">
        <v>42300</v>
      </c>
      <c r="BR75" s="283">
        <v>32000</v>
      </c>
      <c r="BS75" s="283">
        <v>38000</v>
      </c>
      <c r="BT75" s="283">
        <v>25900</v>
      </c>
      <c r="BU75" s="283">
        <v>62600</v>
      </c>
      <c r="BV75" s="283">
        <v>100200</v>
      </c>
      <c r="BW75" s="283">
        <v>86200</v>
      </c>
      <c r="BX75" s="283">
        <v>40000</v>
      </c>
      <c r="BY75" s="283">
        <v>40000</v>
      </c>
      <c r="BZ75" s="283">
        <v>45900</v>
      </c>
      <c r="CA75" s="283">
        <v>47500</v>
      </c>
      <c r="CB75" s="283">
        <v>37000</v>
      </c>
      <c r="CC75" s="283">
        <v>15200</v>
      </c>
      <c r="CD75" s="283">
        <v>29600</v>
      </c>
      <c r="CE75" s="283">
        <v>29600</v>
      </c>
      <c r="CF75" s="283">
        <v>14500</v>
      </c>
      <c r="CG75" s="283">
        <v>66000</v>
      </c>
      <c r="CH75" s="283">
        <v>17100</v>
      </c>
      <c r="CI75" s="283">
        <v>19400</v>
      </c>
      <c r="CJ75" s="283">
        <v>18200</v>
      </c>
      <c r="CK75" s="283">
        <f t="shared" si="9"/>
        <v>18416.6666666667</v>
      </c>
      <c r="CL75" s="370"/>
      <c r="CM75" s="371">
        <f>Summary!$D$4</f>
        <v>1816871.23333333</v>
      </c>
      <c r="CN75" s="258">
        <f t="shared" si="5"/>
        <v>0</v>
      </c>
    </row>
    <row r="76" ht="15.6" spans="1:92">
      <c r="A76" s="258" t="s">
        <v>145</v>
      </c>
      <c r="B76" s="258" t="s">
        <v>694</v>
      </c>
      <c r="C76" s="258" t="s">
        <v>230</v>
      </c>
      <c r="D76" s="373" t="s">
        <v>437</v>
      </c>
      <c r="E76" s="258" t="s">
        <v>233</v>
      </c>
      <c r="F76" s="260" t="s">
        <v>451</v>
      </c>
      <c r="G76" s="343"/>
      <c r="H76" s="283">
        <f t="shared" si="10"/>
        <v>71498.8666666667</v>
      </c>
      <c r="I76" s="292"/>
      <c r="J76" s="351">
        <v>121492</v>
      </c>
      <c r="K76" s="351">
        <v>135973</v>
      </c>
      <c r="L76" s="351">
        <v>120078</v>
      </c>
      <c r="M76" s="351">
        <v>128454</v>
      </c>
      <c r="N76" s="352">
        <v>106776</v>
      </c>
      <c r="O76" s="353">
        <v>141247</v>
      </c>
      <c r="P76" s="353">
        <v>134075</v>
      </c>
      <c r="Q76" s="353">
        <v>144675</v>
      </c>
      <c r="R76" s="353">
        <v>158685</v>
      </c>
      <c r="S76" s="353">
        <v>132254</v>
      </c>
      <c r="T76" s="353">
        <v>117225</v>
      </c>
      <c r="U76" s="353" t="e">
        <f>VLOOKUP(D76,Mid!$A$2:$C$225,2,FALSE)</f>
        <v>#N/A</v>
      </c>
      <c r="V76" s="353">
        <v>91647</v>
      </c>
      <c r="W76" s="353">
        <v>114832</v>
      </c>
      <c r="X76" s="353">
        <v>151634</v>
      </c>
      <c r="Y76" s="353">
        <v>185945</v>
      </c>
      <c r="Z76" s="353">
        <v>140935</v>
      </c>
      <c r="AA76" s="353">
        <v>110369</v>
      </c>
      <c r="AB76" s="353">
        <v>137677</v>
      </c>
      <c r="AC76" s="353">
        <v>174172</v>
      </c>
      <c r="AD76" s="353">
        <v>129152</v>
      </c>
      <c r="AE76" s="353">
        <v>122982</v>
      </c>
      <c r="AF76" s="353">
        <v>162899</v>
      </c>
      <c r="AG76" s="353">
        <v>132309</v>
      </c>
      <c r="AH76" s="353">
        <v>200155</v>
      </c>
      <c r="AI76" s="353">
        <v>265028</v>
      </c>
      <c r="AJ76" s="283">
        <v>155815</v>
      </c>
      <c r="AK76" s="283">
        <v>152027</v>
      </c>
      <c r="AL76" s="283">
        <v>96453</v>
      </c>
      <c r="AM76" s="283" t="s">
        <v>1351</v>
      </c>
      <c r="AN76" s="283" t="s">
        <v>1352</v>
      </c>
      <c r="AO76" s="283" t="s">
        <v>1353</v>
      </c>
      <c r="AP76" s="283">
        <v>115290</v>
      </c>
      <c r="AQ76" s="283" t="s">
        <v>1354</v>
      </c>
      <c r="AR76" s="283" t="s">
        <v>1355</v>
      </c>
      <c r="AS76" s="283" t="s">
        <v>1356</v>
      </c>
      <c r="AT76" s="283" t="s">
        <v>1357</v>
      </c>
      <c r="AU76" s="283" t="s">
        <v>1358</v>
      </c>
      <c r="AV76" s="283" t="s">
        <v>1359</v>
      </c>
      <c r="AW76" s="283">
        <f t="shared" si="8"/>
        <v>79731.1666666667</v>
      </c>
      <c r="AX76" s="283">
        <v>77300</v>
      </c>
      <c r="AY76" s="283">
        <v>83700</v>
      </c>
      <c r="AZ76" s="283">
        <v>103300</v>
      </c>
      <c r="BA76" s="283">
        <v>106900</v>
      </c>
      <c r="BB76" s="283">
        <v>95500</v>
      </c>
      <c r="BC76" s="283">
        <v>106000</v>
      </c>
      <c r="BD76" s="283">
        <v>110600</v>
      </c>
      <c r="BE76" s="283">
        <v>100800</v>
      </c>
      <c r="BF76" s="283">
        <v>143400</v>
      </c>
      <c r="BG76" s="283">
        <v>170800</v>
      </c>
      <c r="BH76" s="283">
        <v>149500</v>
      </c>
      <c r="BI76" s="283" t="e">
        <f>VLOOKUP(D76,Mid!$A$2:$C$225,3,FALSE)</f>
        <v>#N/A</v>
      </c>
      <c r="BJ76" s="283">
        <v>104000</v>
      </c>
      <c r="BK76" s="283">
        <v>101800</v>
      </c>
      <c r="BL76" s="283">
        <v>96100</v>
      </c>
      <c r="BM76" s="283">
        <v>117200</v>
      </c>
      <c r="BN76" s="283">
        <v>132000</v>
      </c>
      <c r="BO76" s="283">
        <v>88000</v>
      </c>
      <c r="BP76" s="283">
        <v>90400</v>
      </c>
      <c r="BQ76" s="283">
        <v>93600</v>
      </c>
      <c r="BR76" s="283">
        <v>200600</v>
      </c>
      <c r="BS76" s="283">
        <v>70400</v>
      </c>
      <c r="BT76" s="283">
        <v>77200</v>
      </c>
      <c r="BU76" s="283">
        <v>124000</v>
      </c>
      <c r="BV76" s="283">
        <v>106800</v>
      </c>
      <c r="BW76" s="283">
        <v>85000</v>
      </c>
      <c r="BX76" s="283">
        <v>114100</v>
      </c>
      <c r="BY76" s="283">
        <v>114100</v>
      </c>
      <c r="BZ76" s="283">
        <v>99400</v>
      </c>
      <c r="CA76" s="283">
        <v>121800</v>
      </c>
      <c r="CB76" s="283">
        <v>51200</v>
      </c>
      <c r="CC76" s="283">
        <v>33800</v>
      </c>
      <c r="CD76" s="283">
        <v>31900</v>
      </c>
      <c r="CE76" s="283">
        <v>31900</v>
      </c>
      <c r="CF76" s="283">
        <v>30300</v>
      </c>
      <c r="CG76" s="283">
        <v>11600</v>
      </c>
      <c r="CH76" s="283">
        <v>31929</v>
      </c>
      <c r="CI76" s="283">
        <v>31335.2</v>
      </c>
      <c r="CJ76" s="283">
        <v>95000</v>
      </c>
      <c r="CK76" s="283">
        <f t="shared" si="9"/>
        <v>63266.5666666667</v>
      </c>
      <c r="CL76" s="370"/>
      <c r="CM76" s="371">
        <f>Summary!$D$4</f>
        <v>1816871.23333333</v>
      </c>
      <c r="CN76" s="258">
        <f t="shared" si="5"/>
        <v>0</v>
      </c>
    </row>
    <row r="77" ht="15.6" spans="1:92">
      <c r="A77" s="258" t="s">
        <v>145</v>
      </c>
      <c r="B77" s="258" t="s">
        <v>694</v>
      </c>
      <c r="C77" s="258"/>
      <c r="D77" s="373" t="s">
        <v>1360</v>
      </c>
      <c r="E77" s="258"/>
      <c r="F77" s="260" t="s">
        <v>60</v>
      </c>
      <c r="G77" s="343"/>
      <c r="H77" s="283">
        <f t="shared" si="10"/>
        <v>30481.3366666666</v>
      </c>
      <c r="I77" s="360"/>
      <c r="J77" s="351"/>
      <c r="K77" s="351"/>
      <c r="L77" s="351"/>
      <c r="M77" s="351"/>
      <c r="N77" s="352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  <c r="AA77" s="353"/>
      <c r="AB77" s="353"/>
      <c r="AC77" s="353"/>
      <c r="AD77" s="353"/>
      <c r="AE77" s="353"/>
      <c r="AF77" s="353"/>
      <c r="AG77" s="353"/>
      <c r="AH77" s="353"/>
      <c r="AI77" s="353">
        <v>97232</v>
      </c>
      <c r="AJ77" s="353">
        <v>43581</v>
      </c>
      <c r="AK77" s="283">
        <v>65660</v>
      </c>
      <c r="AL77" s="283">
        <v>58010</v>
      </c>
      <c r="AM77" s="283" t="s">
        <v>1361</v>
      </c>
      <c r="AN77" s="283" t="s">
        <v>1362</v>
      </c>
      <c r="AO77" s="283" t="s">
        <v>1363</v>
      </c>
      <c r="AP77" s="283">
        <v>50353</v>
      </c>
      <c r="AQ77" s="283" t="s">
        <v>1364</v>
      </c>
      <c r="AR77" s="283" t="s">
        <v>1365</v>
      </c>
      <c r="AS77" s="283" t="s">
        <v>1366</v>
      </c>
      <c r="AT77" s="283" t="s">
        <v>1367</v>
      </c>
      <c r="AU77" s="283" t="s">
        <v>1368</v>
      </c>
      <c r="AV77" s="283" t="s">
        <v>1369</v>
      </c>
      <c r="AW77" s="283">
        <f t="shared" si="8"/>
        <v>36605.5</v>
      </c>
      <c r="AX77" s="283"/>
      <c r="AY77" s="283"/>
      <c r="AZ77" s="283"/>
      <c r="BA77" s="283"/>
      <c r="BB77" s="283"/>
      <c r="BC77" s="283"/>
      <c r="BD77" s="283"/>
      <c r="BE77" s="283"/>
      <c r="BF77" s="283"/>
      <c r="BG77" s="283"/>
      <c r="BH77" s="283"/>
      <c r="BI77" s="283"/>
      <c r="BJ77" s="283"/>
      <c r="BK77" s="283"/>
      <c r="BL77" s="283"/>
      <c r="BM77" s="283"/>
      <c r="BN77" s="283"/>
      <c r="BO77" s="283"/>
      <c r="BP77" s="283"/>
      <c r="BQ77" s="283"/>
      <c r="BR77" s="283"/>
      <c r="BS77" s="283"/>
      <c r="BT77" s="283"/>
      <c r="BU77" s="283"/>
      <c r="BV77" s="283"/>
      <c r="BW77" s="283">
        <v>58000</v>
      </c>
      <c r="BX77" s="283">
        <v>46300</v>
      </c>
      <c r="BY77" s="283">
        <v>46300</v>
      </c>
      <c r="BZ77" s="283">
        <v>55600</v>
      </c>
      <c r="CA77" s="283">
        <v>28300</v>
      </c>
      <c r="CB77" s="283">
        <v>39900</v>
      </c>
      <c r="CC77" s="283">
        <v>69500</v>
      </c>
      <c r="CD77" s="283">
        <v>29000</v>
      </c>
      <c r="CE77" s="283">
        <v>29000</v>
      </c>
      <c r="CF77" s="283">
        <v>57800</v>
      </c>
      <c r="CG77" s="283">
        <v>61900</v>
      </c>
      <c r="CH77" s="283">
        <v>15300</v>
      </c>
      <c r="CI77" s="283">
        <v>5800</v>
      </c>
      <c r="CJ77" s="283">
        <v>39747.68</v>
      </c>
      <c r="CK77" s="283">
        <f t="shared" si="9"/>
        <v>24357.1733333333</v>
      </c>
      <c r="CL77" s="370"/>
      <c r="CM77" s="371">
        <f>Summary!$D$4</f>
        <v>1816871.23333333</v>
      </c>
      <c r="CN77" s="258">
        <f t="shared" si="5"/>
        <v>0</v>
      </c>
    </row>
    <row r="78" ht="15.6" spans="1:92">
      <c r="A78" s="258" t="s">
        <v>145</v>
      </c>
      <c r="B78" s="258" t="s">
        <v>694</v>
      </c>
      <c r="C78" s="258"/>
      <c r="D78" s="373" t="s">
        <v>1370</v>
      </c>
      <c r="E78" s="258"/>
      <c r="F78" s="260" t="s">
        <v>417</v>
      </c>
      <c r="G78" s="343"/>
      <c r="H78" s="283">
        <f t="shared" si="10"/>
        <v>45028.81</v>
      </c>
      <c r="I78" s="360"/>
      <c r="J78" s="351"/>
      <c r="K78" s="351"/>
      <c r="L78" s="351"/>
      <c r="M78" s="351"/>
      <c r="N78" s="352"/>
      <c r="O78" s="353"/>
      <c r="P78" s="353"/>
      <c r="Q78" s="353"/>
      <c r="R78" s="353"/>
      <c r="S78" s="353"/>
      <c r="T78" s="353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>
        <v>59849</v>
      </c>
      <c r="AJ78" s="353">
        <v>49725</v>
      </c>
      <c r="AK78" s="283">
        <v>71806</v>
      </c>
      <c r="AL78" s="283">
        <v>58087</v>
      </c>
      <c r="AM78" s="283" t="s">
        <v>1371</v>
      </c>
      <c r="AN78" s="283" t="s">
        <v>1372</v>
      </c>
      <c r="AO78" s="283" t="s">
        <v>1373</v>
      </c>
      <c r="AP78" s="283">
        <v>69076</v>
      </c>
      <c r="AQ78" s="283" t="s">
        <v>1374</v>
      </c>
      <c r="AR78" s="283" t="s">
        <v>1375</v>
      </c>
      <c r="AS78" s="283" t="s">
        <v>1376</v>
      </c>
      <c r="AT78" s="283" t="s">
        <v>1377</v>
      </c>
      <c r="AU78" s="283" t="s">
        <v>1378</v>
      </c>
      <c r="AV78" s="283" t="s">
        <v>1379</v>
      </c>
      <c r="AW78" s="283">
        <f t="shared" si="8"/>
        <v>59246.8333333333</v>
      </c>
      <c r="AX78" s="283"/>
      <c r="AY78" s="283"/>
      <c r="AZ78" s="283"/>
      <c r="BA78" s="283"/>
      <c r="BB78" s="283"/>
      <c r="BC78" s="283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283"/>
      <c r="BV78" s="283"/>
      <c r="BW78" s="283">
        <v>16000</v>
      </c>
      <c r="BX78" s="283">
        <v>67700</v>
      </c>
      <c r="BY78" s="283">
        <v>67700</v>
      </c>
      <c r="BZ78" s="283">
        <v>14100</v>
      </c>
      <c r="CA78" s="283">
        <v>38900</v>
      </c>
      <c r="CB78" s="283">
        <v>14500</v>
      </c>
      <c r="CC78" s="283">
        <v>30900</v>
      </c>
      <c r="CD78" s="283">
        <v>46300</v>
      </c>
      <c r="CE78" s="283">
        <v>46300</v>
      </c>
      <c r="CF78" s="283">
        <v>23558.44</v>
      </c>
      <c r="CG78" s="283">
        <v>21460.68</v>
      </c>
      <c r="CH78" s="283">
        <v>17500</v>
      </c>
      <c r="CI78" s="283">
        <v>54582.36</v>
      </c>
      <c r="CJ78" s="283">
        <v>19400</v>
      </c>
      <c r="CK78" s="283">
        <f t="shared" si="9"/>
        <v>30810.7866666667</v>
      </c>
      <c r="CL78" s="370"/>
      <c r="CM78" s="371">
        <f>Summary!$D$4</f>
        <v>1816871.23333333</v>
      </c>
      <c r="CN78" s="258">
        <f t="shared" si="5"/>
        <v>0</v>
      </c>
    </row>
    <row r="79" ht="109.2" spans="1:92">
      <c r="A79" s="258" t="s">
        <v>145</v>
      </c>
      <c r="B79" s="258" t="s">
        <v>694</v>
      </c>
      <c r="C79" s="258" t="s">
        <v>230</v>
      </c>
      <c r="D79" s="373" t="s">
        <v>1380</v>
      </c>
      <c r="E79" s="258" t="s">
        <v>233</v>
      </c>
      <c r="F79" s="260" t="s">
        <v>234</v>
      </c>
      <c r="G79" s="343"/>
      <c r="H79" s="283">
        <f t="shared" si="10"/>
        <v>56604.5833333333</v>
      </c>
      <c r="I79" s="292" t="s">
        <v>705</v>
      </c>
      <c r="J79" s="351"/>
      <c r="K79" s="351"/>
      <c r="L79" s="351"/>
      <c r="M79" s="351"/>
      <c r="N79" s="352"/>
      <c r="O79" s="353"/>
      <c r="P79" s="353"/>
      <c r="Q79" s="353"/>
      <c r="R79" s="353"/>
      <c r="S79" s="353"/>
      <c r="T79" s="353"/>
      <c r="U79" s="353"/>
      <c r="V79" s="353"/>
      <c r="W79" s="353"/>
      <c r="X79" s="353"/>
      <c r="Y79" s="353"/>
      <c r="Z79" s="353"/>
      <c r="AA79" s="353"/>
      <c r="AB79" s="353"/>
      <c r="AC79" s="353"/>
      <c r="AD79" s="353"/>
      <c r="AE79" s="353"/>
      <c r="AF79" s="353"/>
      <c r="AG79" s="353"/>
      <c r="AH79" s="353"/>
      <c r="AI79" s="353">
        <v>13321</v>
      </c>
      <c r="AJ79" s="353">
        <v>28094</v>
      </c>
      <c r="AK79" s="283">
        <v>34668</v>
      </c>
      <c r="AL79" s="283">
        <v>24855</v>
      </c>
      <c r="AM79" s="283" t="s">
        <v>1381</v>
      </c>
      <c r="AN79" s="283" t="s">
        <v>1382</v>
      </c>
      <c r="AO79" s="283" t="s">
        <v>1383</v>
      </c>
      <c r="AP79" s="283">
        <v>43642</v>
      </c>
      <c r="AQ79" s="283" t="s">
        <v>1384</v>
      </c>
      <c r="AR79" s="283" t="s">
        <v>1385</v>
      </c>
      <c r="AS79" s="283" t="s">
        <v>1386</v>
      </c>
      <c r="AT79" s="283" t="s">
        <v>1387</v>
      </c>
      <c r="AU79" s="283" t="s">
        <v>1388</v>
      </c>
      <c r="AV79" s="283" t="s">
        <v>1389</v>
      </c>
      <c r="AW79" s="283">
        <f t="shared" si="8"/>
        <v>38972.1666666667</v>
      </c>
      <c r="AX79" s="283"/>
      <c r="AY79" s="283"/>
      <c r="AZ79" s="283"/>
      <c r="BA79" s="283"/>
      <c r="BB79" s="283"/>
      <c r="BC79" s="283"/>
      <c r="BD79" s="283"/>
      <c r="BE79" s="283"/>
      <c r="BF79" s="283"/>
      <c r="BG79" s="283"/>
      <c r="BH79" s="283"/>
      <c r="BI79" s="283"/>
      <c r="BJ79" s="283"/>
      <c r="BK79" s="283"/>
      <c r="BL79" s="283"/>
      <c r="BM79" s="283"/>
      <c r="BN79" s="283"/>
      <c r="BO79" s="283"/>
      <c r="BP79" s="283"/>
      <c r="BQ79" s="283"/>
      <c r="BR79" s="283"/>
      <c r="BS79" s="283"/>
      <c r="BT79" s="283"/>
      <c r="BU79" s="283"/>
      <c r="BV79" s="283">
        <v>57300</v>
      </c>
      <c r="BW79" s="283">
        <v>695000</v>
      </c>
      <c r="BX79" s="283">
        <v>28094</v>
      </c>
      <c r="BY79" s="283">
        <f>600000*0.04</f>
        <v>24000</v>
      </c>
      <c r="BZ79" s="283">
        <f>526000*0.04</f>
        <v>21040</v>
      </c>
      <c r="CA79" s="283">
        <f>948400*0.3945*2*0.04</f>
        <v>29931.504</v>
      </c>
      <c r="CB79" s="283">
        <f>948400*0.04</f>
        <v>37936</v>
      </c>
      <c r="CC79" s="283">
        <f>801800*0.04</f>
        <v>32072</v>
      </c>
      <c r="CD79" s="283">
        <v>55200</v>
      </c>
      <c r="CE79" s="283">
        <f>1300000*0.05*0.3717*2</f>
        <v>48321</v>
      </c>
      <c r="CF79" s="283">
        <f>1400000*0.05*0.3978*2</f>
        <v>55692</v>
      </c>
      <c r="CG79" s="283">
        <v>65960</v>
      </c>
      <c r="CH79" s="283">
        <v>62982</v>
      </c>
      <c r="CI79" s="283">
        <f>0.05*0.3625*2*1800000</f>
        <v>65250</v>
      </c>
      <c r="CJ79" s="283">
        <f>2000000*0.4199*2*0.05</f>
        <v>83980</v>
      </c>
      <c r="CK79" s="283">
        <f t="shared" si="9"/>
        <v>74237</v>
      </c>
      <c r="CL79" s="370"/>
      <c r="CM79" s="371">
        <f>Summary!$D$4</f>
        <v>1816871.23333333</v>
      </c>
      <c r="CN79" s="258">
        <f t="shared" si="5"/>
        <v>0</v>
      </c>
    </row>
    <row r="80" ht="15.6" spans="1:92">
      <c r="A80" s="258" t="s">
        <v>145</v>
      </c>
      <c r="B80" s="258" t="s">
        <v>694</v>
      </c>
      <c r="C80" s="258"/>
      <c r="D80" s="373" t="s">
        <v>1390</v>
      </c>
      <c r="E80" s="258"/>
      <c r="F80" s="260" t="s">
        <v>60</v>
      </c>
      <c r="G80" s="343"/>
      <c r="H80" s="283">
        <f t="shared" si="10"/>
        <v>60099.4983333333</v>
      </c>
      <c r="I80" s="360"/>
      <c r="J80" s="351"/>
      <c r="K80" s="351"/>
      <c r="L80" s="351"/>
      <c r="M80" s="351"/>
      <c r="N80" s="352"/>
      <c r="O80" s="353"/>
      <c r="P80" s="353"/>
      <c r="Q80" s="353"/>
      <c r="R80" s="353"/>
      <c r="S80" s="353"/>
      <c r="T80" s="353"/>
      <c r="U80" s="353"/>
      <c r="V80" s="353"/>
      <c r="W80" s="353"/>
      <c r="X80" s="353"/>
      <c r="Y80" s="353"/>
      <c r="Z80" s="353"/>
      <c r="AA80" s="353"/>
      <c r="AB80" s="353"/>
      <c r="AC80" s="353"/>
      <c r="AD80" s="353"/>
      <c r="AE80" s="353"/>
      <c r="AF80" s="353"/>
      <c r="AG80" s="353"/>
      <c r="AH80" s="353"/>
      <c r="AI80" s="353">
        <v>40038</v>
      </c>
      <c r="AJ80" s="353">
        <v>61006</v>
      </c>
      <c r="AK80" s="283" t="s">
        <v>1391</v>
      </c>
      <c r="AL80" s="283">
        <v>61705</v>
      </c>
      <c r="AM80" s="283" t="s">
        <v>1392</v>
      </c>
      <c r="AN80" s="283" t="s">
        <v>1393</v>
      </c>
      <c r="AO80" s="283" t="s">
        <v>1394</v>
      </c>
      <c r="AP80" s="283">
        <v>45982</v>
      </c>
      <c r="AQ80" s="283" t="s">
        <v>1395</v>
      </c>
      <c r="AR80" s="283" t="s">
        <v>1396</v>
      </c>
      <c r="AS80" s="283" t="s">
        <v>1397</v>
      </c>
      <c r="AT80" s="283" t="s">
        <v>1398</v>
      </c>
      <c r="AU80" s="283" t="s">
        <v>1399</v>
      </c>
      <c r="AV80" s="283" t="s">
        <v>1400</v>
      </c>
      <c r="AW80" s="283">
        <f t="shared" si="8"/>
        <v>87956.6666666667</v>
      </c>
      <c r="AX80" s="283"/>
      <c r="AY80" s="283"/>
      <c r="AZ80" s="283"/>
      <c r="BA80" s="283"/>
      <c r="BB80" s="283"/>
      <c r="BC80" s="283"/>
      <c r="BD80" s="283"/>
      <c r="BE80" s="283"/>
      <c r="BF80" s="283"/>
      <c r="BG80" s="283"/>
      <c r="BH80" s="283"/>
      <c r="BI80" s="283"/>
      <c r="BJ80" s="283"/>
      <c r="BK80" s="283"/>
      <c r="BL80" s="283"/>
      <c r="BM80" s="283"/>
      <c r="BN80" s="283"/>
      <c r="BO80" s="283"/>
      <c r="BP80" s="283"/>
      <c r="BQ80" s="283"/>
      <c r="BR80" s="283"/>
      <c r="BS80" s="283"/>
      <c r="BT80" s="283"/>
      <c r="BU80" s="283"/>
      <c r="BV80" s="283"/>
      <c r="BW80" s="283">
        <v>40000</v>
      </c>
      <c r="BX80" s="283">
        <v>58000</v>
      </c>
      <c r="BY80" s="283">
        <v>58000</v>
      </c>
      <c r="BZ80" s="283">
        <v>26000</v>
      </c>
      <c r="CA80" s="283">
        <v>43100</v>
      </c>
      <c r="CB80" s="283">
        <v>34800</v>
      </c>
      <c r="CC80" s="283">
        <v>8500</v>
      </c>
      <c r="CD80" s="283">
        <v>9200</v>
      </c>
      <c r="CE80" s="283">
        <v>12800</v>
      </c>
      <c r="CF80" s="283">
        <v>8200</v>
      </c>
      <c r="CG80" s="283">
        <v>21800</v>
      </c>
      <c r="CH80" s="283">
        <v>49753.98</v>
      </c>
      <c r="CI80" s="283">
        <v>26100</v>
      </c>
      <c r="CJ80" s="283">
        <v>30500</v>
      </c>
      <c r="CK80" s="283">
        <f t="shared" si="9"/>
        <v>32242.33</v>
      </c>
      <c r="CL80" s="370"/>
      <c r="CM80" s="371">
        <f>Summary!$D$4</f>
        <v>1816871.23333333</v>
      </c>
      <c r="CN80" s="258">
        <f t="shared" si="5"/>
        <v>0</v>
      </c>
    </row>
    <row r="81" ht="15.6" spans="1:92">
      <c r="A81" s="258" t="s">
        <v>145</v>
      </c>
      <c r="B81" s="258" t="s">
        <v>694</v>
      </c>
      <c r="C81" s="258"/>
      <c r="D81" s="373" t="s">
        <v>1401</v>
      </c>
      <c r="E81" s="258"/>
      <c r="F81" s="260" t="s">
        <v>423</v>
      </c>
      <c r="G81" s="343"/>
      <c r="H81" s="283">
        <f t="shared" si="10"/>
        <v>76835.9466666667</v>
      </c>
      <c r="I81" s="360"/>
      <c r="J81" s="351"/>
      <c r="K81" s="351"/>
      <c r="L81" s="351"/>
      <c r="M81" s="351"/>
      <c r="N81" s="352"/>
      <c r="O81" s="353"/>
      <c r="P81" s="353"/>
      <c r="Q81" s="353"/>
      <c r="R81" s="353"/>
      <c r="S81" s="353"/>
      <c r="T81" s="353"/>
      <c r="U81" s="353"/>
      <c r="V81" s="353"/>
      <c r="W81" s="353"/>
      <c r="X81" s="353"/>
      <c r="Y81" s="353"/>
      <c r="Z81" s="353"/>
      <c r="AA81" s="353"/>
      <c r="AB81" s="353"/>
      <c r="AC81" s="353"/>
      <c r="AD81" s="353"/>
      <c r="AE81" s="353"/>
      <c r="AF81" s="353"/>
      <c r="AG81" s="353"/>
      <c r="AH81" s="353"/>
      <c r="AI81" s="353">
        <v>73959</v>
      </c>
      <c r="AJ81" s="353">
        <v>78210</v>
      </c>
      <c r="AK81" s="283">
        <v>97258</v>
      </c>
      <c r="AL81" s="283">
        <v>92329</v>
      </c>
      <c r="AM81" s="283" t="s">
        <v>1402</v>
      </c>
      <c r="AN81" s="283" t="s">
        <v>1403</v>
      </c>
      <c r="AO81" s="283" t="s">
        <v>1404</v>
      </c>
      <c r="AP81" s="283">
        <v>119387</v>
      </c>
      <c r="AQ81" s="283" t="s">
        <v>1405</v>
      </c>
      <c r="AR81" s="283" t="s">
        <v>1406</v>
      </c>
      <c r="AS81" s="283" t="s">
        <v>1407</v>
      </c>
      <c r="AT81" s="283" t="s">
        <v>1408</v>
      </c>
      <c r="AU81" s="283" t="s">
        <v>1409</v>
      </c>
      <c r="AV81" s="283" t="s">
        <v>1410</v>
      </c>
      <c r="AW81" s="283">
        <f t="shared" si="8"/>
        <v>102788</v>
      </c>
      <c r="AX81" s="283"/>
      <c r="AY81" s="283"/>
      <c r="AZ81" s="283"/>
      <c r="BA81" s="283"/>
      <c r="BB81" s="283"/>
      <c r="BC81" s="283"/>
      <c r="BD81" s="283"/>
      <c r="BE81" s="283"/>
      <c r="BF81" s="283"/>
      <c r="BG81" s="283"/>
      <c r="BH81" s="283"/>
      <c r="BI81" s="283"/>
      <c r="BJ81" s="283"/>
      <c r="BK81" s="283"/>
      <c r="BL81" s="283"/>
      <c r="BM81" s="283"/>
      <c r="BN81" s="283"/>
      <c r="BO81" s="283"/>
      <c r="BP81" s="283"/>
      <c r="BQ81" s="283"/>
      <c r="BR81" s="283"/>
      <c r="BS81" s="283"/>
      <c r="BT81" s="283"/>
      <c r="BU81" s="283"/>
      <c r="BV81" s="283"/>
      <c r="BW81" s="283">
        <v>15000</v>
      </c>
      <c r="BX81" s="283">
        <v>19500</v>
      </c>
      <c r="BY81" s="283">
        <v>19500</v>
      </c>
      <c r="BZ81" s="283">
        <v>13700</v>
      </c>
      <c r="CA81" s="283">
        <v>37365.76</v>
      </c>
      <c r="CB81" s="283">
        <v>45600</v>
      </c>
      <c r="CC81" s="283">
        <v>21000</v>
      </c>
      <c r="CD81" s="283">
        <v>19600</v>
      </c>
      <c r="CE81" s="283">
        <v>19600</v>
      </c>
      <c r="CF81" s="283">
        <v>41326.68</v>
      </c>
      <c r="CG81" s="283">
        <v>35000</v>
      </c>
      <c r="CH81" s="283">
        <v>41900</v>
      </c>
      <c r="CI81" s="283">
        <v>47251.68</v>
      </c>
      <c r="CJ81" s="283">
        <v>56300</v>
      </c>
      <c r="CK81" s="283">
        <f t="shared" si="9"/>
        <v>50883.8933333333</v>
      </c>
      <c r="CL81" s="370"/>
      <c r="CM81" s="371">
        <f>Summary!$D$4</f>
        <v>1816871.23333333</v>
      </c>
      <c r="CN81" s="258">
        <f t="shared" si="5"/>
        <v>0</v>
      </c>
    </row>
    <row r="82" ht="46.8" spans="1:92">
      <c r="A82" s="258" t="s">
        <v>145</v>
      </c>
      <c r="B82" s="258" t="s">
        <v>694</v>
      </c>
      <c r="C82" s="258" t="s">
        <v>230</v>
      </c>
      <c r="D82" s="373" t="s">
        <v>459</v>
      </c>
      <c r="E82" s="258" t="s">
        <v>233</v>
      </c>
      <c r="F82" s="260" t="s">
        <v>419</v>
      </c>
      <c r="G82" s="343"/>
      <c r="H82" s="283">
        <f>(AW82+CK82)/2*0.17</f>
        <v>13660.2791666667</v>
      </c>
      <c r="I82" s="292" t="s">
        <v>1180</v>
      </c>
      <c r="J82" s="351"/>
      <c r="K82" s="351"/>
      <c r="L82" s="351"/>
      <c r="M82" s="351"/>
      <c r="N82" s="352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>
        <v>177587</v>
      </c>
      <c r="AJ82" s="353">
        <v>122783</v>
      </c>
      <c r="AK82" s="283">
        <v>136385</v>
      </c>
      <c r="AL82" s="283">
        <v>113011</v>
      </c>
      <c r="AM82" s="283" t="s">
        <v>1181</v>
      </c>
      <c r="AN82" s="283" t="s">
        <v>1182</v>
      </c>
      <c r="AO82" s="283" t="s">
        <v>1183</v>
      </c>
      <c r="AP82" s="283">
        <v>155870</v>
      </c>
      <c r="AQ82" s="283" t="s">
        <v>1184</v>
      </c>
      <c r="AR82" s="283" t="s">
        <v>1185</v>
      </c>
      <c r="AS82" s="283" t="s">
        <v>1186</v>
      </c>
      <c r="AT82" s="283" t="s">
        <v>1187</v>
      </c>
      <c r="AU82" s="283" t="s">
        <v>1188</v>
      </c>
      <c r="AV82" s="283" t="s">
        <v>1189</v>
      </c>
      <c r="AW82" s="283">
        <f t="shared" si="8"/>
        <v>126679.166666667</v>
      </c>
      <c r="AX82" s="283"/>
      <c r="AY82" s="283"/>
      <c r="AZ82" s="283"/>
      <c r="BA82" s="283"/>
      <c r="BB82" s="283"/>
      <c r="BC82" s="283"/>
      <c r="BD82" s="283"/>
      <c r="BE82" s="283"/>
      <c r="BF82" s="283"/>
      <c r="BG82" s="283"/>
      <c r="BH82" s="283"/>
      <c r="BI82" s="283"/>
      <c r="BJ82" s="283"/>
      <c r="BK82" s="283"/>
      <c r="BL82" s="283"/>
      <c r="BM82" s="283"/>
      <c r="BN82" s="283"/>
      <c r="BO82" s="283"/>
      <c r="BP82" s="283"/>
      <c r="BQ82" s="283"/>
      <c r="BR82" s="283"/>
      <c r="BS82" s="283"/>
      <c r="BT82" s="283"/>
      <c r="BU82" s="283"/>
      <c r="BV82" s="283"/>
      <c r="BW82" s="283">
        <v>128000</v>
      </c>
      <c r="BX82" s="283">
        <v>101600</v>
      </c>
      <c r="BY82" s="283">
        <v>101600</v>
      </c>
      <c r="BZ82" s="283">
        <v>93900</v>
      </c>
      <c r="CA82" s="283">
        <v>108100</v>
      </c>
      <c r="CB82" s="283">
        <v>43100</v>
      </c>
      <c r="CC82" s="283">
        <v>27600</v>
      </c>
      <c r="CD82" s="283">
        <v>39400</v>
      </c>
      <c r="CE82" s="283">
        <v>51000</v>
      </c>
      <c r="CF82" s="283">
        <v>11100</v>
      </c>
      <c r="CG82" s="283">
        <v>51800</v>
      </c>
      <c r="CH82" s="283">
        <v>55100</v>
      </c>
      <c r="CI82" s="283">
        <v>28100</v>
      </c>
      <c r="CJ82" s="283">
        <v>30960</v>
      </c>
      <c r="CK82" s="283">
        <f t="shared" si="9"/>
        <v>34030</v>
      </c>
      <c r="CL82" s="370"/>
      <c r="CM82" s="371">
        <f>Summary!$D$4</f>
        <v>1816871.23333333</v>
      </c>
      <c r="CN82" s="258">
        <f t="shared" si="5"/>
        <v>0</v>
      </c>
    </row>
    <row r="83" ht="62.4" spans="1:92">
      <c r="A83" s="258" t="s">
        <v>145</v>
      </c>
      <c r="B83" s="258" t="s">
        <v>694</v>
      </c>
      <c r="C83" s="258"/>
      <c r="D83" s="373" t="s">
        <v>1154</v>
      </c>
      <c r="E83" s="349"/>
      <c r="F83" s="260" t="s">
        <v>234</v>
      </c>
      <c r="G83" s="343"/>
      <c r="H83" s="283">
        <f>(AW83+CK83)/2*0.14</f>
        <v>2336.75166666667</v>
      </c>
      <c r="I83" s="292" t="s">
        <v>1155</v>
      </c>
      <c r="J83" s="351"/>
      <c r="K83" s="351"/>
      <c r="L83" s="351"/>
      <c r="M83" s="351"/>
      <c r="N83" s="352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>
        <v>68772</v>
      </c>
      <c r="AJ83" s="353">
        <v>58235</v>
      </c>
      <c r="AK83" s="283">
        <v>62835</v>
      </c>
      <c r="AL83" s="283">
        <v>47902</v>
      </c>
      <c r="AM83" s="283" t="s">
        <v>1156</v>
      </c>
      <c r="AN83" s="283" t="s">
        <v>1157</v>
      </c>
      <c r="AO83" s="283" t="s">
        <v>1158</v>
      </c>
      <c r="AP83" s="283">
        <v>53801</v>
      </c>
      <c r="AQ83" s="283" t="s">
        <v>1159</v>
      </c>
      <c r="AR83" s="283" t="s">
        <v>1160</v>
      </c>
      <c r="AS83" s="283" t="s">
        <v>1161</v>
      </c>
      <c r="AT83" s="283" t="s">
        <v>1162</v>
      </c>
      <c r="AU83" s="283" t="s">
        <v>1163</v>
      </c>
      <c r="AV83" s="283" t="s">
        <v>1164</v>
      </c>
      <c r="AW83" s="283">
        <f t="shared" si="8"/>
        <v>26032.1666666667</v>
      </c>
      <c r="AX83" s="283"/>
      <c r="AY83" s="283"/>
      <c r="AZ83" s="283"/>
      <c r="BA83" s="283"/>
      <c r="BB83" s="283"/>
      <c r="BC83" s="283"/>
      <c r="BD83" s="283"/>
      <c r="BE83" s="283"/>
      <c r="BF83" s="283"/>
      <c r="BG83" s="283"/>
      <c r="BH83" s="283"/>
      <c r="BI83" s="283"/>
      <c r="BJ83" s="283"/>
      <c r="BK83" s="283"/>
      <c r="BL83" s="283"/>
      <c r="BM83" s="283"/>
      <c r="BN83" s="283"/>
      <c r="BO83" s="283"/>
      <c r="BP83" s="283"/>
      <c r="BQ83" s="283"/>
      <c r="BR83" s="283"/>
      <c r="BS83" s="283"/>
      <c r="BT83" s="283"/>
      <c r="BU83" s="283"/>
      <c r="BV83" s="283"/>
      <c r="BW83" s="283">
        <v>34000</v>
      </c>
      <c r="BX83" s="283">
        <v>88800</v>
      </c>
      <c r="BY83" s="283">
        <v>88800</v>
      </c>
      <c r="BZ83" s="283">
        <v>26600</v>
      </c>
      <c r="CA83" s="283">
        <v>29800</v>
      </c>
      <c r="CB83" s="283">
        <v>32600</v>
      </c>
      <c r="CC83" s="283">
        <v>73700</v>
      </c>
      <c r="CD83" s="283">
        <v>50400</v>
      </c>
      <c r="CE83" s="283">
        <v>50400</v>
      </c>
      <c r="CF83" s="283">
        <v>14500</v>
      </c>
      <c r="CG83" s="283">
        <v>3000</v>
      </c>
      <c r="CH83" s="283">
        <v>12900</v>
      </c>
      <c r="CI83" s="283">
        <v>4800</v>
      </c>
      <c r="CJ83" s="283">
        <v>7200</v>
      </c>
      <c r="CK83" s="283">
        <f t="shared" si="9"/>
        <v>7350</v>
      </c>
      <c r="CL83" s="370"/>
      <c r="CM83" s="371">
        <f>Summary!$D$4</f>
        <v>1816871.23333333</v>
      </c>
      <c r="CN83" s="258">
        <f t="shared" si="5"/>
        <v>0</v>
      </c>
    </row>
    <row r="84" ht="15.6" spans="1:92">
      <c r="A84" s="344" t="s">
        <v>145</v>
      </c>
      <c r="B84" s="344" t="s">
        <v>683</v>
      </c>
      <c r="C84" s="344" t="s">
        <v>227</v>
      </c>
      <c r="D84" s="344" t="s">
        <v>1411</v>
      </c>
      <c r="E84" s="344" t="s">
        <v>233</v>
      </c>
      <c r="F84" s="344" t="s">
        <v>49</v>
      </c>
      <c r="G84" s="345"/>
      <c r="H84" s="345">
        <f>(AW84+CK84)/2</f>
        <v>0</v>
      </c>
      <c r="I84" s="292"/>
      <c r="J84" s="351">
        <v>38511</v>
      </c>
      <c r="K84" s="351">
        <v>37389</v>
      </c>
      <c r="L84" s="351">
        <v>37183</v>
      </c>
      <c r="M84" s="351">
        <v>35334</v>
      </c>
      <c r="N84" s="352">
        <v>37072</v>
      </c>
      <c r="O84" s="353">
        <v>30705</v>
      </c>
      <c r="P84" s="353">
        <v>35529</v>
      </c>
      <c r="Q84" s="353">
        <v>51274</v>
      </c>
      <c r="R84" s="353">
        <v>44452</v>
      </c>
      <c r="S84" s="353">
        <v>62009</v>
      </c>
      <c r="T84" s="353">
        <v>62998</v>
      </c>
      <c r="U84" s="353" t="e">
        <f>VLOOKUP(D84,Mid!$A$2:$C$225,2,FALSE)</f>
        <v>#N/A</v>
      </c>
      <c r="V84" s="353">
        <v>70401</v>
      </c>
      <c r="W84" s="353">
        <v>63689</v>
      </c>
      <c r="X84" s="353">
        <v>73462</v>
      </c>
      <c r="Y84" s="353">
        <v>76988</v>
      </c>
      <c r="Z84" s="353">
        <v>77710</v>
      </c>
      <c r="AA84" s="353">
        <v>93585</v>
      </c>
      <c r="AB84" s="353">
        <v>71151</v>
      </c>
      <c r="AC84" s="353">
        <v>68168</v>
      </c>
      <c r="AD84" s="353">
        <v>6663</v>
      </c>
      <c r="AE84" s="353">
        <v>544</v>
      </c>
      <c r="AF84" s="353">
        <v>0</v>
      </c>
      <c r="AG84" s="353">
        <v>0</v>
      </c>
      <c r="AH84" s="353">
        <v>1042</v>
      </c>
      <c r="AI84" s="353">
        <v>0</v>
      </c>
      <c r="AJ84" s="353">
        <v>6309</v>
      </c>
      <c r="AK84" s="283" t="s">
        <v>1412</v>
      </c>
      <c r="AL84" s="283">
        <v>0</v>
      </c>
      <c r="AM84" s="283" t="s">
        <v>796</v>
      </c>
      <c r="AN84" s="283" t="s">
        <v>1413</v>
      </c>
      <c r="AO84" s="283" t="s">
        <v>796</v>
      </c>
      <c r="AP84" s="283">
        <v>0</v>
      </c>
      <c r="AQ84" s="283" t="s">
        <v>796</v>
      </c>
      <c r="AR84" s="283" t="s">
        <v>796</v>
      </c>
      <c r="AS84" s="283" t="s">
        <v>796</v>
      </c>
      <c r="AT84" s="283" t="s">
        <v>796</v>
      </c>
      <c r="AU84" s="283" t="s">
        <v>796</v>
      </c>
      <c r="AV84" s="283" t="s">
        <v>796</v>
      </c>
      <c r="AW84" s="283">
        <f t="shared" si="8"/>
        <v>0</v>
      </c>
      <c r="AX84" s="283">
        <v>15300</v>
      </c>
      <c r="AY84" s="283">
        <v>21000</v>
      </c>
      <c r="AZ84" s="283">
        <v>27200</v>
      </c>
      <c r="BA84" s="283">
        <v>26900</v>
      </c>
      <c r="BB84" s="283">
        <v>26300</v>
      </c>
      <c r="BC84" s="283">
        <v>25900</v>
      </c>
      <c r="BD84" s="283">
        <v>28200</v>
      </c>
      <c r="BE84" s="283">
        <v>33400</v>
      </c>
      <c r="BF84" s="283">
        <v>22800</v>
      </c>
      <c r="BG84" s="283">
        <v>36600</v>
      </c>
      <c r="BH84" s="283">
        <v>27200</v>
      </c>
      <c r="BI84" s="283" t="e">
        <f>VLOOKUP(D84,Mid!$A$2:$C$225,3,FALSE)</f>
        <v>#N/A</v>
      </c>
      <c r="BJ84" s="283">
        <v>18800</v>
      </c>
      <c r="BK84" s="283">
        <v>27400</v>
      </c>
      <c r="BL84" s="283">
        <v>23700</v>
      </c>
      <c r="BM84" s="283">
        <v>66400</v>
      </c>
      <c r="BN84" s="283">
        <v>65500</v>
      </c>
      <c r="BO84" s="283">
        <v>56900</v>
      </c>
      <c r="BP84" s="283">
        <v>84700</v>
      </c>
      <c r="BQ84" s="283">
        <v>57700</v>
      </c>
      <c r="BR84" s="283">
        <v>5900</v>
      </c>
      <c r="BS84" s="283">
        <v>0</v>
      </c>
      <c r="BT84" s="283">
        <v>9500</v>
      </c>
      <c r="BU84" s="283">
        <v>0</v>
      </c>
      <c r="BV84" s="283">
        <v>0</v>
      </c>
      <c r="BW84" s="283">
        <v>0</v>
      </c>
      <c r="BX84" s="283">
        <v>21</v>
      </c>
      <c r="BY84" s="283">
        <v>0</v>
      </c>
      <c r="BZ84" s="283">
        <v>0</v>
      </c>
      <c r="CA84" s="283">
        <v>0</v>
      </c>
      <c r="CB84" s="283">
        <v>0</v>
      </c>
      <c r="CC84" s="283">
        <v>0</v>
      </c>
      <c r="CD84" s="283">
        <v>0</v>
      </c>
      <c r="CE84" s="283">
        <v>0</v>
      </c>
      <c r="CF84" s="283">
        <v>0</v>
      </c>
      <c r="CG84" s="283">
        <v>0</v>
      </c>
      <c r="CH84" s="283">
        <v>0</v>
      </c>
      <c r="CI84" s="283">
        <v>0</v>
      </c>
      <c r="CJ84" s="283">
        <v>0</v>
      </c>
      <c r="CK84" s="283">
        <f t="shared" si="9"/>
        <v>0</v>
      </c>
      <c r="CL84" s="370"/>
      <c r="CM84" s="371">
        <f>Summary!$D$4</f>
        <v>1816871.23333333</v>
      </c>
      <c r="CN84" s="258">
        <f t="shared" si="5"/>
        <v>0</v>
      </c>
    </row>
    <row r="85" ht="15.6" spans="1:92">
      <c r="A85" s="258" t="s">
        <v>145</v>
      </c>
      <c r="B85" s="258" t="s">
        <v>694</v>
      </c>
      <c r="C85" s="258" t="s">
        <v>230</v>
      </c>
      <c r="D85" s="258" t="s">
        <v>1414</v>
      </c>
      <c r="E85" s="258" t="s">
        <v>233</v>
      </c>
      <c r="F85" s="260" t="s">
        <v>250</v>
      </c>
      <c r="G85" s="343"/>
      <c r="H85" s="283">
        <f>(AW85+CK85)/2</f>
        <v>40778.2333333334</v>
      </c>
      <c r="I85" s="292"/>
      <c r="J85" s="351">
        <v>50154</v>
      </c>
      <c r="K85" s="351">
        <v>53222</v>
      </c>
      <c r="L85" s="351">
        <v>52216</v>
      </c>
      <c r="M85" s="351">
        <v>74545</v>
      </c>
      <c r="N85" s="352">
        <v>64766</v>
      </c>
      <c r="O85" s="353">
        <v>97874</v>
      </c>
      <c r="P85" s="353">
        <v>126708</v>
      </c>
      <c r="Q85" s="353">
        <v>52673</v>
      </c>
      <c r="R85" s="353">
        <v>125328</v>
      </c>
      <c r="S85" s="353">
        <v>87365</v>
      </c>
      <c r="T85" s="353">
        <v>56052</v>
      </c>
      <c r="U85" s="353" t="e">
        <f>VLOOKUP(D85,Mid!$A$2:$C$225,2,FALSE)</f>
        <v>#N/A</v>
      </c>
      <c r="V85" s="353">
        <v>35912</v>
      </c>
      <c r="W85" s="353">
        <v>27545</v>
      </c>
      <c r="X85" s="353">
        <v>47694</v>
      </c>
      <c r="Y85" s="353">
        <v>72448</v>
      </c>
      <c r="Z85" s="353">
        <v>50312</v>
      </c>
      <c r="AA85" s="353">
        <v>87744</v>
      </c>
      <c r="AB85" s="353">
        <v>66663</v>
      </c>
      <c r="AC85" s="353">
        <v>72461</v>
      </c>
      <c r="AD85" s="353">
        <v>69210</v>
      </c>
      <c r="AE85" s="353">
        <v>46748</v>
      </c>
      <c r="AF85" s="353">
        <v>57049</v>
      </c>
      <c r="AG85" s="353">
        <v>50808</v>
      </c>
      <c r="AH85" s="353">
        <v>54324</v>
      </c>
      <c r="AI85" s="353">
        <v>37460</v>
      </c>
      <c r="AJ85" s="353">
        <v>62363</v>
      </c>
      <c r="AK85" s="283" t="s">
        <v>1415</v>
      </c>
      <c r="AL85" s="283">
        <v>33853</v>
      </c>
      <c r="AM85" s="283" t="s">
        <v>1416</v>
      </c>
      <c r="AN85" s="283" t="s">
        <v>1417</v>
      </c>
      <c r="AO85" s="283" t="s">
        <v>1418</v>
      </c>
      <c r="AP85" s="283">
        <v>35659</v>
      </c>
      <c r="AQ85" s="283" t="s">
        <v>1419</v>
      </c>
      <c r="AR85" s="283" t="s">
        <v>1420</v>
      </c>
      <c r="AS85" s="283" t="s">
        <v>1421</v>
      </c>
      <c r="AT85" s="283" t="s">
        <v>1422</v>
      </c>
      <c r="AU85" s="283" t="s">
        <v>1423</v>
      </c>
      <c r="AV85" s="283" t="s">
        <v>1424</v>
      </c>
      <c r="AW85" s="283">
        <f t="shared" si="8"/>
        <v>50507.5</v>
      </c>
      <c r="AX85" s="283">
        <v>55900</v>
      </c>
      <c r="AY85" s="283">
        <v>59400</v>
      </c>
      <c r="AZ85" s="283">
        <v>51000</v>
      </c>
      <c r="BA85" s="283">
        <v>52400</v>
      </c>
      <c r="BB85" s="283">
        <v>53800</v>
      </c>
      <c r="BC85" s="283">
        <v>57900</v>
      </c>
      <c r="BD85" s="283">
        <v>58600</v>
      </c>
      <c r="BE85" s="283">
        <v>58200</v>
      </c>
      <c r="BF85" s="283">
        <v>61500</v>
      </c>
      <c r="BG85" s="283">
        <v>49000</v>
      </c>
      <c r="BH85" s="283">
        <v>27700</v>
      </c>
      <c r="BI85" s="283" t="e">
        <f>VLOOKUP(D85,Mid!$A$2:$C$225,3,FALSE)</f>
        <v>#N/A</v>
      </c>
      <c r="BJ85" s="283">
        <v>19400</v>
      </c>
      <c r="BK85" s="283">
        <v>40300</v>
      </c>
      <c r="BL85" s="283">
        <v>31700</v>
      </c>
      <c r="BM85" s="283">
        <v>33500</v>
      </c>
      <c r="BN85" s="283">
        <v>23500</v>
      </c>
      <c r="BO85" s="283">
        <v>17800</v>
      </c>
      <c r="BP85" s="283">
        <v>22500</v>
      </c>
      <c r="BQ85" s="283">
        <v>27600</v>
      </c>
      <c r="BR85" s="283">
        <v>36800</v>
      </c>
      <c r="BS85" s="283">
        <v>21400</v>
      </c>
      <c r="BT85" s="283">
        <v>25400</v>
      </c>
      <c r="BU85" s="283">
        <v>37500</v>
      </c>
      <c r="BV85" s="283">
        <v>54000</v>
      </c>
      <c r="BW85" s="283">
        <v>78800</v>
      </c>
      <c r="BX85" s="283">
        <v>75500</v>
      </c>
      <c r="BY85" s="283">
        <v>75500</v>
      </c>
      <c r="BZ85" s="283">
        <v>41900</v>
      </c>
      <c r="CA85" s="283">
        <v>14900</v>
      </c>
      <c r="CB85" s="283">
        <v>30900</v>
      </c>
      <c r="CC85" s="283">
        <v>18500</v>
      </c>
      <c r="CD85" s="283">
        <v>15000</v>
      </c>
      <c r="CE85" s="283">
        <v>15000</v>
      </c>
      <c r="CF85" s="283">
        <v>14943</v>
      </c>
      <c r="CG85" s="283">
        <v>59976.54</v>
      </c>
      <c r="CH85" s="283">
        <v>13700</v>
      </c>
      <c r="CI85" s="283">
        <v>45796.9</v>
      </c>
      <c r="CJ85" s="283">
        <v>27000</v>
      </c>
      <c r="CK85" s="283">
        <f t="shared" si="9"/>
        <v>31048.9666666667</v>
      </c>
      <c r="CL85" s="370"/>
      <c r="CM85" s="371">
        <f>Summary!$D$4</f>
        <v>1816871.23333333</v>
      </c>
      <c r="CN85" s="258">
        <f t="shared" si="5"/>
        <v>0</v>
      </c>
    </row>
    <row r="86" ht="15.6" spans="1:92">
      <c r="A86" s="258" t="s">
        <v>145</v>
      </c>
      <c r="B86" s="258" t="s">
        <v>694</v>
      </c>
      <c r="C86" s="258" t="s">
        <v>230</v>
      </c>
      <c r="D86" s="258" t="s">
        <v>1425</v>
      </c>
      <c r="E86" s="258" t="s">
        <v>233</v>
      </c>
      <c r="F86" s="260" t="s">
        <v>60</v>
      </c>
      <c r="G86" s="343"/>
      <c r="H86" s="283">
        <f>(AW86+CK86)/2</f>
        <v>13222.4733333333</v>
      </c>
      <c r="I86" s="292"/>
      <c r="J86" s="351">
        <v>23878</v>
      </c>
      <c r="K86" s="351">
        <v>27659</v>
      </c>
      <c r="L86" s="351">
        <v>33874</v>
      </c>
      <c r="M86" s="351">
        <v>43294</v>
      </c>
      <c r="N86" s="352">
        <v>22091</v>
      </c>
      <c r="O86" s="353">
        <v>37438</v>
      </c>
      <c r="P86" s="353">
        <v>47319</v>
      </c>
      <c r="Q86" s="353">
        <v>68392</v>
      </c>
      <c r="R86" s="353">
        <v>37934</v>
      </c>
      <c r="S86" s="353">
        <v>27122</v>
      </c>
      <c r="T86" s="353">
        <v>30195</v>
      </c>
      <c r="U86" s="353" t="e">
        <f>VLOOKUP(D86,Mid!$A$2:$C$225,2,FALSE)</f>
        <v>#N/A</v>
      </c>
      <c r="V86" s="353">
        <v>29857</v>
      </c>
      <c r="W86" s="353">
        <v>28272</v>
      </c>
      <c r="X86" s="353">
        <v>18065</v>
      </c>
      <c r="Y86" s="353">
        <v>27841</v>
      </c>
      <c r="Z86" s="353">
        <v>29100</v>
      </c>
      <c r="AA86" s="353">
        <v>35519</v>
      </c>
      <c r="AB86" s="353">
        <v>22554</v>
      </c>
      <c r="AC86" s="353">
        <v>33670</v>
      </c>
      <c r="AD86" s="353">
        <v>45963</v>
      </c>
      <c r="AE86" s="353">
        <v>31810</v>
      </c>
      <c r="AF86" s="353">
        <v>28674</v>
      </c>
      <c r="AG86" s="353">
        <v>27533</v>
      </c>
      <c r="AH86" s="353">
        <v>27977</v>
      </c>
      <c r="AI86" s="353">
        <v>37817</v>
      </c>
      <c r="AJ86" s="283">
        <v>32953</v>
      </c>
      <c r="AK86" s="283" t="s">
        <v>1426</v>
      </c>
      <c r="AL86" s="283">
        <v>33957</v>
      </c>
      <c r="AM86" s="283" t="s">
        <v>1427</v>
      </c>
      <c r="AN86" s="283" t="s">
        <v>1428</v>
      </c>
      <c r="AO86" s="283" t="s">
        <v>1429</v>
      </c>
      <c r="AP86" s="283">
        <v>30275</v>
      </c>
      <c r="AQ86" s="283" t="s">
        <v>1430</v>
      </c>
      <c r="AR86" s="283" t="s">
        <v>1431</v>
      </c>
      <c r="AS86" s="283" t="s">
        <v>1432</v>
      </c>
      <c r="AT86" s="283" t="s">
        <v>1433</v>
      </c>
      <c r="AU86" s="283" t="s">
        <v>1434</v>
      </c>
      <c r="AV86" s="283" t="s">
        <v>1435</v>
      </c>
      <c r="AW86" s="283">
        <f t="shared" si="8"/>
        <v>17752</v>
      </c>
      <c r="AX86" s="283">
        <v>0</v>
      </c>
      <c r="AY86" s="283">
        <v>0</v>
      </c>
      <c r="AZ86" s="283">
        <v>0</v>
      </c>
      <c r="BA86" s="283">
        <v>0</v>
      </c>
      <c r="BB86" s="283">
        <v>0</v>
      </c>
      <c r="BC86" s="283">
        <v>14800</v>
      </c>
      <c r="BD86" s="283">
        <v>8400</v>
      </c>
      <c r="BE86" s="283">
        <v>11500</v>
      </c>
      <c r="BF86" s="283">
        <v>17800</v>
      </c>
      <c r="BG86" s="283">
        <v>12800</v>
      </c>
      <c r="BH86" s="283">
        <v>11800</v>
      </c>
      <c r="BI86" s="283" t="e">
        <f>VLOOKUP(D86,Mid!$A$2:$C$225,3,FALSE)</f>
        <v>#N/A</v>
      </c>
      <c r="BJ86" s="283">
        <v>6200</v>
      </c>
      <c r="BK86" s="283">
        <v>10400</v>
      </c>
      <c r="BL86" s="283">
        <v>10300</v>
      </c>
      <c r="BM86" s="283">
        <v>41900</v>
      </c>
      <c r="BN86" s="283">
        <v>33500</v>
      </c>
      <c r="BO86" s="283">
        <v>52300</v>
      </c>
      <c r="BP86" s="283">
        <v>40800</v>
      </c>
      <c r="BQ86" s="283">
        <v>34400</v>
      </c>
      <c r="BR86" s="283">
        <v>32500</v>
      </c>
      <c r="BS86" s="283">
        <v>33100</v>
      </c>
      <c r="BT86" s="283">
        <v>48800</v>
      </c>
      <c r="BU86" s="283">
        <v>8700</v>
      </c>
      <c r="BV86" s="283">
        <v>14800</v>
      </c>
      <c r="BW86" s="283">
        <v>50000</v>
      </c>
      <c r="BX86" s="283">
        <v>33400</v>
      </c>
      <c r="BY86" s="283">
        <v>33400</v>
      </c>
      <c r="BZ86" s="283">
        <v>5400</v>
      </c>
      <c r="CA86" s="283">
        <v>20971.2</v>
      </c>
      <c r="CB86" s="283">
        <v>9100</v>
      </c>
      <c r="CC86" s="283">
        <v>49500</v>
      </c>
      <c r="CD86" s="283">
        <v>49400</v>
      </c>
      <c r="CE86" s="283">
        <v>49400</v>
      </c>
      <c r="CF86" s="283">
        <v>47100</v>
      </c>
      <c r="CG86" s="283">
        <v>51700</v>
      </c>
      <c r="CH86" s="283">
        <v>10000</v>
      </c>
      <c r="CI86" s="283">
        <v>13278.84</v>
      </c>
      <c r="CJ86" s="283">
        <v>5200</v>
      </c>
      <c r="CK86" s="283">
        <f t="shared" si="9"/>
        <v>8692.94666666667</v>
      </c>
      <c r="CL86" s="370"/>
      <c r="CM86" s="371">
        <f>Summary!$D$4</f>
        <v>1816871.23333333</v>
      </c>
      <c r="CN86" s="258">
        <f t="shared" si="5"/>
        <v>0</v>
      </c>
    </row>
    <row r="87" ht="15.6" spans="1:92">
      <c r="A87" s="258" t="s">
        <v>145</v>
      </c>
      <c r="B87" s="258" t="s">
        <v>694</v>
      </c>
      <c r="C87" s="258" t="s">
        <v>446</v>
      </c>
      <c r="D87" s="258" t="s">
        <v>1436</v>
      </c>
      <c r="E87" s="258" t="s">
        <v>233</v>
      </c>
      <c r="F87" s="260" t="s">
        <v>266</v>
      </c>
      <c r="G87" s="343"/>
      <c r="H87" s="283">
        <f>(AW87+CK87)/2</f>
        <v>4429.08333333333</v>
      </c>
      <c r="I87" s="292"/>
      <c r="J87" s="351">
        <v>2984</v>
      </c>
      <c r="K87" s="351">
        <v>8023</v>
      </c>
      <c r="L87" s="351">
        <v>8997</v>
      </c>
      <c r="M87" s="351">
        <v>6637</v>
      </c>
      <c r="N87" s="352">
        <v>6600</v>
      </c>
      <c r="O87" s="353">
        <v>4560</v>
      </c>
      <c r="P87" s="353">
        <v>10587</v>
      </c>
      <c r="Q87" s="353">
        <v>11055</v>
      </c>
      <c r="R87" s="353">
        <v>9639</v>
      </c>
      <c r="S87" s="353">
        <v>18296</v>
      </c>
      <c r="T87" s="353">
        <v>14263</v>
      </c>
      <c r="U87" s="353" t="e">
        <f>VLOOKUP(D87,Mid!$A$2:$C$225,2,FALSE)</f>
        <v>#N/A</v>
      </c>
      <c r="V87" s="353">
        <v>7462</v>
      </c>
      <c r="W87" s="353">
        <v>12627</v>
      </c>
      <c r="X87" s="353">
        <v>13432</v>
      </c>
      <c r="Y87" s="353">
        <v>11065</v>
      </c>
      <c r="Z87" s="353">
        <v>29311</v>
      </c>
      <c r="AA87" s="353">
        <v>25912</v>
      </c>
      <c r="AB87" s="353">
        <v>17649</v>
      </c>
      <c r="AC87" s="353">
        <v>17481</v>
      </c>
      <c r="AD87" s="353">
        <v>28837</v>
      </c>
      <c r="AE87" s="353">
        <v>19209</v>
      </c>
      <c r="AF87" s="353">
        <v>17195</v>
      </c>
      <c r="AG87" s="353">
        <v>19895</v>
      </c>
      <c r="AH87" s="353">
        <v>25170</v>
      </c>
      <c r="AI87" s="353">
        <v>19439</v>
      </c>
      <c r="AJ87" s="283">
        <v>18792</v>
      </c>
      <c r="AK87" s="283" t="s">
        <v>1437</v>
      </c>
      <c r="AL87" s="283">
        <v>4723</v>
      </c>
      <c r="AM87" s="283" t="s">
        <v>1438</v>
      </c>
      <c r="AN87" s="283" t="s">
        <v>1439</v>
      </c>
      <c r="AO87" s="283" t="s">
        <v>1440</v>
      </c>
      <c r="AP87" s="283">
        <v>14062</v>
      </c>
      <c r="AQ87" s="283" t="s">
        <v>1441</v>
      </c>
      <c r="AR87" s="283" t="s">
        <v>1442</v>
      </c>
      <c r="AS87" s="283" t="s">
        <v>1443</v>
      </c>
      <c r="AT87" s="283" t="s">
        <v>1444</v>
      </c>
      <c r="AU87" s="283" t="s">
        <v>1445</v>
      </c>
      <c r="AV87" s="283" t="s">
        <v>1446</v>
      </c>
      <c r="AW87" s="283">
        <f t="shared" si="8"/>
        <v>5022.66666666667</v>
      </c>
      <c r="AX87" s="283">
        <v>14800</v>
      </c>
      <c r="AY87" s="283">
        <v>14900</v>
      </c>
      <c r="AZ87" s="283">
        <v>5000</v>
      </c>
      <c r="BA87" s="283">
        <v>5500</v>
      </c>
      <c r="BB87" s="283">
        <v>5300</v>
      </c>
      <c r="BC87" s="283">
        <v>9200</v>
      </c>
      <c r="BD87" s="283">
        <v>4800</v>
      </c>
      <c r="BE87" s="283">
        <v>11700</v>
      </c>
      <c r="BF87" s="283">
        <v>35100</v>
      </c>
      <c r="BG87" s="283">
        <v>14800</v>
      </c>
      <c r="BH87" s="283">
        <v>15400</v>
      </c>
      <c r="BI87" s="283" t="e">
        <f>VLOOKUP(D87,Mid!$A$2:$C$225,3,FALSE)</f>
        <v>#N/A</v>
      </c>
      <c r="BJ87" s="283">
        <v>22800</v>
      </c>
      <c r="BK87" s="283">
        <v>6800</v>
      </c>
      <c r="BL87" s="283">
        <v>10600</v>
      </c>
      <c r="BM87" s="283">
        <v>10600</v>
      </c>
      <c r="BN87" s="283">
        <v>15300</v>
      </c>
      <c r="BO87" s="283">
        <v>15200</v>
      </c>
      <c r="BP87" s="283">
        <v>12200</v>
      </c>
      <c r="BQ87" s="283">
        <v>9000</v>
      </c>
      <c r="BR87" s="283">
        <v>28400</v>
      </c>
      <c r="BS87" s="283">
        <v>18880</v>
      </c>
      <c r="BT87" s="283">
        <v>19400</v>
      </c>
      <c r="BU87" s="283">
        <v>17300</v>
      </c>
      <c r="BV87" s="283">
        <v>8000</v>
      </c>
      <c r="BW87" s="283">
        <v>10700</v>
      </c>
      <c r="BX87" s="283">
        <v>38000</v>
      </c>
      <c r="BY87" s="283">
        <v>38000</v>
      </c>
      <c r="BZ87" s="283">
        <v>24700</v>
      </c>
      <c r="CA87" s="283">
        <v>6000</v>
      </c>
      <c r="CB87" s="283">
        <v>11200</v>
      </c>
      <c r="CC87" s="283">
        <v>6700</v>
      </c>
      <c r="CD87" s="283">
        <v>988</v>
      </c>
      <c r="CE87" s="283">
        <v>988</v>
      </c>
      <c r="CF87" s="283">
        <v>878</v>
      </c>
      <c r="CG87" s="283">
        <v>1100</v>
      </c>
      <c r="CH87" s="283">
        <v>513</v>
      </c>
      <c r="CI87" s="283">
        <v>1500</v>
      </c>
      <c r="CJ87" s="283">
        <v>6500</v>
      </c>
      <c r="CK87" s="283">
        <f t="shared" si="9"/>
        <v>3835.5</v>
      </c>
      <c r="CL87" s="370"/>
      <c r="CM87" s="371">
        <f>Summary!$D$4</f>
        <v>1816871.23333333</v>
      </c>
      <c r="CN87" s="258">
        <f t="shared" si="5"/>
        <v>0</v>
      </c>
    </row>
    <row r="88" ht="15.6" spans="1:92">
      <c r="A88" s="258" t="s">
        <v>145</v>
      </c>
      <c r="B88" s="258" t="s">
        <v>694</v>
      </c>
      <c r="C88" s="258" t="s">
        <v>1447</v>
      </c>
      <c r="D88" s="258" t="s">
        <v>1448</v>
      </c>
      <c r="E88" s="258" t="s">
        <v>233</v>
      </c>
      <c r="F88" s="260" t="s">
        <v>234</v>
      </c>
      <c r="G88" s="343"/>
      <c r="H88" s="283">
        <f>(AW88+CK88)/2</f>
        <v>69.25</v>
      </c>
      <c r="I88" s="292"/>
      <c r="J88" s="351">
        <v>23821</v>
      </c>
      <c r="K88" s="351">
        <v>44245</v>
      </c>
      <c r="L88" s="351">
        <v>15919</v>
      </c>
      <c r="M88" s="351">
        <v>39657</v>
      </c>
      <c r="N88" s="352">
        <v>23108</v>
      </c>
      <c r="O88" s="353">
        <v>10556</v>
      </c>
      <c r="P88" s="353">
        <v>11829</v>
      </c>
      <c r="Q88" s="353">
        <v>6501</v>
      </c>
      <c r="R88" s="353">
        <v>5268</v>
      </c>
      <c r="S88" s="353">
        <v>7100</v>
      </c>
      <c r="T88" s="353">
        <v>7825</v>
      </c>
      <c r="U88" s="353" t="e">
        <f>VLOOKUP(D88,Mid!$A$2:$C$225,2,FALSE)</f>
        <v>#N/A</v>
      </c>
      <c r="V88" s="353">
        <v>3255</v>
      </c>
      <c r="W88" s="353">
        <v>7916</v>
      </c>
      <c r="X88" s="353">
        <v>1184</v>
      </c>
      <c r="Y88" s="353">
        <v>4117</v>
      </c>
      <c r="Z88" s="353">
        <v>4488</v>
      </c>
      <c r="AA88" s="353">
        <v>1706</v>
      </c>
      <c r="AB88" s="353">
        <v>3910</v>
      </c>
      <c r="AC88" s="353">
        <v>1901</v>
      </c>
      <c r="AD88" s="353">
        <v>9986</v>
      </c>
      <c r="AE88" s="353">
        <v>4442</v>
      </c>
      <c r="AF88" s="353">
        <v>3584</v>
      </c>
      <c r="AG88" s="353">
        <v>428</v>
      </c>
      <c r="AH88" s="353">
        <v>4493</v>
      </c>
      <c r="AI88" s="353">
        <v>4890</v>
      </c>
      <c r="AJ88" s="353">
        <v>2172</v>
      </c>
      <c r="AK88" s="283" t="s">
        <v>1449</v>
      </c>
      <c r="AL88" s="283">
        <v>1788</v>
      </c>
      <c r="AM88" s="283" t="s">
        <v>1450</v>
      </c>
      <c r="AN88" s="283" t="s">
        <v>1451</v>
      </c>
      <c r="AO88" s="283" t="s">
        <v>1452</v>
      </c>
      <c r="AP88" s="283">
        <v>0</v>
      </c>
      <c r="AQ88" s="283" t="s">
        <v>1453</v>
      </c>
      <c r="AR88" s="283" t="s">
        <v>1454</v>
      </c>
      <c r="AS88" s="283" t="s">
        <v>1455</v>
      </c>
      <c r="AT88" s="283" t="s">
        <v>1456</v>
      </c>
      <c r="AU88" s="283" t="s">
        <v>796</v>
      </c>
      <c r="AV88" s="283" t="s">
        <v>796</v>
      </c>
      <c r="AW88" s="283">
        <f t="shared" si="8"/>
        <v>138.5</v>
      </c>
      <c r="AX88" s="283">
        <v>21500</v>
      </c>
      <c r="AY88" s="283">
        <v>27100</v>
      </c>
      <c r="AZ88" s="283">
        <v>19100</v>
      </c>
      <c r="BA88" s="283">
        <v>21400</v>
      </c>
      <c r="BB88" s="283">
        <v>27400</v>
      </c>
      <c r="BC88" s="283">
        <v>23200</v>
      </c>
      <c r="BD88" s="283">
        <v>19600</v>
      </c>
      <c r="BE88" s="283">
        <v>14300</v>
      </c>
      <c r="BF88" s="283">
        <v>6700</v>
      </c>
      <c r="BG88" s="283">
        <v>7200</v>
      </c>
      <c r="BH88" s="283">
        <v>11900</v>
      </c>
      <c r="BI88" s="283" t="e">
        <f>VLOOKUP(D88,Mid!$A$2:$C$225,3,FALSE)</f>
        <v>#N/A</v>
      </c>
      <c r="BJ88" s="283">
        <v>1500</v>
      </c>
      <c r="BK88" s="283">
        <v>8500</v>
      </c>
      <c r="BL88" s="283">
        <v>177</v>
      </c>
      <c r="BM88" s="283">
        <v>13300</v>
      </c>
      <c r="BN88" s="283">
        <v>11200</v>
      </c>
      <c r="BO88" s="283">
        <v>5000</v>
      </c>
      <c r="BP88" s="283">
        <v>4400</v>
      </c>
      <c r="BQ88" s="283">
        <v>1600</v>
      </c>
      <c r="BR88" s="283">
        <v>1700</v>
      </c>
      <c r="BS88" s="283">
        <v>1800</v>
      </c>
      <c r="BT88" s="283">
        <v>1</v>
      </c>
      <c r="BU88" s="283">
        <v>3600</v>
      </c>
      <c r="BV88" s="283">
        <v>382</v>
      </c>
      <c r="BW88" s="283">
        <v>7100</v>
      </c>
      <c r="BX88" s="283">
        <v>13</v>
      </c>
      <c r="BY88" s="283">
        <v>13</v>
      </c>
      <c r="BZ88" s="283">
        <v>6300</v>
      </c>
      <c r="CA88" s="283">
        <v>97</v>
      </c>
      <c r="CB88" s="283">
        <v>168</v>
      </c>
      <c r="CC88" s="283">
        <v>2100</v>
      </c>
      <c r="CD88" s="283">
        <v>2400</v>
      </c>
      <c r="CE88" s="283">
        <v>2400</v>
      </c>
      <c r="CF88" s="283">
        <v>439</v>
      </c>
      <c r="CG88" s="283">
        <v>0</v>
      </c>
      <c r="CH88" s="283">
        <v>0</v>
      </c>
      <c r="CI88" s="283">
        <v>0</v>
      </c>
      <c r="CJ88" s="283">
        <v>0</v>
      </c>
      <c r="CK88" s="283">
        <f t="shared" si="9"/>
        <v>0</v>
      </c>
      <c r="CL88" s="370"/>
      <c r="CM88" s="371">
        <f>Summary!$D$4</f>
        <v>1816871.23333333</v>
      </c>
      <c r="CN88" s="258">
        <f t="shared" si="5"/>
        <v>0</v>
      </c>
    </row>
    <row r="89" ht="15.6" spans="1:92">
      <c r="A89" s="258" t="s">
        <v>138</v>
      </c>
      <c r="B89" s="258" t="s">
        <v>672</v>
      </c>
      <c r="C89" s="258" t="s">
        <v>672</v>
      </c>
      <c r="D89" s="342" t="s">
        <v>526</v>
      </c>
      <c r="E89" s="258" t="s">
        <v>441</v>
      </c>
      <c r="F89" s="260" t="s">
        <v>234</v>
      </c>
      <c r="G89" s="343">
        <v>6238</v>
      </c>
      <c r="H89" s="283">
        <f t="shared" ref="H89:H99" si="11">(AW89+CK89)/2</f>
        <v>8391100.08333333</v>
      </c>
      <c r="I89" s="292" t="s">
        <v>1457</v>
      </c>
      <c r="J89" s="351">
        <v>353025</v>
      </c>
      <c r="K89" s="351">
        <v>338530</v>
      </c>
      <c r="L89" s="351">
        <v>321472</v>
      </c>
      <c r="M89" s="351">
        <v>406122</v>
      </c>
      <c r="N89" s="352">
        <v>395118</v>
      </c>
      <c r="O89" s="353">
        <v>392506</v>
      </c>
      <c r="P89" s="353">
        <v>421108</v>
      </c>
      <c r="Q89" s="353">
        <v>430669</v>
      </c>
      <c r="R89" s="353">
        <v>389830</v>
      </c>
      <c r="S89" s="353">
        <v>357243</v>
      </c>
      <c r="T89" s="353">
        <v>339823</v>
      </c>
      <c r="U89" s="353">
        <f>VLOOKUP(D89,Mid!$A$2:$C$225,2,FALSE)</f>
        <v>312668</v>
      </c>
      <c r="V89" s="353">
        <v>339824</v>
      </c>
      <c r="W89" s="353">
        <v>344049</v>
      </c>
      <c r="X89" s="353">
        <v>297638</v>
      </c>
      <c r="Y89" s="353">
        <v>350605</v>
      </c>
      <c r="Z89" s="353">
        <v>330859</v>
      </c>
      <c r="AA89" s="353">
        <v>345656</v>
      </c>
      <c r="AB89" s="353">
        <v>374749</v>
      </c>
      <c r="AC89" s="353">
        <v>367494</v>
      </c>
      <c r="AD89" s="353">
        <v>282566</v>
      </c>
      <c r="AE89" s="353">
        <v>261909</v>
      </c>
      <c r="AF89" s="353">
        <v>242402</v>
      </c>
      <c r="AG89" s="353">
        <v>242202</v>
      </c>
      <c r="AH89" s="353">
        <v>237334</v>
      </c>
      <c r="AI89" s="353">
        <v>259174</v>
      </c>
      <c r="AJ89" s="283">
        <v>273921</v>
      </c>
      <c r="AK89" s="283" t="s">
        <v>675</v>
      </c>
      <c r="AL89" s="283">
        <v>253131</v>
      </c>
      <c r="AM89" s="283" t="s">
        <v>676</v>
      </c>
      <c r="AN89" s="283" t="s">
        <v>677</v>
      </c>
      <c r="AO89" s="283" t="s">
        <v>678</v>
      </c>
      <c r="AP89" s="283">
        <v>245810</v>
      </c>
      <c r="AQ89" s="283" t="s">
        <v>1458</v>
      </c>
      <c r="AR89" s="283" t="s">
        <v>679</v>
      </c>
      <c r="AS89" s="283" t="s">
        <v>680</v>
      </c>
      <c r="AT89" s="283" t="s">
        <v>681</v>
      </c>
      <c r="AU89" s="283" t="s">
        <v>682</v>
      </c>
      <c r="AV89" s="283" t="s">
        <v>1459</v>
      </c>
      <c r="AW89" s="283">
        <f t="shared" si="8"/>
        <v>232200.166666667</v>
      </c>
      <c r="AX89" s="283">
        <v>0</v>
      </c>
      <c r="AY89" s="283">
        <v>0</v>
      </c>
      <c r="AZ89" s="283">
        <v>0</v>
      </c>
      <c r="BA89" s="283">
        <v>0</v>
      </c>
      <c r="BB89" s="283">
        <v>0</v>
      </c>
      <c r="BC89" s="283">
        <v>0</v>
      </c>
      <c r="BD89" s="283">
        <v>0</v>
      </c>
      <c r="BE89" s="283">
        <v>0</v>
      </c>
      <c r="BF89" s="283">
        <v>0</v>
      </c>
      <c r="BG89" s="283">
        <v>0</v>
      </c>
      <c r="BH89" s="283">
        <v>0</v>
      </c>
      <c r="BI89" s="283">
        <f>VLOOKUP(D89,Mid!$A$2:$C$225,3,FALSE)</f>
        <v>0</v>
      </c>
      <c r="BJ89" s="283">
        <v>0</v>
      </c>
      <c r="BK89" s="283">
        <v>0</v>
      </c>
      <c r="BL89" s="283">
        <v>0</v>
      </c>
      <c r="BM89" s="283">
        <v>0</v>
      </c>
      <c r="BN89" s="283">
        <v>0</v>
      </c>
      <c r="BO89" s="283">
        <v>0</v>
      </c>
      <c r="BP89" s="283">
        <v>0</v>
      </c>
      <c r="BQ89" s="283">
        <v>0</v>
      </c>
      <c r="BR89" s="283">
        <v>14200000</v>
      </c>
      <c r="BS89" s="283">
        <v>13100000</v>
      </c>
      <c r="BT89" s="283">
        <v>12300000</v>
      </c>
      <c r="BU89" s="283">
        <v>10800000</v>
      </c>
      <c r="BV89" s="283">
        <v>9000000</v>
      </c>
      <c r="BW89" s="283">
        <v>10400000</v>
      </c>
      <c r="BX89" s="283">
        <v>12100000</v>
      </c>
      <c r="BY89" s="283">
        <v>12100000</v>
      </c>
      <c r="BZ89" s="283">
        <v>10600000</v>
      </c>
      <c r="CA89" s="283">
        <v>11600000</v>
      </c>
      <c r="CB89" s="283">
        <v>10700000</v>
      </c>
      <c r="CC89" s="283">
        <v>12300000</v>
      </c>
      <c r="CD89" s="283">
        <v>14900000</v>
      </c>
      <c r="CE89" s="283">
        <v>14900000</v>
      </c>
      <c r="CF89" s="283">
        <v>17000000</v>
      </c>
      <c r="CG89" s="283">
        <v>16400000</v>
      </c>
      <c r="CH89" s="283">
        <v>17800000</v>
      </c>
      <c r="CI89" s="283">
        <v>16000000</v>
      </c>
      <c r="CJ89" s="283">
        <v>16500000</v>
      </c>
      <c r="CK89" s="283">
        <f t="shared" si="9"/>
        <v>16550000</v>
      </c>
      <c r="CL89" s="370"/>
      <c r="CM89" s="371">
        <f>Summary!$D$2</f>
        <v>2530324.072226</v>
      </c>
      <c r="CN89" s="258">
        <f t="shared" ref="CN89:CN120" si="12">IF(_xlfn.IFNA(CM89,0),IF(AND(H89/CM89&gt;=0.05,B89&lt;&gt;"官网"),1,0),0)</f>
        <v>0</v>
      </c>
    </row>
    <row r="90" s="269" customFormat="1" ht="15.6" spans="1:92">
      <c r="A90" s="344" t="s">
        <v>138</v>
      </c>
      <c r="B90" s="344" t="s">
        <v>683</v>
      </c>
      <c r="C90" s="344" t="s">
        <v>227</v>
      </c>
      <c r="D90" s="344" t="s">
        <v>139</v>
      </c>
      <c r="E90" s="344" t="s">
        <v>441</v>
      </c>
      <c r="F90" s="344" t="s">
        <v>49</v>
      </c>
      <c r="G90" s="345"/>
      <c r="H90" s="345">
        <f t="shared" si="11"/>
        <v>1404207.16666667</v>
      </c>
      <c r="I90" s="375"/>
      <c r="J90" s="351">
        <v>580009</v>
      </c>
      <c r="K90" s="351">
        <v>744835</v>
      </c>
      <c r="L90" s="351">
        <v>785011</v>
      </c>
      <c r="M90" s="351">
        <v>910661</v>
      </c>
      <c r="N90" s="352">
        <v>790358</v>
      </c>
      <c r="O90" s="353">
        <v>1139000</v>
      </c>
      <c r="P90" s="353">
        <v>885703</v>
      </c>
      <c r="Q90" s="353">
        <v>1376000</v>
      </c>
      <c r="R90" s="353">
        <v>862683</v>
      </c>
      <c r="S90" s="353">
        <v>930139</v>
      </c>
      <c r="T90" s="353">
        <v>862678</v>
      </c>
      <c r="U90" s="353">
        <v>1030000</v>
      </c>
      <c r="V90" s="353">
        <v>1029000</v>
      </c>
      <c r="W90" s="353">
        <v>1130000</v>
      </c>
      <c r="X90" s="353">
        <v>1105000</v>
      </c>
      <c r="Y90" s="353">
        <v>1010000</v>
      </c>
      <c r="Z90" s="353">
        <v>974809</v>
      </c>
      <c r="AA90" s="353">
        <v>1136000</v>
      </c>
      <c r="AB90" s="353">
        <v>897759</v>
      </c>
      <c r="AC90" s="353">
        <v>1004000</v>
      </c>
      <c r="AD90" s="353">
        <v>1038000</v>
      </c>
      <c r="AE90" s="353">
        <v>1050000</v>
      </c>
      <c r="AF90" s="353">
        <v>1305000</v>
      </c>
      <c r="AG90" s="353">
        <v>1183000</v>
      </c>
      <c r="AH90" s="353">
        <v>1113000</v>
      </c>
      <c r="AI90" s="353">
        <v>1262000</v>
      </c>
      <c r="AJ90" s="378">
        <v>1383000</v>
      </c>
      <c r="AK90" s="283">
        <v>1476000</v>
      </c>
      <c r="AL90" s="283">
        <v>1527000</v>
      </c>
      <c r="AM90" s="283">
        <v>1321000</v>
      </c>
      <c r="AN90" s="283">
        <v>1147000</v>
      </c>
      <c r="AO90" s="283">
        <v>1296000</v>
      </c>
      <c r="AP90" s="283">
        <v>1336000</v>
      </c>
      <c r="AQ90" s="283">
        <v>1296000</v>
      </c>
      <c r="AR90" s="283">
        <v>1360000</v>
      </c>
      <c r="AS90" s="283">
        <v>1201000</v>
      </c>
      <c r="AT90" s="283">
        <v>1343000</v>
      </c>
      <c r="AU90" s="283">
        <v>1235000</v>
      </c>
      <c r="AV90" s="283">
        <v>979162</v>
      </c>
      <c r="AW90" s="283">
        <f t="shared" si="8"/>
        <v>1125081</v>
      </c>
      <c r="AX90" s="283">
        <v>716200</v>
      </c>
      <c r="AY90" s="283">
        <v>731300</v>
      </c>
      <c r="AZ90" s="283">
        <v>722200</v>
      </c>
      <c r="BA90" s="283">
        <v>731600</v>
      </c>
      <c r="BB90" s="283">
        <v>738600</v>
      </c>
      <c r="BC90" s="283">
        <v>722900</v>
      </c>
      <c r="BD90" s="283">
        <v>718100</v>
      </c>
      <c r="BE90" s="283">
        <v>790300</v>
      </c>
      <c r="BF90" s="283">
        <v>923900</v>
      </c>
      <c r="BG90" s="283">
        <v>1000000</v>
      </c>
      <c r="BH90" s="283">
        <v>929000</v>
      </c>
      <c r="BI90" s="283" t="e">
        <f>VLOOKUP(D90,Mid!$A$2:$C$225,3,FALSE)</f>
        <v>#N/A</v>
      </c>
      <c r="BJ90" s="283">
        <v>847400</v>
      </c>
      <c r="BK90" s="283">
        <v>1000000</v>
      </c>
      <c r="BL90" s="283">
        <v>955400</v>
      </c>
      <c r="BM90" s="283">
        <v>1375000</v>
      </c>
      <c r="BN90" s="283">
        <v>1500000</v>
      </c>
      <c r="BO90" s="283">
        <v>1500000</v>
      </c>
      <c r="BP90" s="283">
        <v>1020000</v>
      </c>
      <c r="BQ90" s="283">
        <v>1200000</v>
      </c>
      <c r="BR90" s="283">
        <v>900600</v>
      </c>
      <c r="BS90" s="283">
        <v>1300000</v>
      </c>
      <c r="BT90" s="283">
        <v>1300000</v>
      </c>
      <c r="BU90" s="283">
        <v>1100000</v>
      </c>
      <c r="BV90" s="283">
        <v>1100000</v>
      </c>
      <c r="BW90" s="283">
        <v>1100000</v>
      </c>
      <c r="BX90" s="283">
        <v>951500</v>
      </c>
      <c r="BY90" s="283">
        <v>1500000</v>
      </c>
      <c r="BZ90" s="283">
        <v>1225750</v>
      </c>
      <c r="CA90" s="283">
        <v>1100000</v>
      </c>
      <c r="CB90" s="283">
        <v>1100000</v>
      </c>
      <c r="CC90" s="283">
        <v>1043000</v>
      </c>
      <c r="CD90" s="283">
        <v>1300000</v>
      </c>
      <c r="CE90" s="283">
        <v>1400000</v>
      </c>
      <c r="CF90" s="283">
        <v>1900000</v>
      </c>
      <c r="CG90" s="283">
        <v>1500000</v>
      </c>
      <c r="CH90" s="283">
        <v>1100000</v>
      </c>
      <c r="CI90" s="283">
        <v>1500000</v>
      </c>
      <c r="CJ90" s="283">
        <v>2000000</v>
      </c>
      <c r="CK90" s="283">
        <f t="shared" si="9"/>
        <v>1683333.33333333</v>
      </c>
      <c r="CL90" s="370"/>
      <c r="CM90" s="379">
        <f>Summary!$D$2</f>
        <v>2530324.072226</v>
      </c>
      <c r="CN90" s="258">
        <f t="shared" si="12"/>
        <v>1</v>
      </c>
    </row>
    <row r="91" ht="15.6" spans="1:92">
      <c r="A91" s="258" t="s">
        <v>138</v>
      </c>
      <c r="B91" s="258" t="s">
        <v>694</v>
      </c>
      <c r="C91" s="258" t="s">
        <v>230</v>
      </c>
      <c r="D91" s="258" t="s">
        <v>231</v>
      </c>
      <c r="E91" s="258" t="s">
        <v>441</v>
      </c>
      <c r="F91" s="260" t="s">
        <v>60</v>
      </c>
      <c r="G91" s="343"/>
      <c r="H91" s="283">
        <f t="shared" si="11"/>
        <v>372263.678333333</v>
      </c>
      <c r="I91" s="292"/>
      <c r="J91" s="351">
        <v>277837</v>
      </c>
      <c r="K91" s="351">
        <v>325139</v>
      </c>
      <c r="L91" s="351">
        <v>259368</v>
      </c>
      <c r="M91" s="351">
        <v>311899</v>
      </c>
      <c r="N91" s="352">
        <v>332031</v>
      </c>
      <c r="O91" s="353">
        <v>344361</v>
      </c>
      <c r="P91" s="353">
        <v>306204</v>
      </c>
      <c r="Q91" s="353">
        <v>344134</v>
      </c>
      <c r="R91" s="353">
        <v>488065</v>
      </c>
      <c r="S91" s="353">
        <v>488972</v>
      </c>
      <c r="T91" s="353">
        <v>418757</v>
      </c>
      <c r="U91" s="353" t="e">
        <f>VLOOKUP(D91,Mid!$A$2:$C$225,2,FALSE)</f>
        <v>#N/A</v>
      </c>
      <c r="V91" s="353">
        <v>336401</v>
      </c>
      <c r="W91" s="353">
        <v>348844</v>
      </c>
      <c r="X91" s="353">
        <v>346982</v>
      </c>
      <c r="Y91" s="353">
        <v>377237</v>
      </c>
      <c r="Z91" s="353">
        <v>329878</v>
      </c>
      <c r="AA91" s="353">
        <v>423455</v>
      </c>
      <c r="AB91" s="353">
        <v>442829</v>
      </c>
      <c r="AC91" s="353">
        <v>497824</v>
      </c>
      <c r="AD91" s="353">
        <v>393228</v>
      </c>
      <c r="AE91" s="353">
        <v>323684</v>
      </c>
      <c r="AF91" s="353">
        <v>346767</v>
      </c>
      <c r="AG91" s="353">
        <v>359856</v>
      </c>
      <c r="AH91" s="353">
        <v>295766</v>
      </c>
      <c r="AI91" s="353">
        <v>347093</v>
      </c>
      <c r="AJ91" s="283">
        <v>629079</v>
      </c>
      <c r="AK91" s="283">
        <f>548130*0.2808*2</f>
        <v>307829.808</v>
      </c>
      <c r="AL91" s="283">
        <v>401149</v>
      </c>
      <c r="AM91" s="283">
        <f>506132*0.3258*2</f>
        <v>329795.6112</v>
      </c>
      <c r="AN91" s="283">
        <f>501358*0.3225*2</f>
        <v>323375.91</v>
      </c>
      <c r="AO91" s="283">
        <f>509155*0.3817*2</f>
        <v>388688.927</v>
      </c>
      <c r="AP91" s="283">
        <v>432324</v>
      </c>
      <c r="AQ91" s="283" t="s">
        <v>1460</v>
      </c>
      <c r="AR91" s="283" t="s">
        <v>1461</v>
      </c>
      <c r="AS91" s="283" t="s">
        <v>1462</v>
      </c>
      <c r="AT91" s="283" t="s">
        <v>1463</v>
      </c>
      <c r="AU91" s="283" t="s">
        <v>1464</v>
      </c>
      <c r="AV91" s="283" t="s">
        <v>1465</v>
      </c>
      <c r="AW91" s="283">
        <f t="shared" si="8"/>
        <v>388825.5</v>
      </c>
      <c r="AX91" s="283">
        <v>207100</v>
      </c>
      <c r="AY91" s="283">
        <v>217200</v>
      </c>
      <c r="AZ91" s="283">
        <v>190200</v>
      </c>
      <c r="BA91" s="283">
        <v>198300</v>
      </c>
      <c r="BB91" s="283">
        <v>235000</v>
      </c>
      <c r="BC91" s="283">
        <v>218900</v>
      </c>
      <c r="BD91" s="283">
        <v>246400</v>
      </c>
      <c r="BE91" s="283">
        <v>272000</v>
      </c>
      <c r="BF91" s="283">
        <v>228800</v>
      </c>
      <c r="BG91" s="283">
        <v>234400</v>
      </c>
      <c r="BH91" s="283">
        <v>241200</v>
      </c>
      <c r="BI91" s="283" t="e">
        <f>VLOOKUP(D91,Mid!$A$2:$C$225,3,FALSE)</f>
        <v>#N/A</v>
      </c>
      <c r="BJ91" s="283">
        <v>174400</v>
      </c>
      <c r="BK91" s="283">
        <v>239600</v>
      </c>
      <c r="BL91" s="283">
        <v>207100</v>
      </c>
      <c r="BM91" s="283">
        <v>364200</v>
      </c>
      <c r="BN91" s="283">
        <v>327900</v>
      </c>
      <c r="BO91" s="283">
        <v>344000</v>
      </c>
      <c r="BP91" s="283">
        <v>429700</v>
      </c>
      <c r="BQ91" s="283">
        <v>415100</v>
      </c>
      <c r="BR91" s="283">
        <v>408600</v>
      </c>
      <c r="BS91" s="283">
        <v>388000</v>
      </c>
      <c r="BT91" s="283">
        <v>459900</v>
      </c>
      <c r="BU91" s="283">
        <v>344300</v>
      </c>
      <c r="BV91" s="283">
        <v>328800</v>
      </c>
      <c r="BW91" s="283">
        <v>328800</v>
      </c>
      <c r="BX91" s="283">
        <v>353600</v>
      </c>
      <c r="BY91" s="283">
        <v>394800</v>
      </c>
      <c r="BZ91" s="283">
        <f>602900*0.3568*2</f>
        <v>430229.44</v>
      </c>
      <c r="CA91" s="283">
        <v>462122.22</v>
      </c>
      <c r="CB91" s="283">
        <v>416000</v>
      </c>
      <c r="CC91" s="283">
        <v>410400</v>
      </c>
      <c r="CD91" s="283">
        <v>373000</v>
      </c>
      <c r="CE91" s="283">
        <v>379650</v>
      </c>
      <c r="CF91" s="283">
        <v>547000</v>
      </c>
      <c r="CG91" s="283">
        <v>347500</v>
      </c>
      <c r="CH91" s="283">
        <v>309700</v>
      </c>
      <c r="CI91" s="283">
        <v>341914.32</v>
      </c>
      <c r="CJ91" s="283">
        <v>380227.5</v>
      </c>
      <c r="CK91" s="283">
        <f t="shared" si="9"/>
        <v>355701.856666667</v>
      </c>
      <c r="CL91" s="370"/>
      <c r="CM91" s="371">
        <f>Summary!$D$2</f>
        <v>2530324.072226</v>
      </c>
      <c r="CN91" s="258">
        <f t="shared" si="12"/>
        <v>1</v>
      </c>
    </row>
    <row r="92" ht="15.6" spans="1:92">
      <c r="A92" s="258" t="s">
        <v>138</v>
      </c>
      <c r="B92" s="258" t="s">
        <v>812</v>
      </c>
      <c r="C92" s="258" t="s">
        <v>230</v>
      </c>
      <c r="D92" s="342" t="s">
        <v>235</v>
      </c>
      <c r="E92" s="258" t="s">
        <v>441</v>
      </c>
      <c r="F92" s="260" t="s">
        <v>411</v>
      </c>
      <c r="G92" s="343"/>
      <c r="H92" s="283">
        <f t="shared" si="11"/>
        <v>163982.65</v>
      </c>
      <c r="I92" s="360" t="s">
        <v>1466</v>
      </c>
      <c r="J92" s="357"/>
      <c r="K92" s="357"/>
      <c r="L92" s="357"/>
      <c r="M92" s="358">
        <v>0</v>
      </c>
      <c r="N92" s="358">
        <v>0</v>
      </c>
      <c r="O92" s="353">
        <v>200280</v>
      </c>
      <c r="P92" s="353">
        <v>215615</v>
      </c>
      <c r="Q92" s="353">
        <v>168032</v>
      </c>
      <c r="R92" s="353">
        <v>172984</v>
      </c>
      <c r="S92" s="353">
        <v>133244</v>
      </c>
      <c r="T92" s="353">
        <v>112891</v>
      </c>
      <c r="U92" s="353" t="e">
        <f>VLOOKUP(D92,Mid!$A$2:$C$225,2,FALSE)</f>
        <v>#N/A</v>
      </c>
      <c r="V92" s="353">
        <v>170023</v>
      </c>
      <c r="W92" s="353">
        <v>185983</v>
      </c>
      <c r="X92" s="353">
        <v>142790</v>
      </c>
      <c r="Y92" s="353">
        <v>161664</v>
      </c>
      <c r="Z92" s="353">
        <v>177097</v>
      </c>
      <c r="AA92" s="353">
        <v>196746</v>
      </c>
      <c r="AB92" s="353">
        <v>216109</v>
      </c>
      <c r="AC92" s="353">
        <v>246552</v>
      </c>
      <c r="AD92" s="353">
        <v>233546</v>
      </c>
      <c r="AE92" s="353">
        <v>188809</v>
      </c>
      <c r="AF92" s="353">
        <v>188407</v>
      </c>
      <c r="AG92" s="353">
        <v>175114</v>
      </c>
      <c r="AH92" s="353">
        <v>176914</v>
      </c>
      <c r="AI92" s="353">
        <v>198325</v>
      </c>
      <c r="AJ92" s="283">
        <v>172712</v>
      </c>
      <c r="AK92" s="283" t="s">
        <v>1467</v>
      </c>
      <c r="AL92" s="283">
        <v>154904</v>
      </c>
      <c r="AM92" s="283" t="s">
        <v>1468</v>
      </c>
      <c r="AN92" s="283" t="s">
        <v>1469</v>
      </c>
      <c r="AO92" s="283" t="s">
        <v>1470</v>
      </c>
      <c r="AP92" s="283">
        <v>210171</v>
      </c>
      <c r="AQ92" s="283" t="s">
        <v>1471</v>
      </c>
      <c r="AR92" s="283" t="s">
        <v>1472</v>
      </c>
      <c r="AS92" s="283" t="s">
        <v>1473</v>
      </c>
      <c r="AT92" s="283" t="s">
        <v>1474</v>
      </c>
      <c r="AU92" s="283" t="s">
        <v>1475</v>
      </c>
      <c r="AV92" s="283" t="s">
        <v>1476</v>
      </c>
      <c r="AW92" s="283">
        <f t="shared" si="8"/>
        <v>183376.333333333</v>
      </c>
      <c r="AX92" s="283"/>
      <c r="AY92" s="283"/>
      <c r="AZ92" s="283"/>
      <c r="BA92" s="283">
        <v>0</v>
      </c>
      <c r="BB92" s="283">
        <v>0</v>
      </c>
      <c r="BC92" s="283">
        <v>150386</v>
      </c>
      <c r="BD92" s="283">
        <v>161900</v>
      </c>
      <c r="BE92" s="283">
        <v>149300</v>
      </c>
      <c r="BF92" s="283">
        <v>392100</v>
      </c>
      <c r="BG92" s="283">
        <v>375100</v>
      </c>
      <c r="BH92" s="283">
        <v>370900</v>
      </c>
      <c r="BI92" s="283" t="e">
        <f>VLOOKUP(D92,Mid!$A$2:$C$225,3,FALSE)</f>
        <v>#N/A</v>
      </c>
      <c r="BJ92" s="283">
        <v>213300</v>
      </c>
      <c r="BK92" s="283">
        <v>215000</v>
      </c>
      <c r="BL92" s="283">
        <v>250800</v>
      </c>
      <c r="BM92" s="283">
        <v>183200</v>
      </c>
      <c r="BN92" s="283">
        <v>155100</v>
      </c>
      <c r="BO92" s="283">
        <v>119600</v>
      </c>
      <c r="BP92" s="283">
        <v>153000</v>
      </c>
      <c r="BQ92" s="283">
        <v>204800</v>
      </c>
      <c r="BR92" s="283">
        <v>169300</v>
      </c>
      <c r="BS92" s="283">
        <v>277600</v>
      </c>
      <c r="BT92" s="283">
        <v>171400</v>
      </c>
      <c r="BU92" s="283">
        <v>237000</v>
      </c>
      <c r="BV92" s="283">
        <v>185000</v>
      </c>
      <c r="BW92" s="283">
        <v>273500</v>
      </c>
      <c r="BX92" s="283">
        <v>267700</v>
      </c>
      <c r="BY92" s="283">
        <v>267700</v>
      </c>
      <c r="BZ92" s="283">
        <v>215200</v>
      </c>
      <c r="CA92" s="283">
        <v>186100</v>
      </c>
      <c r="CB92" s="283">
        <v>133630</v>
      </c>
      <c r="CC92" s="283">
        <v>157300</v>
      </c>
      <c r="CD92" s="283">
        <v>1462</v>
      </c>
      <c r="CE92" s="283">
        <v>254200</v>
      </c>
      <c r="CF92" s="283">
        <v>125208.72</v>
      </c>
      <c r="CG92" s="283">
        <v>129643.32</v>
      </c>
      <c r="CH92" s="283">
        <v>88700</v>
      </c>
      <c r="CI92" s="283">
        <v>122266.9</v>
      </c>
      <c r="CJ92" s="283">
        <v>178100</v>
      </c>
      <c r="CK92" s="283">
        <f t="shared" si="9"/>
        <v>144588.966666667</v>
      </c>
      <c r="CL92" s="370"/>
      <c r="CM92" s="371">
        <f>Summary!$D$2</f>
        <v>2530324.072226</v>
      </c>
      <c r="CN92" s="258">
        <f t="shared" si="12"/>
        <v>1</v>
      </c>
    </row>
    <row r="93" ht="15.6" spans="1:92">
      <c r="A93" s="258" t="s">
        <v>138</v>
      </c>
      <c r="B93" s="258" t="s">
        <v>694</v>
      </c>
      <c r="C93" s="258" t="s">
        <v>230</v>
      </c>
      <c r="D93" s="260" t="s">
        <v>236</v>
      </c>
      <c r="E93" s="258" t="s">
        <v>441</v>
      </c>
      <c r="F93" s="260" t="s">
        <v>412</v>
      </c>
      <c r="G93" s="343"/>
      <c r="H93" s="343">
        <f t="shared" si="11"/>
        <v>156926.686666667</v>
      </c>
      <c r="I93" s="360" t="s">
        <v>714</v>
      </c>
      <c r="J93" s="362"/>
      <c r="K93" s="362"/>
      <c r="L93" s="362"/>
      <c r="M93" s="362"/>
      <c r="N93" s="363"/>
      <c r="O93" s="364"/>
      <c r="P93" s="364"/>
      <c r="Q93" s="364"/>
      <c r="R93" s="364"/>
      <c r="S93" s="364"/>
      <c r="T93" s="364"/>
      <c r="U93" s="365"/>
      <c r="V93" s="365">
        <v>165915</v>
      </c>
      <c r="W93" s="353">
        <v>147270</v>
      </c>
      <c r="X93" s="353">
        <v>153992</v>
      </c>
      <c r="Y93" s="353">
        <v>213433</v>
      </c>
      <c r="Z93" s="353">
        <v>184526</v>
      </c>
      <c r="AA93" s="353">
        <v>130499</v>
      </c>
      <c r="AB93" s="353">
        <v>132955</v>
      </c>
      <c r="AC93" s="353">
        <v>224999</v>
      </c>
      <c r="AD93" s="353">
        <v>159141</v>
      </c>
      <c r="AE93" s="353">
        <v>174913</v>
      </c>
      <c r="AF93" s="353">
        <v>177810</v>
      </c>
      <c r="AG93" s="353">
        <v>192631</v>
      </c>
      <c r="AH93" s="353">
        <v>146673</v>
      </c>
      <c r="AI93" s="353">
        <v>197265</v>
      </c>
      <c r="AJ93" s="283">
        <v>173245</v>
      </c>
      <c r="AK93" s="283" t="s">
        <v>1477</v>
      </c>
      <c r="AL93" s="283">
        <v>258101</v>
      </c>
      <c r="AM93" s="283">
        <f>523977*0.1476*2</f>
        <v>154678.0104</v>
      </c>
      <c r="AN93" s="283">
        <f>366309*0.1674*2</f>
        <v>122640.2532</v>
      </c>
      <c r="AO93" s="283" t="s">
        <v>1478</v>
      </c>
      <c r="AP93" s="283">
        <v>180351</v>
      </c>
      <c r="AQ93" s="283" t="s">
        <v>1479</v>
      </c>
      <c r="AR93" s="283" t="s">
        <v>1480</v>
      </c>
      <c r="AS93" s="283" t="s">
        <v>1481</v>
      </c>
      <c r="AT93" s="283" t="s">
        <v>1482</v>
      </c>
      <c r="AU93" s="283" t="s">
        <v>1483</v>
      </c>
      <c r="AV93" s="283" t="s">
        <v>1484</v>
      </c>
      <c r="AW93" s="283">
        <f t="shared" si="8"/>
        <v>147677.166666667</v>
      </c>
      <c r="AX93" s="283"/>
      <c r="AY93" s="283"/>
      <c r="AZ93" s="283"/>
      <c r="BA93" s="283"/>
      <c r="BB93" s="283"/>
      <c r="BC93" s="283"/>
      <c r="BD93" s="283"/>
      <c r="BE93" s="283"/>
      <c r="BF93" s="283"/>
      <c r="BG93" s="283"/>
      <c r="BH93" s="283"/>
      <c r="BI93" s="283"/>
      <c r="BJ93" s="283">
        <v>138800</v>
      </c>
      <c r="BK93" s="283">
        <v>122300</v>
      </c>
      <c r="BL93" s="283">
        <v>127800</v>
      </c>
      <c r="BM93" s="283">
        <v>178100</v>
      </c>
      <c r="BN93" s="283">
        <v>79500</v>
      </c>
      <c r="BO93" s="283">
        <v>65100</v>
      </c>
      <c r="BP93" s="283">
        <v>151600</v>
      </c>
      <c r="BQ93" s="283">
        <v>95500</v>
      </c>
      <c r="BR93" s="283">
        <v>105400</v>
      </c>
      <c r="BS93" s="283">
        <v>107900</v>
      </c>
      <c r="BT93" s="283">
        <v>120600</v>
      </c>
      <c r="BU93" s="283">
        <v>122600</v>
      </c>
      <c r="BV93" s="283">
        <v>122000</v>
      </c>
      <c r="BW93" s="283">
        <v>254400</v>
      </c>
      <c r="BX93" s="283">
        <v>334900</v>
      </c>
      <c r="BY93" s="283">
        <v>334900</v>
      </c>
      <c r="BZ93" s="283">
        <v>229100</v>
      </c>
      <c r="CA93" s="283">
        <v>144300</v>
      </c>
      <c r="CB93" s="283">
        <v>191500</v>
      </c>
      <c r="CC93" s="283">
        <v>113500</v>
      </c>
      <c r="CD93" s="283">
        <v>123200</v>
      </c>
      <c r="CE93" s="283">
        <v>160600</v>
      </c>
      <c r="CF93" s="283">
        <v>121838.88</v>
      </c>
      <c r="CG93" s="283">
        <v>75400</v>
      </c>
      <c r="CH93" s="283">
        <v>150100</v>
      </c>
      <c r="CI93" s="283">
        <v>148143.12</v>
      </c>
      <c r="CJ93" s="283">
        <v>183557</v>
      </c>
      <c r="CK93" s="283">
        <f t="shared" si="9"/>
        <v>166176.206666667</v>
      </c>
      <c r="CL93" s="370"/>
      <c r="CM93" s="371">
        <f>Summary!$D$2</f>
        <v>2530324.072226</v>
      </c>
      <c r="CN93" s="258">
        <f t="shared" si="12"/>
        <v>1</v>
      </c>
    </row>
    <row r="94" ht="31.2" spans="1:92">
      <c r="A94" s="258" t="s">
        <v>138</v>
      </c>
      <c r="B94" s="258" t="s">
        <v>694</v>
      </c>
      <c r="C94" s="258" t="s">
        <v>238</v>
      </c>
      <c r="D94" s="258" t="s">
        <v>239</v>
      </c>
      <c r="E94" s="258" t="s">
        <v>441</v>
      </c>
      <c r="F94" s="260" t="s">
        <v>250</v>
      </c>
      <c r="G94" s="343"/>
      <c r="H94" s="283">
        <f t="shared" si="11"/>
        <v>130572.405492667</v>
      </c>
      <c r="I94" s="292" t="s">
        <v>1485</v>
      </c>
      <c r="J94" s="351">
        <v>180237</v>
      </c>
      <c r="K94" s="351">
        <v>162743</v>
      </c>
      <c r="L94" s="351">
        <v>180112</v>
      </c>
      <c r="M94" s="351">
        <v>276059</v>
      </c>
      <c r="N94" s="352">
        <v>227565</v>
      </c>
      <c r="O94" s="353">
        <v>187872</v>
      </c>
      <c r="P94" s="353">
        <v>173941</v>
      </c>
      <c r="Q94" s="353">
        <v>211648</v>
      </c>
      <c r="R94" s="353">
        <v>230217</v>
      </c>
      <c r="S94" s="353">
        <v>200745</v>
      </c>
      <c r="T94" s="353">
        <v>174826</v>
      </c>
      <c r="U94" s="353" t="e">
        <f>VLOOKUP(D94,Mid!$A$2:$C$225,2,FALSE)</f>
        <v>#N/A</v>
      </c>
      <c r="V94" s="353">
        <v>188555</v>
      </c>
      <c r="W94" s="353">
        <v>172337</v>
      </c>
      <c r="X94" s="353">
        <v>114441</v>
      </c>
      <c r="Y94" s="353">
        <v>146583</v>
      </c>
      <c r="Z94" s="353">
        <v>155987</v>
      </c>
      <c r="AA94" s="353">
        <v>155387</v>
      </c>
      <c r="AB94" s="353">
        <v>152727</v>
      </c>
      <c r="AC94" s="353">
        <v>167385</v>
      </c>
      <c r="AD94" s="353">
        <v>117694</v>
      </c>
      <c r="AE94" s="353">
        <v>129883</v>
      </c>
      <c r="AF94" s="353">
        <v>195408</v>
      </c>
      <c r="AG94" s="353">
        <v>122540</v>
      </c>
      <c r="AH94" s="353">
        <v>102036</v>
      </c>
      <c r="AI94" s="353">
        <v>158093</v>
      </c>
      <c r="AJ94" s="353">
        <v>110789</v>
      </c>
      <c r="AK94" s="283" t="s">
        <v>735</v>
      </c>
      <c r="AL94" s="283">
        <v>113315</v>
      </c>
      <c r="AM94" s="283" t="s">
        <v>1486</v>
      </c>
      <c r="AN94" s="283" t="s">
        <v>1487</v>
      </c>
      <c r="AO94" s="283" t="s">
        <v>1488</v>
      </c>
      <c r="AP94" s="283">
        <v>114551</v>
      </c>
      <c r="AQ94" s="283">
        <v>158258</v>
      </c>
      <c r="AR94" s="283" t="s">
        <v>1489</v>
      </c>
      <c r="AS94" s="283" t="s">
        <v>1490</v>
      </c>
      <c r="AT94" s="283" t="s">
        <v>1491</v>
      </c>
      <c r="AU94" s="283">
        <v>174220</v>
      </c>
      <c r="AV94" s="283">
        <v>159492</v>
      </c>
      <c r="AW94" s="283">
        <f t="shared" si="8"/>
        <v>162207</v>
      </c>
      <c r="AX94" s="283">
        <v>223500</v>
      </c>
      <c r="AY94" s="283">
        <v>177900</v>
      </c>
      <c r="AZ94" s="283">
        <v>196200</v>
      </c>
      <c r="BA94" s="283">
        <v>156000</v>
      </c>
      <c r="BB94" s="283">
        <v>162500</v>
      </c>
      <c r="BC94" s="283">
        <v>143400</v>
      </c>
      <c r="BD94" s="283">
        <v>128400</v>
      </c>
      <c r="BE94" s="283">
        <v>139200</v>
      </c>
      <c r="BF94" s="283">
        <v>209200</v>
      </c>
      <c r="BG94" s="283">
        <v>160200</v>
      </c>
      <c r="BH94" s="283">
        <v>254200</v>
      </c>
      <c r="BI94" s="283" t="e">
        <f>VLOOKUP(D94,Mid!$A$2:$C$225,3,FALSE)</f>
        <v>#N/A</v>
      </c>
      <c r="BJ94" s="283">
        <v>149000</v>
      </c>
      <c r="BK94" s="283">
        <v>108900</v>
      </c>
      <c r="BL94" s="283">
        <v>144100</v>
      </c>
      <c r="BM94" s="283">
        <v>188400</v>
      </c>
      <c r="BN94" s="283">
        <v>95900</v>
      </c>
      <c r="BO94" s="283">
        <v>148900</v>
      </c>
      <c r="BP94" s="283">
        <v>197700</v>
      </c>
      <c r="BQ94" s="283">
        <v>214400</v>
      </c>
      <c r="BR94" s="283">
        <v>113800</v>
      </c>
      <c r="BS94" s="283">
        <v>62000</v>
      </c>
      <c r="BT94" s="283">
        <v>219700</v>
      </c>
      <c r="BU94" s="283">
        <v>75800</v>
      </c>
      <c r="BV94" s="283">
        <v>146000</v>
      </c>
      <c r="BW94" s="283">
        <v>84200</v>
      </c>
      <c r="BX94" s="283">
        <v>104700</v>
      </c>
      <c r="BY94" s="283">
        <v>104700</v>
      </c>
      <c r="BZ94" s="283">
        <v>113300</v>
      </c>
      <c r="CA94" s="283">
        <v>135300</v>
      </c>
      <c r="CB94" s="283">
        <v>155800</v>
      </c>
      <c r="CC94" s="283">
        <v>96200</v>
      </c>
      <c r="CD94" s="283">
        <v>121900</v>
      </c>
      <c r="CE94" s="283">
        <v>147000</v>
      </c>
      <c r="CF94" s="283">
        <v>140300</v>
      </c>
      <c r="CG94" s="283">
        <v>115000</v>
      </c>
      <c r="CH94" s="283">
        <v>101300</v>
      </c>
      <c r="CI94" s="283">
        <v>75913.432956</v>
      </c>
      <c r="CJ94" s="283">
        <v>113500</v>
      </c>
      <c r="CK94" s="283">
        <f t="shared" si="9"/>
        <v>98937.8109853333</v>
      </c>
      <c r="CL94" s="370"/>
      <c r="CM94" s="371">
        <f>Summary!$D$2</f>
        <v>2530324.072226</v>
      </c>
      <c r="CN94" s="258">
        <f t="shared" si="12"/>
        <v>1</v>
      </c>
    </row>
    <row r="95" ht="15.6" spans="1:92">
      <c r="A95" s="258" t="s">
        <v>138</v>
      </c>
      <c r="B95" s="258" t="s">
        <v>513</v>
      </c>
      <c r="C95" s="258" t="s">
        <v>1492</v>
      </c>
      <c r="D95" s="258" t="s">
        <v>453</v>
      </c>
      <c r="E95" s="258" t="s">
        <v>234</v>
      </c>
      <c r="F95" s="260" t="s">
        <v>426</v>
      </c>
      <c r="G95" s="343"/>
      <c r="H95" s="283">
        <f t="shared" si="11"/>
        <v>240918.916666667</v>
      </c>
      <c r="I95" s="360" t="s">
        <v>1493</v>
      </c>
      <c r="J95" s="351">
        <v>120086</v>
      </c>
      <c r="K95" s="351">
        <v>115762</v>
      </c>
      <c r="L95" s="351">
        <v>126019</v>
      </c>
      <c r="M95" s="351">
        <v>156279</v>
      </c>
      <c r="N95" s="352">
        <v>155457</v>
      </c>
      <c r="O95" s="353">
        <v>117597</v>
      </c>
      <c r="P95" s="353">
        <v>152252</v>
      </c>
      <c r="Q95" s="353">
        <v>136843</v>
      </c>
      <c r="R95" s="353">
        <v>140431</v>
      </c>
      <c r="S95" s="353">
        <v>105550</v>
      </c>
      <c r="T95" s="353">
        <v>108515</v>
      </c>
      <c r="U95" s="353" t="e">
        <f>VLOOKUP(D95,Mid!$A$2:$C$225,2,FALSE)</f>
        <v>#N/A</v>
      </c>
      <c r="V95" s="353">
        <v>115448</v>
      </c>
      <c r="W95" s="353">
        <v>128854</v>
      </c>
      <c r="X95" s="353">
        <v>109008</v>
      </c>
      <c r="Y95" s="353">
        <v>126106</v>
      </c>
      <c r="Z95" s="353">
        <v>105890</v>
      </c>
      <c r="AA95" s="353">
        <v>96420</v>
      </c>
      <c r="AB95" s="353">
        <v>129737</v>
      </c>
      <c r="AC95" s="353">
        <v>160912</v>
      </c>
      <c r="AD95" s="353">
        <v>91541</v>
      </c>
      <c r="AE95" s="353">
        <v>90726</v>
      </c>
      <c r="AF95" s="353">
        <v>94147</v>
      </c>
      <c r="AG95" s="353">
        <v>111698</v>
      </c>
      <c r="AH95" s="353">
        <v>89156</v>
      </c>
      <c r="AI95" s="353">
        <v>117178</v>
      </c>
      <c r="AJ95" s="283">
        <v>90805</v>
      </c>
      <c r="AK95" s="283" t="s">
        <v>1494</v>
      </c>
      <c r="AL95" s="283">
        <v>117499</v>
      </c>
      <c r="AM95" s="283" t="s">
        <v>1495</v>
      </c>
      <c r="AN95" s="283" t="s">
        <v>1496</v>
      </c>
      <c r="AO95" s="283" t="s">
        <v>1497</v>
      </c>
      <c r="AP95" s="283">
        <v>165358</v>
      </c>
      <c r="AQ95" s="283" t="s">
        <v>1498</v>
      </c>
      <c r="AR95" s="283" t="s">
        <v>1499</v>
      </c>
      <c r="AS95" s="283" t="s">
        <v>1500</v>
      </c>
      <c r="AT95" s="283" t="s">
        <v>1501</v>
      </c>
      <c r="AU95" s="283" t="s">
        <v>1502</v>
      </c>
      <c r="AV95" s="283" t="s">
        <v>1503</v>
      </c>
      <c r="AW95" s="283">
        <f t="shared" si="8"/>
        <v>154271.166666667</v>
      </c>
      <c r="AX95" s="283">
        <v>97000</v>
      </c>
      <c r="AY95" s="283">
        <v>117000</v>
      </c>
      <c r="AZ95" s="283">
        <v>118900</v>
      </c>
      <c r="BA95" s="283">
        <v>119100</v>
      </c>
      <c r="BB95" s="283">
        <v>155800</v>
      </c>
      <c r="BC95" s="283">
        <v>159800</v>
      </c>
      <c r="BD95" s="283">
        <v>122000</v>
      </c>
      <c r="BE95" s="283">
        <v>148800</v>
      </c>
      <c r="BF95" s="283">
        <v>142800</v>
      </c>
      <c r="BG95" s="283">
        <v>78200</v>
      </c>
      <c r="BH95" s="283">
        <v>93800</v>
      </c>
      <c r="BI95" s="283" t="e">
        <f>VLOOKUP(D95,Mid!$A$2:$C$225,3,FALSE)</f>
        <v>#N/A</v>
      </c>
      <c r="BJ95" s="283">
        <v>74500</v>
      </c>
      <c r="BK95" s="283">
        <v>77700</v>
      </c>
      <c r="BL95" s="283">
        <v>74100</v>
      </c>
      <c r="BM95" s="283">
        <v>127500</v>
      </c>
      <c r="BN95" s="283">
        <v>142000</v>
      </c>
      <c r="BO95" s="283">
        <v>90800</v>
      </c>
      <c r="BP95" s="283">
        <v>62600</v>
      </c>
      <c r="BQ95" s="283">
        <v>109000</v>
      </c>
      <c r="BR95" s="283">
        <v>105200</v>
      </c>
      <c r="BS95" s="283">
        <v>101400</v>
      </c>
      <c r="BT95" s="283">
        <v>88400</v>
      </c>
      <c r="BU95" s="283">
        <v>50500</v>
      </c>
      <c r="BV95" s="283">
        <v>50500</v>
      </c>
      <c r="BW95" s="283">
        <v>202000</v>
      </c>
      <c r="BX95" s="283">
        <v>124300</v>
      </c>
      <c r="BY95" s="283">
        <v>124300</v>
      </c>
      <c r="BZ95" s="283">
        <v>76000</v>
      </c>
      <c r="CA95" s="283">
        <v>207300</v>
      </c>
      <c r="CB95" s="283">
        <v>185500</v>
      </c>
      <c r="CC95" s="283">
        <v>195100</v>
      </c>
      <c r="CD95" s="283">
        <v>97100</v>
      </c>
      <c r="CE95" s="283">
        <v>86800</v>
      </c>
      <c r="CF95" s="283">
        <v>103400</v>
      </c>
      <c r="CG95" s="283">
        <v>142386.96</v>
      </c>
      <c r="CH95" s="283">
        <v>231600</v>
      </c>
      <c r="CI95" s="283">
        <v>338600</v>
      </c>
      <c r="CJ95" s="283">
        <v>352200</v>
      </c>
      <c r="CK95" s="283">
        <f t="shared" si="9"/>
        <v>327566.666666667</v>
      </c>
      <c r="CL95" s="370"/>
      <c r="CM95" s="371">
        <f>Summary!$D$2</f>
        <v>2530324.072226</v>
      </c>
      <c r="CN95" s="258">
        <f t="shared" si="12"/>
        <v>1</v>
      </c>
    </row>
    <row r="96" ht="15.6" spans="1:92">
      <c r="A96" s="258" t="s">
        <v>138</v>
      </c>
      <c r="B96" s="258" t="s">
        <v>694</v>
      </c>
      <c r="C96" s="258" t="s">
        <v>230</v>
      </c>
      <c r="D96" s="258" t="s">
        <v>491</v>
      </c>
      <c r="E96" s="258" t="s">
        <v>441</v>
      </c>
      <c r="F96" s="260" t="s">
        <v>250</v>
      </c>
      <c r="G96" s="343"/>
      <c r="H96" s="343">
        <f t="shared" si="11"/>
        <v>71139.9166666667</v>
      </c>
      <c r="I96" s="360" t="s">
        <v>714</v>
      </c>
      <c r="J96" s="376"/>
      <c r="K96" s="376"/>
      <c r="L96" s="376"/>
      <c r="M96" s="376"/>
      <c r="N96" s="377"/>
      <c r="O96" s="365"/>
      <c r="P96" s="365"/>
      <c r="Q96" s="365"/>
      <c r="R96" s="365"/>
      <c r="S96" s="365"/>
      <c r="T96" s="365"/>
      <c r="U96" s="365"/>
      <c r="V96" s="365">
        <v>152196</v>
      </c>
      <c r="W96" s="353">
        <v>145150</v>
      </c>
      <c r="X96" s="353">
        <v>133684</v>
      </c>
      <c r="Y96" s="353">
        <v>115953</v>
      </c>
      <c r="Z96" s="353">
        <v>114111</v>
      </c>
      <c r="AA96" s="353">
        <v>127512</v>
      </c>
      <c r="AB96" s="353">
        <v>101483</v>
      </c>
      <c r="AC96" s="353">
        <v>126430</v>
      </c>
      <c r="AD96" s="353">
        <v>86015</v>
      </c>
      <c r="AE96" s="353">
        <v>109314</v>
      </c>
      <c r="AF96" s="353">
        <v>99810</v>
      </c>
      <c r="AG96" s="353">
        <v>101941</v>
      </c>
      <c r="AH96" s="353">
        <v>89365</v>
      </c>
      <c r="AI96" s="353">
        <v>160872</v>
      </c>
      <c r="AJ96" s="283">
        <v>121101</v>
      </c>
      <c r="AK96" s="283" t="s">
        <v>1504</v>
      </c>
      <c r="AL96" s="283">
        <v>101736</v>
      </c>
      <c r="AM96" s="283" t="s">
        <v>1505</v>
      </c>
      <c r="AN96" s="283" t="s">
        <v>1506</v>
      </c>
      <c r="AO96" s="283" t="s">
        <v>1507</v>
      </c>
      <c r="AP96" s="283">
        <v>99170</v>
      </c>
      <c r="AQ96" s="283" t="s">
        <v>1508</v>
      </c>
      <c r="AR96" s="283" t="s">
        <v>1509</v>
      </c>
      <c r="AS96" s="283" t="s">
        <v>1510</v>
      </c>
      <c r="AT96" s="283" t="s">
        <v>1511</v>
      </c>
      <c r="AU96" s="283" t="s">
        <v>1512</v>
      </c>
      <c r="AV96" s="283" t="s">
        <v>1513</v>
      </c>
      <c r="AW96" s="283">
        <f t="shared" si="8"/>
        <v>100613.166666667</v>
      </c>
      <c r="AX96" s="283"/>
      <c r="AY96" s="283"/>
      <c r="AZ96" s="283"/>
      <c r="BA96" s="283"/>
      <c r="BB96" s="283"/>
      <c r="BC96" s="283"/>
      <c r="BD96" s="283"/>
      <c r="BE96" s="283"/>
      <c r="BF96" s="283"/>
      <c r="BG96" s="283"/>
      <c r="BH96" s="283"/>
      <c r="BI96" s="283"/>
      <c r="BJ96" s="283">
        <v>97300</v>
      </c>
      <c r="BK96" s="283">
        <v>0</v>
      </c>
      <c r="BL96" s="283">
        <v>89500</v>
      </c>
      <c r="BM96" s="283">
        <v>146800</v>
      </c>
      <c r="BN96" s="283">
        <v>111900</v>
      </c>
      <c r="BO96" s="283">
        <v>62600</v>
      </c>
      <c r="BP96" s="283">
        <v>119000</v>
      </c>
      <c r="BQ96" s="283">
        <v>96900</v>
      </c>
      <c r="BR96" s="283">
        <v>55000</v>
      </c>
      <c r="BS96" s="283">
        <v>102300</v>
      </c>
      <c r="BT96" s="283">
        <v>73600</v>
      </c>
      <c r="BU96" s="283">
        <v>24400</v>
      </c>
      <c r="BV96" s="283">
        <v>60500</v>
      </c>
      <c r="BW96" s="283">
        <v>60500</v>
      </c>
      <c r="BX96" s="283">
        <v>51160</v>
      </c>
      <c r="BY96" s="283">
        <v>51200</v>
      </c>
      <c r="BZ96" s="283">
        <v>63900</v>
      </c>
      <c r="CA96" s="283">
        <v>86700</v>
      </c>
      <c r="CB96" s="283">
        <v>85974</v>
      </c>
      <c r="CC96" s="283">
        <v>76328</v>
      </c>
      <c r="CD96" s="283">
        <v>18300</v>
      </c>
      <c r="CE96" s="283">
        <v>18300</v>
      </c>
      <c r="CF96" s="283">
        <v>89664.8</v>
      </c>
      <c r="CG96" s="283">
        <v>77000</v>
      </c>
      <c r="CH96" s="283">
        <v>27300</v>
      </c>
      <c r="CI96" s="283">
        <v>36500</v>
      </c>
      <c r="CJ96" s="283">
        <v>49900</v>
      </c>
      <c r="CK96" s="283">
        <f t="shared" si="9"/>
        <v>41666.6666666667</v>
      </c>
      <c r="CL96" s="370"/>
      <c r="CM96" s="371">
        <f>Summary!$D$2</f>
        <v>2530324.072226</v>
      </c>
      <c r="CN96" s="258">
        <f t="shared" si="12"/>
        <v>0</v>
      </c>
    </row>
    <row r="97" ht="15.6" spans="1:92">
      <c r="A97" s="258" t="s">
        <v>138</v>
      </c>
      <c r="B97" s="258" t="s">
        <v>694</v>
      </c>
      <c r="C97" s="258" t="s">
        <v>230</v>
      </c>
      <c r="D97" s="258" t="s">
        <v>237</v>
      </c>
      <c r="E97" s="258" t="s">
        <v>441</v>
      </c>
      <c r="F97" s="260" t="s">
        <v>250</v>
      </c>
      <c r="G97" s="343"/>
      <c r="H97" s="283">
        <f t="shared" si="11"/>
        <v>131059.656666667</v>
      </c>
      <c r="I97" s="292"/>
      <c r="J97" s="351">
        <v>87902</v>
      </c>
      <c r="K97" s="351">
        <v>102458</v>
      </c>
      <c r="L97" s="351">
        <v>94012</v>
      </c>
      <c r="M97" s="351">
        <v>129606</v>
      </c>
      <c r="N97" s="352">
        <v>112170</v>
      </c>
      <c r="O97" s="353">
        <v>132056</v>
      </c>
      <c r="P97" s="353">
        <v>116254</v>
      </c>
      <c r="Q97" s="353">
        <v>120278</v>
      </c>
      <c r="R97" s="353">
        <v>117135</v>
      </c>
      <c r="S97" s="353">
        <v>113204</v>
      </c>
      <c r="T97" s="353">
        <v>103223</v>
      </c>
      <c r="U97" s="353" t="e">
        <f>VLOOKUP(D97,Mid!$A$2:$C$225,2,FALSE)</f>
        <v>#N/A</v>
      </c>
      <c r="V97" s="353">
        <v>148690</v>
      </c>
      <c r="W97" s="353">
        <v>133675</v>
      </c>
      <c r="X97" s="353">
        <v>119583</v>
      </c>
      <c r="Y97" s="353">
        <v>164581</v>
      </c>
      <c r="Z97" s="353">
        <v>149981</v>
      </c>
      <c r="AA97" s="353">
        <v>134994</v>
      </c>
      <c r="AB97" s="353">
        <v>143477</v>
      </c>
      <c r="AC97" s="353">
        <v>161272</v>
      </c>
      <c r="AD97" s="353">
        <v>128951</v>
      </c>
      <c r="AE97" s="353">
        <v>106047</v>
      </c>
      <c r="AF97" s="353">
        <v>104473</v>
      </c>
      <c r="AG97" s="353">
        <v>94236</v>
      </c>
      <c r="AH97" s="353">
        <v>95539</v>
      </c>
      <c r="AI97" s="353">
        <v>98060</v>
      </c>
      <c r="AJ97" s="367">
        <v>112717</v>
      </c>
      <c r="AK97" s="283" t="s">
        <v>1514</v>
      </c>
      <c r="AL97" s="283">
        <v>98643</v>
      </c>
      <c r="AM97" s="283" t="s">
        <v>1515</v>
      </c>
      <c r="AN97" s="283" t="s">
        <v>1516</v>
      </c>
      <c r="AO97" s="283" t="s">
        <v>1517</v>
      </c>
      <c r="AP97" s="283">
        <v>100584</v>
      </c>
      <c r="AQ97" s="283">
        <f>224707*0.3334*2</f>
        <v>149834.6276</v>
      </c>
      <c r="AR97" s="283" t="s">
        <v>1518</v>
      </c>
      <c r="AS97" s="283" t="s">
        <v>1519</v>
      </c>
      <c r="AT97" s="283" t="s">
        <v>1520</v>
      </c>
      <c r="AU97" s="283" t="s">
        <v>1521</v>
      </c>
      <c r="AV97" s="283" t="s">
        <v>1522</v>
      </c>
      <c r="AW97" s="283">
        <f t="shared" si="8"/>
        <v>144440.333333333</v>
      </c>
      <c r="AX97" s="283">
        <v>199500</v>
      </c>
      <c r="AY97" s="283">
        <v>179600</v>
      </c>
      <c r="AZ97" s="283">
        <v>166600</v>
      </c>
      <c r="BA97" s="283">
        <v>167700</v>
      </c>
      <c r="BB97" s="283">
        <v>209900</v>
      </c>
      <c r="BC97" s="283">
        <v>207200</v>
      </c>
      <c r="BD97" s="283">
        <v>150400</v>
      </c>
      <c r="BE97" s="283">
        <v>169600</v>
      </c>
      <c r="BF97" s="283">
        <v>301100</v>
      </c>
      <c r="BG97" s="283">
        <v>303500</v>
      </c>
      <c r="BH97" s="283">
        <v>271000</v>
      </c>
      <c r="BI97" s="283" t="e">
        <f>VLOOKUP(D97,Mid!$A$2:$C$225,3,FALSE)</f>
        <v>#N/A</v>
      </c>
      <c r="BJ97" s="283">
        <v>202700</v>
      </c>
      <c r="BK97" s="283">
        <v>220300</v>
      </c>
      <c r="BL97" s="283">
        <v>222100</v>
      </c>
      <c r="BM97" s="283">
        <v>251900</v>
      </c>
      <c r="BN97" s="283">
        <v>246300</v>
      </c>
      <c r="BO97" s="283">
        <v>185200</v>
      </c>
      <c r="BP97" s="283">
        <v>283000</v>
      </c>
      <c r="BQ97" s="283">
        <v>196900</v>
      </c>
      <c r="BR97" s="283">
        <v>222900</v>
      </c>
      <c r="BS97" s="283">
        <v>205800</v>
      </c>
      <c r="BT97" s="283">
        <v>240700</v>
      </c>
      <c r="BU97" s="283">
        <v>73400</v>
      </c>
      <c r="BV97" s="283">
        <v>57100</v>
      </c>
      <c r="BW97" s="283">
        <v>102000</v>
      </c>
      <c r="BX97" s="283">
        <v>179200</v>
      </c>
      <c r="BY97" s="283">
        <v>282400</v>
      </c>
      <c r="BZ97" s="283">
        <v>207000</v>
      </c>
      <c r="CA97" s="283">
        <v>181900</v>
      </c>
      <c r="CB97" s="283">
        <v>166600</v>
      </c>
      <c r="CC97" s="283">
        <v>67000</v>
      </c>
      <c r="CD97" s="283">
        <v>89700</v>
      </c>
      <c r="CE97" s="283">
        <v>145200</v>
      </c>
      <c r="CF97" s="283">
        <v>137959</v>
      </c>
      <c r="CG97" s="283">
        <v>145100</v>
      </c>
      <c r="CH97" s="283">
        <v>104500</v>
      </c>
      <c r="CI97" s="283">
        <v>108050.62</v>
      </c>
      <c r="CJ97" s="283">
        <v>128490.88</v>
      </c>
      <c r="CK97" s="283">
        <f t="shared" si="9"/>
        <v>117678.98</v>
      </c>
      <c r="CL97" s="370"/>
      <c r="CM97" s="371">
        <f>Summary!$D$2</f>
        <v>2530324.072226</v>
      </c>
      <c r="CN97" s="258">
        <f t="shared" si="12"/>
        <v>1</v>
      </c>
    </row>
    <row r="98" ht="124.8" spans="1:92">
      <c r="A98" s="258" t="s">
        <v>138</v>
      </c>
      <c r="B98" s="258" t="s">
        <v>694</v>
      </c>
      <c r="C98" s="258" t="s">
        <v>230</v>
      </c>
      <c r="D98" s="258" t="s">
        <v>232</v>
      </c>
      <c r="E98" s="258" t="s">
        <v>233</v>
      </c>
      <c r="F98" s="260" t="s">
        <v>234</v>
      </c>
      <c r="G98" s="343"/>
      <c r="H98" s="283">
        <f t="shared" si="11"/>
        <v>171311.8284</v>
      </c>
      <c r="I98" s="292" t="s">
        <v>1523</v>
      </c>
      <c r="J98" s="351"/>
      <c r="K98" s="351"/>
      <c r="L98" s="351"/>
      <c r="M98" s="351"/>
      <c r="N98" s="352"/>
      <c r="O98" s="353"/>
      <c r="P98" s="353"/>
      <c r="Q98" s="353"/>
      <c r="R98" s="353"/>
      <c r="S98" s="353"/>
      <c r="T98" s="353"/>
      <c r="U98" s="353"/>
      <c r="V98" s="353"/>
      <c r="W98" s="353"/>
      <c r="X98" s="353"/>
      <c r="Y98" s="353"/>
      <c r="Z98" s="353"/>
      <c r="AA98" s="353"/>
      <c r="AB98" s="353"/>
      <c r="AC98" s="353"/>
      <c r="AD98" s="353"/>
      <c r="AE98" s="353"/>
      <c r="AF98" s="353"/>
      <c r="AG98" s="353"/>
      <c r="AH98" s="353"/>
      <c r="AI98" s="353">
        <v>96945</v>
      </c>
      <c r="AJ98" s="353">
        <v>111125</v>
      </c>
      <c r="AK98" s="283">
        <v>108318</v>
      </c>
      <c r="AL98" s="283">
        <v>91889</v>
      </c>
      <c r="AM98" s="283" t="s">
        <v>1524</v>
      </c>
      <c r="AN98" s="283" t="s">
        <v>1525</v>
      </c>
      <c r="AO98" s="283" t="s">
        <v>1526</v>
      </c>
      <c r="AP98" s="283">
        <v>105238</v>
      </c>
      <c r="AQ98" s="283" t="s">
        <v>1527</v>
      </c>
      <c r="AR98" s="283" t="s">
        <v>1528</v>
      </c>
      <c r="AS98" s="283" t="s">
        <v>1529</v>
      </c>
      <c r="AT98" s="283" t="s">
        <v>1530</v>
      </c>
      <c r="AU98" s="283">
        <f>0.3656*2*172967</f>
        <v>126473.4704</v>
      </c>
      <c r="AV98" s="283" t="s">
        <v>1531</v>
      </c>
      <c r="AW98" s="283">
        <f t="shared" si="8"/>
        <v>139306.990133333</v>
      </c>
      <c r="AX98" s="283"/>
      <c r="AY98" s="283"/>
      <c r="AZ98" s="283"/>
      <c r="BA98" s="283"/>
      <c r="BB98" s="283"/>
      <c r="BC98" s="283"/>
      <c r="BD98" s="283"/>
      <c r="BE98" s="283"/>
      <c r="BF98" s="283"/>
      <c r="BG98" s="283"/>
      <c r="BH98" s="283"/>
      <c r="BI98" s="283"/>
      <c r="BJ98" s="283"/>
      <c r="BK98" s="283"/>
      <c r="BL98" s="283"/>
      <c r="BM98" s="283"/>
      <c r="BN98" s="283"/>
      <c r="BO98" s="283"/>
      <c r="BP98" s="283"/>
      <c r="BQ98" s="283"/>
      <c r="BR98" s="283"/>
      <c r="BS98" s="283"/>
      <c r="BT98" s="283"/>
      <c r="BU98" s="283"/>
      <c r="BV98" s="283">
        <v>57300</v>
      </c>
      <c r="BW98" s="283">
        <v>695000</v>
      </c>
      <c r="BX98" s="283">
        <v>49207</v>
      </c>
      <c r="BY98" s="283">
        <v>49207</v>
      </c>
      <c r="BZ98" s="283">
        <v>75043</v>
      </c>
      <c r="CA98" s="283">
        <v>117500</v>
      </c>
      <c r="CB98" s="283">
        <v>99200</v>
      </c>
      <c r="CC98" s="283">
        <v>62300</v>
      </c>
      <c r="CD98" s="283">
        <v>55200</v>
      </c>
      <c r="CE98" s="283">
        <f>1300000*0.14*0.3717*2</f>
        <v>135298.8</v>
      </c>
      <c r="CF98" s="283">
        <v>109873.9</v>
      </c>
      <c r="CG98" s="283">
        <v>98700</v>
      </c>
      <c r="CH98" s="283">
        <v>123700</v>
      </c>
      <c r="CI98" s="283">
        <v>141600</v>
      </c>
      <c r="CJ98" s="283">
        <v>271000</v>
      </c>
      <c r="CK98" s="283">
        <f t="shared" si="9"/>
        <v>203316.666666667</v>
      </c>
      <c r="CL98" s="370"/>
      <c r="CM98" s="371">
        <f>Summary!$D$2</f>
        <v>2530324.072226</v>
      </c>
      <c r="CN98" s="258">
        <f t="shared" si="12"/>
        <v>1</v>
      </c>
    </row>
    <row r="99" ht="15.6" spans="1:92">
      <c r="A99" s="258" t="s">
        <v>138</v>
      </c>
      <c r="B99" s="258" t="s">
        <v>694</v>
      </c>
      <c r="C99" s="258" t="s">
        <v>230</v>
      </c>
      <c r="D99" s="258" t="s">
        <v>1532</v>
      </c>
      <c r="E99" s="258" t="s">
        <v>441</v>
      </c>
      <c r="F99" s="260" t="s">
        <v>422</v>
      </c>
      <c r="G99" s="343"/>
      <c r="H99" s="283">
        <f t="shared" si="11"/>
        <v>13614.5833333333</v>
      </c>
      <c r="I99" s="292"/>
      <c r="J99" s="351">
        <v>48532</v>
      </c>
      <c r="K99" s="351">
        <v>69253</v>
      </c>
      <c r="L99" s="351">
        <v>59709</v>
      </c>
      <c r="M99" s="351">
        <v>62418</v>
      </c>
      <c r="N99" s="352">
        <v>49545</v>
      </c>
      <c r="O99" s="353">
        <v>40575</v>
      </c>
      <c r="P99" s="353">
        <v>40373</v>
      </c>
      <c r="Q99" s="353">
        <v>45987</v>
      </c>
      <c r="R99" s="353">
        <v>36095</v>
      </c>
      <c r="S99" s="353">
        <v>36753</v>
      </c>
      <c r="T99" s="353">
        <v>39232</v>
      </c>
      <c r="U99" s="353" t="e">
        <f>VLOOKUP(D99,Mid!$A$2:$C$225,2,FALSE)</f>
        <v>#N/A</v>
      </c>
      <c r="V99" s="353">
        <v>38288</v>
      </c>
      <c r="W99" s="353">
        <v>42705</v>
      </c>
      <c r="X99" s="353">
        <v>42383</v>
      </c>
      <c r="Y99" s="353">
        <v>55384</v>
      </c>
      <c r="Z99" s="353">
        <v>40248</v>
      </c>
      <c r="AA99" s="353">
        <v>67679</v>
      </c>
      <c r="AB99" s="353">
        <v>32362</v>
      </c>
      <c r="AC99" s="353">
        <v>62102</v>
      </c>
      <c r="AD99" s="353">
        <v>51508</v>
      </c>
      <c r="AE99" s="353">
        <v>36618</v>
      </c>
      <c r="AF99" s="353">
        <v>42811</v>
      </c>
      <c r="AG99" s="353">
        <v>51946</v>
      </c>
      <c r="AH99" s="353">
        <v>51839</v>
      </c>
      <c r="AI99" s="353">
        <v>44529</v>
      </c>
      <c r="AJ99" s="353">
        <v>48108</v>
      </c>
      <c r="AK99" s="283" t="s">
        <v>1533</v>
      </c>
      <c r="AL99" s="283">
        <v>56430</v>
      </c>
      <c r="AM99" s="283" t="s">
        <v>1534</v>
      </c>
      <c r="AN99" s="283" t="s">
        <v>1535</v>
      </c>
      <c r="AO99" s="283" t="s">
        <v>1536</v>
      </c>
      <c r="AP99" s="283">
        <v>43485</v>
      </c>
      <c r="AQ99" s="283" t="s">
        <v>1537</v>
      </c>
      <c r="AR99" s="283" t="s">
        <v>1538</v>
      </c>
      <c r="AS99" s="283" t="s">
        <v>1539</v>
      </c>
      <c r="AT99" s="283" t="s">
        <v>1540</v>
      </c>
      <c r="AU99" s="283" t="s">
        <v>1541</v>
      </c>
      <c r="AV99" s="283" t="s">
        <v>1542</v>
      </c>
      <c r="AW99" s="283">
        <f t="shared" si="8"/>
        <v>23012.5</v>
      </c>
      <c r="AX99" s="283">
        <v>55700</v>
      </c>
      <c r="AY99" s="283">
        <v>52500</v>
      </c>
      <c r="AZ99" s="283">
        <v>59300</v>
      </c>
      <c r="BA99" s="283">
        <v>60900</v>
      </c>
      <c r="BB99" s="283">
        <v>52600</v>
      </c>
      <c r="BC99" s="283">
        <v>53900</v>
      </c>
      <c r="BD99" s="283">
        <v>57800</v>
      </c>
      <c r="BE99" s="283">
        <v>70500</v>
      </c>
      <c r="BF99" s="283">
        <v>110300</v>
      </c>
      <c r="BG99" s="283">
        <v>80300</v>
      </c>
      <c r="BH99" s="283">
        <v>53600</v>
      </c>
      <c r="BI99" s="283" t="e">
        <f>VLOOKUP(D99,Mid!$A$2:$C$225,3,FALSE)</f>
        <v>#N/A</v>
      </c>
      <c r="BJ99" s="283">
        <v>42500</v>
      </c>
      <c r="BK99" s="283">
        <v>39300</v>
      </c>
      <c r="BL99" s="283">
        <v>33500</v>
      </c>
      <c r="BM99" s="283">
        <v>17500</v>
      </c>
      <c r="BN99" s="283">
        <v>37700</v>
      </c>
      <c r="BO99" s="283">
        <v>37600</v>
      </c>
      <c r="BP99" s="283">
        <v>40200</v>
      </c>
      <c r="BQ99" s="283">
        <v>41000</v>
      </c>
      <c r="BR99" s="283">
        <v>9200</v>
      </c>
      <c r="BS99" s="283">
        <v>15200</v>
      </c>
      <c r="BT99" s="283">
        <v>44400</v>
      </c>
      <c r="BU99" s="283">
        <v>11000</v>
      </c>
      <c r="BV99" s="283">
        <v>16576</v>
      </c>
      <c r="BW99" s="283">
        <v>40100</v>
      </c>
      <c r="BX99" s="283">
        <v>13700</v>
      </c>
      <c r="BY99" s="283">
        <v>13700</v>
      </c>
      <c r="BZ99" s="283">
        <v>37100</v>
      </c>
      <c r="CA99" s="283">
        <v>30668.1</v>
      </c>
      <c r="CB99" s="283">
        <v>33800</v>
      </c>
      <c r="CC99" s="283">
        <v>39180</v>
      </c>
      <c r="CD99" s="283">
        <v>46700</v>
      </c>
      <c r="CE99" s="283">
        <v>46700</v>
      </c>
      <c r="CF99" s="283">
        <v>45600</v>
      </c>
      <c r="CG99" s="283">
        <v>8600</v>
      </c>
      <c r="CH99" s="283">
        <v>5600</v>
      </c>
      <c r="CI99" s="283">
        <v>5800</v>
      </c>
      <c r="CJ99" s="283">
        <v>2700</v>
      </c>
      <c r="CK99" s="283">
        <f t="shared" si="9"/>
        <v>4216.66666666667</v>
      </c>
      <c r="CL99" s="370"/>
      <c r="CM99" s="371">
        <f>Summary!$D$2</f>
        <v>2530324.072226</v>
      </c>
      <c r="CN99" s="258">
        <f t="shared" si="12"/>
        <v>0</v>
      </c>
    </row>
    <row r="100" ht="15.6" spans="1:92">
      <c r="A100" s="258" t="s">
        <v>138</v>
      </c>
      <c r="B100" s="258" t="s">
        <v>694</v>
      </c>
      <c r="C100" s="258" t="s">
        <v>230</v>
      </c>
      <c r="D100" s="258" t="s">
        <v>746</v>
      </c>
      <c r="E100" s="258" t="s">
        <v>233</v>
      </c>
      <c r="F100" s="260" t="s">
        <v>266</v>
      </c>
      <c r="G100" s="343"/>
      <c r="H100" s="283">
        <f>(AW100+CK100)*0.13/2</f>
        <v>1365.33583333333</v>
      </c>
      <c r="I100" s="292" t="s">
        <v>747</v>
      </c>
      <c r="J100" s="351">
        <v>176032</v>
      </c>
      <c r="K100" s="351">
        <v>267943</v>
      </c>
      <c r="L100" s="351">
        <v>214616</v>
      </c>
      <c r="M100" s="351">
        <v>258271</v>
      </c>
      <c r="N100" s="352">
        <v>187928</v>
      </c>
      <c r="O100" s="353">
        <v>181520</v>
      </c>
      <c r="P100" s="353">
        <v>224967</v>
      </c>
      <c r="Q100" s="353">
        <v>207895</v>
      </c>
      <c r="R100" s="353">
        <v>206333</v>
      </c>
      <c r="S100" s="353">
        <v>182539</v>
      </c>
      <c r="T100" s="353">
        <v>146238</v>
      </c>
      <c r="U100" s="353" t="e">
        <f>VLOOKUP(D100,Mid!$A$2:$C$225,2,FALSE)</f>
        <v>#N/A</v>
      </c>
      <c r="V100" s="353">
        <v>184359</v>
      </c>
      <c r="W100" s="353">
        <v>174167</v>
      </c>
      <c r="X100" s="353">
        <v>214152</v>
      </c>
      <c r="Y100" s="353">
        <v>199633</v>
      </c>
      <c r="Z100" s="353">
        <v>208932</v>
      </c>
      <c r="AA100" s="353">
        <v>209530</v>
      </c>
      <c r="AB100" s="353">
        <v>184819</v>
      </c>
      <c r="AC100" s="353">
        <v>229858</v>
      </c>
      <c r="AD100" s="353">
        <v>346107</v>
      </c>
      <c r="AE100" s="353">
        <v>271884</v>
      </c>
      <c r="AF100" s="353">
        <v>198072</v>
      </c>
      <c r="AG100" s="353">
        <v>238983</v>
      </c>
      <c r="AH100" s="353">
        <v>396684</v>
      </c>
      <c r="AI100" s="353">
        <v>322537</v>
      </c>
      <c r="AJ100" s="353">
        <v>279686</v>
      </c>
      <c r="AK100" s="283" t="s">
        <v>748</v>
      </c>
      <c r="AL100" s="283">
        <v>213004</v>
      </c>
      <c r="AM100" s="283" t="s">
        <v>749</v>
      </c>
      <c r="AN100" s="283" t="s">
        <v>750</v>
      </c>
      <c r="AO100" s="283" t="s">
        <v>751</v>
      </c>
      <c r="AP100" s="283">
        <v>108207</v>
      </c>
      <c r="AQ100" s="283" t="s">
        <v>752</v>
      </c>
      <c r="AR100" s="283" t="s">
        <v>753</v>
      </c>
      <c r="AS100" s="283" t="s">
        <v>754</v>
      </c>
      <c r="AT100" s="283" t="s">
        <v>755</v>
      </c>
      <c r="AU100" s="283" t="s">
        <v>756</v>
      </c>
      <c r="AV100" s="283" t="s">
        <v>757</v>
      </c>
      <c r="AW100" s="283">
        <f t="shared" si="8"/>
        <v>14215.5</v>
      </c>
      <c r="AX100" s="283">
        <v>253300</v>
      </c>
      <c r="AY100" s="283">
        <v>359800</v>
      </c>
      <c r="AZ100" s="283">
        <v>290900</v>
      </c>
      <c r="BA100" s="283">
        <v>283300</v>
      </c>
      <c r="BB100" s="283">
        <v>231200</v>
      </c>
      <c r="BC100" s="283">
        <v>211200</v>
      </c>
      <c r="BD100" s="283">
        <v>230700</v>
      </c>
      <c r="BE100" s="283">
        <v>235500</v>
      </c>
      <c r="BF100" s="283">
        <v>147000</v>
      </c>
      <c r="BG100" s="283">
        <v>181400</v>
      </c>
      <c r="BH100" s="283">
        <v>218100</v>
      </c>
      <c r="BI100" s="283" t="e">
        <f>VLOOKUP(D100,Mid!$A$2:$C$225,3,FALSE)</f>
        <v>#N/A</v>
      </c>
      <c r="BJ100" s="283">
        <v>242800</v>
      </c>
      <c r="BK100" s="283">
        <v>226800</v>
      </c>
      <c r="BL100" s="283">
        <v>142200</v>
      </c>
      <c r="BM100" s="283">
        <v>68400</v>
      </c>
      <c r="BN100" s="283">
        <v>91600</v>
      </c>
      <c r="BO100" s="283">
        <v>65000</v>
      </c>
      <c r="BP100" s="283">
        <v>78000</v>
      </c>
      <c r="BQ100" s="283">
        <v>101300</v>
      </c>
      <c r="BR100" s="283">
        <v>162800</v>
      </c>
      <c r="BS100" s="283">
        <v>57200</v>
      </c>
      <c r="BT100" s="283">
        <v>106500</v>
      </c>
      <c r="BU100" s="283">
        <v>56400</v>
      </c>
      <c r="BV100" s="283">
        <v>42500</v>
      </c>
      <c r="BW100" s="283">
        <v>76100</v>
      </c>
      <c r="BX100" s="283">
        <v>28100</v>
      </c>
      <c r="BY100" s="283">
        <v>28100</v>
      </c>
      <c r="BZ100" s="283">
        <v>17700</v>
      </c>
      <c r="CA100" s="283">
        <v>32400</v>
      </c>
      <c r="CB100" s="283">
        <v>20300</v>
      </c>
      <c r="CC100" s="283">
        <v>7300</v>
      </c>
      <c r="CD100" s="283">
        <v>12300</v>
      </c>
      <c r="CE100" s="283">
        <v>12300</v>
      </c>
      <c r="CF100" s="283">
        <v>9200</v>
      </c>
      <c r="CG100" s="283">
        <v>16500</v>
      </c>
      <c r="CH100" s="283">
        <v>17700</v>
      </c>
      <c r="CI100" s="283">
        <v>11000</v>
      </c>
      <c r="CJ100" s="283">
        <v>346</v>
      </c>
      <c r="CK100" s="283">
        <f t="shared" si="9"/>
        <v>6789.66666666667</v>
      </c>
      <c r="CL100" s="370"/>
      <c r="CM100" s="371">
        <f>Summary!$D$2</f>
        <v>2530324.072226</v>
      </c>
      <c r="CN100" s="258">
        <f t="shared" si="12"/>
        <v>0</v>
      </c>
    </row>
    <row r="101" ht="15.6" spans="1:92">
      <c r="A101" s="258" t="s">
        <v>138</v>
      </c>
      <c r="B101" s="258" t="s">
        <v>694</v>
      </c>
      <c r="C101" s="258" t="s">
        <v>234</v>
      </c>
      <c r="D101" s="258" t="s">
        <v>1543</v>
      </c>
      <c r="E101" s="258" t="s">
        <v>441</v>
      </c>
      <c r="F101" s="260" t="s">
        <v>419</v>
      </c>
      <c r="G101" s="343"/>
      <c r="H101" s="283">
        <f>(AW101+CK101)/2</f>
        <v>4694.86</v>
      </c>
      <c r="I101" s="292"/>
      <c r="J101" s="351">
        <v>18522</v>
      </c>
      <c r="K101" s="351">
        <v>26619</v>
      </c>
      <c r="L101" s="351">
        <v>13559</v>
      </c>
      <c r="M101" s="351">
        <v>61332</v>
      </c>
      <c r="N101" s="352">
        <v>48434</v>
      </c>
      <c r="O101" s="353">
        <v>21771</v>
      </c>
      <c r="P101" s="353">
        <v>47387</v>
      </c>
      <c r="Q101" s="353">
        <v>29908</v>
      </c>
      <c r="R101" s="353">
        <v>25153</v>
      </c>
      <c r="S101" s="353">
        <v>25456</v>
      </c>
      <c r="T101" s="353">
        <v>21607</v>
      </c>
      <c r="U101" s="353" t="e">
        <f>VLOOKUP(D101,Mid!$A$2:$C$225,2,FALSE)</f>
        <v>#N/A</v>
      </c>
      <c r="V101" s="353">
        <v>15787</v>
      </c>
      <c r="W101" s="353">
        <v>17375</v>
      </c>
      <c r="X101" s="353">
        <v>13065</v>
      </c>
      <c r="Y101" s="353">
        <v>12371</v>
      </c>
      <c r="Z101" s="353">
        <v>13697</v>
      </c>
      <c r="AA101" s="353">
        <v>21625</v>
      </c>
      <c r="AB101" s="353">
        <v>18928</v>
      </c>
      <c r="AC101" s="353">
        <v>26278</v>
      </c>
      <c r="AD101" s="353">
        <v>15554</v>
      </c>
      <c r="AE101" s="353">
        <v>14803</v>
      </c>
      <c r="AF101" s="353">
        <v>14505</v>
      </c>
      <c r="AG101" s="353">
        <v>17278</v>
      </c>
      <c r="AH101" s="353">
        <v>16363</v>
      </c>
      <c r="AI101" s="353">
        <v>26717</v>
      </c>
      <c r="AJ101" s="367">
        <v>14218</v>
      </c>
      <c r="AK101" s="283" t="s">
        <v>1544</v>
      </c>
      <c r="AL101" s="283">
        <v>23341</v>
      </c>
      <c r="AM101" s="283" t="s">
        <v>1020</v>
      </c>
      <c r="AN101" s="283" t="s">
        <v>1545</v>
      </c>
      <c r="AO101" s="283" t="s">
        <v>1546</v>
      </c>
      <c r="AP101" s="283">
        <v>16431</v>
      </c>
      <c r="AQ101" s="283" t="s">
        <v>1547</v>
      </c>
      <c r="AR101" s="283" t="s">
        <v>1548</v>
      </c>
      <c r="AS101" s="283" t="s">
        <v>1549</v>
      </c>
      <c r="AT101" s="283" t="s">
        <v>1550</v>
      </c>
      <c r="AU101" s="283" t="s">
        <v>1551</v>
      </c>
      <c r="AV101" s="283" t="s">
        <v>796</v>
      </c>
      <c r="AW101" s="283">
        <f t="shared" si="8"/>
        <v>5962</v>
      </c>
      <c r="AX101" s="283">
        <v>20300</v>
      </c>
      <c r="AY101" s="283">
        <v>18200</v>
      </c>
      <c r="AZ101" s="283">
        <v>23000</v>
      </c>
      <c r="BA101" s="283">
        <v>24500</v>
      </c>
      <c r="BB101" s="283">
        <v>17600</v>
      </c>
      <c r="BC101" s="283">
        <v>18700</v>
      </c>
      <c r="BD101" s="283">
        <v>29300</v>
      </c>
      <c r="BE101" s="283">
        <v>22700</v>
      </c>
      <c r="BF101" s="283">
        <v>25900</v>
      </c>
      <c r="BG101" s="283">
        <v>14700</v>
      </c>
      <c r="BH101" s="283">
        <v>17400</v>
      </c>
      <c r="BI101" s="283" t="e">
        <f>VLOOKUP(D101,Mid!$A$2:$C$225,3,FALSE)</f>
        <v>#N/A</v>
      </c>
      <c r="BJ101" s="283">
        <v>7000</v>
      </c>
      <c r="BK101" s="283">
        <v>9500</v>
      </c>
      <c r="BL101" s="283">
        <v>9900</v>
      </c>
      <c r="BM101" s="283">
        <v>25900</v>
      </c>
      <c r="BN101" s="283">
        <v>42400</v>
      </c>
      <c r="BO101" s="283">
        <v>16600</v>
      </c>
      <c r="BP101" s="283">
        <v>39200</v>
      </c>
      <c r="BQ101" s="283">
        <v>36700</v>
      </c>
      <c r="BR101" s="283">
        <v>37900</v>
      </c>
      <c r="BS101" s="283">
        <v>11700</v>
      </c>
      <c r="BT101" s="283">
        <v>30400</v>
      </c>
      <c r="BU101" s="283">
        <v>9000</v>
      </c>
      <c r="BV101" s="283">
        <v>51500</v>
      </c>
      <c r="BW101" s="283">
        <v>16400</v>
      </c>
      <c r="BX101" s="283">
        <v>41857</v>
      </c>
      <c r="BY101" s="283">
        <v>41857</v>
      </c>
      <c r="BZ101" s="283">
        <v>31584</v>
      </c>
      <c r="CA101" s="283">
        <v>35500</v>
      </c>
      <c r="CB101" s="283">
        <v>37800</v>
      </c>
      <c r="CC101" s="283">
        <v>52700</v>
      </c>
      <c r="CD101" s="283">
        <v>6800</v>
      </c>
      <c r="CE101" s="283">
        <v>6800</v>
      </c>
      <c r="CF101" s="283">
        <v>7400</v>
      </c>
      <c r="CG101" s="283">
        <v>18200</v>
      </c>
      <c r="CH101" s="283">
        <v>9096.32</v>
      </c>
      <c r="CI101" s="283">
        <v>4100</v>
      </c>
      <c r="CJ101" s="283">
        <v>1090</v>
      </c>
      <c r="CK101" s="283">
        <f t="shared" si="9"/>
        <v>3427.72</v>
      </c>
      <c r="CL101" s="370"/>
      <c r="CM101" s="371">
        <f>Summary!$D$2</f>
        <v>2530324.072226</v>
      </c>
      <c r="CN101" s="258">
        <f t="shared" si="12"/>
        <v>0</v>
      </c>
    </row>
    <row r="102" ht="15.6" spans="1:92">
      <c r="A102" s="258" t="s">
        <v>138</v>
      </c>
      <c r="B102" s="258" t="s">
        <v>694</v>
      </c>
      <c r="C102" s="258" t="s">
        <v>230</v>
      </c>
      <c r="D102" s="258" t="s">
        <v>1552</v>
      </c>
      <c r="E102" s="258" t="s">
        <v>234</v>
      </c>
      <c r="F102" s="260" t="s">
        <v>49</v>
      </c>
      <c r="G102" s="343"/>
      <c r="H102" s="283">
        <f>(AW102+CK102)/2</f>
        <v>42557.6666666666</v>
      </c>
      <c r="I102" s="360"/>
      <c r="J102" s="351">
        <v>31655</v>
      </c>
      <c r="K102" s="351">
        <v>6923</v>
      </c>
      <c r="L102" s="351">
        <v>6571</v>
      </c>
      <c r="M102" s="351">
        <v>34681</v>
      </c>
      <c r="N102" s="352">
        <v>31530</v>
      </c>
      <c r="O102" s="353">
        <v>21861</v>
      </c>
      <c r="P102" s="353">
        <v>25707</v>
      </c>
      <c r="Q102" s="353">
        <v>28505</v>
      </c>
      <c r="R102" s="353">
        <v>25818</v>
      </c>
      <c r="S102" s="353">
        <v>51093</v>
      </c>
      <c r="T102" s="353">
        <v>43690</v>
      </c>
      <c r="U102" s="353" t="e">
        <f>VLOOKUP(D102,Mid!$A$2:$C$225,2,FALSE)</f>
        <v>#N/A</v>
      </c>
      <c r="V102" s="353">
        <v>42552</v>
      </c>
      <c r="W102" s="353">
        <v>23825</v>
      </c>
      <c r="X102" s="353">
        <v>34961</v>
      </c>
      <c r="Y102" s="353">
        <v>25215</v>
      </c>
      <c r="Z102" s="353">
        <v>41523</v>
      </c>
      <c r="AA102" s="353">
        <v>32102</v>
      </c>
      <c r="AB102" s="353">
        <v>20393</v>
      </c>
      <c r="AC102" s="353">
        <v>22940</v>
      </c>
      <c r="AD102" s="353">
        <v>26439</v>
      </c>
      <c r="AE102" s="353">
        <v>25879</v>
      </c>
      <c r="AF102" s="353">
        <v>29073</v>
      </c>
      <c r="AG102" s="353">
        <v>18109</v>
      </c>
      <c r="AH102" s="353">
        <v>20645</v>
      </c>
      <c r="AI102" s="353">
        <v>27426</v>
      </c>
      <c r="AJ102" s="367">
        <v>33676</v>
      </c>
      <c r="AK102" s="283" t="s">
        <v>1553</v>
      </c>
      <c r="AL102" s="283">
        <v>58915</v>
      </c>
      <c r="AM102" s="283" t="s">
        <v>1554</v>
      </c>
      <c r="AN102" s="283" t="s">
        <v>1555</v>
      </c>
      <c r="AO102" s="283" t="s">
        <v>1556</v>
      </c>
      <c r="AP102" s="283">
        <f>35022*0.254*2</f>
        <v>17791.176</v>
      </c>
      <c r="AQ102" s="283" t="s">
        <v>1557</v>
      </c>
      <c r="AR102" s="283" t="s">
        <v>1558</v>
      </c>
      <c r="AS102" s="283" t="s">
        <v>1559</v>
      </c>
      <c r="AT102" s="283" t="s">
        <v>1560</v>
      </c>
      <c r="AU102" s="283" t="s">
        <v>1561</v>
      </c>
      <c r="AV102" s="283" t="s">
        <v>1562</v>
      </c>
      <c r="AW102" s="283">
        <f t="shared" si="8"/>
        <v>35032</v>
      </c>
      <c r="AX102" s="283">
        <v>47600</v>
      </c>
      <c r="AY102" s="283">
        <v>5600</v>
      </c>
      <c r="AZ102" s="283">
        <v>0</v>
      </c>
      <c r="BA102" s="283">
        <v>42400</v>
      </c>
      <c r="BB102" s="283">
        <v>53600</v>
      </c>
      <c r="BC102" s="283">
        <v>61000</v>
      </c>
      <c r="BD102" s="283">
        <v>45200</v>
      </c>
      <c r="BE102" s="283">
        <v>43400</v>
      </c>
      <c r="BF102" s="283">
        <v>54500</v>
      </c>
      <c r="BG102" s="283">
        <v>43000</v>
      </c>
      <c r="BH102" s="283">
        <v>67200</v>
      </c>
      <c r="BI102" s="283" t="e">
        <f>VLOOKUP(D102,Mid!$A$2:$C$225,3,FALSE)</f>
        <v>#N/A</v>
      </c>
      <c r="BJ102" s="283">
        <v>22100</v>
      </c>
      <c r="BK102" s="283">
        <v>31600</v>
      </c>
      <c r="BL102" s="283">
        <v>26600</v>
      </c>
      <c r="BM102" s="283">
        <v>33600</v>
      </c>
      <c r="BN102" s="283">
        <v>31000</v>
      </c>
      <c r="BO102" s="283">
        <v>23300</v>
      </c>
      <c r="BP102" s="283">
        <v>18700</v>
      </c>
      <c r="BQ102" s="283">
        <v>24300</v>
      </c>
      <c r="BR102" s="283">
        <v>26000</v>
      </c>
      <c r="BS102" s="283">
        <v>9200</v>
      </c>
      <c r="BT102" s="283">
        <v>42200</v>
      </c>
      <c r="BU102" s="283">
        <v>14900</v>
      </c>
      <c r="BV102" s="283">
        <v>14800</v>
      </c>
      <c r="BW102" s="283">
        <v>19600</v>
      </c>
      <c r="BX102" s="283">
        <v>15000</v>
      </c>
      <c r="BY102" s="283">
        <v>15000</v>
      </c>
      <c r="BZ102" s="283">
        <v>15800</v>
      </c>
      <c r="CA102" s="283">
        <v>19400</v>
      </c>
      <c r="CB102" s="283">
        <v>32800</v>
      </c>
      <c r="CC102" s="283">
        <v>36200</v>
      </c>
      <c r="CD102" s="283">
        <v>19700</v>
      </c>
      <c r="CE102" s="283">
        <v>19700</v>
      </c>
      <c r="CF102" s="283">
        <v>33484</v>
      </c>
      <c r="CG102" s="283">
        <v>10700</v>
      </c>
      <c r="CH102" s="283">
        <v>11800</v>
      </c>
      <c r="CI102" s="283">
        <v>67100</v>
      </c>
      <c r="CJ102" s="283">
        <v>51500</v>
      </c>
      <c r="CK102" s="283">
        <f t="shared" si="9"/>
        <v>50083.3333333333</v>
      </c>
      <c r="CL102" s="370"/>
      <c r="CM102" s="371">
        <f>Summary!$D$2</f>
        <v>2530324.072226</v>
      </c>
      <c r="CN102" s="258">
        <f t="shared" si="12"/>
        <v>0</v>
      </c>
    </row>
    <row r="103" ht="15.6" spans="1:92">
      <c r="A103" s="258" t="s">
        <v>138</v>
      </c>
      <c r="B103" s="258" t="s">
        <v>694</v>
      </c>
      <c r="C103" s="258"/>
      <c r="D103" s="258" t="s">
        <v>321</v>
      </c>
      <c r="E103" s="258"/>
      <c r="F103" s="260" t="s">
        <v>57</v>
      </c>
      <c r="G103" s="343"/>
      <c r="H103" s="283">
        <f>(AW103+CK103)/2*0.25</f>
        <v>16492.8541666667</v>
      </c>
      <c r="I103" s="360" t="s">
        <v>725</v>
      </c>
      <c r="J103" s="351"/>
      <c r="K103" s="351"/>
      <c r="L103" s="351"/>
      <c r="M103" s="351"/>
      <c r="N103" s="352"/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A103" s="353"/>
      <c r="AB103" s="353"/>
      <c r="AC103" s="353"/>
      <c r="AD103" s="353"/>
      <c r="AE103" s="353"/>
      <c r="AF103" s="353"/>
      <c r="AG103" s="353"/>
      <c r="AH103" s="353"/>
      <c r="AI103" s="353">
        <v>61600</v>
      </c>
      <c r="AJ103" s="353">
        <v>58210</v>
      </c>
      <c r="AK103" s="283">
        <v>73317</v>
      </c>
      <c r="AL103" s="283">
        <v>63488</v>
      </c>
      <c r="AM103" s="283" t="s">
        <v>726</v>
      </c>
      <c r="AN103" s="283" t="s">
        <v>727</v>
      </c>
      <c r="AO103" s="283" t="s">
        <v>728</v>
      </c>
      <c r="AP103" s="283">
        <v>80109</v>
      </c>
      <c r="AQ103" s="283" t="s">
        <v>729</v>
      </c>
      <c r="AR103" s="283" t="s">
        <v>730</v>
      </c>
      <c r="AS103" s="283" t="s">
        <v>731</v>
      </c>
      <c r="AT103" s="283" t="s">
        <v>732</v>
      </c>
      <c r="AU103" s="283" t="s">
        <v>733</v>
      </c>
      <c r="AV103" s="283" t="s">
        <v>734</v>
      </c>
      <c r="AW103" s="283">
        <f t="shared" si="8"/>
        <v>91792.8333333333</v>
      </c>
      <c r="AX103" s="283"/>
      <c r="AY103" s="283"/>
      <c r="AZ103" s="283"/>
      <c r="BA103" s="283"/>
      <c r="BB103" s="283"/>
      <c r="BC103" s="283"/>
      <c r="BD103" s="283"/>
      <c r="BE103" s="283"/>
      <c r="BF103" s="283"/>
      <c r="BG103" s="283"/>
      <c r="BH103" s="283"/>
      <c r="BI103" s="283"/>
      <c r="BJ103" s="283"/>
      <c r="BK103" s="283"/>
      <c r="BL103" s="283"/>
      <c r="BM103" s="283"/>
      <c r="BN103" s="283"/>
      <c r="BO103" s="283"/>
      <c r="BP103" s="283"/>
      <c r="BQ103" s="283"/>
      <c r="BR103" s="283"/>
      <c r="BS103" s="283"/>
      <c r="BT103" s="283"/>
      <c r="BU103" s="283"/>
      <c r="BV103" s="283"/>
      <c r="BW103" s="283">
        <v>43000</v>
      </c>
      <c r="BX103" s="283">
        <v>79800</v>
      </c>
      <c r="BY103" s="283">
        <v>79800</v>
      </c>
      <c r="BZ103" s="283">
        <v>39000</v>
      </c>
      <c r="CA103" s="283">
        <v>22100</v>
      </c>
      <c r="CB103" s="283">
        <v>39200</v>
      </c>
      <c r="CC103" s="283">
        <v>38100</v>
      </c>
      <c r="CD103" s="283">
        <v>53200</v>
      </c>
      <c r="CE103" s="283">
        <v>53200</v>
      </c>
      <c r="CF103" s="283">
        <v>23100</v>
      </c>
      <c r="CG103" s="283">
        <v>11900</v>
      </c>
      <c r="CH103" s="283">
        <v>15400</v>
      </c>
      <c r="CI103" s="283">
        <v>67600</v>
      </c>
      <c r="CJ103" s="283">
        <v>30100</v>
      </c>
      <c r="CK103" s="283">
        <f t="shared" si="9"/>
        <v>40150</v>
      </c>
      <c r="CL103" s="370"/>
      <c r="CM103" s="371">
        <f>Summary!$D$2</f>
        <v>2530324.072226</v>
      </c>
      <c r="CN103" s="258">
        <f t="shared" si="12"/>
        <v>0</v>
      </c>
    </row>
    <row r="104" ht="15.6" spans="1:92">
      <c r="A104" s="258" t="s">
        <v>138</v>
      </c>
      <c r="B104" s="258" t="s">
        <v>694</v>
      </c>
      <c r="C104" s="258" t="s">
        <v>243</v>
      </c>
      <c r="D104" s="258" t="s">
        <v>525</v>
      </c>
      <c r="E104" s="258" t="s">
        <v>441</v>
      </c>
      <c r="F104" s="260" t="s">
        <v>420</v>
      </c>
      <c r="G104" s="343"/>
      <c r="H104" s="283">
        <f>(AW104+CK104)/2</f>
        <v>3674.41666666667</v>
      </c>
      <c r="I104" s="292" t="s">
        <v>1563</v>
      </c>
      <c r="J104" s="351">
        <v>67990</v>
      </c>
      <c r="K104" s="351">
        <v>48566</v>
      </c>
      <c r="L104" s="351">
        <v>60923</v>
      </c>
      <c r="M104" s="351">
        <v>23290</v>
      </c>
      <c r="N104" s="352">
        <v>10938</v>
      </c>
      <c r="O104" s="353">
        <v>12364</v>
      </c>
      <c r="P104" s="353">
        <v>6418</v>
      </c>
      <c r="Q104" s="353">
        <v>7606</v>
      </c>
      <c r="R104" s="353">
        <v>4208</v>
      </c>
      <c r="S104" s="353">
        <v>2333</v>
      </c>
      <c r="T104" s="353">
        <v>4894</v>
      </c>
      <c r="U104" s="353">
        <f>VLOOKUP(D104,Mid!$A$2:$C$225,2,FALSE)</f>
        <v>2718</v>
      </c>
      <c r="V104" s="353">
        <v>4810</v>
      </c>
      <c r="W104" s="353">
        <v>1449</v>
      </c>
      <c r="X104" s="353">
        <v>7863</v>
      </c>
      <c r="Y104" s="353">
        <v>6599</v>
      </c>
      <c r="Z104" s="353">
        <v>7110</v>
      </c>
      <c r="AA104" s="353">
        <v>6702</v>
      </c>
      <c r="AB104" s="353">
        <v>7025</v>
      </c>
      <c r="AC104" s="353">
        <v>10149</v>
      </c>
      <c r="AD104" s="353">
        <v>7422</v>
      </c>
      <c r="AE104" s="353">
        <v>3205</v>
      </c>
      <c r="AF104" s="353">
        <v>0</v>
      </c>
      <c r="AG104" s="353">
        <v>5550</v>
      </c>
      <c r="AH104" s="353">
        <v>10517</v>
      </c>
      <c r="AI104" s="353">
        <v>6225</v>
      </c>
      <c r="AJ104" s="367">
        <v>3375</v>
      </c>
      <c r="AK104" s="283" t="s">
        <v>1564</v>
      </c>
      <c r="AL104" s="283">
        <v>3182</v>
      </c>
      <c r="AM104" s="283" t="s">
        <v>796</v>
      </c>
      <c r="AN104" s="283" t="s">
        <v>796</v>
      </c>
      <c r="AO104" s="283">
        <v>3327</v>
      </c>
      <c r="AP104" s="283">
        <v>2500</v>
      </c>
      <c r="AQ104" s="283">
        <v>1946</v>
      </c>
      <c r="AR104" s="283">
        <v>3484</v>
      </c>
      <c r="AS104" s="283">
        <v>4457</v>
      </c>
      <c r="AT104" s="283">
        <v>3965</v>
      </c>
      <c r="AU104" s="283">
        <v>4664</v>
      </c>
      <c r="AV104" s="283">
        <v>5000</v>
      </c>
      <c r="AW104" s="283">
        <f t="shared" si="8"/>
        <v>4715.5</v>
      </c>
      <c r="AX104" s="283">
        <v>64700</v>
      </c>
      <c r="AY104" s="283">
        <v>52300</v>
      </c>
      <c r="AZ104" s="283">
        <v>58200</v>
      </c>
      <c r="BA104" s="283">
        <v>38600</v>
      </c>
      <c r="BB104" s="283">
        <v>47600</v>
      </c>
      <c r="BC104" s="283">
        <v>38000</v>
      </c>
      <c r="BD104" s="283">
        <v>50500</v>
      </c>
      <c r="BE104" s="283">
        <v>43900</v>
      </c>
      <c r="BF104" s="283">
        <v>18300</v>
      </c>
      <c r="BG104" s="283">
        <v>19700</v>
      </c>
      <c r="BH104" s="283">
        <v>23000</v>
      </c>
      <c r="BI104" s="283">
        <f>VLOOKUP(D104,Mid!$A$2:$C$225,3,FALSE)</f>
        <v>23800</v>
      </c>
      <c r="BJ104" s="283">
        <v>3400</v>
      </c>
      <c r="BK104" s="283">
        <v>6500</v>
      </c>
      <c r="BL104" s="283">
        <v>9800</v>
      </c>
      <c r="BM104" s="283">
        <v>31500</v>
      </c>
      <c r="BN104" s="283">
        <v>19800</v>
      </c>
      <c r="BO104" s="283">
        <v>7300</v>
      </c>
      <c r="BP104" s="283">
        <v>1900</v>
      </c>
      <c r="BQ104" s="283">
        <v>1300</v>
      </c>
      <c r="BR104" s="283">
        <v>238</v>
      </c>
      <c r="BS104" s="283">
        <v>2400</v>
      </c>
      <c r="BT104" s="283">
        <v>283</v>
      </c>
      <c r="BU104" s="283">
        <v>3900</v>
      </c>
      <c r="BV104" s="283">
        <v>3900</v>
      </c>
      <c r="BW104" s="283">
        <v>1300</v>
      </c>
      <c r="BX104" s="283">
        <v>9800</v>
      </c>
      <c r="BY104" s="283">
        <v>9800</v>
      </c>
      <c r="BZ104" s="283">
        <v>1500</v>
      </c>
      <c r="CA104" s="283">
        <v>0</v>
      </c>
      <c r="CB104" s="283">
        <v>0</v>
      </c>
      <c r="CC104" s="283">
        <v>0</v>
      </c>
      <c r="CD104" s="283">
        <f>150200*0.0407*2</f>
        <v>12226.28</v>
      </c>
      <c r="CE104" s="283">
        <v>0</v>
      </c>
      <c r="CF104" s="283">
        <v>2100</v>
      </c>
      <c r="CG104" s="283">
        <v>0</v>
      </c>
      <c r="CH104" s="283">
        <v>15800</v>
      </c>
      <c r="CI104" s="283">
        <v>0</v>
      </c>
      <c r="CJ104" s="283">
        <v>0</v>
      </c>
      <c r="CK104" s="283">
        <f t="shared" si="9"/>
        <v>2633.33333333333</v>
      </c>
      <c r="CL104" s="370"/>
      <c r="CM104" s="371">
        <f>Summary!$D$2</f>
        <v>2530324.072226</v>
      </c>
      <c r="CN104" s="258">
        <f t="shared" si="12"/>
        <v>0</v>
      </c>
    </row>
    <row r="105" ht="15.6" spans="1:92">
      <c r="A105" s="258" t="s">
        <v>138</v>
      </c>
      <c r="B105" s="258" t="s">
        <v>812</v>
      </c>
      <c r="C105" s="258" t="s">
        <v>1492</v>
      </c>
      <c r="D105" s="258" t="s">
        <v>1565</v>
      </c>
      <c r="E105" s="258" t="s">
        <v>234</v>
      </c>
      <c r="F105" s="260" t="s">
        <v>426</v>
      </c>
      <c r="G105" s="343"/>
      <c r="H105" s="283">
        <f>(AW105+CK105)/2</f>
        <v>206.166666666667</v>
      </c>
      <c r="I105" s="260" t="s">
        <v>1566</v>
      </c>
      <c r="J105" s="351">
        <v>13015</v>
      </c>
      <c r="K105" s="351">
        <v>12902</v>
      </c>
      <c r="L105" s="351">
        <v>7478</v>
      </c>
      <c r="M105" s="351">
        <v>13104</v>
      </c>
      <c r="N105" s="352">
        <v>10908</v>
      </c>
      <c r="O105" s="352">
        <v>5000</v>
      </c>
      <c r="P105" s="353">
        <v>0</v>
      </c>
      <c r="Q105" s="353">
        <v>453</v>
      </c>
      <c r="R105" s="353">
        <v>1280</v>
      </c>
      <c r="S105" s="353">
        <v>109</v>
      </c>
      <c r="T105" s="353">
        <v>676</v>
      </c>
      <c r="U105" s="353" t="e">
        <f>VLOOKUP(D105,Mid!$A$2:$C$225,2,FALSE)</f>
        <v>#N/A</v>
      </c>
      <c r="V105" s="353">
        <v>0</v>
      </c>
      <c r="W105" s="353">
        <v>666</v>
      </c>
      <c r="X105" s="353">
        <v>1163</v>
      </c>
      <c r="Y105" s="353">
        <v>2540</v>
      </c>
      <c r="Z105" s="353">
        <v>1418</v>
      </c>
      <c r="AA105" s="353">
        <v>905</v>
      </c>
      <c r="AB105" s="353">
        <v>787</v>
      </c>
      <c r="AC105" s="353">
        <v>1780</v>
      </c>
      <c r="AD105" s="353">
        <v>639</v>
      </c>
      <c r="AE105" s="353">
        <v>0</v>
      </c>
      <c r="AF105" s="353">
        <v>643</v>
      </c>
      <c r="AG105" s="353">
        <v>401</v>
      </c>
      <c r="AH105" s="353">
        <v>883</v>
      </c>
      <c r="AI105" s="353">
        <v>8744</v>
      </c>
      <c r="AJ105" s="353">
        <v>8224</v>
      </c>
      <c r="AK105" s="283" t="s">
        <v>1567</v>
      </c>
      <c r="AL105" s="283">
        <v>920</v>
      </c>
      <c r="AM105" s="283" t="s">
        <v>1568</v>
      </c>
      <c r="AN105" s="283" t="s">
        <v>796</v>
      </c>
      <c r="AO105" s="283" t="s">
        <v>1569</v>
      </c>
      <c r="AP105" s="283">
        <v>2500</v>
      </c>
      <c r="AQ105" s="283" t="s">
        <v>1570</v>
      </c>
      <c r="AR105" s="283" t="s">
        <v>1571</v>
      </c>
      <c r="AS105" s="283" t="s">
        <v>796</v>
      </c>
      <c r="AT105" s="283" t="s">
        <v>1572</v>
      </c>
      <c r="AU105" s="283" t="s">
        <v>796</v>
      </c>
      <c r="AV105" s="283" t="s">
        <v>796</v>
      </c>
      <c r="AW105" s="283">
        <f t="shared" si="8"/>
        <v>281.833333333333</v>
      </c>
      <c r="AX105" s="283">
        <v>0</v>
      </c>
      <c r="AY105" s="283">
        <v>0</v>
      </c>
      <c r="AZ105" s="283">
        <v>0</v>
      </c>
      <c r="BA105" s="283">
        <v>0</v>
      </c>
      <c r="BB105" s="283">
        <v>0</v>
      </c>
      <c r="BC105" s="283">
        <v>0</v>
      </c>
      <c r="BD105" s="283">
        <v>0</v>
      </c>
      <c r="BE105" s="283">
        <v>0</v>
      </c>
      <c r="BF105" s="283">
        <v>0</v>
      </c>
      <c r="BG105" s="283">
        <v>0</v>
      </c>
      <c r="BH105" s="283">
        <v>0</v>
      </c>
      <c r="BI105" s="283" t="e">
        <f>VLOOKUP(D105,Mid!$A$2:$C$225,3,FALSE)</f>
        <v>#N/A</v>
      </c>
      <c r="BJ105" s="283">
        <v>0</v>
      </c>
      <c r="BK105" s="283">
        <v>0</v>
      </c>
      <c r="BL105" s="283">
        <v>0</v>
      </c>
      <c r="BM105" s="283">
        <v>0</v>
      </c>
      <c r="BN105" s="283">
        <v>0</v>
      </c>
      <c r="BO105" s="283">
        <v>0</v>
      </c>
      <c r="BP105" s="283">
        <v>0</v>
      </c>
      <c r="BQ105" s="283">
        <v>0</v>
      </c>
      <c r="BR105" s="283">
        <v>1700</v>
      </c>
      <c r="BS105" s="283">
        <v>0</v>
      </c>
      <c r="BT105" s="283">
        <v>1900</v>
      </c>
      <c r="BU105" s="283">
        <v>0</v>
      </c>
      <c r="BV105" s="283">
        <v>1800</v>
      </c>
      <c r="BW105" s="283">
        <v>0</v>
      </c>
      <c r="BX105" s="283">
        <v>644</v>
      </c>
      <c r="BY105" s="283">
        <v>644</v>
      </c>
      <c r="BZ105" s="283">
        <v>0</v>
      </c>
      <c r="CA105" s="283">
        <v>2000</v>
      </c>
      <c r="CB105" s="283">
        <v>0</v>
      </c>
      <c r="CC105" s="283">
        <v>3900</v>
      </c>
      <c r="CD105" s="283">
        <v>0</v>
      </c>
      <c r="CE105" s="283">
        <v>0</v>
      </c>
      <c r="CF105" s="283">
        <v>1700</v>
      </c>
      <c r="CG105" s="283">
        <v>247</v>
      </c>
      <c r="CH105" s="283">
        <v>513</v>
      </c>
      <c r="CI105" s="283">
        <v>0</v>
      </c>
      <c r="CJ105" s="283">
        <v>90</v>
      </c>
      <c r="CK105" s="283">
        <f t="shared" si="9"/>
        <v>130.5</v>
      </c>
      <c r="CL105" s="370"/>
      <c r="CM105" s="371">
        <f>Summary!$D$2</f>
        <v>2530324.072226</v>
      </c>
      <c r="CN105" s="258">
        <f t="shared" si="12"/>
        <v>0</v>
      </c>
    </row>
    <row r="106" ht="31.2" spans="1:92">
      <c r="A106" s="258" t="s">
        <v>138</v>
      </c>
      <c r="B106" s="258" t="s">
        <v>694</v>
      </c>
      <c r="C106" s="258" t="s">
        <v>1573</v>
      </c>
      <c r="D106" s="258" t="s">
        <v>1574</v>
      </c>
      <c r="E106" s="258" t="s">
        <v>234</v>
      </c>
      <c r="F106" s="260" t="s">
        <v>50</v>
      </c>
      <c r="G106" s="343"/>
      <c r="H106" s="283">
        <f t="shared" ref="H106:H111" si="13">(AW106+CK106)/2</f>
        <v>0</v>
      </c>
      <c r="I106" s="292" t="s">
        <v>1575</v>
      </c>
      <c r="J106" s="351">
        <v>351</v>
      </c>
      <c r="K106" s="351">
        <v>1925</v>
      </c>
      <c r="L106" s="351">
        <v>100</v>
      </c>
      <c r="M106" s="351">
        <v>925</v>
      </c>
      <c r="N106" s="352">
        <v>0</v>
      </c>
      <c r="O106" s="353">
        <v>1437</v>
      </c>
      <c r="P106" s="353">
        <v>547</v>
      </c>
      <c r="Q106" s="353">
        <v>689</v>
      </c>
      <c r="R106" s="353">
        <v>0</v>
      </c>
      <c r="S106" s="353">
        <v>0</v>
      </c>
      <c r="T106" s="353">
        <v>1481</v>
      </c>
      <c r="U106" s="353" t="e">
        <f>VLOOKUP(D106,Mid!$A$2:$C$225,2,FALSE)</f>
        <v>#N/A</v>
      </c>
      <c r="V106" s="353">
        <v>623</v>
      </c>
      <c r="W106" s="353">
        <v>0</v>
      </c>
      <c r="X106" s="353">
        <v>728</v>
      </c>
      <c r="Y106" s="353">
        <v>1099</v>
      </c>
      <c r="Z106" s="353">
        <v>371</v>
      </c>
      <c r="AA106" s="353">
        <v>796</v>
      </c>
      <c r="AB106" s="353">
        <v>0</v>
      </c>
      <c r="AC106" s="353">
        <v>0</v>
      </c>
      <c r="AD106" s="353">
        <v>1281</v>
      </c>
      <c r="AE106" s="353">
        <v>0</v>
      </c>
      <c r="AF106" s="353">
        <v>0</v>
      </c>
      <c r="AG106" s="353">
        <v>1403</v>
      </c>
      <c r="AH106" s="353">
        <v>0</v>
      </c>
      <c r="AI106" s="353">
        <v>0</v>
      </c>
      <c r="AJ106" s="353">
        <v>633</v>
      </c>
      <c r="AK106" s="283" t="s">
        <v>1576</v>
      </c>
      <c r="AL106" s="283">
        <v>1442</v>
      </c>
      <c r="AM106" s="283" t="s">
        <v>796</v>
      </c>
      <c r="AN106" s="283" t="s">
        <v>1577</v>
      </c>
      <c r="AO106" s="283" t="s">
        <v>796</v>
      </c>
      <c r="AP106" s="283">
        <v>2500</v>
      </c>
      <c r="AQ106" s="283" t="s">
        <v>1578</v>
      </c>
      <c r="AR106" s="283" t="s">
        <v>796</v>
      </c>
      <c r="AS106" s="283" t="s">
        <v>796</v>
      </c>
      <c r="AT106" s="283" t="s">
        <v>796</v>
      </c>
      <c r="AU106" s="283" t="s">
        <v>796</v>
      </c>
      <c r="AV106" s="283" t="s">
        <v>796</v>
      </c>
      <c r="AW106" s="283">
        <f t="shared" si="8"/>
        <v>0</v>
      </c>
      <c r="AX106" s="283">
        <v>0</v>
      </c>
      <c r="AY106" s="283">
        <v>0</v>
      </c>
      <c r="AZ106" s="283">
        <v>0</v>
      </c>
      <c r="BA106" s="283">
        <v>0</v>
      </c>
      <c r="BB106" s="283">
        <v>0</v>
      </c>
      <c r="BC106" s="283">
        <v>0</v>
      </c>
      <c r="BD106" s="283">
        <v>0</v>
      </c>
      <c r="BE106" s="283">
        <v>0</v>
      </c>
      <c r="BF106" s="283">
        <v>0</v>
      </c>
      <c r="BG106" s="283">
        <v>0</v>
      </c>
      <c r="BH106" s="283">
        <v>0</v>
      </c>
      <c r="BI106" s="283" t="e">
        <f>VLOOKUP(D106,Mid!$A$2:$C$225,3,FALSE)</f>
        <v>#N/A</v>
      </c>
      <c r="BJ106" s="283">
        <v>0</v>
      </c>
      <c r="BK106" s="283">
        <v>0</v>
      </c>
      <c r="BL106" s="283">
        <v>0</v>
      </c>
      <c r="BM106" s="283">
        <v>0</v>
      </c>
      <c r="BN106" s="283">
        <v>0</v>
      </c>
      <c r="BO106" s="283">
        <v>0</v>
      </c>
      <c r="BP106" s="283">
        <v>0</v>
      </c>
      <c r="BQ106" s="283">
        <v>0</v>
      </c>
      <c r="BR106" s="283">
        <v>0</v>
      </c>
      <c r="BS106" s="283">
        <v>0</v>
      </c>
      <c r="BT106" s="283">
        <v>0</v>
      </c>
      <c r="BU106" s="283">
        <v>0</v>
      </c>
      <c r="BV106" s="283">
        <v>0</v>
      </c>
      <c r="BW106" s="283">
        <v>0</v>
      </c>
      <c r="BX106" s="283">
        <v>0</v>
      </c>
      <c r="BY106" s="283">
        <v>0</v>
      </c>
      <c r="BZ106" s="283">
        <v>2000</v>
      </c>
      <c r="CA106" s="283">
        <v>0</v>
      </c>
      <c r="CB106" s="283">
        <v>0</v>
      </c>
      <c r="CC106" s="283">
        <v>0</v>
      </c>
      <c r="CD106" s="283">
        <v>0</v>
      </c>
      <c r="CE106" s="283">
        <v>0</v>
      </c>
      <c r="CF106" s="283">
        <v>0</v>
      </c>
      <c r="CG106" s="283">
        <v>0</v>
      </c>
      <c r="CH106" s="283">
        <v>0</v>
      </c>
      <c r="CI106" s="283">
        <v>0</v>
      </c>
      <c r="CJ106" s="283">
        <v>0</v>
      </c>
      <c r="CK106" s="283">
        <f t="shared" si="9"/>
        <v>0</v>
      </c>
      <c r="CL106" s="370"/>
      <c r="CM106" s="371">
        <f>Summary!$D$2</f>
        <v>2530324.072226</v>
      </c>
      <c r="CN106" s="258">
        <f t="shared" si="12"/>
        <v>0</v>
      </c>
    </row>
    <row r="107" s="270" customFormat="1" ht="15.6" spans="1:92">
      <c r="A107" s="258" t="s">
        <v>138</v>
      </c>
      <c r="B107" s="258" t="s">
        <v>694</v>
      </c>
      <c r="C107" s="258" t="s">
        <v>230</v>
      </c>
      <c r="D107" s="258" t="s">
        <v>1579</v>
      </c>
      <c r="E107" s="258" t="s">
        <v>441</v>
      </c>
      <c r="F107" s="260" t="s">
        <v>60</v>
      </c>
      <c r="G107" s="343"/>
      <c r="H107" s="283">
        <f t="shared" si="13"/>
        <v>0</v>
      </c>
      <c r="I107" s="292" t="s">
        <v>1580</v>
      </c>
      <c r="J107" s="351">
        <v>13734</v>
      </c>
      <c r="K107" s="351">
        <v>9720</v>
      </c>
      <c r="L107" s="351">
        <v>7619</v>
      </c>
      <c r="M107" s="351">
        <v>11622</v>
      </c>
      <c r="N107" s="352">
        <v>6905</v>
      </c>
      <c r="O107" s="353">
        <v>7751</v>
      </c>
      <c r="P107" s="353">
        <v>3932</v>
      </c>
      <c r="Q107" s="353">
        <v>3402</v>
      </c>
      <c r="R107" s="353">
        <v>542</v>
      </c>
      <c r="S107" s="353">
        <v>0</v>
      </c>
      <c r="T107" s="353">
        <v>0</v>
      </c>
      <c r="U107" s="353" t="e">
        <f>VLOOKUP(D107,Mid!$A$2:$C$225,2,FALSE)</f>
        <v>#N/A</v>
      </c>
      <c r="V107" s="353">
        <v>0</v>
      </c>
      <c r="W107" s="353">
        <v>0</v>
      </c>
      <c r="X107" s="353">
        <v>0</v>
      </c>
      <c r="Y107" s="353">
        <v>0</v>
      </c>
      <c r="Z107" s="353">
        <v>1058</v>
      </c>
      <c r="AA107" s="353">
        <v>1673</v>
      </c>
      <c r="AB107" s="353">
        <v>1746</v>
      </c>
      <c r="AC107" s="353">
        <v>0</v>
      </c>
      <c r="AD107" s="353">
        <v>0</v>
      </c>
      <c r="AE107" s="353">
        <v>5314</v>
      </c>
      <c r="AF107" s="353">
        <v>2453</v>
      </c>
      <c r="AG107" s="353">
        <v>865</v>
      </c>
      <c r="AH107" s="353">
        <v>0</v>
      </c>
      <c r="AI107" s="353">
        <v>0</v>
      </c>
      <c r="AJ107" s="353">
        <v>6323</v>
      </c>
      <c r="AK107" s="283" t="s">
        <v>1581</v>
      </c>
      <c r="AL107" s="283">
        <v>0</v>
      </c>
      <c r="AM107" s="283" t="s">
        <v>796</v>
      </c>
      <c r="AN107" s="283" t="s">
        <v>796</v>
      </c>
      <c r="AO107" s="283" t="s">
        <v>796</v>
      </c>
      <c r="AP107" s="283">
        <v>0</v>
      </c>
      <c r="AQ107" s="283" t="s">
        <v>1582</v>
      </c>
      <c r="AR107" s="283" t="s">
        <v>796</v>
      </c>
      <c r="AS107" s="283" t="s">
        <v>796</v>
      </c>
      <c r="AT107" s="283" t="s">
        <v>796</v>
      </c>
      <c r="AU107" s="283" t="s">
        <v>796</v>
      </c>
      <c r="AV107" s="283" t="s">
        <v>796</v>
      </c>
      <c r="AW107" s="283">
        <f t="shared" si="8"/>
        <v>0</v>
      </c>
      <c r="AX107" s="283">
        <v>25400</v>
      </c>
      <c r="AY107" s="283">
        <v>14700</v>
      </c>
      <c r="AZ107" s="283">
        <v>11100</v>
      </c>
      <c r="BA107" s="283">
        <v>11700</v>
      </c>
      <c r="BB107" s="283">
        <v>13500</v>
      </c>
      <c r="BC107" s="283">
        <v>11100</v>
      </c>
      <c r="BD107" s="283">
        <v>10000</v>
      </c>
      <c r="BE107" s="283">
        <v>0</v>
      </c>
      <c r="BF107" s="283">
        <v>0</v>
      </c>
      <c r="BG107" s="283">
        <v>0</v>
      </c>
      <c r="BH107" s="283">
        <v>0</v>
      </c>
      <c r="BI107" s="283" t="e">
        <f>VLOOKUP(D107,Mid!$A$2:$C$225,3,FALSE)</f>
        <v>#N/A</v>
      </c>
      <c r="BJ107" s="283">
        <v>0</v>
      </c>
      <c r="BK107" s="283">
        <v>0</v>
      </c>
      <c r="BL107" s="283">
        <v>0</v>
      </c>
      <c r="BM107" s="283">
        <v>0</v>
      </c>
      <c r="BN107" s="283">
        <v>0</v>
      </c>
      <c r="BO107" s="283">
        <v>6900</v>
      </c>
      <c r="BP107" s="283">
        <v>0</v>
      </c>
      <c r="BQ107" s="283">
        <v>0</v>
      </c>
      <c r="BR107" s="283">
        <v>5500</v>
      </c>
      <c r="BS107" s="283">
        <v>0</v>
      </c>
      <c r="BT107" s="283">
        <v>1500</v>
      </c>
      <c r="BU107" s="283">
        <v>0</v>
      </c>
      <c r="BV107" s="283">
        <v>0</v>
      </c>
      <c r="BW107" s="283">
        <v>0</v>
      </c>
      <c r="BX107" s="283">
        <v>0</v>
      </c>
      <c r="BY107" s="283">
        <v>0</v>
      </c>
      <c r="BZ107" s="283">
        <v>0</v>
      </c>
      <c r="CA107" s="283">
        <v>0</v>
      </c>
      <c r="CB107" s="283">
        <v>5700</v>
      </c>
      <c r="CC107" s="283">
        <v>0</v>
      </c>
      <c r="CD107" s="283">
        <v>0</v>
      </c>
      <c r="CE107" s="283">
        <v>0</v>
      </c>
      <c r="CF107" s="283">
        <v>0</v>
      </c>
      <c r="CG107" s="283">
        <v>0</v>
      </c>
      <c r="CH107" s="283">
        <v>0</v>
      </c>
      <c r="CI107" s="283">
        <v>0</v>
      </c>
      <c r="CJ107" s="283">
        <v>0</v>
      </c>
      <c r="CK107" s="283">
        <f t="shared" si="9"/>
        <v>0</v>
      </c>
      <c r="CL107" s="370"/>
      <c r="CM107" s="371">
        <f>Summary!$D$2</f>
        <v>2530324.072226</v>
      </c>
      <c r="CN107" s="258">
        <f t="shared" si="12"/>
        <v>0</v>
      </c>
    </row>
    <row r="108" ht="15.6" spans="1:92">
      <c r="A108" s="344" t="s">
        <v>156</v>
      </c>
      <c r="B108" s="344" t="s">
        <v>683</v>
      </c>
      <c r="C108" s="344" t="s">
        <v>227</v>
      </c>
      <c r="D108" s="344" t="s">
        <v>157</v>
      </c>
      <c r="E108" s="344" t="s">
        <v>441</v>
      </c>
      <c r="F108" s="344" t="s">
        <v>49</v>
      </c>
      <c r="G108" s="345"/>
      <c r="H108" s="345">
        <f t="shared" si="13"/>
        <v>395757.916666667</v>
      </c>
      <c r="I108" s="292"/>
      <c r="J108" s="351">
        <v>128030</v>
      </c>
      <c r="K108" s="351">
        <v>205141</v>
      </c>
      <c r="L108" s="351">
        <v>175597</v>
      </c>
      <c r="M108" s="351">
        <v>338416</v>
      </c>
      <c r="N108" s="352">
        <v>169313</v>
      </c>
      <c r="O108" s="353">
        <v>358521</v>
      </c>
      <c r="P108" s="353">
        <v>272845</v>
      </c>
      <c r="Q108" s="353">
        <v>208500</v>
      </c>
      <c r="R108" s="353">
        <v>181837</v>
      </c>
      <c r="S108" s="353">
        <v>255566</v>
      </c>
      <c r="T108" s="353">
        <v>270790</v>
      </c>
      <c r="U108" s="353" t="e">
        <f>VLOOKUP(D108,Mid!$A$2:$C$225,2,FALSE)</f>
        <v>#N/A</v>
      </c>
      <c r="V108" s="353">
        <v>272447</v>
      </c>
      <c r="W108" s="353">
        <v>238743</v>
      </c>
      <c r="X108" s="353">
        <v>212079</v>
      </c>
      <c r="Y108" s="353">
        <v>269919</v>
      </c>
      <c r="Z108" s="353">
        <v>233924</v>
      </c>
      <c r="AA108" s="353">
        <v>273647</v>
      </c>
      <c r="AB108" s="353">
        <v>218922</v>
      </c>
      <c r="AC108" s="353">
        <v>193840</v>
      </c>
      <c r="AD108" s="353">
        <v>219480</v>
      </c>
      <c r="AE108" s="353">
        <v>284090</v>
      </c>
      <c r="AF108" s="353">
        <v>319966</v>
      </c>
      <c r="AG108" s="353">
        <v>271829</v>
      </c>
      <c r="AH108" s="353">
        <v>220163</v>
      </c>
      <c r="AI108" s="353">
        <v>274498</v>
      </c>
      <c r="AJ108" s="367">
        <v>293071</v>
      </c>
      <c r="AK108" s="283" t="s">
        <v>1583</v>
      </c>
      <c r="AL108" s="283">
        <v>302555</v>
      </c>
      <c r="AM108" s="283">
        <f>386585*0.277*2</f>
        <v>214168.09</v>
      </c>
      <c r="AN108" s="283">
        <f>393662*0.2678*2</f>
        <v>210845.3672</v>
      </c>
      <c r="AO108" s="283" t="s">
        <v>1584</v>
      </c>
      <c r="AP108" s="283">
        <v>465217</v>
      </c>
      <c r="AQ108" s="283" t="s">
        <v>1585</v>
      </c>
      <c r="AR108" s="283" t="s">
        <v>1586</v>
      </c>
      <c r="AS108" s="283" t="s">
        <v>1587</v>
      </c>
      <c r="AT108" s="283" t="s">
        <v>1588</v>
      </c>
      <c r="AU108" s="283" t="s">
        <v>1589</v>
      </c>
      <c r="AV108" s="283" t="s">
        <v>1590</v>
      </c>
      <c r="AW108" s="283">
        <f t="shared" si="8"/>
        <v>478032.5</v>
      </c>
      <c r="AX108" s="283">
        <v>209800</v>
      </c>
      <c r="AY108" s="283">
        <v>186700</v>
      </c>
      <c r="AZ108" s="283">
        <v>155000</v>
      </c>
      <c r="BA108" s="283">
        <v>152200</v>
      </c>
      <c r="BB108" s="283">
        <v>141400</v>
      </c>
      <c r="BC108" s="283">
        <v>158100</v>
      </c>
      <c r="BD108" s="283">
        <v>181500</v>
      </c>
      <c r="BE108" s="283">
        <v>268200</v>
      </c>
      <c r="BF108" s="283">
        <v>240400</v>
      </c>
      <c r="BG108" s="283">
        <v>250100</v>
      </c>
      <c r="BH108" s="283">
        <v>242600</v>
      </c>
      <c r="BI108" s="283" t="e">
        <f>VLOOKUP(D108,Mid!$A$2:$C$225,3,FALSE)</f>
        <v>#N/A</v>
      </c>
      <c r="BJ108" s="283">
        <v>345000</v>
      </c>
      <c r="BK108" s="283">
        <v>184600</v>
      </c>
      <c r="BL108" s="283">
        <v>280000</v>
      </c>
      <c r="BM108" s="283">
        <v>188200</v>
      </c>
      <c r="BN108" s="283">
        <v>393800</v>
      </c>
      <c r="BO108" s="283">
        <v>384800</v>
      </c>
      <c r="BP108" s="283">
        <v>318300</v>
      </c>
      <c r="BQ108" s="283">
        <v>325400</v>
      </c>
      <c r="BR108" s="283">
        <v>383800</v>
      </c>
      <c r="BS108" s="283">
        <v>282800</v>
      </c>
      <c r="BT108" s="283">
        <v>543100</v>
      </c>
      <c r="BU108" s="283">
        <v>283300</v>
      </c>
      <c r="BV108" s="283">
        <v>237700</v>
      </c>
      <c r="BW108" s="283">
        <v>250000</v>
      </c>
      <c r="BX108" s="283">
        <v>198400</v>
      </c>
      <c r="BY108" s="283">
        <v>198400</v>
      </c>
      <c r="BZ108" s="283">
        <v>392100</v>
      </c>
      <c r="CA108" s="283">
        <v>344500</v>
      </c>
      <c r="CB108" s="283">
        <v>215600</v>
      </c>
      <c r="CC108" s="283">
        <v>304900</v>
      </c>
      <c r="CD108" s="283">
        <v>259000</v>
      </c>
      <c r="CE108" s="283">
        <v>359300</v>
      </c>
      <c r="CF108" s="283">
        <v>236000</v>
      </c>
      <c r="CG108" s="283">
        <f>501600*0.3365*2</f>
        <v>337576.8</v>
      </c>
      <c r="CH108" s="283">
        <v>273500</v>
      </c>
      <c r="CI108" s="283">
        <v>317700</v>
      </c>
      <c r="CJ108" s="283">
        <v>324000</v>
      </c>
      <c r="CK108" s="283">
        <f t="shared" si="9"/>
        <v>313483.333333333</v>
      </c>
      <c r="CL108" s="370"/>
      <c r="CM108" s="371">
        <f>Summary!$D$7</f>
        <v>965318.368333333</v>
      </c>
      <c r="CN108" s="258">
        <f t="shared" si="12"/>
        <v>1</v>
      </c>
    </row>
    <row r="109" ht="15.6" spans="1:92">
      <c r="A109" s="258" t="s">
        <v>156</v>
      </c>
      <c r="B109" s="258" t="s">
        <v>694</v>
      </c>
      <c r="C109" s="258" t="s">
        <v>230</v>
      </c>
      <c r="D109" s="258" t="s">
        <v>1591</v>
      </c>
      <c r="E109" s="258" t="s">
        <v>65</v>
      </c>
      <c r="F109" s="260" t="s">
        <v>266</v>
      </c>
      <c r="G109" s="343"/>
      <c r="H109" s="283">
        <f t="shared" si="13"/>
        <v>996.916666666665</v>
      </c>
      <c r="I109" s="292"/>
      <c r="J109" s="351">
        <v>90185</v>
      </c>
      <c r="K109" s="351">
        <v>175155</v>
      </c>
      <c r="L109" s="351">
        <v>102447</v>
      </c>
      <c r="M109" s="351">
        <v>123258</v>
      </c>
      <c r="N109" s="352">
        <v>152415</v>
      </c>
      <c r="O109" s="353">
        <v>139565</v>
      </c>
      <c r="P109" s="353">
        <v>166509</v>
      </c>
      <c r="Q109" s="353">
        <v>136155</v>
      </c>
      <c r="R109" s="353">
        <v>140978</v>
      </c>
      <c r="S109" s="353">
        <v>162685</v>
      </c>
      <c r="T109" s="353">
        <v>150398</v>
      </c>
      <c r="U109" s="353" t="e">
        <f>VLOOKUP(D109,Mid!$A$2:$C$225,2,FALSE)</f>
        <v>#N/A</v>
      </c>
      <c r="V109" s="353">
        <v>145943</v>
      </c>
      <c r="W109" s="353">
        <v>114769</v>
      </c>
      <c r="X109" s="353">
        <v>64154</v>
      </c>
      <c r="Y109" s="353">
        <v>13155</v>
      </c>
      <c r="Z109" s="353">
        <v>9119</v>
      </c>
      <c r="AA109" s="353">
        <v>6692</v>
      </c>
      <c r="AB109" s="353">
        <v>180</v>
      </c>
      <c r="AC109" s="353">
        <v>120</v>
      </c>
      <c r="AD109" s="353">
        <v>6784</v>
      </c>
      <c r="AE109" s="353">
        <v>27098</v>
      </c>
      <c r="AF109" s="353">
        <v>14784</v>
      </c>
      <c r="AG109" s="353">
        <v>21081</v>
      </c>
      <c r="AH109" s="353">
        <v>15034</v>
      </c>
      <c r="AI109" s="353">
        <v>5781</v>
      </c>
      <c r="AJ109" s="353">
        <v>0</v>
      </c>
      <c r="AK109" s="283" t="s">
        <v>1592</v>
      </c>
      <c r="AL109" s="283">
        <v>2990</v>
      </c>
      <c r="AM109" s="283" t="s">
        <v>796</v>
      </c>
      <c r="AN109" s="283" t="s">
        <v>1593</v>
      </c>
      <c r="AO109" s="283" t="s">
        <v>796</v>
      </c>
      <c r="AP109" s="283">
        <v>2500</v>
      </c>
      <c r="AQ109" s="283" t="s">
        <v>1594</v>
      </c>
      <c r="AR109" s="283" t="s">
        <v>796</v>
      </c>
      <c r="AS109" s="283" t="s">
        <v>796</v>
      </c>
      <c r="AT109" s="283" t="s">
        <v>796</v>
      </c>
      <c r="AU109" s="283" t="s">
        <v>796</v>
      </c>
      <c r="AV109" s="283" t="s">
        <v>1595</v>
      </c>
      <c r="AW109" s="283">
        <f t="shared" si="8"/>
        <v>60.5</v>
      </c>
      <c r="AX109" s="283">
        <v>59400</v>
      </c>
      <c r="AY109" s="283">
        <v>68100</v>
      </c>
      <c r="AZ109" s="283">
        <v>65000</v>
      </c>
      <c r="BA109" s="283">
        <v>67600</v>
      </c>
      <c r="BB109" s="283">
        <v>61500</v>
      </c>
      <c r="BC109" s="283">
        <v>92900</v>
      </c>
      <c r="BD109" s="283">
        <v>69900</v>
      </c>
      <c r="BE109" s="283">
        <v>63400</v>
      </c>
      <c r="BF109" s="283">
        <v>195900</v>
      </c>
      <c r="BG109" s="283">
        <v>115800</v>
      </c>
      <c r="BH109" s="283">
        <v>197300</v>
      </c>
      <c r="BI109" s="283" t="e">
        <f>VLOOKUP(D109,Mid!$A$2:$C$225,3,FALSE)</f>
        <v>#N/A</v>
      </c>
      <c r="BJ109" s="283">
        <v>92700</v>
      </c>
      <c r="BK109" s="283">
        <v>88900</v>
      </c>
      <c r="BL109" s="283">
        <v>9200</v>
      </c>
      <c r="BM109" s="283">
        <v>5000</v>
      </c>
      <c r="BN109" s="283">
        <v>5000</v>
      </c>
      <c r="BO109" s="283">
        <v>5000</v>
      </c>
      <c r="BP109" s="283">
        <v>5000</v>
      </c>
      <c r="BQ109" s="283">
        <v>5500</v>
      </c>
      <c r="BR109" s="283">
        <v>0</v>
      </c>
      <c r="BS109" s="283">
        <v>17100</v>
      </c>
      <c r="BT109" s="283">
        <v>9200</v>
      </c>
      <c r="BU109" s="283">
        <v>2800</v>
      </c>
      <c r="BV109" s="283">
        <v>0</v>
      </c>
      <c r="BW109" s="283">
        <v>0</v>
      </c>
      <c r="BX109" s="283">
        <v>4100</v>
      </c>
      <c r="BY109" s="283">
        <v>4100</v>
      </c>
      <c r="BZ109" s="283">
        <v>0</v>
      </c>
      <c r="CA109" s="283">
        <v>6500</v>
      </c>
      <c r="CB109" s="283">
        <v>0</v>
      </c>
      <c r="CC109" s="283">
        <v>0</v>
      </c>
      <c r="CD109" s="283">
        <v>8100</v>
      </c>
      <c r="CE109" s="283">
        <v>8100</v>
      </c>
      <c r="CF109" s="283">
        <v>0</v>
      </c>
      <c r="CG109" s="283">
        <v>0</v>
      </c>
      <c r="CH109" s="283">
        <v>0</v>
      </c>
      <c r="CI109" s="283">
        <v>5800</v>
      </c>
      <c r="CJ109" s="283">
        <v>0</v>
      </c>
      <c r="CK109" s="283">
        <f t="shared" si="9"/>
        <v>1933.33333333333</v>
      </c>
      <c r="CL109" s="370"/>
      <c r="CM109" s="371">
        <f>Summary!$D$7</f>
        <v>965318.368333333</v>
      </c>
      <c r="CN109" s="258">
        <f t="shared" si="12"/>
        <v>0</v>
      </c>
    </row>
    <row r="110" ht="15.6" spans="1:92">
      <c r="A110" s="258" t="s">
        <v>156</v>
      </c>
      <c r="B110" s="258" t="s">
        <v>694</v>
      </c>
      <c r="C110" s="258" t="s">
        <v>243</v>
      </c>
      <c r="D110" s="258" t="s">
        <v>277</v>
      </c>
      <c r="E110" s="258" t="s">
        <v>233</v>
      </c>
      <c r="F110" s="260" t="s">
        <v>266</v>
      </c>
      <c r="G110" s="346"/>
      <c r="H110" s="283">
        <f t="shared" si="13"/>
        <v>126960.04</v>
      </c>
      <c r="I110" s="292"/>
      <c r="J110" s="354">
        <v>62779</v>
      </c>
      <c r="K110" s="354">
        <v>86030</v>
      </c>
      <c r="L110" s="354">
        <v>70041</v>
      </c>
      <c r="M110" s="354">
        <v>94157</v>
      </c>
      <c r="N110" s="355">
        <v>108052</v>
      </c>
      <c r="O110" s="356">
        <v>75465</v>
      </c>
      <c r="P110" s="356">
        <v>87729</v>
      </c>
      <c r="Q110" s="356">
        <v>106263</v>
      </c>
      <c r="R110" s="356">
        <v>123357</v>
      </c>
      <c r="S110" s="356">
        <v>134448</v>
      </c>
      <c r="T110" s="356">
        <v>129598</v>
      </c>
      <c r="U110" s="356" t="e">
        <f>VLOOKUP(D110,Mid!$A$2:$C$225,2,FALSE)</f>
        <v>#N/A</v>
      </c>
      <c r="V110" s="356">
        <v>106436</v>
      </c>
      <c r="W110" s="356">
        <v>100670</v>
      </c>
      <c r="X110" s="356">
        <v>145169</v>
      </c>
      <c r="Y110" s="356">
        <v>119580</v>
      </c>
      <c r="Z110" s="356">
        <v>142810</v>
      </c>
      <c r="AA110" s="356">
        <v>133019</v>
      </c>
      <c r="AB110" s="356">
        <v>104304</v>
      </c>
      <c r="AC110" s="356">
        <v>174031</v>
      </c>
      <c r="AD110" s="356">
        <v>122628</v>
      </c>
      <c r="AE110" s="356">
        <v>129148</v>
      </c>
      <c r="AF110" s="356">
        <v>152876</v>
      </c>
      <c r="AG110" s="356">
        <v>112440</v>
      </c>
      <c r="AH110" s="356">
        <v>131499</v>
      </c>
      <c r="AI110" s="353">
        <v>124343</v>
      </c>
      <c r="AJ110" s="367">
        <v>181636</v>
      </c>
      <c r="AK110" s="283" t="s">
        <v>1596</v>
      </c>
      <c r="AL110" s="283">
        <v>106859</v>
      </c>
      <c r="AM110" s="283" t="s">
        <v>1597</v>
      </c>
      <c r="AN110" s="283" t="s">
        <v>1598</v>
      </c>
      <c r="AO110" s="283">
        <f>135368*0.3086*2</f>
        <v>83549.1296</v>
      </c>
      <c r="AP110" s="283">
        <v>113063</v>
      </c>
      <c r="AQ110" s="283" t="s">
        <v>1599</v>
      </c>
      <c r="AR110" s="283" t="s">
        <v>1600</v>
      </c>
      <c r="AS110" s="283" t="s">
        <v>1601</v>
      </c>
      <c r="AT110" s="283" t="s">
        <v>1602</v>
      </c>
      <c r="AU110" s="283" t="s">
        <v>1603</v>
      </c>
      <c r="AV110" s="283" t="s">
        <v>1604</v>
      </c>
      <c r="AW110" s="283">
        <f t="shared" si="8"/>
        <v>165386</v>
      </c>
      <c r="AX110" s="283">
        <v>64200</v>
      </c>
      <c r="AY110" s="283">
        <v>67700</v>
      </c>
      <c r="AZ110" s="283">
        <v>54400</v>
      </c>
      <c r="BA110" s="283">
        <v>55900</v>
      </c>
      <c r="BB110" s="283">
        <v>54300</v>
      </c>
      <c r="BC110" s="283">
        <v>77800</v>
      </c>
      <c r="BD110" s="283">
        <v>81600</v>
      </c>
      <c r="BE110" s="283">
        <v>73200</v>
      </c>
      <c r="BF110" s="283">
        <v>76900</v>
      </c>
      <c r="BG110" s="283">
        <v>45100</v>
      </c>
      <c r="BH110" s="283">
        <v>57100</v>
      </c>
      <c r="BI110" s="283" t="e">
        <f>VLOOKUP(D110,Mid!$A$2:$C$225,3,FALSE)</f>
        <v>#N/A</v>
      </c>
      <c r="BJ110" s="283">
        <v>40500</v>
      </c>
      <c r="BK110" s="283">
        <v>42500</v>
      </c>
      <c r="BL110" s="283">
        <v>38500</v>
      </c>
      <c r="BM110" s="283">
        <v>66800</v>
      </c>
      <c r="BN110" s="283">
        <v>103500</v>
      </c>
      <c r="BO110" s="283">
        <v>102300</v>
      </c>
      <c r="BP110" s="283">
        <v>121300</v>
      </c>
      <c r="BQ110" s="283">
        <v>153400</v>
      </c>
      <c r="BR110" s="283">
        <v>180500</v>
      </c>
      <c r="BS110" s="283">
        <v>161700</v>
      </c>
      <c r="BT110" s="283">
        <v>275400</v>
      </c>
      <c r="BU110" s="283">
        <v>172900</v>
      </c>
      <c r="BV110" s="283">
        <v>63300</v>
      </c>
      <c r="BW110" s="283">
        <v>53500</v>
      </c>
      <c r="BX110" s="283">
        <v>98811</v>
      </c>
      <c r="BY110" s="283">
        <v>98811</v>
      </c>
      <c r="BZ110" s="283">
        <v>41900</v>
      </c>
      <c r="CA110" s="283">
        <v>107927.58</v>
      </c>
      <c r="CB110" s="283">
        <v>38900</v>
      </c>
      <c r="CC110" s="283">
        <v>36000</v>
      </c>
      <c r="CD110" s="283">
        <v>19000</v>
      </c>
      <c r="CE110" s="283">
        <v>121600</v>
      </c>
      <c r="CF110" s="283">
        <v>86100</v>
      </c>
      <c r="CG110" s="283">
        <v>76000</v>
      </c>
      <c r="CH110" s="283">
        <v>103164.48</v>
      </c>
      <c r="CI110" s="283">
        <v>58470</v>
      </c>
      <c r="CJ110" s="283">
        <v>103700</v>
      </c>
      <c r="CK110" s="283">
        <f t="shared" si="9"/>
        <v>88534.08</v>
      </c>
      <c r="CL110" s="372"/>
      <c r="CM110" s="371">
        <f>Summary!$D$7</f>
        <v>965318.368333333</v>
      </c>
      <c r="CN110" s="258">
        <f t="shared" si="12"/>
        <v>1</v>
      </c>
    </row>
    <row r="111" ht="15.6" spans="1:92">
      <c r="A111" s="258" t="s">
        <v>156</v>
      </c>
      <c r="B111" s="258" t="s">
        <v>694</v>
      </c>
      <c r="C111" s="258" t="s">
        <v>230</v>
      </c>
      <c r="D111" s="258" t="s">
        <v>278</v>
      </c>
      <c r="E111" s="258" t="s">
        <v>65</v>
      </c>
      <c r="F111" s="260" t="s">
        <v>59</v>
      </c>
      <c r="G111" s="346"/>
      <c r="H111" s="283">
        <f t="shared" si="13"/>
        <v>119984.583333333</v>
      </c>
      <c r="I111" s="292" t="s">
        <v>1605</v>
      </c>
      <c r="J111" s="354">
        <v>77132</v>
      </c>
      <c r="K111" s="354">
        <v>117434</v>
      </c>
      <c r="L111" s="354">
        <v>84751</v>
      </c>
      <c r="M111" s="354">
        <v>84792</v>
      </c>
      <c r="N111" s="355">
        <v>137287</v>
      </c>
      <c r="O111" s="355">
        <v>129600</v>
      </c>
      <c r="P111" s="355">
        <v>145311</v>
      </c>
      <c r="Q111" s="356">
        <v>135680</v>
      </c>
      <c r="R111" s="356">
        <v>121771</v>
      </c>
      <c r="S111" s="356">
        <v>161354</v>
      </c>
      <c r="T111" s="356">
        <v>138743</v>
      </c>
      <c r="U111" s="356" t="e">
        <f>VLOOKUP(D111,Mid!$A$2:$C$225,2,FALSE)</f>
        <v>#N/A</v>
      </c>
      <c r="V111" s="356">
        <v>145494</v>
      </c>
      <c r="W111" s="356">
        <v>127712</v>
      </c>
      <c r="X111" s="356">
        <v>168380</v>
      </c>
      <c r="Y111" s="356">
        <v>182428</v>
      </c>
      <c r="Z111" s="356">
        <v>145593</v>
      </c>
      <c r="AA111" s="356">
        <v>128946</v>
      </c>
      <c r="AB111" s="356">
        <v>125909</v>
      </c>
      <c r="AC111" s="356">
        <v>194460</v>
      </c>
      <c r="AD111" s="356">
        <v>115090</v>
      </c>
      <c r="AE111" s="356">
        <v>113501</v>
      </c>
      <c r="AF111" s="356">
        <v>152782</v>
      </c>
      <c r="AG111" s="356">
        <v>138324</v>
      </c>
      <c r="AH111" s="356">
        <v>131885</v>
      </c>
      <c r="AI111" s="353">
        <v>148028</v>
      </c>
      <c r="AJ111" s="367">
        <v>161930</v>
      </c>
      <c r="AK111" s="283" t="s">
        <v>1606</v>
      </c>
      <c r="AL111" s="283">
        <v>123427</v>
      </c>
      <c r="AM111" s="283" t="s">
        <v>1607</v>
      </c>
      <c r="AN111" s="283" t="s">
        <v>1608</v>
      </c>
      <c r="AO111" s="283" t="s">
        <v>1609</v>
      </c>
      <c r="AP111" s="283">
        <v>124090</v>
      </c>
      <c r="AQ111" s="283" t="s">
        <v>1610</v>
      </c>
      <c r="AR111" s="283" t="s">
        <v>1611</v>
      </c>
      <c r="AS111" s="283" t="s">
        <v>1612</v>
      </c>
      <c r="AT111" s="283" t="s">
        <v>1613</v>
      </c>
      <c r="AU111" s="283" t="s">
        <v>1614</v>
      </c>
      <c r="AV111" s="283" t="s">
        <v>1615</v>
      </c>
      <c r="AW111" s="283">
        <f t="shared" si="8"/>
        <v>182788.333333333</v>
      </c>
      <c r="AX111" s="283">
        <v>67700</v>
      </c>
      <c r="AY111" s="283">
        <v>86300</v>
      </c>
      <c r="AZ111" s="283">
        <v>90400</v>
      </c>
      <c r="BA111" s="283">
        <v>91200</v>
      </c>
      <c r="BB111" s="283">
        <v>88700</v>
      </c>
      <c r="BC111" s="283">
        <v>116900</v>
      </c>
      <c r="BD111" s="283">
        <v>120800</v>
      </c>
      <c r="BE111" s="283">
        <v>93300</v>
      </c>
      <c r="BF111" s="283">
        <v>29100</v>
      </c>
      <c r="BG111" s="283">
        <v>22100</v>
      </c>
      <c r="BH111" s="283">
        <v>30500</v>
      </c>
      <c r="BI111" s="283" t="e">
        <f>VLOOKUP(D111,Mid!$A$2:$C$225,3,FALSE)</f>
        <v>#N/A</v>
      </c>
      <c r="BJ111" s="283">
        <v>21800</v>
      </c>
      <c r="BK111" s="283">
        <v>25500</v>
      </c>
      <c r="BL111" s="283">
        <v>29200</v>
      </c>
      <c r="BM111" s="283">
        <v>116900</v>
      </c>
      <c r="BN111" s="283">
        <v>71600</v>
      </c>
      <c r="BO111" s="283">
        <v>68200</v>
      </c>
      <c r="BP111" s="283">
        <v>78900</v>
      </c>
      <c r="BQ111" s="283">
        <v>61100</v>
      </c>
      <c r="BR111" s="283">
        <v>82700</v>
      </c>
      <c r="BS111" s="283">
        <v>106100</v>
      </c>
      <c r="BT111" s="283">
        <v>97000</v>
      </c>
      <c r="BU111" s="283">
        <v>56900</v>
      </c>
      <c r="BV111" s="283">
        <v>66900</v>
      </c>
      <c r="BW111" s="283">
        <v>66900</v>
      </c>
      <c r="BX111" s="283">
        <v>81008</v>
      </c>
      <c r="BY111" s="283">
        <v>81008</v>
      </c>
      <c r="BZ111" s="283">
        <v>118000</v>
      </c>
      <c r="CA111" s="283">
        <v>50100</v>
      </c>
      <c r="CB111" s="283">
        <v>43400</v>
      </c>
      <c r="CC111" s="283">
        <v>53800</v>
      </c>
      <c r="CD111" s="283">
        <v>103000</v>
      </c>
      <c r="CE111" s="283">
        <v>76200</v>
      </c>
      <c r="CF111" s="283">
        <v>82890.24</v>
      </c>
      <c r="CG111" s="283">
        <v>75500</v>
      </c>
      <c r="CH111" s="283">
        <v>75985</v>
      </c>
      <c r="CI111" s="283">
        <v>68300</v>
      </c>
      <c r="CJ111" s="283">
        <v>43500</v>
      </c>
      <c r="CK111" s="283">
        <f t="shared" si="9"/>
        <v>57180.8333333333</v>
      </c>
      <c r="CL111" s="372"/>
      <c r="CM111" s="371">
        <f>Summary!$D$7</f>
        <v>965318.368333333</v>
      </c>
      <c r="CN111" s="258">
        <f t="shared" si="12"/>
        <v>1</v>
      </c>
    </row>
    <row r="112" ht="15.6" spans="1:92">
      <c r="A112" s="258" t="s">
        <v>156</v>
      </c>
      <c r="B112" s="258" t="s">
        <v>694</v>
      </c>
      <c r="C112" s="258" t="s">
        <v>230</v>
      </c>
      <c r="D112" s="258" t="s">
        <v>746</v>
      </c>
      <c r="E112" s="258" t="s">
        <v>233</v>
      </c>
      <c r="F112" s="260" t="s">
        <v>266</v>
      </c>
      <c r="G112" s="343"/>
      <c r="H112" s="283">
        <f>(AW112+CK112)*0.22/2</f>
        <v>2310.56833333333</v>
      </c>
      <c r="I112" s="292" t="s">
        <v>747</v>
      </c>
      <c r="J112" s="351">
        <v>176032</v>
      </c>
      <c r="K112" s="351">
        <v>267943</v>
      </c>
      <c r="L112" s="351">
        <v>214616</v>
      </c>
      <c r="M112" s="351">
        <v>258271</v>
      </c>
      <c r="N112" s="352">
        <v>187928</v>
      </c>
      <c r="O112" s="353">
        <v>181520</v>
      </c>
      <c r="P112" s="353">
        <v>224967</v>
      </c>
      <c r="Q112" s="353">
        <v>207895</v>
      </c>
      <c r="R112" s="353">
        <v>206333</v>
      </c>
      <c r="S112" s="353">
        <v>182539</v>
      </c>
      <c r="T112" s="353">
        <v>146238</v>
      </c>
      <c r="U112" s="353" t="e">
        <f>VLOOKUP(D112,Mid!$A$2:$C$225,2,FALSE)</f>
        <v>#N/A</v>
      </c>
      <c r="V112" s="353">
        <v>184359</v>
      </c>
      <c r="W112" s="353">
        <v>174167</v>
      </c>
      <c r="X112" s="353">
        <v>214152</v>
      </c>
      <c r="Y112" s="353">
        <v>199633</v>
      </c>
      <c r="Z112" s="353">
        <v>208932</v>
      </c>
      <c r="AA112" s="353">
        <v>209530</v>
      </c>
      <c r="AB112" s="353">
        <v>184819</v>
      </c>
      <c r="AC112" s="353">
        <v>229858</v>
      </c>
      <c r="AD112" s="353">
        <v>346107</v>
      </c>
      <c r="AE112" s="353">
        <v>271884</v>
      </c>
      <c r="AF112" s="353">
        <v>198072</v>
      </c>
      <c r="AG112" s="353">
        <v>238983</v>
      </c>
      <c r="AH112" s="353">
        <v>396684</v>
      </c>
      <c r="AI112" s="353">
        <v>322537</v>
      </c>
      <c r="AJ112" s="367">
        <v>279868</v>
      </c>
      <c r="AK112" s="283" t="s">
        <v>748</v>
      </c>
      <c r="AL112" s="283">
        <v>213004</v>
      </c>
      <c r="AM112" s="283" t="s">
        <v>749</v>
      </c>
      <c r="AN112" s="283" t="s">
        <v>750</v>
      </c>
      <c r="AO112" s="283" t="s">
        <v>751</v>
      </c>
      <c r="AP112" s="283">
        <v>108207</v>
      </c>
      <c r="AQ112" s="283" t="s">
        <v>752</v>
      </c>
      <c r="AR112" s="283" t="s">
        <v>753</v>
      </c>
      <c r="AS112" s="283" t="s">
        <v>754</v>
      </c>
      <c r="AT112" s="283" t="s">
        <v>755</v>
      </c>
      <c r="AU112" s="283" t="s">
        <v>756</v>
      </c>
      <c r="AV112" s="283" t="s">
        <v>757</v>
      </c>
      <c r="AW112" s="283">
        <f t="shared" si="8"/>
        <v>14215.5</v>
      </c>
      <c r="AX112" s="283">
        <v>253300</v>
      </c>
      <c r="AY112" s="283">
        <v>359800</v>
      </c>
      <c r="AZ112" s="283">
        <v>290900</v>
      </c>
      <c r="BA112" s="283">
        <v>283300</v>
      </c>
      <c r="BB112" s="283">
        <v>231200</v>
      </c>
      <c r="BC112" s="283">
        <v>211200</v>
      </c>
      <c r="BD112" s="283">
        <v>230700</v>
      </c>
      <c r="BE112" s="283">
        <v>235500</v>
      </c>
      <c r="BF112" s="283">
        <v>147000</v>
      </c>
      <c r="BG112" s="283">
        <v>181400</v>
      </c>
      <c r="BH112" s="283">
        <v>218100</v>
      </c>
      <c r="BI112" s="283" t="e">
        <f>VLOOKUP(D112,Mid!$A$2:$C$225,3,FALSE)</f>
        <v>#N/A</v>
      </c>
      <c r="BJ112" s="283">
        <v>242800</v>
      </c>
      <c r="BK112" s="283">
        <v>226800</v>
      </c>
      <c r="BL112" s="283">
        <v>142200</v>
      </c>
      <c r="BM112" s="283">
        <v>68400</v>
      </c>
      <c r="BN112" s="283">
        <v>91600</v>
      </c>
      <c r="BO112" s="283">
        <v>65000</v>
      </c>
      <c r="BP112" s="283">
        <v>78000</v>
      </c>
      <c r="BQ112" s="283">
        <v>101300</v>
      </c>
      <c r="BR112" s="283">
        <v>162800</v>
      </c>
      <c r="BS112" s="283">
        <v>57200</v>
      </c>
      <c r="BT112" s="283">
        <v>106500</v>
      </c>
      <c r="BU112" s="283">
        <v>56400</v>
      </c>
      <c r="BV112" s="283">
        <v>42500</v>
      </c>
      <c r="BW112" s="283">
        <v>76100</v>
      </c>
      <c r="BX112" s="283">
        <v>28100</v>
      </c>
      <c r="BY112" s="283">
        <v>28100</v>
      </c>
      <c r="BZ112" s="283">
        <v>17700</v>
      </c>
      <c r="CA112" s="283">
        <v>32400</v>
      </c>
      <c r="CB112" s="283">
        <v>20300</v>
      </c>
      <c r="CC112" s="283">
        <v>7300</v>
      </c>
      <c r="CD112" s="283">
        <v>12300</v>
      </c>
      <c r="CE112" s="283">
        <v>12300</v>
      </c>
      <c r="CF112" s="283">
        <v>9200</v>
      </c>
      <c r="CG112" s="283">
        <v>16500</v>
      </c>
      <c r="CH112" s="283">
        <v>17700</v>
      </c>
      <c r="CI112" s="283">
        <v>11000</v>
      </c>
      <c r="CJ112" s="283">
        <v>346</v>
      </c>
      <c r="CK112" s="283">
        <f t="shared" si="9"/>
        <v>6789.66666666667</v>
      </c>
      <c r="CL112" s="370"/>
      <c r="CM112" s="371">
        <f>Summary!$D$7</f>
        <v>965318.368333333</v>
      </c>
      <c r="CN112" s="258">
        <f t="shared" si="12"/>
        <v>0</v>
      </c>
    </row>
    <row r="113" ht="15.6" spans="1:92">
      <c r="A113" s="258" t="s">
        <v>156</v>
      </c>
      <c r="B113" s="258" t="s">
        <v>694</v>
      </c>
      <c r="C113" s="258" t="s">
        <v>243</v>
      </c>
      <c r="D113" s="258" t="s">
        <v>1616</v>
      </c>
      <c r="E113" s="258" t="s">
        <v>454</v>
      </c>
      <c r="F113" s="260" t="s">
        <v>420</v>
      </c>
      <c r="G113" s="343"/>
      <c r="H113" s="283">
        <f t="shared" ref="H113:H119" si="14">(AW113+CK113)/2</f>
        <v>18417</v>
      </c>
      <c r="I113" s="292"/>
      <c r="J113" s="351">
        <v>20221</v>
      </c>
      <c r="K113" s="351">
        <v>27863</v>
      </c>
      <c r="L113" s="351">
        <v>15829</v>
      </c>
      <c r="M113" s="351">
        <v>27199</v>
      </c>
      <c r="N113" s="352">
        <v>37044</v>
      </c>
      <c r="O113" s="353">
        <v>30956</v>
      </c>
      <c r="P113" s="353">
        <v>30171</v>
      </c>
      <c r="Q113" s="353">
        <v>34338</v>
      </c>
      <c r="R113" s="353">
        <v>23964</v>
      </c>
      <c r="S113" s="353">
        <v>32810</v>
      </c>
      <c r="T113" s="353">
        <v>28704</v>
      </c>
      <c r="U113" s="353" t="e">
        <f>VLOOKUP(D113,Mid!$A$2:$C$225,2,FALSE)</f>
        <v>#N/A</v>
      </c>
      <c r="V113" s="353">
        <v>29332</v>
      </c>
      <c r="W113" s="353">
        <v>40184</v>
      </c>
      <c r="X113" s="353">
        <v>25806</v>
      </c>
      <c r="Y113" s="353">
        <v>24767</v>
      </c>
      <c r="Z113" s="353">
        <v>21897</v>
      </c>
      <c r="AA113" s="353">
        <v>21902</v>
      </c>
      <c r="AB113" s="353">
        <v>38713</v>
      </c>
      <c r="AC113" s="353">
        <v>41436</v>
      </c>
      <c r="AD113" s="353">
        <v>25197</v>
      </c>
      <c r="AE113" s="353">
        <v>24995</v>
      </c>
      <c r="AF113" s="353">
        <v>21441</v>
      </c>
      <c r="AG113" s="353">
        <v>22922</v>
      </c>
      <c r="AH113" s="353">
        <v>30649</v>
      </c>
      <c r="AI113" s="353">
        <v>36781</v>
      </c>
      <c r="AJ113" s="367">
        <v>23250</v>
      </c>
      <c r="AK113" s="283" t="s">
        <v>1617</v>
      </c>
      <c r="AL113" s="283">
        <v>34104</v>
      </c>
      <c r="AM113" s="283" t="s">
        <v>1618</v>
      </c>
      <c r="AN113" s="283" t="s">
        <v>1619</v>
      </c>
      <c r="AO113" s="283" t="s">
        <v>1620</v>
      </c>
      <c r="AP113" s="283">
        <f>32844*0.3119*2</f>
        <v>20488.0872</v>
      </c>
      <c r="AQ113" s="283" t="s">
        <v>1621</v>
      </c>
      <c r="AR113" s="283" t="s">
        <v>1622</v>
      </c>
      <c r="AS113" s="283" t="s">
        <v>1623</v>
      </c>
      <c r="AT113" s="283" t="s">
        <v>1624</v>
      </c>
      <c r="AU113" s="283" t="s">
        <v>1625</v>
      </c>
      <c r="AV113" s="283" t="s">
        <v>1626</v>
      </c>
      <c r="AW113" s="283">
        <f t="shared" si="8"/>
        <v>30050.6666666667</v>
      </c>
      <c r="AX113" s="283">
        <v>11800</v>
      </c>
      <c r="AY113" s="283">
        <v>15900</v>
      </c>
      <c r="AZ113" s="283">
        <v>21100</v>
      </c>
      <c r="BA113" s="283">
        <v>20900</v>
      </c>
      <c r="BB113" s="283">
        <v>18900</v>
      </c>
      <c r="BC113" s="283">
        <v>21200</v>
      </c>
      <c r="BD113" s="283">
        <v>19900</v>
      </c>
      <c r="BE113" s="283">
        <v>18500</v>
      </c>
      <c r="BF113" s="283">
        <v>19400</v>
      </c>
      <c r="BG113" s="283">
        <v>24100</v>
      </c>
      <c r="BH113" s="283">
        <v>22200</v>
      </c>
      <c r="BI113" s="283" t="e">
        <f>VLOOKUP(D113,Mid!$A$2:$C$225,3,FALSE)</f>
        <v>#N/A</v>
      </c>
      <c r="BJ113" s="283">
        <v>19800</v>
      </c>
      <c r="BK113" s="283">
        <v>17400</v>
      </c>
      <c r="BL113" s="283">
        <v>13300</v>
      </c>
      <c r="BM113" s="283">
        <v>10700</v>
      </c>
      <c r="BN113" s="283">
        <v>38900</v>
      </c>
      <c r="BO113" s="283">
        <v>32800</v>
      </c>
      <c r="BP113" s="283">
        <v>25700</v>
      </c>
      <c r="BQ113" s="283">
        <v>23600</v>
      </c>
      <c r="BR113" s="283">
        <v>21100</v>
      </c>
      <c r="BS113" s="283">
        <v>17000</v>
      </c>
      <c r="BT113" s="283">
        <v>19800</v>
      </c>
      <c r="BU113" s="283">
        <v>45600</v>
      </c>
      <c r="BV113" s="283">
        <v>12100</v>
      </c>
      <c r="BW113" s="283">
        <v>24200</v>
      </c>
      <c r="BX113" s="283">
        <v>16800</v>
      </c>
      <c r="BY113" s="283">
        <v>16800</v>
      </c>
      <c r="BZ113" s="283">
        <v>12000</v>
      </c>
      <c r="CA113" s="283">
        <v>16700</v>
      </c>
      <c r="CB113" s="283">
        <v>28300</v>
      </c>
      <c r="CC113" s="283">
        <v>10900</v>
      </c>
      <c r="CD113" s="283">
        <v>27400</v>
      </c>
      <c r="CE113" s="283">
        <v>18000</v>
      </c>
      <c r="CF113" s="283">
        <v>8200</v>
      </c>
      <c r="CG113" s="283">
        <v>8900</v>
      </c>
      <c r="CH113" s="283">
        <v>13600</v>
      </c>
      <c r="CI113" s="283">
        <v>5600</v>
      </c>
      <c r="CJ113" s="283">
        <v>5300</v>
      </c>
      <c r="CK113" s="283">
        <f t="shared" si="9"/>
        <v>6783.33333333333</v>
      </c>
      <c r="CL113" s="370"/>
      <c r="CM113" s="371">
        <f>Summary!$D$7</f>
        <v>965318.368333333</v>
      </c>
      <c r="CN113" s="258">
        <f t="shared" si="12"/>
        <v>0</v>
      </c>
    </row>
    <row r="114" ht="15.6" spans="1:92">
      <c r="A114" s="258" t="s">
        <v>156</v>
      </c>
      <c r="B114" s="258" t="s">
        <v>694</v>
      </c>
      <c r="C114" s="258" t="s">
        <v>243</v>
      </c>
      <c r="D114" s="258" t="s">
        <v>1627</v>
      </c>
      <c r="E114" s="258" t="s">
        <v>234</v>
      </c>
      <c r="F114" s="260" t="s">
        <v>417</v>
      </c>
      <c r="G114" s="343"/>
      <c r="H114" s="283">
        <f t="shared" si="14"/>
        <v>78.8333333333335</v>
      </c>
      <c r="I114" s="292" t="s">
        <v>1580</v>
      </c>
      <c r="J114" s="351">
        <v>13456</v>
      </c>
      <c r="K114" s="351">
        <v>19461</v>
      </c>
      <c r="L114" s="351">
        <v>11202</v>
      </c>
      <c r="M114" s="351">
        <v>14312</v>
      </c>
      <c r="N114" s="352">
        <v>16123</v>
      </c>
      <c r="O114" s="353">
        <v>8278</v>
      </c>
      <c r="P114" s="353">
        <v>10315</v>
      </c>
      <c r="Q114" s="353">
        <v>15551</v>
      </c>
      <c r="R114" s="353">
        <v>20776</v>
      </c>
      <c r="S114" s="353">
        <v>68941</v>
      </c>
      <c r="T114" s="353">
        <v>36788</v>
      </c>
      <c r="U114" s="353" t="e">
        <f>VLOOKUP(D114,Mid!$A$2:$C$225,2,FALSE)</f>
        <v>#N/A</v>
      </c>
      <c r="V114" s="353">
        <v>8460</v>
      </c>
      <c r="W114" s="353">
        <v>12837</v>
      </c>
      <c r="X114" s="353">
        <v>19759</v>
      </c>
      <c r="Y114" s="353">
        <v>18926</v>
      </c>
      <c r="Z114" s="353">
        <v>11402</v>
      </c>
      <c r="AA114" s="353">
        <v>2559</v>
      </c>
      <c r="AB114" s="353">
        <v>194</v>
      </c>
      <c r="AC114" s="353">
        <v>719</v>
      </c>
      <c r="AD114" s="353">
        <v>362</v>
      </c>
      <c r="AE114" s="353">
        <v>0</v>
      </c>
      <c r="AF114" s="353">
        <v>0</v>
      </c>
      <c r="AG114" s="353">
        <v>459</v>
      </c>
      <c r="AH114" s="353">
        <v>0</v>
      </c>
      <c r="AI114" s="353">
        <v>0</v>
      </c>
      <c r="AJ114" s="353">
        <v>0</v>
      </c>
      <c r="AK114" s="283" t="s">
        <v>1628</v>
      </c>
      <c r="AL114" s="283">
        <v>0</v>
      </c>
      <c r="AM114" s="283" t="s">
        <v>796</v>
      </c>
      <c r="AN114" s="283" t="s">
        <v>796</v>
      </c>
      <c r="AO114" s="283" t="s">
        <v>796</v>
      </c>
      <c r="AP114" s="283">
        <v>2500</v>
      </c>
      <c r="AQ114" s="283" t="s">
        <v>796</v>
      </c>
      <c r="AR114" s="283" t="s">
        <v>796</v>
      </c>
      <c r="AS114" s="283" t="s">
        <v>796</v>
      </c>
      <c r="AT114" s="283" t="s">
        <v>796</v>
      </c>
      <c r="AU114" s="283" t="s">
        <v>796</v>
      </c>
      <c r="AV114" s="283" t="s">
        <v>796</v>
      </c>
      <c r="AW114" s="283">
        <f t="shared" si="8"/>
        <v>0</v>
      </c>
      <c r="AX114" s="283">
        <v>22800</v>
      </c>
      <c r="AY114" s="283">
        <v>16500</v>
      </c>
      <c r="AZ114" s="283">
        <v>15200</v>
      </c>
      <c r="BA114" s="283">
        <v>16600</v>
      </c>
      <c r="BB114" s="283">
        <v>17100</v>
      </c>
      <c r="BC114" s="283">
        <v>16500</v>
      </c>
      <c r="BD114" s="283">
        <v>18100</v>
      </c>
      <c r="BE114" s="283">
        <v>17400</v>
      </c>
      <c r="BF114" s="283">
        <v>32000</v>
      </c>
      <c r="BG114" s="283">
        <v>15400</v>
      </c>
      <c r="BH114" s="283">
        <v>20800</v>
      </c>
      <c r="BI114" s="283" t="e">
        <f>VLOOKUP(D114,Mid!$A$2:$C$225,3,FALSE)</f>
        <v>#N/A</v>
      </c>
      <c r="BJ114" s="283">
        <v>10200</v>
      </c>
      <c r="BK114" s="283">
        <v>7900</v>
      </c>
      <c r="BL114" s="283">
        <v>6600</v>
      </c>
      <c r="BM114" s="283">
        <v>13400</v>
      </c>
      <c r="BN114" s="283">
        <v>8200</v>
      </c>
      <c r="BO114" s="283">
        <v>0</v>
      </c>
      <c r="BP114" s="283">
        <v>0</v>
      </c>
      <c r="BQ114" s="283">
        <v>0</v>
      </c>
      <c r="BR114" s="283">
        <v>1400</v>
      </c>
      <c r="BS114" s="283">
        <v>0</v>
      </c>
      <c r="BT114" s="283">
        <v>188</v>
      </c>
      <c r="BU114" s="283">
        <v>0</v>
      </c>
      <c r="BV114" s="283">
        <v>0</v>
      </c>
      <c r="BW114" s="283">
        <v>0</v>
      </c>
      <c r="BX114" s="283">
        <v>0</v>
      </c>
      <c r="BY114" s="283">
        <v>0</v>
      </c>
      <c r="BZ114" s="283">
        <v>0</v>
      </c>
      <c r="CA114" s="283">
        <v>0</v>
      </c>
      <c r="CB114" s="283">
        <v>0</v>
      </c>
      <c r="CC114" s="283">
        <v>0</v>
      </c>
      <c r="CD114" s="283">
        <v>0</v>
      </c>
      <c r="CE114" s="283">
        <v>0</v>
      </c>
      <c r="CF114" s="283">
        <v>0</v>
      </c>
      <c r="CG114" s="283">
        <v>0</v>
      </c>
      <c r="CH114" s="283">
        <v>0</v>
      </c>
      <c r="CI114" s="283">
        <v>68</v>
      </c>
      <c r="CJ114" s="283">
        <v>270</v>
      </c>
      <c r="CK114" s="283">
        <f t="shared" si="9"/>
        <v>157.666666666667</v>
      </c>
      <c r="CL114" s="370"/>
      <c r="CM114" s="371">
        <f>Summary!$D$7</f>
        <v>965318.368333333</v>
      </c>
      <c r="CN114" s="258">
        <f t="shared" si="12"/>
        <v>0</v>
      </c>
    </row>
    <row r="115" ht="15.6" spans="1:92">
      <c r="A115" s="258" t="s">
        <v>156</v>
      </c>
      <c r="B115" s="258" t="s">
        <v>513</v>
      </c>
      <c r="C115" s="258" t="s">
        <v>234</v>
      </c>
      <c r="D115" s="258" t="s">
        <v>1629</v>
      </c>
      <c r="E115" s="258" t="s">
        <v>234</v>
      </c>
      <c r="F115" s="260" t="s">
        <v>234</v>
      </c>
      <c r="G115" s="343"/>
      <c r="H115" s="283">
        <f t="shared" si="14"/>
        <v>26287.9166666667</v>
      </c>
      <c r="I115" s="360" t="s">
        <v>1630</v>
      </c>
      <c r="J115" s="351">
        <v>15060</v>
      </c>
      <c r="K115" s="351">
        <v>14553</v>
      </c>
      <c r="L115" s="351">
        <v>16970</v>
      </c>
      <c r="M115" s="351">
        <v>9319</v>
      </c>
      <c r="N115" s="352">
        <v>14994</v>
      </c>
      <c r="O115" s="353">
        <v>7265</v>
      </c>
      <c r="P115" s="353">
        <v>16820</v>
      </c>
      <c r="Q115" s="353">
        <v>22689</v>
      </c>
      <c r="R115" s="353">
        <v>35088</v>
      </c>
      <c r="S115" s="353">
        <v>20204</v>
      </c>
      <c r="T115" s="353">
        <v>19581</v>
      </c>
      <c r="U115" s="353" t="e">
        <f>VLOOKUP(D115,Mid!$A$2:$C$225,2,FALSE)</f>
        <v>#N/A</v>
      </c>
      <c r="V115" s="353">
        <v>14104</v>
      </c>
      <c r="W115" s="353">
        <v>13580</v>
      </c>
      <c r="X115" s="353">
        <v>11396</v>
      </c>
      <c r="Y115" s="353">
        <v>10234</v>
      </c>
      <c r="Z115" s="353">
        <v>12304</v>
      </c>
      <c r="AA115" s="353">
        <v>14641</v>
      </c>
      <c r="AB115" s="353">
        <v>10522</v>
      </c>
      <c r="AC115" s="353">
        <v>3109</v>
      </c>
      <c r="AD115" s="353">
        <v>4227</v>
      </c>
      <c r="AE115" s="353">
        <v>11386</v>
      </c>
      <c r="AF115" s="353">
        <v>7309</v>
      </c>
      <c r="AG115" s="353">
        <v>12998</v>
      </c>
      <c r="AH115" s="353">
        <v>3694</v>
      </c>
      <c r="AI115" s="353">
        <v>13792</v>
      </c>
      <c r="AJ115" s="367">
        <v>19755</v>
      </c>
      <c r="AK115" s="283" t="s">
        <v>1631</v>
      </c>
      <c r="AL115" s="283">
        <v>14875</v>
      </c>
      <c r="AM115" s="283" t="s">
        <v>1632</v>
      </c>
      <c r="AN115" s="283" t="s">
        <v>1633</v>
      </c>
      <c r="AO115" s="283" t="s">
        <v>1634</v>
      </c>
      <c r="AP115" s="283">
        <f>16350*0.1525*2</f>
        <v>4986.75</v>
      </c>
      <c r="AQ115" s="283" t="s">
        <v>1635</v>
      </c>
      <c r="AR115" s="283" t="s">
        <v>1636</v>
      </c>
      <c r="AS115" s="283" t="s">
        <v>1637</v>
      </c>
      <c r="AT115" s="283" t="s">
        <v>1638</v>
      </c>
      <c r="AU115" s="283" t="s">
        <v>1639</v>
      </c>
      <c r="AV115" s="283" t="s">
        <v>1640</v>
      </c>
      <c r="AW115" s="283">
        <f t="shared" si="8"/>
        <v>12223.6666666667</v>
      </c>
      <c r="AX115" s="283">
        <v>11600</v>
      </c>
      <c r="AY115" s="283">
        <v>7400</v>
      </c>
      <c r="AZ115" s="283">
        <v>7700</v>
      </c>
      <c r="BA115" s="283">
        <v>8000</v>
      </c>
      <c r="BB115" s="283">
        <v>2300</v>
      </c>
      <c r="BC115" s="283">
        <v>2500</v>
      </c>
      <c r="BD115" s="283">
        <v>4300</v>
      </c>
      <c r="BE115" s="283">
        <v>6200</v>
      </c>
      <c r="BF115" s="283">
        <v>18200</v>
      </c>
      <c r="BG115" s="283">
        <v>6100</v>
      </c>
      <c r="BH115" s="283">
        <v>4000</v>
      </c>
      <c r="BI115" s="283" t="e">
        <f>VLOOKUP(D115,Mid!$A$2:$C$225,3,FALSE)</f>
        <v>#N/A</v>
      </c>
      <c r="BJ115" s="283">
        <v>4800</v>
      </c>
      <c r="BK115" s="283">
        <v>1900</v>
      </c>
      <c r="BL115" s="283">
        <v>4700</v>
      </c>
      <c r="BM115" s="283">
        <v>8600</v>
      </c>
      <c r="BN115" s="283">
        <v>2100</v>
      </c>
      <c r="BO115" s="283">
        <v>14700</v>
      </c>
      <c r="BP115" s="283">
        <v>10700</v>
      </c>
      <c r="BQ115" s="283">
        <v>10400</v>
      </c>
      <c r="BR115" s="283">
        <v>15900</v>
      </c>
      <c r="BS115" s="283">
        <v>21600</v>
      </c>
      <c r="BT115" s="283">
        <v>17000</v>
      </c>
      <c r="BU115" s="283">
        <v>8000</v>
      </c>
      <c r="BV115" s="283">
        <v>10300</v>
      </c>
      <c r="BW115" s="283">
        <v>4000</v>
      </c>
      <c r="BX115" s="283">
        <v>7683</v>
      </c>
      <c r="BY115" s="283">
        <v>7683</v>
      </c>
      <c r="BZ115" s="283">
        <v>12392</v>
      </c>
      <c r="CA115" s="283">
        <v>9489.8</v>
      </c>
      <c r="CB115" s="283">
        <v>15078</v>
      </c>
      <c r="CC115" s="283">
        <v>10700</v>
      </c>
      <c r="CD115" s="283">
        <v>4800</v>
      </c>
      <c r="CE115" s="283">
        <v>7700</v>
      </c>
      <c r="CF115" s="283">
        <v>3300</v>
      </c>
      <c r="CG115" s="283">
        <v>8200</v>
      </c>
      <c r="CH115" s="283">
        <v>513</v>
      </c>
      <c r="CI115" s="283">
        <v>116600</v>
      </c>
      <c r="CJ115" s="283">
        <v>2800</v>
      </c>
      <c r="CK115" s="283">
        <f t="shared" si="9"/>
        <v>40352.1666666667</v>
      </c>
      <c r="CL115" s="370"/>
      <c r="CM115" s="371">
        <f>Summary!$D$7</f>
        <v>965318.368333333</v>
      </c>
      <c r="CN115" s="258">
        <f t="shared" si="12"/>
        <v>0</v>
      </c>
    </row>
    <row r="116" ht="15.6" spans="1:92">
      <c r="A116" s="258" t="s">
        <v>156</v>
      </c>
      <c r="B116" s="258" t="s">
        <v>694</v>
      </c>
      <c r="C116" s="258" t="s">
        <v>230</v>
      </c>
      <c r="D116" s="258" t="s">
        <v>1641</v>
      </c>
      <c r="E116" s="258" t="s">
        <v>234</v>
      </c>
      <c r="F116" s="260" t="s">
        <v>266</v>
      </c>
      <c r="G116" s="343"/>
      <c r="H116" s="283">
        <f t="shared" si="14"/>
        <v>7324.16666666667</v>
      </c>
      <c r="I116" s="360"/>
      <c r="J116" s="351">
        <v>9013</v>
      </c>
      <c r="K116" s="351">
        <v>8732</v>
      </c>
      <c r="L116" s="351">
        <v>4628</v>
      </c>
      <c r="M116" s="351">
        <v>5602</v>
      </c>
      <c r="N116" s="352">
        <v>8006</v>
      </c>
      <c r="O116" s="353">
        <v>5983</v>
      </c>
      <c r="P116" s="353">
        <v>10523</v>
      </c>
      <c r="Q116" s="353">
        <v>7544</v>
      </c>
      <c r="R116" s="353">
        <v>6998</v>
      </c>
      <c r="S116" s="353">
        <v>5018</v>
      </c>
      <c r="T116" s="353">
        <v>9909</v>
      </c>
      <c r="U116" s="353" t="e">
        <f>VLOOKUP(D116,Mid!$A$2:$C$225,2,FALSE)</f>
        <v>#N/A</v>
      </c>
      <c r="V116" s="353">
        <v>7663</v>
      </c>
      <c r="W116" s="353">
        <v>4544</v>
      </c>
      <c r="X116" s="353">
        <v>3567</v>
      </c>
      <c r="Y116" s="353">
        <v>17938</v>
      </c>
      <c r="Z116" s="353">
        <v>10704</v>
      </c>
      <c r="AA116" s="353">
        <v>7802</v>
      </c>
      <c r="AB116" s="353">
        <v>1649</v>
      </c>
      <c r="AC116" s="353">
        <v>2781</v>
      </c>
      <c r="AD116" s="353">
        <v>8111</v>
      </c>
      <c r="AE116" s="353">
        <v>10676</v>
      </c>
      <c r="AF116" s="353">
        <v>22901</v>
      </c>
      <c r="AG116" s="353">
        <v>7981</v>
      </c>
      <c r="AH116" s="353">
        <v>3201</v>
      </c>
      <c r="AI116" s="353">
        <v>6524</v>
      </c>
      <c r="AJ116" s="353">
        <v>4399</v>
      </c>
      <c r="AK116" s="283" t="s">
        <v>1642</v>
      </c>
      <c r="AL116" s="283">
        <v>11316</v>
      </c>
      <c r="AM116" s="283" t="s">
        <v>1643</v>
      </c>
      <c r="AN116" s="283" t="s">
        <v>1644</v>
      </c>
      <c r="AO116" s="283" t="s">
        <v>1645</v>
      </c>
      <c r="AP116" s="283">
        <v>10598</v>
      </c>
      <c r="AQ116" s="283" t="s">
        <v>1646</v>
      </c>
      <c r="AR116" s="283" t="s">
        <v>1647</v>
      </c>
      <c r="AS116" s="283" t="s">
        <v>1648</v>
      </c>
      <c r="AT116" s="283" t="s">
        <v>1649</v>
      </c>
      <c r="AU116" s="283" t="s">
        <v>1650</v>
      </c>
      <c r="AV116" s="283" t="s">
        <v>1651</v>
      </c>
      <c r="AW116" s="283">
        <f t="shared" si="8"/>
        <v>10015</v>
      </c>
      <c r="AX116" s="283">
        <v>10800</v>
      </c>
      <c r="AY116" s="283">
        <v>6900</v>
      </c>
      <c r="AZ116" s="283">
        <v>5100</v>
      </c>
      <c r="BA116" s="283">
        <v>4800</v>
      </c>
      <c r="BB116" s="283">
        <v>6300</v>
      </c>
      <c r="BC116" s="283">
        <v>13400</v>
      </c>
      <c r="BD116" s="283">
        <v>10000</v>
      </c>
      <c r="BE116" s="283">
        <v>9900</v>
      </c>
      <c r="BF116" s="283">
        <v>12800</v>
      </c>
      <c r="BG116" s="283">
        <v>3900</v>
      </c>
      <c r="BH116" s="283">
        <v>13000</v>
      </c>
      <c r="BI116" s="283" t="e">
        <f>VLOOKUP(D116,Mid!$A$2:$C$225,3,FALSE)</f>
        <v>#N/A</v>
      </c>
      <c r="BJ116" s="283">
        <v>8700</v>
      </c>
      <c r="BK116" s="283">
        <v>12400</v>
      </c>
      <c r="BL116" s="283">
        <v>8800</v>
      </c>
      <c r="BM116" s="283">
        <v>7400</v>
      </c>
      <c r="BN116" s="283">
        <v>18400</v>
      </c>
      <c r="BO116" s="283">
        <v>16300</v>
      </c>
      <c r="BP116" s="283">
        <v>5400</v>
      </c>
      <c r="BQ116" s="283">
        <v>33200</v>
      </c>
      <c r="BR116" s="283">
        <v>14800</v>
      </c>
      <c r="BS116" s="283">
        <v>10100</v>
      </c>
      <c r="BT116" s="283">
        <v>5100</v>
      </c>
      <c r="BU116" s="283">
        <v>3800</v>
      </c>
      <c r="BV116" s="283">
        <v>13700</v>
      </c>
      <c r="BW116" s="283">
        <v>10200</v>
      </c>
      <c r="BX116" s="283">
        <v>21319</v>
      </c>
      <c r="BY116" s="283">
        <v>33700</v>
      </c>
      <c r="BZ116" s="283">
        <v>7200</v>
      </c>
      <c r="CA116" s="283">
        <v>6500</v>
      </c>
      <c r="CB116" s="283">
        <v>5700</v>
      </c>
      <c r="CC116" s="283">
        <v>10700</v>
      </c>
      <c r="CD116" s="283">
        <v>4900</v>
      </c>
      <c r="CE116" s="283">
        <v>4900</v>
      </c>
      <c r="CF116" s="283">
        <v>1500</v>
      </c>
      <c r="CG116" s="283">
        <v>564</v>
      </c>
      <c r="CH116" s="283">
        <v>2100</v>
      </c>
      <c r="CI116" s="283">
        <v>1600</v>
      </c>
      <c r="CJ116" s="283">
        <v>7500</v>
      </c>
      <c r="CK116" s="283">
        <f t="shared" si="9"/>
        <v>4633.33333333333</v>
      </c>
      <c r="CL116" s="370"/>
      <c r="CM116" s="371">
        <f>Summary!$D$7</f>
        <v>965318.368333333</v>
      </c>
      <c r="CN116" s="258">
        <f t="shared" si="12"/>
        <v>0</v>
      </c>
    </row>
    <row r="117" ht="78" spans="1:92">
      <c r="A117" s="258" t="s">
        <v>156</v>
      </c>
      <c r="B117" s="258" t="s">
        <v>694</v>
      </c>
      <c r="C117" s="258" t="s">
        <v>230</v>
      </c>
      <c r="D117" s="258" t="s">
        <v>279</v>
      </c>
      <c r="E117" s="258" t="s">
        <v>233</v>
      </c>
      <c r="F117" s="260" t="s">
        <v>234</v>
      </c>
      <c r="G117" s="343"/>
      <c r="H117" s="283">
        <f t="shared" si="14"/>
        <v>45283</v>
      </c>
      <c r="I117" s="361" t="s">
        <v>1144</v>
      </c>
      <c r="J117" s="351"/>
      <c r="K117" s="351"/>
      <c r="L117" s="351"/>
      <c r="M117" s="351"/>
      <c r="N117" s="352"/>
      <c r="O117" s="353"/>
      <c r="P117" s="353"/>
      <c r="Q117" s="353"/>
      <c r="R117" s="353"/>
      <c r="S117" s="353"/>
      <c r="T117" s="353"/>
      <c r="U117" s="353"/>
      <c r="V117" s="353"/>
      <c r="W117" s="353"/>
      <c r="X117" s="353"/>
      <c r="Y117" s="353"/>
      <c r="Z117" s="353"/>
      <c r="AA117" s="353"/>
      <c r="AB117" s="353"/>
      <c r="AC117" s="353"/>
      <c r="AD117" s="353"/>
      <c r="AE117" s="353"/>
      <c r="AF117" s="353"/>
      <c r="AG117" s="353"/>
      <c r="AH117" s="353"/>
      <c r="AI117" s="353">
        <v>48767</v>
      </c>
      <c r="AJ117" s="258">
        <v>39781</v>
      </c>
      <c r="AK117" s="283">
        <v>39781</v>
      </c>
      <c r="AL117" s="283">
        <v>98215</v>
      </c>
      <c r="AM117" s="283" t="s">
        <v>1652</v>
      </c>
      <c r="AN117" s="283" t="s">
        <v>1653</v>
      </c>
      <c r="AO117" s="283" t="s">
        <v>1654</v>
      </c>
      <c r="AP117" s="283">
        <v>58736</v>
      </c>
      <c r="AQ117" s="283" t="s">
        <v>1655</v>
      </c>
      <c r="AR117" s="283" t="s">
        <v>1656</v>
      </c>
      <c r="AS117" s="283" t="s">
        <v>1657</v>
      </c>
      <c r="AT117" s="283" t="s">
        <v>1658</v>
      </c>
      <c r="AU117" s="283" t="s">
        <v>1659</v>
      </c>
      <c r="AV117" s="283" t="s">
        <v>1660</v>
      </c>
      <c r="AW117" s="283">
        <f t="shared" si="8"/>
        <v>67832.6666666667</v>
      </c>
      <c r="AX117" s="283"/>
      <c r="AY117" s="283"/>
      <c r="AZ117" s="283"/>
      <c r="BA117" s="283"/>
      <c r="BB117" s="283"/>
      <c r="BC117" s="283"/>
      <c r="BD117" s="283"/>
      <c r="BE117" s="283"/>
      <c r="BF117" s="283"/>
      <c r="BG117" s="283"/>
      <c r="BH117" s="283"/>
      <c r="BI117" s="283"/>
      <c r="BJ117" s="283"/>
      <c r="BK117" s="283"/>
      <c r="BL117" s="283"/>
      <c r="BM117" s="283"/>
      <c r="BN117" s="283"/>
      <c r="BO117" s="283"/>
      <c r="BP117" s="283"/>
      <c r="BQ117" s="283"/>
      <c r="BR117" s="283"/>
      <c r="BS117" s="283"/>
      <c r="BT117" s="283"/>
      <c r="BU117" s="283"/>
      <c r="BV117" s="283"/>
      <c r="BW117" s="283">
        <v>100000</v>
      </c>
      <c r="BX117" s="283">
        <v>55761.5384615385</v>
      </c>
      <c r="BY117" s="283">
        <v>42730.7692307692</v>
      </c>
      <c r="BZ117" s="283">
        <v>31096.1538461538</v>
      </c>
      <c r="CA117" s="283">
        <v>21900</v>
      </c>
      <c r="CB117" s="283">
        <v>10000</v>
      </c>
      <c r="CC117" s="283">
        <v>16200</v>
      </c>
      <c r="CD117" s="283">
        <v>11600</v>
      </c>
      <c r="CE117" s="283">
        <v>11600</v>
      </c>
      <c r="CF117" s="283">
        <v>25501.3</v>
      </c>
      <c r="CG117" s="283">
        <v>81800</v>
      </c>
      <c r="CH117" s="283">
        <v>15600</v>
      </c>
      <c r="CI117" s="283">
        <v>19600</v>
      </c>
      <c r="CJ117" s="283">
        <v>27200</v>
      </c>
      <c r="CK117" s="283">
        <f t="shared" si="9"/>
        <v>22733.3333333333</v>
      </c>
      <c r="CL117" s="370"/>
      <c r="CM117" s="371">
        <f>Summary!$D$7</f>
        <v>965318.368333333</v>
      </c>
      <c r="CN117" s="258">
        <f t="shared" si="12"/>
        <v>0</v>
      </c>
    </row>
    <row r="118" ht="109.2" spans="1:92">
      <c r="A118" s="258" t="s">
        <v>156</v>
      </c>
      <c r="B118" s="258" t="s">
        <v>694</v>
      </c>
      <c r="C118" s="258" t="s">
        <v>230</v>
      </c>
      <c r="D118" s="258" t="s">
        <v>276</v>
      </c>
      <c r="E118" s="258" t="s">
        <v>233</v>
      </c>
      <c r="F118" s="260" t="s">
        <v>234</v>
      </c>
      <c r="G118" s="346"/>
      <c r="H118" s="283">
        <f t="shared" si="14"/>
        <v>277332.828333333</v>
      </c>
      <c r="I118" s="292" t="s">
        <v>705</v>
      </c>
      <c r="J118" s="354"/>
      <c r="K118" s="354"/>
      <c r="L118" s="354"/>
      <c r="M118" s="354"/>
      <c r="N118" s="355"/>
      <c r="O118" s="356"/>
      <c r="P118" s="356"/>
      <c r="Q118" s="356"/>
      <c r="R118" s="356"/>
      <c r="S118" s="356"/>
      <c r="T118" s="356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356"/>
      <c r="AI118" s="353">
        <v>292775</v>
      </c>
      <c r="AJ118" s="283">
        <v>191759</v>
      </c>
      <c r="AK118" s="283">
        <v>200992</v>
      </c>
      <c r="AL118" s="283">
        <v>297014</v>
      </c>
      <c r="AM118" s="283" t="s">
        <v>1661</v>
      </c>
      <c r="AN118" s="283" t="s">
        <v>1662</v>
      </c>
      <c r="AO118" s="283" t="s">
        <v>1663</v>
      </c>
      <c r="AP118" s="283">
        <v>280298</v>
      </c>
      <c r="AQ118" s="283" t="s">
        <v>1664</v>
      </c>
      <c r="AR118" s="283" t="s">
        <v>1665</v>
      </c>
      <c r="AS118" s="283" t="s">
        <v>1666</v>
      </c>
      <c r="AT118" s="283" t="s">
        <v>1667</v>
      </c>
      <c r="AU118" s="283" t="s">
        <v>1668</v>
      </c>
      <c r="AV118" s="283" t="s">
        <v>1669</v>
      </c>
      <c r="AW118" s="283">
        <f t="shared" si="8"/>
        <v>324998</v>
      </c>
      <c r="AX118" s="283"/>
      <c r="AY118" s="283"/>
      <c r="AZ118" s="283"/>
      <c r="BA118" s="283"/>
      <c r="BB118" s="283"/>
      <c r="BC118" s="283"/>
      <c r="BD118" s="283"/>
      <c r="BE118" s="283"/>
      <c r="BF118" s="283"/>
      <c r="BG118" s="283"/>
      <c r="BH118" s="283"/>
      <c r="BI118" s="283"/>
      <c r="BJ118" s="283"/>
      <c r="BK118" s="283"/>
      <c r="BL118" s="283"/>
      <c r="BM118" s="283"/>
      <c r="BN118" s="283"/>
      <c r="BO118" s="283"/>
      <c r="BP118" s="283"/>
      <c r="BQ118" s="283"/>
      <c r="BR118" s="283"/>
      <c r="BS118" s="283"/>
      <c r="BT118" s="283"/>
      <c r="BU118" s="283"/>
      <c r="BV118" s="283">
        <v>57300</v>
      </c>
      <c r="BW118" s="283">
        <v>695000</v>
      </c>
      <c r="BX118" s="283">
        <v>147419</v>
      </c>
      <c r="BY118" s="283">
        <v>147419</v>
      </c>
      <c r="BZ118" s="283">
        <v>102937</v>
      </c>
      <c r="CA118" s="283">
        <v>116423.32</v>
      </c>
      <c r="CB118" s="283">
        <v>84200</v>
      </c>
      <c r="CC118" s="283">
        <v>165500</v>
      </c>
      <c r="CD118" s="283">
        <v>227600</v>
      </c>
      <c r="CE118" s="283">
        <v>227600</v>
      </c>
      <c r="CF118" s="283">
        <v>173307.86</v>
      </c>
      <c r="CG118" s="283">
        <v>238282.2</v>
      </c>
      <c r="CH118" s="283">
        <v>222731.02</v>
      </c>
      <c r="CI118" s="283">
        <f>0.2211*2*384300</f>
        <v>169937.46</v>
      </c>
      <c r="CJ118" s="283">
        <v>271800</v>
      </c>
      <c r="CK118" s="283">
        <f t="shared" si="9"/>
        <v>229667.656666667</v>
      </c>
      <c r="CL118" s="372"/>
      <c r="CM118" s="371">
        <f>Summary!$D$7</f>
        <v>965318.368333333</v>
      </c>
      <c r="CN118" s="258">
        <f t="shared" si="12"/>
        <v>1</v>
      </c>
    </row>
    <row r="119" ht="15.6" spans="1:92">
      <c r="A119" s="258" t="s">
        <v>156</v>
      </c>
      <c r="B119" s="258" t="s">
        <v>694</v>
      </c>
      <c r="C119" s="258"/>
      <c r="D119" s="258" t="s">
        <v>1670</v>
      </c>
      <c r="E119" s="258"/>
      <c r="F119" s="260" t="s">
        <v>58</v>
      </c>
      <c r="G119" s="343"/>
      <c r="H119" s="283">
        <f t="shared" si="14"/>
        <v>8489.5</v>
      </c>
      <c r="I119" s="360"/>
      <c r="J119" s="351"/>
      <c r="K119" s="351"/>
      <c r="L119" s="351"/>
      <c r="M119" s="351"/>
      <c r="N119" s="352"/>
      <c r="O119" s="353"/>
      <c r="P119" s="353"/>
      <c r="Q119" s="353"/>
      <c r="R119" s="353"/>
      <c r="S119" s="353"/>
      <c r="T119" s="353"/>
      <c r="U119" s="353"/>
      <c r="V119" s="353"/>
      <c r="W119" s="353"/>
      <c r="X119" s="353"/>
      <c r="Y119" s="353"/>
      <c r="Z119" s="353"/>
      <c r="AA119" s="353"/>
      <c r="AB119" s="353"/>
      <c r="AC119" s="353"/>
      <c r="AD119" s="353"/>
      <c r="AE119" s="353"/>
      <c r="AF119" s="353"/>
      <c r="AG119" s="353"/>
      <c r="AH119" s="353"/>
      <c r="AI119" s="353">
        <v>22259</v>
      </c>
      <c r="AJ119" s="353">
        <v>21022</v>
      </c>
      <c r="AK119" s="283">
        <v>15643</v>
      </c>
      <c r="AL119" s="283">
        <v>30322</v>
      </c>
      <c r="AM119" s="283" t="s">
        <v>1671</v>
      </c>
      <c r="AN119" s="283" t="s">
        <v>1672</v>
      </c>
      <c r="AO119" s="283" t="s">
        <v>1673</v>
      </c>
      <c r="AP119" s="283">
        <f>16038*0.3116*2</f>
        <v>9994.8816</v>
      </c>
      <c r="AQ119" s="283" t="s">
        <v>1674</v>
      </c>
      <c r="AR119" s="283" t="s">
        <v>1675</v>
      </c>
      <c r="AS119" s="283" t="s">
        <v>1676</v>
      </c>
      <c r="AT119" s="283" t="s">
        <v>1677</v>
      </c>
      <c r="AU119" s="283" t="s">
        <v>1678</v>
      </c>
      <c r="AV119" s="283" t="s">
        <v>1679</v>
      </c>
      <c r="AW119" s="283">
        <f t="shared" si="8"/>
        <v>13945.6666666667</v>
      </c>
      <c r="AX119" s="283"/>
      <c r="AY119" s="283"/>
      <c r="AZ119" s="283"/>
      <c r="BA119" s="283"/>
      <c r="BB119" s="283"/>
      <c r="BC119" s="283"/>
      <c r="BD119" s="283"/>
      <c r="BE119" s="283"/>
      <c r="BF119" s="283"/>
      <c r="BG119" s="283"/>
      <c r="BH119" s="283"/>
      <c r="BI119" s="283"/>
      <c r="BJ119" s="283"/>
      <c r="BK119" s="283"/>
      <c r="BL119" s="283"/>
      <c r="BM119" s="283"/>
      <c r="BN119" s="283"/>
      <c r="BO119" s="283"/>
      <c r="BP119" s="283"/>
      <c r="BQ119" s="283"/>
      <c r="BR119" s="283"/>
      <c r="BS119" s="283"/>
      <c r="BT119" s="283"/>
      <c r="BU119" s="283"/>
      <c r="BV119" s="283"/>
      <c r="BW119" s="283">
        <v>9240</v>
      </c>
      <c r="BX119" s="283">
        <v>9200</v>
      </c>
      <c r="BY119" s="283">
        <v>9200</v>
      </c>
      <c r="BZ119" s="283">
        <v>14688</v>
      </c>
      <c r="CA119" s="283">
        <v>16008.86</v>
      </c>
      <c r="CB119" s="283">
        <v>5000</v>
      </c>
      <c r="CC119" s="283">
        <v>9000</v>
      </c>
      <c r="CD119" s="283">
        <v>6000</v>
      </c>
      <c r="CE119" s="283">
        <v>6000</v>
      </c>
      <c r="CF119" s="283">
        <v>3900</v>
      </c>
      <c r="CG119" s="283">
        <v>22800</v>
      </c>
      <c r="CH119" s="283">
        <v>4100</v>
      </c>
      <c r="CI119" s="283">
        <v>5400</v>
      </c>
      <c r="CJ119" s="283">
        <v>1100</v>
      </c>
      <c r="CK119" s="283">
        <f t="shared" si="9"/>
        <v>3033.33333333333</v>
      </c>
      <c r="CL119" s="370"/>
      <c r="CM119" s="371">
        <f>Summary!$D$7</f>
        <v>965318.368333333</v>
      </c>
      <c r="CN119" s="258">
        <f t="shared" si="12"/>
        <v>0</v>
      </c>
    </row>
    <row r="120" ht="15.6" spans="1:92">
      <c r="A120" s="344" t="s">
        <v>177</v>
      </c>
      <c r="B120" s="344" t="s">
        <v>683</v>
      </c>
      <c r="C120" s="344" t="s">
        <v>227</v>
      </c>
      <c r="D120" s="344" t="s">
        <v>178</v>
      </c>
      <c r="E120" s="344" t="s">
        <v>441</v>
      </c>
      <c r="F120" s="344" t="s">
        <v>49</v>
      </c>
      <c r="G120" s="345"/>
      <c r="H120" s="345">
        <f t="shared" ref="H120:H125" si="15">(AW120+CK120)/2</f>
        <v>105540.45</v>
      </c>
      <c r="I120" s="292"/>
      <c r="J120" s="351">
        <v>59530</v>
      </c>
      <c r="K120" s="351">
        <v>61454</v>
      </c>
      <c r="L120" s="351">
        <v>63420</v>
      </c>
      <c r="M120" s="351">
        <v>59151</v>
      </c>
      <c r="N120" s="352">
        <v>47337</v>
      </c>
      <c r="O120" s="352">
        <v>45425</v>
      </c>
      <c r="P120" s="352">
        <v>86443</v>
      </c>
      <c r="Q120" s="352">
        <v>100568</v>
      </c>
      <c r="R120" s="352">
        <v>89242</v>
      </c>
      <c r="S120" s="352">
        <v>90311</v>
      </c>
      <c r="T120" s="352">
        <v>97163</v>
      </c>
      <c r="U120" s="353" t="e">
        <f>VLOOKUP(D120,Mid!$A$2:$C$225,2,FALSE)</f>
        <v>#N/A</v>
      </c>
      <c r="V120" s="353">
        <v>82053</v>
      </c>
      <c r="W120" s="353">
        <v>71980</v>
      </c>
      <c r="X120" s="353">
        <v>70350</v>
      </c>
      <c r="Y120" s="353">
        <v>89373</v>
      </c>
      <c r="Z120" s="353">
        <v>92098</v>
      </c>
      <c r="AA120" s="353">
        <v>87402</v>
      </c>
      <c r="AB120" s="353">
        <v>101666</v>
      </c>
      <c r="AC120" s="353">
        <v>93206</v>
      </c>
      <c r="AD120" s="353">
        <v>78040</v>
      </c>
      <c r="AE120" s="353">
        <v>102682</v>
      </c>
      <c r="AF120" s="353">
        <v>114510</v>
      </c>
      <c r="AG120" s="353">
        <v>95808</v>
      </c>
      <c r="AH120" s="353">
        <v>101573</v>
      </c>
      <c r="AI120" s="353">
        <v>96773</v>
      </c>
      <c r="AJ120" s="353">
        <v>83400</v>
      </c>
      <c r="AK120" s="283" t="s">
        <v>1680</v>
      </c>
      <c r="AL120" s="283">
        <v>80986</v>
      </c>
      <c r="AM120" s="283" t="s">
        <v>1681</v>
      </c>
      <c r="AN120" s="283" t="s">
        <v>1682</v>
      </c>
      <c r="AO120" s="283" t="s">
        <v>1683</v>
      </c>
      <c r="AP120" s="283">
        <v>109546</v>
      </c>
      <c r="AQ120" s="283" t="s">
        <v>1684</v>
      </c>
      <c r="AR120" s="283" t="s">
        <v>1685</v>
      </c>
      <c r="AS120" s="283" t="s">
        <v>1686</v>
      </c>
      <c r="AT120" s="283" t="s">
        <v>1687</v>
      </c>
      <c r="AU120" s="283" t="s">
        <v>1688</v>
      </c>
      <c r="AV120" s="283">
        <v>110540</v>
      </c>
      <c r="AW120" s="283">
        <f t="shared" si="8"/>
        <v>116675.166666667</v>
      </c>
      <c r="AX120" s="283">
        <v>118600</v>
      </c>
      <c r="AY120" s="283">
        <v>98200</v>
      </c>
      <c r="AZ120" s="283">
        <v>84800</v>
      </c>
      <c r="BA120" s="283">
        <v>80700</v>
      </c>
      <c r="BB120" s="283">
        <v>63100</v>
      </c>
      <c r="BC120" s="283">
        <v>72300</v>
      </c>
      <c r="BD120" s="283">
        <v>62000</v>
      </c>
      <c r="BE120" s="283">
        <v>126400</v>
      </c>
      <c r="BF120" s="283">
        <v>66500</v>
      </c>
      <c r="BG120" s="283">
        <v>76100</v>
      </c>
      <c r="BH120" s="283">
        <v>71300</v>
      </c>
      <c r="BI120" s="283" t="e">
        <f>VLOOKUP(D120,Mid!$A$2:$C$225,3,FALSE)</f>
        <v>#N/A</v>
      </c>
      <c r="BJ120" s="283">
        <v>66500</v>
      </c>
      <c r="BK120" s="283">
        <v>80600</v>
      </c>
      <c r="BL120" s="283">
        <v>58100</v>
      </c>
      <c r="BM120" s="283">
        <v>60900</v>
      </c>
      <c r="BN120" s="283">
        <v>25900</v>
      </c>
      <c r="BO120" s="283">
        <v>55100</v>
      </c>
      <c r="BP120" s="283">
        <v>52700</v>
      </c>
      <c r="BQ120" s="283">
        <v>79000</v>
      </c>
      <c r="BR120" s="283">
        <v>92000</v>
      </c>
      <c r="BS120" s="283">
        <v>139800</v>
      </c>
      <c r="BT120" s="283">
        <v>63700</v>
      </c>
      <c r="BU120" s="283">
        <v>78800</v>
      </c>
      <c r="BV120" s="283">
        <v>98300</v>
      </c>
      <c r="BW120" s="283">
        <v>48500</v>
      </c>
      <c r="BX120" s="283">
        <v>59800</v>
      </c>
      <c r="BY120" s="283">
        <v>53000</v>
      </c>
      <c r="BZ120" s="283">
        <v>92800</v>
      </c>
      <c r="CA120" s="283">
        <v>84917.68</v>
      </c>
      <c r="CB120" s="283">
        <v>53300</v>
      </c>
      <c r="CC120" s="283">
        <v>82050</v>
      </c>
      <c r="CD120" s="283">
        <v>92600</v>
      </c>
      <c r="CE120" s="283">
        <v>49800</v>
      </c>
      <c r="CF120" s="283">
        <v>110600</v>
      </c>
      <c r="CG120" s="283">
        <v>82600</v>
      </c>
      <c r="CH120" s="283">
        <v>210600</v>
      </c>
      <c r="CI120" s="283">
        <v>52000</v>
      </c>
      <c r="CJ120" s="283">
        <v>83944.8</v>
      </c>
      <c r="CK120" s="283">
        <f t="shared" si="9"/>
        <v>94405.7333333333</v>
      </c>
      <c r="CL120" s="370"/>
      <c r="CM120" s="371">
        <f>Summary!$D$14</f>
        <v>157127.612416667</v>
      </c>
      <c r="CN120" s="258">
        <f t="shared" si="12"/>
        <v>1</v>
      </c>
    </row>
    <row r="121" ht="15.6" spans="1:92">
      <c r="A121" s="258" t="s">
        <v>177</v>
      </c>
      <c r="B121" s="258" t="s">
        <v>672</v>
      </c>
      <c r="C121" s="258" t="s">
        <v>243</v>
      </c>
      <c r="D121" s="342" t="s">
        <v>605</v>
      </c>
      <c r="E121" s="258" t="s">
        <v>441</v>
      </c>
      <c r="F121" s="260" t="s">
        <v>234</v>
      </c>
      <c r="G121" s="343"/>
      <c r="H121" s="283">
        <f t="shared" si="15"/>
        <v>88569.79</v>
      </c>
      <c r="I121" s="292" t="s">
        <v>1689</v>
      </c>
      <c r="J121" s="351">
        <v>72612</v>
      </c>
      <c r="K121" s="351">
        <v>70773</v>
      </c>
      <c r="L121" s="351">
        <v>67350</v>
      </c>
      <c r="M121" s="351">
        <v>93901</v>
      </c>
      <c r="N121" s="352">
        <v>83615</v>
      </c>
      <c r="O121" s="352">
        <v>83850</v>
      </c>
      <c r="P121" s="352">
        <v>87880</v>
      </c>
      <c r="Q121" s="352">
        <v>69754</v>
      </c>
      <c r="R121" s="352">
        <v>61419</v>
      </c>
      <c r="S121" s="352">
        <v>51157</v>
      </c>
      <c r="T121" s="352">
        <v>64240</v>
      </c>
      <c r="U121" s="353">
        <f>VLOOKUP(D121,Mid!$A$2:$C$225,2,FALSE)</f>
        <v>44949</v>
      </c>
      <c r="V121" s="353">
        <v>59865</v>
      </c>
      <c r="W121" s="353">
        <v>63412</v>
      </c>
      <c r="X121" s="353">
        <v>49130</v>
      </c>
      <c r="Y121" s="353">
        <v>58857</v>
      </c>
      <c r="Z121" s="353">
        <v>50520</v>
      </c>
      <c r="AA121" s="353">
        <v>93460</v>
      </c>
      <c r="AB121" s="353">
        <v>78222</v>
      </c>
      <c r="AC121" s="353">
        <v>60828</v>
      </c>
      <c r="AD121" s="353">
        <v>70481</v>
      </c>
      <c r="AE121" s="353">
        <v>64465</v>
      </c>
      <c r="AF121" s="353">
        <v>70908</v>
      </c>
      <c r="AG121" s="353">
        <v>79923</v>
      </c>
      <c r="AH121" s="353">
        <v>93139</v>
      </c>
      <c r="AI121" s="353">
        <v>91516</v>
      </c>
      <c r="AJ121" s="283">
        <v>87950</v>
      </c>
      <c r="AK121" s="283" t="s">
        <v>1690</v>
      </c>
      <c r="AL121" s="283">
        <v>78935</v>
      </c>
      <c r="AM121" s="283" t="s">
        <v>1691</v>
      </c>
      <c r="AN121" s="283" t="s">
        <v>1692</v>
      </c>
      <c r="AO121" s="283" t="s">
        <v>1693</v>
      </c>
      <c r="AP121" s="283">
        <v>80826</v>
      </c>
      <c r="AQ121" s="283" t="s">
        <v>1694</v>
      </c>
      <c r="AR121" s="283" t="s">
        <v>1695</v>
      </c>
      <c r="AS121" s="283" t="s">
        <v>1696</v>
      </c>
      <c r="AT121" s="283" t="s">
        <v>1697</v>
      </c>
      <c r="AU121" s="283" t="s">
        <v>1698</v>
      </c>
      <c r="AV121" s="283">
        <v>98779</v>
      </c>
      <c r="AW121" s="283">
        <f t="shared" si="8"/>
        <v>97537</v>
      </c>
      <c r="AX121" s="283">
        <v>2400000</v>
      </c>
      <c r="AY121" s="283">
        <v>120300</v>
      </c>
      <c r="AZ121" s="283">
        <v>102400</v>
      </c>
      <c r="BA121" s="283">
        <v>103500</v>
      </c>
      <c r="BB121" s="283">
        <v>98200</v>
      </c>
      <c r="BC121" s="283">
        <v>113300</v>
      </c>
      <c r="BD121" s="283">
        <v>97300</v>
      </c>
      <c r="BE121" s="283">
        <v>141900</v>
      </c>
      <c r="BF121" s="283">
        <v>63800</v>
      </c>
      <c r="BG121" s="283">
        <v>60500</v>
      </c>
      <c r="BH121" s="283">
        <v>55600</v>
      </c>
      <c r="BI121" s="283">
        <f>VLOOKUP(D121,Mid!$A$2:$C$225,3,FALSE)</f>
        <v>37100</v>
      </c>
      <c r="BJ121" s="283">
        <v>36800</v>
      </c>
      <c r="BK121" s="283">
        <v>50000</v>
      </c>
      <c r="BL121" s="283">
        <v>47200</v>
      </c>
      <c r="BM121" s="283">
        <v>85200</v>
      </c>
      <c r="BN121" s="283">
        <v>37900</v>
      </c>
      <c r="BO121" s="283">
        <v>26259</v>
      </c>
      <c r="BP121" s="283">
        <v>55700</v>
      </c>
      <c r="BQ121" s="283">
        <v>54400</v>
      </c>
      <c r="BR121" s="283">
        <v>94800</v>
      </c>
      <c r="BS121" s="283">
        <v>100900</v>
      </c>
      <c r="BT121" s="283">
        <v>59600</v>
      </c>
      <c r="BU121" s="283">
        <v>68900</v>
      </c>
      <c r="BV121" s="283">
        <v>48300</v>
      </c>
      <c r="BW121" s="283">
        <v>213000</v>
      </c>
      <c r="BX121" s="283">
        <v>83500</v>
      </c>
      <c r="BY121" s="283">
        <v>0</v>
      </c>
      <c r="BZ121" s="283">
        <v>118200</v>
      </c>
      <c r="CA121" s="283">
        <v>87700</v>
      </c>
      <c r="CB121" s="283">
        <v>55900</v>
      </c>
      <c r="CC121" s="283">
        <v>71600</v>
      </c>
      <c r="CD121" s="283">
        <v>19800</v>
      </c>
      <c r="CE121" s="283">
        <v>19800</v>
      </c>
      <c r="CF121" s="283">
        <v>169700</v>
      </c>
      <c r="CG121" s="283">
        <v>103200</v>
      </c>
      <c r="CH121" s="283">
        <v>138071.84</v>
      </c>
      <c r="CI121" s="283">
        <v>41000</v>
      </c>
      <c r="CJ121" s="283">
        <v>85847.88</v>
      </c>
      <c r="CK121" s="283">
        <f t="shared" si="9"/>
        <v>79602.58</v>
      </c>
      <c r="CL121" s="370"/>
      <c r="CM121" s="371">
        <f>Summary!$D$14</f>
        <v>157127.612416667</v>
      </c>
      <c r="CN121" s="258">
        <f t="shared" ref="CN121:CN163" si="16">IF(_xlfn.IFNA(CM121,0),IF(AND(H121/CM121&gt;=0.05,B121&lt;&gt;"官网"),1,0),0)</f>
        <v>0</v>
      </c>
    </row>
    <row r="122" ht="15.6" spans="1:92">
      <c r="A122" s="258" t="s">
        <v>177</v>
      </c>
      <c r="B122" s="258" t="s">
        <v>694</v>
      </c>
      <c r="C122" s="258" t="s">
        <v>230</v>
      </c>
      <c r="D122" s="258" t="s">
        <v>407</v>
      </c>
      <c r="E122" s="258" t="s">
        <v>233</v>
      </c>
      <c r="F122" s="260" t="s">
        <v>417</v>
      </c>
      <c r="G122" s="343"/>
      <c r="H122" s="283">
        <f t="shared" si="15"/>
        <v>7371.79</v>
      </c>
      <c r="I122" s="292" t="s">
        <v>1699</v>
      </c>
      <c r="J122" s="357"/>
      <c r="K122" s="357"/>
      <c r="L122" s="357"/>
      <c r="M122" s="357"/>
      <c r="N122" s="358"/>
      <c r="O122" s="359"/>
      <c r="P122" s="359"/>
      <c r="Q122" s="359"/>
      <c r="R122" s="359"/>
      <c r="S122" s="359"/>
      <c r="T122" s="359"/>
      <c r="U122" s="353">
        <v>30415</v>
      </c>
      <c r="V122" s="353">
        <v>28083</v>
      </c>
      <c r="W122" s="353">
        <v>28445</v>
      </c>
      <c r="X122" s="353">
        <v>14829</v>
      </c>
      <c r="Y122" s="353">
        <v>17680</v>
      </c>
      <c r="Z122" s="353">
        <v>41064</v>
      </c>
      <c r="AA122" s="353">
        <v>18818</v>
      </c>
      <c r="AB122" s="353">
        <v>32733</v>
      </c>
      <c r="AC122" s="353">
        <v>36653</v>
      </c>
      <c r="AD122" s="353">
        <v>16537</v>
      </c>
      <c r="AE122" s="353">
        <v>17668</v>
      </c>
      <c r="AF122" s="353">
        <v>11396</v>
      </c>
      <c r="AG122" s="353">
        <v>19318</v>
      </c>
      <c r="AH122" s="353">
        <v>37267</v>
      </c>
      <c r="AI122" s="353">
        <v>39424</v>
      </c>
      <c r="AJ122" s="283">
        <v>40897</v>
      </c>
      <c r="AK122" s="283" t="s">
        <v>1700</v>
      </c>
      <c r="AL122" s="283">
        <v>14277</v>
      </c>
      <c r="AM122" s="283" t="s">
        <v>1701</v>
      </c>
      <c r="AN122" s="283" t="s">
        <v>1702</v>
      </c>
      <c r="AO122" s="283" t="s">
        <v>1703</v>
      </c>
      <c r="AP122" s="283">
        <f>15992*0.288*2</f>
        <v>9211.392</v>
      </c>
      <c r="AQ122" s="283">
        <f>24683*0.2393*2</f>
        <v>11813.2838</v>
      </c>
      <c r="AR122" s="283" t="s">
        <v>1704</v>
      </c>
      <c r="AS122" s="283" t="s">
        <v>1705</v>
      </c>
      <c r="AT122" s="283" t="s">
        <v>1706</v>
      </c>
      <c r="AU122" s="283" t="s">
        <v>1707</v>
      </c>
      <c r="AV122" s="283">
        <v>16609</v>
      </c>
      <c r="AW122" s="283">
        <f t="shared" si="8"/>
        <v>12151.6666666667</v>
      </c>
      <c r="AX122" s="283"/>
      <c r="AY122" s="283"/>
      <c r="AZ122" s="283"/>
      <c r="BA122" s="283"/>
      <c r="BB122" s="283"/>
      <c r="BC122" s="283"/>
      <c r="BD122" s="283"/>
      <c r="BE122" s="283"/>
      <c r="BF122" s="283"/>
      <c r="BG122" s="283"/>
      <c r="BH122" s="283"/>
      <c r="BI122" s="283">
        <v>4600</v>
      </c>
      <c r="BJ122" s="283">
        <v>6900</v>
      </c>
      <c r="BK122" s="283">
        <v>3000</v>
      </c>
      <c r="BL122" s="283">
        <v>8600</v>
      </c>
      <c r="BM122" s="283">
        <v>11400</v>
      </c>
      <c r="BN122" s="283">
        <v>26000</v>
      </c>
      <c r="BO122" s="283">
        <v>18200</v>
      </c>
      <c r="BP122" s="283">
        <v>15500</v>
      </c>
      <c r="BQ122" s="283">
        <v>24100</v>
      </c>
      <c r="BR122" s="283">
        <v>14700</v>
      </c>
      <c r="BS122" s="283">
        <v>42300</v>
      </c>
      <c r="BT122" s="283">
        <v>29400</v>
      </c>
      <c r="BU122" s="283">
        <v>9700</v>
      </c>
      <c r="BV122" s="283">
        <v>11900</v>
      </c>
      <c r="BW122" s="283">
        <v>4800</v>
      </c>
      <c r="BX122" s="283">
        <v>13900</v>
      </c>
      <c r="BY122" s="283">
        <v>11300</v>
      </c>
      <c r="BZ122" s="283">
        <v>8600</v>
      </c>
      <c r="CA122" s="283">
        <v>7878.34</v>
      </c>
      <c r="CB122" s="283">
        <v>0</v>
      </c>
      <c r="CC122" s="283">
        <v>2200</v>
      </c>
      <c r="CD122" s="283">
        <v>521</v>
      </c>
      <c r="CE122" s="283">
        <v>1500</v>
      </c>
      <c r="CF122" s="283">
        <v>4700</v>
      </c>
      <c r="CG122" s="283">
        <v>5900</v>
      </c>
      <c r="CH122" s="283">
        <v>4800</v>
      </c>
      <c r="CI122" s="283">
        <f>0.0083*2*88900</f>
        <v>1475.74</v>
      </c>
      <c r="CJ122" s="283">
        <v>2600</v>
      </c>
      <c r="CK122" s="283">
        <f t="shared" si="9"/>
        <v>2591.91333333333</v>
      </c>
      <c r="CL122" s="370"/>
      <c r="CM122" s="371">
        <f>Summary!$D$14</f>
        <v>157127.612416667</v>
      </c>
      <c r="CN122" s="258">
        <f t="shared" si="16"/>
        <v>0</v>
      </c>
    </row>
    <row r="123" ht="15.6" spans="1:92">
      <c r="A123" s="258" t="s">
        <v>177</v>
      </c>
      <c r="B123" s="258" t="s">
        <v>694</v>
      </c>
      <c r="C123" s="258" t="s">
        <v>230</v>
      </c>
      <c r="D123" s="258" t="s">
        <v>329</v>
      </c>
      <c r="E123" s="258" t="s">
        <v>233</v>
      </c>
      <c r="F123" s="260" t="s">
        <v>58</v>
      </c>
      <c r="G123" s="343"/>
      <c r="H123" s="283">
        <f t="shared" si="15"/>
        <v>8234.56853333335</v>
      </c>
      <c r="I123" s="292"/>
      <c r="J123" s="351">
        <v>26862</v>
      </c>
      <c r="K123" s="351">
        <v>31128</v>
      </c>
      <c r="L123" s="351">
        <v>25789</v>
      </c>
      <c r="M123" s="351">
        <v>37192</v>
      </c>
      <c r="N123" s="352">
        <v>25539</v>
      </c>
      <c r="O123" s="352">
        <v>23888</v>
      </c>
      <c r="P123" s="352">
        <v>21605</v>
      </c>
      <c r="Q123" s="352">
        <v>19276</v>
      </c>
      <c r="R123" s="352">
        <v>20229</v>
      </c>
      <c r="S123" s="352">
        <v>17743</v>
      </c>
      <c r="T123" s="352">
        <v>22961</v>
      </c>
      <c r="U123" s="353" t="e">
        <f>VLOOKUP(D123,Mid!$A$2:$C$225,2,FALSE)</f>
        <v>#N/A</v>
      </c>
      <c r="V123" s="353">
        <v>6898</v>
      </c>
      <c r="W123" s="353">
        <v>9907</v>
      </c>
      <c r="X123" s="353">
        <v>25955</v>
      </c>
      <c r="Y123" s="353">
        <v>25489</v>
      </c>
      <c r="Z123" s="353">
        <v>17775</v>
      </c>
      <c r="AA123" s="353">
        <v>11233</v>
      </c>
      <c r="AB123" s="353">
        <v>6768</v>
      </c>
      <c r="AC123" s="353">
        <v>12544</v>
      </c>
      <c r="AD123" s="353">
        <v>18816</v>
      </c>
      <c r="AE123" s="353">
        <v>15826</v>
      </c>
      <c r="AF123" s="353">
        <v>19160</v>
      </c>
      <c r="AG123" s="353">
        <v>15739</v>
      </c>
      <c r="AH123" s="353">
        <v>17629</v>
      </c>
      <c r="AI123" s="353">
        <v>15955</v>
      </c>
      <c r="AJ123" s="367">
        <v>15259</v>
      </c>
      <c r="AK123" s="283" t="s">
        <v>1708</v>
      </c>
      <c r="AL123" s="283">
        <v>13894</v>
      </c>
      <c r="AM123" s="283" t="s">
        <v>1709</v>
      </c>
      <c r="AN123" s="283" t="s">
        <v>1710</v>
      </c>
      <c r="AO123" s="283" t="s">
        <v>1711</v>
      </c>
      <c r="AP123" s="283">
        <f>34509*0.1243*2</f>
        <v>8578.9374</v>
      </c>
      <c r="AQ123" s="283">
        <f>18239*0.2442*2</f>
        <v>8907.9276</v>
      </c>
      <c r="AR123" s="283" t="s">
        <v>1712</v>
      </c>
      <c r="AS123" s="283" t="s">
        <v>1713</v>
      </c>
      <c r="AT123" s="283">
        <f>0.0483*2*37058</f>
        <v>3579.8028</v>
      </c>
      <c r="AU123" s="283">
        <f>0.0977*2*29823</f>
        <v>5827.4142</v>
      </c>
      <c r="AV123" s="283">
        <f>0.2012*2*15971</f>
        <v>6426.7304</v>
      </c>
      <c r="AW123" s="283">
        <f t="shared" si="8"/>
        <v>5752.4704</v>
      </c>
      <c r="AX123" s="283">
        <v>13700</v>
      </c>
      <c r="AY123" s="283">
        <v>12000</v>
      </c>
      <c r="AZ123" s="283">
        <v>16900</v>
      </c>
      <c r="BA123" s="283">
        <v>15500</v>
      </c>
      <c r="BB123" s="283">
        <v>5000</v>
      </c>
      <c r="BC123" s="283">
        <v>22100</v>
      </c>
      <c r="BD123" s="283">
        <v>14800</v>
      </c>
      <c r="BE123" s="283">
        <v>19800</v>
      </c>
      <c r="BF123" s="283">
        <v>6600</v>
      </c>
      <c r="BG123" s="283">
        <v>12500</v>
      </c>
      <c r="BH123" s="283">
        <v>17400</v>
      </c>
      <c r="BI123" s="283" t="e">
        <f>VLOOKUP(D123,Mid!$A$2:$C$225,3,FALSE)</f>
        <v>#N/A</v>
      </c>
      <c r="BJ123" s="283">
        <v>22100</v>
      </c>
      <c r="BK123" s="283">
        <v>47900</v>
      </c>
      <c r="BL123" s="283">
        <v>51400</v>
      </c>
      <c r="BM123" s="283">
        <v>58000</v>
      </c>
      <c r="BN123" s="283">
        <v>17600</v>
      </c>
      <c r="BO123" s="283">
        <v>14300</v>
      </c>
      <c r="BP123" s="283">
        <v>5600</v>
      </c>
      <c r="BQ123" s="283">
        <v>20900</v>
      </c>
      <c r="BR123" s="283">
        <v>8400</v>
      </c>
      <c r="BS123" s="283">
        <v>21800</v>
      </c>
      <c r="BT123" s="283">
        <v>88600</v>
      </c>
      <c r="BU123" s="283">
        <v>6000</v>
      </c>
      <c r="BV123" s="283">
        <v>8600</v>
      </c>
      <c r="BW123" s="283">
        <v>15400</v>
      </c>
      <c r="BX123" s="283">
        <v>12900</v>
      </c>
      <c r="BY123" s="283">
        <v>12900</v>
      </c>
      <c r="BZ123" s="283">
        <v>6900</v>
      </c>
      <c r="CA123" s="283">
        <v>36400</v>
      </c>
      <c r="CB123" s="283">
        <v>16300</v>
      </c>
      <c r="CC123" s="283">
        <v>26728</v>
      </c>
      <c r="CD123" s="283">
        <v>6600</v>
      </c>
      <c r="CE123" s="283">
        <v>1400</v>
      </c>
      <c r="CF123" s="283">
        <v>7100</v>
      </c>
      <c r="CG123" s="283">
        <v>8500</v>
      </c>
      <c r="CH123" s="283">
        <v>18800</v>
      </c>
      <c r="CI123" s="283">
        <v>14500</v>
      </c>
      <c r="CJ123" s="283">
        <v>5500</v>
      </c>
      <c r="CK123" s="283">
        <f t="shared" si="9"/>
        <v>10716.6666666667</v>
      </c>
      <c r="CL123" s="370"/>
      <c r="CM123" s="371">
        <f>Summary!$D$14</f>
        <v>157127.612416667</v>
      </c>
      <c r="CN123" s="258">
        <f t="shared" si="16"/>
        <v>1</v>
      </c>
    </row>
    <row r="124" ht="15.6" spans="1:92">
      <c r="A124" s="258" t="s">
        <v>177</v>
      </c>
      <c r="B124" s="258" t="s">
        <v>694</v>
      </c>
      <c r="C124" s="258" t="s">
        <v>243</v>
      </c>
      <c r="D124" s="258" t="s">
        <v>326</v>
      </c>
      <c r="E124" s="258" t="s">
        <v>441</v>
      </c>
      <c r="F124" s="260" t="s">
        <v>422</v>
      </c>
      <c r="G124" s="343"/>
      <c r="H124" s="283">
        <f t="shared" si="15"/>
        <v>15414.8272166667</v>
      </c>
      <c r="I124" s="360"/>
      <c r="J124" s="351"/>
      <c r="K124" s="351"/>
      <c r="L124" s="351"/>
      <c r="M124" s="351"/>
      <c r="N124" s="352"/>
      <c r="O124" s="352"/>
      <c r="P124" s="352"/>
      <c r="Q124" s="352"/>
      <c r="R124" s="352"/>
      <c r="S124" s="352"/>
      <c r="T124" s="352"/>
      <c r="U124" s="353"/>
      <c r="V124" s="353"/>
      <c r="W124" s="353"/>
      <c r="X124" s="353"/>
      <c r="Y124" s="353"/>
      <c r="Z124" s="353"/>
      <c r="AA124" s="353"/>
      <c r="AB124" s="353"/>
      <c r="AC124" s="353"/>
      <c r="AD124" s="353"/>
      <c r="AE124" s="353"/>
      <c r="AF124" s="353"/>
      <c r="AG124" s="353"/>
      <c r="AH124" s="353"/>
      <c r="AI124" s="353">
        <v>8467</v>
      </c>
      <c r="AJ124" s="353">
        <v>14093</v>
      </c>
      <c r="AK124" s="283">
        <v>11001</v>
      </c>
      <c r="AL124" s="283">
        <v>10478</v>
      </c>
      <c r="AM124" s="283" t="s">
        <v>1714</v>
      </c>
      <c r="AN124" s="283" t="s">
        <v>1715</v>
      </c>
      <c r="AO124" s="283" t="s">
        <v>1716</v>
      </c>
      <c r="AP124" s="283">
        <v>10865</v>
      </c>
      <c r="AQ124" s="283">
        <f>62037*0.2184*2</f>
        <v>27097.7616</v>
      </c>
      <c r="AR124" s="283" t="s">
        <v>1717</v>
      </c>
      <c r="AS124" s="283">
        <f>0.2436*234104</f>
        <v>57027.7344</v>
      </c>
      <c r="AT124" s="283">
        <f>39461*0.1253*2</f>
        <v>9888.9266</v>
      </c>
      <c r="AU124" s="283" t="s">
        <v>1718</v>
      </c>
      <c r="AV124" s="283">
        <v>36419</v>
      </c>
      <c r="AW124" s="283">
        <f t="shared" si="8"/>
        <v>26573.6544333333</v>
      </c>
      <c r="AX124" s="283"/>
      <c r="AY124" s="283"/>
      <c r="AZ124" s="283"/>
      <c r="BA124" s="283"/>
      <c r="BB124" s="283"/>
      <c r="BC124" s="283"/>
      <c r="BD124" s="283"/>
      <c r="BE124" s="283"/>
      <c r="BF124" s="283"/>
      <c r="BG124" s="283"/>
      <c r="BH124" s="283"/>
      <c r="BI124" s="283"/>
      <c r="BJ124" s="283"/>
      <c r="BK124" s="283"/>
      <c r="BL124" s="283"/>
      <c r="BM124" s="283"/>
      <c r="BN124" s="283"/>
      <c r="BO124" s="283"/>
      <c r="BP124" s="283"/>
      <c r="BQ124" s="283"/>
      <c r="BR124" s="283"/>
      <c r="BS124" s="283"/>
      <c r="BT124" s="283"/>
      <c r="BU124" s="283"/>
      <c r="BV124" s="283"/>
      <c r="BW124" s="283">
        <v>29000</v>
      </c>
      <c r="BX124" s="283">
        <v>8200</v>
      </c>
      <c r="BY124" s="283">
        <v>8200</v>
      </c>
      <c r="BZ124" s="283">
        <v>7400</v>
      </c>
      <c r="CA124" s="283">
        <v>11200</v>
      </c>
      <c r="CB124" s="283">
        <v>0</v>
      </c>
      <c r="CC124" s="283">
        <v>9100</v>
      </c>
      <c r="CD124" s="283">
        <v>2600</v>
      </c>
      <c r="CE124" s="283">
        <v>4200</v>
      </c>
      <c r="CF124" s="283">
        <v>11300</v>
      </c>
      <c r="CG124" s="283">
        <v>10398.48</v>
      </c>
      <c r="CH124" s="283">
        <v>5600</v>
      </c>
      <c r="CI124" s="283">
        <v>968</v>
      </c>
      <c r="CJ124" s="283">
        <v>6000</v>
      </c>
      <c r="CK124" s="283">
        <f t="shared" si="9"/>
        <v>4256</v>
      </c>
      <c r="CL124" s="370"/>
      <c r="CM124" s="371">
        <f>Summary!$D$14</f>
        <v>157127.612416667</v>
      </c>
      <c r="CN124" s="258">
        <f t="shared" si="16"/>
        <v>1</v>
      </c>
    </row>
    <row r="125" ht="109.2" spans="1:92">
      <c r="A125" s="258" t="s">
        <v>177</v>
      </c>
      <c r="B125" s="258" t="s">
        <v>694</v>
      </c>
      <c r="C125" s="258" t="s">
        <v>230</v>
      </c>
      <c r="D125" s="258" t="s">
        <v>327</v>
      </c>
      <c r="E125" s="258" t="s">
        <v>233</v>
      </c>
      <c r="F125" s="260" t="s">
        <v>234</v>
      </c>
      <c r="G125" s="343"/>
      <c r="H125" s="283">
        <f t="shared" si="15"/>
        <v>14710.6833333333</v>
      </c>
      <c r="I125" s="292" t="s">
        <v>705</v>
      </c>
      <c r="J125" s="351"/>
      <c r="K125" s="351"/>
      <c r="L125" s="351"/>
      <c r="M125" s="351"/>
      <c r="N125" s="352"/>
      <c r="O125" s="352"/>
      <c r="P125" s="352"/>
      <c r="Q125" s="352"/>
      <c r="R125" s="352"/>
      <c r="S125" s="352"/>
      <c r="T125" s="352"/>
      <c r="U125" s="353"/>
      <c r="V125" s="353"/>
      <c r="W125" s="353"/>
      <c r="X125" s="353"/>
      <c r="Y125" s="353"/>
      <c r="Z125" s="353"/>
      <c r="AA125" s="353"/>
      <c r="AB125" s="353"/>
      <c r="AC125" s="353"/>
      <c r="AD125" s="353"/>
      <c r="AE125" s="353"/>
      <c r="AF125" s="353"/>
      <c r="AG125" s="353"/>
      <c r="AH125" s="353"/>
      <c r="AI125" s="353">
        <v>5000</v>
      </c>
      <c r="AJ125" s="353">
        <v>12314</v>
      </c>
      <c r="AK125" s="283">
        <v>8290</v>
      </c>
      <c r="AL125" s="283">
        <v>12216</v>
      </c>
      <c r="AM125" s="283" t="s">
        <v>1719</v>
      </c>
      <c r="AN125" s="283" t="s">
        <v>1720</v>
      </c>
      <c r="AO125" s="283" t="s">
        <v>1721</v>
      </c>
      <c r="AP125" s="283">
        <f>12963*0.216*2</f>
        <v>5600.016</v>
      </c>
      <c r="AQ125" s="283" t="s">
        <v>1722</v>
      </c>
      <c r="AR125" s="283" t="s">
        <v>1723</v>
      </c>
      <c r="AS125" s="283" t="s">
        <v>1724</v>
      </c>
      <c r="AT125" s="283" t="s">
        <v>1725</v>
      </c>
      <c r="AU125" s="283" t="s">
        <v>1726</v>
      </c>
      <c r="AV125" s="283">
        <v>5000</v>
      </c>
      <c r="AW125" s="283">
        <f t="shared" si="8"/>
        <v>6025.16666666667</v>
      </c>
      <c r="AX125" s="283"/>
      <c r="AY125" s="283"/>
      <c r="AZ125" s="283"/>
      <c r="BA125" s="283"/>
      <c r="BB125" s="283"/>
      <c r="BC125" s="283"/>
      <c r="BD125" s="283"/>
      <c r="BE125" s="283"/>
      <c r="BF125" s="283"/>
      <c r="BG125" s="283"/>
      <c r="BH125" s="283"/>
      <c r="BI125" s="283"/>
      <c r="BJ125" s="283"/>
      <c r="BK125" s="283"/>
      <c r="BL125" s="283"/>
      <c r="BM125" s="283"/>
      <c r="BN125" s="283"/>
      <c r="BO125" s="283"/>
      <c r="BP125" s="283"/>
      <c r="BQ125" s="283"/>
      <c r="BR125" s="283"/>
      <c r="BS125" s="283"/>
      <c r="BT125" s="283"/>
      <c r="BU125" s="283"/>
      <c r="BV125" s="283">
        <v>57300</v>
      </c>
      <c r="BW125" s="283">
        <v>695000</v>
      </c>
      <c r="BX125" s="283">
        <v>12314</v>
      </c>
      <c r="BY125" s="283">
        <f>600000*0.03</f>
        <v>18000</v>
      </c>
      <c r="BZ125" s="283">
        <f>526000*0.03</f>
        <v>15780</v>
      </c>
      <c r="CA125" s="283">
        <f>948400*0.3945*2*0.03</f>
        <v>22448.628</v>
      </c>
      <c r="CB125" s="283">
        <f>751700*0.03</f>
        <v>22551</v>
      </c>
      <c r="CC125" s="283">
        <f>801800*0.03</f>
        <v>24054</v>
      </c>
      <c r="CD125" s="283">
        <f>931400*0.03</f>
        <v>27942</v>
      </c>
      <c r="CE125" s="283">
        <f>1300000*0.03*0.3717*2</f>
        <v>28992.6</v>
      </c>
      <c r="CF125" s="283">
        <f>1400000*0.03*0.3978*2</f>
        <v>33415.2</v>
      </c>
      <c r="CG125" s="283">
        <v>39576</v>
      </c>
      <c r="CH125" s="283">
        <v>37789.2</v>
      </c>
      <c r="CI125" s="283">
        <f>0.02*0.3625*2*1800000</f>
        <v>26100</v>
      </c>
      <c r="CJ125" s="283">
        <f>2000000*0.4199*0.02</f>
        <v>16796</v>
      </c>
      <c r="CK125" s="283">
        <f t="shared" si="9"/>
        <v>23396.2</v>
      </c>
      <c r="CL125" s="370"/>
      <c r="CM125" s="371">
        <f>Summary!$D$14</f>
        <v>157127.612416667</v>
      </c>
      <c r="CN125" s="258">
        <f t="shared" si="16"/>
        <v>1</v>
      </c>
    </row>
    <row r="126" ht="15.6" spans="1:92">
      <c r="A126" s="258" t="s">
        <v>177</v>
      </c>
      <c r="B126" s="258" t="s">
        <v>694</v>
      </c>
      <c r="C126" s="258" t="s">
        <v>230</v>
      </c>
      <c r="D126" s="258" t="s">
        <v>442</v>
      </c>
      <c r="E126" s="258" t="s">
        <v>441</v>
      </c>
      <c r="F126" s="260" t="s">
        <v>60</v>
      </c>
      <c r="G126" s="343"/>
      <c r="H126" s="283">
        <f t="shared" ref="H126:H131" si="17">(AW126+CK126)/2</f>
        <v>3489.33333333333</v>
      </c>
      <c r="I126" s="292" t="s">
        <v>1580</v>
      </c>
      <c r="J126" s="351"/>
      <c r="K126" s="351"/>
      <c r="L126" s="351"/>
      <c r="M126" s="351"/>
      <c r="N126" s="352"/>
      <c r="O126" s="352"/>
      <c r="P126" s="352"/>
      <c r="Q126" s="352"/>
      <c r="R126" s="352"/>
      <c r="S126" s="352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353"/>
      <c r="AI126" s="353">
        <v>13314</v>
      </c>
      <c r="AJ126" s="353">
        <v>5955</v>
      </c>
      <c r="AK126" s="283">
        <v>12258</v>
      </c>
      <c r="AL126" s="283">
        <v>4055</v>
      </c>
      <c r="AM126" s="283" t="s">
        <v>1727</v>
      </c>
      <c r="AN126" s="283" t="s">
        <v>1728</v>
      </c>
      <c r="AO126" s="283" t="s">
        <v>796</v>
      </c>
      <c r="AP126" s="283">
        <f>8234*0.0453*2</f>
        <v>746.0004</v>
      </c>
      <c r="AQ126" s="283" t="s">
        <v>1729</v>
      </c>
      <c r="AR126" s="283" t="s">
        <v>1730</v>
      </c>
      <c r="AS126" s="283" t="s">
        <v>1731</v>
      </c>
      <c r="AT126" s="283" t="s">
        <v>1732</v>
      </c>
      <c r="AU126" s="283" t="s">
        <v>1733</v>
      </c>
      <c r="AV126" s="283">
        <v>5000</v>
      </c>
      <c r="AW126" s="283">
        <f t="shared" si="8"/>
        <v>3884</v>
      </c>
      <c r="AX126" s="283"/>
      <c r="AY126" s="283"/>
      <c r="AZ126" s="283"/>
      <c r="BA126" s="283"/>
      <c r="BB126" s="283"/>
      <c r="BC126" s="283"/>
      <c r="BD126" s="283"/>
      <c r="BE126" s="283"/>
      <c r="BF126" s="283"/>
      <c r="BG126" s="283"/>
      <c r="BH126" s="283"/>
      <c r="BI126" s="283"/>
      <c r="BJ126" s="283"/>
      <c r="BK126" s="283"/>
      <c r="BL126" s="283"/>
      <c r="BM126" s="283"/>
      <c r="BN126" s="283"/>
      <c r="BO126" s="283"/>
      <c r="BP126" s="283"/>
      <c r="BQ126" s="283"/>
      <c r="BR126" s="283"/>
      <c r="BS126" s="283"/>
      <c r="BT126" s="283"/>
      <c r="BU126" s="283"/>
      <c r="BV126" s="283"/>
      <c r="BW126" s="283">
        <v>35000</v>
      </c>
      <c r="BX126" s="283">
        <v>9600</v>
      </c>
      <c r="BY126" s="283">
        <v>9600</v>
      </c>
      <c r="BZ126" s="283">
        <v>3900</v>
      </c>
      <c r="CA126" s="283">
        <v>9200</v>
      </c>
      <c r="CB126" s="283">
        <v>0</v>
      </c>
      <c r="CC126" s="283">
        <v>1500</v>
      </c>
      <c r="CD126" s="283">
        <v>3500</v>
      </c>
      <c r="CE126" s="283">
        <v>494</v>
      </c>
      <c r="CF126" s="283">
        <v>16900</v>
      </c>
      <c r="CG126" s="283">
        <v>5600</v>
      </c>
      <c r="CH126" s="283">
        <v>6200</v>
      </c>
      <c r="CI126" s="283">
        <v>484</v>
      </c>
      <c r="CJ126" s="283">
        <v>3800</v>
      </c>
      <c r="CK126" s="283">
        <f t="shared" si="9"/>
        <v>3094.66666666667</v>
      </c>
      <c r="CL126" s="370"/>
      <c r="CM126" s="371">
        <f>Summary!$D$14</f>
        <v>157127.612416667</v>
      </c>
      <c r="CN126" s="258">
        <f t="shared" si="16"/>
        <v>0</v>
      </c>
    </row>
    <row r="127" ht="15.6" spans="1:92">
      <c r="A127" s="258" t="s">
        <v>177</v>
      </c>
      <c r="B127" s="258" t="s">
        <v>694</v>
      </c>
      <c r="C127" s="258" t="s">
        <v>230</v>
      </c>
      <c r="D127" s="258" t="s">
        <v>394</v>
      </c>
      <c r="E127" s="258" t="s">
        <v>233</v>
      </c>
      <c r="F127" s="260" t="s">
        <v>420</v>
      </c>
      <c r="G127" s="343"/>
      <c r="H127" s="283">
        <f t="shared" si="17"/>
        <v>5685.66666666667</v>
      </c>
      <c r="I127" s="292" t="s">
        <v>1734</v>
      </c>
      <c r="J127" s="351">
        <v>10940</v>
      </c>
      <c r="K127" s="351">
        <v>13775</v>
      </c>
      <c r="L127" s="351">
        <v>10517</v>
      </c>
      <c r="M127" s="351">
        <v>23433</v>
      </c>
      <c r="N127" s="352">
        <v>17121</v>
      </c>
      <c r="O127" s="352">
        <v>5600</v>
      </c>
      <c r="P127" s="352">
        <v>11500</v>
      </c>
      <c r="Q127" s="352">
        <v>11953</v>
      </c>
      <c r="R127" s="352">
        <v>5599</v>
      </c>
      <c r="S127" s="352">
        <v>13416</v>
      </c>
      <c r="T127" s="352">
        <v>8015</v>
      </c>
      <c r="U127" s="353" t="e">
        <f>VLOOKUP(D127,Mid!$A$2:$C$225,2,FALSE)</f>
        <v>#N/A</v>
      </c>
      <c r="V127" s="353">
        <v>4148</v>
      </c>
      <c r="W127" s="353">
        <v>14709</v>
      </c>
      <c r="X127" s="353">
        <v>13648</v>
      </c>
      <c r="Y127" s="353">
        <v>9410</v>
      </c>
      <c r="Z127" s="353">
        <v>14453</v>
      </c>
      <c r="AA127" s="353">
        <v>8383</v>
      </c>
      <c r="AB127" s="353">
        <v>9646</v>
      </c>
      <c r="AC127" s="353">
        <v>8218</v>
      </c>
      <c r="AD127" s="353">
        <v>14756</v>
      </c>
      <c r="AE127" s="353">
        <v>12818</v>
      </c>
      <c r="AF127" s="353">
        <v>11710</v>
      </c>
      <c r="AG127" s="353">
        <v>10438</v>
      </c>
      <c r="AH127" s="353">
        <v>7684</v>
      </c>
      <c r="AI127" s="353">
        <v>6707</v>
      </c>
      <c r="AJ127" s="367">
        <v>5238</v>
      </c>
      <c r="AK127" s="283" t="s">
        <v>1735</v>
      </c>
      <c r="AL127" s="283">
        <v>7567</v>
      </c>
      <c r="AM127" s="283" t="s">
        <v>1736</v>
      </c>
      <c r="AN127" s="283" t="s">
        <v>1737</v>
      </c>
      <c r="AO127" s="283" t="s">
        <v>1738</v>
      </c>
      <c r="AP127" s="283">
        <v>5000</v>
      </c>
      <c r="AQ127" s="283" t="s">
        <v>1739</v>
      </c>
      <c r="AR127" s="283">
        <f>54759*0.058*2</f>
        <v>6352.044</v>
      </c>
      <c r="AS127" s="283">
        <f>0.0228*2*52233</f>
        <v>2381.8248</v>
      </c>
      <c r="AT127" s="283" t="s">
        <v>1740</v>
      </c>
      <c r="AU127" s="283" t="s">
        <v>1741</v>
      </c>
      <c r="AV127" s="283">
        <v>5000</v>
      </c>
      <c r="AW127" s="283">
        <f t="shared" si="8"/>
        <v>8765</v>
      </c>
      <c r="AX127" s="283">
        <v>0</v>
      </c>
      <c r="AY127" s="283">
        <v>0</v>
      </c>
      <c r="AZ127" s="283">
        <v>0</v>
      </c>
      <c r="BA127" s="283">
        <v>0</v>
      </c>
      <c r="BB127" s="283">
        <v>0</v>
      </c>
      <c r="BC127" s="283">
        <v>5300</v>
      </c>
      <c r="BD127" s="283">
        <v>3300</v>
      </c>
      <c r="BE127" s="283">
        <v>3200</v>
      </c>
      <c r="BF127" s="283">
        <v>7900</v>
      </c>
      <c r="BG127" s="283">
        <v>4200</v>
      </c>
      <c r="BH127" s="283">
        <v>7400</v>
      </c>
      <c r="BI127" s="283" t="e">
        <f>VLOOKUP(D127,Mid!$A$2:$C$225,3,FALSE)</f>
        <v>#N/A</v>
      </c>
      <c r="BJ127" s="283">
        <v>2200</v>
      </c>
      <c r="BK127" s="283">
        <v>2400</v>
      </c>
      <c r="BL127" s="283">
        <v>2300</v>
      </c>
      <c r="BM127" s="283">
        <v>0</v>
      </c>
      <c r="BN127" s="283">
        <v>2000</v>
      </c>
      <c r="BO127" s="283">
        <v>4600</v>
      </c>
      <c r="BP127" s="283">
        <v>4100</v>
      </c>
      <c r="BQ127" s="283">
        <v>6800</v>
      </c>
      <c r="BR127" s="283">
        <v>3300</v>
      </c>
      <c r="BS127" s="283">
        <v>2800</v>
      </c>
      <c r="BT127" s="283">
        <v>3500</v>
      </c>
      <c r="BU127" s="283">
        <v>4200</v>
      </c>
      <c r="BV127" s="283">
        <v>6200</v>
      </c>
      <c r="BW127" s="283">
        <v>3600</v>
      </c>
      <c r="BX127" s="283">
        <v>3300</v>
      </c>
      <c r="BY127" s="283">
        <v>3300</v>
      </c>
      <c r="BZ127" s="283">
        <v>7100</v>
      </c>
      <c r="CA127" s="283">
        <v>6073.76</v>
      </c>
      <c r="CB127" s="283">
        <v>10500</v>
      </c>
      <c r="CC127" s="283">
        <v>7300</v>
      </c>
      <c r="CD127" s="283">
        <v>431</v>
      </c>
      <c r="CE127" s="283">
        <v>2000</v>
      </c>
      <c r="CF127" s="283">
        <v>7000</v>
      </c>
      <c r="CG127" s="283">
        <v>481</v>
      </c>
      <c r="CH127" s="283">
        <v>9400</v>
      </c>
      <c r="CI127" s="283">
        <v>2300</v>
      </c>
      <c r="CJ127" s="283">
        <v>546</v>
      </c>
      <c r="CK127" s="283">
        <f t="shared" si="9"/>
        <v>2606.33333333333</v>
      </c>
      <c r="CL127" s="370"/>
      <c r="CM127" s="371">
        <f>Summary!$D$14</f>
        <v>157127.612416667</v>
      </c>
      <c r="CN127" s="258">
        <f t="shared" si="16"/>
        <v>0</v>
      </c>
    </row>
    <row r="128" ht="15.6" spans="1:92">
      <c r="A128" s="258" t="s">
        <v>177</v>
      </c>
      <c r="B128" s="258" t="s">
        <v>694</v>
      </c>
      <c r="C128" s="258" t="s">
        <v>230</v>
      </c>
      <c r="D128" s="258" t="s">
        <v>463</v>
      </c>
      <c r="E128" s="258" t="s">
        <v>233</v>
      </c>
      <c r="F128" s="260" t="s">
        <v>58</v>
      </c>
      <c r="G128" s="343"/>
      <c r="H128" s="283">
        <f t="shared" si="17"/>
        <v>3107.5</v>
      </c>
      <c r="I128" s="292"/>
      <c r="J128" s="351">
        <v>5206</v>
      </c>
      <c r="K128" s="351">
        <v>9490</v>
      </c>
      <c r="L128" s="351">
        <v>8373</v>
      </c>
      <c r="M128" s="351">
        <v>3759</v>
      </c>
      <c r="N128" s="352">
        <v>5651</v>
      </c>
      <c r="O128" s="352">
        <v>5165</v>
      </c>
      <c r="P128" s="352">
        <v>13770</v>
      </c>
      <c r="Q128" s="352">
        <v>6136</v>
      </c>
      <c r="R128" s="352">
        <v>0</v>
      </c>
      <c r="S128" s="352">
        <v>3333</v>
      </c>
      <c r="T128" s="352">
        <v>6109</v>
      </c>
      <c r="U128" s="353" t="e">
        <f>VLOOKUP(D128,Mid!$A$2:$C$225,2,FALSE)</f>
        <v>#N/A</v>
      </c>
      <c r="V128" s="353">
        <v>1624</v>
      </c>
      <c r="W128" s="353">
        <v>1356</v>
      </c>
      <c r="X128" s="353">
        <v>21326</v>
      </c>
      <c r="Y128" s="353">
        <v>23343</v>
      </c>
      <c r="Z128" s="353">
        <v>3863</v>
      </c>
      <c r="AA128" s="353">
        <v>1072</v>
      </c>
      <c r="AB128" s="353">
        <v>18305</v>
      </c>
      <c r="AC128" s="353">
        <v>13243</v>
      </c>
      <c r="AD128" s="353">
        <v>7215</v>
      </c>
      <c r="AE128" s="353">
        <v>8367</v>
      </c>
      <c r="AF128" s="353">
        <v>11540</v>
      </c>
      <c r="AG128" s="353">
        <v>4156</v>
      </c>
      <c r="AH128" s="353">
        <v>22581</v>
      </c>
      <c r="AI128" s="353">
        <v>19985</v>
      </c>
      <c r="AJ128" s="353">
        <v>483</v>
      </c>
      <c r="AK128" s="283" t="s">
        <v>1742</v>
      </c>
      <c r="AL128" s="283">
        <v>3227</v>
      </c>
      <c r="AM128" s="283" t="s">
        <v>1743</v>
      </c>
      <c r="AN128" s="283" t="s">
        <v>1744</v>
      </c>
      <c r="AO128" s="283" t="s">
        <v>1745</v>
      </c>
      <c r="AP128" s="283">
        <v>5000</v>
      </c>
      <c r="AQ128" s="283" t="s">
        <v>1746</v>
      </c>
      <c r="AR128" s="283" t="s">
        <v>1747</v>
      </c>
      <c r="AS128" s="283" t="s">
        <v>1748</v>
      </c>
      <c r="AT128" s="283" t="s">
        <v>1749</v>
      </c>
      <c r="AU128" s="283" t="s">
        <v>1750</v>
      </c>
      <c r="AV128" s="283">
        <v>5000</v>
      </c>
      <c r="AW128" s="283">
        <f t="shared" si="8"/>
        <v>5781.66666666667</v>
      </c>
      <c r="AX128" s="283">
        <v>5000</v>
      </c>
      <c r="AY128" s="283">
        <v>8000</v>
      </c>
      <c r="AZ128" s="283">
        <v>8900</v>
      </c>
      <c r="BA128" s="283">
        <v>8800</v>
      </c>
      <c r="BB128" s="283">
        <v>177</v>
      </c>
      <c r="BC128" s="283">
        <v>2300</v>
      </c>
      <c r="BD128" s="283">
        <v>1600</v>
      </c>
      <c r="BE128" s="283">
        <v>0</v>
      </c>
      <c r="BF128" s="283">
        <v>8700</v>
      </c>
      <c r="BG128" s="283">
        <v>2300</v>
      </c>
      <c r="BH128" s="283">
        <v>1200</v>
      </c>
      <c r="BI128" s="283" t="e">
        <f>VLOOKUP(D128,Mid!$A$2:$C$225,3,FALSE)</f>
        <v>#N/A</v>
      </c>
      <c r="BJ128" s="283">
        <v>5200</v>
      </c>
      <c r="BK128" s="283">
        <v>1300</v>
      </c>
      <c r="BL128" s="283">
        <v>8200</v>
      </c>
      <c r="BM128" s="283">
        <v>145</v>
      </c>
      <c r="BN128" s="283">
        <v>0</v>
      </c>
      <c r="BO128" s="283">
        <v>2700</v>
      </c>
      <c r="BP128" s="283">
        <v>2000</v>
      </c>
      <c r="BQ128" s="283">
        <v>6600</v>
      </c>
      <c r="BR128" s="283">
        <v>1600</v>
      </c>
      <c r="BS128" s="283">
        <v>1500</v>
      </c>
      <c r="BT128" s="283">
        <v>3600</v>
      </c>
      <c r="BU128" s="283">
        <v>3400</v>
      </c>
      <c r="BV128" s="283">
        <v>1700</v>
      </c>
      <c r="BW128" s="283">
        <v>2100</v>
      </c>
      <c r="BX128" s="283">
        <v>4700</v>
      </c>
      <c r="BY128" s="283">
        <v>4700</v>
      </c>
      <c r="BZ128" s="283">
        <v>1800</v>
      </c>
      <c r="CA128" s="283">
        <v>4800</v>
      </c>
      <c r="CB128" s="283">
        <v>0</v>
      </c>
      <c r="CC128" s="283">
        <v>15500</v>
      </c>
      <c r="CD128" s="283">
        <v>0</v>
      </c>
      <c r="CE128" s="283">
        <v>64</v>
      </c>
      <c r="CF128" s="283">
        <f>41300*0.0723*2</f>
        <v>5971.98</v>
      </c>
      <c r="CG128" s="283">
        <v>0</v>
      </c>
      <c r="CH128" s="283">
        <v>2600</v>
      </c>
      <c r="CI128" s="283">
        <v>0</v>
      </c>
      <c r="CJ128" s="283">
        <v>0</v>
      </c>
      <c r="CK128" s="283">
        <f t="shared" si="9"/>
        <v>433.333333333333</v>
      </c>
      <c r="CL128" s="370"/>
      <c r="CM128" s="371">
        <f>Summary!$D$14</f>
        <v>157127.612416667</v>
      </c>
      <c r="CN128" s="258">
        <f t="shared" si="16"/>
        <v>0</v>
      </c>
    </row>
    <row r="129" ht="15.6" spans="1:92">
      <c r="A129" s="258" t="s">
        <v>177</v>
      </c>
      <c r="B129" s="258" t="s">
        <v>694</v>
      </c>
      <c r="C129" s="258" t="s">
        <v>230</v>
      </c>
      <c r="D129" s="258" t="s">
        <v>328</v>
      </c>
      <c r="E129" s="258" t="s">
        <v>233</v>
      </c>
      <c r="F129" s="258" t="s">
        <v>58</v>
      </c>
      <c r="G129" s="343"/>
      <c r="H129" s="283">
        <f t="shared" si="17"/>
        <v>13227.0833333333</v>
      </c>
      <c r="I129" s="292" t="s">
        <v>1751</v>
      </c>
      <c r="J129" s="357"/>
      <c r="K129" s="357"/>
      <c r="L129" s="357"/>
      <c r="M129" s="357"/>
      <c r="N129" s="358"/>
      <c r="O129" s="359"/>
      <c r="P129" s="359"/>
      <c r="Q129" s="359"/>
      <c r="R129" s="359"/>
      <c r="S129" s="359"/>
      <c r="T129" s="359"/>
      <c r="U129" s="353"/>
      <c r="V129" s="353">
        <v>10238</v>
      </c>
      <c r="W129" s="353">
        <v>15937</v>
      </c>
      <c r="X129" s="353">
        <v>20925</v>
      </c>
      <c r="Y129" s="353">
        <v>18599</v>
      </c>
      <c r="Z129" s="353">
        <v>14558</v>
      </c>
      <c r="AA129" s="353">
        <v>14447</v>
      </c>
      <c r="AB129" s="353">
        <v>13878</v>
      </c>
      <c r="AC129" s="353">
        <v>7152</v>
      </c>
      <c r="AD129" s="353">
        <v>20278</v>
      </c>
      <c r="AE129" s="353">
        <v>13019</v>
      </c>
      <c r="AF129" s="353">
        <v>17738</v>
      </c>
      <c r="AG129" s="353">
        <v>21507</v>
      </c>
      <c r="AH129" s="353">
        <v>13564</v>
      </c>
      <c r="AI129" s="353">
        <v>20479</v>
      </c>
      <c r="AJ129" s="353">
        <v>18511</v>
      </c>
      <c r="AK129" s="283" t="s">
        <v>1752</v>
      </c>
      <c r="AL129" s="283">
        <v>21223</v>
      </c>
      <c r="AM129" s="283" t="s">
        <v>1753</v>
      </c>
      <c r="AN129" s="283" t="s">
        <v>1754</v>
      </c>
      <c r="AO129" s="283" t="s">
        <v>1755</v>
      </c>
      <c r="AP129" s="283">
        <v>13109</v>
      </c>
      <c r="AQ129" s="283" t="s">
        <v>1756</v>
      </c>
      <c r="AR129" s="283" t="s">
        <v>1757</v>
      </c>
      <c r="AS129" s="283" t="s">
        <v>1758</v>
      </c>
      <c r="AT129" s="283" t="s">
        <v>1759</v>
      </c>
      <c r="AU129" s="283" t="s">
        <v>1760</v>
      </c>
      <c r="AV129" s="283">
        <v>16481</v>
      </c>
      <c r="AW129" s="283">
        <f t="shared" si="8"/>
        <v>14570.8333333333</v>
      </c>
      <c r="AX129" s="283"/>
      <c r="AY129" s="283"/>
      <c r="AZ129" s="283"/>
      <c r="BA129" s="283"/>
      <c r="BB129" s="283"/>
      <c r="BC129" s="283"/>
      <c r="BD129" s="283"/>
      <c r="BE129" s="283"/>
      <c r="BF129" s="283"/>
      <c r="BG129" s="283"/>
      <c r="BH129" s="283"/>
      <c r="BI129" s="283"/>
      <c r="BJ129" s="283">
        <v>2900</v>
      </c>
      <c r="BK129" s="283">
        <v>8800</v>
      </c>
      <c r="BL129" s="283">
        <v>10300</v>
      </c>
      <c r="BM129" s="283">
        <v>4300</v>
      </c>
      <c r="BN129" s="283">
        <v>9700</v>
      </c>
      <c r="BO129" s="283">
        <v>14000</v>
      </c>
      <c r="BP129" s="283">
        <v>8200</v>
      </c>
      <c r="BQ129" s="283">
        <v>26800</v>
      </c>
      <c r="BR129" s="283">
        <v>13100</v>
      </c>
      <c r="BS129" s="283">
        <v>27800</v>
      </c>
      <c r="BT129" s="283">
        <v>15300</v>
      </c>
      <c r="BU129" s="283">
        <v>7000</v>
      </c>
      <c r="BV129" s="283">
        <v>5700</v>
      </c>
      <c r="BW129" s="283">
        <v>5200</v>
      </c>
      <c r="BX129" s="283">
        <v>5700</v>
      </c>
      <c r="BY129" s="283">
        <v>5700</v>
      </c>
      <c r="BZ129" s="283">
        <v>11900</v>
      </c>
      <c r="CA129" s="283">
        <v>21152</v>
      </c>
      <c r="CB129" s="283">
        <v>15200</v>
      </c>
      <c r="CC129" s="283">
        <v>10200</v>
      </c>
      <c r="CD129" s="283">
        <v>58600</v>
      </c>
      <c r="CE129" s="283">
        <v>5400</v>
      </c>
      <c r="CF129" s="283">
        <v>30734.24</v>
      </c>
      <c r="CG129" s="283">
        <v>9800</v>
      </c>
      <c r="CH129" s="283">
        <v>8500</v>
      </c>
      <c r="CI129" s="283">
        <v>5900</v>
      </c>
      <c r="CJ129" s="283">
        <v>17000</v>
      </c>
      <c r="CK129" s="283">
        <f t="shared" si="9"/>
        <v>11883.3333333333</v>
      </c>
      <c r="CL129" s="370"/>
      <c r="CM129" s="371">
        <f>Summary!$D$14</f>
        <v>157127.612416667</v>
      </c>
      <c r="CN129" s="258">
        <f t="shared" si="16"/>
        <v>1</v>
      </c>
    </row>
    <row r="130" ht="15.6" spans="1:92">
      <c r="A130" s="344" t="s">
        <v>1761</v>
      </c>
      <c r="B130" s="344" t="s">
        <v>683</v>
      </c>
      <c r="C130" s="344" t="s">
        <v>227</v>
      </c>
      <c r="D130" s="344" t="s">
        <v>163</v>
      </c>
      <c r="E130" s="344" t="s">
        <v>441</v>
      </c>
      <c r="F130" s="344" t="s">
        <v>49</v>
      </c>
      <c r="G130" s="345"/>
      <c r="H130" s="345">
        <f t="shared" si="17"/>
        <v>306571.707</v>
      </c>
      <c r="I130" s="292"/>
      <c r="J130" s="351">
        <v>130980</v>
      </c>
      <c r="K130" s="351">
        <v>115516</v>
      </c>
      <c r="L130" s="351">
        <v>128961</v>
      </c>
      <c r="M130" s="351">
        <v>169256</v>
      </c>
      <c r="N130" s="352">
        <v>103853</v>
      </c>
      <c r="O130" s="353">
        <v>122122</v>
      </c>
      <c r="P130" s="353">
        <v>140206</v>
      </c>
      <c r="Q130" s="353">
        <v>165113</v>
      </c>
      <c r="R130" s="353">
        <v>192339</v>
      </c>
      <c r="S130" s="353">
        <v>182382</v>
      </c>
      <c r="T130" s="353">
        <v>220802</v>
      </c>
      <c r="U130" s="353" t="e">
        <f>VLOOKUP(D130,Mid!$A$2:$C$225,2,FALSE)</f>
        <v>#N/A</v>
      </c>
      <c r="V130" s="353">
        <v>265583</v>
      </c>
      <c r="W130" s="353">
        <v>232409</v>
      </c>
      <c r="X130" s="353">
        <v>205855</v>
      </c>
      <c r="Y130" s="353">
        <v>384739</v>
      </c>
      <c r="Z130" s="353">
        <v>399915</v>
      </c>
      <c r="AA130" s="353">
        <v>291643</v>
      </c>
      <c r="AB130" s="353">
        <v>226248</v>
      </c>
      <c r="AC130" s="353">
        <v>234684</v>
      </c>
      <c r="AD130" s="353">
        <v>235118</v>
      </c>
      <c r="AE130" s="353">
        <v>226674</v>
      </c>
      <c r="AF130" s="353">
        <v>236336</v>
      </c>
      <c r="AG130" s="353">
        <v>256181</v>
      </c>
      <c r="AH130" s="353">
        <v>259215</v>
      </c>
      <c r="AI130" s="353">
        <v>248448</v>
      </c>
      <c r="AJ130" s="367">
        <v>204070</v>
      </c>
      <c r="AK130" s="283" t="s">
        <v>1762</v>
      </c>
      <c r="AL130" s="283">
        <v>247806</v>
      </c>
      <c r="AM130" s="283" t="s">
        <v>1763</v>
      </c>
      <c r="AN130" s="283" t="s">
        <v>1764</v>
      </c>
      <c r="AO130" s="283" t="s">
        <v>1765</v>
      </c>
      <c r="AP130" s="283">
        <f>331107*0.3206*2</f>
        <v>212305.8084</v>
      </c>
      <c r="AQ130" s="283" t="s">
        <v>1766</v>
      </c>
      <c r="AR130" s="283" t="s">
        <v>1767</v>
      </c>
      <c r="AS130" s="283" t="s">
        <v>1768</v>
      </c>
      <c r="AT130" s="283">
        <f>0.1954*2*521850</f>
        <v>203938.98</v>
      </c>
      <c r="AU130" s="283">
        <f>0.224*2*483899</f>
        <v>216786.752</v>
      </c>
      <c r="AV130" s="283" t="s">
        <v>1769</v>
      </c>
      <c r="AW130" s="283">
        <f t="shared" si="8"/>
        <v>327510.080666667</v>
      </c>
      <c r="AX130" s="283">
        <v>174900</v>
      </c>
      <c r="AY130" s="283">
        <v>140900</v>
      </c>
      <c r="AZ130" s="283">
        <v>151500</v>
      </c>
      <c r="BA130" s="283">
        <v>153100</v>
      </c>
      <c r="BB130" s="283">
        <v>125600</v>
      </c>
      <c r="BC130" s="283">
        <v>129700</v>
      </c>
      <c r="BD130" s="283">
        <v>138900</v>
      </c>
      <c r="BE130" s="283">
        <v>208800</v>
      </c>
      <c r="BF130" s="283">
        <v>280800</v>
      </c>
      <c r="BG130" s="283">
        <v>212700</v>
      </c>
      <c r="BH130" s="283">
        <v>209500</v>
      </c>
      <c r="BI130" s="283" t="e">
        <f>VLOOKUP(D130,Mid!$A$2:$C$225,3,FALSE)</f>
        <v>#N/A</v>
      </c>
      <c r="BJ130" s="283">
        <v>130300</v>
      </c>
      <c r="BK130" s="283">
        <v>256400</v>
      </c>
      <c r="BL130" s="283">
        <v>168100</v>
      </c>
      <c r="BM130" s="283">
        <v>308400</v>
      </c>
      <c r="BN130" s="283">
        <v>198300</v>
      </c>
      <c r="BO130" s="283">
        <v>185100</v>
      </c>
      <c r="BP130" s="283">
        <v>192000</v>
      </c>
      <c r="BQ130" s="283">
        <v>201400</v>
      </c>
      <c r="BR130" s="283">
        <v>207700</v>
      </c>
      <c r="BS130" s="283">
        <v>201300</v>
      </c>
      <c r="BT130" s="283">
        <v>281700</v>
      </c>
      <c r="BU130" s="283">
        <v>196400</v>
      </c>
      <c r="BV130" s="283">
        <v>120400</v>
      </c>
      <c r="BW130" s="283">
        <v>160000</v>
      </c>
      <c r="BX130" s="283">
        <v>206000</v>
      </c>
      <c r="BY130" s="283">
        <v>206000</v>
      </c>
      <c r="BZ130" s="283">
        <v>143000</v>
      </c>
      <c r="CA130" s="283">
        <v>347400</v>
      </c>
      <c r="CB130" s="283">
        <v>123400</v>
      </c>
      <c r="CC130" s="283">
        <v>154200</v>
      </c>
      <c r="CD130" s="283">
        <v>234200</v>
      </c>
      <c r="CE130" s="283">
        <v>129600</v>
      </c>
      <c r="CF130" s="283">
        <v>247500</v>
      </c>
      <c r="CG130" s="283">
        <v>216900</v>
      </c>
      <c r="CH130" s="283">
        <v>354800</v>
      </c>
      <c r="CI130" s="283">
        <v>455400</v>
      </c>
      <c r="CJ130" s="283">
        <v>149400</v>
      </c>
      <c r="CK130" s="283">
        <f t="shared" si="9"/>
        <v>285633.333333333</v>
      </c>
      <c r="CL130" s="370"/>
      <c r="CM130" s="371">
        <f>Summary!$D$9</f>
        <v>657757.072666666</v>
      </c>
      <c r="CN130" s="258">
        <f t="shared" si="16"/>
        <v>1</v>
      </c>
    </row>
    <row r="131" ht="15.6" spans="1:92">
      <c r="A131" s="258" t="s">
        <v>1761</v>
      </c>
      <c r="B131" s="258" t="s">
        <v>694</v>
      </c>
      <c r="C131" s="258" t="s">
        <v>230</v>
      </c>
      <c r="D131" s="258" t="s">
        <v>285</v>
      </c>
      <c r="E131" s="258" t="s">
        <v>233</v>
      </c>
      <c r="F131" s="260" t="s">
        <v>58</v>
      </c>
      <c r="G131" s="343"/>
      <c r="H131" s="283">
        <f t="shared" si="17"/>
        <v>141472.890533333</v>
      </c>
      <c r="I131" s="385"/>
      <c r="J131" s="351">
        <v>79263</v>
      </c>
      <c r="K131" s="351">
        <v>57356</v>
      </c>
      <c r="L131" s="351">
        <v>81697</v>
      </c>
      <c r="M131" s="351">
        <v>117590</v>
      </c>
      <c r="N131" s="352">
        <v>95134</v>
      </c>
      <c r="O131" s="352">
        <v>103150</v>
      </c>
      <c r="P131" s="352">
        <v>153239</v>
      </c>
      <c r="Q131" s="353">
        <v>161733</v>
      </c>
      <c r="R131" s="353">
        <v>153275</v>
      </c>
      <c r="S131" s="353">
        <v>132469</v>
      </c>
      <c r="T131" s="353">
        <v>209392</v>
      </c>
      <c r="U131" s="353" t="e">
        <f>VLOOKUP(D131,Mid!$A$2:$C$225,2,FALSE)</f>
        <v>#N/A</v>
      </c>
      <c r="V131" s="353">
        <v>175368</v>
      </c>
      <c r="W131" s="353">
        <v>210986</v>
      </c>
      <c r="X131" s="353">
        <v>185642</v>
      </c>
      <c r="Y131" s="353">
        <v>226667</v>
      </c>
      <c r="Z131" s="353">
        <v>230112</v>
      </c>
      <c r="AA131" s="353">
        <v>230651</v>
      </c>
      <c r="AB131" s="353">
        <v>235738</v>
      </c>
      <c r="AC131" s="353">
        <v>377793</v>
      </c>
      <c r="AD131" s="353">
        <v>188678</v>
      </c>
      <c r="AE131" s="353">
        <v>185642</v>
      </c>
      <c r="AF131" s="353">
        <v>178078</v>
      </c>
      <c r="AG131" s="353">
        <v>244139</v>
      </c>
      <c r="AH131" s="353">
        <v>153934</v>
      </c>
      <c r="AI131" s="353">
        <v>216430</v>
      </c>
      <c r="AJ131" s="367">
        <v>217668</v>
      </c>
      <c r="AK131" s="283" t="s">
        <v>1770</v>
      </c>
      <c r="AL131" s="283">
        <v>226473</v>
      </c>
      <c r="AM131" s="283" t="s">
        <v>1771</v>
      </c>
      <c r="AN131" s="283" t="s">
        <v>1772</v>
      </c>
      <c r="AO131" s="283" t="s">
        <v>1773</v>
      </c>
      <c r="AP131" s="283">
        <v>108113</v>
      </c>
      <c r="AQ131" s="283" t="s">
        <v>1774</v>
      </c>
      <c r="AR131" s="283">
        <f>214008*0.2872*2</f>
        <v>122926.1952</v>
      </c>
      <c r="AS131" s="283">
        <f>0.2738*2*250897</f>
        <v>137391.1972</v>
      </c>
      <c r="AT131" s="283">
        <f>0.2557*2*200996</f>
        <v>102789.3544</v>
      </c>
      <c r="AU131" s="283">
        <f>0.2206*2*302055</f>
        <v>133266.666</v>
      </c>
      <c r="AV131" s="283" t="s">
        <v>1775</v>
      </c>
      <c r="AW131" s="283">
        <f t="shared" ref="AW131:AW194" si="18">SUM(AV131*3+AU131*2+AT131*1)/6</f>
        <v>244445.781066667</v>
      </c>
      <c r="AX131" s="283">
        <v>42400</v>
      </c>
      <c r="AY131" s="283">
        <v>35500</v>
      </c>
      <c r="AZ131" s="283">
        <v>29800</v>
      </c>
      <c r="BA131" s="283">
        <v>28900</v>
      </c>
      <c r="BB131" s="283">
        <v>35200</v>
      </c>
      <c r="BC131" s="283">
        <v>46500</v>
      </c>
      <c r="BD131" s="283">
        <v>45900</v>
      </c>
      <c r="BE131" s="283">
        <v>63600</v>
      </c>
      <c r="BF131" s="283">
        <v>42800</v>
      </c>
      <c r="BG131" s="283">
        <v>2100</v>
      </c>
      <c r="BH131" s="283">
        <v>7800</v>
      </c>
      <c r="BI131" s="283" t="e">
        <f>VLOOKUP(D131,Mid!$A$2:$C$225,3,FALSE)</f>
        <v>#N/A</v>
      </c>
      <c r="BJ131" s="283">
        <v>5200</v>
      </c>
      <c r="BK131" s="283">
        <v>10500</v>
      </c>
      <c r="BL131" s="283">
        <v>2900</v>
      </c>
      <c r="BM131" s="283">
        <v>59800</v>
      </c>
      <c r="BN131" s="283">
        <v>8800</v>
      </c>
      <c r="BO131" s="283">
        <v>8800</v>
      </c>
      <c r="BP131" s="283">
        <v>36200</v>
      </c>
      <c r="BQ131" s="283">
        <v>6000</v>
      </c>
      <c r="BR131" s="283">
        <v>55500</v>
      </c>
      <c r="BS131" s="283">
        <v>41800</v>
      </c>
      <c r="BT131" s="283">
        <v>108200</v>
      </c>
      <c r="BU131" s="283">
        <v>3400</v>
      </c>
      <c r="BV131" s="283">
        <v>0</v>
      </c>
      <c r="BW131" s="283">
        <v>2400</v>
      </c>
      <c r="BX131" s="283">
        <v>244</v>
      </c>
      <c r="BY131" s="283">
        <v>244</v>
      </c>
      <c r="BZ131" s="283">
        <v>3100</v>
      </c>
      <c r="CA131" s="283">
        <v>2600</v>
      </c>
      <c r="CB131" s="283">
        <v>1300</v>
      </c>
      <c r="CC131" s="283">
        <v>1900</v>
      </c>
      <c r="CD131" s="283">
        <v>642</v>
      </c>
      <c r="CE131" s="283">
        <v>1600</v>
      </c>
      <c r="CF131" s="283">
        <v>1500</v>
      </c>
      <c r="CG131" s="283">
        <v>432</v>
      </c>
      <c r="CH131" s="283">
        <v>0</v>
      </c>
      <c r="CI131" s="283">
        <v>0</v>
      </c>
      <c r="CJ131" s="283">
        <v>77000</v>
      </c>
      <c r="CK131" s="283">
        <f t="shared" ref="CK131:CK194" si="19">SUM(CJ131*3+CI131*2+CH131*1)/6</f>
        <v>38500</v>
      </c>
      <c r="CL131" s="370"/>
      <c r="CM131" s="371">
        <f>Summary!$D$9</f>
        <v>657757.072666666</v>
      </c>
      <c r="CN131" s="258">
        <f t="shared" si="16"/>
        <v>1</v>
      </c>
    </row>
    <row r="132" ht="46.8" spans="1:92">
      <c r="A132" s="258" t="s">
        <v>1761</v>
      </c>
      <c r="B132" s="258" t="s">
        <v>694</v>
      </c>
      <c r="C132" s="258" t="s">
        <v>230</v>
      </c>
      <c r="D132" s="342" t="s">
        <v>292</v>
      </c>
      <c r="E132" s="258" t="s">
        <v>233</v>
      </c>
      <c r="F132" s="260" t="s">
        <v>250</v>
      </c>
      <c r="G132" s="343"/>
      <c r="H132" s="283">
        <f>(AW132+CK132)*0.13/2</f>
        <v>15798.4016666667</v>
      </c>
      <c r="I132" s="292" t="s">
        <v>1202</v>
      </c>
      <c r="J132" s="351">
        <v>234548</v>
      </c>
      <c r="K132" s="351">
        <v>314484</v>
      </c>
      <c r="L132" s="351">
        <v>239914</v>
      </c>
      <c r="M132" s="351">
        <v>279684</v>
      </c>
      <c r="N132" s="352">
        <v>227715</v>
      </c>
      <c r="O132" s="353">
        <v>241408</v>
      </c>
      <c r="P132" s="353">
        <v>320702</v>
      </c>
      <c r="Q132" s="353">
        <v>231020</v>
      </c>
      <c r="R132" s="353">
        <v>299454</v>
      </c>
      <c r="S132" s="353">
        <v>273694</v>
      </c>
      <c r="T132" s="353">
        <v>324908</v>
      </c>
      <c r="U132" s="353" t="e">
        <f>VLOOKUP(D132,Mid!$A$2:$C$225,2,FALSE)</f>
        <v>#N/A</v>
      </c>
      <c r="V132" s="353">
        <v>381338</v>
      </c>
      <c r="W132" s="353">
        <v>225827</v>
      </c>
      <c r="X132" s="353">
        <v>259851</v>
      </c>
      <c r="Y132" s="353">
        <v>342894</v>
      </c>
      <c r="Z132" s="353">
        <v>240069</v>
      </c>
      <c r="AA132" s="353">
        <v>290215</v>
      </c>
      <c r="AB132" s="353">
        <v>235131</v>
      </c>
      <c r="AC132" s="353">
        <v>258837</v>
      </c>
      <c r="AD132" s="353">
        <v>211466</v>
      </c>
      <c r="AE132" s="353">
        <v>204555</v>
      </c>
      <c r="AF132" s="353">
        <v>215270</v>
      </c>
      <c r="AG132" s="353">
        <v>182796</v>
      </c>
      <c r="AH132" s="353">
        <v>220053</v>
      </c>
      <c r="AI132" s="353">
        <v>213505</v>
      </c>
      <c r="AJ132" s="367">
        <v>176703</v>
      </c>
      <c r="AK132" s="283" t="s">
        <v>1203</v>
      </c>
      <c r="AL132" s="283">
        <v>271048</v>
      </c>
      <c r="AM132" s="283" t="s">
        <v>1204</v>
      </c>
      <c r="AN132" s="283" t="s">
        <v>1205</v>
      </c>
      <c r="AO132" s="283" t="s">
        <v>1206</v>
      </c>
      <c r="AP132" s="283">
        <v>201459</v>
      </c>
      <c r="AQ132" s="283" t="s">
        <v>1207</v>
      </c>
      <c r="AR132" s="283" t="s">
        <v>1208</v>
      </c>
      <c r="AS132" s="283" t="s">
        <v>1209</v>
      </c>
      <c r="AT132" s="283" t="s">
        <v>1210</v>
      </c>
      <c r="AU132" s="283" t="s">
        <v>1211</v>
      </c>
      <c r="AV132" s="283" t="s">
        <v>1212</v>
      </c>
      <c r="AW132" s="283">
        <f t="shared" si="18"/>
        <v>150235.666666667</v>
      </c>
      <c r="AX132" s="283">
        <v>80300</v>
      </c>
      <c r="AY132" s="283">
        <v>85200</v>
      </c>
      <c r="AZ132" s="283">
        <v>96700</v>
      </c>
      <c r="BA132" s="283">
        <v>97500</v>
      </c>
      <c r="BB132" s="283">
        <v>93100</v>
      </c>
      <c r="BC132" s="283">
        <v>110000</v>
      </c>
      <c r="BD132" s="283">
        <v>102900</v>
      </c>
      <c r="BE132" s="283">
        <v>96600</v>
      </c>
      <c r="BF132" s="283">
        <v>116600</v>
      </c>
      <c r="BG132" s="283">
        <v>74500</v>
      </c>
      <c r="BH132" s="283">
        <v>91700</v>
      </c>
      <c r="BI132" s="283" t="e">
        <f>VLOOKUP(D132,Mid!$A$2:$C$225,3,FALSE)</f>
        <v>#N/A</v>
      </c>
      <c r="BJ132" s="283">
        <v>89800</v>
      </c>
      <c r="BK132" s="283">
        <v>102100</v>
      </c>
      <c r="BL132" s="283">
        <v>90400</v>
      </c>
      <c r="BM132" s="283">
        <v>251500</v>
      </c>
      <c r="BN132" s="283">
        <v>232500</v>
      </c>
      <c r="BO132" s="283">
        <v>170100</v>
      </c>
      <c r="BP132" s="283">
        <v>102200</v>
      </c>
      <c r="BQ132" s="283">
        <v>141800</v>
      </c>
      <c r="BR132" s="283">
        <v>133100</v>
      </c>
      <c r="BS132" s="283">
        <v>111800</v>
      </c>
      <c r="BT132" s="283">
        <v>12300</v>
      </c>
      <c r="BU132" s="283">
        <v>132200</v>
      </c>
      <c r="BV132" s="283">
        <v>115800</v>
      </c>
      <c r="BW132" s="283">
        <v>115800</v>
      </c>
      <c r="BX132" s="283">
        <v>129000</v>
      </c>
      <c r="BY132" s="283">
        <v>129000</v>
      </c>
      <c r="BZ132" s="283">
        <v>138400</v>
      </c>
      <c r="CA132" s="283">
        <v>172300</v>
      </c>
      <c r="CB132" s="283">
        <v>125300</v>
      </c>
      <c r="CC132" s="283">
        <v>110824</v>
      </c>
      <c r="CD132" s="283">
        <v>153600</v>
      </c>
      <c r="CE132" s="283">
        <v>97700</v>
      </c>
      <c r="CF132" s="283">
        <v>164200</v>
      </c>
      <c r="CG132" s="283">
        <v>59333.4</v>
      </c>
      <c r="CH132" s="283">
        <v>77600</v>
      </c>
      <c r="CI132" s="283">
        <v>112900</v>
      </c>
      <c r="CJ132" s="283">
        <v>84500</v>
      </c>
      <c r="CK132" s="283">
        <f t="shared" si="19"/>
        <v>92816.6666666667</v>
      </c>
      <c r="CL132" s="370"/>
      <c r="CM132" s="371">
        <f>Summary!$D$9</f>
        <v>657757.072666666</v>
      </c>
      <c r="CN132" s="258">
        <f t="shared" si="16"/>
        <v>0</v>
      </c>
    </row>
    <row r="133" ht="93.6" spans="1:92">
      <c r="A133" s="258" t="s">
        <v>1761</v>
      </c>
      <c r="B133" s="258" t="s">
        <v>694</v>
      </c>
      <c r="C133" s="258" t="s">
        <v>230</v>
      </c>
      <c r="D133" s="258" t="s">
        <v>255</v>
      </c>
      <c r="E133" s="258" t="s">
        <v>233</v>
      </c>
      <c r="F133" s="260" t="s">
        <v>419</v>
      </c>
      <c r="G133" s="343"/>
      <c r="H133" s="283">
        <f>(AW133+CK133)*0.04/2</f>
        <v>22602.4634666667</v>
      </c>
      <c r="I133" s="292" t="s">
        <v>1046</v>
      </c>
      <c r="J133" s="351">
        <v>742524</v>
      </c>
      <c r="K133" s="351">
        <v>832806</v>
      </c>
      <c r="L133" s="351">
        <v>630060</v>
      </c>
      <c r="M133" s="351">
        <v>859832</v>
      </c>
      <c r="N133" s="352">
        <v>865492</v>
      </c>
      <c r="O133" s="353">
        <v>766580</v>
      </c>
      <c r="P133" s="353">
        <v>748274</v>
      </c>
      <c r="Q133" s="353">
        <v>882707</v>
      </c>
      <c r="R133" s="353">
        <v>901829</v>
      </c>
      <c r="S133" s="353">
        <v>839737</v>
      </c>
      <c r="T133" s="353">
        <v>863111</v>
      </c>
      <c r="U133" s="353" t="e">
        <f>VLOOKUP(D133,Mid!$A$2:$C$225,2,FALSE)</f>
        <v>#N/A</v>
      </c>
      <c r="V133" s="353">
        <v>873182</v>
      </c>
      <c r="W133" s="353">
        <v>954371</v>
      </c>
      <c r="X133" s="353">
        <v>902765</v>
      </c>
      <c r="Y133" s="353">
        <v>1069000</v>
      </c>
      <c r="Z133" s="353">
        <v>965481</v>
      </c>
      <c r="AA133" s="353">
        <v>1005000</v>
      </c>
      <c r="AB133" s="353">
        <v>963869</v>
      </c>
      <c r="AC133" s="353">
        <v>1091000</v>
      </c>
      <c r="AD133" s="353">
        <v>1053000</v>
      </c>
      <c r="AE133" s="353">
        <v>869935</v>
      </c>
      <c r="AF133" s="353">
        <v>850897</v>
      </c>
      <c r="AG133" s="353">
        <v>690825</v>
      </c>
      <c r="AH133" s="353">
        <v>774044</v>
      </c>
      <c r="AI133" s="353">
        <v>760293</v>
      </c>
      <c r="AJ133" s="367">
        <v>841107</v>
      </c>
      <c r="AK133" s="283" t="s">
        <v>1047</v>
      </c>
      <c r="AL133" s="283">
        <v>807389</v>
      </c>
      <c r="AM133" s="283" t="s">
        <v>1048</v>
      </c>
      <c r="AN133" s="283" t="s">
        <v>1049</v>
      </c>
      <c r="AO133" s="283" t="s">
        <v>1050</v>
      </c>
      <c r="AP133" s="283">
        <v>1137000</v>
      </c>
      <c r="AQ133" s="283">
        <f>1230000*0.3836*2</f>
        <v>943656</v>
      </c>
      <c r="AR133" s="283" t="s">
        <v>1051</v>
      </c>
      <c r="AS133" s="283" t="s">
        <v>1052</v>
      </c>
      <c r="AT133" s="283" t="s">
        <v>1053</v>
      </c>
      <c r="AU133" s="283" t="s">
        <v>1054</v>
      </c>
      <c r="AV133" s="283" t="s">
        <v>1055</v>
      </c>
      <c r="AW133" s="283">
        <f t="shared" si="18"/>
        <v>728444</v>
      </c>
      <c r="AX133" s="283">
        <v>918900</v>
      </c>
      <c r="AY133" s="283">
        <v>826100</v>
      </c>
      <c r="AZ133" s="283">
        <v>857900</v>
      </c>
      <c r="BA133" s="283">
        <v>864900</v>
      </c>
      <c r="BB133" s="283">
        <v>850300</v>
      </c>
      <c r="BC133" s="283">
        <v>819800</v>
      </c>
      <c r="BD133" s="283">
        <v>835700</v>
      </c>
      <c r="BE133" s="283">
        <v>862400</v>
      </c>
      <c r="BF133" s="283">
        <v>794000</v>
      </c>
      <c r="BG133" s="283">
        <v>860900</v>
      </c>
      <c r="BH133" s="283">
        <v>783700</v>
      </c>
      <c r="BI133" s="283" t="e">
        <f>VLOOKUP(D133,Mid!$A$2:$C$225,3,FALSE)</f>
        <v>#N/A</v>
      </c>
      <c r="BJ133" s="283">
        <v>467200</v>
      </c>
      <c r="BK133" s="283">
        <v>586200</v>
      </c>
      <c r="BL133" s="283">
        <v>560700</v>
      </c>
      <c r="BM133" s="283">
        <v>966800</v>
      </c>
      <c r="BN133" s="283">
        <v>494800</v>
      </c>
      <c r="BO133" s="283">
        <v>711400</v>
      </c>
      <c r="BP133" s="283">
        <v>976400</v>
      </c>
      <c r="BQ133" s="283">
        <v>1100000</v>
      </c>
      <c r="BR133" s="283">
        <v>674600</v>
      </c>
      <c r="BS133" s="283">
        <v>662600</v>
      </c>
      <c r="BT133" s="283">
        <v>572700</v>
      </c>
      <c r="BU133" s="283">
        <v>753000</v>
      </c>
      <c r="BV133" s="283">
        <v>995800</v>
      </c>
      <c r="BW133" s="283">
        <v>695000</v>
      </c>
      <c r="BX133" s="283">
        <v>844500</v>
      </c>
      <c r="BY133" s="283">
        <v>677400</v>
      </c>
      <c r="BZ133" s="283">
        <v>440000</v>
      </c>
      <c r="CA133" s="283">
        <v>564220</v>
      </c>
      <c r="CB133" s="283">
        <v>580900</v>
      </c>
      <c r="CC133" s="283">
        <v>671600</v>
      </c>
      <c r="CD133" s="283">
        <v>553400</v>
      </c>
      <c r="CE133" s="283">
        <v>810500</v>
      </c>
      <c r="CF133" s="283">
        <v>987700</v>
      </c>
      <c r="CG133" s="283">
        <v>356400</v>
      </c>
      <c r="CH133" s="283">
        <v>282400</v>
      </c>
      <c r="CI133" s="283">
        <v>407660</v>
      </c>
      <c r="CJ133" s="283">
        <v>437451.68</v>
      </c>
      <c r="CK133" s="283">
        <f t="shared" si="19"/>
        <v>401679.173333333</v>
      </c>
      <c r="CL133" s="370"/>
      <c r="CM133" s="371">
        <f>Summary!$D$9</f>
        <v>657757.072666666</v>
      </c>
      <c r="CN133" s="258">
        <f t="shared" si="16"/>
        <v>0</v>
      </c>
    </row>
    <row r="134" ht="15.6" spans="1:92">
      <c r="A134" s="258" t="s">
        <v>1761</v>
      </c>
      <c r="B134" s="258" t="s">
        <v>694</v>
      </c>
      <c r="C134" s="258" t="s">
        <v>230</v>
      </c>
      <c r="D134" s="258" t="s">
        <v>289</v>
      </c>
      <c r="E134" s="258" t="s">
        <v>233</v>
      </c>
      <c r="F134" s="260" t="s">
        <v>50</v>
      </c>
      <c r="G134" s="343"/>
      <c r="H134" s="283">
        <f>(AW134+CK134)/2</f>
        <v>25506.75</v>
      </c>
      <c r="I134" s="386" t="s">
        <v>1776</v>
      </c>
      <c r="J134" s="351">
        <v>45665</v>
      </c>
      <c r="K134" s="351">
        <v>35907</v>
      </c>
      <c r="L134" s="351">
        <v>38412</v>
      </c>
      <c r="M134" s="351">
        <v>61235</v>
      </c>
      <c r="N134" s="352">
        <v>87052</v>
      </c>
      <c r="O134" s="353">
        <v>69122</v>
      </c>
      <c r="P134" s="353">
        <v>80233</v>
      </c>
      <c r="Q134" s="353">
        <v>95191</v>
      </c>
      <c r="R134" s="353">
        <v>37091</v>
      </c>
      <c r="S134" s="353">
        <v>23774</v>
      </c>
      <c r="T134" s="353">
        <v>39141</v>
      </c>
      <c r="U134" s="353" t="e">
        <f>VLOOKUP(D134,Mid!$A$2:$C$225,2,FALSE)</f>
        <v>#N/A</v>
      </c>
      <c r="V134" s="353">
        <v>31104</v>
      </c>
      <c r="W134" s="353">
        <v>50518</v>
      </c>
      <c r="X134" s="353">
        <v>73885</v>
      </c>
      <c r="Y134" s="353">
        <v>62736</v>
      </c>
      <c r="Z134" s="353">
        <v>58712</v>
      </c>
      <c r="AA134" s="353">
        <v>23122</v>
      </c>
      <c r="AB134" s="353">
        <v>49025</v>
      </c>
      <c r="AC134" s="353">
        <v>65876</v>
      </c>
      <c r="AD134" s="353">
        <v>49622</v>
      </c>
      <c r="AE134" s="353">
        <v>79516</v>
      </c>
      <c r="AF134" s="353">
        <v>70953</v>
      </c>
      <c r="AG134" s="353">
        <v>29681</v>
      </c>
      <c r="AH134" s="353">
        <v>22884</v>
      </c>
      <c r="AI134" s="353">
        <v>33121</v>
      </c>
      <c r="AJ134" s="367">
        <v>56257</v>
      </c>
      <c r="AK134" s="283">
        <v>33266</v>
      </c>
      <c r="AL134" s="283">
        <v>28831</v>
      </c>
      <c r="AM134" s="283" t="s">
        <v>1777</v>
      </c>
      <c r="AN134" s="283">
        <v>12900</v>
      </c>
      <c r="AO134" s="283" t="s">
        <v>1778</v>
      </c>
      <c r="AP134" s="283">
        <v>30825</v>
      </c>
      <c r="AQ134" s="283" t="s">
        <v>1779</v>
      </c>
      <c r="AR134" s="283">
        <v>26631</v>
      </c>
      <c r="AS134" s="283">
        <v>25176</v>
      </c>
      <c r="AT134" s="283">
        <v>43618</v>
      </c>
      <c r="AU134" s="283">
        <v>5600</v>
      </c>
      <c r="AV134" s="283">
        <v>28365</v>
      </c>
      <c r="AW134" s="283">
        <f t="shared" si="18"/>
        <v>23318.8333333333</v>
      </c>
      <c r="AX134" s="283">
        <v>12900</v>
      </c>
      <c r="AY134" s="283">
        <v>20500</v>
      </c>
      <c r="AZ134" s="283">
        <v>22800</v>
      </c>
      <c r="BA134" s="283">
        <v>23400</v>
      </c>
      <c r="BB134" s="283">
        <v>27800</v>
      </c>
      <c r="BC134" s="283">
        <v>32600</v>
      </c>
      <c r="BD134" s="283">
        <v>27500</v>
      </c>
      <c r="BE134" s="283">
        <v>26800</v>
      </c>
      <c r="BF134" s="283">
        <v>18900</v>
      </c>
      <c r="BG134" s="283">
        <v>17600</v>
      </c>
      <c r="BH134" s="283">
        <v>21900</v>
      </c>
      <c r="BI134" s="283" t="e">
        <f>VLOOKUP(D134,Mid!$A$2:$C$225,3,FALSE)</f>
        <v>#N/A</v>
      </c>
      <c r="BJ134" s="283">
        <v>11900</v>
      </c>
      <c r="BK134" s="283">
        <v>18600</v>
      </c>
      <c r="BL134" s="283">
        <v>7400</v>
      </c>
      <c r="BM134" s="283">
        <v>40000</v>
      </c>
      <c r="BN134" s="283">
        <v>17400</v>
      </c>
      <c r="BO134" s="283">
        <v>16900</v>
      </c>
      <c r="BP134" s="283">
        <v>29200</v>
      </c>
      <c r="BQ134" s="283">
        <v>15600</v>
      </c>
      <c r="BR134" s="283">
        <v>47800</v>
      </c>
      <c r="BS134" s="283">
        <v>26200</v>
      </c>
      <c r="BT134" s="283">
        <v>11000</v>
      </c>
      <c r="BU134" s="283">
        <v>9600</v>
      </c>
      <c r="BV134" s="283">
        <v>16100</v>
      </c>
      <c r="BW134" s="283">
        <v>26000</v>
      </c>
      <c r="BX134" s="283">
        <v>18500</v>
      </c>
      <c r="BY134" s="283">
        <v>14400</v>
      </c>
      <c r="BZ134" s="283">
        <v>20648</v>
      </c>
      <c r="CA134" s="283">
        <v>17900</v>
      </c>
      <c r="CB134" s="283">
        <v>29816</v>
      </c>
      <c r="CC134" s="283">
        <v>40000</v>
      </c>
      <c r="CD134" s="283">
        <v>9600</v>
      </c>
      <c r="CE134" s="283">
        <v>23000</v>
      </c>
      <c r="CF134" s="283">
        <v>8958.6</v>
      </c>
      <c r="CG134" s="283">
        <v>29816.48</v>
      </c>
      <c r="CH134" s="283">
        <v>27000</v>
      </c>
      <c r="CI134" s="283">
        <v>52784</v>
      </c>
      <c r="CJ134" s="283">
        <v>11200</v>
      </c>
      <c r="CK134" s="283">
        <f t="shared" si="19"/>
        <v>27694.6666666667</v>
      </c>
      <c r="CL134" s="370"/>
      <c r="CM134" s="371">
        <f>Summary!$D$9</f>
        <v>657757.072666666</v>
      </c>
      <c r="CN134" s="258">
        <f t="shared" si="16"/>
        <v>0</v>
      </c>
    </row>
    <row r="135" ht="15.6" spans="1:92">
      <c r="A135" s="258" t="s">
        <v>1761</v>
      </c>
      <c r="B135" s="258" t="s">
        <v>694</v>
      </c>
      <c r="C135" s="258" t="s">
        <v>230</v>
      </c>
      <c r="D135" s="258" t="s">
        <v>287</v>
      </c>
      <c r="E135" s="258" t="s">
        <v>233</v>
      </c>
      <c r="F135" s="260" t="s">
        <v>49</v>
      </c>
      <c r="G135" s="343"/>
      <c r="H135" s="283">
        <f>(AW135+CK135)/2</f>
        <v>33433.1433333333</v>
      </c>
      <c r="I135" s="386"/>
      <c r="J135" s="351"/>
      <c r="K135" s="351"/>
      <c r="L135" s="351"/>
      <c r="M135" s="351"/>
      <c r="N135" s="352"/>
      <c r="O135" s="353"/>
      <c r="P135" s="353"/>
      <c r="Q135" s="353"/>
      <c r="R135" s="353"/>
      <c r="S135" s="353"/>
      <c r="T135" s="353"/>
      <c r="U135" s="353"/>
      <c r="V135" s="353"/>
      <c r="W135" s="353"/>
      <c r="X135" s="353"/>
      <c r="Y135" s="353"/>
      <c r="Z135" s="353"/>
      <c r="AA135" s="353"/>
      <c r="AB135" s="353"/>
      <c r="AC135" s="353"/>
      <c r="AD135" s="353"/>
      <c r="AE135" s="353"/>
      <c r="AF135" s="353"/>
      <c r="AG135" s="353"/>
      <c r="AH135" s="353"/>
      <c r="AI135" s="353">
        <v>39563</v>
      </c>
      <c r="AJ135" s="353">
        <v>35220</v>
      </c>
      <c r="AK135" s="283">
        <v>48455</v>
      </c>
      <c r="AL135" s="283">
        <v>60340</v>
      </c>
      <c r="AM135" s="283" t="s">
        <v>1780</v>
      </c>
      <c r="AN135" s="283" t="s">
        <v>1781</v>
      </c>
      <c r="AO135" s="283" t="s">
        <v>1782</v>
      </c>
      <c r="AP135" s="283">
        <v>51540</v>
      </c>
      <c r="AQ135" s="283" t="s">
        <v>1783</v>
      </c>
      <c r="AR135" s="283">
        <f>109574*0.1592*2</f>
        <v>34888.3616</v>
      </c>
      <c r="AS135" s="283" t="s">
        <v>1784</v>
      </c>
      <c r="AT135" s="283" t="s">
        <v>1785</v>
      </c>
      <c r="AU135" s="283" t="s">
        <v>1786</v>
      </c>
      <c r="AV135" s="283" t="s">
        <v>1787</v>
      </c>
      <c r="AW135" s="283">
        <f t="shared" si="18"/>
        <v>54788.8333333333</v>
      </c>
      <c r="AX135" s="283"/>
      <c r="AY135" s="283"/>
      <c r="AZ135" s="283"/>
      <c r="BA135" s="283"/>
      <c r="BB135" s="283"/>
      <c r="BC135" s="283"/>
      <c r="BD135" s="283"/>
      <c r="BE135" s="283"/>
      <c r="BF135" s="283"/>
      <c r="BG135" s="283"/>
      <c r="BH135" s="283"/>
      <c r="BI135" s="283"/>
      <c r="BJ135" s="283"/>
      <c r="BK135" s="283"/>
      <c r="BL135" s="283"/>
      <c r="BM135" s="283"/>
      <c r="BN135" s="283"/>
      <c r="BO135" s="283"/>
      <c r="BP135" s="283"/>
      <c r="BQ135" s="283"/>
      <c r="BR135" s="283"/>
      <c r="BS135" s="283"/>
      <c r="BT135" s="283"/>
      <c r="BU135" s="283"/>
      <c r="BV135" s="283"/>
      <c r="BW135" s="283">
        <v>23000</v>
      </c>
      <c r="BX135" s="283">
        <v>8500</v>
      </c>
      <c r="BY135" s="283">
        <v>8500</v>
      </c>
      <c r="BZ135" s="283">
        <v>14300</v>
      </c>
      <c r="CA135" s="283">
        <v>31700</v>
      </c>
      <c r="CB135" s="283">
        <v>23200</v>
      </c>
      <c r="CC135" s="283">
        <v>24300</v>
      </c>
      <c r="CD135" s="283">
        <v>16000</v>
      </c>
      <c r="CE135" s="283">
        <v>23100</v>
      </c>
      <c r="CF135" s="283">
        <v>17900</v>
      </c>
      <c r="CG135" s="283">
        <v>16000</v>
      </c>
      <c r="CH135" s="283">
        <v>13400</v>
      </c>
      <c r="CI135" s="283">
        <v>15098.16</v>
      </c>
      <c r="CJ135" s="283">
        <v>9622.8</v>
      </c>
      <c r="CK135" s="283">
        <f t="shared" si="19"/>
        <v>12077.4533333333</v>
      </c>
      <c r="CL135" s="370"/>
      <c r="CM135" s="371">
        <f>Summary!$D$9</f>
        <v>657757.072666666</v>
      </c>
      <c r="CN135" s="258">
        <f t="shared" si="16"/>
        <v>1</v>
      </c>
    </row>
    <row r="136" ht="109.2" spans="1:92">
      <c r="A136" s="258" t="s">
        <v>1761</v>
      </c>
      <c r="B136" s="258" t="s">
        <v>694</v>
      </c>
      <c r="C136" s="258" t="s">
        <v>230</v>
      </c>
      <c r="D136" s="258" t="s">
        <v>286</v>
      </c>
      <c r="E136" s="258" t="s">
        <v>233</v>
      </c>
      <c r="F136" s="260" t="s">
        <v>234</v>
      </c>
      <c r="G136" s="343"/>
      <c r="H136" s="283">
        <f>(AW136+CK136)/2</f>
        <v>62035.7166666667</v>
      </c>
      <c r="I136" s="292" t="s">
        <v>705</v>
      </c>
      <c r="J136" s="351"/>
      <c r="K136" s="351"/>
      <c r="L136" s="351"/>
      <c r="M136" s="351"/>
      <c r="N136" s="352"/>
      <c r="O136" s="353"/>
      <c r="P136" s="353"/>
      <c r="Q136" s="353"/>
      <c r="R136" s="353"/>
      <c r="S136" s="353"/>
      <c r="T136" s="353"/>
      <c r="U136" s="353"/>
      <c r="V136" s="353"/>
      <c r="W136" s="353"/>
      <c r="X136" s="353"/>
      <c r="Y136" s="353"/>
      <c r="Z136" s="353"/>
      <c r="AA136" s="353"/>
      <c r="AB136" s="353"/>
      <c r="AC136" s="353"/>
      <c r="AD136" s="353"/>
      <c r="AE136" s="353"/>
      <c r="AF136" s="353"/>
      <c r="AG136" s="353"/>
      <c r="AH136" s="353"/>
      <c r="AI136" s="353">
        <v>33500</v>
      </c>
      <c r="AJ136" s="353">
        <v>34471</v>
      </c>
      <c r="AK136" s="283">
        <v>59362</v>
      </c>
      <c r="AL136" s="283">
        <v>47881</v>
      </c>
      <c r="AM136" s="283" t="s">
        <v>1788</v>
      </c>
      <c r="AN136" s="283" t="s">
        <v>1789</v>
      </c>
      <c r="AO136" s="283" t="s">
        <v>1790</v>
      </c>
      <c r="AP136" s="283">
        <f>41351*0.2623*2</f>
        <v>21692.7346</v>
      </c>
      <c r="AQ136" s="283" t="s">
        <v>1791</v>
      </c>
      <c r="AR136" s="283" t="s">
        <v>1792</v>
      </c>
      <c r="AS136" s="283" t="s">
        <v>1793</v>
      </c>
      <c r="AT136" s="283" t="s">
        <v>1794</v>
      </c>
      <c r="AU136" s="283" t="s">
        <v>1795</v>
      </c>
      <c r="AV136" s="283" t="s">
        <v>1796</v>
      </c>
      <c r="AW136" s="283">
        <f t="shared" si="18"/>
        <v>51933.8333333333</v>
      </c>
      <c r="AX136" s="283"/>
      <c r="AY136" s="283"/>
      <c r="AZ136" s="283"/>
      <c r="BA136" s="283"/>
      <c r="BB136" s="283"/>
      <c r="BC136" s="283"/>
      <c r="BD136" s="283"/>
      <c r="BE136" s="283"/>
      <c r="BF136" s="283"/>
      <c r="BG136" s="283"/>
      <c r="BH136" s="283"/>
      <c r="BI136" s="283"/>
      <c r="BJ136" s="283"/>
      <c r="BK136" s="283"/>
      <c r="BL136" s="283"/>
      <c r="BM136" s="283"/>
      <c r="BN136" s="283"/>
      <c r="BO136" s="283"/>
      <c r="BP136" s="283"/>
      <c r="BQ136" s="283"/>
      <c r="BR136" s="283"/>
      <c r="BS136" s="283"/>
      <c r="BT136" s="283"/>
      <c r="BU136" s="283"/>
      <c r="BV136" s="283">
        <v>57300</v>
      </c>
      <c r="BW136" s="283">
        <v>695000</v>
      </c>
      <c r="BX136" s="283">
        <f>604300*0.03</f>
        <v>18129</v>
      </c>
      <c r="BY136" s="283">
        <f>600000*0.03</f>
        <v>18000</v>
      </c>
      <c r="BZ136" s="283">
        <f>526000*0.03</f>
        <v>15780</v>
      </c>
      <c r="CA136" s="283">
        <f>948400*0.3945*2*0.03</f>
        <v>22448.628</v>
      </c>
      <c r="CB136" s="283">
        <f>751700*0.03</f>
        <v>22551</v>
      </c>
      <c r="CC136" s="283">
        <f>801800*0.03</f>
        <v>24054</v>
      </c>
      <c r="CD136" s="283">
        <f>931400*0.03</f>
        <v>27942</v>
      </c>
      <c r="CE136" s="283">
        <f>1300000*0.03*0.3717*2</f>
        <v>28992.6</v>
      </c>
      <c r="CF136" s="283">
        <f>1400000*0.03*0.3978*2</f>
        <v>33415.2</v>
      </c>
      <c r="CG136" s="283">
        <v>39576</v>
      </c>
      <c r="CH136" s="283">
        <v>50385.6</v>
      </c>
      <c r="CI136" s="283">
        <f>0.05*0.3625*2*1800000</f>
        <v>65250</v>
      </c>
      <c r="CJ136" s="283">
        <f>2000000*0.4199*2*0.05</f>
        <v>83980</v>
      </c>
      <c r="CK136" s="283">
        <f t="shared" si="19"/>
        <v>72137.6</v>
      </c>
      <c r="CL136" s="370"/>
      <c r="CM136" s="371">
        <f>Summary!$D$9</f>
        <v>657757.072666666</v>
      </c>
      <c r="CN136" s="258">
        <f t="shared" si="16"/>
        <v>1</v>
      </c>
    </row>
    <row r="137" ht="46.8" spans="1:92">
      <c r="A137" s="258" t="s">
        <v>1761</v>
      </c>
      <c r="B137" s="258" t="s">
        <v>694</v>
      </c>
      <c r="C137" s="258" t="s">
        <v>230</v>
      </c>
      <c r="D137" s="258" t="s">
        <v>459</v>
      </c>
      <c r="E137" s="258" t="s">
        <v>233</v>
      </c>
      <c r="F137" s="260" t="s">
        <v>419</v>
      </c>
      <c r="G137" s="343"/>
      <c r="H137" s="283">
        <f>(AW137+CK137)/2*0.17</f>
        <v>13660.2791666667</v>
      </c>
      <c r="I137" s="292" t="s">
        <v>1180</v>
      </c>
      <c r="J137" s="351"/>
      <c r="K137" s="351"/>
      <c r="L137" s="351"/>
      <c r="M137" s="351"/>
      <c r="N137" s="352"/>
      <c r="O137" s="353"/>
      <c r="P137" s="353"/>
      <c r="Q137" s="353"/>
      <c r="R137" s="353"/>
      <c r="S137" s="353"/>
      <c r="T137" s="353"/>
      <c r="U137" s="353"/>
      <c r="V137" s="353"/>
      <c r="W137" s="353"/>
      <c r="X137" s="353"/>
      <c r="Y137" s="353"/>
      <c r="Z137" s="353"/>
      <c r="AA137" s="353"/>
      <c r="AB137" s="353"/>
      <c r="AC137" s="353"/>
      <c r="AD137" s="353"/>
      <c r="AE137" s="353"/>
      <c r="AF137" s="353"/>
      <c r="AG137" s="353"/>
      <c r="AH137" s="353"/>
      <c r="AI137" s="353">
        <v>177587</v>
      </c>
      <c r="AJ137" s="353">
        <v>122783</v>
      </c>
      <c r="AK137" s="283">
        <v>136385</v>
      </c>
      <c r="AL137" s="283">
        <v>113011</v>
      </c>
      <c r="AM137" s="283" t="s">
        <v>1181</v>
      </c>
      <c r="AN137" s="283" t="s">
        <v>1182</v>
      </c>
      <c r="AO137" s="283" t="s">
        <v>1183</v>
      </c>
      <c r="AP137" s="283">
        <f>155870*0.1948*2</f>
        <v>60726.952</v>
      </c>
      <c r="AQ137" s="283" t="s">
        <v>1184</v>
      </c>
      <c r="AR137" s="283" t="s">
        <v>1185</v>
      </c>
      <c r="AS137" s="283" t="s">
        <v>1186</v>
      </c>
      <c r="AT137" s="283" t="s">
        <v>1187</v>
      </c>
      <c r="AU137" s="283" t="s">
        <v>1188</v>
      </c>
      <c r="AV137" s="283" t="s">
        <v>1189</v>
      </c>
      <c r="AW137" s="283">
        <f t="shared" si="18"/>
        <v>126679.166666667</v>
      </c>
      <c r="AX137" s="283"/>
      <c r="AY137" s="283"/>
      <c r="AZ137" s="283"/>
      <c r="BA137" s="283"/>
      <c r="BB137" s="283"/>
      <c r="BC137" s="283"/>
      <c r="BD137" s="283"/>
      <c r="BE137" s="283"/>
      <c r="BF137" s="283"/>
      <c r="BG137" s="283"/>
      <c r="BH137" s="283"/>
      <c r="BI137" s="283"/>
      <c r="BJ137" s="283"/>
      <c r="BK137" s="283"/>
      <c r="BL137" s="283"/>
      <c r="BM137" s="283"/>
      <c r="BN137" s="283"/>
      <c r="BO137" s="283"/>
      <c r="BP137" s="283"/>
      <c r="BQ137" s="283"/>
      <c r="BR137" s="283"/>
      <c r="BS137" s="283"/>
      <c r="BT137" s="283"/>
      <c r="BU137" s="283"/>
      <c r="BV137" s="283"/>
      <c r="BW137" s="283">
        <v>128000</v>
      </c>
      <c r="BX137" s="283">
        <v>101600</v>
      </c>
      <c r="BY137" s="283">
        <v>101600</v>
      </c>
      <c r="BZ137" s="283">
        <v>93900</v>
      </c>
      <c r="CA137" s="283">
        <v>108100</v>
      </c>
      <c r="CB137" s="283">
        <v>43100</v>
      </c>
      <c r="CC137" s="283">
        <v>27600</v>
      </c>
      <c r="CD137" s="283">
        <v>39400</v>
      </c>
      <c r="CE137" s="283">
        <v>51000</v>
      </c>
      <c r="CF137" s="283">
        <v>11100</v>
      </c>
      <c r="CG137" s="283">
        <v>51800</v>
      </c>
      <c r="CH137" s="283">
        <v>55100</v>
      </c>
      <c r="CI137" s="283">
        <v>28100</v>
      </c>
      <c r="CJ137" s="283">
        <v>30960</v>
      </c>
      <c r="CK137" s="283">
        <f t="shared" si="19"/>
        <v>34030</v>
      </c>
      <c r="CL137" s="370"/>
      <c r="CM137" s="371">
        <f>Summary!$D$9</f>
        <v>657757.072666666</v>
      </c>
      <c r="CN137" s="258">
        <f t="shared" si="16"/>
        <v>0</v>
      </c>
    </row>
    <row r="138" ht="124.8" spans="1:92">
      <c r="A138" s="258" t="s">
        <v>1761</v>
      </c>
      <c r="B138" s="258" t="s">
        <v>694</v>
      </c>
      <c r="C138" s="258" t="s">
        <v>230</v>
      </c>
      <c r="D138" s="380" t="s">
        <v>1797</v>
      </c>
      <c r="E138" s="258" t="s">
        <v>233</v>
      </c>
      <c r="F138" s="260" t="s">
        <v>234</v>
      </c>
      <c r="G138" s="343"/>
      <c r="H138" s="283">
        <f>(AW138+CK138)/2*0.01</f>
        <v>339.301036666667</v>
      </c>
      <c r="I138" s="292" t="s">
        <v>1798</v>
      </c>
      <c r="J138" s="351"/>
      <c r="K138" s="351"/>
      <c r="L138" s="351"/>
      <c r="M138" s="351"/>
      <c r="N138" s="352"/>
      <c r="O138" s="353"/>
      <c r="P138" s="353"/>
      <c r="Q138" s="353"/>
      <c r="R138" s="353"/>
      <c r="S138" s="353"/>
      <c r="T138" s="353"/>
      <c r="U138" s="353"/>
      <c r="V138" s="353"/>
      <c r="W138" s="353"/>
      <c r="X138" s="353"/>
      <c r="Y138" s="353"/>
      <c r="Z138" s="353"/>
      <c r="AA138" s="353"/>
      <c r="AB138" s="353"/>
      <c r="AC138" s="353"/>
      <c r="AD138" s="353"/>
      <c r="AE138" s="353"/>
      <c r="AF138" s="353"/>
      <c r="AG138" s="353"/>
      <c r="AH138" s="353"/>
      <c r="AI138" s="353">
        <v>0</v>
      </c>
      <c r="AJ138" s="353">
        <v>0</v>
      </c>
      <c r="AK138" s="283" t="s">
        <v>796</v>
      </c>
      <c r="AL138" s="283">
        <f>64445*0.037*2</f>
        <v>4768.93</v>
      </c>
      <c r="AM138" s="283">
        <f>66095*0.0727*2</f>
        <v>9610.213</v>
      </c>
      <c r="AN138" s="283">
        <f>57489*0.0477*2</f>
        <v>5484.4506</v>
      </c>
      <c r="AO138" s="283" t="s">
        <v>1799</v>
      </c>
      <c r="AP138" s="283">
        <f>60708*0.0799*2</f>
        <v>9701.1384</v>
      </c>
      <c r="AQ138" s="283">
        <f>61641*0.0294*2</f>
        <v>3624.4908</v>
      </c>
      <c r="AR138" s="283">
        <f>64694*0.0347*2</f>
        <v>4489.7636</v>
      </c>
      <c r="AS138" s="283">
        <f>55277*0.0346*2</f>
        <v>3825.1684</v>
      </c>
      <c r="AT138" s="283" t="s">
        <v>1800</v>
      </c>
      <c r="AU138" s="283" t="s">
        <v>1801</v>
      </c>
      <c r="AV138" s="283" t="s">
        <v>1802</v>
      </c>
      <c r="AW138" s="283">
        <f t="shared" si="18"/>
        <v>64378.8333333333</v>
      </c>
      <c r="AX138" s="283"/>
      <c r="AY138" s="283"/>
      <c r="AZ138" s="283"/>
      <c r="BA138" s="283"/>
      <c r="BB138" s="283"/>
      <c r="BC138" s="283"/>
      <c r="BD138" s="283"/>
      <c r="BE138" s="283"/>
      <c r="BF138" s="283"/>
      <c r="BG138" s="283"/>
      <c r="BH138" s="283"/>
      <c r="BI138" s="283"/>
      <c r="BJ138" s="283"/>
      <c r="BK138" s="283"/>
      <c r="BL138" s="283"/>
      <c r="BM138" s="283"/>
      <c r="BN138" s="283"/>
      <c r="BO138" s="283"/>
      <c r="BP138" s="283"/>
      <c r="BQ138" s="283"/>
      <c r="BR138" s="283"/>
      <c r="BS138" s="283"/>
      <c r="BT138" s="283"/>
      <c r="BU138" s="283"/>
      <c r="BV138" s="283"/>
      <c r="BW138" s="283">
        <v>100000</v>
      </c>
      <c r="BX138" s="283">
        <v>20276.9230769231</v>
      </c>
      <c r="BY138" s="283">
        <v>15538.4615384615</v>
      </c>
      <c r="BZ138" s="283">
        <v>11307.6923076923</v>
      </c>
      <c r="CA138" s="283">
        <v>0</v>
      </c>
      <c r="CB138" s="283">
        <v>0</v>
      </c>
      <c r="CC138" s="283">
        <v>7100</v>
      </c>
      <c r="CD138" s="283">
        <f>74000*0.15</f>
        <v>11100</v>
      </c>
      <c r="CE138" s="283">
        <f>87200*0.15</f>
        <v>13080</v>
      </c>
      <c r="CF138" s="283">
        <v>10100</v>
      </c>
      <c r="CG138" s="283">
        <v>13600</v>
      </c>
      <c r="CH138" s="283">
        <v>15600</v>
      </c>
      <c r="CI138" s="283">
        <f>132300*0.3414*2*0.01</f>
        <v>903.3444</v>
      </c>
      <c r="CJ138" s="283">
        <f>137600*0.4217*2*0.01</f>
        <v>1160.5184</v>
      </c>
      <c r="CK138" s="283">
        <f t="shared" si="19"/>
        <v>3481.374</v>
      </c>
      <c r="CL138" s="370"/>
      <c r="CM138" s="371">
        <f>Summary!$D$9</f>
        <v>657757.072666666</v>
      </c>
      <c r="CN138" s="258">
        <f t="shared" si="16"/>
        <v>0</v>
      </c>
    </row>
    <row r="139" ht="15.6" spans="1:92">
      <c r="A139" s="258" t="s">
        <v>1761</v>
      </c>
      <c r="B139" s="258" t="s">
        <v>694</v>
      </c>
      <c r="C139" s="258"/>
      <c r="D139" s="258" t="s">
        <v>1803</v>
      </c>
      <c r="E139" s="258"/>
      <c r="F139" s="260" t="s">
        <v>421</v>
      </c>
      <c r="G139" s="343"/>
      <c r="H139" s="283">
        <f t="shared" ref="H139:H146" si="20">(AW139+CK139)/2</f>
        <v>29173.9166666667</v>
      </c>
      <c r="I139" s="386"/>
      <c r="J139" s="351"/>
      <c r="K139" s="351"/>
      <c r="L139" s="351"/>
      <c r="M139" s="351"/>
      <c r="N139" s="352"/>
      <c r="O139" s="353"/>
      <c r="P139" s="353"/>
      <c r="Q139" s="353"/>
      <c r="R139" s="353"/>
      <c r="S139" s="353"/>
      <c r="T139" s="353"/>
      <c r="U139" s="353"/>
      <c r="V139" s="353"/>
      <c r="W139" s="353"/>
      <c r="X139" s="353"/>
      <c r="Y139" s="353"/>
      <c r="Z139" s="353"/>
      <c r="AA139" s="353"/>
      <c r="AB139" s="353"/>
      <c r="AC139" s="353"/>
      <c r="AD139" s="353"/>
      <c r="AE139" s="353"/>
      <c r="AF139" s="353"/>
      <c r="AG139" s="353"/>
      <c r="AH139" s="353"/>
      <c r="AI139" s="353">
        <v>14185</v>
      </c>
      <c r="AJ139" s="353">
        <v>12411</v>
      </c>
      <c r="AK139" s="283">
        <v>13513</v>
      </c>
      <c r="AL139" s="283">
        <v>17989</v>
      </c>
      <c r="AM139" s="283" t="s">
        <v>1804</v>
      </c>
      <c r="AN139" s="283" t="s">
        <v>1805</v>
      </c>
      <c r="AO139" s="283" t="s">
        <v>1806</v>
      </c>
      <c r="AP139" s="283">
        <v>22842</v>
      </c>
      <c r="AQ139" s="283" t="s">
        <v>1807</v>
      </c>
      <c r="AR139" s="283" t="s">
        <v>1808</v>
      </c>
      <c r="AS139" s="283" t="s">
        <v>1809</v>
      </c>
      <c r="AT139" s="283" t="s">
        <v>1810</v>
      </c>
      <c r="AU139" s="283" t="s">
        <v>1811</v>
      </c>
      <c r="AV139" s="283" t="s">
        <v>1812</v>
      </c>
      <c r="AW139" s="283">
        <f t="shared" si="18"/>
        <v>17931.1666666667</v>
      </c>
      <c r="AX139" s="283"/>
      <c r="AY139" s="283"/>
      <c r="AZ139" s="283"/>
      <c r="BA139" s="283"/>
      <c r="BB139" s="283"/>
      <c r="BC139" s="283"/>
      <c r="BD139" s="283"/>
      <c r="BE139" s="283"/>
      <c r="BF139" s="283"/>
      <c r="BG139" s="283"/>
      <c r="BH139" s="283"/>
      <c r="BI139" s="283"/>
      <c r="BJ139" s="283"/>
      <c r="BK139" s="283"/>
      <c r="BL139" s="283"/>
      <c r="BM139" s="283"/>
      <c r="BN139" s="283"/>
      <c r="BO139" s="283"/>
      <c r="BP139" s="283"/>
      <c r="BQ139" s="283"/>
      <c r="BR139" s="283"/>
      <c r="BS139" s="283"/>
      <c r="BT139" s="283"/>
      <c r="BU139" s="283"/>
      <c r="BV139" s="283"/>
      <c r="BW139" s="283">
        <v>4740</v>
      </c>
      <c r="BX139" s="283">
        <v>6800</v>
      </c>
      <c r="BY139" s="283">
        <v>6800</v>
      </c>
      <c r="BZ139" s="283">
        <v>4000</v>
      </c>
      <c r="CA139" s="283">
        <v>39800</v>
      </c>
      <c r="CB139" s="283">
        <v>12000</v>
      </c>
      <c r="CC139" s="283">
        <v>5700</v>
      </c>
      <c r="CD139" s="283">
        <v>3900</v>
      </c>
      <c r="CE139" s="283">
        <v>3900</v>
      </c>
      <c r="CF139" s="283">
        <v>3800</v>
      </c>
      <c r="CG139" s="283">
        <v>6135.88</v>
      </c>
      <c r="CH139" s="283">
        <v>2700</v>
      </c>
      <c r="CI139" s="283">
        <v>48500</v>
      </c>
      <c r="CJ139" s="283">
        <v>47600</v>
      </c>
      <c r="CK139" s="283">
        <f t="shared" si="19"/>
        <v>40416.6666666667</v>
      </c>
      <c r="CL139" s="370"/>
      <c r="CM139" s="371">
        <f>Summary!$D$9</f>
        <v>657757.072666666</v>
      </c>
      <c r="CN139" s="258">
        <f t="shared" si="16"/>
        <v>0</v>
      </c>
    </row>
    <row r="140" ht="15.6" spans="1:92">
      <c r="A140" s="258" t="s">
        <v>1761</v>
      </c>
      <c r="B140" s="258" t="s">
        <v>694</v>
      </c>
      <c r="C140" s="258"/>
      <c r="D140" s="258" t="s">
        <v>1813</v>
      </c>
      <c r="E140" s="258"/>
      <c r="F140" s="260" t="s">
        <v>266</v>
      </c>
      <c r="G140" s="343"/>
      <c r="H140" s="283">
        <f t="shared" si="20"/>
        <v>16441.6666666666</v>
      </c>
      <c r="I140" s="386"/>
      <c r="J140" s="351"/>
      <c r="K140" s="351"/>
      <c r="L140" s="351"/>
      <c r="M140" s="351"/>
      <c r="N140" s="352"/>
      <c r="O140" s="353"/>
      <c r="P140" s="353"/>
      <c r="Q140" s="353"/>
      <c r="R140" s="353"/>
      <c r="S140" s="353"/>
      <c r="T140" s="353"/>
      <c r="U140" s="353"/>
      <c r="V140" s="353"/>
      <c r="W140" s="353"/>
      <c r="X140" s="353"/>
      <c r="Y140" s="353"/>
      <c r="Z140" s="353"/>
      <c r="AA140" s="353"/>
      <c r="AB140" s="353"/>
      <c r="AC140" s="353"/>
      <c r="AD140" s="353"/>
      <c r="AE140" s="353"/>
      <c r="AF140" s="353"/>
      <c r="AG140" s="353"/>
      <c r="AH140" s="353"/>
      <c r="AI140" s="353">
        <v>17688</v>
      </c>
      <c r="AJ140" s="353">
        <v>9556</v>
      </c>
      <c r="AK140" s="283">
        <v>15905</v>
      </c>
      <c r="AL140" s="283">
        <v>17623</v>
      </c>
      <c r="AM140" s="283" t="s">
        <v>1814</v>
      </c>
      <c r="AN140" s="283" t="s">
        <v>1815</v>
      </c>
      <c r="AO140" s="283" t="s">
        <v>1816</v>
      </c>
      <c r="AP140" s="283">
        <f>26243*0.2789*2</f>
        <v>14638.3454</v>
      </c>
      <c r="AQ140" s="283" t="s">
        <v>1817</v>
      </c>
      <c r="AR140" s="283" t="s">
        <v>1818</v>
      </c>
      <c r="AS140" s="283" t="s">
        <v>1819</v>
      </c>
      <c r="AT140" s="283" t="s">
        <v>1820</v>
      </c>
      <c r="AU140" s="283" t="s">
        <v>1821</v>
      </c>
      <c r="AV140" s="283" t="s">
        <v>1822</v>
      </c>
      <c r="AW140" s="283">
        <f t="shared" si="18"/>
        <v>22750</v>
      </c>
      <c r="AX140" s="283"/>
      <c r="AY140" s="283"/>
      <c r="AZ140" s="283"/>
      <c r="BA140" s="283"/>
      <c r="BB140" s="283"/>
      <c r="BC140" s="283"/>
      <c r="BD140" s="283"/>
      <c r="BE140" s="283"/>
      <c r="BF140" s="283"/>
      <c r="BG140" s="283"/>
      <c r="BH140" s="283"/>
      <c r="BI140" s="283"/>
      <c r="BJ140" s="283"/>
      <c r="BK140" s="283"/>
      <c r="BL140" s="283"/>
      <c r="BM140" s="283"/>
      <c r="BN140" s="283"/>
      <c r="BO140" s="283"/>
      <c r="BP140" s="283"/>
      <c r="BQ140" s="283"/>
      <c r="BR140" s="283"/>
      <c r="BS140" s="283"/>
      <c r="BT140" s="283"/>
      <c r="BU140" s="283"/>
      <c r="BV140" s="283"/>
      <c r="BW140" s="283">
        <v>3313</v>
      </c>
      <c r="BX140" s="283">
        <v>4500</v>
      </c>
      <c r="BY140" s="283">
        <v>4500</v>
      </c>
      <c r="BZ140" s="283">
        <v>21480</v>
      </c>
      <c r="CA140" s="283">
        <v>46353.6</v>
      </c>
      <c r="CB140" s="283">
        <v>13700</v>
      </c>
      <c r="CC140" s="283">
        <v>19100</v>
      </c>
      <c r="CD140" s="283">
        <v>8300</v>
      </c>
      <c r="CE140" s="283">
        <v>8300</v>
      </c>
      <c r="CF140" s="283">
        <v>23300</v>
      </c>
      <c r="CG140" s="283">
        <v>25871.36</v>
      </c>
      <c r="CH140" s="283">
        <v>18200</v>
      </c>
      <c r="CI140" s="283">
        <v>8700</v>
      </c>
      <c r="CJ140" s="283">
        <v>8400</v>
      </c>
      <c r="CK140" s="283">
        <f t="shared" si="19"/>
        <v>10133.3333333333</v>
      </c>
      <c r="CL140" s="370"/>
      <c r="CM140" s="371">
        <f>Summary!$D$9</f>
        <v>657757.072666666</v>
      </c>
      <c r="CN140" s="258">
        <f t="shared" si="16"/>
        <v>0</v>
      </c>
    </row>
    <row r="141" ht="15.6" spans="1:92">
      <c r="A141" s="258" t="s">
        <v>1761</v>
      </c>
      <c r="B141" s="258" t="s">
        <v>694</v>
      </c>
      <c r="C141" s="258" t="s">
        <v>243</v>
      </c>
      <c r="D141" s="258" t="s">
        <v>1823</v>
      </c>
      <c r="E141" s="258" t="s">
        <v>441</v>
      </c>
      <c r="F141" s="260" t="s">
        <v>417</v>
      </c>
      <c r="G141" s="343"/>
      <c r="H141" s="283">
        <f t="shared" si="20"/>
        <v>1608.41666666667</v>
      </c>
      <c r="I141" s="374" t="s">
        <v>1824</v>
      </c>
      <c r="J141" s="351">
        <v>1444</v>
      </c>
      <c r="K141" s="351">
        <v>0</v>
      </c>
      <c r="L141" s="351">
        <v>989</v>
      </c>
      <c r="M141" s="351">
        <v>265</v>
      </c>
      <c r="N141" s="352">
        <v>2949</v>
      </c>
      <c r="O141" s="353">
        <v>558</v>
      </c>
      <c r="P141" s="353">
        <v>766</v>
      </c>
      <c r="Q141" s="353">
        <v>896</v>
      </c>
      <c r="R141" s="353">
        <v>452</v>
      </c>
      <c r="S141" s="353">
        <v>833</v>
      </c>
      <c r="T141" s="353">
        <v>1044</v>
      </c>
      <c r="U141" s="353" t="e">
        <f>VLOOKUP(D141,Mid!$A$2:$C$225,2,FALSE)</f>
        <v>#N/A</v>
      </c>
      <c r="V141" s="353">
        <v>786</v>
      </c>
      <c r="W141" s="353">
        <v>0</v>
      </c>
      <c r="X141" s="353">
        <v>2107</v>
      </c>
      <c r="Y141" s="353">
        <v>1875</v>
      </c>
      <c r="Z141" s="353">
        <v>1608</v>
      </c>
      <c r="AA141" s="353">
        <v>254</v>
      </c>
      <c r="AB141" s="353">
        <v>0</v>
      </c>
      <c r="AC141" s="353">
        <v>318</v>
      </c>
      <c r="AD141" s="353">
        <v>0</v>
      </c>
      <c r="AE141" s="353">
        <v>2591</v>
      </c>
      <c r="AF141" s="353">
        <v>1596</v>
      </c>
      <c r="AG141" s="353">
        <v>0</v>
      </c>
      <c r="AH141" s="353">
        <v>1510</v>
      </c>
      <c r="AI141" s="353">
        <v>1088</v>
      </c>
      <c r="AJ141" s="367">
        <v>2407</v>
      </c>
      <c r="AK141" s="283" t="s">
        <v>1628</v>
      </c>
      <c r="AL141" s="283">
        <v>0</v>
      </c>
      <c r="AM141" s="283" t="s">
        <v>796</v>
      </c>
      <c r="AN141" s="283" t="s">
        <v>796</v>
      </c>
      <c r="AO141" s="283" t="s">
        <v>796</v>
      </c>
      <c r="AP141" s="283">
        <v>0</v>
      </c>
      <c r="AQ141" s="283" t="s">
        <v>1825</v>
      </c>
      <c r="AR141" s="283" t="s">
        <v>1826</v>
      </c>
      <c r="AS141" s="283" t="s">
        <v>1827</v>
      </c>
      <c r="AT141" s="283" t="s">
        <v>1828</v>
      </c>
      <c r="AU141" s="283" t="s">
        <v>796</v>
      </c>
      <c r="AV141" s="283" t="s">
        <v>1829</v>
      </c>
      <c r="AW141" s="283">
        <f t="shared" si="18"/>
        <v>3216.83333333333</v>
      </c>
      <c r="AX141" s="283">
        <v>0</v>
      </c>
      <c r="AY141" s="283">
        <v>0</v>
      </c>
      <c r="AZ141" s="283">
        <v>0</v>
      </c>
      <c r="BA141" s="283">
        <v>0</v>
      </c>
      <c r="BB141" s="283">
        <v>0</v>
      </c>
      <c r="BC141" s="283">
        <v>0</v>
      </c>
      <c r="BD141" s="283">
        <v>0</v>
      </c>
      <c r="BE141" s="283">
        <v>0</v>
      </c>
      <c r="BF141" s="283">
        <v>0</v>
      </c>
      <c r="BG141" s="283">
        <v>0</v>
      </c>
      <c r="BH141" s="283">
        <v>0</v>
      </c>
      <c r="BI141" s="283" t="e">
        <f>VLOOKUP(D141,Mid!$A$2:$C$225,3,FALSE)</f>
        <v>#N/A</v>
      </c>
      <c r="BJ141" s="283">
        <v>1400</v>
      </c>
      <c r="BK141" s="283">
        <v>0</v>
      </c>
      <c r="BL141" s="283">
        <v>0</v>
      </c>
      <c r="BM141" s="283">
        <v>0</v>
      </c>
      <c r="BN141" s="283">
        <v>0</v>
      </c>
      <c r="BO141" s="283">
        <v>11</v>
      </c>
      <c r="BP141" s="283">
        <v>0</v>
      </c>
      <c r="BQ141" s="283">
        <v>1600</v>
      </c>
      <c r="BR141" s="283">
        <v>0</v>
      </c>
      <c r="BS141" s="283">
        <v>0</v>
      </c>
      <c r="BT141" s="283">
        <v>3000</v>
      </c>
      <c r="BU141" s="283">
        <v>0</v>
      </c>
      <c r="BV141" s="283">
        <v>1800</v>
      </c>
      <c r="BW141" s="283">
        <v>852</v>
      </c>
      <c r="BX141" s="283">
        <v>0</v>
      </c>
      <c r="BY141" s="283">
        <v>0</v>
      </c>
      <c r="BZ141" s="283">
        <v>284</v>
      </c>
      <c r="CA141" s="283">
        <v>760</v>
      </c>
      <c r="CB141" s="283">
        <v>0</v>
      </c>
      <c r="CC141" s="283">
        <v>0</v>
      </c>
      <c r="CD141" s="283">
        <v>494</v>
      </c>
      <c r="CE141" s="283">
        <v>494</v>
      </c>
      <c r="CF141" s="283">
        <v>418</v>
      </c>
      <c r="CG141" s="283">
        <v>39200</v>
      </c>
      <c r="CH141" s="283">
        <v>0</v>
      </c>
      <c r="CI141" s="283">
        <v>0</v>
      </c>
      <c r="CJ141" s="283">
        <v>0</v>
      </c>
      <c r="CK141" s="283">
        <f t="shared" si="19"/>
        <v>0</v>
      </c>
      <c r="CL141" s="370"/>
      <c r="CM141" s="371">
        <f>Summary!$D$9</f>
        <v>657757.072666666</v>
      </c>
      <c r="CN141" s="258">
        <f t="shared" si="16"/>
        <v>0</v>
      </c>
    </row>
    <row r="142" ht="15.6" spans="1:92">
      <c r="A142" s="258" t="s">
        <v>1761</v>
      </c>
      <c r="B142" s="258" t="s">
        <v>694</v>
      </c>
      <c r="C142" s="258" t="s">
        <v>367</v>
      </c>
      <c r="D142" s="258" t="s">
        <v>1830</v>
      </c>
      <c r="E142" s="258" t="s">
        <v>233</v>
      </c>
      <c r="F142" s="260" t="s">
        <v>49</v>
      </c>
      <c r="G142" s="343"/>
      <c r="H142" s="283">
        <f t="shared" si="20"/>
        <v>0</v>
      </c>
      <c r="I142" s="374" t="s">
        <v>1824</v>
      </c>
      <c r="J142" s="351">
        <v>0</v>
      </c>
      <c r="K142" s="351">
        <v>0</v>
      </c>
      <c r="L142" s="351">
        <v>186</v>
      </c>
      <c r="M142" s="351">
        <v>793</v>
      </c>
      <c r="N142" s="352">
        <v>209</v>
      </c>
      <c r="O142" s="353">
        <v>660</v>
      </c>
      <c r="P142" s="353">
        <v>0</v>
      </c>
      <c r="Q142" s="353">
        <v>8715</v>
      </c>
      <c r="R142" s="353">
        <v>5609</v>
      </c>
      <c r="S142" s="353">
        <v>757</v>
      </c>
      <c r="T142" s="353">
        <v>0</v>
      </c>
      <c r="U142" s="353" t="e">
        <f>VLOOKUP(D142,Mid!$A$2:$C$225,2,FALSE)</f>
        <v>#N/A</v>
      </c>
      <c r="V142" s="353">
        <v>579</v>
      </c>
      <c r="W142" s="353">
        <v>0</v>
      </c>
      <c r="X142" s="353">
        <v>142</v>
      </c>
      <c r="Y142" s="353">
        <v>0</v>
      </c>
      <c r="Z142" s="353">
        <v>12793</v>
      </c>
      <c r="AA142" s="353">
        <v>11247</v>
      </c>
      <c r="AB142" s="353">
        <v>0</v>
      </c>
      <c r="AC142" s="353">
        <v>0</v>
      </c>
      <c r="AD142" s="353">
        <v>991</v>
      </c>
      <c r="AE142" s="353">
        <v>457</v>
      </c>
      <c r="AF142" s="353">
        <v>103</v>
      </c>
      <c r="AG142" s="353">
        <v>0</v>
      </c>
      <c r="AH142" s="353">
        <v>0</v>
      </c>
      <c r="AI142" s="353">
        <v>0</v>
      </c>
      <c r="AJ142" s="353">
        <v>261</v>
      </c>
      <c r="AK142" s="283" t="s">
        <v>796</v>
      </c>
      <c r="AL142" s="283">
        <v>0</v>
      </c>
      <c r="AM142" s="283" t="s">
        <v>796</v>
      </c>
      <c r="AN142" s="283" t="s">
        <v>796</v>
      </c>
      <c r="AO142" s="283" t="s">
        <v>1831</v>
      </c>
      <c r="AP142" s="283">
        <v>0</v>
      </c>
      <c r="AQ142" s="283" t="s">
        <v>796</v>
      </c>
      <c r="AR142" s="283" t="s">
        <v>796</v>
      </c>
      <c r="AS142" s="283" t="s">
        <v>796</v>
      </c>
      <c r="AT142" s="283" t="s">
        <v>796</v>
      </c>
      <c r="AU142" s="283" t="s">
        <v>796</v>
      </c>
      <c r="AV142" s="283" t="s">
        <v>796</v>
      </c>
      <c r="AW142" s="283">
        <f t="shared" si="18"/>
        <v>0</v>
      </c>
      <c r="AX142" s="283">
        <v>1100</v>
      </c>
      <c r="AY142" s="283">
        <v>286</v>
      </c>
      <c r="AZ142" s="283">
        <v>0</v>
      </c>
      <c r="BA142" s="283">
        <v>0</v>
      </c>
      <c r="BB142" s="283">
        <v>1300</v>
      </c>
      <c r="BC142" s="283">
        <v>0</v>
      </c>
      <c r="BD142" s="283">
        <v>0</v>
      </c>
      <c r="BE142" s="283">
        <v>1100</v>
      </c>
      <c r="BF142" s="283">
        <v>3200</v>
      </c>
      <c r="BG142" s="283">
        <v>0</v>
      </c>
      <c r="BH142" s="283">
        <v>0</v>
      </c>
      <c r="BI142" s="283" t="e">
        <f>VLOOKUP(D142,Mid!$A$2:$C$225,3,FALSE)</f>
        <v>#N/A</v>
      </c>
      <c r="BJ142" s="283">
        <v>406</v>
      </c>
      <c r="BK142" s="283">
        <v>0</v>
      </c>
      <c r="BL142" s="283">
        <v>0</v>
      </c>
      <c r="BM142" s="283">
        <v>0</v>
      </c>
      <c r="BN142" s="283">
        <v>0</v>
      </c>
      <c r="BO142" s="283">
        <v>0</v>
      </c>
      <c r="BP142" s="283">
        <v>0</v>
      </c>
      <c r="BQ142" s="283">
        <v>0</v>
      </c>
      <c r="BR142" s="283">
        <v>0</v>
      </c>
      <c r="BS142" s="283">
        <v>0</v>
      </c>
      <c r="BT142" s="283">
        <v>0</v>
      </c>
      <c r="BU142" s="283">
        <v>734</v>
      </c>
      <c r="BV142" s="283">
        <v>867</v>
      </c>
      <c r="BW142" s="283">
        <v>0</v>
      </c>
      <c r="BX142" s="283">
        <v>0</v>
      </c>
      <c r="BY142" s="283">
        <v>0</v>
      </c>
      <c r="BZ142" s="283">
        <v>0</v>
      </c>
      <c r="CA142" s="283">
        <v>213</v>
      </c>
      <c r="CB142" s="283">
        <v>0</v>
      </c>
      <c r="CC142" s="283">
        <v>0</v>
      </c>
      <c r="CD142" s="283">
        <v>0</v>
      </c>
      <c r="CE142" s="283">
        <v>0</v>
      </c>
      <c r="CF142" s="283">
        <v>0</v>
      </c>
      <c r="CG142" s="283">
        <v>0</v>
      </c>
      <c r="CH142" s="283">
        <v>0</v>
      </c>
      <c r="CI142" s="283">
        <v>0</v>
      </c>
      <c r="CJ142" s="283">
        <v>0</v>
      </c>
      <c r="CK142" s="283">
        <f t="shared" si="19"/>
        <v>0</v>
      </c>
      <c r="CL142" s="370"/>
      <c r="CM142" s="371">
        <f>Summary!$D$9</f>
        <v>657757.072666666</v>
      </c>
      <c r="CN142" s="258">
        <f t="shared" si="16"/>
        <v>0</v>
      </c>
    </row>
    <row r="143" ht="15.6" spans="1:92">
      <c r="A143" s="258" t="s">
        <v>1761</v>
      </c>
      <c r="B143" s="258" t="s">
        <v>694</v>
      </c>
      <c r="C143" s="258" t="s">
        <v>230</v>
      </c>
      <c r="D143" s="258" t="s">
        <v>288</v>
      </c>
      <c r="E143" s="258" t="s">
        <v>441</v>
      </c>
      <c r="F143" s="260" t="s">
        <v>421</v>
      </c>
      <c r="G143" s="343"/>
      <c r="H143" s="283">
        <f t="shared" si="20"/>
        <v>27180.5</v>
      </c>
      <c r="I143" s="360" t="s">
        <v>714</v>
      </c>
      <c r="J143" s="357"/>
      <c r="K143" s="357"/>
      <c r="L143" s="357"/>
      <c r="M143" s="357"/>
      <c r="N143" s="358"/>
      <c r="O143" s="359"/>
      <c r="P143" s="359"/>
      <c r="Q143" s="359"/>
      <c r="R143" s="359"/>
      <c r="S143" s="359"/>
      <c r="T143" s="359"/>
      <c r="U143" s="353"/>
      <c r="V143" s="353">
        <v>23096</v>
      </c>
      <c r="W143" s="353">
        <v>22153</v>
      </c>
      <c r="X143" s="353">
        <v>20710</v>
      </c>
      <c r="Y143" s="353">
        <v>24236</v>
      </c>
      <c r="Z143" s="353">
        <v>27377</v>
      </c>
      <c r="AA143" s="353">
        <v>25572</v>
      </c>
      <c r="AB143" s="353">
        <v>45963</v>
      </c>
      <c r="AC143" s="353">
        <v>32762</v>
      </c>
      <c r="AD143" s="353">
        <v>17529</v>
      </c>
      <c r="AE143" s="353">
        <v>33716</v>
      </c>
      <c r="AF143" s="353">
        <v>34081</v>
      </c>
      <c r="AG143" s="353">
        <v>28596</v>
      </c>
      <c r="AH143" s="353">
        <v>33421</v>
      </c>
      <c r="AI143" s="353">
        <v>30948</v>
      </c>
      <c r="AJ143" s="367">
        <v>53362</v>
      </c>
      <c r="AK143" s="283" t="s">
        <v>1832</v>
      </c>
      <c r="AL143" s="283">
        <v>28831</v>
      </c>
      <c r="AM143" s="283" t="s">
        <v>1777</v>
      </c>
      <c r="AN143" s="283" t="s">
        <v>1833</v>
      </c>
      <c r="AO143" s="283" t="s">
        <v>1834</v>
      </c>
      <c r="AP143" s="283">
        <f>58817*0.303*2</f>
        <v>35643.102</v>
      </c>
      <c r="AQ143" s="283" t="s">
        <v>1779</v>
      </c>
      <c r="AR143" s="283" t="s">
        <v>1835</v>
      </c>
      <c r="AS143" s="283" t="s">
        <v>1836</v>
      </c>
      <c r="AT143" s="283" t="s">
        <v>1837</v>
      </c>
      <c r="AU143" s="283" t="s">
        <v>1838</v>
      </c>
      <c r="AV143" s="283" t="s">
        <v>1839</v>
      </c>
      <c r="AW143" s="283">
        <f t="shared" si="18"/>
        <v>40061</v>
      </c>
      <c r="AX143" s="283"/>
      <c r="AY143" s="283"/>
      <c r="AZ143" s="283"/>
      <c r="BA143" s="283"/>
      <c r="BB143" s="283"/>
      <c r="BC143" s="283"/>
      <c r="BD143" s="283"/>
      <c r="BE143" s="283"/>
      <c r="BF143" s="283"/>
      <c r="BG143" s="283"/>
      <c r="BH143" s="283"/>
      <c r="BI143" s="283"/>
      <c r="BJ143" s="283">
        <v>14300</v>
      </c>
      <c r="BK143" s="283">
        <v>14400</v>
      </c>
      <c r="BL143" s="283">
        <v>6700</v>
      </c>
      <c r="BM143" s="283">
        <v>34500</v>
      </c>
      <c r="BN143" s="283">
        <v>16100</v>
      </c>
      <c r="BO143" s="283">
        <v>27300</v>
      </c>
      <c r="BP143" s="283">
        <v>36600</v>
      </c>
      <c r="BQ143" s="283">
        <v>46700</v>
      </c>
      <c r="BR143" s="283">
        <v>62700</v>
      </c>
      <c r="BS143" s="283">
        <v>22800</v>
      </c>
      <c r="BT143" s="283">
        <v>39300</v>
      </c>
      <c r="BU143" s="283">
        <v>34300</v>
      </c>
      <c r="BV143" s="283">
        <v>10400</v>
      </c>
      <c r="BW143" s="283">
        <v>42000</v>
      </c>
      <c r="BX143" s="283">
        <v>20500</v>
      </c>
      <c r="BY143" s="283">
        <v>20500</v>
      </c>
      <c r="BZ143" s="283">
        <v>31350</v>
      </c>
      <c r="CA143" s="283">
        <v>41400</v>
      </c>
      <c r="CB143" s="283">
        <v>29900</v>
      </c>
      <c r="CC143" s="283">
        <v>21700</v>
      </c>
      <c r="CD143" s="283">
        <v>11600</v>
      </c>
      <c r="CE143" s="283">
        <v>12000</v>
      </c>
      <c r="CF143" s="283">
        <v>6100</v>
      </c>
      <c r="CG143" s="283">
        <v>14200</v>
      </c>
      <c r="CH143" s="283">
        <v>6000</v>
      </c>
      <c r="CI143" s="283">
        <v>23100</v>
      </c>
      <c r="CJ143" s="283">
        <v>11200</v>
      </c>
      <c r="CK143" s="283">
        <f t="shared" si="19"/>
        <v>14300</v>
      </c>
      <c r="CL143" s="370"/>
      <c r="CM143" s="371">
        <f>Summary!$D$9</f>
        <v>657757.072666666</v>
      </c>
      <c r="CN143" s="258">
        <f t="shared" si="16"/>
        <v>0</v>
      </c>
    </row>
    <row r="144" ht="15.6" spans="1:92">
      <c r="A144" s="344" t="s">
        <v>168</v>
      </c>
      <c r="B144" s="344" t="s">
        <v>683</v>
      </c>
      <c r="C144" s="344" t="s">
        <v>227</v>
      </c>
      <c r="D144" s="344" t="s">
        <v>169</v>
      </c>
      <c r="E144" s="344" t="s">
        <v>441</v>
      </c>
      <c r="F144" s="344" t="s">
        <v>49</v>
      </c>
      <c r="G144" s="345"/>
      <c r="H144" s="345">
        <f t="shared" si="20"/>
        <v>289409.166666667</v>
      </c>
      <c r="I144" s="374"/>
      <c r="J144" s="351">
        <v>142638</v>
      </c>
      <c r="K144" s="351">
        <v>228525</v>
      </c>
      <c r="L144" s="351">
        <v>183059</v>
      </c>
      <c r="M144" s="351">
        <v>164286</v>
      </c>
      <c r="N144" s="352">
        <v>129090</v>
      </c>
      <c r="O144" s="353">
        <v>126622</v>
      </c>
      <c r="P144" s="353">
        <v>136455</v>
      </c>
      <c r="Q144" s="353">
        <v>198129</v>
      </c>
      <c r="R144" s="353">
        <v>209478</v>
      </c>
      <c r="S144" s="353">
        <v>189451</v>
      </c>
      <c r="T144" s="353">
        <v>199768</v>
      </c>
      <c r="U144" s="353" t="e">
        <f>VLOOKUP(D144,Mid!$A$2:$C$225,2,FALSE)</f>
        <v>#N/A</v>
      </c>
      <c r="V144" s="353">
        <v>257758</v>
      </c>
      <c r="W144" s="353">
        <v>353411</v>
      </c>
      <c r="X144" s="353">
        <v>238921</v>
      </c>
      <c r="Y144" s="353">
        <v>288297</v>
      </c>
      <c r="Z144" s="353">
        <v>233928</v>
      </c>
      <c r="AA144" s="353">
        <v>218472</v>
      </c>
      <c r="AB144" s="353">
        <v>242246</v>
      </c>
      <c r="AC144" s="353">
        <v>251593</v>
      </c>
      <c r="AD144" s="353">
        <v>222930</v>
      </c>
      <c r="AE144" s="353">
        <v>252006</v>
      </c>
      <c r="AF144" s="353">
        <v>215514</v>
      </c>
      <c r="AG144" s="353">
        <v>209750</v>
      </c>
      <c r="AH144" s="353">
        <v>212801</v>
      </c>
      <c r="AI144" s="353">
        <v>300744</v>
      </c>
      <c r="AJ144" s="367">
        <v>278492</v>
      </c>
      <c r="AK144" s="283" t="s">
        <v>1840</v>
      </c>
      <c r="AL144" s="283">
        <v>218157</v>
      </c>
      <c r="AM144" s="283" t="s">
        <v>1841</v>
      </c>
      <c r="AN144" s="283" t="s">
        <v>1842</v>
      </c>
      <c r="AO144" s="283" t="s">
        <v>1843</v>
      </c>
      <c r="AP144" s="283">
        <v>320989</v>
      </c>
      <c r="AQ144" s="283" t="s">
        <v>1844</v>
      </c>
      <c r="AR144" s="283">
        <f>436613*0.3532*2</f>
        <v>308423.4232</v>
      </c>
      <c r="AS144" s="283" t="s">
        <v>1845</v>
      </c>
      <c r="AT144" s="283" t="s">
        <v>1846</v>
      </c>
      <c r="AU144" s="283" t="s">
        <v>1847</v>
      </c>
      <c r="AV144" s="283" t="s">
        <v>1848</v>
      </c>
      <c r="AW144" s="283">
        <f t="shared" si="18"/>
        <v>343751.666666667</v>
      </c>
      <c r="AX144" s="283">
        <v>64000</v>
      </c>
      <c r="AY144" s="283">
        <v>73300</v>
      </c>
      <c r="AZ144" s="283">
        <v>97800</v>
      </c>
      <c r="BA144" s="283">
        <v>100900</v>
      </c>
      <c r="BB144" s="283">
        <v>105100</v>
      </c>
      <c r="BC144" s="283">
        <v>131200</v>
      </c>
      <c r="BD144" s="283">
        <v>157900</v>
      </c>
      <c r="BE144" s="283">
        <v>182600</v>
      </c>
      <c r="BF144" s="283">
        <v>212100</v>
      </c>
      <c r="BG144" s="283">
        <v>151900</v>
      </c>
      <c r="BH144" s="283">
        <v>174800</v>
      </c>
      <c r="BI144" s="283" t="e">
        <f>VLOOKUP(D144,Mid!$A$2:$C$225,3,FALSE)</f>
        <v>#N/A</v>
      </c>
      <c r="BJ144" s="283">
        <v>138900</v>
      </c>
      <c r="BK144" s="283">
        <v>186200</v>
      </c>
      <c r="BL144" s="283">
        <v>146500</v>
      </c>
      <c r="BM144" s="283">
        <v>173000</v>
      </c>
      <c r="BN144" s="283">
        <v>174400</v>
      </c>
      <c r="BO144" s="283">
        <v>116000</v>
      </c>
      <c r="BP144" s="283">
        <v>250700</v>
      </c>
      <c r="BQ144" s="283">
        <v>220000</v>
      </c>
      <c r="BR144" s="283">
        <v>243800</v>
      </c>
      <c r="BS144" s="283">
        <v>269200</v>
      </c>
      <c r="BT144" s="283">
        <v>207500</v>
      </c>
      <c r="BU144" s="283">
        <v>141000</v>
      </c>
      <c r="BV144" s="283">
        <v>202700</v>
      </c>
      <c r="BW144" s="283">
        <v>238900</v>
      </c>
      <c r="BX144" s="283">
        <v>342300</v>
      </c>
      <c r="BY144" s="283">
        <v>342300</v>
      </c>
      <c r="BZ144" s="283">
        <v>252600</v>
      </c>
      <c r="CA144" s="283">
        <v>223400</v>
      </c>
      <c r="CB144" s="283">
        <v>224600</v>
      </c>
      <c r="CC144" s="283">
        <v>273700</v>
      </c>
      <c r="CD144" s="283">
        <v>275400</v>
      </c>
      <c r="CE144" s="283">
        <v>188300</v>
      </c>
      <c r="CF144" s="283">
        <v>241800</v>
      </c>
      <c r="CG144" s="283">
        <v>309876.84</v>
      </c>
      <c r="CH144" s="283">
        <v>246400</v>
      </c>
      <c r="CI144" s="283">
        <v>123000</v>
      </c>
      <c r="CJ144" s="283">
        <v>306000</v>
      </c>
      <c r="CK144" s="283">
        <f t="shared" si="19"/>
        <v>235066.666666667</v>
      </c>
      <c r="CL144" s="370"/>
      <c r="CM144" s="371">
        <f>Summary!$D$11</f>
        <v>495890.9464</v>
      </c>
      <c r="CN144" s="258">
        <f t="shared" si="16"/>
        <v>1</v>
      </c>
    </row>
    <row r="145" ht="15.6" spans="1:92">
      <c r="A145" s="258" t="s">
        <v>168</v>
      </c>
      <c r="B145" s="258" t="s">
        <v>672</v>
      </c>
      <c r="C145" s="258" t="s">
        <v>243</v>
      </c>
      <c r="D145" s="258" t="s">
        <v>597</v>
      </c>
      <c r="E145" s="258" t="s">
        <v>441</v>
      </c>
      <c r="F145" s="260" t="s">
        <v>60</v>
      </c>
      <c r="G145" s="343"/>
      <c r="H145" s="283">
        <f t="shared" si="20"/>
        <v>339344</v>
      </c>
      <c r="I145" s="374" t="s">
        <v>672</v>
      </c>
      <c r="J145" s="351">
        <v>169777</v>
      </c>
      <c r="K145" s="351">
        <v>185676</v>
      </c>
      <c r="L145" s="351">
        <v>183087</v>
      </c>
      <c r="M145" s="351">
        <v>181015</v>
      </c>
      <c r="N145" s="352">
        <v>159540</v>
      </c>
      <c r="O145" s="352">
        <v>191602</v>
      </c>
      <c r="P145" s="352">
        <v>192666</v>
      </c>
      <c r="Q145" s="353">
        <v>190641</v>
      </c>
      <c r="R145" s="353">
        <v>184385</v>
      </c>
      <c r="S145" s="353">
        <v>183447</v>
      </c>
      <c r="T145" s="353">
        <v>215465</v>
      </c>
      <c r="U145" s="353">
        <f>VLOOKUP(D145,Mid!$A$2:$C$225,2,FALSE)</f>
        <v>213919</v>
      </c>
      <c r="V145" s="353">
        <v>193394</v>
      </c>
      <c r="W145" s="353">
        <v>216099</v>
      </c>
      <c r="X145" s="353">
        <v>183260</v>
      </c>
      <c r="Y145" s="353">
        <v>203377</v>
      </c>
      <c r="Z145" s="353">
        <v>174866</v>
      </c>
      <c r="AA145" s="353">
        <v>204169</v>
      </c>
      <c r="AB145" s="353">
        <v>205293</v>
      </c>
      <c r="AC145" s="353">
        <v>209970</v>
      </c>
      <c r="AD145" s="353">
        <v>223050</v>
      </c>
      <c r="AE145" s="353">
        <v>0</v>
      </c>
      <c r="AF145" s="353">
        <v>247360</v>
      </c>
      <c r="AG145" s="353">
        <v>260991</v>
      </c>
      <c r="AH145" s="353">
        <v>277840</v>
      </c>
      <c r="AI145" s="353">
        <v>311549</v>
      </c>
      <c r="AJ145" s="353">
        <v>237212</v>
      </c>
      <c r="AK145" s="283" t="s">
        <v>1849</v>
      </c>
      <c r="AL145" s="283">
        <v>266662</v>
      </c>
      <c r="AM145" s="283" t="s">
        <v>1850</v>
      </c>
      <c r="AN145" s="283" t="s">
        <v>1851</v>
      </c>
      <c r="AO145" s="283" t="s">
        <v>1852</v>
      </c>
      <c r="AP145" s="283">
        <v>328528</v>
      </c>
      <c r="AQ145" s="283" t="s">
        <v>1853</v>
      </c>
      <c r="AR145" s="283" t="s">
        <v>1854</v>
      </c>
      <c r="AS145" s="283" t="s">
        <v>1855</v>
      </c>
      <c r="AT145" s="283" t="s">
        <v>1856</v>
      </c>
      <c r="AU145" s="283" t="s">
        <v>1857</v>
      </c>
      <c r="AV145" s="283" t="s">
        <v>1858</v>
      </c>
      <c r="AW145" s="283">
        <f t="shared" si="18"/>
        <v>312004.666666667</v>
      </c>
      <c r="AX145" s="283">
        <v>181500</v>
      </c>
      <c r="AY145" s="283">
        <v>194200</v>
      </c>
      <c r="AZ145" s="283">
        <v>151500</v>
      </c>
      <c r="BA145" s="283">
        <v>158400</v>
      </c>
      <c r="BB145" s="283">
        <v>190200</v>
      </c>
      <c r="BC145" s="283">
        <v>206200</v>
      </c>
      <c r="BD145" s="283">
        <v>211400</v>
      </c>
      <c r="BE145" s="283">
        <v>235400</v>
      </c>
      <c r="BF145" s="283">
        <v>217700</v>
      </c>
      <c r="BG145" s="283">
        <v>128800</v>
      </c>
      <c r="BH145" s="283">
        <v>171700</v>
      </c>
      <c r="BI145" s="283">
        <f>VLOOKUP(D145,Mid!$A$2:$C$225,3,FALSE)</f>
        <v>149400</v>
      </c>
      <c r="BJ145" s="283">
        <v>127300</v>
      </c>
      <c r="BK145" s="283">
        <v>166400</v>
      </c>
      <c r="BL145" s="283">
        <v>171600</v>
      </c>
      <c r="BM145" s="283">
        <v>170800</v>
      </c>
      <c r="BN145" s="283">
        <v>136100</v>
      </c>
      <c r="BO145" s="283">
        <v>147300</v>
      </c>
      <c r="BP145" s="283">
        <v>208500</v>
      </c>
      <c r="BQ145" s="283">
        <v>193000</v>
      </c>
      <c r="BR145" s="283">
        <v>210600</v>
      </c>
      <c r="BS145" s="283">
        <v>224000</v>
      </c>
      <c r="BT145" s="283">
        <v>198900</v>
      </c>
      <c r="BU145" s="283">
        <v>300700</v>
      </c>
      <c r="BV145" s="283">
        <v>507800</v>
      </c>
      <c r="BW145" s="283">
        <v>328700</v>
      </c>
      <c r="BX145" s="283">
        <v>372000</v>
      </c>
      <c r="BY145" s="283">
        <v>372000</v>
      </c>
      <c r="BZ145" s="283">
        <v>361700</v>
      </c>
      <c r="CA145" s="283">
        <v>266200</v>
      </c>
      <c r="CB145" s="283">
        <v>327600</v>
      </c>
      <c r="CC145" s="283">
        <v>352300</v>
      </c>
      <c r="CD145" s="283">
        <v>406800</v>
      </c>
      <c r="CE145" s="283">
        <v>406800</v>
      </c>
      <c r="CF145" s="283">
        <v>319400</v>
      </c>
      <c r="CG145" s="283">
        <v>429300</v>
      </c>
      <c r="CH145" s="283">
        <v>353500</v>
      </c>
      <c r="CI145" s="283">
        <v>369500</v>
      </c>
      <c r="CJ145" s="283">
        <v>369200</v>
      </c>
      <c r="CK145" s="283">
        <f t="shared" si="19"/>
        <v>366683.333333333</v>
      </c>
      <c r="CL145" s="370"/>
      <c r="CM145" s="371">
        <f>Summary!$D$11</f>
        <v>495890.9464</v>
      </c>
      <c r="CN145" s="258">
        <f t="shared" si="16"/>
        <v>0</v>
      </c>
    </row>
    <row r="146" ht="15.6" spans="1:92">
      <c r="A146" s="258" t="s">
        <v>168</v>
      </c>
      <c r="B146" s="258" t="s">
        <v>694</v>
      </c>
      <c r="C146" s="258" t="s">
        <v>305</v>
      </c>
      <c r="D146" s="258" t="s">
        <v>306</v>
      </c>
      <c r="E146" s="258" t="s">
        <v>233</v>
      </c>
      <c r="F146" s="260" t="s">
        <v>49</v>
      </c>
      <c r="G146" s="343"/>
      <c r="H146" s="283">
        <f t="shared" si="20"/>
        <v>25664.33</v>
      </c>
      <c r="I146" s="292"/>
      <c r="J146" s="351">
        <v>33016</v>
      </c>
      <c r="K146" s="351">
        <v>35851</v>
      </c>
      <c r="L146" s="351">
        <v>25954</v>
      </c>
      <c r="M146" s="351">
        <v>45335</v>
      </c>
      <c r="N146" s="352">
        <v>56948</v>
      </c>
      <c r="O146" s="353">
        <v>52962</v>
      </c>
      <c r="P146" s="353">
        <v>56889</v>
      </c>
      <c r="Q146" s="353">
        <v>55656</v>
      </c>
      <c r="R146" s="353">
        <v>39909</v>
      </c>
      <c r="S146" s="353">
        <v>56798</v>
      </c>
      <c r="T146" s="353">
        <v>44951</v>
      </c>
      <c r="U146" s="353" t="e">
        <f>VLOOKUP(D146,Mid!$A$2:$C$225,2,FALSE)</f>
        <v>#N/A</v>
      </c>
      <c r="V146" s="353">
        <v>47496</v>
      </c>
      <c r="W146" s="353">
        <v>65679</v>
      </c>
      <c r="X146" s="353">
        <v>48214</v>
      </c>
      <c r="Y146" s="353">
        <v>46922</v>
      </c>
      <c r="Z146" s="353">
        <v>24556</v>
      </c>
      <c r="AA146" s="353">
        <v>39233</v>
      </c>
      <c r="AB146" s="353">
        <v>29927</v>
      </c>
      <c r="AC146" s="353">
        <v>27996</v>
      </c>
      <c r="AD146" s="353">
        <v>19597</v>
      </c>
      <c r="AE146" s="353">
        <v>44945</v>
      </c>
      <c r="AF146" s="353">
        <v>26900</v>
      </c>
      <c r="AG146" s="353">
        <v>27096</v>
      </c>
      <c r="AH146" s="353">
        <v>29761</v>
      </c>
      <c r="AI146" s="353">
        <v>35085</v>
      </c>
      <c r="AJ146" s="367">
        <v>28709</v>
      </c>
      <c r="AK146" s="283" t="s">
        <v>1859</v>
      </c>
      <c r="AL146" s="283">
        <v>40014</v>
      </c>
      <c r="AM146" s="283" t="s">
        <v>1860</v>
      </c>
      <c r="AN146" s="283" t="s">
        <v>1861</v>
      </c>
      <c r="AO146" s="283" t="s">
        <v>1862</v>
      </c>
      <c r="AP146" s="283">
        <v>26120</v>
      </c>
      <c r="AQ146" s="283" t="s">
        <v>1863</v>
      </c>
      <c r="AR146" s="283" t="s">
        <v>1864</v>
      </c>
      <c r="AS146" s="283" t="s">
        <v>1865</v>
      </c>
      <c r="AT146" s="283" t="s">
        <v>1866</v>
      </c>
      <c r="AU146" s="283" t="s">
        <v>1867</v>
      </c>
      <c r="AV146" s="283" t="s">
        <v>1868</v>
      </c>
      <c r="AW146" s="283">
        <f t="shared" si="18"/>
        <v>37539.5</v>
      </c>
      <c r="AX146" s="283">
        <v>24200</v>
      </c>
      <c r="AY146" s="283">
        <v>15400</v>
      </c>
      <c r="AZ146" s="283">
        <v>13400</v>
      </c>
      <c r="BA146" s="283">
        <v>15600</v>
      </c>
      <c r="BB146" s="283">
        <v>31600</v>
      </c>
      <c r="BC146" s="283">
        <v>24900</v>
      </c>
      <c r="BD146" s="283">
        <v>26800</v>
      </c>
      <c r="BE146" s="283">
        <v>33400</v>
      </c>
      <c r="BF146" s="283">
        <v>50600</v>
      </c>
      <c r="BG146" s="283">
        <v>44400</v>
      </c>
      <c r="BH146" s="283">
        <v>42900</v>
      </c>
      <c r="BI146" s="283" t="e">
        <f>VLOOKUP(D146,Mid!$A$2:$C$225,3,FALSE)</f>
        <v>#N/A</v>
      </c>
      <c r="BJ146" s="283">
        <v>32600</v>
      </c>
      <c r="BK146" s="283">
        <v>32700</v>
      </c>
      <c r="BL146" s="283">
        <v>33800</v>
      </c>
      <c r="BM146" s="283">
        <v>42100</v>
      </c>
      <c r="BN146" s="283">
        <v>31300</v>
      </c>
      <c r="BO146" s="283">
        <v>26800</v>
      </c>
      <c r="BP146" s="283">
        <v>44400</v>
      </c>
      <c r="BQ146" s="283">
        <v>27900</v>
      </c>
      <c r="BR146" s="283">
        <v>36300</v>
      </c>
      <c r="BS146" s="283">
        <v>25900</v>
      </c>
      <c r="BT146" s="283">
        <v>43300</v>
      </c>
      <c r="BU146" s="283">
        <v>21200</v>
      </c>
      <c r="BV146" s="283">
        <v>71000</v>
      </c>
      <c r="BW146" s="283">
        <v>77500</v>
      </c>
      <c r="BX146" s="283">
        <v>15100</v>
      </c>
      <c r="BY146" s="283">
        <v>15100</v>
      </c>
      <c r="BZ146" s="283">
        <v>46500</v>
      </c>
      <c r="CA146" s="283">
        <v>24600</v>
      </c>
      <c r="CB146" s="283">
        <v>10100</v>
      </c>
      <c r="CC146" s="283">
        <v>48300</v>
      </c>
      <c r="CD146" s="283">
        <v>496</v>
      </c>
      <c r="CE146" s="283">
        <v>9000</v>
      </c>
      <c r="CF146" s="283">
        <v>15800</v>
      </c>
      <c r="CG146" s="283">
        <v>11400</v>
      </c>
      <c r="CH146" s="283">
        <v>6900</v>
      </c>
      <c r="CI146" s="283">
        <v>10200</v>
      </c>
      <c r="CJ146" s="283">
        <v>18478.32</v>
      </c>
      <c r="CK146" s="283">
        <f t="shared" si="19"/>
        <v>13789.16</v>
      </c>
      <c r="CL146" s="370"/>
      <c r="CM146" s="371">
        <f>Summary!$D$11</f>
        <v>495890.9464</v>
      </c>
      <c r="CN146" s="258">
        <f t="shared" si="16"/>
        <v>1</v>
      </c>
    </row>
    <row r="147" ht="15.6" spans="1:92">
      <c r="A147" s="258" t="s">
        <v>168</v>
      </c>
      <c r="B147" s="258" t="s">
        <v>694</v>
      </c>
      <c r="C147" s="258" t="s">
        <v>230</v>
      </c>
      <c r="D147" s="258" t="s">
        <v>746</v>
      </c>
      <c r="E147" s="258" t="s">
        <v>233</v>
      </c>
      <c r="F147" s="260" t="s">
        <v>266</v>
      </c>
      <c r="G147" s="343"/>
      <c r="H147" s="283">
        <f>(AW147+CK147)*0.09/2</f>
        <v>945.2325</v>
      </c>
      <c r="I147" s="292" t="s">
        <v>747</v>
      </c>
      <c r="J147" s="351">
        <v>176032</v>
      </c>
      <c r="K147" s="351">
        <v>267943</v>
      </c>
      <c r="L147" s="351">
        <v>214616</v>
      </c>
      <c r="M147" s="351">
        <v>258271</v>
      </c>
      <c r="N147" s="352">
        <v>187928</v>
      </c>
      <c r="O147" s="353">
        <v>181520</v>
      </c>
      <c r="P147" s="353">
        <v>224967</v>
      </c>
      <c r="Q147" s="353">
        <v>207895</v>
      </c>
      <c r="R147" s="353">
        <v>206333</v>
      </c>
      <c r="S147" s="353">
        <v>182539</v>
      </c>
      <c r="T147" s="353">
        <v>146238</v>
      </c>
      <c r="U147" s="353" t="e">
        <f>VLOOKUP(D147,Mid!$A$2:$C$225,2,FALSE)</f>
        <v>#N/A</v>
      </c>
      <c r="V147" s="353">
        <v>184359</v>
      </c>
      <c r="W147" s="353">
        <v>174167</v>
      </c>
      <c r="X147" s="353">
        <v>214152</v>
      </c>
      <c r="Y147" s="353">
        <v>199633</v>
      </c>
      <c r="Z147" s="353">
        <v>208932</v>
      </c>
      <c r="AA147" s="353">
        <v>209530</v>
      </c>
      <c r="AB147" s="353">
        <v>184819</v>
      </c>
      <c r="AC147" s="353">
        <v>229858</v>
      </c>
      <c r="AD147" s="353">
        <v>346107</v>
      </c>
      <c r="AE147" s="353">
        <v>271884</v>
      </c>
      <c r="AF147" s="353">
        <v>198072</v>
      </c>
      <c r="AG147" s="353">
        <v>238983</v>
      </c>
      <c r="AH147" s="353">
        <v>396684</v>
      </c>
      <c r="AI147" s="353">
        <v>322537</v>
      </c>
      <c r="AJ147" s="353">
        <v>279868</v>
      </c>
      <c r="AK147" s="283" t="s">
        <v>748</v>
      </c>
      <c r="AL147" s="283">
        <v>213004</v>
      </c>
      <c r="AM147" s="283" t="s">
        <v>749</v>
      </c>
      <c r="AN147" s="283" t="s">
        <v>750</v>
      </c>
      <c r="AO147" s="283" t="s">
        <v>751</v>
      </c>
      <c r="AP147" s="283">
        <v>108207</v>
      </c>
      <c r="AQ147" s="283" t="s">
        <v>752</v>
      </c>
      <c r="AR147" s="283" t="s">
        <v>753</v>
      </c>
      <c r="AS147" s="283" t="s">
        <v>754</v>
      </c>
      <c r="AT147" s="283" t="s">
        <v>755</v>
      </c>
      <c r="AU147" s="283" t="s">
        <v>756</v>
      </c>
      <c r="AV147" s="283" t="s">
        <v>757</v>
      </c>
      <c r="AW147" s="283">
        <f t="shared" si="18"/>
        <v>14215.5</v>
      </c>
      <c r="AX147" s="283">
        <v>253300</v>
      </c>
      <c r="AY147" s="283">
        <v>359800</v>
      </c>
      <c r="AZ147" s="283">
        <v>290900</v>
      </c>
      <c r="BA147" s="283">
        <v>283300</v>
      </c>
      <c r="BB147" s="283">
        <v>231200</v>
      </c>
      <c r="BC147" s="283">
        <v>211200</v>
      </c>
      <c r="BD147" s="283">
        <v>230700</v>
      </c>
      <c r="BE147" s="283">
        <v>235500</v>
      </c>
      <c r="BF147" s="283">
        <v>147000</v>
      </c>
      <c r="BG147" s="283">
        <v>181400</v>
      </c>
      <c r="BH147" s="283">
        <v>218100</v>
      </c>
      <c r="BI147" s="283" t="e">
        <f>VLOOKUP(D147,Mid!$A$2:$C$225,3,FALSE)</f>
        <v>#N/A</v>
      </c>
      <c r="BJ147" s="283">
        <v>242800</v>
      </c>
      <c r="BK147" s="283">
        <v>226800</v>
      </c>
      <c r="BL147" s="283">
        <v>142200</v>
      </c>
      <c r="BM147" s="283">
        <v>68400</v>
      </c>
      <c r="BN147" s="283">
        <v>91600</v>
      </c>
      <c r="BO147" s="283">
        <v>65000</v>
      </c>
      <c r="BP147" s="283">
        <v>78000</v>
      </c>
      <c r="BQ147" s="283">
        <v>101300</v>
      </c>
      <c r="BR147" s="283">
        <v>162800</v>
      </c>
      <c r="BS147" s="283">
        <v>57200</v>
      </c>
      <c r="BT147" s="283">
        <v>106500</v>
      </c>
      <c r="BU147" s="283">
        <v>56400</v>
      </c>
      <c r="BV147" s="283">
        <v>42500</v>
      </c>
      <c r="BW147" s="283">
        <v>76100</v>
      </c>
      <c r="BX147" s="283">
        <v>28100</v>
      </c>
      <c r="BY147" s="283">
        <v>28100</v>
      </c>
      <c r="BZ147" s="283">
        <v>17700</v>
      </c>
      <c r="CA147" s="283">
        <v>32400</v>
      </c>
      <c r="CB147" s="283">
        <v>20300</v>
      </c>
      <c r="CC147" s="283">
        <v>7300</v>
      </c>
      <c r="CD147" s="283">
        <v>12300</v>
      </c>
      <c r="CE147" s="283">
        <v>12300</v>
      </c>
      <c r="CF147" s="283">
        <v>9200</v>
      </c>
      <c r="CG147" s="283">
        <v>16500</v>
      </c>
      <c r="CH147" s="283">
        <v>17700</v>
      </c>
      <c r="CI147" s="283">
        <v>11000</v>
      </c>
      <c r="CJ147" s="283">
        <v>346</v>
      </c>
      <c r="CK147" s="283">
        <f t="shared" si="19"/>
        <v>6789.66666666667</v>
      </c>
      <c r="CL147" s="370"/>
      <c r="CM147" s="371">
        <f>Summary!$D$11</f>
        <v>495890.9464</v>
      </c>
      <c r="CN147" s="258">
        <f t="shared" si="16"/>
        <v>0</v>
      </c>
    </row>
    <row r="148" ht="15.6" spans="1:92">
      <c r="A148" s="258" t="s">
        <v>168</v>
      </c>
      <c r="B148" s="258" t="s">
        <v>694</v>
      </c>
      <c r="C148" s="258" t="s">
        <v>230</v>
      </c>
      <c r="D148" s="258" t="s">
        <v>304</v>
      </c>
      <c r="E148" s="258" t="s">
        <v>233</v>
      </c>
      <c r="F148" s="260" t="s">
        <v>49</v>
      </c>
      <c r="G148" s="343"/>
      <c r="H148" s="283">
        <f t="shared" ref="H148:H149" si="21">(AW148+CK148)/2</f>
        <v>32285.1666666666</v>
      </c>
      <c r="I148" s="292"/>
      <c r="J148" s="351">
        <v>26664</v>
      </c>
      <c r="K148" s="351">
        <v>85075</v>
      </c>
      <c r="L148" s="351">
        <v>62908</v>
      </c>
      <c r="M148" s="351">
        <v>49447</v>
      </c>
      <c r="N148" s="352">
        <v>41276</v>
      </c>
      <c r="O148" s="352">
        <v>43444</v>
      </c>
      <c r="P148" s="352">
        <v>35767</v>
      </c>
      <c r="Q148" s="353">
        <v>42088</v>
      </c>
      <c r="R148" s="353">
        <v>26574</v>
      </c>
      <c r="S148" s="353">
        <v>26547</v>
      </c>
      <c r="T148" s="353">
        <v>31774</v>
      </c>
      <c r="U148" s="353">
        <f>VLOOKUP(D148,Mid!$A$2:$C$225,2,FALSE)</f>
        <v>29410</v>
      </c>
      <c r="V148" s="353">
        <v>27739</v>
      </c>
      <c r="W148" s="353">
        <v>33152</v>
      </c>
      <c r="X148" s="353">
        <v>36228</v>
      </c>
      <c r="Y148" s="353">
        <v>40833</v>
      </c>
      <c r="Z148" s="353">
        <v>30743</v>
      </c>
      <c r="AA148" s="353">
        <v>27270</v>
      </c>
      <c r="AB148" s="353">
        <v>31125</v>
      </c>
      <c r="AC148" s="353">
        <v>26986</v>
      </c>
      <c r="AD148" s="353">
        <v>28899</v>
      </c>
      <c r="AE148" s="353">
        <v>0</v>
      </c>
      <c r="AF148" s="353">
        <v>30229</v>
      </c>
      <c r="AG148" s="353">
        <v>21835</v>
      </c>
      <c r="AH148" s="353">
        <v>24429</v>
      </c>
      <c r="AI148" s="353">
        <v>31974</v>
      </c>
      <c r="AJ148" s="367">
        <v>36335</v>
      </c>
      <c r="AK148" s="283" t="s">
        <v>1869</v>
      </c>
      <c r="AL148" s="283">
        <v>33085</v>
      </c>
      <c r="AM148" s="283" t="s">
        <v>1870</v>
      </c>
      <c r="AN148" s="283" t="s">
        <v>1871</v>
      </c>
      <c r="AO148" s="283" t="s">
        <v>1872</v>
      </c>
      <c r="AP148" s="283">
        <v>33402</v>
      </c>
      <c r="AQ148" s="283" t="s">
        <v>1873</v>
      </c>
      <c r="AR148" s="283" t="s">
        <v>1874</v>
      </c>
      <c r="AS148" s="283" t="s">
        <v>1875</v>
      </c>
      <c r="AT148" s="283" t="s">
        <v>1876</v>
      </c>
      <c r="AU148" s="283" t="s">
        <v>1877</v>
      </c>
      <c r="AV148" s="283" t="s">
        <v>1878</v>
      </c>
      <c r="AW148" s="283">
        <f t="shared" si="18"/>
        <v>45787</v>
      </c>
      <c r="AX148" s="283">
        <v>12700</v>
      </c>
      <c r="AY148" s="283">
        <v>8800</v>
      </c>
      <c r="AZ148" s="283">
        <v>13100</v>
      </c>
      <c r="BA148" s="283">
        <v>14400</v>
      </c>
      <c r="BB148" s="283">
        <v>16300</v>
      </c>
      <c r="BC148" s="283">
        <v>14500</v>
      </c>
      <c r="BD148" s="283">
        <v>22700</v>
      </c>
      <c r="BE148" s="283">
        <v>16300</v>
      </c>
      <c r="BF148" s="283">
        <v>6400</v>
      </c>
      <c r="BG148" s="283">
        <v>14200</v>
      </c>
      <c r="BH148" s="283">
        <v>9700</v>
      </c>
      <c r="BI148" s="283">
        <f>VLOOKUP(D148,Mid!$A$2:$C$225,3,FALSE)</f>
        <v>10300</v>
      </c>
      <c r="BJ148" s="283">
        <v>4200</v>
      </c>
      <c r="BK148" s="283">
        <v>15700</v>
      </c>
      <c r="BL148" s="283">
        <v>11800</v>
      </c>
      <c r="BM148" s="283">
        <v>14911.68</v>
      </c>
      <c r="BN148" s="283">
        <v>16400</v>
      </c>
      <c r="BO148" s="283">
        <v>19100</v>
      </c>
      <c r="BP148" s="283">
        <v>22100</v>
      </c>
      <c r="BQ148" s="283">
        <v>12400</v>
      </c>
      <c r="BR148" s="283">
        <v>18800</v>
      </c>
      <c r="BS148" s="283">
        <v>20700</v>
      </c>
      <c r="BT148" s="283">
        <v>9400</v>
      </c>
      <c r="BU148" s="283">
        <v>30300</v>
      </c>
      <c r="BV148" s="283">
        <v>8700</v>
      </c>
      <c r="BW148" s="283">
        <v>7200</v>
      </c>
      <c r="BX148" s="283">
        <v>44600</v>
      </c>
      <c r="BY148" s="283">
        <v>44600</v>
      </c>
      <c r="BZ148" s="283">
        <v>36000</v>
      </c>
      <c r="CA148" s="283">
        <v>20300</v>
      </c>
      <c r="CB148" s="283">
        <v>14900</v>
      </c>
      <c r="CC148" s="283">
        <v>15795.22</v>
      </c>
      <c r="CD148" s="283">
        <v>4600</v>
      </c>
      <c r="CE148" s="283">
        <v>16100</v>
      </c>
      <c r="CF148" s="283">
        <v>4100</v>
      </c>
      <c r="CG148" s="283">
        <v>33895.68</v>
      </c>
      <c r="CH148" s="283">
        <v>9500</v>
      </c>
      <c r="CI148" s="283">
        <v>27000</v>
      </c>
      <c r="CJ148" s="283">
        <v>16400</v>
      </c>
      <c r="CK148" s="283">
        <f t="shared" si="19"/>
        <v>18783.3333333333</v>
      </c>
      <c r="CL148" s="370"/>
      <c r="CM148" s="371">
        <f>Summary!$D$11</f>
        <v>495890.9464</v>
      </c>
      <c r="CN148" s="258">
        <f t="shared" si="16"/>
        <v>1</v>
      </c>
    </row>
    <row r="149" ht="15.6" spans="1:92">
      <c r="A149" s="258" t="s">
        <v>168</v>
      </c>
      <c r="B149" s="258" t="s">
        <v>694</v>
      </c>
      <c r="C149" s="258" t="s">
        <v>230</v>
      </c>
      <c r="D149" s="258" t="s">
        <v>308</v>
      </c>
      <c r="E149" s="258" t="s">
        <v>233</v>
      </c>
      <c r="F149" s="260" t="s">
        <v>426</v>
      </c>
      <c r="G149" s="343"/>
      <c r="H149" s="283">
        <f t="shared" si="21"/>
        <v>22470.9166666667</v>
      </c>
      <c r="I149" s="360"/>
      <c r="J149" s="351"/>
      <c r="K149" s="351"/>
      <c r="L149" s="351"/>
      <c r="M149" s="351"/>
      <c r="N149" s="352"/>
      <c r="O149" s="352"/>
      <c r="P149" s="352"/>
      <c r="Q149" s="353"/>
      <c r="R149" s="353"/>
      <c r="S149" s="353"/>
      <c r="T149" s="353"/>
      <c r="U149" s="353"/>
      <c r="V149" s="353"/>
      <c r="W149" s="353"/>
      <c r="X149" s="353"/>
      <c r="Y149" s="353"/>
      <c r="Z149" s="353"/>
      <c r="AA149" s="353"/>
      <c r="AB149" s="353"/>
      <c r="AC149" s="353"/>
      <c r="AD149" s="353"/>
      <c r="AE149" s="353"/>
      <c r="AF149" s="353"/>
      <c r="AG149" s="353"/>
      <c r="AH149" s="353"/>
      <c r="AI149" s="353">
        <v>26211</v>
      </c>
      <c r="AJ149" s="353">
        <v>47946</v>
      </c>
      <c r="AK149" s="283">
        <v>69515</v>
      </c>
      <c r="AL149" s="283">
        <v>61068</v>
      </c>
      <c r="AM149" s="283" t="s">
        <v>1879</v>
      </c>
      <c r="AN149" s="283" t="s">
        <v>1880</v>
      </c>
      <c r="AO149" s="283" t="s">
        <v>1881</v>
      </c>
      <c r="AP149" s="283">
        <v>39305</v>
      </c>
      <c r="AQ149" s="283" t="s">
        <v>1882</v>
      </c>
      <c r="AR149" s="283" t="s">
        <v>1883</v>
      </c>
      <c r="AS149" s="283" t="s">
        <v>1884</v>
      </c>
      <c r="AT149" s="283" t="s">
        <v>1885</v>
      </c>
      <c r="AU149" s="283" t="s">
        <v>1886</v>
      </c>
      <c r="AV149" s="283" t="s">
        <v>1887</v>
      </c>
      <c r="AW149" s="283">
        <f t="shared" si="18"/>
        <v>29841.8333333333</v>
      </c>
      <c r="AX149" s="283"/>
      <c r="AY149" s="283"/>
      <c r="AZ149" s="283"/>
      <c r="BA149" s="283"/>
      <c r="BB149" s="283"/>
      <c r="BC149" s="283"/>
      <c r="BD149" s="283"/>
      <c r="BE149" s="283"/>
      <c r="BF149" s="283"/>
      <c r="BG149" s="283"/>
      <c r="BH149" s="283"/>
      <c r="BI149" s="283"/>
      <c r="BJ149" s="283"/>
      <c r="BK149" s="283"/>
      <c r="BL149" s="283"/>
      <c r="BM149" s="283"/>
      <c r="BN149" s="283"/>
      <c r="BO149" s="283"/>
      <c r="BP149" s="283"/>
      <c r="BQ149" s="283"/>
      <c r="BR149" s="283"/>
      <c r="BS149" s="283"/>
      <c r="BT149" s="283"/>
      <c r="BU149" s="283"/>
      <c r="BV149" s="283"/>
      <c r="BW149" s="283">
        <v>45000</v>
      </c>
      <c r="BX149" s="283">
        <v>35000</v>
      </c>
      <c r="BY149" s="283">
        <v>35000</v>
      </c>
      <c r="BZ149" s="283">
        <v>17000</v>
      </c>
      <c r="CA149" s="283">
        <v>30100</v>
      </c>
      <c r="CB149" s="283">
        <v>31300</v>
      </c>
      <c r="CC149" s="283">
        <v>37500</v>
      </c>
      <c r="CD149" s="283">
        <v>16900</v>
      </c>
      <c r="CE149" s="283">
        <v>20300</v>
      </c>
      <c r="CF149" s="283">
        <v>5900</v>
      </c>
      <c r="CG149" s="283">
        <v>16300</v>
      </c>
      <c r="CH149" s="283">
        <v>17900</v>
      </c>
      <c r="CI149" s="283">
        <v>12200</v>
      </c>
      <c r="CJ149" s="283">
        <v>16100</v>
      </c>
      <c r="CK149" s="283">
        <f t="shared" si="19"/>
        <v>15100</v>
      </c>
      <c r="CL149" s="370"/>
      <c r="CM149" s="371">
        <f>Summary!$D$11</f>
        <v>495890.9464</v>
      </c>
      <c r="CN149" s="258">
        <f t="shared" si="16"/>
        <v>0</v>
      </c>
    </row>
    <row r="150" ht="15.6" spans="1:92">
      <c r="A150" s="258" t="s">
        <v>168</v>
      </c>
      <c r="B150" s="258" t="s">
        <v>694</v>
      </c>
      <c r="C150" s="258" t="s">
        <v>230</v>
      </c>
      <c r="D150" s="258" t="s">
        <v>309</v>
      </c>
      <c r="E150" s="258" t="s">
        <v>233</v>
      </c>
      <c r="F150" s="260" t="s">
        <v>266</v>
      </c>
      <c r="G150" s="343"/>
      <c r="H150" s="283">
        <f>(AW150+CK150)/2*0.42</f>
        <v>18475.6964</v>
      </c>
      <c r="I150" s="360" t="s">
        <v>1888</v>
      </c>
      <c r="J150" s="351"/>
      <c r="K150" s="351"/>
      <c r="L150" s="351"/>
      <c r="M150" s="351"/>
      <c r="N150" s="352"/>
      <c r="O150" s="352"/>
      <c r="P150" s="352"/>
      <c r="Q150" s="353"/>
      <c r="R150" s="353"/>
      <c r="S150" s="353"/>
      <c r="T150" s="353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353"/>
      <c r="AI150" s="353">
        <v>49576</v>
      </c>
      <c r="AJ150" s="353">
        <v>50801</v>
      </c>
      <c r="AK150" s="283">
        <v>71550</v>
      </c>
      <c r="AL150" s="283">
        <v>73341</v>
      </c>
      <c r="AM150" s="283" t="s">
        <v>1889</v>
      </c>
      <c r="AN150" s="283" t="s">
        <v>1890</v>
      </c>
      <c r="AO150" s="283" t="s">
        <v>1891</v>
      </c>
      <c r="AP150" s="283">
        <v>88958</v>
      </c>
      <c r="AQ150" s="283" t="s">
        <v>1892</v>
      </c>
      <c r="AR150" s="283" t="s">
        <v>1893</v>
      </c>
      <c r="AS150" s="283" t="s">
        <v>1894</v>
      </c>
      <c r="AT150" s="283" t="s">
        <v>1895</v>
      </c>
      <c r="AU150" s="283" t="s">
        <v>1896</v>
      </c>
      <c r="AV150" s="283" t="s">
        <v>1897</v>
      </c>
      <c r="AW150" s="283">
        <f t="shared" si="18"/>
        <v>62567</v>
      </c>
      <c r="AX150" s="283"/>
      <c r="AY150" s="283"/>
      <c r="AZ150" s="283"/>
      <c r="BA150" s="283"/>
      <c r="BB150" s="283"/>
      <c r="BC150" s="283"/>
      <c r="BD150" s="283"/>
      <c r="BE150" s="283"/>
      <c r="BF150" s="283"/>
      <c r="BG150" s="283"/>
      <c r="BH150" s="283"/>
      <c r="BI150" s="283"/>
      <c r="BJ150" s="283"/>
      <c r="BK150" s="283"/>
      <c r="BL150" s="283"/>
      <c r="BM150" s="283"/>
      <c r="BN150" s="283"/>
      <c r="BO150" s="283"/>
      <c r="BP150" s="283"/>
      <c r="BQ150" s="283"/>
      <c r="BR150" s="283"/>
      <c r="BS150" s="283"/>
      <c r="BT150" s="283"/>
      <c r="BU150" s="283"/>
      <c r="BV150" s="283"/>
      <c r="BW150" s="283">
        <v>45000</v>
      </c>
      <c r="BX150" s="283">
        <v>29600</v>
      </c>
      <c r="BY150" s="283">
        <v>29600</v>
      </c>
      <c r="BZ150" s="283">
        <v>29600</v>
      </c>
      <c r="CA150" s="283">
        <v>46600</v>
      </c>
      <c r="CB150" s="283">
        <v>32300</v>
      </c>
      <c r="CC150" s="283">
        <v>29800</v>
      </c>
      <c r="CD150" s="283">
        <v>14500</v>
      </c>
      <c r="CE150" s="283">
        <v>58600</v>
      </c>
      <c r="CF150" s="283">
        <v>10900</v>
      </c>
      <c r="CG150" s="283">
        <v>14400</v>
      </c>
      <c r="CH150" s="283">
        <v>36600</v>
      </c>
      <c r="CI150" s="283">
        <v>33937.52</v>
      </c>
      <c r="CJ150" s="283">
        <v>16000</v>
      </c>
      <c r="CK150" s="283">
        <f t="shared" si="19"/>
        <v>25412.5066666667</v>
      </c>
      <c r="CL150" s="370"/>
      <c r="CM150" s="371">
        <f>Summary!$D$11</f>
        <v>495890.9464</v>
      </c>
      <c r="CN150" s="258">
        <f t="shared" si="16"/>
        <v>0</v>
      </c>
    </row>
    <row r="151" ht="15.6" spans="1:92">
      <c r="A151" s="258" t="s">
        <v>168</v>
      </c>
      <c r="B151" s="258" t="s">
        <v>694</v>
      </c>
      <c r="C151" s="258" t="s">
        <v>230</v>
      </c>
      <c r="D151" s="258" t="s">
        <v>461</v>
      </c>
      <c r="E151" s="258" t="s">
        <v>441</v>
      </c>
      <c r="F151" s="260" t="s">
        <v>49</v>
      </c>
      <c r="G151" s="343"/>
      <c r="H151" s="283">
        <f t="shared" ref="H151:H166" si="22">(AW151+CK151)/2</f>
        <v>10445.0833333333</v>
      </c>
      <c r="I151" s="292" t="s">
        <v>1898</v>
      </c>
      <c r="J151" s="351">
        <v>0</v>
      </c>
      <c r="K151" s="351">
        <v>0</v>
      </c>
      <c r="L151" s="351">
        <v>0</v>
      </c>
      <c r="M151" s="351">
        <v>0</v>
      </c>
      <c r="N151" s="352">
        <v>0</v>
      </c>
      <c r="O151" s="353">
        <v>0</v>
      </c>
      <c r="P151" s="353">
        <v>0</v>
      </c>
      <c r="Q151" s="353">
        <v>7946</v>
      </c>
      <c r="R151" s="353">
        <v>6352</v>
      </c>
      <c r="S151" s="353">
        <v>7569</v>
      </c>
      <c r="T151" s="353">
        <v>6054</v>
      </c>
      <c r="U151" s="353">
        <f>VLOOKUP(D151,Mid!$A$2:$C$225,2,FALSE)</f>
        <v>6521</v>
      </c>
      <c r="V151" s="353">
        <v>8286</v>
      </c>
      <c r="W151" s="353">
        <v>6590</v>
      </c>
      <c r="X151" s="353">
        <v>7256</v>
      </c>
      <c r="Y151" s="353">
        <v>10458</v>
      </c>
      <c r="Z151" s="353">
        <v>16440</v>
      </c>
      <c r="AA151" s="353">
        <v>8165</v>
      </c>
      <c r="AB151" s="353">
        <v>4987</v>
      </c>
      <c r="AC151" s="353">
        <v>11399</v>
      </c>
      <c r="AD151" s="353">
        <v>4067</v>
      </c>
      <c r="AE151" s="353">
        <v>0</v>
      </c>
      <c r="AF151" s="353">
        <v>3748</v>
      </c>
      <c r="AG151" s="353">
        <v>4081</v>
      </c>
      <c r="AH151" s="353">
        <v>5553</v>
      </c>
      <c r="AI151" s="353">
        <v>6865</v>
      </c>
      <c r="AJ151" s="367">
        <v>7047</v>
      </c>
      <c r="AK151" s="283" t="s">
        <v>1899</v>
      </c>
      <c r="AL151" s="283">
        <v>5523</v>
      </c>
      <c r="AM151" s="283" t="s">
        <v>1900</v>
      </c>
      <c r="AN151" s="283" t="s">
        <v>1901</v>
      </c>
      <c r="AO151" s="283" t="s">
        <v>1902</v>
      </c>
      <c r="AP151" s="283">
        <f>6958*0.0377*2</f>
        <v>524.6332</v>
      </c>
      <c r="AQ151" s="283" t="s">
        <v>1903</v>
      </c>
      <c r="AR151" s="283" t="s">
        <v>1904</v>
      </c>
      <c r="AS151" s="283" t="s">
        <v>1905</v>
      </c>
      <c r="AT151" s="283" t="s">
        <v>1906</v>
      </c>
      <c r="AU151" s="283" t="s">
        <v>1907</v>
      </c>
      <c r="AV151" s="283" t="s">
        <v>1908</v>
      </c>
      <c r="AW151" s="283">
        <f t="shared" si="18"/>
        <v>7890.16666666667</v>
      </c>
      <c r="AX151" s="283">
        <v>0</v>
      </c>
      <c r="AY151" s="283">
        <v>0</v>
      </c>
      <c r="AZ151" s="283">
        <v>0</v>
      </c>
      <c r="BA151" s="283">
        <v>0</v>
      </c>
      <c r="BB151" s="283">
        <v>0</v>
      </c>
      <c r="BC151" s="283">
        <v>0</v>
      </c>
      <c r="BD151" s="283">
        <v>22700</v>
      </c>
      <c r="BE151" s="283">
        <v>19800</v>
      </c>
      <c r="BF151" s="283">
        <v>29100</v>
      </c>
      <c r="BG151" s="283">
        <v>25000</v>
      </c>
      <c r="BH151" s="283">
        <v>17000</v>
      </c>
      <c r="BI151" s="283">
        <f>VLOOKUP(D151,Mid!$A$2:$C$225,3,FALSE)</f>
        <v>23400</v>
      </c>
      <c r="BJ151" s="283">
        <v>24000</v>
      </c>
      <c r="BK151" s="283">
        <v>38400</v>
      </c>
      <c r="BL151" s="283">
        <v>47100</v>
      </c>
      <c r="BM151" s="283">
        <v>27400</v>
      </c>
      <c r="BN151" s="283">
        <v>23800</v>
      </c>
      <c r="BO151" s="283">
        <v>38000</v>
      </c>
      <c r="BP151" s="283">
        <v>20200</v>
      </c>
      <c r="BQ151" s="283">
        <v>29100</v>
      </c>
      <c r="BR151" s="283">
        <v>39700</v>
      </c>
      <c r="BS151" s="283">
        <v>43600</v>
      </c>
      <c r="BT151" s="283">
        <v>16600</v>
      </c>
      <c r="BU151" s="283">
        <v>30200</v>
      </c>
      <c r="BV151" s="283">
        <v>16600</v>
      </c>
      <c r="BW151" s="283">
        <v>42400</v>
      </c>
      <c r="BX151" s="283">
        <v>4600</v>
      </c>
      <c r="BY151" s="283">
        <v>27800</v>
      </c>
      <c r="BZ151" s="283">
        <v>16900</v>
      </c>
      <c r="CA151" s="283">
        <v>13400</v>
      </c>
      <c r="CB151" s="283">
        <v>38600</v>
      </c>
      <c r="CC151" s="283">
        <v>12000</v>
      </c>
      <c r="CD151" s="283">
        <v>38500</v>
      </c>
      <c r="CE151" s="283">
        <v>38500</v>
      </c>
      <c r="CF151" s="283">
        <v>6300</v>
      </c>
      <c r="CG151" s="283">
        <v>10200</v>
      </c>
      <c r="CH151" s="283">
        <v>2100</v>
      </c>
      <c r="CI151" s="283">
        <v>14100</v>
      </c>
      <c r="CJ151" s="283">
        <v>15900</v>
      </c>
      <c r="CK151" s="283">
        <f t="shared" si="19"/>
        <v>13000</v>
      </c>
      <c r="CL151" s="370"/>
      <c r="CM151" s="371">
        <f>Summary!$D$11</f>
        <v>495890.9464</v>
      </c>
      <c r="CN151" s="258">
        <f t="shared" si="16"/>
        <v>0</v>
      </c>
    </row>
    <row r="152" ht="15.6" spans="1:92">
      <c r="A152" s="258" t="s">
        <v>168</v>
      </c>
      <c r="B152" s="258" t="s">
        <v>694</v>
      </c>
      <c r="C152" s="258" t="s">
        <v>243</v>
      </c>
      <c r="D152" s="258" t="s">
        <v>1909</v>
      </c>
      <c r="E152" s="258" t="s">
        <v>441</v>
      </c>
      <c r="F152" s="260" t="s">
        <v>420</v>
      </c>
      <c r="G152" s="343"/>
      <c r="H152" s="283">
        <f t="shared" si="22"/>
        <v>1490.66666666667</v>
      </c>
      <c r="I152" s="374"/>
      <c r="J152" s="351">
        <v>2182</v>
      </c>
      <c r="K152" s="351">
        <v>4037</v>
      </c>
      <c r="L152" s="351">
        <v>3378</v>
      </c>
      <c r="M152" s="351">
        <v>4299</v>
      </c>
      <c r="N152" s="352">
        <v>1431</v>
      </c>
      <c r="O152" s="353">
        <v>4077</v>
      </c>
      <c r="P152" s="353">
        <v>559</v>
      </c>
      <c r="Q152" s="353">
        <v>3849</v>
      </c>
      <c r="R152" s="353">
        <v>2613</v>
      </c>
      <c r="S152" s="353">
        <v>3064</v>
      </c>
      <c r="T152" s="353">
        <v>2472</v>
      </c>
      <c r="U152" s="353" t="e">
        <f>VLOOKUP(D152,Mid!$A$2:$C$225,2,FALSE)</f>
        <v>#N/A</v>
      </c>
      <c r="V152" s="353">
        <v>2456</v>
      </c>
      <c r="W152" s="353">
        <v>5565</v>
      </c>
      <c r="X152" s="353">
        <v>1303</v>
      </c>
      <c r="Y152" s="353">
        <v>3758</v>
      </c>
      <c r="Z152" s="353">
        <v>1967</v>
      </c>
      <c r="AA152" s="353">
        <v>3835</v>
      </c>
      <c r="AB152" s="353">
        <v>3768</v>
      </c>
      <c r="AC152" s="353">
        <v>3653</v>
      </c>
      <c r="AD152" s="353">
        <v>4849</v>
      </c>
      <c r="AE152" s="353">
        <v>1818</v>
      </c>
      <c r="AF152" s="353">
        <v>1362</v>
      </c>
      <c r="AG152" s="353">
        <v>3799</v>
      </c>
      <c r="AH152" s="353">
        <v>2135</v>
      </c>
      <c r="AI152" s="353">
        <v>2129</v>
      </c>
      <c r="AJ152" s="353">
        <v>1095</v>
      </c>
      <c r="AK152" s="283" t="s">
        <v>1910</v>
      </c>
      <c r="AL152" s="283">
        <v>3218</v>
      </c>
      <c r="AM152" s="283" t="s">
        <v>1911</v>
      </c>
      <c r="AN152" s="283" t="s">
        <v>1912</v>
      </c>
      <c r="AO152" s="283" t="s">
        <v>1913</v>
      </c>
      <c r="AP152" s="283">
        <v>5000</v>
      </c>
      <c r="AQ152" s="283" t="s">
        <v>1914</v>
      </c>
      <c r="AR152" s="283" t="s">
        <v>1915</v>
      </c>
      <c r="AS152" s="283" t="s">
        <v>1916</v>
      </c>
      <c r="AT152" s="283" t="s">
        <v>800</v>
      </c>
      <c r="AU152" s="283" t="s">
        <v>1917</v>
      </c>
      <c r="AV152" s="283" t="s">
        <v>1918</v>
      </c>
      <c r="AW152" s="283">
        <f t="shared" si="18"/>
        <v>1879.16666666667</v>
      </c>
      <c r="AX152" s="283">
        <v>0</v>
      </c>
      <c r="AY152" s="283">
        <v>0</v>
      </c>
      <c r="AZ152" s="283">
        <v>0</v>
      </c>
      <c r="BA152" s="283">
        <v>0</v>
      </c>
      <c r="BB152" s="283">
        <v>0</v>
      </c>
      <c r="BC152" s="283">
        <v>6500</v>
      </c>
      <c r="BD152" s="283">
        <v>10700</v>
      </c>
      <c r="BE152" s="283">
        <v>9100</v>
      </c>
      <c r="BF152" s="283">
        <v>2900</v>
      </c>
      <c r="BG152" s="283">
        <v>4800</v>
      </c>
      <c r="BH152" s="283">
        <v>4300</v>
      </c>
      <c r="BI152" s="283" t="e">
        <f>VLOOKUP(D152,Mid!$A$2:$C$225,3,FALSE)</f>
        <v>#N/A</v>
      </c>
      <c r="BJ152" s="283">
        <v>4700</v>
      </c>
      <c r="BK152" s="283">
        <v>5200</v>
      </c>
      <c r="BL152" s="283">
        <v>3300</v>
      </c>
      <c r="BM152" s="283">
        <v>5500</v>
      </c>
      <c r="BN152" s="283">
        <v>3000</v>
      </c>
      <c r="BO152" s="283">
        <v>2900</v>
      </c>
      <c r="BP152" s="283">
        <v>11000</v>
      </c>
      <c r="BQ152" s="283">
        <v>2500</v>
      </c>
      <c r="BR152" s="283">
        <v>2800</v>
      </c>
      <c r="BS152" s="283">
        <v>2400</v>
      </c>
      <c r="BT152" s="283">
        <v>2400</v>
      </c>
      <c r="BU152" s="283">
        <v>1400</v>
      </c>
      <c r="BV152" s="283">
        <v>3100</v>
      </c>
      <c r="BW152" s="283">
        <v>2700</v>
      </c>
      <c r="BX152" s="283">
        <v>1600</v>
      </c>
      <c r="BY152" s="283">
        <v>1600</v>
      </c>
      <c r="BZ152" s="283">
        <v>1500</v>
      </c>
      <c r="CA152" s="283">
        <v>1900</v>
      </c>
      <c r="CB152" s="283">
        <v>4470</v>
      </c>
      <c r="CC152" s="283">
        <v>2800</v>
      </c>
      <c r="CD152" s="283">
        <v>37100</v>
      </c>
      <c r="CE152" s="283">
        <v>37100</v>
      </c>
      <c r="CF152" s="283">
        <v>2600</v>
      </c>
      <c r="CG152" s="283">
        <v>1300</v>
      </c>
      <c r="CH152" s="283">
        <v>513</v>
      </c>
      <c r="CI152" s="283">
        <v>1400</v>
      </c>
      <c r="CJ152" s="283">
        <v>1100</v>
      </c>
      <c r="CK152" s="283">
        <f t="shared" si="19"/>
        <v>1102.16666666667</v>
      </c>
      <c r="CL152" s="370"/>
      <c r="CM152" s="371">
        <f>Summary!$D$11</f>
        <v>495890.9464</v>
      </c>
      <c r="CN152" s="258">
        <f t="shared" si="16"/>
        <v>0</v>
      </c>
    </row>
    <row r="153" ht="15.6" spans="1:92">
      <c r="A153" s="258" t="s">
        <v>185</v>
      </c>
      <c r="B153" s="258" t="s">
        <v>812</v>
      </c>
      <c r="C153" s="342" t="s">
        <v>243</v>
      </c>
      <c r="D153" s="258" t="s">
        <v>331</v>
      </c>
      <c r="E153" s="258" t="s">
        <v>454</v>
      </c>
      <c r="F153" s="381" t="s">
        <v>420</v>
      </c>
      <c r="G153" s="343"/>
      <c r="H153" s="283">
        <f t="shared" si="22"/>
        <v>82318.4933333333</v>
      </c>
      <c r="I153" s="292"/>
      <c r="J153" s="351">
        <v>54193</v>
      </c>
      <c r="K153" s="351">
        <v>41271</v>
      </c>
      <c r="L153" s="351">
        <v>40809</v>
      </c>
      <c r="M153" s="351">
        <v>54338</v>
      </c>
      <c r="N153" s="352">
        <v>59219</v>
      </c>
      <c r="O153" s="353">
        <v>42636</v>
      </c>
      <c r="P153" s="353">
        <v>25212</v>
      </c>
      <c r="Q153" s="353">
        <v>53485</v>
      </c>
      <c r="R153" s="353">
        <v>52728</v>
      </c>
      <c r="S153" s="353">
        <v>75038</v>
      </c>
      <c r="T153" s="353">
        <v>35638</v>
      </c>
      <c r="U153" s="353" t="e">
        <f>VLOOKUP(D153,Mid!$A$2:$C$225,2,FALSE)</f>
        <v>#N/A</v>
      </c>
      <c r="V153" s="353">
        <v>40805</v>
      </c>
      <c r="W153" s="353">
        <v>47647</v>
      </c>
      <c r="X153" s="353">
        <v>70639</v>
      </c>
      <c r="Y153" s="353">
        <v>58979</v>
      </c>
      <c r="Z153" s="353">
        <v>54861</v>
      </c>
      <c r="AA153" s="353">
        <v>93098</v>
      </c>
      <c r="AB153" s="353">
        <v>67302</v>
      </c>
      <c r="AC153" s="353">
        <v>71299</v>
      </c>
      <c r="AD153" s="353">
        <v>92189</v>
      </c>
      <c r="AE153" s="353">
        <v>85006</v>
      </c>
      <c r="AF153" s="353">
        <v>90039</v>
      </c>
      <c r="AG153" s="353">
        <v>107499</v>
      </c>
      <c r="AH153" s="353">
        <v>85653</v>
      </c>
      <c r="AI153" s="353">
        <v>84215</v>
      </c>
      <c r="AJ153" s="367">
        <v>89637</v>
      </c>
      <c r="AK153" s="283" t="s">
        <v>1919</v>
      </c>
      <c r="AL153" s="283">
        <v>69477</v>
      </c>
      <c r="AM153" s="283" t="s">
        <v>1920</v>
      </c>
      <c r="AN153" s="283" t="s">
        <v>1921</v>
      </c>
      <c r="AO153" s="283" t="s">
        <v>1922</v>
      </c>
      <c r="AP153" s="283">
        <v>92186</v>
      </c>
      <c r="AQ153" s="283" t="s">
        <v>1923</v>
      </c>
      <c r="AR153" s="283" t="s">
        <v>1924</v>
      </c>
      <c r="AS153" s="283" t="s">
        <v>1925</v>
      </c>
      <c r="AT153" s="283" t="s">
        <v>1926</v>
      </c>
      <c r="AU153" s="283" t="s">
        <v>1927</v>
      </c>
      <c r="AV153" s="283" t="s">
        <v>1928</v>
      </c>
      <c r="AW153" s="283">
        <f t="shared" si="18"/>
        <v>78719.1666666667</v>
      </c>
      <c r="AX153" s="283">
        <v>80500</v>
      </c>
      <c r="AY153" s="283">
        <v>64000</v>
      </c>
      <c r="AZ153" s="283">
        <v>58700</v>
      </c>
      <c r="BA153" s="283">
        <v>65900</v>
      </c>
      <c r="BB153" s="283">
        <v>63000</v>
      </c>
      <c r="BC153" s="283">
        <v>83900</v>
      </c>
      <c r="BD153" s="283">
        <v>72700</v>
      </c>
      <c r="BE153" s="283">
        <v>70000</v>
      </c>
      <c r="BF153" s="283">
        <v>68600</v>
      </c>
      <c r="BG153" s="283">
        <v>63500</v>
      </c>
      <c r="BH153" s="283">
        <v>57700</v>
      </c>
      <c r="BI153" s="283" t="e">
        <f>VLOOKUP(D153,Mid!$A$2:$C$225,3,FALSE)</f>
        <v>#N/A</v>
      </c>
      <c r="BJ153" s="283">
        <v>39900</v>
      </c>
      <c r="BK153" s="283">
        <v>94500</v>
      </c>
      <c r="BL153" s="283">
        <v>55600</v>
      </c>
      <c r="BM153" s="283">
        <v>67500</v>
      </c>
      <c r="BN153" s="283">
        <v>86600</v>
      </c>
      <c r="BO153" s="283">
        <v>67200</v>
      </c>
      <c r="BP153" s="283">
        <v>97700</v>
      </c>
      <c r="BQ153" s="283">
        <v>98900</v>
      </c>
      <c r="BR153" s="283">
        <v>100100</v>
      </c>
      <c r="BS153" s="283">
        <v>115900</v>
      </c>
      <c r="BT153" s="283">
        <v>119800</v>
      </c>
      <c r="BU153" s="283">
        <v>60800</v>
      </c>
      <c r="BV153" s="283">
        <v>66800</v>
      </c>
      <c r="BW153" s="283">
        <v>164400</v>
      </c>
      <c r="BX153" s="283">
        <v>149900</v>
      </c>
      <c r="BY153" s="283">
        <v>149900</v>
      </c>
      <c r="BZ153" s="283">
        <v>83200</v>
      </c>
      <c r="CA153" s="283">
        <v>122738.88</v>
      </c>
      <c r="CB153" s="283">
        <v>106600</v>
      </c>
      <c r="CC153" s="283">
        <v>190800</v>
      </c>
      <c r="CD153" s="283">
        <v>75500</v>
      </c>
      <c r="CE153" s="283">
        <v>62200</v>
      </c>
      <c r="CF153" s="283">
        <v>62180.88</v>
      </c>
      <c r="CG153" s="283">
        <f>134600*0.2233*2</f>
        <v>60112.36</v>
      </c>
      <c r="CH153" s="283">
        <v>88500</v>
      </c>
      <c r="CI153" s="283">
        <v>88253.46</v>
      </c>
      <c r="CJ153" s="283">
        <v>83500</v>
      </c>
      <c r="CK153" s="283">
        <f t="shared" si="19"/>
        <v>85917.82</v>
      </c>
      <c r="CL153" s="370"/>
      <c r="CM153" s="371">
        <f>Summary!$D$20</f>
        <v>496415.356416666</v>
      </c>
      <c r="CN153" s="258">
        <f t="shared" si="16"/>
        <v>1</v>
      </c>
    </row>
    <row r="154" ht="15.6" spans="1:92">
      <c r="A154" s="258" t="s">
        <v>185</v>
      </c>
      <c r="B154" s="258" t="s">
        <v>812</v>
      </c>
      <c r="C154" s="258" t="s">
        <v>230</v>
      </c>
      <c r="D154" s="258" t="s">
        <v>330</v>
      </c>
      <c r="E154" s="258" t="s">
        <v>233</v>
      </c>
      <c r="F154" s="260" t="s">
        <v>59</v>
      </c>
      <c r="G154" s="343"/>
      <c r="H154" s="283">
        <f t="shared" si="22"/>
        <v>117452.19475</v>
      </c>
      <c r="I154" s="292"/>
      <c r="J154" s="351">
        <v>96687</v>
      </c>
      <c r="K154" s="351">
        <v>102529</v>
      </c>
      <c r="L154" s="351">
        <v>81369</v>
      </c>
      <c r="M154" s="351">
        <v>83306</v>
      </c>
      <c r="N154" s="352">
        <v>228605</v>
      </c>
      <c r="O154" s="353">
        <v>391418</v>
      </c>
      <c r="P154" s="353">
        <v>112266</v>
      </c>
      <c r="Q154" s="353">
        <v>98028</v>
      </c>
      <c r="R154" s="353">
        <v>126609</v>
      </c>
      <c r="S154" s="353">
        <v>127610</v>
      </c>
      <c r="T154" s="353">
        <v>109293</v>
      </c>
      <c r="U154" s="353" t="e">
        <f>VLOOKUP(D154,Mid!$A$2:$C$225,2,FALSE)</f>
        <v>#N/A</v>
      </c>
      <c r="V154" s="353">
        <v>128896</v>
      </c>
      <c r="W154" s="353">
        <v>183130</v>
      </c>
      <c r="X154" s="353">
        <v>132753</v>
      </c>
      <c r="Y154" s="353">
        <v>209635</v>
      </c>
      <c r="Z154" s="353">
        <v>225455</v>
      </c>
      <c r="AA154" s="353">
        <v>163952</v>
      </c>
      <c r="AB154" s="353">
        <v>138509</v>
      </c>
      <c r="AC154" s="353">
        <v>134108</v>
      </c>
      <c r="AD154" s="353">
        <v>115333</v>
      </c>
      <c r="AE154" s="353">
        <v>115736</v>
      </c>
      <c r="AF154" s="353">
        <v>140290</v>
      </c>
      <c r="AG154" s="353">
        <v>107749</v>
      </c>
      <c r="AH154" s="353">
        <v>85789</v>
      </c>
      <c r="AI154" s="353">
        <v>180701</v>
      </c>
      <c r="AJ154" s="367">
        <v>159577</v>
      </c>
      <c r="AK154" s="283" t="s">
        <v>1929</v>
      </c>
      <c r="AL154" s="283">
        <v>102435</v>
      </c>
      <c r="AM154" s="283" t="s">
        <v>1930</v>
      </c>
      <c r="AN154" s="283" t="s">
        <v>1931</v>
      </c>
      <c r="AO154" s="283" t="s">
        <v>1932</v>
      </c>
      <c r="AP154" s="283">
        <v>105575</v>
      </c>
      <c r="AQ154" s="283" t="s">
        <v>1933</v>
      </c>
      <c r="AR154" s="283" t="s">
        <v>1934</v>
      </c>
      <c r="AS154" s="283">
        <f>0.2427*2*158938</f>
        <v>77148.5052</v>
      </c>
      <c r="AT154" s="283">
        <f>0.3185*2*147101</f>
        <v>93703.337</v>
      </c>
      <c r="AU154" s="283" t="s">
        <v>1935</v>
      </c>
      <c r="AV154" s="283" t="s">
        <v>1936</v>
      </c>
      <c r="AW154" s="283">
        <f t="shared" si="18"/>
        <v>96781.7228333333</v>
      </c>
      <c r="AX154" s="283">
        <v>100200</v>
      </c>
      <c r="AY154" s="283">
        <v>78800</v>
      </c>
      <c r="AZ154" s="283">
        <v>97900</v>
      </c>
      <c r="BA154" s="283">
        <v>101200</v>
      </c>
      <c r="BB154" s="283">
        <v>98400</v>
      </c>
      <c r="BC154" s="283">
        <v>97200</v>
      </c>
      <c r="BD154" s="283">
        <v>100700</v>
      </c>
      <c r="BE154" s="283">
        <v>107100</v>
      </c>
      <c r="BF154" s="283">
        <v>129500</v>
      </c>
      <c r="BG154" s="283">
        <v>140900</v>
      </c>
      <c r="BH154" s="283">
        <v>225700</v>
      </c>
      <c r="BI154" s="283" t="e">
        <f>VLOOKUP(D154,Mid!$A$2:$C$225,3,FALSE)</f>
        <v>#N/A</v>
      </c>
      <c r="BJ154" s="283">
        <v>125600</v>
      </c>
      <c r="BK154" s="283">
        <v>157400</v>
      </c>
      <c r="BL154" s="283">
        <v>146000</v>
      </c>
      <c r="BM154" s="283">
        <v>220800</v>
      </c>
      <c r="BN154" s="283">
        <v>287900</v>
      </c>
      <c r="BO154" s="283">
        <v>116400</v>
      </c>
      <c r="BP154" s="283">
        <v>174000</v>
      </c>
      <c r="BQ154" s="283">
        <v>193300</v>
      </c>
      <c r="BR154" s="283">
        <v>141500</v>
      </c>
      <c r="BS154" s="283">
        <v>161900</v>
      </c>
      <c r="BT154" s="283">
        <v>204000</v>
      </c>
      <c r="BU154" s="283">
        <v>183800</v>
      </c>
      <c r="BV154" s="283">
        <v>197900</v>
      </c>
      <c r="BW154" s="283">
        <v>290800</v>
      </c>
      <c r="BX154" s="283">
        <v>343300</v>
      </c>
      <c r="BY154" s="283">
        <v>343300</v>
      </c>
      <c r="BZ154" s="283">
        <v>173700</v>
      </c>
      <c r="CA154" s="283">
        <v>192800</v>
      </c>
      <c r="CB154" s="283">
        <v>208500</v>
      </c>
      <c r="CC154" s="283">
        <v>202306</v>
      </c>
      <c r="CD154" s="283">
        <v>87600</v>
      </c>
      <c r="CE154" s="283">
        <v>125400</v>
      </c>
      <c r="CF154" s="283">
        <v>81400</v>
      </c>
      <c r="CG154" s="283">
        <v>94090.62</v>
      </c>
      <c r="CH154" s="283">
        <v>100036</v>
      </c>
      <c r="CI154" s="283">
        <v>206400</v>
      </c>
      <c r="CJ154" s="283">
        <v>105300</v>
      </c>
      <c r="CK154" s="283">
        <f t="shared" si="19"/>
        <v>138122.666666667</v>
      </c>
      <c r="CL154" s="370"/>
      <c r="CM154" s="371">
        <f>Summary!$D$20</f>
        <v>496415.356416666</v>
      </c>
      <c r="CN154" s="258">
        <f t="shared" si="16"/>
        <v>1</v>
      </c>
    </row>
    <row r="155" ht="15.6" spans="1:92">
      <c r="A155" s="258" t="s">
        <v>185</v>
      </c>
      <c r="B155" s="258" t="s">
        <v>812</v>
      </c>
      <c r="C155" s="342" t="s">
        <v>243</v>
      </c>
      <c r="D155" s="258" t="s">
        <v>340</v>
      </c>
      <c r="E155" s="258" t="s">
        <v>233</v>
      </c>
      <c r="F155" s="260" t="s">
        <v>417</v>
      </c>
      <c r="G155" s="343"/>
      <c r="H155" s="283">
        <f t="shared" si="22"/>
        <v>11110.1066666667</v>
      </c>
      <c r="I155" s="292"/>
      <c r="J155" s="351">
        <v>21742</v>
      </c>
      <c r="K155" s="351">
        <v>21958</v>
      </c>
      <c r="L155" s="351">
        <v>30154</v>
      </c>
      <c r="M155" s="351">
        <v>42134</v>
      </c>
      <c r="N155" s="352">
        <v>21906</v>
      </c>
      <c r="O155" s="353">
        <v>8148</v>
      </c>
      <c r="P155" s="353">
        <v>19229</v>
      </c>
      <c r="Q155" s="353">
        <v>15107</v>
      </c>
      <c r="R155" s="353">
        <v>17568</v>
      </c>
      <c r="S155" s="353">
        <v>15415</v>
      </c>
      <c r="T155" s="353">
        <v>13428</v>
      </c>
      <c r="U155" s="353" t="e">
        <f>VLOOKUP(D155,Mid!$A$2:$C$225,2,FALSE)</f>
        <v>#N/A</v>
      </c>
      <c r="V155" s="353">
        <v>8145</v>
      </c>
      <c r="W155" s="353">
        <v>15964</v>
      </c>
      <c r="X155" s="353">
        <v>10548</v>
      </c>
      <c r="Y155" s="353">
        <v>16224</v>
      </c>
      <c r="Z155" s="353">
        <v>19872</v>
      </c>
      <c r="AA155" s="353">
        <v>12762</v>
      </c>
      <c r="AB155" s="353">
        <v>10925</v>
      </c>
      <c r="AC155" s="353">
        <v>16909</v>
      </c>
      <c r="AD155" s="353">
        <v>21656</v>
      </c>
      <c r="AE155" s="353">
        <v>32895</v>
      </c>
      <c r="AF155" s="353">
        <v>26246</v>
      </c>
      <c r="AG155" s="353">
        <v>17062</v>
      </c>
      <c r="AH155" s="353">
        <v>15363</v>
      </c>
      <c r="AI155" s="353">
        <v>19848</v>
      </c>
      <c r="AJ155" s="367">
        <v>21618</v>
      </c>
      <c r="AK155" s="283" t="s">
        <v>1937</v>
      </c>
      <c r="AL155" s="283">
        <v>18654</v>
      </c>
      <c r="AM155" s="283" t="s">
        <v>1938</v>
      </c>
      <c r="AN155" s="283" t="s">
        <v>1939</v>
      </c>
      <c r="AO155" s="283" t="s">
        <v>1940</v>
      </c>
      <c r="AP155" s="283">
        <v>31137</v>
      </c>
      <c r="AQ155" s="283" t="s">
        <v>1941</v>
      </c>
      <c r="AR155" s="283" t="s">
        <v>1942</v>
      </c>
      <c r="AS155" s="283">
        <f>0.1374*2*140224</f>
        <v>38533.5552</v>
      </c>
      <c r="AT155" s="283" t="s">
        <v>1943</v>
      </c>
      <c r="AU155" s="283" t="s">
        <v>1944</v>
      </c>
      <c r="AV155" s="283" t="s">
        <v>1945</v>
      </c>
      <c r="AW155" s="283">
        <f t="shared" si="18"/>
        <v>16472.8333333333</v>
      </c>
      <c r="AX155" s="283">
        <v>22900</v>
      </c>
      <c r="AY155" s="283">
        <v>14300</v>
      </c>
      <c r="AZ155" s="283">
        <v>15200</v>
      </c>
      <c r="BA155" s="283">
        <v>14100</v>
      </c>
      <c r="BB155" s="283">
        <v>12200</v>
      </c>
      <c r="BC155" s="283">
        <v>12600</v>
      </c>
      <c r="BD155" s="283">
        <v>14800</v>
      </c>
      <c r="BE155" s="283">
        <v>20000</v>
      </c>
      <c r="BF155" s="283">
        <v>9900</v>
      </c>
      <c r="BG155" s="283">
        <v>22500</v>
      </c>
      <c r="BH155" s="283">
        <v>6400</v>
      </c>
      <c r="BI155" s="283" t="e">
        <f>VLOOKUP(D155,Mid!$A$2:$C$225,3,FALSE)</f>
        <v>#N/A</v>
      </c>
      <c r="BJ155" s="283">
        <v>100100</v>
      </c>
      <c r="BK155" s="283">
        <v>34900</v>
      </c>
      <c r="BL155" s="283">
        <v>90200</v>
      </c>
      <c r="BM155" s="283">
        <v>15800</v>
      </c>
      <c r="BN155" s="283">
        <v>7900</v>
      </c>
      <c r="BO155" s="283">
        <v>16000</v>
      </c>
      <c r="BP155" s="283">
        <v>18200</v>
      </c>
      <c r="BQ155" s="283">
        <v>34300</v>
      </c>
      <c r="BR155" s="283">
        <v>36100</v>
      </c>
      <c r="BS155" s="283">
        <v>123100</v>
      </c>
      <c r="BT155" s="283">
        <v>239500</v>
      </c>
      <c r="BU155" s="283">
        <v>11800</v>
      </c>
      <c r="BV155" s="283">
        <v>7600</v>
      </c>
      <c r="BW155" s="283">
        <v>36000</v>
      </c>
      <c r="BX155" s="283">
        <v>24600</v>
      </c>
      <c r="BY155" s="283">
        <v>24600</v>
      </c>
      <c r="BZ155" s="283">
        <v>26400</v>
      </c>
      <c r="CA155" s="283">
        <v>8200</v>
      </c>
      <c r="CB155" s="283">
        <v>16200</v>
      </c>
      <c r="CC155" s="283">
        <v>21000</v>
      </c>
      <c r="CD155" s="283">
        <v>22000</v>
      </c>
      <c r="CE155" s="283">
        <v>25200</v>
      </c>
      <c r="CF155" s="283">
        <v>12800</v>
      </c>
      <c r="CG155" s="283">
        <v>9900</v>
      </c>
      <c r="CH155" s="283">
        <v>11284.28</v>
      </c>
      <c r="CI155" s="283">
        <v>4400</v>
      </c>
      <c r="CJ155" s="283">
        <v>4800</v>
      </c>
      <c r="CK155" s="283">
        <f t="shared" si="19"/>
        <v>5747.38</v>
      </c>
      <c r="CL155" s="370"/>
      <c r="CM155" s="371">
        <f>Summary!$D$20</f>
        <v>496415.356416666</v>
      </c>
      <c r="CN155" s="258">
        <f t="shared" si="16"/>
        <v>0</v>
      </c>
    </row>
    <row r="156" ht="15.6" spans="1:92">
      <c r="A156" s="258" t="s">
        <v>185</v>
      </c>
      <c r="B156" s="258" t="s">
        <v>812</v>
      </c>
      <c r="C156" s="258" t="s">
        <v>230</v>
      </c>
      <c r="D156" s="258" t="s">
        <v>337</v>
      </c>
      <c r="E156" s="258" t="s">
        <v>470</v>
      </c>
      <c r="F156" s="260" t="s">
        <v>412</v>
      </c>
      <c r="G156" s="343"/>
      <c r="H156" s="283">
        <f t="shared" si="22"/>
        <v>28293.3333333333</v>
      </c>
      <c r="I156" s="374" t="s">
        <v>1133</v>
      </c>
      <c r="J156" s="351">
        <v>61518</v>
      </c>
      <c r="K156" s="351">
        <v>23657</v>
      </c>
      <c r="L156" s="351">
        <v>33122</v>
      </c>
      <c r="M156" s="351">
        <v>30426</v>
      </c>
      <c r="N156" s="352">
        <v>26839</v>
      </c>
      <c r="O156" s="353">
        <v>28051</v>
      </c>
      <c r="P156" s="353">
        <v>39144</v>
      </c>
      <c r="Q156" s="353">
        <v>53243</v>
      </c>
      <c r="R156" s="353">
        <v>46689</v>
      </c>
      <c r="S156" s="353">
        <v>44445</v>
      </c>
      <c r="T156" s="353">
        <v>39746</v>
      </c>
      <c r="U156" s="353" t="e">
        <f>VLOOKUP(D156,Mid!$A$2:$C$225,2,FALSE)</f>
        <v>#N/A</v>
      </c>
      <c r="V156" s="353">
        <v>22352</v>
      </c>
      <c r="W156" s="353">
        <v>17975</v>
      </c>
      <c r="X156" s="353">
        <v>16142</v>
      </c>
      <c r="Y156" s="353">
        <v>31409</v>
      </c>
      <c r="Z156" s="353">
        <v>27437</v>
      </c>
      <c r="AA156" s="353">
        <v>60393</v>
      </c>
      <c r="AB156" s="353">
        <v>41304</v>
      </c>
      <c r="AC156" s="353">
        <v>108631</v>
      </c>
      <c r="AD156" s="353">
        <v>68787</v>
      </c>
      <c r="AE156" s="353">
        <v>43660</v>
      </c>
      <c r="AF156" s="353">
        <v>57686</v>
      </c>
      <c r="AG156" s="353">
        <v>44413</v>
      </c>
      <c r="AH156" s="353">
        <v>43659</v>
      </c>
      <c r="AI156" s="353">
        <v>75536</v>
      </c>
      <c r="AJ156" s="367">
        <v>60462</v>
      </c>
      <c r="AK156" s="283" t="s">
        <v>1946</v>
      </c>
      <c r="AL156" s="283">
        <v>52654</v>
      </c>
      <c r="AM156" s="283" t="s">
        <v>1947</v>
      </c>
      <c r="AN156" s="283" t="s">
        <v>1948</v>
      </c>
      <c r="AO156" s="283" t="s">
        <v>1949</v>
      </c>
      <c r="AP156" s="283">
        <v>60695</v>
      </c>
      <c r="AQ156" s="283" t="s">
        <v>1950</v>
      </c>
      <c r="AR156" s="283" t="s">
        <v>1951</v>
      </c>
      <c r="AS156" s="283">
        <f>0.1163*2*87025</f>
        <v>20242.015</v>
      </c>
      <c r="AT156" s="283" t="s">
        <v>1952</v>
      </c>
      <c r="AU156" s="283" t="s">
        <v>1953</v>
      </c>
      <c r="AV156" s="283" t="s">
        <v>1954</v>
      </c>
      <c r="AW156" s="283">
        <f t="shared" si="18"/>
        <v>49336.6666666667</v>
      </c>
      <c r="AX156" s="283">
        <v>20700</v>
      </c>
      <c r="AY156" s="283">
        <v>26700</v>
      </c>
      <c r="AZ156" s="283">
        <v>33900</v>
      </c>
      <c r="BA156" s="283">
        <v>35300</v>
      </c>
      <c r="BB156" s="283">
        <v>27200</v>
      </c>
      <c r="BC156" s="283">
        <v>27800</v>
      </c>
      <c r="BD156" s="283">
        <v>26000</v>
      </c>
      <c r="BE156" s="283">
        <v>30000</v>
      </c>
      <c r="BF156" s="283">
        <v>58300</v>
      </c>
      <c r="BG156" s="283">
        <v>42300</v>
      </c>
      <c r="BH156" s="283">
        <v>58100</v>
      </c>
      <c r="BI156" s="283" t="e">
        <f>VLOOKUP(D156,Mid!$A$2:$C$225,3,FALSE)</f>
        <v>#N/A</v>
      </c>
      <c r="BJ156" s="283">
        <v>23400</v>
      </c>
      <c r="BK156" s="283">
        <v>23100</v>
      </c>
      <c r="BL156" s="283">
        <v>21600</v>
      </c>
      <c r="BM156" s="283">
        <v>67700</v>
      </c>
      <c r="BN156" s="283">
        <v>51800</v>
      </c>
      <c r="BO156" s="283">
        <v>56800</v>
      </c>
      <c r="BP156" s="283">
        <v>56700</v>
      </c>
      <c r="BQ156" s="283">
        <v>20800</v>
      </c>
      <c r="BR156" s="283">
        <v>28500</v>
      </c>
      <c r="BS156" s="283">
        <v>43300</v>
      </c>
      <c r="BT156" s="283">
        <v>63400</v>
      </c>
      <c r="BU156" s="283">
        <v>45800</v>
      </c>
      <c r="BV156" s="283">
        <v>40000</v>
      </c>
      <c r="BW156" s="283">
        <v>26300</v>
      </c>
      <c r="BX156" s="283">
        <v>97200</v>
      </c>
      <c r="BY156" s="283">
        <v>97200</v>
      </c>
      <c r="BZ156" s="283">
        <v>44400</v>
      </c>
      <c r="CA156" s="283">
        <v>50897</v>
      </c>
      <c r="CB156" s="283">
        <v>37500</v>
      </c>
      <c r="CC156" s="283">
        <v>18100</v>
      </c>
      <c r="CD156" s="283">
        <v>20800</v>
      </c>
      <c r="CE156" s="283">
        <v>17400</v>
      </c>
      <c r="CF156" s="283">
        <v>19711.38</v>
      </c>
      <c r="CG156" s="283">
        <v>19875.68</v>
      </c>
      <c r="CH156" s="283">
        <v>7800</v>
      </c>
      <c r="CI156" s="283">
        <v>4500</v>
      </c>
      <c r="CJ156" s="283">
        <v>8900</v>
      </c>
      <c r="CK156" s="283">
        <f t="shared" si="19"/>
        <v>7250</v>
      </c>
      <c r="CL156" s="370"/>
      <c r="CM156" s="371">
        <f>Summary!$D$20</f>
        <v>496415.356416666</v>
      </c>
      <c r="CN156" s="258">
        <f t="shared" si="16"/>
        <v>1</v>
      </c>
    </row>
    <row r="157" ht="15.6" spans="1:92">
      <c r="A157" s="258" t="s">
        <v>185</v>
      </c>
      <c r="B157" s="258" t="s">
        <v>812</v>
      </c>
      <c r="C157" s="258" t="s">
        <v>230</v>
      </c>
      <c r="D157" s="258" t="s">
        <v>334</v>
      </c>
      <c r="E157" s="258" t="s">
        <v>233</v>
      </c>
      <c r="F157" s="260" t="s">
        <v>50</v>
      </c>
      <c r="G157" s="343"/>
      <c r="H157" s="283">
        <f t="shared" si="22"/>
        <v>67602.2333333333</v>
      </c>
      <c r="I157" s="374"/>
      <c r="J157" s="351">
        <v>46828</v>
      </c>
      <c r="K157" s="351">
        <v>75764</v>
      </c>
      <c r="L157" s="351">
        <v>43858</v>
      </c>
      <c r="M157" s="351">
        <v>50583</v>
      </c>
      <c r="N157" s="352">
        <v>67274</v>
      </c>
      <c r="O157" s="353">
        <v>65831</v>
      </c>
      <c r="P157" s="353">
        <v>64506</v>
      </c>
      <c r="Q157" s="353">
        <v>50601</v>
      </c>
      <c r="R157" s="353">
        <v>73108</v>
      </c>
      <c r="S157" s="353">
        <v>83366</v>
      </c>
      <c r="T157" s="353">
        <v>114953</v>
      </c>
      <c r="U157" s="353" t="e">
        <f>VLOOKUP(D157,Mid!$A$2:$C$225,2,FALSE)</f>
        <v>#N/A</v>
      </c>
      <c r="V157" s="353">
        <v>138901</v>
      </c>
      <c r="W157" s="353">
        <v>86152</v>
      </c>
      <c r="X157" s="353">
        <v>68966</v>
      </c>
      <c r="Y157" s="353">
        <v>98799</v>
      </c>
      <c r="Z157" s="353">
        <v>70146</v>
      </c>
      <c r="AA157" s="353">
        <v>124419</v>
      </c>
      <c r="AB157" s="353">
        <v>121043</v>
      </c>
      <c r="AC157" s="353">
        <v>91994</v>
      </c>
      <c r="AD157" s="353">
        <v>111727</v>
      </c>
      <c r="AE157" s="353">
        <v>108212</v>
      </c>
      <c r="AF157" s="353">
        <v>103894</v>
      </c>
      <c r="AG157" s="353">
        <v>86981</v>
      </c>
      <c r="AH157" s="353">
        <v>98429</v>
      </c>
      <c r="AI157" s="353">
        <v>103355</v>
      </c>
      <c r="AJ157" s="367">
        <v>113153</v>
      </c>
      <c r="AK157" s="283" t="s">
        <v>1955</v>
      </c>
      <c r="AL157" s="283">
        <v>64510</v>
      </c>
      <c r="AM157" s="283" t="s">
        <v>1956</v>
      </c>
      <c r="AN157" s="283" t="s">
        <v>1957</v>
      </c>
      <c r="AO157" s="283" t="s">
        <v>1958</v>
      </c>
      <c r="AP157" s="283">
        <v>50134</v>
      </c>
      <c r="AQ157" s="283" t="s">
        <v>1959</v>
      </c>
      <c r="AR157" s="283" t="s">
        <v>1960</v>
      </c>
      <c r="AS157" s="283">
        <f>0.2976*2*128404</f>
        <v>76426.0608</v>
      </c>
      <c r="AT157" s="283" t="s">
        <v>1961</v>
      </c>
      <c r="AU157" s="283" t="s">
        <v>1962</v>
      </c>
      <c r="AV157" s="283" t="s">
        <v>1963</v>
      </c>
      <c r="AW157" s="283">
        <f t="shared" si="18"/>
        <v>74101.3333333333</v>
      </c>
      <c r="AX157" s="283">
        <v>69300</v>
      </c>
      <c r="AY157" s="283">
        <v>59100</v>
      </c>
      <c r="AZ157" s="283">
        <v>84800</v>
      </c>
      <c r="BA157" s="283">
        <v>86800</v>
      </c>
      <c r="BB157" s="283">
        <v>65400</v>
      </c>
      <c r="BC157" s="283">
        <v>64000</v>
      </c>
      <c r="BD157" s="283">
        <v>92400</v>
      </c>
      <c r="BE157" s="283">
        <v>87400</v>
      </c>
      <c r="BF157" s="283">
        <v>34200</v>
      </c>
      <c r="BG157" s="283">
        <v>33700</v>
      </c>
      <c r="BH157" s="283">
        <v>52300</v>
      </c>
      <c r="BI157" s="283" t="e">
        <f>VLOOKUP(D157,Mid!$A$2:$C$225,3,FALSE)</f>
        <v>#N/A</v>
      </c>
      <c r="BJ157" s="283">
        <v>44600</v>
      </c>
      <c r="BK157" s="283">
        <v>38800</v>
      </c>
      <c r="BL157" s="283">
        <v>37000</v>
      </c>
      <c r="BM157" s="283">
        <v>81300</v>
      </c>
      <c r="BN157" s="283">
        <v>55000</v>
      </c>
      <c r="BO157" s="283">
        <v>130500</v>
      </c>
      <c r="BP157" s="283">
        <v>118000</v>
      </c>
      <c r="BQ157" s="283">
        <v>79900</v>
      </c>
      <c r="BR157" s="283">
        <v>96000</v>
      </c>
      <c r="BS157" s="283">
        <v>138500</v>
      </c>
      <c r="BT157" s="283">
        <v>150600</v>
      </c>
      <c r="BU157" s="283">
        <v>153000</v>
      </c>
      <c r="BV157" s="283">
        <v>84500</v>
      </c>
      <c r="BW157" s="283">
        <v>152500</v>
      </c>
      <c r="BX157" s="283">
        <v>90100</v>
      </c>
      <c r="BY157" s="283">
        <v>90100</v>
      </c>
      <c r="BZ157" s="283">
        <v>75000</v>
      </c>
      <c r="CA157" s="283">
        <v>99500</v>
      </c>
      <c r="CB157" s="283">
        <v>43100</v>
      </c>
      <c r="CC157" s="283">
        <v>57060</v>
      </c>
      <c r="CD157" s="283">
        <v>50000</v>
      </c>
      <c r="CE157" s="283">
        <v>41600</v>
      </c>
      <c r="CF157" s="283">
        <v>31600</v>
      </c>
      <c r="CG157" s="283">
        <v>106800</v>
      </c>
      <c r="CH157" s="283">
        <v>35200</v>
      </c>
      <c r="CI157" s="283">
        <v>74000</v>
      </c>
      <c r="CJ157" s="283">
        <v>61139.6</v>
      </c>
      <c r="CK157" s="283">
        <f t="shared" si="19"/>
        <v>61103.1333333333</v>
      </c>
      <c r="CL157" s="370"/>
      <c r="CM157" s="371">
        <f>Summary!$D$20</f>
        <v>496415.356416666</v>
      </c>
      <c r="CN157" s="258">
        <f t="shared" si="16"/>
        <v>1</v>
      </c>
    </row>
    <row r="158" ht="15.6" spans="1:92">
      <c r="A158" s="258" t="s">
        <v>187</v>
      </c>
      <c r="B158" s="258" t="s">
        <v>812</v>
      </c>
      <c r="C158" s="258" t="s">
        <v>230</v>
      </c>
      <c r="D158" s="258" t="s">
        <v>341</v>
      </c>
      <c r="E158" s="258" t="s">
        <v>233</v>
      </c>
      <c r="F158" s="260" t="s">
        <v>422</v>
      </c>
      <c r="G158" s="343"/>
      <c r="H158" s="283">
        <f t="shared" si="22"/>
        <v>78254.1666666667</v>
      </c>
      <c r="I158" s="292"/>
      <c r="J158" s="351">
        <v>56136</v>
      </c>
      <c r="K158" s="351">
        <v>100162</v>
      </c>
      <c r="L158" s="351">
        <v>75430</v>
      </c>
      <c r="M158" s="351">
        <v>106217</v>
      </c>
      <c r="N158" s="352">
        <v>66723</v>
      </c>
      <c r="O158" s="353">
        <v>81097</v>
      </c>
      <c r="P158" s="353">
        <v>76359</v>
      </c>
      <c r="Q158" s="353">
        <v>68055</v>
      </c>
      <c r="R158" s="353">
        <v>74527</v>
      </c>
      <c r="S158" s="353">
        <v>107956</v>
      </c>
      <c r="T158" s="353">
        <v>78716</v>
      </c>
      <c r="U158" s="353" t="e">
        <f>VLOOKUP(D158,Mid!$A$2:$C$225,2,FALSE)</f>
        <v>#N/A</v>
      </c>
      <c r="V158" s="353">
        <v>65829</v>
      </c>
      <c r="W158" s="353">
        <v>109676</v>
      </c>
      <c r="X158" s="353">
        <v>81685</v>
      </c>
      <c r="Y158" s="353">
        <v>75527</v>
      </c>
      <c r="Z158" s="353">
        <v>67909</v>
      </c>
      <c r="AA158" s="353">
        <v>40603</v>
      </c>
      <c r="AB158" s="353">
        <v>44201</v>
      </c>
      <c r="AC158" s="353">
        <v>57979</v>
      </c>
      <c r="AD158" s="353">
        <v>79894</v>
      </c>
      <c r="AE158" s="353">
        <v>78540</v>
      </c>
      <c r="AF158" s="353">
        <v>80916</v>
      </c>
      <c r="AG158" s="353">
        <v>62519</v>
      </c>
      <c r="AH158" s="353">
        <v>53592</v>
      </c>
      <c r="AI158" s="353">
        <v>73089</v>
      </c>
      <c r="AJ158" s="367">
        <v>62504</v>
      </c>
      <c r="AK158" s="283" t="s">
        <v>1356</v>
      </c>
      <c r="AL158" s="283">
        <v>71232</v>
      </c>
      <c r="AM158" s="283" t="s">
        <v>1964</v>
      </c>
      <c r="AN158" s="283" t="s">
        <v>1965</v>
      </c>
      <c r="AO158" s="283" t="s">
        <v>1966</v>
      </c>
      <c r="AP158" s="283">
        <v>86440</v>
      </c>
      <c r="AQ158" s="283" t="s">
        <v>1967</v>
      </c>
      <c r="AR158" s="283" t="s">
        <v>1968</v>
      </c>
      <c r="AS158" s="283" t="s">
        <v>1969</v>
      </c>
      <c r="AT158" s="283" t="s">
        <v>1970</v>
      </c>
      <c r="AU158" s="283" t="s">
        <v>1971</v>
      </c>
      <c r="AV158" s="283" t="s">
        <v>1972</v>
      </c>
      <c r="AW158" s="283">
        <f t="shared" si="18"/>
        <v>82191.6666666667</v>
      </c>
      <c r="AX158" s="283">
        <v>33400</v>
      </c>
      <c r="AY158" s="283">
        <v>29800</v>
      </c>
      <c r="AZ158" s="283">
        <v>27800</v>
      </c>
      <c r="BA158" s="283">
        <v>28400</v>
      </c>
      <c r="BB158" s="283">
        <v>29700</v>
      </c>
      <c r="BC158" s="283">
        <v>27800</v>
      </c>
      <c r="BD158" s="283">
        <v>30900</v>
      </c>
      <c r="BE158" s="283">
        <v>39500</v>
      </c>
      <c r="BF158" s="283">
        <v>29800</v>
      </c>
      <c r="BG158" s="283">
        <v>26700</v>
      </c>
      <c r="BH158" s="283">
        <v>22600</v>
      </c>
      <c r="BI158" s="283" t="e">
        <f>VLOOKUP(D158,Mid!$A$2:$C$225,3,FALSE)</f>
        <v>#N/A</v>
      </c>
      <c r="BJ158" s="283">
        <v>34100</v>
      </c>
      <c r="BK158" s="283">
        <v>30600</v>
      </c>
      <c r="BL158" s="283">
        <v>33900</v>
      </c>
      <c r="BM158" s="283">
        <v>18000</v>
      </c>
      <c r="BN158" s="283">
        <v>51700</v>
      </c>
      <c r="BO158" s="283">
        <v>44300</v>
      </c>
      <c r="BP158" s="283">
        <v>46700</v>
      </c>
      <c r="BQ158" s="283">
        <v>43600</v>
      </c>
      <c r="BR158" s="283">
        <v>69600</v>
      </c>
      <c r="BS158" s="283">
        <v>51000</v>
      </c>
      <c r="BT158" s="283">
        <v>37800</v>
      </c>
      <c r="BU158" s="283">
        <v>76600</v>
      </c>
      <c r="BV158" s="283">
        <v>78900</v>
      </c>
      <c r="BW158" s="283">
        <v>29900</v>
      </c>
      <c r="BX158" s="283">
        <v>56800</v>
      </c>
      <c r="BY158" s="283">
        <v>56800</v>
      </c>
      <c r="BZ158" s="283">
        <v>24700</v>
      </c>
      <c r="CA158" s="283">
        <v>34500</v>
      </c>
      <c r="CB158" s="283">
        <v>28500</v>
      </c>
      <c r="CC158" s="283">
        <v>34200</v>
      </c>
      <c r="CD158" s="283">
        <v>93200</v>
      </c>
      <c r="CE158" s="283">
        <v>108600</v>
      </c>
      <c r="CF158" s="283">
        <v>81600</v>
      </c>
      <c r="CG158" s="283">
        <v>41400</v>
      </c>
      <c r="CH158" s="283">
        <v>85300</v>
      </c>
      <c r="CI158" s="283">
        <v>87300</v>
      </c>
      <c r="CJ158" s="283">
        <v>62000</v>
      </c>
      <c r="CK158" s="283">
        <f t="shared" si="19"/>
        <v>74316.6666666667</v>
      </c>
      <c r="CL158" s="370"/>
      <c r="CM158" s="371">
        <f>Summary!$D$21</f>
        <v>254452.454633333</v>
      </c>
      <c r="CN158" s="258">
        <f t="shared" si="16"/>
        <v>1</v>
      </c>
    </row>
    <row r="159" ht="15.6" spans="1:92">
      <c r="A159" s="258" t="s">
        <v>187</v>
      </c>
      <c r="B159" s="258" t="s">
        <v>812</v>
      </c>
      <c r="C159" s="258" t="s">
        <v>230</v>
      </c>
      <c r="D159" s="258" t="s">
        <v>474</v>
      </c>
      <c r="E159" s="258" t="s">
        <v>233</v>
      </c>
      <c r="F159" s="260" t="s">
        <v>420</v>
      </c>
      <c r="G159" s="343"/>
      <c r="H159" s="283">
        <f t="shared" si="22"/>
        <v>2190.08333333333</v>
      </c>
      <c r="I159" s="374"/>
      <c r="J159" s="351">
        <v>42336</v>
      </c>
      <c r="K159" s="351">
        <v>106769</v>
      </c>
      <c r="L159" s="351">
        <v>101363</v>
      </c>
      <c r="M159" s="351">
        <v>77951</v>
      </c>
      <c r="N159" s="352">
        <v>51415</v>
      </c>
      <c r="O159" s="352">
        <v>70690</v>
      </c>
      <c r="P159" s="352">
        <v>96150</v>
      </c>
      <c r="Q159" s="353">
        <v>83871</v>
      </c>
      <c r="R159" s="353">
        <v>62145</v>
      </c>
      <c r="S159" s="353">
        <v>122230</v>
      </c>
      <c r="T159" s="353">
        <v>102012</v>
      </c>
      <c r="U159" s="353" t="e">
        <f>VLOOKUP(D159,Mid!$A$2:$C$225,2,FALSE)</f>
        <v>#N/A</v>
      </c>
      <c r="V159" s="353">
        <v>118478</v>
      </c>
      <c r="W159" s="353">
        <v>151866</v>
      </c>
      <c r="X159" s="353">
        <v>135908</v>
      </c>
      <c r="Y159" s="353">
        <v>125071</v>
      </c>
      <c r="Z159" s="353">
        <v>122546</v>
      </c>
      <c r="AA159" s="353">
        <v>29940</v>
      </c>
      <c r="AB159" s="353">
        <v>10350</v>
      </c>
      <c r="AC159" s="353">
        <v>10578</v>
      </c>
      <c r="AD159" s="353">
        <v>3261</v>
      </c>
      <c r="AE159" s="353">
        <v>1494</v>
      </c>
      <c r="AF159" s="353">
        <v>3859</v>
      </c>
      <c r="AG159" s="353">
        <v>1899</v>
      </c>
      <c r="AH159" s="353">
        <v>767</v>
      </c>
      <c r="AI159" s="353">
        <v>1485</v>
      </c>
      <c r="AJ159" s="353">
        <v>1636</v>
      </c>
      <c r="AK159" s="283" t="s">
        <v>1973</v>
      </c>
      <c r="AL159" s="283">
        <v>2244</v>
      </c>
      <c r="AM159" s="283" t="s">
        <v>1974</v>
      </c>
      <c r="AN159" s="283" t="s">
        <v>1975</v>
      </c>
      <c r="AO159" s="283" t="s">
        <v>1976</v>
      </c>
      <c r="AP159" s="283">
        <v>29875</v>
      </c>
      <c r="AQ159" s="283" t="s">
        <v>796</v>
      </c>
      <c r="AR159" s="283" t="s">
        <v>1977</v>
      </c>
      <c r="AS159" s="283" t="s">
        <v>1978</v>
      </c>
      <c r="AT159" s="283" t="s">
        <v>1979</v>
      </c>
      <c r="AU159" s="283" t="s">
        <v>1980</v>
      </c>
      <c r="AV159" s="283" t="s">
        <v>1981</v>
      </c>
      <c r="AW159" s="283">
        <f t="shared" si="18"/>
        <v>3680.16666666667</v>
      </c>
      <c r="AX159" s="283">
        <v>26500</v>
      </c>
      <c r="AY159" s="283">
        <v>27900</v>
      </c>
      <c r="AZ159" s="283">
        <v>21700</v>
      </c>
      <c r="BA159" s="283">
        <v>26000</v>
      </c>
      <c r="BB159" s="283">
        <v>35300</v>
      </c>
      <c r="BC159" s="283">
        <v>39800</v>
      </c>
      <c r="BD159" s="283">
        <v>33500</v>
      </c>
      <c r="BE159" s="283">
        <v>27300</v>
      </c>
      <c r="BF159" s="283">
        <v>19200</v>
      </c>
      <c r="BG159" s="283">
        <v>16200</v>
      </c>
      <c r="BH159" s="283">
        <v>23300</v>
      </c>
      <c r="BI159" s="283" t="e">
        <f>VLOOKUP(D159,Mid!$A$2:$C$225,3,FALSE)</f>
        <v>#N/A</v>
      </c>
      <c r="BJ159" s="283">
        <v>28100</v>
      </c>
      <c r="BK159" s="283">
        <v>22100</v>
      </c>
      <c r="BL159" s="283">
        <v>17700</v>
      </c>
      <c r="BM159" s="283">
        <v>20200</v>
      </c>
      <c r="BN159" s="283">
        <v>17900</v>
      </c>
      <c r="BO159" s="283">
        <v>1800</v>
      </c>
      <c r="BP159" s="283">
        <v>1700</v>
      </c>
      <c r="BQ159" s="283">
        <v>954</v>
      </c>
      <c r="BR159" s="283">
        <v>162</v>
      </c>
      <c r="BS159" s="283">
        <v>6100</v>
      </c>
      <c r="BT159" s="283">
        <v>881</v>
      </c>
      <c r="BU159" s="283">
        <v>2600</v>
      </c>
      <c r="BV159" s="283">
        <v>0</v>
      </c>
      <c r="BW159" s="283">
        <v>3400</v>
      </c>
      <c r="BX159" s="283">
        <v>1100</v>
      </c>
      <c r="BY159" s="283">
        <v>1100</v>
      </c>
      <c r="BZ159" s="283">
        <v>0</v>
      </c>
      <c r="CA159" s="283">
        <v>765</v>
      </c>
      <c r="CB159" s="283">
        <v>0</v>
      </c>
      <c r="CC159" s="283">
        <v>5500</v>
      </c>
      <c r="CD159" s="283">
        <v>0</v>
      </c>
      <c r="CE159" s="283">
        <v>923</v>
      </c>
      <c r="CF159" s="283">
        <v>0</v>
      </c>
      <c r="CG159" s="283">
        <v>864</v>
      </c>
      <c r="CH159" s="283">
        <v>0</v>
      </c>
      <c r="CI159" s="283">
        <v>0</v>
      </c>
      <c r="CJ159" s="283">
        <v>1400</v>
      </c>
      <c r="CK159" s="283">
        <f t="shared" si="19"/>
        <v>700</v>
      </c>
      <c r="CL159" s="370"/>
      <c r="CM159" s="371">
        <f>Summary!$D$21</f>
        <v>254452.454633333</v>
      </c>
      <c r="CN159" s="258">
        <f t="shared" si="16"/>
        <v>0</v>
      </c>
    </row>
    <row r="160" ht="15.6" spans="1:92">
      <c r="A160" s="258" t="s">
        <v>187</v>
      </c>
      <c r="B160" s="258" t="s">
        <v>812</v>
      </c>
      <c r="C160" s="258" t="s">
        <v>230</v>
      </c>
      <c r="D160" s="258" t="s">
        <v>344</v>
      </c>
      <c r="E160" s="258" t="s">
        <v>233</v>
      </c>
      <c r="F160" s="260" t="s">
        <v>234</v>
      </c>
      <c r="G160" s="343"/>
      <c r="H160" s="283">
        <f t="shared" si="22"/>
        <v>22653.1633333333</v>
      </c>
      <c r="I160" s="260"/>
      <c r="J160" s="351">
        <v>48342</v>
      </c>
      <c r="K160" s="351">
        <v>44491</v>
      </c>
      <c r="L160" s="351">
        <v>30074</v>
      </c>
      <c r="M160" s="351">
        <v>56754</v>
      </c>
      <c r="N160" s="352">
        <v>82094</v>
      </c>
      <c r="O160" s="353">
        <v>54012</v>
      </c>
      <c r="P160" s="353">
        <v>40022</v>
      </c>
      <c r="Q160" s="353">
        <v>29784</v>
      </c>
      <c r="R160" s="353">
        <v>59181</v>
      </c>
      <c r="S160" s="353">
        <v>25755</v>
      </c>
      <c r="T160" s="353">
        <v>31375</v>
      </c>
      <c r="U160" s="353" t="e">
        <f>VLOOKUP(D160,Mid!$A$2:$C$225,2,FALSE)</f>
        <v>#N/A</v>
      </c>
      <c r="V160" s="353">
        <v>23476</v>
      </c>
      <c r="W160" s="353">
        <v>30056</v>
      </c>
      <c r="X160" s="353">
        <v>27780</v>
      </c>
      <c r="Y160" s="353">
        <v>30673</v>
      </c>
      <c r="Z160" s="353">
        <v>25387</v>
      </c>
      <c r="AA160" s="353">
        <v>39040</v>
      </c>
      <c r="AB160" s="353">
        <v>63249</v>
      </c>
      <c r="AC160" s="353">
        <v>31191</v>
      </c>
      <c r="AD160" s="353">
        <v>39493</v>
      </c>
      <c r="AE160" s="353">
        <v>27904</v>
      </c>
      <c r="AF160" s="353">
        <v>25128</v>
      </c>
      <c r="AG160" s="353">
        <v>39544</v>
      </c>
      <c r="AH160" s="353">
        <v>59722</v>
      </c>
      <c r="AI160" s="353">
        <v>61413</v>
      </c>
      <c r="AJ160" s="367">
        <v>48737</v>
      </c>
      <c r="AK160" s="283" t="s">
        <v>1982</v>
      </c>
      <c r="AL160" s="283">
        <v>32035</v>
      </c>
      <c r="AM160" s="283" t="s">
        <v>1983</v>
      </c>
      <c r="AN160" s="283" t="s">
        <v>1984</v>
      </c>
      <c r="AO160" s="283" t="s">
        <v>1985</v>
      </c>
      <c r="AP160" s="283">
        <v>29875</v>
      </c>
      <c r="AQ160" s="283" t="s">
        <v>1986</v>
      </c>
      <c r="AR160" s="283" t="s">
        <v>1987</v>
      </c>
      <c r="AS160" s="283" t="s">
        <v>1988</v>
      </c>
      <c r="AT160" s="283" t="s">
        <v>1989</v>
      </c>
      <c r="AU160" s="283" t="s">
        <v>1990</v>
      </c>
      <c r="AV160" s="283" t="s">
        <v>1991</v>
      </c>
      <c r="AW160" s="283">
        <f t="shared" si="18"/>
        <v>29109.6666666667</v>
      </c>
      <c r="AX160" s="283">
        <v>27400</v>
      </c>
      <c r="AY160" s="283">
        <v>26800</v>
      </c>
      <c r="AZ160" s="283">
        <v>38500</v>
      </c>
      <c r="BA160" s="283">
        <v>45600</v>
      </c>
      <c r="BB160" s="283">
        <v>29800</v>
      </c>
      <c r="BC160" s="283">
        <v>42200</v>
      </c>
      <c r="BD160" s="283">
        <v>47400</v>
      </c>
      <c r="BE160" s="283">
        <v>16000</v>
      </c>
      <c r="BF160" s="283">
        <v>19300</v>
      </c>
      <c r="BG160" s="283">
        <v>16500</v>
      </c>
      <c r="BH160" s="283">
        <v>20900</v>
      </c>
      <c r="BI160" s="283" t="e">
        <f>VLOOKUP(D160,Mid!$A$2:$C$225,3,FALSE)</f>
        <v>#N/A</v>
      </c>
      <c r="BJ160" s="283">
        <v>25600</v>
      </c>
      <c r="BK160" s="283">
        <v>17300</v>
      </c>
      <c r="BL160" s="283">
        <v>13700</v>
      </c>
      <c r="BM160" s="283">
        <v>42000</v>
      </c>
      <c r="BN160" s="283">
        <v>18600</v>
      </c>
      <c r="BO160" s="283">
        <v>16300</v>
      </c>
      <c r="BP160" s="283">
        <v>20100</v>
      </c>
      <c r="BQ160" s="283">
        <v>58600</v>
      </c>
      <c r="BR160" s="283">
        <v>50400</v>
      </c>
      <c r="BS160" s="283">
        <v>18700</v>
      </c>
      <c r="BT160" s="283">
        <v>28800</v>
      </c>
      <c r="BU160" s="283">
        <v>16000</v>
      </c>
      <c r="BV160" s="283">
        <v>10200</v>
      </c>
      <c r="BW160" s="283">
        <v>28400</v>
      </c>
      <c r="BX160" s="283">
        <v>21000</v>
      </c>
      <c r="BY160" s="283">
        <v>21000</v>
      </c>
      <c r="BZ160" s="283">
        <v>17000</v>
      </c>
      <c r="CA160" s="283">
        <v>17147.1</v>
      </c>
      <c r="CB160" s="283">
        <v>25200</v>
      </c>
      <c r="CC160" s="283">
        <v>11500</v>
      </c>
      <c r="CD160" s="283">
        <v>10000</v>
      </c>
      <c r="CE160" s="283">
        <v>47400</v>
      </c>
      <c r="CF160" s="283">
        <v>4700</v>
      </c>
      <c r="CG160" s="283">
        <v>31435.2</v>
      </c>
      <c r="CH160" s="283">
        <v>8679.96</v>
      </c>
      <c r="CI160" s="283">
        <v>9900</v>
      </c>
      <c r="CJ160" s="283">
        <v>22900</v>
      </c>
      <c r="CK160" s="283">
        <f t="shared" si="19"/>
        <v>16196.66</v>
      </c>
      <c r="CL160" s="370"/>
      <c r="CM160" s="371">
        <f>Summary!$D$21</f>
        <v>254452.454633333</v>
      </c>
      <c r="CN160" s="258">
        <f t="shared" si="16"/>
        <v>1</v>
      </c>
    </row>
    <row r="161" ht="15.6" spans="1:92">
      <c r="A161" s="258" t="s">
        <v>187</v>
      </c>
      <c r="B161" s="258" t="s">
        <v>812</v>
      </c>
      <c r="C161" s="258" t="s">
        <v>1992</v>
      </c>
      <c r="D161" s="258" t="s">
        <v>1993</v>
      </c>
      <c r="E161" s="258" t="s">
        <v>233</v>
      </c>
      <c r="F161" s="260" t="s">
        <v>371</v>
      </c>
      <c r="G161" s="343"/>
      <c r="H161" s="283">
        <f t="shared" si="22"/>
        <v>588.416666666667</v>
      </c>
      <c r="I161" s="292"/>
      <c r="J161" s="357">
        <v>0</v>
      </c>
      <c r="K161" s="357">
        <v>0</v>
      </c>
      <c r="L161" s="357">
        <v>0</v>
      </c>
      <c r="M161" s="357">
        <v>0</v>
      </c>
      <c r="N161" s="358">
        <v>0</v>
      </c>
      <c r="O161" s="359">
        <v>0</v>
      </c>
      <c r="P161" s="359">
        <v>0</v>
      </c>
      <c r="Q161" s="359">
        <v>0</v>
      </c>
      <c r="R161" s="359">
        <v>0</v>
      </c>
      <c r="S161" s="359">
        <v>0</v>
      </c>
      <c r="T161" s="359">
        <v>0</v>
      </c>
      <c r="U161" s="353" t="e">
        <f>VLOOKUP(D161,Mid!$A$2:$C$225,2,FALSE)</f>
        <v>#N/A</v>
      </c>
      <c r="V161" s="353">
        <v>0</v>
      </c>
      <c r="W161" s="353">
        <v>0</v>
      </c>
      <c r="X161" s="353">
        <v>0</v>
      </c>
      <c r="Y161" s="353">
        <v>0</v>
      </c>
      <c r="Z161" s="353">
        <v>0</v>
      </c>
      <c r="AA161" s="353">
        <v>0</v>
      </c>
      <c r="AB161" s="353">
        <v>0</v>
      </c>
      <c r="AC161" s="353">
        <v>0</v>
      </c>
      <c r="AD161" s="353">
        <v>0</v>
      </c>
      <c r="AE161" s="353">
        <v>0</v>
      </c>
      <c r="AF161" s="353">
        <v>0</v>
      </c>
      <c r="AG161" s="353">
        <v>0</v>
      </c>
      <c r="AH161" s="353">
        <v>0</v>
      </c>
      <c r="AI161" s="353">
        <v>0</v>
      </c>
      <c r="AJ161" s="353">
        <v>2087</v>
      </c>
      <c r="AK161" s="283">
        <v>5000</v>
      </c>
      <c r="AL161" s="283">
        <v>8585</v>
      </c>
      <c r="AM161" s="283" t="s">
        <v>1994</v>
      </c>
      <c r="AN161" s="283" t="s">
        <v>1995</v>
      </c>
      <c r="AO161" s="283" t="s">
        <v>796</v>
      </c>
      <c r="AP161" s="283">
        <v>5000</v>
      </c>
      <c r="AQ161" s="283" t="s">
        <v>1996</v>
      </c>
      <c r="AR161" s="283" t="s">
        <v>1997</v>
      </c>
      <c r="AS161" s="283" t="s">
        <v>1998</v>
      </c>
      <c r="AT161" s="283" t="s">
        <v>1999</v>
      </c>
      <c r="AU161" s="283" t="s">
        <v>2000</v>
      </c>
      <c r="AV161" s="283" t="s">
        <v>2001</v>
      </c>
      <c r="AW161" s="283">
        <f t="shared" si="18"/>
        <v>383.166666666667</v>
      </c>
      <c r="AX161" s="283">
        <v>2000</v>
      </c>
      <c r="AY161" s="283">
        <v>1600</v>
      </c>
      <c r="AZ161" s="283">
        <v>3600</v>
      </c>
      <c r="BA161" s="283">
        <v>2800</v>
      </c>
      <c r="BB161" s="283">
        <v>2800</v>
      </c>
      <c r="BC161" s="283">
        <v>0</v>
      </c>
      <c r="BD161" s="283">
        <v>0</v>
      </c>
      <c r="BE161" s="283">
        <v>3000</v>
      </c>
      <c r="BF161" s="283">
        <v>2200</v>
      </c>
      <c r="BG161" s="283">
        <v>17900</v>
      </c>
      <c r="BH161" s="283">
        <v>30400</v>
      </c>
      <c r="BI161" s="283" t="e">
        <f>VLOOKUP(D161,Mid!$A$2:$C$225,3,FALSE)</f>
        <v>#N/A</v>
      </c>
      <c r="BJ161" s="283">
        <v>29500</v>
      </c>
      <c r="BK161" s="283">
        <v>8300</v>
      </c>
      <c r="BL161" s="283">
        <v>4600</v>
      </c>
      <c r="BM161" s="283">
        <v>52500</v>
      </c>
      <c r="BN161" s="283">
        <v>29100</v>
      </c>
      <c r="BO161" s="283">
        <v>8200</v>
      </c>
      <c r="BP161" s="283">
        <v>57900</v>
      </c>
      <c r="BQ161" s="283">
        <v>10200</v>
      </c>
      <c r="BR161" s="283">
        <v>13300</v>
      </c>
      <c r="BS161" s="283">
        <v>2900</v>
      </c>
      <c r="BT161" s="283">
        <v>1800</v>
      </c>
      <c r="BU161" s="283">
        <v>1300</v>
      </c>
      <c r="BV161" s="283">
        <v>0</v>
      </c>
      <c r="BW161" s="283">
        <v>1800</v>
      </c>
      <c r="BX161" s="283">
        <v>4400</v>
      </c>
      <c r="BY161" s="283">
        <v>4400</v>
      </c>
      <c r="BZ161" s="283">
        <v>3900</v>
      </c>
      <c r="CA161" s="283">
        <v>8300</v>
      </c>
      <c r="CB161" s="283">
        <v>0</v>
      </c>
      <c r="CC161" s="283">
        <v>1800</v>
      </c>
      <c r="CD161" s="283">
        <v>632</v>
      </c>
      <c r="CE161" s="283">
        <v>1200</v>
      </c>
      <c r="CF161" s="283">
        <v>1000</v>
      </c>
      <c r="CG161" s="283">
        <v>1300</v>
      </c>
      <c r="CH161" s="283">
        <v>0</v>
      </c>
      <c r="CI161" s="283">
        <v>431</v>
      </c>
      <c r="CJ161" s="283">
        <v>1300</v>
      </c>
      <c r="CK161" s="283">
        <f t="shared" si="19"/>
        <v>793.666666666667</v>
      </c>
      <c r="CL161" s="370"/>
      <c r="CM161" s="371">
        <f>Summary!$D$21</f>
        <v>254452.454633333</v>
      </c>
      <c r="CN161" s="258">
        <f t="shared" si="16"/>
        <v>0</v>
      </c>
    </row>
    <row r="162" ht="15.6" spans="1:92">
      <c r="A162" s="258" t="s">
        <v>195</v>
      </c>
      <c r="B162" s="258" t="s">
        <v>812</v>
      </c>
      <c r="C162" s="258" t="s">
        <v>230</v>
      </c>
      <c r="D162" s="258" t="s">
        <v>378</v>
      </c>
      <c r="E162" s="258" t="s">
        <v>233</v>
      </c>
      <c r="F162" s="260" t="s">
        <v>266</v>
      </c>
      <c r="G162" s="343"/>
      <c r="H162" s="283">
        <f t="shared" si="22"/>
        <v>67287.7447</v>
      </c>
      <c r="I162" s="292"/>
      <c r="J162" s="351">
        <v>116436</v>
      </c>
      <c r="K162" s="351">
        <v>208143</v>
      </c>
      <c r="L162" s="351">
        <v>203505</v>
      </c>
      <c r="M162" s="351">
        <v>182835</v>
      </c>
      <c r="N162" s="352">
        <v>166026</v>
      </c>
      <c r="O162" s="353">
        <v>124220</v>
      </c>
      <c r="P162" s="353">
        <v>153572</v>
      </c>
      <c r="Q162" s="353">
        <v>130226</v>
      </c>
      <c r="R162" s="353">
        <v>154696</v>
      </c>
      <c r="S162" s="353">
        <v>163279</v>
      </c>
      <c r="T162" s="353">
        <v>135740</v>
      </c>
      <c r="U162" s="353" t="e">
        <f>VLOOKUP(D162,Mid!$A$2:$C$225,2,FALSE)</f>
        <v>#N/A</v>
      </c>
      <c r="V162" s="353">
        <v>165021</v>
      </c>
      <c r="W162" s="353">
        <v>166994</v>
      </c>
      <c r="X162" s="353">
        <v>109928</v>
      </c>
      <c r="Y162" s="353">
        <v>112900</v>
      </c>
      <c r="Z162" s="353">
        <v>103718</v>
      </c>
      <c r="AA162" s="353">
        <v>131280</v>
      </c>
      <c r="AB162" s="353">
        <v>83797</v>
      </c>
      <c r="AC162" s="353">
        <v>75373</v>
      </c>
      <c r="AD162" s="353">
        <v>108383</v>
      </c>
      <c r="AE162" s="353">
        <v>153789</v>
      </c>
      <c r="AF162" s="353">
        <v>104185</v>
      </c>
      <c r="AG162" s="353">
        <v>128301</v>
      </c>
      <c r="AH162" s="353">
        <v>127083</v>
      </c>
      <c r="AI162" s="353">
        <v>124171</v>
      </c>
      <c r="AJ162" s="367">
        <v>93778</v>
      </c>
      <c r="AK162" s="283" t="s">
        <v>2002</v>
      </c>
      <c r="AL162" s="283">
        <v>135607</v>
      </c>
      <c r="AM162" s="283" t="s">
        <v>2003</v>
      </c>
      <c r="AN162" s="283" t="s">
        <v>2004</v>
      </c>
      <c r="AO162" s="283" t="s">
        <v>2005</v>
      </c>
      <c r="AP162" s="283">
        <v>111864</v>
      </c>
      <c r="AQ162" s="283" t="s">
        <v>2006</v>
      </c>
      <c r="AR162" s="283" t="s">
        <v>2007</v>
      </c>
      <c r="AS162" s="283" t="s">
        <v>2008</v>
      </c>
      <c r="AT162" s="283">
        <f>0.1531*2*202030</f>
        <v>61861.586</v>
      </c>
      <c r="AU162" s="283">
        <f>0.2024*2*164063</f>
        <v>66412.7024</v>
      </c>
      <c r="AV162" s="283">
        <f>0.2617*2*144928</f>
        <v>75855.3152</v>
      </c>
      <c r="AW162" s="283">
        <f t="shared" si="18"/>
        <v>70375.4894</v>
      </c>
      <c r="AX162" s="283">
        <v>107400</v>
      </c>
      <c r="AY162" s="283">
        <v>99800</v>
      </c>
      <c r="AZ162" s="283">
        <v>98000</v>
      </c>
      <c r="BA162" s="283">
        <v>108500</v>
      </c>
      <c r="BB162" s="283">
        <v>107400</v>
      </c>
      <c r="BC162" s="283">
        <v>95100</v>
      </c>
      <c r="BD162" s="283">
        <v>124200</v>
      </c>
      <c r="BE162" s="283">
        <v>111800</v>
      </c>
      <c r="BF162" s="283">
        <v>108600</v>
      </c>
      <c r="BG162" s="283">
        <v>156400</v>
      </c>
      <c r="BH162" s="283">
        <v>174200</v>
      </c>
      <c r="BI162" s="283" t="e">
        <f>VLOOKUP(D162,Mid!$A$2:$C$225,3,FALSE)</f>
        <v>#N/A</v>
      </c>
      <c r="BJ162" s="283">
        <v>59500</v>
      </c>
      <c r="BK162" s="283">
        <v>79500</v>
      </c>
      <c r="BL162" s="283">
        <v>85000</v>
      </c>
      <c r="BM162" s="283">
        <v>85800</v>
      </c>
      <c r="BN162" s="283">
        <v>75100</v>
      </c>
      <c r="BO162" s="283">
        <v>139900</v>
      </c>
      <c r="BP162" s="283">
        <v>71400</v>
      </c>
      <c r="BQ162" s="283">
        <v>93000</v>
      </c>
      <c r="BR162" s="283">
        <v>57200</v>
      </c>
      <c r="BS162" s="283">
        <v>73200</v>
      </c>
      <c r="BT162" s="283">
        <v>85300</v>
      </c>
      <c r="BU162" s="283">
        <v>23900</v>
      </c>
      <c r="BV162" s="283">
        <v>41000</v>
      </c>
      <c r="BW162" s="283">
        <v>50000</v>
      </c>
      <c r="BX162" s="283">
        <v>111400</v>
      </c>
      <c r="BY162" s="283">
        <v>111400</v>
      </c>
      <c r="BZ162" s="283">
        <v>152000</v>
      </c>
      <c r="CA162" s="283">
        <v>120000</v>
      </c>
      <c r="CB162" s="283">
        <v>62900</v>
      </c>
      <c r="CC162" s="283">
        <v>73152</v>
      </c>
      <c r="CD162" s="258">
        <v>54600</v>
      </c>
      <c r="CE162" s="258">
        <v>68400</v>
      </c>
      <c r="CF162" s="258">
        <v>108974.58</v>
      </c>
      <c r="CG162" s="258">
        <v>73400</v>
      </c>
      <c r="CH162" s="258">
        <v>49400</v>
      </c>
      <c r="CI162" s="258">
        <v>87200</v>
      </c>
      <c r="CJ162" s="258">
        <v>53800</v>
      </c>
      <c r="CK162" s="283">
        <f t="shared" si="19"/>
        <v>64200</v>
      </c>
      <c r="CL162" s="370"/>
      <c r="CM162" s="371">
        <f>Summary!$D$25</f>
        <v>163564.626972667</v>
      </c>
      <c r="CN162" s="258">
        <f t="shared" si="16"/>
        <v>1</v>
      </c>
    </row>
    <row r="163" ht="15.6" spans="1:92">
      <c r="A163" s="258" t="s">
        <v>195</v>
      </c>
      <c r="B163" s="258" t="s">
        <v>812</v>
      </c>
      <c r="C163" s="258" t="s">
        <v>230</v>
      </c>
      <c r="D163" s="258" t="s">
        <v>2009</v>
      </c>
      <c r="E163" s="258" t="s">
        <v>233</v>
      </c>
      <c r="F163" s="260" t="s">
        <v>60</v>
      </c>
      <c r="G163" s="343"/>
      <c r="H163" s="283">
        <f t="shared" si="22"/>
        <v>1678.66666666667</v>
      </c>
      <c r="I163" s="292"/>
      <c r="J163" s="357">
        <v>0</v>
      </c>
      <c r="K163" s="357">
        <v>0</v>
      </c>
      <c r="L163" s="357">
        <v>0</v>
      </c>
      <c r="M163" s="357">
        <v>0</v>
      </c>
      <c r="N163" s="358">
        <v>0</v>
      </c>
      <c r="O163" s="359">
        <v>0</v>
      </c>
      <c r="P163" s="359">
        <v>0</v>
      </c>
      <c r="Q163" s="359">
        <v>0</v>
      </c>
      <c r="R163" s="359">
        <v>0</v>
      </c>
      <c r="S163" s="359">
        <v>0</v>
      </c>
      <c r="T163" s="359">
        <v>5041</v>
      </c>
      <c r="U163" s="353" t="e">
        <f>VLOOKUP(D163,Mid!$A$2:$C$225,2,FALSE)</f>
        <v>#N/A</v>
      </c>
      <c r="V163" s="353">
        <v>0</v>
      </c>
      <c r="W163" s="353">
        <v>0</v>
      </c>
      <c r="X163" s="353">
        <v>0</v>
      </c>
      <c r="Y163" s="353">
        <v>0</v>
      </c>
      <c r="Z163" s="353">
        <v>0</v>
      </c>
      <c r="AA163" s="353">
        <v>0</v>
      </c>
      <c r="AB163" s="353">
        <v>0</v>
      </c>
      <c r="AC163" s="353">
        <v>0</v>
      </c>
      <c r="AD163" s="353">
        <v>0</v>
      </c>
      <c r="AE163" s="353">
        <v>0</v>
      </c>
      <c r="AF163" s="353">
        <v>0</v>
      </c>
      <c r="AG163" s="353">
        <v>0</v>
      </c>
      <c r="AH163" s="353">
        <v>0</v>
      </c>
      <c r="AI163" s="353">
        <v>0</v>
      </c>
      <c r="AJ163" s="353">
        <v>1916</v>
      </c>
      <c r="AK163" s="283">
        <v>8037</v>
      </c>
      <c r="AL163" s="283">
        <v>9001</v>
      </c>
      <c r="AM163" s="283" t="s">
        <v>2010</v>
      </c>
      <c r="AN163" s="283" t="s">
        <v>2011</v>
      </c>
      <c r="AO163" s="283" t="s">
        <v>2012</v>
      </c>
      <c r="AP163" s="283">
        <v>6604</v>
      </c>
      <c r="AQ163" s="283" t="s">
        <v>2013</v>
      </c>
      <c r="AR163" s="283" t="s">
        <v>2014</v>
      </c>
      <c r="AS163" s="283" t="s">
        <v>2015</v>
      </c>
      <c r="AT163" s="283" t="s">
        <v>2016</v>
      </c>
      <c r="AU163" s="283" t="s">
        <v>2017</v>
      </c>
      <c r="AV163" s="283" t="s">
        <v>2018</v>
      </c>
      <c r="AW163" s="283">
        <f t="shared" si="18"/>
        <v>3357.33333333333</v>
      </c>
      <c r="AX163" s="283">
        <v>1500</v>
      </c>
      <c r="AY163" s="283">
        <v>4000</v>
      </c>
      <c r="AZ163" s="283">
        <v>3700</v>
      </c>
      <c r="BA163" s="283">
        <v>4200</v>
      </c>
      <c r="BB163" s="283">
        <v>5100</v>
      </c>
      <c r="BC163" s="283">
        <v>4900</v>
      </c>
      <c r="BD163" s="283">
        <v>4700</v>
      </c>
      <c r="BE163" s="283">
        <v>3800</v>
      </c>
      <c r="BF163" s="283">
        <v>8100</v>
      </c>
      <c r="BG163" s="283">
        <v>10600</v>
      </c>
      <c r="BH163" s="283">
        <v>8100</v>
      </c>
      <c r="BI163" s="283" t="e">
        <f>VLOOKUP(D163,Mid!$A$2:$C$225,3,FALSE)</f>
        <v>#N/A</v>
      </c>
      <c r="BJ163" s="283">
        <v>1400</v>
      </c>
      <c r="BK163" s="283">
        <v>2500</v>
      </c>
      <c r="BL163" s="283">
        <v>2700</v>
      </c>
      <c r="BM163" s="283">
        <v>11800</v>
      </c>
      <c r="BN163" s="283">
        <v>8200</v>
      </c>
      <c r="BO163" s="283">
        <v>2300</v>
      </c>
      <c r="BP163" s="283">
        <v>0</v>
      </c>
      <c r="BQ163" s="283">
        <v>23500</v>
      </c>
      <c r="BR163" s="283">
        <v>9200</v>
      </c>
      <c r="BS163" s="283">
        <v>1900</v>
      </c>
      <c r="BT163" s="283">
        <v>7300</v>
      </c>
      <c r="BU163" s="283">
        <v>206</v>
      </c>
      <c r="BV163" s="283">
        <v>0</v>
      </c>
      <c r="BW163" s="283">
        <v>190</v>
      </c>
      <c r="BX163" s="283">
        <v>2800</v>
      </c>
      <c r="BY163" s="283">
        <v>2800</v>
      </c>
      <c r="BZ163" s="283">
        <v>2400</v>
      </c>
      <c r="CA163" s="283">
        <v>2700</v>
      </c>
      <c r="CB163" s="283">
        <v>2000</v>
      </c>
      <c r="CC163" s="283">
        <v>271</v>
      </c>
      <c r="CD163" s="283">
        <v>431</v>
      </c>
      <c r="CE163" s="283">
        <v>1300</v>
      </c>
      <c r="CF163" s="283">
        <v>2500</v>
      </c>
      <c r="CG163" s="283">
        <v>624</v>
      </c>
      <c r="CH163" s="283">
        <v>0</v>
      </c>
      <c r="CI163" s="283">
        <v>0</v>
      </c>
      <c r="CJ163" s="283">
        <v>0</v>
      </c>
      <c r="CK163" s="283">
        <f t="shared" si="19"/>
        <v>0</v>
      </c>
      <c r="CL163" s="370"/>
      <c r="CM163" s="371">
        <f>Summary!$D$25</f>
        <v>163564.626972667</v>
      </c>
      <c r="CN163" s="258">
        <f t="shared" si="16"/>
        <v>0</v>
      </c>
    </row>
    <row r="164" ht="15.6" spans="1:92">
      <c r="A164" s="258" t="s">
        <v>149</v>
      </c>
      <c r="B164" s="260" t="s">
        <v>672</v>
      </c>
      <c r="C164" s="260" t="s">
        <v>2019</v>
      </c>
      <c r="D164" s="258" t="s">
        <v>545</v>
      </c>
      <c r="E164" s="260" t="s">
        <v>233</v>
      </c>
      <c r="F164" s="260" t="s">
        <v>451</v>
      </c>
      <c r="G164" s="382"/>
      <c r="H164" s="283">
        <f t="shared" si="22"/>
        <v>660563.5</v>
      </c>
      <c r="I164" s="361" t="s">
        <v>2020</v>
      </c>
      <c r="J164" s="351">
        <v>251001</v>
      </c>
      <c r="K164" s="351">
        <v>294878</v>
      </c>
      <c r="L164" s="351">
        <v>297071</v>
      </c>
      <c r="M164" s="351">
        <v>311716</v>
      </c>
      <c r="N164" s="352">
        <v>258444</v>
      </c>
      <c r="O164" s="352">
        <v>268515</v>
      </c>
      <c r="P164" s="352">
        <v>277596</v>
      </c>
      <c r="Q164" s="353">
        <v>328258</v>
      </c>
      <c r="R164" s="353">
        <v>345260</v>
      </c>
      <c r="S164" s="353">
        <v>298010</v>
      </c>
      <c r="T164" s="353">
        <v>300336</v>
      </c>
      <c r="U164" s="353">
        <f>VLOOKUP(D164,Mid!$A$2:$C$225,2,FALSE)</f>
        <v>299455</v>
      </c>
      <c r="V164" s="353">
        <v>281908</v>
      </c>
      <c r="W164" s="353">
        <v>299218</v>
      </c>
      <c r="X164" s="353">
        <v>305234</v>
      </c>
      <c r="Y164" s="353">
        <v>367706</v>
      </c>
      <c r="Z164" s="353">
        <v>335191</v>
      </c>
      <c r="AA164" s="353">
        <v>358198</v>
      </c>
      <c r="AB164" s="353">
        <v>343683</v>
      </c>
      <c r="AC164" s="353">
        <v>397300</v>
      </c>
      <c r="AD164" s="353">
        <v>563740</v>
      </c>
      <c r="AE164" s="353">
        <v>580885</v>
      </c>
      <c r="AF164" s="353">
        <v>495527</v>
      </c>
      <c r="AG164" s="353">
        <v>504175</v>
      </c>
      <c r="AH164" s="353">
        <v>521090</v>
      </c>
      <c r="AI164" s="353">
        <v>551662</v>
      </c>
      <c r="AJ164" s="367">
        <v>513492</v>
      </c>
      <c r="AK164" s="283" t="s">
        <v>2021</v>
      </c>
      <c r="AL164" s="283">
        <v>538102</v>
      </c>
      <c r="AM164" s="283">
        <v>593939</v>
      </c>
      <c r="AN164" s="283">
        <v>724583</v>
      </c>
      <c r="AO164" s="283">
        <v>756374</v>
      </c>
      <c r="AP164" s="283">
        <v>654050</v>
      </c>
      <c r="AQ164" s="283">
        <v>666988</v>
      </c>
      <c r="AR164" s="283">
        <v>649997</v>
      </c>
      <c r="AS164" s="283">
        <v>667260</v>
      </c>
      <c r="AT164" s="283">
        <v>648236</v>
      </c>
      <c r="AU164" s="283">
        <v>687733</v>
      </c>
      <c r="AV164" s="283">
        <v>632780</v>
      </c>
      <c r="AW164" s="283">
        <f t="shared" si="18"/>
        <v>653673.666666667</v>
      </c>
      <c r="AX164" s="283">
        <v>390100</v>
      </c>
      <c r="AY164" s="283">
        <v>345200</v>
      </c>
      <c r="AZ164" s="283">
        <v>306100</v>
      </c>
      <c r="BA164" s="283">
        <v>285600</v>
      </c>
      <c r="BB164" s="283">
        <v>313300</v>
      </c>
      <c r="BC164" s="283">
        <v>328500</v>
      </c>
      <c r="BD164" s="283">
        <v>402000</v>
      </c>
      <c r="BE164" s="283">
        <v>404000</v>
      </c>
      <c r="BF164" s="283">
        <v>324500</v>
      </c>
      <c r="BG164" s="283">
        <v>357800</v>
      </c>
      <c r="BH164" s="283">
        <v>409700</v>
      </c>
      <c r="BI164" s="283">
        <f>VLOOKUP(D164,Mid!$A$2:$C$225,3,FALSE)</f>
        <v>351900</v>
      </c>
      <c r="BJ164" s="283">
        <v>192400</v>
      </c>
      <c r="BK164" s="283">
        <v>180700</v>
      </c>
      <c r="BL164" s="283">
        <v>261500</v>
      </c>
      <c r="BM164" s="283">
        <v>445700</v>
      </c>
      <c r="BN164" s="283">
        <v>376600</v>
      </c>
      <c r="BO164" s="283">
        <v>359800</v>
      </c>
      <c r="BP164" s="283">
        <v>404100</v>
      </c>
      <c r="BQ164" s="283">
        <v>264600</v>
      </c>
      <c r="BR164" s="283">
        <v>359200</v>
      </c>
      <c r="BS164" s="283">
        <v>435600</v>
      </c>
      <c r="BT164" s="283">
        <v>450200</v>
      </c>
      <c r="BU164" s="283">
        <v>936100</v>
      </c>
      <c r="BV164" s="283">
        <v>818200</v>
      </c>
      <c r="BW164" s="283">
        <v>694900</v>
      </c>
      <c r="BX164" s="283">
        <v>800200</v>
      </c>
      <c r="BY164" s="283">
        <v>800200</v>
      </c>
      <c r="BZ164" s="283">
        <v>630500</v>
      </c>
      <c r="CA164" s="283">
        <v>481500</v>
      </c>
      <c r="CB164" s="283">
        <v>616900</v>
      </c>
      <c r="CC164" s="283">
        <v>555800</v>
      </c>
      <c r="CD164" s="283">
        <v>442385.82</v>
      </c>
      <c r="CE164" s="283">
        <v>442386</v>
      </c>
      <c r="CF164" s="283">
        <v>358560</v>
      </c>
      <c r="CG164" s="283">
        <v>475600</v>
      </c>
      <c r="CH164" s="283">
        <v>523040</v>
      </c>
      <c r="CI164" s="283">
        <v>718080</v>
      </c>
      <c r="CJ164" s="283">
        <v>681840</v>
      </c>
      <c r="CK164" s="283">
        <f t="shared" si="19"/>
        <v>667453.333333333</v>
      </c>
      <c r="CL164" s="370"/>
      <c r="CM164" s="371">
        <f>Summary!$D$5</f>
        <v>1543433.55918333</v>
      </c>
      <c r="CN164" s="258">
        <f t="shared" ref="CN164:CN227" si="23">IF(_xlfn.IFNA(CM164,0),IF(AND(H164/CM164&gt;=0.05,B164&lt;&gt;"官网"),1,0),0)</f>
        <v>0</v>
      </c>
    </row>
    <row r="165" ht="15.6" spans="1:92">
      <c r="A165" s="258" t="s">
        <v>149</v>
      </c>
      <c r="B165" s="344" t="s">
        <v>683</v>
      </c>
      <c r="C165" s="344" t="s">
        <v>227</v>
      </c>
      <c r="D165" s="348" t="s">
        <v>150</v>
      </c>
      <c r="E165" s="344" t="s">
        <v>441</v>
      </c>
      <c r="F165" s="344" t="s">
        <v>58</v>
      </c>
      <c r="G165" s="383"/>
      <c r="H165" s="345">
        <f t="shared" si="22"/>
        <v>610735.833333333</v>
      </c>
      <c r="I165" s="292"/>
      <c r="J165" s="351">
        <v>521987</v>
      </c>
      <c r="K165" s="351">
        <v>532728</v>
      </c>
      <c r="L165" s="351">
        <v>491259</v>
      </c>
      <c r="M165" s="351">
        <v>584703</v>
      </c>
      <c r="N165" s="352">
        <v>489407</v>
      </c>
      <c r="O165" s="352">
        <v>437979</v>
      </c>
      <c r="P165" s="352">
        <v>477706</v>
      </c>
      <c r="Q165" s="353">
        <v>670264</v>
      </c>
      <c r="R165" s="353">
        <v>617384</v>
      </c>
      <c r="S165" s="353">
        <v>587001</v>
      </c>
      <c r="T165" s="353">
        <v>580450</v>
      </c>
      <c r="U165" s="353" t="e">
        <f>VLOOKUP(D165,Mid!$A$2:$C$225,2,FALSE)</f>
        <v>#N/A</v>
      </c>
      <c r="V165" s="353">
        <v>636769</v>
      </c>
      <c r="W165" s="353">
        <v>571893</v>
      </c>
      <c r="X165" s="353">
        <v>568342</v>
      </c>
      <c r="Y165" s="353">
        <v>775456</v>
      </c>
      <c r="Z165" s="353">
        <v>694755</v>
      </c>
      <c r="AA165" s="353">
        <v>687064</v>
      </c>
      <c r="AB165" s="353">
        <v>594425</v>
      </c>
      <c r="AC165" s="353">
        <v>677726</v>
      </c>
      <c r="AD165" s="353">
        <v>566214</v>
      </c>
      <c r="AE165" s="353">
        <v>632435</v>
      </c>
      <c r="AF165" s="353">
        <v>776739</v>
      </c>
      <c r="AG165" s="353">
        <v>543405</v>
      </c>
      <c r="AH165" s="353">
        <v>529916</v>
      </c>
      <c r="AI165" s="353">
        <v>530106</v>
      </c>
      <c r="AJ165" s="367">
        <v>528428</v>
      </c>
      <c r="AK165" s="283" t="s">
        <v>2022</v>
      </c>
      <c r="AL165" s="283">
        <v>499193</v>
      </c>
      <c r="AM165" s="283" t="s">
        <v>2023</v>
      </c>
      <c r="AN165" s="283" t="s">
        <v>2024</v>
      </c>
      <c r="AO165" s="283" t="s">
        <v>2025</v>
      </c>
      <c r="AP165" s="283">
        <v>592064</v>
      </c>
      <c r="AQ165" s="283" t="s">
        <v>2026</v>
      </c>
      <c r="AR165" s="283" t="s">
        <v>2027</v>
      </c>
      <c r="AS165" s="283" t="s">
        <v>2028</v>
      </c>
      <c r="AT165" s="283" t="s">
        <v>2029</v>
      </c>
      <c r="AU165" s="283" t="s">
        <v>2030</v>
      </c>
      <c r="AV165" s="283" t="s">
        <v>2031</v>
      </c>
      <c r="AW165" s="283">
        <f t="shared" si="18"/>
        <v>718921.666666667</v>
      </c>
      <c r="AX165" s="283">
        <v>541200</v>
      </c>
      <c r="AY165" s="283">
        <v>506900</v>
      </c>
      <c r="AZ165" s="283">
        <v>496800</v>
      </c>
      <c r="BA165" s="283">
        <v>496400</v>
      </c>
      <c r="BB165" s="283">
        <v>499300</v>
      </c>
      <c r="BC165" s="283">
        <v>440300</v>
      </c>
      <c r="BD165" s="283">
        <v>522200</v>
      </c>
      <c r="BE165" s="283">
        <v>549700</v>
      </c>
      <c r="BF165" s="283">
        <v>619000</v>
      </c>
      <c r="BG165" s="283">
        <v>595500</v>
      </c>
      <c r="BH165" s="283">
        <v>620600</v>
      </c>
      <c r="BI165" s="283" t="e">
        <f>VLOOKUP(D165,Mid!$A$2:$C$225,3,FALSE)</f>
        <v>#N/A</v>
      </c>
      <c r="BJ165" s="283">
        <v>507000</v>
      </c>
      <c r="BK165" s="283">
        <v>459600</v>
      </c>
      <c r="BL165" s="283">
        <v>428800</v>
      </c>
      <c r="BM165" s="283">
        <v>633300</v>
      </c>
      <c r="BN165" s="283">
        <v>546000</v>
      </c>
      <c r="BO165" s="283">
        <v>598200</v>
      </c>
      <c r="BP165" s="283">
        <v>343200</v>
      </c>
      <c r="BQ165" s="283">
        <v>330000</v>
      </c>
      <c r="BR165" s="283">
        <v>411500</v>
      </c>
      <c r="BS165" s="283">
        <v>494000</v>
      </c>
      <c r="BT165" s="283">
        <v>502800</v>
      </c>
      <c r="BU165" s="283">
        <v>494000</v>
      </c>
      <c r="BV165" s="283">
        <v>437800</v>
      </c>
      <c r="BW165" s="283">
        <v>479800</v>
      </c>
      <c r="BX165" s="283">
        <v>714400</v>
      </c>
      <c r="BY165" s="283">
        <v>714400</v>
      </c>
      <c r="BZ165" s="283">
        <v>481800</v>
      </c>
      <c r="CA165" s="283">
        <v>512500</v>
      </c>
      <c r="CB165" s="283">
        <v>459600</v>
      </c>
      <c r="CC165" s="283">
        <v>347800</v>
      </c>
      <c r="CD165" s="283">
        <v>317800</v>
      </c>
      <c r="CE165" s="283">
        <v>462600</v>
      </c>
      <c r="CF165" s="283">
        <v>465120</v>
      </c>
      <c r="CG165" s="283">
        <v>454874.16</v>
      </c>
      <c r="CH165" s="283">
        <v>388700</v>
      </c>
      <c r="CI165" s="283">
        <v>482300</v>
      </c>
      <c r="CJ165" s="283">
        <v>554000</v>
      </c>
      <c r="CK165" s="283">
        <f t="shared" si="19"/>
        <v>502550</v>
      </c>
      <c r="CL165" s="370"/>
      <c r="CM165" s="371">
        <f>Summary!$D$5</f>
        <v>1543433.55918333</v>
      </c>
      <c r="CN165" s="258">
        <f t="shared" si="23"/>
        <v>1</v>
      </c>
    </row>
    <row r="166" ht="15.6" spans="1:92">
      <c r="A166" s="258" t="s">
        <v>149</v>
      </c>
      <c r="B166" s="258" t="s">
        <v>694</v>
      </c>
      <c r="C166" s="258" t="s">
        <v>230</v>
      </c>
      <c r="D166" s="258" t="s">
        <v>260</v>
      </c>
      <c r="E166" s="258" t="s">
        <v>233</v>
      </c>
      <c r="F166" s="260" t="s">
        <v>60</v>
      </c>
      <c r="G166" s="382"/>
      <c r="H166" s="283">
        <f t="shared" si="22"/>
        <v>232402.333333333</v>
      </c>
      <c r="I166" s="292"/>
      <c r="J166" s="351">
        <v>175720</v>
      </c>
      <c r="K166" s="351">
        <v>255730</v>
      </c>
      <c r="L166" s="351">
        <v>231794</v>
      </c>
      <c r="M166" s="351">
        <v>228861</v>
      </c>
      <c r="N166" s="352">
        <v>235967</v>
      </c>
      <c r="O166" s="352">
        <v>236960</v>
      </c>
      <c r="P166" s="352">
        <v>233578</v>
      </c>
      <c r="Q166" s="353">
        <v>240151</v>
      </c>
      <c r="R166" s="353">
        <v>277162</v>
      </c>
      <c r="S166" s="353">
        <v>259018</v>
      </c>
      <c r="T166" s="353">
        <v>340897</v>
      </c>
      <c r="U166" s="353" t="e">
        <f>VLOOKUP(D166,Mid!$A$2:$C$225,2,FALSE)</f>
        <v>#N/A</v>
      </c>
      <c r="V166" s="353">
        <v>216037</v>
      </c>
      <c r="W166" s="353">
        <v>219399</v>
      </c>
      <c r="X166" s="353">
        <v>225728</v>
      </c>
      <c r="Y166" s="353">
        <v>244222</v>
      </c>
      <c r="Z166" s="353">
        <v>226853</v>
      </c>
      <c r="AA166" s="353">
        <v>244605</v>
      </c>
      <c r="AB166" s="353">
        <v>329856</v>
      </c>
      <c r="AC166" s="353">
        <v>358725</v>
      </c>
      <c r="AD166" s="353">
        <v>251651</v>
      </c>
      <c r="AE166" s="353">
        <v>193069</v>
      </c>
      <c r="AF166" s="353">
        <v>187961</v>
      </c>
      <c r="AG166" s="353">
        <v>216075</v>
      </c>
      <c r="AH166" s="353">
        <v>181512</v>
      </c>
      <c r="AI166" s="353">
        <v>203732</v>
      </c>
      <c r="AJ166" s="367">
        <v>216064</v>
      </c>
      <c r="AK166" s="283" t="s">
        <v>2032</v>
      </c>
      <c r="AL166" s="283">
        <v>165685</v>
      </c>
      <c r="AM166" s="283" t="s">
        <v>2033</v>
      </c>
      <c r="AN166" s="283" t="s">
        <v>2034</v>
      </c>
      <c r="AO166" s="283" t="s">
        <v>2035</v>
      </c>
      <c r="AP166" s="283">
        <f>248536*0.3219*2</f>
        <v>160007.4768</v>
      </c>
      <c r="AQ166" s="283">
        <f>275143*0.3157*2</f>
        <v>173725.2902</v>
      </c>
      <c r="AR166" s="283" t="s">
        <v>2036</v>
      </c>
      <c r="AS166" s="283" t="s">
        <v>2037</v>
      </c>
      <c r="AT166" s="283" t="s">
        <v>2038</v>
      </c>
      <c r="AU166" s="283" t="s">
        <v>2039</v>
      </c>
      <c r="AV166" s="283" t="s">
        <v>2040</v>
      </c>
      <c r="AW166" s="283">
        <f t="shared" si="18"/>
        <v>218004.666666667</v>
      </c>
      <c r="AX166" s="283">
        <v>156700</v>
      </c>
      <c r="AY166" s="283">
        <v>161000</v>
      </c>
      <c r="AZ166" s="283">
        <v>163200</v>
      </c>
      <c r="BA166" s="283">
        <v>165100</v>
      </c>
      <c r="BB166" s="283">
        <v>169300</v>
      </c>
      <c r="BC166" s="283">
        <v>164100</v>
      </c>
      <c r="BD166" s="283">
        <v>212400</v>
      </c>
      <c r="BE166" s="283">
        <v>211900</v>
      </c>
      <c r="BF166" s="283">
        <v>337800</v>
      </c>
      <c r="BG166" s="283">
        <v>368200</v>
      </c>
      <c r="BH166" s="283">
        <v>353700</v>
      </c>
      <c r="BI166" s="283" t="e">
        <f>VLOOKUP(D166,Mid!$A$2:$C$225,3,FALSE)</f>
        <v>#N/A</v>
      </c>
      <c r="BJ166" s="283">
        <v>186700</v>
      </c>
      <c r="BK166" s="283">
        <v>214700</v>
      </c>
      <c r="BL166" s="283">
        <v>242100</v>
      </c>
      <c r="BM166" s="283">
        <v>206500</v>
      </c>
      <c r="BN166" s="283">
        <v>264000</v>
      </c>
      <c r="BO166" s="283">
        <v>180900</v>
      </c>
      <c r="BP166" s="283">
        <v>178300</v>
      </c>
      <c r="BQ166" s="283">
        <v>177400</v>
      </c>
      <c r="BR166" s="283">
        <v>150800</v>
      </c>
      <c r="BS166" s="283">
        <v>260900</v>
      </c>
      <c r="BT166" s="283">
        <v>201000</v>
      </c>
      <c r="BU166" s="283">
        <v>235700</v>
      </c>
      <c r="BV166" s="283">
        <v>280100</v>
      </c>
      <c r="BW166" s="283">
        <v>323900</v>
      </c>
      <c r="BX166" s="283">
        <v>387100</v>
      </c>
      <c r="BY166" s="283">
        <v>387100</v>
      </c>
      <c r="BZ166" s="283">
        <v>90800</v>
      </c>
      <c r="CA166" s="283">
        <v>134400</v>
      </c>
      <c r="CB166" s="283">
        <v>59200</v>
      </c>
      <c r="CC166" s="283">
        <v>126900</v>
      </c>
      <c r="CD166" s="283">
        <v>117800</v>
      </c>
      <c r="CE166" s="283">
        <v>114100</v>
      </c>
      <c r="CF166" s="283">
        <v>77900</v>
      </c>
      <c r="CG166" s="283">
        <v>128152.08</v>
      </c>
      <c r="CH166" s="283">
        <v>178100</v>
      </c>
      <c r="CI166" s="283">
        <v>239300</v>
      </c>
      <c r="CJ166" s="283">
        <v>274700</v>
      </c>
      <c r="CK166" s="283">
        <f t="shared" si="19"/>
        <v>246800</v>
      </c>
      <c r="CL166" s="370"/>
      <c r="CM166" s="371">
        <f>Summary!$D$5</f>
        <v>1543433.55918333</v>
      </c>
      <c r="CN166" s="258">
        <f t="shared" si="23"/>
        <v>1</v>
      </c>
    </row>
    <row r="167" ht="93.6" spans="1:92">
      <c r="A167" s="258" t="s">
        <v>149</v>
      </c>
      <c r="B167" s="258" t="s">
        <v>694</v>
      </c>
      <c r="C167" s="258" t="s">
        <v>230</v>
      </c>
      <c r="D167" s="258" t="s">
        <v>255</v>
      </c>
      <c r="E167" s="258" t="s">
        <v>233</v>
      </c>
      <c r="F167" s="260" t="s">
        <v>419</v>
      </c>
      <c r="G167" s="346"/>
      <c r="H167" s="283">
        <f>(AW167+CK167)*0.25/2</f>
        <v>141265.396666667</v>
      </c>
      <c r="I167" s="292" t="s">
        <v>1046</v>
      </c>
      <c r="J167" s="354">
        <v>742524</v>
      </c>
      <c r="K167" s="354">
        <v>832806</v>
      </c>
      <c r="L167" s="354">
        <v>630060</v>
      </c>
      <c r="M167" s="354">
        <v>859832</v>
      </c>
      <c r="N167" s="355">
        <v>865492</v>
      </c>
      <c r="O167" s="356">
        <v>766580</v>
      </c>
      <c r="P167" s="356">
        <v>748274</v>
      </c>
      <c r="Q167" s="356">
        <v>882707</v>
      </c>
      <c r="R167" s="356">
        <v>901829</v>
      </c>
      <c r="S167" s="356">
        <v>839737</v>
      </c>
      <c r="T167" s="356">
        <v>863111</v>
      </c>
      <c r="U167" s="356" t="e">
        <f>VLOOKUP(D167,Mid!$A$2:$C$225,2,FALSE)</f>
        <v>#N/A</v>
      </c>
      <c r="V167" s="356">
        <v>873182</v>
      </c>
      <c r="W167" s="356">
        <v>954371</v>
      </c>
      <c r="X167" s="356">
        <v>902765</v>
      </c>
      <c r="Y167" s="356">
        <v>1069000</v>
      </c>
      <c r="Z167" s="356">
        <v>965481</v>
      </c>
      <c r="AA167" s="356">
        <v>1005000</v>
      </c>
      <c r="AB167" s="356">
        <v>963869</v>
      </c>
      <c r="AC167" s="356">
        <v>1091000</v>
      </c>
      <c r="AD167" s="356">
        <v>1053000</v>
      </c>
      <c r="AE167" s="356">
        <v>869935</v>
      </c>
      <c r="AF167" s="356">
        <v>850897</v>
      </c>
      <c r="AG167" s="356">
        <v>690825</v>
      </c>
      <c r="AH167" s="356">
        <v>774044</v>
      </c>
      <c r="AI167" s="353">
        <v>760293</v>
      </c>
      <c r="AJ167" s="367">
        <v>841107</v>
      </c>
      <c r="AK167" s="283" t="s">
        <v>1047</v>
      </c>
      <c r="AL167" s="283">
        <v>807389</v>
      </c>
      <c r="AM167" s="283" t="s">
        <v>1048</v>
      </c>
      <c r="AN167" s="283" t="s">
        <v>1049</v>
      </c>
      <c r="AO167" s="283" t="s">
        <v>1050</v>
      </c>
      <c r="AP167" s="283">
        <v>1137000</v>
      </c>
      <c r="AQ167" s="283">
        <f>1230000*0.3836*2</f>
        <v>943656</v>
      </c>
      <c r="AR167" s="283" t="s">
        <v>1051</v>
      </c>
      <c r="AS167" s="283" t="s">
        <v>1052</v>
      </c>
      <c r="AT167" s="283" t="s">
        <v>1053</v>
      </c>
      <c r="AU167" s="283" t="s">
        <v>1054</v>
      </c>
      <c r="AV167" s="283" t="s">
        <v>1055</v>
      </c>
      <c r="AW167" s="283">
        <f t="shared" si="18"/>
        <v>728444</v>
      </c>
      <c r="AX167" s="283">
        <v>918900</v>
      </c>
      <c r="AY167" s="283">
        <v>826100</v>
      </c>
      <c r="AZ167" s="283">
        <v>857900</v>
      </c>
      <c r="BA167" s="283">
        <v>864900</v>
      </c>
      <c r="BB167" s="283">
        <v>850300</v>
      </c>
      <c r="BC167" s="283">
        <v>819800</v>
      </c>
      <c r="BD167" s="283">
        <v>835700</v>
      </c>
      <c r="BE167" s="283">
        <v>862400</v>
      </c>
      <c r="BF167" s="283">
        <v>794000</v>
      </c>
      <c r="BG167" s="283">
        <v>860900</v>
      </c>
      <c r="BH167" s="283">
        <v>783700</v>
      </c>
      <c r="BI167" s="283" t="e">
        <f>VLOOKUP(D167,Mid!$A$2:$C$225,3,FALSE)</f>
        <v>#N/A</v>
      </c>
      <c r="BJ167" s="283">
        <v>467200</v>
      </c>
      <c r="BK167" s="283">
        <v>586200</v>
      </c>
      <c r="BL167" s="283">
        <v>560700</v>
      </c>
      <c r="BM167" s="283">
        <v>966800</v>
      </c>
      <c r="BN167" s="283">
        <v>494800</v>
      </c>
      <c r="BO167" s="283">
        <v>711400</v>
      </c>
      <c r="BP167" s="283">
        <v>976400</v>
      </c>
      <c r="BQ167" s="283">
        <v>1100000</v>
      </c>
      <c r="BR167" s="283">
        <v>674600</v>
      </c>
      <c r="BS167" s="283">
        <v>662600</v>
      </c>
      <c r="BT167" s="283">
        <v>572700</v>
      </c>
      <c r="BU167" s="283">
        <v>753000</v>
      </c>
      <c r="BV167" s="283">
        <v>995800</v>
      </c>
      <c r="BW167" s="283">
        <v>695000</v>
      </c>
      <c r="BX167" s="283">
        <v>844500</v>
      </c>
      <c r="BY167" s="283">
        <v>677400</v>
      </c>
      <c r="BZ167" s="283">
        <v>440000</v>
      </c>
      <c r="CA167" s="283">
        <v>564220</v>
      </c>
      <c r="CB167" s="283">
        <v>580900</v>
      </c>
      <c r="CC167" s="283">
        <v>671600</v>
      </c>
      <c r="CD167" s="283">
        <v>553400</v>
      </c>
      <c r="CE167" s="283">
        <v>810500</v>
      </c>
      <c r="CF167" s="283">
        <v>987700</v>
      </c>
      <c r="CG167" s="283">
        <v>356400</v>
      </c>
      <c r="CH167" s="283">
        <v>282400</v>
      </c>
      <c r="CI167" s="283">
        <v>407660</v>
      </c>
      <c r="CJ167" s="283">
        <v>437451.68</v>
      </c>
      <c r="CK167" s="283">
        <f t="shared" si="19"/>
        <v>401679.173333333</v>
      </c>
      <c r="CL167" s="372"/>
      <c r="CM167" s="371">
        <f>Summary!$D$5</f>
        <v>1543433.55918333</v>
      </c>
      <c r="CN167" s="258">
        <f t="shared" si="23"/>
        <v>1</v>
      </c>
    </row>
    <row r="168" ht="15.6" spans="1:92">
      <c r="A168" s="258" t="s">
        <v>149</v>
      </c>
      <c r="B168" s="258" t="s">
        <v>694</v>
      </c>
      <c r="C168" s="258" t="s">
        <v>243</v>
      </c>
      <c r="D168" s="260" t="s">
        <v>438</v>
      </c>
      <c r="E168" s="258" t="s">
        <v>441</v>
      </c>
      <c r="F168" s="260" t="s">
        <v>455</v>
      </c>
      <c r="G168" s="382"/>
      <c r="H168" s="343">
        <f>(AW168+CK168)/2</f>
        <v>47999.93</v>
      </c>
      <c r="I168" s="360" t="s">
        <v>714</v>
      </c>
      <c r="J168" s="362"/>
      <c r="K168" s="362"/>
      <c r="L168" s="362"/>
      <c r="M168" s="362"/>
      <c r="N168" s="363"/>
      <c r="O168" s="364"/>
      <c r="P168" s="364"/>
      <c r="Q168" s="364"/>
      <c r="R168" s="364"/>
      <c r="S168" s="364"/>
      <c r="T168" s="364"/>
      <c r="U168" s="365"/>
      <c r="V168" s="365">
        <v>105083</v>
      </c>
      <c r="W168" s="353">
        <v>125020</v>
      </c>
      <c r="X168" s="353">
        <v>106514</v>
      </c>
      <c r="Y168" s="353">
        <v>132853</v>
      </c>
      <c r="Z168" s="353">
        <v>123821</v>
      </c>
      <c r="AA168" s="353">
        <v>122986</v>
      </c>
      <c r="AB168" s="353">
        <v>102613</v>
      </c>
      <c r="AC168" s="353">
        <v>152677</v>
      </c>
      <c r="AD168" s="353">
        <v>100568</v>
      </c>
      <c r="AE168" s="353">
        <v>126393</v>
      </c>
      <c r="AF168" s="353">
        <v>108751</v>
      </c>
      <c r="AG168" s="353">
        <v>86727</v>
      </c>
      <c r="AH168" s="353">
        <v>96211</v>
      </c>
      <c r="AI168" s="353">
        <v>116399</v>
      </c>
      <c r="AJ168" s="367">
        <v>95144</v>
      </c>
      <c r="AK168" s="283" t="s">
        <v>2041</v>
      </c>
      <c r="AL168" s="283">
        <v>95380</v>
      </c>
      <c r="AM168" s="283" t="s">
        <v>2042</v>
      </c>
      <c r="AN168" s="283" t="s">
        <v>2043</v>
      </c>
      <c r="AO168" s="283" t="s">
        <v>2044</v>
      </c>
      <c r="AP168" s="283">
        <f>104097*0.2623*2</f>
        <v>54609.2862</v>
      </c>
      <c r="AQ168" s="283" t="s">
        <v>2045</v>
      </c>
      <c r="AR168" s="283" t="s">
        <v>2046</v>
      </c>
      <c r="AS168" s="283" t="s">
        <v>2047</v>
      </c>
      <c r="AT168" s="283" t="s">
        <v>2048</v>
      </c>
      <c r="AU168" s="283" t="s">
        <v>2049</v>
      </c>
      <c r="AV168" s="283" t="s">
        <v>2050</v>
      </c>
      <c r="AW168" s="283">
        <f t="shared" si="18"/>
        <v>69098</v>
      </c>
      <c r="AX168" s="283"/>
      <c r="AY168" s="283"/>
      <c r="AZ168" s="283"/>
      <c r="BA168" s="283"/>
      <c r="BB168" s="283"/>
      <c r="BC168" s="283"/>
      <c r="BD168" s="283"/>
      <c r="BE168" s="283"/>
      <c r="BF168" s="283"/>
      <c r="BG168" s="283"/>
      <c r="BH168" s="283"/>
      <c r="BI168" s="283"/>
      <c r="BJ168" s="283">
        <v>98300</v>
      </c>
      <c r="BK168" s="283">
        <v>79600</v>
      </c>
      <c r="BL168" s="283">
        <v>66300</v>
      </c>
      <c r="BM168" s="283">
        <v>93900</v>
      </c>
      <c r="BN168" s="283">
        <v>73800</v>
      </c>
      <c r="BO168" s="283">
        <v>62600</v>
      </c>
      <c r="BP168" s="283">
        <v>59000</v>
      </c>
      <c r="BQ168" s="283">
        <v>80000</v>
      </c>
      <c r="BR168" s="283">
        <v>95800</v>
      </c>
      <c r="BS168" s="283">
        <v>83300</v>
      </c>
      <c r="BT168" s="283">
        <v>58400</v>
      </c>
      <c r="BU168" s="283">
        <v>36900</v>
      </c>
      <c r="BV168" s="283">
        <v>36900</v>
      </c>
      <c r="BW168" s="283">
        <v>379900</v>
      </c>
      <c r="BX168" s="283">
        <v>42300</v>
      </c>
      <c r="BY168" s="283">
        <v>42300</v>
      </c>
      <c r="BZ168" s="283">
        <v>17600</v>
      </c>
      <c r="CA168" s="283">
        <v>21600</v>
      </c>
      <c r="CB168" s="283">
        <v>15700</v>
      </c>
      <c r="CC168" s="283">
        <v>20240</v>
      </c>
      <c r="CD168" s="283">
        <v>19500</v>
      </c>
      <c r="CE168" s="283">
        <v>19500</v>
      </c>
      <c r="CF168" s="283">
        <v>19303.7</v>
      </c>
      <c r="CG168" s="283">
        <v>31911.12</v>
      </c>
      <c r="CH168" s="283">
        <v>23279.4</v>
      </c>
      <c r="CI168" s="283">
        <v>34845.9</v>
      </c>
      <c r="CJ168" s="283">
        <v>22813.32</v>
      </c>
      <c r="CK168" s="283">
        <f t="shared" si="19"/>
        <v>26901.86</v>
      </c>
      <c r="CL168" s="370"/>
      <c r="CM168" s="371">
        <f>Summary!$D$5</f>
        <v>1543433.55918333</v>
      </c>
      <c r="CN168" s="258">
        <f t="shared" si="23"/>
        <v>0</v>
      </c>
    </row>
    <row r="169" ht="15.6" spans="1:92">
      <c r="A169" s="258" t="s">
        <v>149</v>
      </c>
      <c r="B169" s="258" t="s">
        <v>694</v>
      </c>
      <c r="C169" s="258" t="s">
        <v>230</v>
      </c>
      <c r="D169" s="260" t="s">
        <v>261</v>
      </c>
      <c r="E169" s="258" t="s">
        <v>233</v>
      </c>
      <c r="F169" s="260" t="s">
        <v>272</v>
      </c>
      <c r="G169" s="384"/>
      <c r="H169" s="343">
        <f>(AW169+CK169)/2</f>
        <v>124563.146666667</v>
      </c>
      <c r="I169" s="360" t="s">
        <v>714</v>
      </c>
      <c r="J169" s="387"/>
      <c r="K169" s="387"/>
      <c r="L169" s="387"/>
      <c r="M169" s="387"/>
      <c r="N169" s="388"/>
      <c r="O169" s="389"/>
      <c r="P169" s="389"/>
      <c r="Q169" s="389"/>
      <c r="R169" s="389"/>
      <c r="S169" s="389"/>
      <c r="T169" s="389"/>
      <c r="U169" s="389"/>
      <c r="V169" s="389">
        <v>146937</v>
      </c>
      <c r="W169" s="356">
        <v>144770</v>
      </c>
      <c r="X169" s="356">
        <v>165235</v>
      </c>
      <c r="Y169" s="356">
        <v>209133</v>
      </c>
      <c r="Z169" s="356">
        <v>200698</v>
      </c>
      <c r="AA169" s="356">
        <v>252209</v>
      </c>
      <c r="AB169" s="356">
        <v>227369</v>
      </c>
      <c r="AC169" s="356">
        <v>216803</v>
      </c>
      <c r="AD169" s="356">
        <v>162185</v>
      </c>
      <c r="AE169" s="356">
        <v>165102</v>
      </c>
      <c r="AF169" s="356">
        <v>186540</v>
      </c>
      <c r="AG169" s="356">
        <v>191939</v>
      </c>
      <c r="AH169" s="356">
        <v>199783</v>
      </c>
      <c r="AI169" s="353">
        <v>216843</v>
      </c>
      <c r="AJ169" s="367">
        <v>203492</v>
      </c>
      <c r="AK169" s="283" t="s">
        <v>2051</v>
      </c>
      <c r="AL169" s="283">
        <v>217345</v>
      </c>
      <c r="AM169" s="283" t="s">
        <v>2052</v>
      </c>
      <c r="AN169" s="283" t="s">
        <v>2053</v>
      </c>
      <c r="AO169" s="283" t="s">
        <v>2054</v>
      </c>
      <c r="AP169" s="283">
        <f>239587</f>
        <v>239587</v>
      </c>
      <c r="AQ169" s="283" t="s">
        <v>2055</v>
      </c>
      <c r="AR169" s="283" t="s">
        <v>2056</v>
      </c>
      <c r="AS169" s="283" t="s">
        <v>2057</v>
      </c>
      <c r="AT169" s="283" t="s">
        <v>2058</v>
      </c>
      <c r="AU169" s="283" t="s">
        <v>2059</v>
      </c>
      <c r="AV169" s="283" t="s">
        <v>2060</v>
      </c>
      <c r="AW169" s="283">
        <f t="shared" si="18"/>
        <v>165032.666666667</v>
      </c>
      <c r="AX169" s="283"/>
      <c r="AY169" s="283"/>
      <c r="AZ169" s="283"/>
      <c r="BA169" s="283"/>
      <c r="BB169" s="283"/>
      <c r="BC169" s="283"/>
      <c r="BD169" s="283"/>
      <c r="BE169" s="283"/>
      <c r="BF169" s="283"/>
      <c r="BG169" s="283"/>
      <c r="BH169" s="283"/>
      <c r="BI169" s="283"/>
      <c r="BJ169" s="283">
        <v>116200</v>
      </c>
      <c r="BK169" s="283">
        <v>171600</v>
      </c>
      <c r="BL169" s="283">
        <v>106200</v>
      </c>
      <c r="BM169" s="283">
        <v>122200</v>
      </c>
      <c r="BN169" s="283">
        <v>142200</v>
      </c>
      <c r="BO169" s="283">
        <v>195400</v>
      </c>
      <c r="BP169" s="283">
        <v>111700</v>
      </c>
      <c r="BQ169" s="283">
        <v>104900</v>
      </c>
      <c r="BR169" s="283">
        <v>82500</v>
      </c>
      <c r="BS169" s="283">
        <v>96700</v>
      </c>
      <c r="BT169" s="283">
        <v>127600</v>
      </c>
      <c r="BU169" s="283">
        <v>159700</v>
      </c>
      <c r="BV169" s="283">
        <v>94200</v>
      </c>
      <c r="BW169" s="283">
        <v>94200</v>
      </c>
      <c r="BX169" s="283">
        <v>86378</v>
      </c>
      <c r="BY169" s="283">
        <v>86378</v>
      </c>
      <c r="BZ169" s="283">
        <v>75450</v>
      </c>
      <c r="CA169" s="283">
        <v>51500</v>
      </c>
      <c r="CB169" s="283">
        <v>108900</v>
      </c>
      <c r="CC169" s="283">
        <v>98300</v>
      </c>
      <c r="CD169" s="283">
        <v>16000</v>
      </c>
      <c r="CE169" s="283">
        <v>107000</v>
      </c>
      <c r="CF169" s="283">
        <v>64000</v>
      </c>
      <c r="CG169" s="283">
        <v>93600</v>
      </c>
      <c r="CH169" s="283">
        <v>138200</v>
      </c>
      <c r="CI169" s="283">
        <v>61868.08</v>
      </c>
      <c r="CJ169" s="283">
        <v>80875.2</v>
      </c>
      <c r="CK169" s="283">
        <f t="shared" si="19"/>
        <v>84093.6266666667</v>
      </c>
      <c r="CL169" s="372"/>
      <c r="CM169" s="371">
        <f>Summary!$D$5</f>
        <v>1543433.55918333</v>
      </c>
      <c r="CN169" s="258">
        <f t="shared" si="23"/>
        <v>1</v>
      </c>
    </row>
    <row r="170" ht="15.6" spans="1:92">
      <c r="A170" s="258" t="s">
        <v>149</v>
      </c>
      <c r="B170" s="258" t="s">
        <v>694</v>
      </c>
      <c r="C170" s="258" t="s">
        <v>230</v>
      </c>
      <c r="D170" s="260" t="s">
        <v>267</v>
      </c>
      <c r="E170" s="258" t="s">
        <v>441</v>
      </c>
      <c r="F170" s="260" t="s">
        <v>58</v>
      </c>
      <c r="G170" s="382"/>
      <c r="H170" s="343">
        <f>(AW170+CK170)/2</f>
        <v>69108.1666666667</v>
      </c>
      <c r="I170" s="360" t="s">
        <v>2061</v>
      </c>
      <c r="J170" s="362"/>
      <c r="K170" s="362"/>
      <c r="L170" s="362"/>
      <c r="M170" s="362"/>
      <c r="N170" s="363"/>
      <c r="O170" s="364"/>
      <c r="P170" s="364"/>
      <c r="Q170" s="364"/>
      <c r="R170" s="364"/>
      <c r="S170" s="364"/>
      <c r="T170" s="364"/>
      <c r="U170" s="365"/>
      <c r="V170" s="365">
        <v>60260</v>
      </c>
      <c r="W170" s="353">
        <v>58000</v>
      </c>
      <c r="X170" s="353">
        <v>79273</v>
      </c>
      <c r="Y170" s="353">
        <v>71956</v>
      </c>
      <c r="Z170" s="353">
        <v>57247</v>
      </c>
      <c r="AA170" s="353">
        <v>74334</v>
      </c>
      <c r="AB170" s="353">
        <v>82008</v>
      </c>
      <c r="AC170" s="353">
        <v>90251</v>
      </c>
      <c r="AD170" s="353">
        <v>87143</v>
      </c>
      <c r="AE170" s="353">
        <v>102190</v>
      </c>
      <c r="AF170" s="353">
        <v>89000</v>
      </c>
      <c r="AG170" s="353">
        <v>93061</v>
      </c>
      <c r="AH170" s="353">
        <v>91901</v>
      </c>
      <c r="AI170" s="353">
        <v>113701</v>
      </c>
      <c r="AJ170" s="367">
        <v>89934</v>
      </c>
      <c r="AK170" s="283" t="s">
        <v>2062</v>
      </c>
      <c r="AL170" s="283">
        <v>78946</v>
      </c>
      <c r="AM170" s="283" t="s">
        <v>2063</v>
      </c>
      <c r="AN170" s="283" t="s">
        <v>2064</v>
      </c>
      <c r="AO170" s="283" t="s">
        <v>2065</v>
      </c>
      <c r="AP170" s="283">
        <v>67044</v>
      </c>
      <c r="AQ170" s="283" t="s">
        <v>2066</v>
      </c>
      <c r="AR170" s="283" t="s">
        <v>2067</v>
      </c>
      <c r="AS170" s="283" t="s">
        <v>2068</v>
      </c>
      <c r="AT170" s="283" t="s">
        <v>2069</v>
      </c>
      <c r="AU170" s="283" t="s">
        <v>2070</v>
      </c>
      <c r="AV170" s="283" t="s">
        <v>2071</v>
      </c>
      <c r="AW170" s="283">
        <f t="shared" si="18"/>
        <v>70349.6666666667</v>
      </c>
      <c r="AX170" s="283"/>
      <c r="AY170" s="283"/>
      <c r="AZ170" s="283"/>
      <c r="BA170" s="283"/>
      <c r="BB170" s="283"/>
      <c r="BC170" s="283"/>
      <c r="BD170" s="283"/>
      <c r="BE170" s="283"/>
      <c r="BF170" s="283"/>
      <c r="BG170" s="283"/>
      <c r="BH170" s="283"/>
      <c r="BI170" s="283"/>
      <c r="BJ170" s="283">
        <v>57000</v>
      </c>
      <c r="BK170" s="283">
        <v>75200</v>
      </c>
      <c r="BL170" s="283">
        <v>87900</v>
      </c>
      <c r="BM170" s="283">
        <v>79000</v>
      </c>
      <c r="BN170" s="283">
        <v>38200</v>
      </c>
      <c r="BO170" s="283">
        <v>88500</v>
      </c>
      <c r="BP170" s="283">
        <v>80000</v>
      </c>
      <c r="BQ170" s="283">
        <v>67100</v>
      </c>
      <c r="BR170" s="283">
        <v>62000</v>
      </c>
      <c r="BS170" s="283">
        <v>115300</v>
      </c>
      <c r="BT170" s="283">
        <v>140300</v>
      </c>
      <c r="BU170" s="283">
        <v>165100</v>
      </c>
      <c r="BV170" s="283">
        <v>137700</v>
      </c>
      <c r="BW170" s="283">
        <v>212200</v>
      </c>
      <c r="BX170" s="283">
        <v>212400</v>
      </c>
      <c r="BY170" s="283">
        <v>212400</v>
      </c>
      <c r="BZ170" s="283">
        <v>128600</v>
      </c>
      <c r="CA170" s="283">
        <v>104000</v>
      </c>
      <c r="CB170" s="283">
        <v>85500</v>
      </c>
      <c r="CC170" s="283">
        <v>84300</v>
      </c>
      <c r="CD170" s="283">
        <v>39200</v>
      </c>
      <c r="CE170" s="283">
        <v>39200</v>
      </c>
      <c r="CF170" s="283">
        <v>52500</v>
      </c>
      <c r="CG170" s="283">
        <v>71000</v>
      </c>
      <c r="CH170" s="283">
        <v>76200</v>
      </c>
      <c r="CI170" s="283">
        <v>118700</v>
      </c>
      <c r="CJ170" s="283">
        <v>31200</v>
      </c>
      <c r="CK170" s="283">
        <f t="shared" si="19"/>
        <v>67866.6666666667</v>
      </c>
      <c r="CL170" s="370"/>
      <c r="CM170" s="371">
        <f>Summary!$D$5</f>
        <v>1543433.55918333</v>
      </c>
      <c r="CN170" s="258">
        <f t="shared" si="23"/>
        <v>0</v>
      </c>
    </row>
    <row r="171" s="335" customFormat="1" ht="15.6" spans="1:92">
      <c r="A171" s="258" t="s">
        <v>149</v>
      </c>
      <c r="B171" s="258" t="s">
        <v>694</v>
      </c>
      <c r="C171" s="258" t="s">
        <v>230</v>
      </c>
      <c r="D171" s="342" t="s">
        <v>541</v>
      </c>
      <c r="E171" s="258" t="s">
        <v>441</v>
      </c>
      <c r="F171" s="260" t="s">
        <v>423</v>
      </c>
      <c r="G171" s="382"/>
      <c r="H171" s="283">
        <f>(AW171+CK171)/2</f>
        <v>81686.1166666667</v>
      </c>
      <c r="I171" s="360" t="s">
        <v>2072</v>
      </c>
      <c r="J171" s="351"/>
      <c r="K171" s="351"/>
      <c r="L171" s="351"/>
      <c r="M171" s="351"/>
      <c r="N171" s="352"/>
      <c r="O171" s="353"/>
      <c r="P171" s="353"/>
      <c r="Q171" s="353"/>
      <c r="R171" s="353"/>
      <c r="S171" s="353"/>
      <c r="T171" s="353"/>
      <c r="U171" s="353"/>
      <c r="V171" s="353"/>
      <c r="W171" s="353"/>
      <c r="X171" s="353"/>
      <c r="Y171" s="353"/>
      <c r="Z171" s="353"/>
      <c r="AA171" s="353"/>
      <c r="AB171" s="353"/>
      <c r="AC171" s="353"/>
      <c r="AD171" s="353"/>
      <c r="AE171" s="353"/>
      <c r="AF171" s="353"/>
      <c r="AG171" s="356"/>
      <c r="AH171" s="356"/>
      <c r="AI171" s="356">
        <v>145053</v>
      </c>
      <c r="AJ171" s="356">
        <v>145918</v>
      </c>
      <c r="AK171" s="283" t="s">
        <v>2073</v>
      </c>
      <c r="AL171" s="283">
        <v>62485</v>
      </c>
      <c r="AM171" s="283" t="s">
        <v>2074</v>
      </c>
      <c r="AN171" s="283" t="s">
        <v>2075</v>
      </c>
      <c r="AO171" s="283" t="s">
        <v>2076</v>
      </c>
      <c r="AP171" s="283">
        <v>88633</v>
      </c>
      <c r="AQ171" s="283" t="s">
        <v>2077</v>
      </c>
      <c r="AR171" s="283" t="s">
        <v>2078</v>
      </c>
      <c r="AS171" s="283" t="s">
        <v>2079</v>
      </c>
      <c r="AT171" s="283" t="s">
        <v>2080</v>
      </c>
      <c r="AU171" s="283" t="s">
        <v>2081</v>
      </c>
      <c r="AV171" s="283" t="s">
        <v>2082</v>
      </c>
      <c r="AW171" s="283">
        <f t="shared" si="18"/>
        <v>110788.666666667</v>
      </c>
      <c r="AX171" s="283"/>
      <c r="AY171" s="283"/>
      <c r="AZ171" s="283"/>
      <c r="BA171" s="283"/>
      <c r="BB171" s="283"/>
      <c r="BC171" s="283"/>
      <c r="BD171" s="283"/>
      <c r="BE171" s="283"/>
      <c r="BF171" s="283"/>
      <c r="BG171" s="283"/>
      <c r="BH171" s="283"/>
      <c r="BI171" s="283"/>
      <c r="BJ171" s="283"/>
      <c r="BK171" s="283"/>
      <c r="BL171" s="283"/>
      <c r="BM171" s="283"/>
      <c r="BN171" s="283"/>
      <c r="BO171" s="283"/>
      <c r="BP171" s="283"/>
      <c r="BQ171" s="283"/>
      <c r="BR171" s="283"/>
      <c r="BS171" s="283"/>
      <c r="BT171" s="283"/>
      <c r="BU171" s="283"/>
      <c r="BV171" s="283"/>
      <c r="BW171" s="283">
        <v>99000</v>
      </c>
      <c r="BX171" s="283">
        <v>133800</v>
      </c>
      <c r="BY171" s="283">
        <v>16800</v>
      </c>
      <c r="BZ171" s="283">
        <v>53600</v>
      </c>
      <c r="CA171" s="283">
        <v>25900</v>
      </c>
      <c r="CB171" s="283">
        <v>17600</v>
      </c>
      <c r="CC171" s="283">
        <v>42000</v>
      </c>
      <c r="CD171" s="283">
        <v>44700</v>
      </c>
      <c r="CE171" s="283">
        <v>44745</v>
      </c>
      <c r="CF171" s="283">
        <v>15800</v>
      </c>
      <c r="CG171" s="283">
        <v>23633.4</v>
      </c>
      <c r="CH171" s="283">
        <v>16900</v>
      </c>
      <c r="CI171" s="283">
        <v>55236.9</v>
      </c>
      <c r="CJ171" s="283">
        <v>62709.2</v>
      </c>
      <c r="CK171" s="283">
        <f t="shared" si="19"/>
        <v>52583.5666666667</v>
      </c>
      <c r="CL171" s="370"/>
      <c r="CM171" s="371">
        <f>Summary!$D$5</f>
        <v>1543433.55918333</v>
      </c>
      <c r="CN171" s="258">
        <f t="shared" si="23"/>
        <v>1</v>
      </c>
    </row>
    <row r="172" ht="15.6" spans="1:92">
      <c r="A172" s="258" t="s">
        <v>149</v>
      </c>
      <c r="B172" s="258" t="s">
        <v>694</v>
      </c>
      <c r="C172" s="258" t="s">
        <v>243</v>
      </c>
      <c r="D172" s="342" t="s">
        <v>262</v>
      </c>
      <c r="E172" s="258" t="s">
        <v>441</v>
      </c>
      <c r="F172" s="260" t="s">
        <v>266</v>
      </c>
      <c r="G172" s="384"/>
      <c r="H172" s="283">
        <f>(AW172+CK172)/2</f>
        <v>113989.94</v>
      </c>
      <c r="I172" s="292" t="s">
        <v>2083</v>
      </c>
      <c r="J172" s="354">
        <v>337378</v>
      </c>
      <c r="K172" s="354">
        <v>331745</v>
      </c>
      <c r="L172" s="354">
        <v>273425</v>
      </c>
      <c r="M172" s="354">
        <v>369490</v>
      </c>
      <c r="N172" s="355">
        <v>298533</v>
      </c>
      <c r="O172" s="356">
        <v>254127</v>
      </c>
      <c r="P172" s="356">
        <v>242121</v>
      </c>
      <c r="Q172" s="356">
        <v>348082</v>
      </c>
      <c r="R172" s="356">
        <v>268900</v>
      </c>
      <c r="S172" s="356">
        <v>259960</v>
      </c>
      <c r="T172" s="356">
        <v>214113</v>
      </c>
      <c r="U172" s="356" t="e">
        <f>VLOOKUP(D172,Mid!$A$2:$C$225,2,FALSE)</f>
        <v>#N/A</v>
      </c>
      <c r="V172" s="356">
        <v>233880</v>
      </c>
      <c r="W172" s="356">
        <v>224334</v>
      </c>
      <c r="X172" s="356">
        <v>202377</v>
      </c>
      <c r="Y172" s="356">
        <v>208960</v>
      </c>
      <c r="Z172" s="356">
        <v>204694</v>
      </c>
      <c r="AA172" s="356">
        <v>202633</v>
      </c>
      <c r="AB172" s="356">
        <v>146824</v>
      </c>
      <c r="AC172" s="356">
        <v>179134</v>
      </c>
      <c r="AD172" s="356">
        <v>138126</v>
      </c>
      <c r="AE172" s="356">
        <v>126186</v>
      </c>
      <c r="AF172" s="356">
        <v>159439</v>
      </c>
      <c r="AG172" s="356">
        <v>136859</v>
      </c>
      <c r="AH172" s="356">
        <v>115806</v>
      </c>
      <c r="AI172" s="353">
        <v>140307</v>
      </c>
      <c r="AJ172" s="283">
        <v>145513</v>
      </c>
      <c r="AK172" s="283" t="s">
        <v>2084</v>
      </c>
      <c r="AL172" s="283">
        <v>160359</v>
      </c>
      <c r="AM172" s="283" t="s">
        <v>2085</v>
      </c>
      <c r="AN172" s="283" t="s">
        <v>2086</v>
      </c>
      <c r="AO172" s="283" t="s">
        <v>2087</v>
      </c>
      <c r="AP172" s="283">
        <v>196426</v>
      </c>
      <c r="AQ172" s="283" t="s">
        <v>2088</v>
      </c>
      <c r="AR172" s="283" t="s">
        <v>2089</v>
      </c>
      <c r="AS172" s="283" t="s">
        <v>2090</v>
      </c>
      <c r="AT172" s="283">
        <v>119785</v>
      </c>
      <c r="AU172" s="283" t="s">
        <v>2091</v>
      </c>
      <c r="AV172" s="283" t="s">
        <v>2092</v>
      </c>
      <c r="AW172" s="283">
        <f t="shared" si="18"/>
        <v>110897.666666667</v>
      </c>
      <c r="AX172" s="283">
        <v>311100</v>
      </c>
      <c r="AY172" s="283">
        <v>297900</v>
      </c>
      <c r="AZ172" s="283">
        <v>286900</v>
      </c>
      <c r="BA172" s="283">
        <v>276700</v>
      </c>
      <c r="BB172" s="283">
        <v>303800</v>
      </c>
      <c r="BC172" s="283">
        <v>304200</v>
      </c>
      <c r="BD172" s="283">
        <v>311900</v>
      </c>
      <c r="BE172" s="283">
        <v>253400</v>
      </c>
      <c r="BF172" s="283">
        <v>220900</v>
      </c>
      <c r="BG172" s="283">
        <v>224500</v>
      </c>
      <c r="BH172" s="283">
        <v>227400</v>
      </c>
      <c r="BI172" s="283" t="e">
        <f>VLOOKUP(D172,Mid!$A$2:$C$225,3,FALSE)</f>
        <v>#N/A</v>
      </c>
      <c r="BJ172" s="283">
        <v>137500</v>
      </c>
      <c r="BK172" s="283">
        <v>127800</v>
      </c>
      <c r="BL172" s="283">
        <v>132400</v>
      </c>
      <c r="BM172" s="283">
        <v>259200</v>
      </c>
      <c r="BN172" s="283">
        <v>186100</v>
      </c>
      <c r="BO172" s="283">
        <v>237400</v>
      </c>
      <c r="BP172" s="283">
        <v>123700</v>
      </c>
      <c r="BQ172" s="283">
        <v>94400</v>
      </c>
      <c r="BR172" s="283">
        <v>153100</v>
      </c>
      <c r="BS172" s="283">
        <v>123900</v>
      </c>
      <c r="BT172" s="283">
        <v>113200</v>
      </c>
      <c r="BU172" s="283">
        <v>72800</v>
      </c>
      <c r="BV172" s="283">
        <v>118200</v>
      </c>
      <c r="BW172" s="283">
        <v>102400</v>
      </c>
      <c r="BX172" s="283">
        <v>115404</v>
      </c>
      <c r="BY172" s="283">
        <v>115405</v>
      </c>
      <c r="BZ172" s="283">
        <v>128200</v>
      </c>
      <c r="CA172" s="283">
        <v>137700</v>
      </c>
      <c r="CB172" s="283">
        <v>97000</v>
      </c>
      <c r="CC172" s="283">
        <v>111800</v>
      </c>
      <c r="CD172" s="283">
        <v>114000</v>
      </c>
      <c r="CE172" s="283">
        <v>56700</v>
      </c>
      <c r="CF172" s="283">
        <v>128600</v>
      </c>
      <c r="CG172" s="283">
        <v>124900</v>
      </c>
      <c r="CH172" s="283">
        <v>149300</v>
      </c>
      <c r="CI172" s="283">
        <v>95696.64</v>
      </c>
      <c r="CJ172" s="283">
        <v>120600</v>
      </c>
      <c r="CK172" s="283">
        <f t="shared" si="19"/>
        <v>117082.213333333</v>
      </c>
      <c r="CL172" s="372"/>
      <c r="CM172" s="371">
        <f>Summary!$D$5</f>
        <v>1543433.55918333</v>
      </c>
      <c r="CN172" s="258">
        <f t="shared" si="23"/>
        <v>1</v>
      </c>
    </row>
    <row r="173" ht="15.6" spans="1:92">
      <c r="A173" s="258" t="s">
        <v>149</v>
      </c>
      <c r="B173" s="258" t="s">
        <v>694</v>
      </c>
      <c r="C173" s="258" t="s">
        <v>230</v>
      </c>
      <c r="D173" s="342" t="s">
        <v>482</v>
      </c>
      <c r="E173" s="258" t="s">
        <v>441</v>
      </c>
      <c r="F173" s="260" t="s">
        <v>426</v>
      </c>
      <c r="G173" s="382"/>
      <c r="H173" s="283">
        <f>(AW173+CK173)/2*0.78</f>
        <v>65641.3823</v>
      </c>
      <c r="I173" s="260" t="s">
        <v>2093</v>
      </c>
      <c r="J173" s="351"/>
      <c r="K173" s="351"/>
      <c r="L173" s="351"/>
      <c r="M173" s="351"/>
      <c r="N173" s="352"/>
      <c r="O173" s="353"/>
      <c r="P173" s="353"/>
      <c r="Q173" s="353"/>
      <c r="R173" s="353"/>
      <c r="S173" s="353"/>
      <c r="T173" s="353"/>
      <c r="U173" s="353"/>
      <c r="V173" s="353"/>
      <c r="W173" s="353"/>
      <c r="X173" s="353"/>
      <c r="Y173" s="353"/>
      <c r="Z173" s="353"/>
      <c r="AA173" s="353"/>
      <c r="AB173" s="353"/>
      <c r="AC173" s="353"/>
      <c r="AD173" s="353"/>
      <c r="AE173" s="353"/>
      <c r="AF173" s="353"/>
      <c r="AG173" s="353"/>
      <c r="AH173" s="353"/>
      <c r="AI173" s="353">
        <v>58417</v>
      </c>
      <c r="AJ173" s="353">
        <v>72855</v>
      </c>
      <c r="AK173" s="283">
        <v>85559</v>
      </c>
      <c r="AL173" s="283">
        <v>73255</v>
      </c>
      <c r="AM173" s="283" t="s">
        <v>2094</v>
      </c>
      <c r="AN173" s="283" t="s">
        <v>2095</v>
      </c>
      <c r="AO173" s="283" t="s">
        <v>2096</v>
      </c>
      <c r="AP173" s="283">
        <v>84653</v>
      </c>
      <c r="AQ173" s="283" t="s">
        <v>2097</v>
      </c>
      <c r="AR173" s="283" t="s">
        <v>2098</v>
      </c>
      <c r="AS173" s="283" t="s">
        <v>2099</v>
      </c>
      <c r="AT173" s="283" t="s">
        <v>2100</v>
      </c>
      <c r="AU173" s="283" t="s">
        <v>2101</v>
      </c>
      <c r="AV173" s="283" t="s">
        <v>2102</v>
      </c>
      <c r="AW173" s="283">
        <f t="shared" si="18"/>
        <v>112348.666666667</v>
      </c>
      <c r="AX173" s="283"/>
      <c r="AY173" s="283"/>
      <c r="AZ173" s="283"/>
      <c r="BA173" s="283"/>
      <c r="BB173" s="283"/>
      <c r="BC173" s="283"/>
      <c r="BD173" s="283"/>
      <c r="BE173" s="283"/>
      <c r="BF173" s="283"/>
      <c r="BG173" s="283"/>
      <c r="BH173" s="283"/>
      <c r="BI173" s="283"/>
      <c r="BJ173" s="283"/>
      <c r="BK173" s="283"/>
      <c r="BL173" s="283"/>
      <c r="BM173" s="283"/>
      <c r="BN173" s="283"/>
      <c r="BO173" s="283"/>
      <c r="BP173" s="283"/>
      <c r="BQ173" s="283"/>
      <c r="BR173" s="283"/>
      <c r="BS173" s="283"/>
      <c r="BT173" s="283"/>
      <c r="BU173" s="283"/>
      <c r="BV173" s="283"/>
      <c r="BW173" s="283">
        <v>143000</v>
      </c>
      <c r="BX173" s="283">
        <v>47700</v>
      </c>
      <c r="BY173" s="283">
        <v>47700</v>
      </c>
      <c r="BZ173" s="283">
        <v>34100</v>
      </c>
      <c r="CA173" s="283">
        <v>78700</v>
      </c>
      <c r="CB173" s="283">
        <v>47000</v>
      </c>
      <c r="CC173" s="283">
        <v>109900</v>
      </c>
      <c r="CD173" s="283">
        <v>60200</v>
      </c>
      <c r="CE173" s="283">
        <v>64800</v>
      </c>
      <c r="CF173" s="283">
        <v>82300</v>
      </c>
      <c r="CG173" s="283">
        <v>53600</v>
      </c>
      <c r="CH173" s="283">
        <v>41000</v>
      </c>
      <c r="CI173" s="283">
        <v>50626.7</v>
      </c>
      <c r="CJ173" s="283">
        <v>64507.34</v>
      </c>
      <c r="CK173" s="283">
        <f t="shared" si="19"/>
        <v>55962.57</v>
      </c>
      <c r="CL173" s="370"/>
      <c r="CM173" s="371">
        <f>Summary!$D$5</f>
        <v>1543433.55918333</v>
      </c>
      <c r="CN173" s="258">
        <f t="shared" si="23"/>
        <v>0</v>
      </c>
    </row>
    <row r="174" ht="15.6" spans="1:92">
      <c r="A174" s="258" t="s">
        <v>149</v>
      </c>
      <c r="B174" s="258" t="s">
        <v>694</v>
      </c>
      <c r="C174" s="258" t="s">
        <v>230</v>
      </c>
      <c r="D174" s="258" t="s">
        <v>746</v>
      </c>
      <c r="E174" s="258" t="s">
        <v>233</v>
      </c>
      <c r="F174" s="260" t="s">
        <v>266</v>
      </c>
      <c r="G174" s="343"/>
      <c r="H174" s="283">
        <f>(AW174+CK174)*0.28/2</f>
        <v>2940.72333333333</v>
      </c>
      <c r="I174" s="292" t="s">
        <v>747</v>
      </c>
      <c r="J174" s="351">
        <v>176032</v>
      </c>
      <c r="K174" s="351">
        <v>267943</v>
      </c>
      <c r="L174" s="351">
        <v>214616</v>
      </c>
      <c r="M174" s="351">
        <v>258271</v>
      </c>
      <c r="N174" s="352">
        <v>187928</v>
      </c>
      <c r="O174" s="353">
        <v>181520</v>
      </c>
      <c r="P174" s="353">
        <v>224967</v>
      </c>
      <c r="Q174" s="353">
        <v>207895</v>
      </c>
      <c r="R174" s="353">
        <v>206333</v>
      </c>
      <c r="S174" s="353">
        <v>182539</v>
      </c>
      <c r="T174" s="353">
        <v>146238</v>
      </c>
      <c r="U174" s="353" t="e">
        <f>VLOOKUP(D174,Mid!$A$2:$C$225,2,FALSE)</f>
        <v>#N/A</v>
      </c>
      <c r="V174" s="353">
        <v>184359</v>
      </c>
      <c r="W174" s="353">
        <v>174167</v>
      </c>
      <c r="X174" s="353">
        <v>214152</v>
      </c>
      <c r="Y174" s="353">
        <v>199633</v>
      </c>
      <c r="Z174" s="353">
        <v>208932</v>
      </c>
      <c r="AA174" s="353">
        <v>209530</v>
      </c>
      <c r="AB174" s="353">
        <v>184819</v>
      </c>
      <c r="AC174" s="353">
        <v>229858</v>
      </c>
      <c r="AD174" s="353">
        <v>346107</v>
      </c>
      <c r="AE174" s="353">
        <v>271884</v>
      </c>
      <c r="AF174" s="353">
        <v>198072</v>
      </c>
      <c r="AG174" s="353">
        <v>238983</v>
      </c>
      <c r="AH174" s="353">
        <v>396684</v>
      </c>
      <c r="AI174" s="353">
        <v>322537</v>
      </c>
      <c r="AJ174" s="367">
        <v>279868</v>
      </c>
      <c r="AK174" s="283" t="s">
        <v>748</v>
      </c>
      <c r="AL174" s="283">
        <v>213004</v>
      </c>
      <c r="AM174" s="283" t="s">
        <v>749</v>
      </c>
      <c r="AN174" s="283" t="s">
        <v>750</v>
      </c>
      <c r="AO174" s="283" t="s">
        <v>751</v>
      </c>
      <c r="AP174" s="283">
        <v>108207</v>
      </c>
      <c r="AQ174" s="283" t="s">
        <v>752</v>
      </c>
      <c r="AR174" s="283" t="s">
        <v>753</v>
      </c>
      <c r="AS174" s="283" t="s">
        <v>754</v>
      </c>
      <c r="AT174" s="283" t="s">
        <v>755</v>
      </c>
      <c r="AU174" s="283" t="s">
        <v>756</v>
      </c>
      <c r="AV174" s="283" t="s">
        <v>757</v>
      </c>
      <c r="AW174" s="283">
        <f t="shared" si="18"/>
        <v>14215.5</v>
      </c>
      <c r="AX174" s="283">
        <v>253300</v>
      </c>
      <c r="AY174" s="283">
        <v>359800</v>
      </c>
      <c r="AZ174" s="283">
        <v>290900</v>
      </c>
      <c r="BA174" s="283">
        <v>283300</v>
      </c>
      <c r="BB174" s="283">
        <v>231200</v>
      </c>
      <c r="BC174" s="283">
        <v>211200</v>
      </c>
      <c r="BD174" s="283">
        <v>230700</v>
      </c>
      <c r="BE174" s="283">
        <v>235500</v>
      </c>
      <c r="BF174" s="283">
        <v>147000</v>
      </c>
      <c r="BG174" s="283">
        <v>181400</v>
      </c>
      <c r="BH174" s="283">
        <v>218100</v>
      </c>
      <c r="BI174" s="283" t="e">
        <f>VLOOKUP(D174,Mid!$A$2:$C$225,3,FALSE)</f>
        <v>#N/A</v>
      </c>
      <c r="BJ174" s="283">
        <v>242800</v>
      </c>
      <c r="BK174" s="283">
        <v>226800</v>
      </c>
      <c r="BL174" s="283">
        <v>142200</v>
      </c>
      <c r="BM174" s="283">
        <v>68400</v>
      </c>
      <c r="BN174" s="283">
        <v>91600</v>
      </c>
      <c r="BO174" s="283">
        <v>65000</v>
      </c>
      <c r="BP174" s="283">
        <v>78000</v>
      </c>
      <c r="BQ174" s="283">
        <v>101300</v>
      </c>
      <c r="BR174" s="283">
        <v>162800</v>
      </c>
      <c r="BS174" s="283">
        <v>57200</v>
      </c>
      <c r="BT174" s="283">
        <v>106500</v>
      </c>
      <c r="BU174" s="283">
        <v>56400</v>
      </c>
      <c r="BV174" s="283">
        <v>42500</v>
      </c>
      <c r="BW174" s="283">
        <v>76100</v>
      </c>
      <c r="BX174" s="283">
        <v>28100</v>
      </c>
      <c r="BY174" s="283">
        <v>28100</v>
      </c>
      <c r="BZ174" s="283">
        <v>17700</v>
      </c>
      <c r="CA174" s="283">
        <v>32400</v>
      </c>
      <c r="CB174" s="283">
        <v>20300</v>
      </c>
      <c r="CC174" s="283">
        <v>7300</v>
      </c>
      <c r="CD174" s="283">
        <v>12300</v>
      </c>
      <c r="CE174" s="283">
        <v>12300</v>
      </c>
      <c r="CF174" s="283">
        <v>9200</v>
      </c>
      <c r="CG174" s="283">
        <v>16500</v>
      </c>
      <c r="CH174" s="283">
        <v>17700</v>
      </c>
      <c r="CI174" s="283">
        <v>11000</v>
      </c>
      <c r="CJ174" s="283">
        <v>346</v>
      </c>
      <c r="CK174" s="283">
        <f t="shared" si="19"/>
        <v>6789.66666666667</v>
      </c>
      <c r="CL174" s="370"/>
      <c r="CM174" s="371">
        <f>Summary!$D$5</f>
        <v>1543433.55918333</v>
      </c>
      <c r="CN174" s="258">
        <f t="shared" si="23"/>
        <v>0</v>
      </c>
    </row>
    <row r="175" ht="31.2" spans="1:92">
      <c r="A175" s="258" t="s">
        <v>149</v>
      </c>
      <c r="B175" s="258" t="s">
        <v>694</v>
      </c>
      <c r="C175" s="258" t="s">
        <v>243</v>
      </c>
      <c r="D175" s="342" t="s">
        <v>265</v>
      </c>
      <c r="E175" s="258" t="s">
        <v>441</v>
      </c>
      <c r="F175" s="260" t="s">
        <v>266</v>
      </c>
      <c r="G175" s="382"/>
      <c r="H175" s="283">
        <f>(AW175+CK175)/2</f>
        <v>69636.37585</v>
      </c>
      <c r="I175" s="292" t="s">
        <v>2103</v>
      </c>
      <c r="J175" s="351">
        <v>243924</v>
      </c>
      <c r="K175" s="351">
        <v>202018</v>
      </c>
      <c r="L175" s="351">
        <v>177304</v>
      </c>
      <c r="M175" s="351">
        <v>257130</v>
      </c>
      <c r="N175" s="352">
        <v>237427</v>
      </c>
      <c r="O175" s="353">
        <v>223867</v>
      </c>
      <c r="P175" s="353">
        <v>209780</v>
      </c>
      <c r="Q175" s="353">
        <v>186823</v>
      </c>
      <c r="R175" s="353">
        <v>155447</v>
      </c>
      <c r="S175" s="353">
        <v>193571</v>
      </c>
      <c r="T175" s="353">
        <v>159844</v>
      </c>
      <c r="U175" s="353" t="e">
        <f>VLOOKUP(D175,Mid!$A$2:$C$225,2,FALSE)</f>
        <v>#N/A</v>
      </c>
      <c r="V175" s="353">
        <v>189400</v>
      </c>
      <c r="W175" s="353">
        <v>140567</v>
      </c>
      <c r="X175" s="353">
        <v>120500</v>
      </c>
      <c r="Y175" s="353">
        <v>155263</v>
      </c>
      <c r="Z175" s="353">
        <v>146703</v>
      </c>
      <c r="AA175" s="353">
        <v>128176</v>
      </c>
      <c r="AB175" s="353">
        <v>179421</v>
      </c>
      <c r="AC175" s="353">
        <v>218969</v>
      </c>
      <c r="AD175" s="353">
        <v>136824</v>
      </c>
      <c r="AE175" s="353">
        <v>121124</v>
      </c>
      <c r="AF175" s="353">
        <v>76253</v>
      </c>
      <c r="AG175" s="353">
        <v>66087</v>
      </c>
      <c r="AH175" s="353">
        <v>82352</v>
      </c>
      <c r="AI175" s="353">
        <v>85891</v>
      </c>
      <c r="AJ175" s="367">
        <v>108112</v>
      </c>
      <c r="AK175" s="283" t="s">
        <v>2104</v>
      </c>
      <c r="AL175" s="283">
        <v>110824</v>
      </c>
      <c r="AM175" s="283" t="s">
        <v>2105</v>
      </c>
      <c r="AN175" s="283" t="s">
        <v>2106</v>
      </c>
      <c r="AO175" s="283" t="s">
        <v>2107</v>
      </c>
      <c r="AP175" s="283">
        <v>129933</v>
      </c>
      <c r="AQ175" s="283" t="s">
        <v>2108</v>
      </c>
      <c r="AR175" s="283" t="s">
        <v>2109</v>
      </c>
      <c r="AS175" s="283" t="s">
        <v>2110</v>
      </c>
      <c r="AT175" s="283">
        <f>152741*0.3075*2</f>
        <v>93935.715</v>
      </c>
      <c r="AU175" s="283">
        <f>232681*0.1372*2</f>
        <v>63847.6664</v>
      </c>
      <c r="AV175" s="283">
        <f>263566*0.1544*2</f>
        <v>81389.1808</v>
      </c>
      <c r="AW175" s="283">
        <f t="shared" si="18"/>
        <v>77633.0983666667</v>
      </c>
      <c r="AX175" s="283">
        <v>242200</v>
      </c>
      <c r="AY175" s="283">
        <v>225700</v>
      </c>
      <c r="AZ175" s="283">
        <v>207800</v>
      </c>
      <c r="BA175" s="283">
        <v>206800</v>
      </c>
      <c r="BB175" s="283">
        <v>210100</v>
      </c>
      <c r="BC175" s="283">
        <v>197100</v>
      </c>
      <c r="BD175" s="283">
        <v>214500</v>
      </c>
      <c r="BE175" s="283">
        <v>183900</v>
      </c>
      <c r="BF175" s="283">
        <v>133000</v>
      </c>
      <c r="BG175" s="283">
        <v>117300</v>
      </c>
      <c r="BH175" s="283">
        <v>122500</v>
      </c>
      <c r="BI175" s="283" t="e">
        <f>VLOOKUP(D175,Mid!$A$2:$C$225,3,FALSE)</f>
        <v>#N/A</v>
      </c>
      <c r="BJ175" s="283">
        <v>59300</v>
      </c>
      <c r="BK175" s="283">
        <v>98600</v>
      </c>
      <c r="BL175" s="283">
        <v>87900</v>
      </c>
      <c r="BM175" s="283">
        <v>122200</v>
      </c>
      <c r="BN175" s="283">
        <v>96700</v>
      </c>
      <c r="BO175" s="283">
        <v>75300</v>
      </c>
      <c r="BP175" s="283">
        <v>80800</v>
      </c>
      <c r="BQ175" s="283">
        <v>87300</v>
      </c>
      <c r="BR175" s="283">
        <v>60900</v>
      </c>
      <c r="BS175" s="283">
        <v>51500</v>
      </c>
      <c r="BT175" s="283">
        <v>62900</v>
      </c>
      <c r="BU175" s="283">
        <v>22900</v>
      </c>
      <c r="BV175" s="283">
        <v>15300</v>
      </c>
      <c r="BW175" s="283">
        <v>24200</v>
      </c>
      <c r="BX175" s="283">
        <v>70300</v>
      </c>
      <c r="BY175" s="283">
        <v>70300</v>
      </c>
      <c r="BZ175" s="283">
        <v>42800</v>
      </c>
      <c r="CA175" s="283">
        <v>43063.68</v>
      </c>
      <c r="CB175" s="283">
        <v>119100</v>
      </c>
      <c r="CC175" s="283">
        <v>48700</v>
      </c>
      <c r="CD175" s="283">
        <v>9000</v>
      </c>
      <c r="CE175" s="283">
        <v>60500</v>
      </c>
      <c r="CF175" s="283">
        <v>58367.54</v>
      </c>
      <c r="CG175" s="283">
        <v>102459.6</v>
      </c>
      <c r="CH175" s="283">
        <v>59621.28</v>
      </c>
      <c r="CI175" s="283">
        <v>69908.32</v>
      </c>
      <c r="CJ175" s="283">
        <v>56800</v>
      </c>
      <c r="CK175" s="283">
        <f t="shared" si="19"/>
        <v>61639.6533333333</v>
      </c>
      <c r="CL175" s="370"/>
      <c r="CM175" s="371">
        <f>Summary!$D$5</f>
        <v>1543433.55918333</v>
      </c>
      <c r="CN175" s="258">
        <f t="shared" si="23"/>
        <v>0</v>
      </c>
    </row>
    <row r="176" ht="46.8" spans="1:92">
      <c r="A176" s="258" t="s">
        <v>149</v>
      </c>
      <c r="B176" s="258" t="s">
        <v>694</v>
      </c>
      <c r="C176" s="258" t="s">
        <v>230</v>
      </c>
      <c r="D176" s="342" t="s">
        <v>292</v>
      </c>
      <c r="E176" s="258" t="s">
        <v>233</v>
      </c>
      <c r="F176" s="260" t="s">
        <v>250</v>
      </c>
      <c r="G176" s="343"/>
      <c r="H176" s="283">
        <f>(AW176+CK176)*0.31/2</f>
        <v>37673.1116666667</v>
      </c>
      <c r="I176" s="292" t="s">
        <v>1202</v>
      </c>
      <c r="J176" s="351">
        <v>234548</v>
      </c>
      <c r="K176" s="351">
        <v>314484</v>
      </c>
      <c r="L176" s="351">
        <v>239914</v>
      </c>
      <c r="M176" s="351">
        <v>279684</v>
      </c>
      <c r="N176" s="352">
        <v>227715</v>
      </c>
      <c r="O176" s="353">
        <v>241408</v>
      </c>
      <c r="P176" s="353">
        <v>320702</v>
      </c>
      <c r="Q176" s="353">
        <v>231020</v>
      </c>
      <c r="R176" s="353">
        <v>299454</v>
      </c>
      <c r="S176" s="353">
        <v>273694</v>
      </c>
      <c r="T176" s="353">
        <v>324908</v>
      </c>
      <c r="U176" s="353" t="e">
        <f>VLOOKUP(D176,Mid!$A$2:$C$225,2,FALSE)</f>
        <v>#N/A</v>
      </c>
      <c r="V176" s="353">
        <v>381338</v>
      </c>
      <c r="W176" s="353">
        <v>225827</v>
      </c>
      <c r="X176" s="353">
        <v>259851</v>
      </c>
      <c r="Y176" s="353">
        <v>342894</v>
      </c>
      <c r="Z176" s="353">
        <v>240069</v>
      </c>
      <c r="AA176" s="353">
        <v>290215</v>
      </c>
      <c r="AB176" s="353">
        <v>235131</v>
      </c>
      <c r="AC176" s="353">
        <v>258837</v>
      </c>
      <c r="AD176" s="353">
        <v>211466</v>
      </c>
      <c r="AE176" s="353">
        <v>204555</v>
      </c>
      <c r="AF176" s="353">
        <v>215270</v>
      </c>
      <c r="AG176" s="353">
        <v>182796</v>
      </c>
      <c r="AH176" s="353">
        <v>220053</v>
      </c>
      <c r="AI176" s="353">
        <v>213505</v>
      </c>
      <c r="AJ176" s="367">
        <v>176703</v>
      </c>
      <c r="AK176" s="283" t="s">
        <v>1203</v>
      </c>
      <c r="AL176" s="283">
        <v>271048</v>
      </c>
      <c r="AM176" s="283" t="s">
        <v>1204</v>
      </c>
      <c r="AN176" s="283" t="s">
        <v>1205</v>
      </c>
      <c r="AO176" s="283" t="s">
        <v>1206</v>
      </c>
      <c r="AP176" s="283">
        <v>201459</v>
      </c>
      <c r="AQ176" s="283" t="s">
        <v>1207</v>
      </c>
      <c r="AR176" s="283" t="s">
        <v>1208</v>
      </c>
      <c r="AS176" s="283" t="s">
        <v>1209</v>
      </c>
      <c r="AT176" s="283" t="s">
        <v>1210</v>
      </c>
      <c r="AU176" s="283" t="s">
        <v>1211</v>
      </c>
      <c r="AV176" s="283" t="s">
        <v>1212</v>
      </c>
      <c r="AW176" s="283">
        <f t="shared" si="18"/>
        <v>150235.666666667</v>
      </c>
      <c r="AX176" s="283">
        <v>80300</v>
      </c>
      <c r="AY176" s="283">
        <v>85200</v>
      </c>
      <c r="AZ176" s="283">
        <v>96700</v>
      </c>
      <c r="BA176" s="283">
        <v>97500</v>
      </c>
      <c r="BB176" s="283">
        <v>93100</v>
      </c>
      <c r="BC176" s="283">
        <v>110000</v>
      </c>
      <c r="BD176" s="283">
        <v>102900</v>
      </c>
      <c r="BE176" s="283">
        <v>96600</v>
      </c>
      <c r="BF176" s="283">
        <v>116600</v>
      </c>
      <c r="BG176" s="283">
        <v>74500</v>
      </c>
      <c r="BH176" s="283">
        <v>91700</v>
      </c>
      <c r="BI176" s="283" t="e">
        <f>VLOOKUP(D176,Mid!$A$2:$C$225,3,FALSE)</f>
        <v>#N/A</v>
      </c>
      <c r="BJ176" s="283">
        <v>89800</v>
      </c>
      <c r="BK176" s="283">
        <v>102100</v>
      </c>
      <c r="BL176" s="283">
        <v>90400</v>
      </c>
      <c r="BM176" s="283">
        <v>251500</v>
      </c>
      <c r="BN176" s="283">
        <v>232500</v>
      </c>
      <c r="BO176" s="283">
        <v>170100</v>
      </c>
      <c r="BP176" s="283">
        <v>102200</v>
      </c>
      <c r="BQ176" s="283">
        <v>141800</v>
      </c>
      <c r="BR176" s="283">
        <v>133100</v>
      </c>
      <c r="BS176" s="283">
        <v>111800</v>
      </c>
      <c r="BT176" s="283">
        <v>12300</v>
      </c>
      <c r="BU176" s="283">
        <v>132200</v>
      </c>
      <c r="BV176" s="283">
        <v>115800</v>
      </c>
      <c r="BW176" s="283">
        <v>115800</v>
      </c>
      <c r="BX176" s="283">
        <v>129000</v>
      </c>
      <c r="BY176" s="283">
        <v>129000</v>
      </c>
      <c r="BZ176" s="283">
        <v>138400</v>
      </c>
      <c r="CA176" s="283">
        <v>172300</v>
      </c>
      <c r="CB176" s="283">
        <v>125300</v>
      </c>
      <c r="CC176" s="283">
        <v>110824</v>
      </c>
      <c r="CD176" s="283">
        <v>97700</v>
      </c>
      <c r="CE176" s="283">
        <v>97700</v>
      </c>
      <c r="CF176" s="283">
        <v>164200</v>
      </c>
      <c r="CG176" s="283">
        <v>59333.4</v>
      </c>
      <c r="CH176" s="283">
        <v>77600</v>
      </c>
      <c r="CI176" s="283">
        <v>112900</v>
      </c>
      <c r="CJ176" s="283">
        <v>84500</v>
      </c>
      <c r="CK176" s="283">
        <f t="shared" si="19"/>
        <v>92816.6666666667</v>
      </c>
      <c r="CL176" s="370"/>
      <c r="CM176" s="371">
        <f>Summary!$D$5</f>
        <v>1543433.55918333</v>
      </c>
      <c r="CN176" s="258">
        <f t="shared" si="23"/>
        <v>0</v>
      </c>
    </row>
    <row r="177" ht="15.6" spans="1:92">
      <c r="A177" s="258" t="s">
        <v>149</v>
      </c>
      <c r="B177" s="258" t="s">
        <v>694</v>
      </c>
      <c r="C177" s="258" t="s">
        <v>230</v>
      </c>
      <c r="D177" s="342" t="s">
        <v>2111</v>
      </c>
      <c r="E177" s="258"/>
      <c r="F177" s="260" t="s">
        <v>423</v>
      </c>
      <c r="G177" s="382"/>
      <c r="H177" s="283">
        <f>(AW177+CK177)/2</f>
        <v>42456.0833333333</v>
      </c>
      <c r="I177" s="360"/>
      <c r="J177" s="351"/>
      <c r="K177" s="351"/>
      <c r="L177" s="351"/>
      <c r="M177" s="351"/>
      <c r="N177" s="352"/>
      <c r="O177" s="353"/>
      <c r="P177" s="353"/>
      <c r="Q177" s="353"/>
      <c r="R177" s="353"/>
      <c r="S177" s="353"/>
      <c r="T177" s="353"/>
      <c r="U177" s="353"/>
      <c r="V177" s="353"/>
      <c r="W177" s="353"/>
      <c r="X177" s="353"/>
      <c r="Y177" s="353"/>
      <c r="Z177" s="353"/>
      <c r="AA177" s="353"/>
      <c r="AB177" s="353"/>
      <c r="AC177" s="353"/>
      <c r="AD177" s="353"/>
      <c r="AE177" s="353"/>
      <c r="AF177" s="353"/>
      <c r="AG177" s="353"/>
      <c r="AH177" s="353"/>
      <c r="AI177" s="353">
        <v>19459</v>
      </c>
      <c r="AJ177" s="353">
        <v>29696</v>
      </c>
      <c r="AK177" s="283">
        <v>29168</v>
      </c>
      <c r="AL177" s="283">
        <v>22144</v>
      </c>
      <c r="AM177" s="283" t="s">
        <v>2112</v>
      </c>
      <c r="AN177" s="283" t="s">
        <v>2113</v>
      </c>
      <c r="AO177" s="283" t="s">
        <v>2114</v>
      </c>
      <c r="AP177" s="283">
        <v>21734</v>
      </c>
      <c r="AQ177" s="283" t="s">
        <v>2115</v>
      </c>
      <c r="AR177" s="283" t="s">
        <v>2116</v>
      </c>
      <c r="AS177" s="283" t="s">
        <v>2117</v>
      </c>
      <c r="AT177" s="283" t="s">
        <v>2118</v>
      </c>
      <c r="AU177" s="283" t="s">
        <v>2119</v>
      </c>
      <c r="AV177" s="283" t="s">
        <v>2120</v>
      </c>
      <c r="AW177" s="283">
        <f t="shared" si="18"/>
        <v>35428.8333333333</v>
      </c>
      <c r="AX177" s="283"/>
      <c r="AY177" s="283"/>
      <c r="AZ177" s="283"/>
      <c r="BA177" s="283"/>
      <c r="BB177" s="283"/>
      <c r="BC177" s="283"/>
      <c r="BD177" s="283"/>
      <c r="BE177" s="283"/>
      <c r="BF177" s="283"/>
      <c r="BG177" s="283"/>
      <c r="BH177" s="283"/>
      <c r="BI177" s="283"/>
      <c r="BJ177" s="283"/>
      <c r="BK177" s="283"/>
      <c r="BL177" s="283"/>
      <c r="BM177" s="283"/>
      <c r="BN177" s="283"/>
      <c r="BO177" s="283"/>
      <c r="BP177" s="283"/>
      <c r="BQ177" s="283"/>
      <c r="BR177" s="283"/>
      <c r="BS177" s="283"/>
      <c r="BT177" s="283"/>
      <c r="BU177" s="283"/>
      <c r="BV177" s="283"/>
      <c r="BW177" s="283">
        <v>42000</v>
      </c>
      <c r="BX177" s="283">
        <v>17400</v>
      </c>
      <c r="BY177" s="283">
        <v>17400</v>
      </c>
      <c r="BZ177" s="283">
        <v>44700</v>
      </c>
      <c r="CA177" s="283">
        <v>26900</v>
      </c>
      <c r="CB177" s="283">
        <v>45900</v>
      </c>
      <c r="CC177" s="283">
        <v>20500</v>
      </c>
      <c r="CD177" s="283">
        <v>54500</v>
      </c>
      <c r="CE177" s="283">
        <v>54500</v>
      </c>
      <c r="CF177" s="283">
        <v>39365.04</v>
      </c>
      <c r="CG177" s="283">
        <v>60200</v>
      </c>
      <c r="CH177" s="283">
        <v>50600</v>
      </c>
      <c r="CI177" s="283">
        <v>21900</v>
      </c>
      <c r="CJ177" s="283">
        <v>67500</v>
      </c>
      <c r="CK177" s="283">
        <f t="shared" si="19"/>
        <v>49483.3333333333</v>
      </c>
      <c r="CL177" s="370"/>
      <c r="CM177" s="371">
        <f>Summary!$D$5</f>
        <v>1543433.55918333</v>
      </c>
      <c r="CN177" s="258">
        <f t="shared" si="23"/>
        <v>0</v>
      </c>
    </row>
    <row r="178" ht="15.6" spans="1:92">
      <c r="A178" s="258" t="s">
        <v>149</v>
      </c>
      <c r="B178" s="258" t="s">
        <v>694</v>
      </c>
      <c r="C178" s="258" t="s">
        <v>230</v>
      </c>
      <c r="D178" s="258" t="s">
        <v>2121</v>
      </c>
      <c r="E178" s="258" t="s">
        <v>234</v>
      </c>
      <c r="F178" s="260" t="s">
        <v>414</v>
      </c>
      <c r="G178" s="382"/>
      <c r="H178" s="343">
        <f>(AW178+CK178)/2</f>
        <v>20565.8266666667</v>
      </c>
      <c r="I178" s="360" t="s">
        <v>714</v>
      </c>
      <c r="J178" s="376"/>
      <c r="K178" s="376"/>
      <c r="L178" s="376"/>
      <c r="M178" s="376"/>
      <c r="N178" s="377"/>
      <c r="O178" s="365"/>
      <c r="P178" s="365"/>
      <c r="Q178" s="365"/>
      <c r="R178" s="365"/>
      <c r="S178" s="365"/>
      <c r="T178" s="365"/>
      <c r="U178" s="365"/>
      <c r="V178" s="365">
        <v>29176</v>
      </c>
      <c r="W178" s="353">
        <v>36919</v>
      </c>
      <c r="X178" s="353">
        <v>22384</v>
      </c>
      <c r="Y178" s="353">
        <v>25407</v>
      </c>
      <c r="Z178" s="353">
        <v>29270</v>
      </c>
      <c r="AA178" s="353">
        <v>29343</v>
      </c>
      <c r="AB178" s="353">
        <v>43035</v>
      </c>
      <c r="AC178" s="353">
        <v>30867</v>
      </c>
      <c r="AD178" s="353">
        <v>34079</v>
      </c>
      <c r="AE178" s="353">
        <v>43114</v>
      </c>
      <c r="AF178" s="353">
        <v>49031</v>
      </c>
      <c r="AG178" s="353">
        <v>30950</v>
      </c>
      <c r="AH178" s="353">
        <v>25528</v>
      </c>
      <c r="AI178" s="353">
        <v>21699</v>
      </c>
      <c r="AJ178" s="367">
        <v>18865</v>
      </c>
      <c r="AK178" s="283" t="s">
        <v>2122</v>
      </c>
      <c r="AL178" s="283">
        <v>34472</v>
      </c>
      <c r="AM178" s="283" t="s">
        <v>2123</v>
      </c>
      <c r="AN178" s="283" t="s">
        <v>2124</v>
      </c>
      <c r="AO178" s="283" t="s">
        <v>2125</v>
      </c>
      <c r="AP178" s="283">
        <v>21619</v>
      </c>
      <c r="AQ178" s="283" t="s">
        <v>2126</v>
      </c>
      <c r="AR178" s="283" t="s">
        <v>2127</v>
      </c>
      <c r="AS178" s="283" t="s">
        <v>2128</v>
      </c>
      <c r="AT178" s="283" t="s">
        <v>2129</v>
      </c>
      <c r="AU178" s="283" t="s">
        <v>2130</v>
      </c>
      <c r="AV178" s="283" t="s">
        <v>2131</v>
      </c>
      <c r="AW178" s="283">
        <f t="shared" si="18"/>
        <v>26187.8333333333</v>
      </c>
      <c r="AX178" s="283"/>
      <c r="AY178" s="283"/>
      <c r="AZ178" s="283"/>
      <c r="BA178" s="283"/>
      <c r="BB178" s="283"/>
      <c r="BC178" s="283"/>
      <c r="BD178" s="283"/>
      <c r="BE178" s="283"/>
      <c r="BF178" s="283"/>
      <c r="BG178" s="283"/>
      <c r="BH178" s="283"/>
      <c r="BI178" s="283"/>
      <c r="BJ178" s="283">
        <v>184700</v>
      </c>
      <c r="BK178" s="283">
        <v>63300</v>
      </c>
      <c r="BL178" s="283">
        <v>22100</v>
      </c>
      <c r="BM178" s="283">
        <v>66600</v>
      </c>
      <c r="BN178" s="283">
        <v>64500</v>
      </c>
      <c r="BO178" s="283">
        <v>40600</v>
      </c>
      <c r="BP178" s="283">
        <v>43600</v>
      </c>
      <c r="BQ178" s="283">
        <v>23300</v>
      </c>
      <c r="BR178" s="283">
        <v>162000</v>
      </c>
      <c r="BS178" s="283">
        <v>58300</v>
      </c>
      <c r="BT178" s="283">
        <v>84300</v>
      </c>
      <c r="BU178" s="283">
        <v>40500</v>
      </c>
      <c r="BV178" s="283">
        <v>38900</v>
      </c>
      <c r="BW178" s="283">
        <v>26100</v>
      </c>
      <c r="BX178" s="283">
        <v>34580</v>
      </c>
      <c r="BY178" s="283">
        <v>34578</v>
      </c>
      <c r="BZ178" s="283">
        <v>18500</v>
      </c>
      <c r="CA178" s="283">
        <v>22800</v>
      </c>
      <c r="CB178" s="283">
        <v>13900</v>
      </c>
      <c r="CC178" s="283">
        <v>29224</v>
      </c>
      <c r="CD178" s="283">
        <v>18400</v>
      </c>
      <c r="CE178" s="283">
        <v>22902</v>
      </c>
      <c r="CF178" s="283">
        <v>21900</v>
      </c>
      <c r="CG178" s="283">
        <v>30000</v>
      </c>
      <c r="CH178" s="283">
        <v>26700</v>
      </c>
      <c r="CI178" s="283">
        <v>25163.46</v>
      </c>
      <c r="CJ178" s="283">
        <v>4212</v>
      </c>
      <c r="CK178" s="283">
        <f t="shared" si="19"/>
        <v>14943.82</v>
      </c>
      <c r="CL178" s="370"/>
      <c r="CM178" s="371">
        <f>Summary!$D$5</f>
        <v>1543433.55918333</v>
      </c>
      <c r="CN178" s="258">
        <f t="shared" si="23"/>
        <v>0</v>
      </c>
    </row>
    <row r="179" ht="109.2" spans="1:92">
      <c r="A179" s="258" t="s">
        <v>149</v>
      </c>
      <c r="B179" s="258" t="s">
        <v>694</v>
      </c>
      <c r="C179" s="258" t="s">
        <v>230</v>
      </c>
      <c r="D179" s="342" t="s">
        <v>263</v>
      </c>
      <c r="E179" s="258" t="s">
        <v>233</v>
      </c>
      <c r="F179" s="260" t="s">
        <v>234</v>
      </c>
      <c r="G179" s="382"/>
      <c r="H179" s="283">
        <f>(AW179+CK179)/2</f>
        <v>97142.85</v>
      </c>
      <c r="I179" s="292" t="s">
        <v>705</v>
      </c>
      <c r="J179" s="351"/>
      <c r="K179" s="351"/>
      <c r="L179" s="351"/>
      <c r="M179" s="351"/>
      <c r="N179" s="352"/>
      <c r="O179" s="353"/>
      <c r="P179" s="353"/>
      <c r="Q179" s="353"/>
      <c r="R179" s="353"/>
      <c r="S179" s="353"/>
      <c r="T179" s="353"/>
      <c r="U179" s="353"/>
      <c r="V179" s="353"/>
      <c r="W179" s="353"/>
      <c r="X179" s="353"/>
      <c r="Y179" s="353"/>
      <c r="Z179" s="353"/>
      <c r="AA179" s="353"/>
      <c r="AB179" s="353"/>
      <c r="AC179" s="353"/>
      <c r="AD179" s="353"/>
      <c r="AE179" s="353"/>
      <c r="AF179" s="353"/>
      <c r="AG179" s="353"/>
      <c r="AH179" s="353"/>
      <c r="AI179" s="353">
        <v>26629</v>
      </c>
      <c r="AJ179" s="353">
        <v>15710</v>
      </c>
      <c r="AK179" s="283">
        <v>32349</v>
      </c>
      <c r="AL179" s="283">
        <v>37658</v>
      </c>
      <c r="AM179" s="283" t="s">
        <v>2132</v>
      </c>
      <c r="AN179" s="283" t="s">
        <v>2133</v>
      </c>
      <c r="AO179" s="283" t="s">
        <v>2134</v>
      </c>
      <c r="AP179" s="283">
        <v>40744</v>
      </c>
      <c r="AQ179" s="283" t="s">
        <v>2135</v>
      </c>
      <c r="AR179" s="283" t="s">
        <v>2136</v>
      </c>
      <c r="AS179" s="283" t="s">
        <v>2137</v>
      </c>
      <c r="AT179" s="283" t="s">
        <v>2138</v>
      </c>
      <c r="AU179" s="283" t="s">
        <v>2139</v>
      </c>
      <c r="AV179" s="283" t="s">
        <v>2140</v>
      </c>
      <c r="AW179" s="283">
        <f t="shared" si="18"/>
        <v>62758.5</v>
      </c>
      <c r="AX179" s="283"/>
      <c r="AY179" s="283"/>
      <c r="AZ179" s="283"/>
      <c r="BA179" s="283"/>
      <c r="BB179" s="283"/>
      <c r="BC179" s="283"/>
      <c r="BD179" s="283"/>
      <c r="BE179" s="283"/>
      <c r="BF179" s="283"/>
      <c r="BG179" s="283"/>
      <c r="BH179" s="283"/>
      <c r="BI179" s="283"/>
      <c r="BJ179" s="283"/>
      <c r="BK179" s="283"/>
      <c r="BL179" s="283"/>
      <c r="BM179" s="283"/>
      <c r="BN179" s="283"/>
      <c r="BO179" s="283"/>
      <c r="BP179" s="283"/>
      <c r="BQ179" s="283"/>
      <c r="BR179" s="283"/>
      <c r="BS179" s="283"/>
      <c r="BT179" s="283"/>
      <c r="BU179" s="283"/>
      <c r="BV179" s="283">
        <v>57300</v>
      </c>
      <c r="BW179" s="283">
        <v>695000</v>
      </c>
      <c r="BX179" s="283">
        <f>604300*0.05</f>
        <v>30215</v>
      </c>
      <c r="BY179" s="283">
        <f>600000*0.05</f>
        <v>30000</v>
      </c>
      <c r="BZ179" s="283">
        <f>526000*0.05</f>
        <v>26300</v>
      </c>
      <c r="CA179" s="283">
        <f>948400*0.3945*2*0.05</f>
        <v>37414.38</v>
      </c>
      <c r="CB179" s="283">
        <f>751700*0.05</f>
        <v>37585</v>
      </c>
      <c r="CC179" s="283">
        <f>801800*0.05</f>
        <v>40090</v>
      </c>
      <c r="CD179" s="283">
        <f>931400*0.05</f>
        <v>46570</v>
      </c>
      <c r="CE179" s="283">
        <f>1300000*0.3717*2*0.05</f>
        <v>48321</v>
      </c>
      <c r="CF179" s="283">
        <v>37989.9</v>
      </c>
      <c r="CG179" s="283">
        <v>31751.28</v>
      </c>
      <c r="CH179" s="283">
        <v>100771.2</v>
      </c>
      <c r="CI179" s="283">
        <f>0.09*0.3625*2*1800000</f>
        <v>117450</v>
      </c>
      <c r="CJ179" s="283">
        <f>2000000*0.09*0.4199*2</f>
        <v>151164</v>
      </c>
      <c r="CK179" s="283">
        <f t="shared" si="19"/>
        <v>131527.2</v>
      </c>
      <c r="CL179" s="370"/>
      <c r="CM179" s="371">
        <f>Summary!$D$5</f>
        <v>1543433.55918333</v>
      </c>
      <c r="CN179" s="258">
        <f t="shared" si="23"/>
        <v>1</v>
      </c>
    </row>
    <row r="180" ht="15.6" spans="1:92">
      <c r="A180" s="258" t="s">
        <v>149</v>
      </c>
      <c r="B180" s="258" t="s">
        <v>694</v>
      </c>
      <c r="C180" s="258" t="s">
        <v>230</v>
      </c>
      <c r="D180" s="342" t="s">
        <v>2141</v>
      </c>
      <c r="E180" s="258" t="s">
        <v>234</v>
      </c>
      <c r="F180" s="260" t="s">
        <v>423</v>
      </c>
      <c r="G180" s="382"/>
      <c r="H180" s="283">
        <f>(AW180+CK180)/2</f>
        <v>35337.045</v>
      </c>
      <c r="I180" s="360"/>
      <c r="J180" s="351">
        <v>54821</v>
      </c>
      <c r="K180" s="351">
        <v>60708</v>
      </c>
      <c r="L180" s="351">
        <v>49081</v>
      </c>
      <c r="M180" s="351">
        <v>57056</v>
      </c>
      <c r="N180" s="352">
        <v>49488</v>
      </c>
      <c r="O180" s="353">
        <v>51424</v>
      </c>
      <c r="P180" s="353">
        <v>47091</v>
      </c>
      <c r="Q180" s="353">
        <v>44284</v>
      </c>
      <c r="R180" s="353">
        <v>50602</v>
      </c>
      <c r="S180" s="353">
        <v>45410</v>
      </c>
      <c r="T180" s="353">
        <v>42640</v>
      </c>
      <c r="U180" s="353">
        <f>VLOOKUP(D180,Mid!$A$2:$C$225,2,FALSE)</f>
        <v>39037</v>
      </c>
      <c r="V180" s="353">
        <v>36504</v>
      </c>
      <c r="W180" s="353">
        <v>48178</v>
      </c>
      <c r="X180" s="353">
        <v>35660</v>
      </c>
      <c r="Y180" s="353">
        <v>42169</v>
      </c>
      <c r="Z180" s="353">
        <v>36766</v>
      </c>
      <c r="AA180" s="353">
        <v>38560</v>
      </c>
      <c r="AB180" s="353">
        <v>31511</v>
      </c>
      <c r="AC180" s="353">
        <v>36620</v>
      </c>
      <c r="AD180" s="353">
        <v>33734</v>
      </c>
      <c r="AE180" s="353">
        <v>43736</v>
      </c>
      <c r="AF180" s="353">
        <v>41473</v>
      </c>
      <c r="AG180" s="353">
        <v>53593</v>
      </c>
      <c r="AH180" s="353">
        <v>46527</v>
      </c>
      <c r="AI180" s="353">
        <v>41599</v>
      </c>
      <c r="AJ180" s="367">
        <v>36279</v>
      </c>
      <c r="AK180" s="283" t="s">
        <v>2142</v>
      </c>
      <c r="AL180" s="283">
        <v>60113</v>
      </c>
      <c r="AM180" s="283" t="s">
        <v>2143</v>
      </c>
      <c r="AN180" s="283" t="s">
        <v>2144</v>
      </c>
      <c r="AO180" s="283" t="s">
        <v>2145</v>
      </c>
      <c r="AP180" s="283">
        <f>58259*0.1305*2</f>
        <v>15205.599</v>
      </c>
      <c r="AQ180" s="283" t="s">
        <v>2146</v>
      </c>
      <c r="AR180" s="283" t="s">
        <v>2147</v>
      </c>
      <c r="AS180" s="283" t="s">
        <v>2148</v>
      </c>
      <c r="AT180" s="283" t="s">
        <v>2149</v>
      </c>
      <c r="AU180" s="283" t="s">
        <v>2150</v>
      </c>
      <c r="AV180" s="283" t="s">
        <v>2151</v>
      </c>
      <c r="AW180" s="283">
        <f t="shared" si="18"/>
        <v>55907.8333333333</v>
      </c>
      <c r="AX180" s="283">
        <v>30000</v>
      </c>
      <c r="AY180" s="283">
        <v>28000</v>
      </c>
      <c r="AZ180" s="283">
        <v>30200</v>
      </c>
      <c r="BA180" s="283">
        <v>24200</v>
      </c>
      <c r="BB180" s="283">
        <v>35200</v>
      </c>
      <c r="BC180" s="283">
        <v>33200</v>
      </c>
      <c r="BD180" s="283">
        <v>33400</v>
      </c>
      <c r="BE180" s="283">
        <v>29300</v>
      </c>
      <c r="BF180" s="283">
        <v>16400</v>
      </c>
      <c r="BG180" s="283">
        <v>16200</v>
      </c>
      <c r="BH180" s="283">
        <v>12700</v>
      </c>
      <c r="BI180" s="283">
        <f>VLOOKUP(D180,Mid!$A$2:$C$225,3,FALSE)</f>
        <v>23900</v>
      </c>
      <c r="BJ180" s="283">
        <v>7800</v>
      </c>
      <c r="BK180" s="283">
        <v>9500</v>
      </c>
      <c r="BL180" s="283">
        <v>14100</v>
      </c>
      <c r="BM180" s="283">
        <v>21800</v>
      </c>
      <c r="BN180" s="283">
        <v>2700</v>
      </c>
      <c r="BO180" s="283">
        <v>8000</v>
      </c>
      <c r="BP180" s="283">
        <v>18400</v>
      </c>
      <c r="BQ180" s="283">
        <v>2700</v>
      </c>
      <c r="BR180" s="283">
        <v>7000</v>
      </c>
      <c r="BS180" s="283">
        <v>12500</v>
      </c>
      <c r="BT180" s="283">
        <v>21400</v>
      </c>
      <c r="BU180" s="283">
        <v>6300</v>
      </c>
      <c r="BV180" s="283">
        <v>5200</v>
      </c>
      <c r="BW180" s="283">
        <v>8900</v>
      </c>
      <c r="BX180" s="283">
        <v>15800</v>
      </c>
      <c r="BY180" s="283">
        <v>15800</v>
      </c>
      <c r="BZ180" s="283">
        <v>13600</v>
      </c>
      <c r="CA180" s="283">
        <v>22300</v>
      </c>
      <c r="CB180" s="283">
        <v>18100</v>
      </c>
      <c r="CC180" s="283">
        <v>12900</v>
      </c>
      <c r="CD180" s="283">
        <v>6400</v>
      </c>
      <c r="CE180" s="283">
        <v>6400</v>
      </c>
      <c r="CF180" s="283">
        <v>8300</v>
      </c>
      <c r="CG180" s="283">
        <v>6500</v>
      </c>
      <c r="CH180" s="283">
        <v>9500</v>
      </c>
      <c r="CI180" s="283">
        <v>15400</v>
      </c>
      <c r="CJ180" s="283">
        <v>16099.18</v>
      </c>
      <c r="CK180" s="283">
        <f t="shared" si="19"/>
        <v>14766.2566666667</v>
      </c>
      <c r="CL180" s="370"/>
      <c r="CM180" s="371">
        <f>Summary!$D$5</f>
        <v>1543433.55918333</v>
      </c>
      <c r="CN180" s="258">
        <f t="shared" si="23"/>
        <v>0</v>
      </c>
    </row>
    <row r="181" ht="62.4" spans="1:92">
      <c r="A181" s="258" t="s">
        <v>149</v>
      </c>
      <c r="B181" s="258" t="s">
        <v>694</v>
      </c>
      <c r="C181" s="258"/>
      <c r="D181" s="342" t="s">
        <v>1154</v>
      </c>
      <c r="E181" s="349"/>
      <c r="F181" s="260" t="s">
        <v>234</v>
      </c>
      <c r="G181" s="382"/>
      <c r="H181" s="283">
        <f>(AW181+CK181)/2*0.19</f>
        <v>3171.30583333333</v>
      </c>
      <c r="I181" s="292" t="s">
        <v>1155</v>
      </c>
      <c r="J181" s="351"/>
      <c r="K181" s="351"/>
      <c r="L181" s="351"/>
      <c r="M181" s="351"/>
      <c r="N181" s="352"/>
      <c r="O181" s="353"/>
      <c r="P181" s="353"/>
      <c r="Q181" s="353"/>
      <c r="R181" s="353"/>
      <c r="S181" s="353"/>
      <c r="T181" s="353"/>
      <c r="U181" s="353"/>
      <c r="V181" s="353"/>
      <c r="W181" s="353"/>
      <c r="X181" s="353"/>
      <c r="Y181" s="353"/>
      <c r="Z181" s="353"/>
      <c r="AA181" s="353"/>
      <c r="AB181" s="353"/>
      <c r="AC181" s="353"/>
      <c r="AD181" s="353"/>
      <c r="AE181" s="353"/>
      <c r="AF181" s="353"/>
      <c r="AG181" s="353"/>
      <c r="AH181" s="353"/>
      <c r="AI181" s="353">
        <v>68772</v>
      </c>
      <c r="AJ181" s="353">
        <v>58235</v>
      </c>
      <c r="AK181" s="283">
        <v>62835</v>
      </c>
      <c r="AL181" s="283">
        <v>47902</v>
      </c>
      <c r="AM181" s="283" t="s">
        <v>1156</v>
      </c>
      <c r="AN181" s="283" t="s">
        <v>1157</v>
      </c>
      <c r="AO181" s="283" t="s">
        <v>1158</v>
      </c>
      <c r="AP181" s="283">
        <v>53801</v>
      </c>
      <c r="AQ181" s="283" t="s">
        <v>1159</v>
      </c>
      <c r="AR181" s="283" t="s">
        <v>1160</v>
      </c>
      <c r="AS181" s="283" t="s">
        <v>1161</v>
      </c>
      <c r="AT181" s="283" t="s">
        <v>1162</v>
      </c>
      <c r="AU181" s="283" t="s">
        <v>1163</v>
      </c>
      <c r="AV181" s="283" t="s">
        <v>1164</v>
      </c>
      <c r="AW181" s="283">
        <f t="shared" si="18"/>
        <v>26032.1666666667</v>
      </c>
      <c r="AX181" s="283"/>
      <c r="AY181" s="283"/>
      <c r="AZ181" s="283"/>
      <c r="BA181" s="283"/>
      <c r="BB181" s="283"/>
      <c r="BC181" s="283"/>
      <c r="BD181" s="283"/>
      <c r="BE181" s="283"/>
      <c r="BF181" s="283"/>
      <c r="BG181" s="283"/>
      <c r="BH181" s="283"/>
      <c r="BI181" s="283"/>
      <c r="BJ181" s="283"/>
      <c r="BK181" s="283"/>
      <c r="BL181" s="283"/>
      <c r="BM181" s="283"/>
      <c r="BN181" s="283"/>
      <c r="BO181" s="283"/>
      <c r="BP181" s="283"/>
      <c r="BQ181" s="283"/>
      <c r="BR181" s="283"/>
      <c r="BS181" s="283"/>
      <c r="BT181" s="283"/>
      <c r="BU181" s="283"/>
      <c r="BV181" s="283"/>
      <c r="BW181" s="283">
        <v>34000</v>
      </c>
      <c r="BX181" s="283">
        <v>88800</v>
      </c>
      <c r="BY181" s="283">
        <v>88800</v>
      </c>
      <c r="BZ181" s="283">
        <v>26600</v>
      </c>
      <c r="CA181" s="283">
        <v>29800</v>
      </c>
      <c r="CB181" s="283">
        <v>32600</v>
      </c>
      <c r="CC181" s="283">
        <v>73700</v>
      </c>
      <c r="CD181" s="283">
        <v>50400</v>
      </c>
      <c r="CE181" s="283">
        <v>50400</v>
      </c>
      <c r="CF181" s="283">
        <v>14500</v>
      </c>
      <c r="CG181" s="283">
        <v>30300</v>
      </c>
      <c r="CH181" s="283">
        <v>12900</v>
      </c>
      <c r="CI181" s="283">
        <v>4800</v>
      </c>
      <c r="CJ181" s="283">
        <v>7200</v>
      </c>
      <c r="CK181" s="283">
        <f t="shared" si="19"/>
        <v>7350</v>
      </c>
      <c r="CL181" s="370"/>
      <c r="CM181" s="371">
        <f>Summary!$D$5</f>
        <v>1543433.55918333</v>
      </c>
      <c r="CN181" s="258">
        <f t="shared" si="23"/>
        <v>0</v>
      </c>
    </row>
    <row r="182" ht="112.05" customHeight="1" spans="1:92">
      <c r="A182" s="258" t="s">
        <v>149</v>
      </c>
      <c r="B182" s="258" t="s">
        <v>694</v>
      </c>
      <c r="C182" s="258" t="s">
        <v>230</v>
      </c>
      <c r="D182" s="342" t="s">
        <v>2152</v>
      </c>
      <c r="E182" s="258" t="s">
        <v>233</v>
      </c>
      <c r="F182" s="260" t="s">
        <v>426</v>
      </c>
      <c r="G182" s="382"/>
      <c r="H182" s="283">
        <f t="shared" ref="H182:H188" si="24">(AW182+CK182)/2</f>
        <v>14369.6036666667</v>
      </c>
      <c r="I182" s="361" t="s">
        <v>1144</v>
      </c>
      <c r="J182" s="351"/>
      <c r="K182" s="351"/>
      <c r="L182" s="351"/>
      <c r="M182" s="351"/>
      <c r="N182" s="352"/>
      <c r="O182" s="353"/>
      <c r="P182" s="353"/>
      <c r="Q182" s="353"/>
      <c r="R182" s="353"/>
      <c r="S182" s="353"/>
      <c r="T182" s="353"/>
      <c r="U182" s="353"/>
      <c r="V182" s="353"/>
      <c r="W182" s="353"/>
      <c r="X182" s="353"/>
      <c r="Y182" s="353"/>
      <c r="Z182" s="353"/>
      <c r="AA182" s="353"/>
      <c r="AB182" s="353"/>
      <c r="AC182" s="353"/>
      <c r="AD182" s="353"/>
      <c r="AE182" s="353"/>
      <c r="AF182" s="353"/>
      <c r="AG182" s="353"/>
      <c r="AH182" s="353"/>
      <c r="AI182" s="353">
        <v>18003</v>
      </c>
      <c r="AJ182" s="353">
        <v>19417</v>
      </c>
      <c r="AK182" s="283">
        <v>18240</v>
      </c>
      <c r="AL182" s="283">
        <v>47833</v>
      </c>
      <c r="AM182" s="283" t="s">
        <v>2153</v>
      </c>
      <c r="AN182" s="283" t="s">
        <v>2154</v>
      </c>
      <c r="AO182" s="283" t="s">
        <v>2155</v>
      </c>
      <c r="AP182" s="283">
        <f>24278*0.1291*2</f>
        <v>6268.5796</v>
      </c>
      <c r="AQ182" s="283" t="s">
        <v>2156</v>
      </c>
      <c r="AR182" s="283" t="s">
        <v>2157</v>
      </c>
      <c r="AS182" s="283" t="s">
        <v>2158</v>
      </c>
      <c r="AT182" s="283" t="s">
        <v>917</v>
      </c>
      <c r="AU182" s="283" t="s">
        <v>2159</v>
      </c>
      <c r="AV182" s="283" t="s">
        <v>2160</v>
      </c>
      <c r="AW182" s="283">
        <f t="shared" si="18"/>
        <v>24037.8333333333</v>
      </c>
      <c r="AX182" s="283"/>
      <c r="AY182" s="283"/>
      <c r="AZ182" s="283"/>
      <c r="BA182" s="283"/>
      <c r="BB182" s="283"/>
      <c r="BC182" s="283"/>
      <c r="BD182" s="283"/>
      <c r="BE182" s="283"/>
      <c r="BF182" s="283"/>
      <c r="BG182" s="283"/>
      <c r="BH182" s="283"/>
      <c r="BI182" s="283"/>
      <c r="BJ182" s="283"/>
      <c r="BK182" s="283"/>
      <c r="BL182" s="283"/>
      <c r="BM182" s="283"/>
      <c r="BN182" s="283"/>
      <c r="BO182" s="283"/>
      <c r="BP182" s="283"/>
      <c r="BQ182" s="283"/>
      <c r="BR182" s="283"/>
      <c r="BS182" s="283"/>
      <c r="BT182" s="283"/>
      <c r="BU182" s="283"/>
      <c r="BV182" s="283"/>
      <c r="BW182" s="283">
        <v>100000</v>
      </c>
      <c r="BX182" s="283">
        <v>15207.6923076923</v>
      </c>
      <c r="BY182" s="283">
        <v>11653.8461538462</v>
      </c>
      <c r="BZ182" s="283">
        <v>8480.76923076923</v>
      </c>
      <c r="CA182" s="283">
        <v>0</v>
      </c>
      <c r="CB182" s="283">
        <v>0</v>
      </c>
      <c r="CC182" s="283">
        <v>7100</v>
      </c>
      <c r="CD182" s="283">
        <f>74000*0.12</f>
        <v>8880</v>
      </c>
      <c r="CE182" s="283">
        <f>87200*0.12</f>
        <v>10464</v>
      </c>
      <c r="CF182" s="283">
        <f>163500*0.12</f>
        <v>19620</v>
      </c>
      <c r="CG182" s="283">
        <v>9671.2</v>
      </c>
      <c r="CH182" s="283">
        <v>22920</v>
      </c>
      <c r="CI182" s="283">
        <f>132300*0.3414*2*0.01</f>
        <v>903.3444</v>
      </c>
      <c r="CJ182" s="283">
        <f>137600*0.4217*2*0.01</f>
        <v>1160.5184</v>
      </c>
      <c r="CK182" s="283">
        <f t="shared" si="19"/>
        <v>4701.374</v>
      </c>
      <c r="CL182" s="370"/>
      <c r="CM182" s="371">
        <f>Summary!$D$5</f>
        <v>1543433.55918333</v>
      </c>
      <c r="CN182" s="258">
        <f t="shared" si="23"/>
        <v>0</v>
      </c>
    </row>
    <row r="183" s="269" customFormat="1" ht="15.6" spans="1:92">
      <c r="A183" s="258" t="s">
        <v>149</v>
      </c>
      <c r="B183" s="258" t="s">
        <v>694</v>
      </c>
      <c r="C183" s="258" t="s">
        <v>234</v>
      </c>
      <c r="D183" s="258" t="s">
        <v>2161</v>
      </c>
      <c r="E183" s="258" t="s">
        <v>234</v>
      </c>
      <c r="F183" s="260" t="s">
        <v>423</v>
      </c>
      <c r="G183" s="382"/>
      <c r="H183" s="283">
        <f t="shared" si="24"/>
        <v>0</v>
      </c>
      <c r="I183" s="360"/>
      <c r="J183" s="351">
        <v>13739</v>
      </c>
      <c r="K183" s="351">
        <v>30771</v>
      </c>
      <c r="L183" s="351">
        <v>19153</v>
      </c>
      <c r="M183" s="351">
        <v>24604</v>
      </c>
      <c r="N183" s="352">
        <v>20869</v>
      </c>
      <c r="O183" s="353">
        <v>21242</v>
      </c>
      <c r="P183" s="353">
        <v>18899</v>
      </c>
      <c r="Q183" s="353">
        <v>7891</v>
      </c>
      <c r="R183" s="353">
        <v>16303</v>
      </c>
      <c r="S183" s="353">
        <v>27494</v>
      </c>
      <c r="T183" s="353">
        <v>30880</v>
      </c>
      <c r="U183" s="353" t="e">
        <f>VLOOKUP(D183,Mid!$A$2:$C$225,2,FALSE)</f>
        <v>#N/A</v>
      </c>
      <c r="V183" s="353">
        <v>11304</v>
      </c>
      <c r="W183" s="353">
        <v>16664</v>
      </c>
      <c r="X183" s="353">
        <v>8971</v>
      </c>
      <c r="Y183" s="353">
        <v>12494</v>
      </c>
      <c r="Z183" s="353">
        <v>8008</v>
      </c>
      <c r="AA183" s="353">
        <v>11392</v>
      </c>
      <c r="AB183" s="353">
        <v>9439</v>
      </c>
      <c r="AC183" s="353">
        <v>23389</v>
      </c>
      <c r="AD183" s="353">
        <v>20304</v>
      </c>
      <c r="AE183" s="353">
        <v>16083</v>
      </c>
      <c r="AF183" s="353">
        <v>14693</v>
      </c>
      <c r="AG183" s="353">
        <v>16868</v>
      </c>
      <c r="AH183" s="353">
        <v>15907</v>
      </c>
      <c r="AI183" s="353">
        <v>21375</v>
      </c>
      <c r="AJ183" s="367">
        <v>17385</v>
      </c>
      <c r="AK183" s="283" t="s">
        <v>2162</v>
      </c>
      <c r="AL183" s="283">
        <v>19772</v>
      </c>
      <c r="AM183" s="283" t="s">
        <v>2163</v>
      </c>
      <c r="AN183" s="283" t="s">
        <v>2164</v>
      </c>
      <c r="AO183" s="283" t="s">
        <v>2165</v>
      </c>
      <c r="AP183" s="283">
        <f>13051*0.2671*2</f>
        <v>6971.8442</v>
      </c>
      <c r="AQ183" s="283" t="s">
        <v>2166</v>
      </c>
      <c r="AR183" s="283" t="s">
        <v>796</v>
      </c>
      <c r="AS183" s="283" t="s">
        <v>796</v>
      </c>
      <c r="AT183" s="283" t="s">
        <v>796</v>
      </c>
      <c r="AU183" s="283" t="s">
        <v>796</v>
      </c>
      <c r="AV183" s="283" t="s">
        <v>796</v>
      </c>
      <c r="AW183" s="283">
        <f t="shared" si="18"/>
        <v>0</v>
      </c>
      <c r="AX183" s="283">
        <v>34600</v>
      </c>
      <c r="AY183" s="283">
        <v>34300</v>
      </c>
      <c r="AZ183" s="283">
        <v>32900</v>
      </c>
      <c r="BA183" s="283">
        <v>33000</v>
      </c>
      <c r="BB183" s="283">
        <v>38800</v>
      </c>
      <c r="BC183" s="283">
        <v>37500</v>
      </c>
      <c r="BD183" s="283">
        <v>42300</v>
      </c>
      <c r="BE183" s="283">
        <v>30200</v>
      </c>
      <c r="BF183" s="283">
        <v>14200</v>
      </c>
      <c r="BG183" s="283">
        <v>17500</v>
      </c>
      <c r="BH183" s="283">
        <v>6600</v>
      </c>
      <c r="BI183" s="283" t="e">
        <f>VLOOKUP(D183,Mid!$A$2:$C$225,3,FALSE)</f>
        <v>#N/A</v>
      </c>
      <c r="BJ183" s="283">
        <v>12600</v>
      </c>
      <c r="BK183" s="283">
        <v>13300</v>
      </c>
      <c r="BL183" s="283">
        <v>9200</v>
      </c>
      <c r="BM183" s="283">
        <v>16200</v>
      </c>
      <c r="BN183" s="283">
        <v>10800</v>
      </c>
      <c r="BO183" s="283">
        <v>17400</v>
      </c>
      <c r="BP183" s="283">
        <v>36800</v>
      </c>
      <c r="BQ183" s="283">
        <v>8400</v>
      </c>
      <c r="BR183" s="283">
        <v>17400</v>
      </c>
      <c r="BS183" s="283">
        <v>7500</v>
      </c>
      <c r="BT183" s="283">
        <v>4200</v>
      </c>
      <c r="BU183" s="283">
        <v>12000</v>
      </c>
      <c r="BV183" s="283">
        <v>4700</v>
      </c>
      <c r="BW183" s="283">
        <v>11948</v>
      </c>
      <c r="BX183" s="283">
        <v>15200</v>
      </c>
      <c r="BY183" s="283">
        <v>15200</v>
      </c>
      <c r="BZ183" s="283">
        <v>8400</v>
      </c>
      <c r="CA183" s="283">
        <v>13700</v>
      </c>
      <c r="CB183" s="283">
        <v>3200</v>
      </c>
      <c r="CC183" s="283">
        <v>9800</v>
      </c>
      <c r="CD183" s="283">
        <v>0</v>
      </c>
      <c r="CE183" s="283">
        <v>0</v>
      </c>
      <c r="CF183" s="283">
        <v>0</v>
      </c>
      <c r="CG183" s="283">
        <v>0</v>
      </c>
      <c r="CH183" s="283">
        <v>0</v>
      </c>
      <c r="CI183" s="283">
        <v>0</v>
      </c>
      <c r="CJ183" s="283">
        <v>0</v>
      </c>
      <c r="CK183" s="283">
        <f t="shared" si="19"/>
        <v>0</v>
      </c>
      <c r="CL183" s="370"/>
      <c r="CM183" s="371">
        <f>Summary!$D$5</f>
        <v>1543433.55918333</v>
      </c>
      <c r="CN183" s="258">
        <f t="shared" si="23"/>
        <v>0</v>
      </c>
    </row>
    <row r="184" ht="15.6" spans="1:92">
      <c r="A184" s="258" t="s">
        <v>149</v>
      </c>
      <c r="B184" s="258" t="s">
        <v>694</v>
      </c>
      <c r="C184" s="258"/>
      <c r="D184" s="342" t="s">
        <v>2167</v>
      </c>
      <c r="E184" s="258"/>
      <c r="F184" s="260" t="s">
        <v>56</v>
      </c>
      <c r="G184" s="382"/>
      <c r="H184" s="283">
        <f t="shared" si="24"/>
        <v>12025.1166666667</v>
      </c>
      <c r="I184" s="360"/>
      <c r="J184" s="351"/>
      <c r="K184" s="351"/>
      <c r="L184" s="351"/>
      <c r="M184" s="351"/>
      <c r="N184" s="352"/>
      <c r="O184" s="353"/>
      <c r="P184" s="353"/>
      <c r="Q184" s="353"/>
      <c r="R184" s="353"/>
      <c r="S184" s="353"/>
      <c r="T184" s="353"/>
      <c r="U184" s="353"/>
      <c r="V184" s="353"/>
      <c r="W184" s="353"/>
      <c r="X184" s="353"/>
      <c r="Y184" s="353"/>
      <c r="Z184" s="353"/>
      <c r="AA184" s="353"/>
      <c r="AB184" s="353"/>
      <c r="AC184" s="353"/>
      <c r="AD184" s="353"/>
      <c r="AE184" s="353"/>
      <c r="AF184" s="353"/>
      <c r="AG184" s="353"/>
      <c r="AH184" s="353"/>
      <c r="AI184" s="353">
        <v>17014</v>
      </c>
      <c r="AJ184" s="367">
        <v>26919</v>
      </c>
      <c r="AK184" s="283" t="s">
        <v>2168</v>
      </c>
      <c r="AL184" s="283">
        <v>39899</v>
      </c>
      <c r="AM184" s="283" t="s">
        <v>2169</v>
      </c>
      <c r="AN184" s="283" t="s">
        <v>2170</v>
      </c>
      <c r="AO184" s="283" t="s">
        <v>2171</v>
      </c>
      <c r="AP184" s="283">
        <f>38778*0.1815*2</f>
        <v>14076.414</v>
      </c>
      <c r="AQ184" s="283" t="s">
        <v>2172</v>
      </c>
      <c r="AR184" s="283" t="s">
        <v>2173</v>
      </c>
      <c r="AS184" s="283" t="s">
        <v>2174</v>
      </c>
      <c r="AT184" s="283" t="s">
        <v>2175</v>
      </c>
      <c r="AU184" s="283" t="s">
        <v>2176</v>
      </c>
      <c r="AV184" s="283" t="s">
        <v>2177</v>
      </c>
      <c r="AW184" s="283">
        <f t="shared" si="18"/>
        <v>21268.6666666667</v>
      </c>
      <c r="AX184" s="283"/>
      <c r="AY184" s="283"/>
      <c r="AZ184" s="283"/>
      <c r="BA184" s="283"/>
      <c r="BB184" s="283"/>
      <c r="BC184" s="283"/>
      <c r="BD184" s="283"/>
      <c r="BE184" s="283"/>
      <c r="BF184" s="283"/>
      <c r="BG184" s="283"/>
      <c r="BH184" s="283"/>
      <c r="BI184" s="283"/>
      <c r="BJ184" s="283"/>
      <c r="BK184" s="283"/>
      <c r="BL184" s="283"/>
      <c r="BM184" s="283"/>
      <c r="BN184" s="283"/>
      <c r="BO184" s="283"/>
      <c r="BP184" s="283"/>
      <c r="BQ184" s="283"/>
      <c r="BR184" s="283"/>
      <c r="BS184" s="283"/>
      <c r="BT184" s="283"/>
      <c r="BU184" s="283"/>
      <c r="BV184" s="283"/>
      <c r="BW184" s="283">
        <v>8975</v>
      </c>
      <c r="BX184" s="283">
        <v>16900</v>
      </c>
      <c r="BY184" s="283">
        <v>16900</v>
      </c>
      <c r="BZ184" s="283">
        <v>29722</v>
      </c>
      <c r="CA184" s="283">
        <v>17647.26</v>
      </c>
      <c r="CB184" s="283">
        <v>7500</v>
      </c>
      <c r="CC184" s="283">
        <v>9300</v>
      </c>
      <c r="CD184" s="283">
        <v>12000</v>
      </c>
      <c r="CE184" s="283">
        <v>12000</v>
      </c>
      <c r="CF184" s="283">
        <v>3900</v>
      </c>
      <c r="CG184" s="283">
        <v>6068.36</v>
      </c>
      <c r="CH184" s="283">
        <v>5100</v>
      </c>
      <c r="CI184" s="283">
        <v>3244.7</v>
      </c>
      <c r="CJ184" s="283">
        <v>1700</v>
      </c>
      <c r="CK184" s="283">
        <f t="shared" si="19"/>
        <v>2781.56666666667</v>
      </c>
      <c r="CL184" s="370"/>
      <c r="CM184" s="371">
        <f>Summary!$D$5</f>
        <v>1543433.55918333</v>
      </c>
      <c r="CN184" s="258">
        <f t="shared" si="23"/>
        <v>0</v>
      </c>
    </row>
    <row r="185" s="270" customFormat="1" ht="15.6" spans="1:92">
      <c r="A185" s="258" t="s">
        <v>149</v>
      </c>
      <c r="B185" s="258" t="s">
        <v>694</v>
      </c>
      <c r="C185" s="258"/>
      <c r="D185" s="342" t="s">
        <v>2178</v>
      </c>
      <c r="E185" s="258"/>
      <c r="F185" s="260" t="s">
        <v>57</v>
      </c>
      <c r="G185" s="382"/>
      <c r="H185" s="283">
        <f t="shared" si="24"/>
        <v>21939.3966666667</v>
      </c>
      <c r="I185" s="360"/>
      <c r="J185" s="351"/>
      <c r="K185" s="351"/>
      <c r="L185" s="351"/>
      <c r="M185" s="351"/>
      <c r="N185" s="352"/>
      <c r="O185" s="353"/>
      <c r="P185" s="353"/>
      <c r="Q185" s="353"/>
      <c r="R185" s="353"/>
      <c r="S185" s="353"/>
      <c r="T185" s="353"/>
      <c r="U185" s="353"/>
      <c r="V185" s="353"/>
      <c r="W185" s="353"/>
      <c r="X185" s="353"/>
      <c r="Y185" s="353"/>
      <c r="Z185" s="353"/>
      <c r="AA185" s="353"/>
      <c r="AB185" s="353"/>
      <c r="AC185" s="353"/>
      <c r="AD185" s="353"/>
      <c r="AE185" s="353"/>
      <c r="AF185" s="353"/>
      <c r="AG185" s="353"/>
      <c r="AH185" s="353"/>
      <c r="AI185" s="353">
        <v>10768</v>
      </c>
      <c r="AJ185" s="353">
        <v>20521</v>
      </c>
      <c r="AK185" s="283">
        <v>34904</v>
      </c>
      <c r="AL185" s="283">
        <v>82348</v>
      </c>
      <c r="AM185" s="283" t="s">
        <v>2179</v>
      </c>
      <c r="AN185" s="283" t="s">
        <v>2180</v>
      </c>
      <c r="AO185" s="283" t="s">
        <v>2181</v>
      </c>
      <c r="AP185" s="283">
        <v>33038</v>
      </c>
      <c r="AQ185" s="283" t="s">
        <v>2182</v>
      </c>
      <c r="AR185" s="283" t="s">
        <v>2183</v>
      </c>
      <c r="AS185" s="283" t="s">
        <v>2184</v>
      </c>
      <c r="AT185" s="283" t="s">
        <v>2185</v>
      </c>
      <c r="AU185" s="283" t="s">
        <v>2186</v>
      </c>
      <c r="AV185" s="283" t="s">
        <v>2187</v>
      </c>
      <c r="AW185" s="283">
        <f t="shared" si="18"/>
        <v>17228.1666666667</v>
      </c>
      <c r="AX185" s="283"/>
      <c r="AY185" s="283"/>
      <c r="AZ185" s="283"/>
      <c r="BA185" s="283"/>
      <c r="BB185" s="283"/>
      <c r="BC185" s="283"/>
      <c r="BD185" s="283"/>
      <c r="BE185" s="283"/>
      <c r="BF185" s="283"/>
      <c r="BG185" s="283"/>
      <c r="BH185" s="283"/>
      <c r="BI185" s="283"/>
      <c r="BJ185" s="283"/>
      <c r="BK185" s="283"/>
      <c r="BL185" s="283"/>
      <c r="BM185" s="283"/>
      <c r="BN185" s="283"/>
      <c r="BO185" s="283"/>
      <c r="BP185" s="283"/>
      <c r="BQ185" s="283"/>
      <c r="BR185" s="283"/>
      <c r="BS185" s="283"/>
      <c r="BT185" s="283"/>
      <c r="BU185" s="283"/>
      <c r="BV185" s="283"/>
      <c r="BW185" s="283">
        <v>9554</v>
      </c>
      <c r="BX185" s="283">
        <v>48300</v>
      </c>
      <c r="BY185" s="283">
        <v>48300</v>
      </c>
      <c r="BZ185" s="283">
        <v>9500</v>
      </c>
      <c r="CA185" s="283">
        <v>10600</v>
      </c>
      <c r="CB185" s="283">
        <v>11200</v>
      </c>
      <c r="CC185" s="283">
        <v>14404</v>
      </c>
      <c r="CD185" s="283">
        <v>11000</v>
      </c>
      <c r="CE185" s="283">
        <v>11000</v>
      </c>
      <c r="CF185" s="283">
        <v>9035.28</v>
      </c>
      <c r="CG185" s="283">
        <v>6100</v>
      </c>
      <c r="CH185" s="283">
        <v>9400</v>
      </c>
      <c r="CI185" s="283">
        <v>27653.04</v>
      </c>
      <c r="CJ185" s="283">
        <v>31732.56</v>
      </c>
      <c r="CK185" s="283">
        <f t="shared" si="19"/>
        <v>26650.6266666667</v>
      </c>
      <c r="CL185" s="370"/>
      <c r="CM185" s="371">
        <f>Summary!$D$5</f>
        <v>1543433.55918333</v>
      </c>
      <c r="CN185" s="258">
        <f t="shared" si="23"/>
        <v>0</v>
      </c>
    </row>
    <row r="186" s="270" customFormat="1" ht="15.6" spans="1:92">
      <c r="A186" s="258" t="s">
        <v>149</v>
      </c>
      <c r="B186" s="258" t="s">
        <v>694</v>
      </c>
      <c r="C186" s="258" t="s">
        <v>1992</v>
      </c>
      <c r="D186" s="342" t="s">
        <v>2188</v>
      </c>
      <c r="E186" s="258" t="s">
        <v>234</v>
      </c>
      <c r="F186" s="260" t="s">
        <v>266</v>
      </c>
      <c r="G186" s="382"/>
      <c r="H186" s="283">
        <f t="shared" si="24"/>
        <v>8296.25</v>
      </c>
      <c r="I186" s="360"/>
      <c r="J186" s="351">
        <v>18109</v>
      </c>
      <c r="K186" s="351">
        <v>10178</v>
      </c>
      <c r="L186" s="351">
        <v>17118</v>
      </c>
      <c r="M186" s="351">
        <v>12738</v>
      </c>
      <c r="N186" s="352">
        <v>16118</v>
      </c>
      <c r="O186" s="352">
        <v>17361</v>
      </c>
      <c r="P186" s="352">
        <v>12014</v>
      </c>
      <c r="Q186" s="352">
        <v>16681</v>
      </c>
      <c r="R186" s="352">
        <v>14222</v>
      </c>
      <c r="S186" s="352">
        <v>0</v>
      </c>
      <c r="T186" s="352">
        <v>9651</v>
      </c>
      <c r="U186" s="353" t="e">
        <f>VLOOKUP(D186,Mid!$A$2:$C$225,2,FALSE)</f>
        <v>#N/A</v>
      </c>
      <c r="V186" s="353">
        <v>10867</v>
      </c>
      <c r="W186" s="353">
        <v>10964</v>
      </c>
      <c r="X186" s="353">
        <v>12005</v>
      </c>
      <c r="Y186" s="353">
        <v>5885</v>
      </c>
      <c r="Z186" s="353">
        <v>7922</v>
      </c>
      <c r="AA186" s="353">
        <v>3665</v>
      </c>
      <c r="AB186" s="353">
        <v>266</v>
      </c>
      <c r="AC186" s="353">
        <v>4718</v>
      </c>
      <c r="AD186" s="353">
        <v>6933</v>
      </c>
      <c r="AE186" s="353">
        <v>7858</v>
      </c>
      <c r="AF186" s="353">
        <v>6218</v>
      </c>
      <c r="AG186" s="353">
        <v>3028</v>
      </c>
      <c r="AH186" s="353">
        <v>2032</v>
      </c>
      <c r="AI186" s="353">
        <v>5919</v>
      </c>
      <c r="AJ186" s="367">
        <v>3132</v>
      </c>
      <c r="AK186" s="283" t="s">
        <v>2189</v>
      </c>
      <c r="AL186" s="283">
        <v>4675</v>
      </c>
      <c r="AM186" s="283" t="s">
        <v>2190</v>
      </c>
      <c r="AN186" s="283" t="s">
        <v>2191</v>
      </c>
      <c r="AO186" s="283" t="s">
        <v>2192</v>
      </c>
      <c r="AP186" s="283">
        <f>9638*0.2704*2</f>
        <v>5212.2304</v>
      </c>
      <c r="AQ186" s="283" t="s">
        <v>2193</v>
      </c>
      <c r="AR186" s="283" t="s">
        <v>2194</v>
      </c>
      <c r="AS186" s="283" t="s">
        <v>2195</v>
      </c>
      <c r="AT186" s="283" t="s">
        <v>2196</v>
      </c>
      <c r="AU186" s="283" t="s">
        <v>2197</v>
      </c>
      <c r="AV186" s="283" t="s">
        <v>2198</v>
      </c>
      <c r="AW186" s="283">
        <f t="shared" si="18"/>
        <v>9392.5</v>
      </c>
      <c r="AX186" s="283">
        <v>0</v>
      </c>
      <c r="AY186" s="283">
        <v>0</v>
      </c>
      <c r="AZ186" s="283">
        <v>0</v>
      </c>
      <c r="BA186" s="283">
        <v>0</v>
      </c>
      <c r="BB186" s="283">
        <v>0</v>
      </c>
      <c r="BC186" s="283">
        <v>14200</v>
      </c>
      <c r="BD186" s="283">
        <v>13000</v>
      </c>
      <c r="BE186" s="283">
        <v>13400</v>
      </c>
      <c r="BF186" s="283">
        <v>0</v>
      </c>
      <c r="BG186" s="283">
        <v>50300</v>
      </c>
      <c r="BH186" s="283">
        <v>32000</v>
      </c>
      <c r="BI186" s="283" t="e">
        <f>VLOOKUP(D186,Mid!$A$2:$C$225,3,FALSE)</f>
        <v>#N/A</v>
      </c>
      <c r="BJ186" s="283">
        <v>38200</v>
      </c>
      <c r="BK186" s="283">
        <v>24500</v>
      </c>
      <c r="BL186" s="283">
        <v>25900</v>
      </c>
      <c r="BM186" s="283">
        <v>38500</v>
      </c>
      <c r="BN186" s="283">
        <v>33900</v>
      </c>
      <c r="BO186" s="283">
        <v>39700</v>
      </c>
      <c r="BP186" s="283">
        <v>34700</v>
      </c>
      <c r="BQ186" s="283">
        <v>18800</v>
      </c>
      <c r="BR186" s="283">
        <v>42200</v>
      </c>
      <c r="BS186" s="283">
        <v>12700</v>
      </c>
      <c r="BT186" s="283">
        <v>29600</v>
      </c>
      <c r="BU186" s="283">
        <v>14300</v>
      </c>
      <c r="BV186" s="283">
        <v>3200</v>
      </c>
      <c r="BW186" s="283">
        <v>18300</v>
      </c>
      <c r="BX186" s="283">
        <v>11000</v>
      </c>
      <c r="BY186" s="283">
        <v>11000</v>
      </c>
      <c r="BZ186" s="283">
        <v>12500</v>
      </c>
      <c r="CA186" s="283">
        <v>17000</v>
      </c>
      <c r="CB186" s="283">
        <v>26100</v>
      </c>
      <c r="CC186" s="283">
        <v>9900</v>
      </c>
      <c r="CD186" s="283">
        <v>30600</v>
      </c>
      <c r="CE186" s="283">
        <v>30600</v>
      </c>
      <c r="CF186" s="283">
        <v>7800</v>
      </c>
      <c r="CG186" s="283">
        <v>432</v>
      </c>
      <c r="CH186" s="283">
        <v>2200</v>
      </c>
      <c r="CI186" s="283">
        <v>8500</v>
      </c>
      <c r="CJ186" s="283">
        <v>8000</v>
      </c>
      <c r="CK186" s="283">
        <f t="shared" si="19"/>
        <v>7200</v>
      </c>
      <c r="CL186" s="370"/>
      <c r="CM186" s="371">
        <f>Summary!$D$5</f>
        <v>1543433.55918333</v>
      </c>
      <c r="CN186" s="258">
        <f t="shared" si="23"/>
        <v>0</v>
      </c>
    </row>
    <row r="187" ht="15.6" spans="1:92">
      <c r="A187" s="258" t="s">
        <v>159</v>
      </c>
      <c r="B187" s="344" t="s">
        <v>683</v>
      </c>
      <c r="C187" s="344" t="s">
        <v>227</v>
      </c>
      <c r="D187" s="344" t="s">
        <v>160</v>
      </c>
      <c r="E187" s="344" t="s">
        <v>441</v>
      </c>
      <c r="F187" s="344" t="s">
        <v>49</v>
      </c>
      <c r="G187" s="345"/>
      <c r="H187" s="345">
        <f t="shared" si="24"/>
        <v>455967.75</v>
      </c>
      <c r="I187" s="292"/>
      <c r="J187" s="351">
        <v>320726</v>
      </c>
      <c r="K187" s="351">
        <v>381436</v>
      </c>
      <c r="L187" s="351">
        <v>303803</v>
      </c>
      <c r="M187" s="351">
        <v>373965</v>
      </c>
      <c r="N187" s="352">
        <v>320859</v>
      </c>
      <c r="O187" s="353">
        <v>307068</v>
      </c>
      <c r="P187" s="353">
        <v>340725</v>
      </c>
      <c r="Q187" s="353">
        <v>363592</v>
      </c>
      <c r="R187" s="353">
        <v>400631</v>
      </c>
      <c r="S187" s="353">
        <v>372264</v>
      </c>
      <c r="T187" s="353">
        <v>423312</v>
      </c>
      <c r="U187" s="353" t="e">
        <f>VLOOKUP(D187,Mid!$A$2:$C$225,2,FALSE)</f>
        <v>#N/A</v>
      </c>
      <c r="V187" s="353">
        <v>430228</v>
      </c>
      <c r="W187" s="353">
        <v>364807</v>
      </c>
      <c r="X187" s="353">
        <v>325927</v>
      </c>
      <c r="Y187" s="353">
        <v>370467</v>
      </c>
      <c r="Z187" s="353">
        <v>394769</v>
      </c>
      <c r="AA187" s="353">
        <v>417045</v>
      </c>
      <c r="AB187" s="353">
        <v>350801</v>
      </c>
      <c r="AC187" s="353">
        <v>411790</v>
      </c>
      <c r="AD187" s="353">
        <v>417262</v>
      </c>
      <c r="AE187" s="353">
        <v>429591</v>
      </c>
      <c r="AF187" s="353">
        <v>481704</v>
      </c>
      <c r="AG187" s="353">
        <v>431408</v>
      </c>
      <c r="AH187" s="353">
        <v>468854</v>
      </c>
      <c r="AI187" s="353">
        <v>442789</v>
      </c>
      <c r="AJ187" s="367">
        <v>405338</v>
      </c>
      <c r="AK187" s="283" t="s">
        <v>2199</v>
      </c>
      <c r="AL187" s="283">
        <v>423508</v>
      </c>
      <c r="AM187" s="283" t="s">
        <v>2200</v>
      </c>
      <c r="AN187" s="283" t="s">
        <v>2201</v>
      </c>
      <c r="AO187" s="283" t="s">
        <v>2202</v>
      </c>
      <c r="AP187" s="283">
        <v>435592</v>
      </c>
      <c r="AQ187" s="283" t="s">
        <v>2203</v>
      </c>
      <c r="AR187" s="283" t="s">
        <v>2204</v>
      </c>
      <c r="AS187" s="283" t="s">
        <v>2205</v>
      </c>
      <c r="AT187" s="283" t="s">
        <v>2206</v>
      </c>
      <c r="AU187" s="283" t="s">
        <v>2207</v>
      </c>
      <c r="AV187" s="283" t="s">
        <v>2208</v>
      </c>
      <c r="AW187" s="283">
        <f t="shared" si="18"/>
        <v>451792.166666667</v>
      </c>
      <c r="AX187" s="283">
        <v>543600</v>
      </c>
      <c r="AY187" s="283">
        <v>444800</v>
      </c>
      <c r="AZ187" s="283">
        <v>409000</v>
      </c>
      <c r="BA187" s="283">
        <v>408600</v>
      </c>
      <c r="BB187" s="283">
        <v>456200</v>
      </c>
      <c r="BC187" s="283">
        <v>416300</v>
      </c>
      <c r="BD187" s="283">
        <v>472300</v>
      </c>
      <c r="BE187" s="283">
        <v>548300</v>
      </c>
      <c r="BF187" s="283">
        <v>323400</v>
      </c>
      <c r="BG187" s="283">
        <v>369100</v>
      </c>
      <c r="BH187" s="283">
        <v>540700</v>
      </c>
      <c r="BI187" s="283" t="e">
        <f>VLOOKUP(D187,Mid!$A$2:$C$225,3,FALSE)</f>
        <v>#N/A</v>
      </c>
      <c r="BJ187" s="283">
        <v>247800</v>
      </c>
      <c r="BK187" s="283">
        <v>242000</v>
      </c>
      <c r="BL187" s="283">
        <v>238400</v>
      </c>
      <c r="BM187" s="283">
        <v>434200</v>
      </c>
      <c r="BN187" s="283">
        <v>315000</v>
      </c>
      <c r="BO187" s="283">
        <v>286100</v>
      </c>
      <c r="BP187" s="283">
        <v>267300</v>
      </c>
      <c r="BQ187" s="283">
        <v>302300</v>
      </c>
      <c r="BR187" s="283">
        <v>331500</v>
      </c>
      <c r="BS187" s="283">
        <v>307500</v>
      </c>
      <c r="BT187" s="283">
        <v>319800</v>
      </c>
      <c r="BU187" s="283">
        <v>271800</v>
      </c>
      <c r="BV187" s="283">
        <v>274600</v>
      </c>
      <c r="BW187" s="283">
        <v>416200</v>
      </c>
      <c r="BX187" s="283">
        <v>400000</v>
      </c>
      <c r="BY187" s="283">
        <v>587400</v>
      </c>
      <c r="BZ187" s="283">
        <v>343200</v>
      </c>
      <c r="CA187" s="283">
        <v>225100</v>
      </c>
      <c r="CB187" s="283">
        <v>295200</v>
      </c>
      <c r="CC187" s="283">
        <v>457100</v>
      </c>
      <c r="CD187" s="283">
        <v>232700</v>
      </c>
      <c r="CE187" s="283">
        <v>317400</v>
      </c>
      <c r="CF187" s="283">
        <v>234500</v>
      </c>
      <c r="CG187" s="283">
        <v>332054.68</v>
      </c>
      <c r="CH187" s="283">
        <v>461900</v>
      </c>
      <c r="CI187" s="283">
        <v>411600</v>
      </c>
      <c r="CJ187" s="283">
        <v>491920</v>
      </c>
      <c r="CK187" s="283">
        <f t="shared" si="19"/>
        <v>460143.333333333</v>
      </c>
      <c r="CL187" s="370"/>
      <c r="CM187" s="371">
        <f>Summary!$D$8</f>
        <v>724303.229333334</v>
      </c>
      <c r="CN187" s="258">
        <f t="shared" si="23"/>
        <v>1</v>
      </c>
    </row>
    <row r="188" s="269" customFormat="1" ht="15.6" spans="1:92">
      <c r="A188" s="258" t="s">
        <v>159</v>
      </c>
      <c r="B188" s="258" t="s">
        <v>672</v>
      </c>
      <c r="C188" s="258" t="s">
        <v>243</v>
      </c>
      <c r="D188" s="258" t="s">
        <v>562</v>
      </c>
      <c r="E188" s="258" t="s">
        <v>441</v>
      </c>
      <c r="F188" s="260" t="s">
        <v>234</v>
      </c>
      <c r="G188" s="343"/>
      <c r="H188" s="283">
        <f t="shared" si="24"/>
        <v>517094.083333333</v>
      </c>
      <c r="I188" s="292" t="s">
        <v>2209</v>
      </c>
      <c r="J188" s="351">
        <v>253423</v>
      </c>
      <c r="K188" s="351">
        <v>262344</v>
      </c>
      <c r="L188" s="351">
        <v>238751</v>
      </c>
      <c r="M188" s="351">
        <v>270548</v>
      </c>
      <c r="N188" s="352">
        <v>278994</v>
      </c>
      <c r="O188" s="353">
        <v>290939</v>
      </c>
      <c r="P188" s="353">
        <v>295494</v>
      </c>
      <c r="Q188" s="353">
        <v>304948</v>
      </c>
      <c r="R188" s="353">
        <v>301658</v>
      </c>
      <c r="S188" s="353">
        <v>239055</v>
      </c>
      <c r="T188" s="353">
        <v>296909</v>
      </c>
      <c r="U188" s="353">
        <f>VLOOKUP(D188,Mid!$A$2:$C$225,2,FALSE)</f>
        <v>257560</v>
      </c>
      <c r="V188" s="353">
        <v>242367</v>
      </c>
      <c r="W188" s="353">
        <v>267250</v>
      </c>
      <c r="X188" s="353">
        <v>236500</v>
      </c>
      <c r="Y188" s="353">
        <v>272614</v>
      </c>
      <c r="Z188" s="353">
        <v>258634</v>
      </c>
      <c r="AA188" s="353">
        <v>296179</v>
      </c>
      <c r="AB188" s="353">
        <v>269330</v>
      </c>
      <c r="AC188" s="353">
        <v>266631</v>
      </c>
      <c r="AD188" s="353">
        <v>351681</v>
      </c>
      <c r="AE188" s="353">
        <v>301370</v>
      </c>
      <c r="AF188" s="353">
        <v>322924</v>
      </c>
      <c r="AG188" s="353">
        <v>321287</v>
      </c>
      <c r="AH188" s="353">
        <v>393209</v>
      </c>
      <c r="AI188" s="353">
        <v>381628</v>
      </c>
      <c r="AJ188" s="367">
        <v>334312</v>
      </c>
      <c r="AK188" s="283" t="s">
        <v>2210</v>
      </c>
      <c r="AL188" s="283">
        <v>398975</v>
      </c>
      <c r="AM188" s="283" t="s">
        <v>2211</v>
      </c>
      <c r="AN188" s="283" t="s">
        <v>2212</v>
      </c>
      <c r="AO188" s="283" t="s">
        <v>2213</v>
      </c>
      <c r="AP188" s="283">
        <v>407493</v>
      </c>
      <c r="AQ188" s="283" t="s">
        <v>2214</v>
      </c>
      <c r="AR188" s="283" t="s">
        <v>2215</v>
      </c>
      <c r="AS188" s="283" t="s">
        <v>2216</v>
      </c>
      <c r="AT188" s="283" t="s">
        <v>2217</v>
      </c>
      <c r="AU188" s="283" t="s">
        <v>2218</v>
      </c>
      <c r="AV188" s="283" t="s">
        <v>2219</v>
      </c>
      <c r="AW188" s="283">
        <f t="shared" si="18"/>
        <v>488004.833333333</v>
      </c>
      <c r="AX188" s="283">
        <v>357400</v>
      </c>
      <c r="AY188" s="283">
        <v>332500</v>
      </c>
      <c r="AZ188" s="283">
        <v>357800</v>
      </c>
      <c r="BA188" s="283">
        <v>315000</v>
      </c>
      <c r="BB188" s="283">
        <v>335800</v>
      </c>
      <c r="BC188" s="283">
        <v>341800</v>
      </c>
      <c r="BD188" s="283">
        <v>317200</v>
      </c>
      <c r="BE188" s="283">
        <v>393400</v>
      </c>
      <c r="BF188" s="283">
        <v>215300</v>
      </c>
      <c r="BG188" s="283">
        <v>193800</v>
      </c>
      <c r="BH188" s="283">
        <v>237900</v>
      </c>
      <c r="BI188" s="283">
        <f>VLOOKUP(D188,Mid!$A$2:$C$225,3,FALSE)</f>
        <v>212200</v>
      </c>
      <c r="BJ188" s="283">
        <v>186000</v>
      </c>
      <c r="BK188" s="283">
        <v>205500</v>
      </c>
      <c r="BL188" s="283">
        <v>272600</v>
      </c>
      <c r="BM188" s="283">
        <v>335100</v>
      </c>
      <c r="BN188" s="283">
        <v>309800</v>
      </c>
      <c r="BO188" s="283">
        <v>276200</v>
      </c>
      <c r="BP188" s="283">
        <v>272300</v>
      </c>
      <c r="BQ188" s="283">
        <v>347300</v>
      </c>
      <c r="BR188" s="283">
        <v>315500</v>
      </c>
      <c r="BS188" s="283">
        <v>287400</v>
      </c>
      <c r="BT188" s="283">
        <v>374800</v>
      </c>
      <c r="BU188" s="283">
        <v>709100</v>
      </c>
      <c r="BV188" s="283">
        <v>257900</v>
      </c>
      <c r="BW188" s="283">
        <v>562200</v>
      </c>
      <c r="BX188" s="283">
        <v>438500</v>
      </c>
      <c r="BY188" s="283">
        <v>438500</v>
      </c>
      <c r="BZ188" s="283">
        <v>565300</v>
      </c>
      <c r="CA188" s="283">
        <v>460400</v>
      </c>
      <c r="CB188" s="283">
        <v>519800</v>
      </c>
      <c r="CC188" s="283">
        <v>547700</v>
      </c>
      <c r="CD188" s="283">
        <v>576700</v>
      </c>
      <c r="CE188" s="283">
        <v>576700</v>
      </c>
      <c r="CF188" s="283">
        <v>504700</v>
      </c>
      <c r="CG188" s="283">
        <v>452500</v>
      </c>
      <c r="CH188" s="283">
        <v>599700</v>
      </c>
      <c r="CI188" s="283">
        <v>520600</v>
      </c>
      <c r="CJ188" s="283">
        <v>545400</v>
      </c>
      <c r="CK188" s="283">
        <f t="shared" si="19"/>
        <v>546183.333333333</v>
      </c>
      <c r="CL188" s="370"/>
      <c r="CM188" s="371">
        <f>Summary!$D$8</f>
        <v>724303.229333334</v>
      </c>
      <c r="CN188" s="258">
        <f t="shared" si="23"/>
        <v>0</v>
      </c>
    </row>
    <row r="189" ht="93.6" spans="1:92">
      <c r="A189" s="258" t="s">
        <v>159</v>
      </c>
      <c r="B189" s="258" t="s">
        <v>694</v>
      </c>
      <c r="C189" s="258" t="s">
        <v>230</v>
      </c>
      <c r="D189" s="258" t="s">
        <v>255</v>
      </c>
      <c r="E189" s="258" t="s">
        <v>233</v>
      </c>
      <c r="F189" s="260" t="s">
        <v>419</v>
      </c>
      <c r="G189" s="343"/>
      <c r="H189" s="283">
        <f>(AW189+CK189)*0.05/2</f>
        <v>28253.0793333333</v>
      </c>
      <c r="I189" s="292" t="s">
        <v>1046</v>
      </c>
      <c r="J189" s="351">
        <v>742524</v>
      </c>
      <c r="K189" s="351">
        <v>832806</v>
      </c>
      <c r="L189" s="351">
        <v>630060</v>
      </c>
      <c r="M189" s="351">
        <v>859832</v>
      </c>
      <c r="N189" s="352">
        <v>865492</v>
      </c>
      <c r="O189" s="353">
        <v>766580</v>
      </c>
      <c r="P189" s="353">
        <v>748274</v>
      </c>
      <c r="Q189" s="353">
        <v>882707</v>
      </c>
      <c r="R189" s="353">
        <v>901829</v>
      </c>
      <c r="S189" s="353">
        <v>839737</v>
      </c>
      <c r="T189" s="353">
        <v>863111</v>
      </c>
      <c r="U189" s="353" t="e">
        <f>VLOOKUP(D189,Mid!$A$2:$C$225,2,FALSE)</f>
        <v>#N/A</v>
      </c>
      <c r="V189" s="353">
        <v>873182</v>
      </c>
      <c r="W189" s="353">
        <v>954371</v>
      </c>
      <c r="X189" s="353">
        <v>902765</v>
      </c>
      <c r="Y189" s="353">
        <v>1069000</v>
      </c>
      <c r="Z189" s="353">
        <v>965481</v>
      </c>
      <c r="AA189" s="353">
        <v>1005000</v>
      </c>
      <c r="AB189" s="353">
        <v>963869</v>
      </c>
      <c r="AC189" s="353">
        <v>1091000</v>
      </c>
      <c r="AD189" s="353">
        <v>1053000</v>
      </c>
      <c r="AE189" s="353">
        <v>869935</v>
      </c>
      <c r="AF189" s="353">
        <v>850897</v>
      </c>
      <c r="AG189" s="353">
        <v>690825</v>
      </c>
      <c r="AH189" s="353">
        <v>774044</v>
      </c>
      <c r="AI189" s="353">
        <v>760293</v>
      </c>
      <c r="AJ189" s="367">
        <v>841107</v>
      </c>
      <c r="AK189" s="283" t="s">
        <v>1047</v>
      </c>
      <c r="AL189" s="283">
        <v>807389</v>
      </c>
      <c r="AM189" s="283" t="s">
        <v>1048</v>
      </c>
      <c r="AN189" s="283" t="s">
        <v>1049</v>
      </c>
      <c r="AO189" s="283" t="s">
        <v>1050</v>
      </c>
      <c r="AP189" s="283">
        <v>1137000</v>
      </c>
      <c r="AQ189" s="283">
        <f>1230000*0.3836*2</f>
        <v>943656</v>
      </c>
      <c r="AR189" s="283" t="s">
        <v>1051</v>
      </c>
      <c r="AS189" s="283" t="s">
        <v>1052</v>
      </c>
      <c r="AT189" s="283" t="s">
        <v>1053</v>
      </c>
      <c r="AU189" s="283" t="s">
        <v>1054</v>
      </c>
      <c r="AV189" s="283" t="s">
        <v>1055</v>
      </c>
      <c r="AW189" s="283">
        <f t="shared" si="18"/>
        <v>728444</v>
      </c>
      <c r="AX189" s="283">
        <v>918900</v>
      </c>
      <c r="AY189" s="283">
        <v>826100</v>
      </c>
      <c r="AZ189" s="283">
        <v>857900</v>
      </c>
      <c r="BA189" s="283">
        <v>864900</v>
      </c>
      <c r="BB189" s="283">
        <v>850300</v>
      </c>
      <c r="BC189" s="283">
        <v>819800</v>
      </c>
      <c r="BD189" s="283">
        <v>835700</v>
      </c>
      <c r="BE189" s="283">
        <v>862400</v>
      </c>
      <c r="BF189" s="283">
        <v>794000</v>
      </c>
      <c r="BG189" s="283">
        <v>860900</v>
      </c>
      <c r="BH189" s="283">
        <v>783700</v>
      </c>
      <c r="BI189" s="283" t="e">
        <f>VLOOKUP(D189,Mid!$A$2:$C$225,3,FALSE)</f>
        <v>#N/A</v>
      </c>
      <c r="BJ189" s="283">
        <v>467200</v>
      </c>
      <c r="BK189" s="283">
        <v>586200</v>
      </c>
      <c r="BL189" s="283">
        <v>560700</v>
      </c>
      <c r="BM189" s="283">
        <v>966800</v>
      </c>
      <c r="BN189" s="283">
        <v>494800</v>
      </c>
      <c r="BO189" s="283">
        <v>711400</v>
      </c>
      <c r="BP189" s="283">
        <v>976400</v>
      </c>
      <c r="BQ189" s="283">
        <v>1100000</v>
      </c>
      <c r="BR189" s="283">
        <v>674600</v>
      </c>
      <c r="BS189" s="283">
        <v>662600</v>
      </c>
      <c r="BT189" s="283">
        <v>572700</v>
      </c>
      <c r="BU189" s="283">
        <v>753000</v>
      </c>
      <c r="BV189" s="283">
        <v>995800</v>
      </c>
      <c r="BW189" s="283">
        <v>695000</v>
      </c>
      <c r="BX189" s="283">
        <v>844500</v>
      </c>
      <c r="BY189" s="283">
        <v>677400</v>
      </c>
      <c r="BZ189" s="283">
        <v>440000</v>
      </c>
      <c r="CA189" s="283">
        <v>564220</v>
      </c>
      <c r="CB189" s="283">
        <v>580900</v>
      </c>
      <c r="CC189" s="283">
        <v>671600</v>
      </c>
      <c r="CD189" s="283">
        <v>553400</v>
      </c>
      <c r="CE189" s="283">
        <v>810500</v>
      </c>
      <c r="CF189" s="283">
        <v>987700</v>
      </c>
      <c r="CG189" s="283">
        <v>356400</v>
      </c>
      <c r="CH189" s="283">
        <v>282400</v>
      </c>
      <c r="CI189" s="283">
        <v>407660</v>
      </c>
      <c r="CJ189" s="283">
        <v>437451.68</v>
      </c>
      <c r="CK189" s="283">
        <f t="shared" si="19"/>
        <v>401679.173333333</v>
      </c>
      <c r="CL189" s="370"/>
      <c r="CM189" s="371">
        <f>Summary!$D$8</f>
        <v>724303.229333334</v>
      </c>
      <c r="CN189" s="258">
        <f t="shared" si="23"/>
        <v>0</v>
      </c>
    </row>
    <row r="190" ht="15.6" spans="1:92">
      <c r="A190" s="258" t="s">
        <v>159</v>
      </c>
      <c r="B190" s="258" t="s">
        <v>812</v>
      </c>
      <c r="C190" s="258" t="s">
        <v>230</v>
      </c>
      <c r="D190" s="258" t="s">
        <v>282</v>
      </c>
      <c r="E190" s="258" t="s">
        <v>441</v>
      </c>
      <c r="F190" s="260" t="s">
        <v>250</v>
      </c>
      <c r="G190" s="346"/>
      <c r="H190" s="283">
        <f t="shared" ref="H190:H197" si="25">(AW190+CK190)/2</f>
        <v>53669.06</v>
      </c>
      <c r="I190" s="260" t="s">
        <v>2220</v>
      </c>
      <c r="J190" s="354">
        <v>26679</v>
      </c>
      <c r="K190" s="354">
        <v>33876</v>
      </c>
      <c r="L190" s="354">
        <v>26462</v>
      </c>
      <c r="M190" s="354">
        <v>49432</v>
      </c>
      <c r="N190" s="355">
        <v>88292</v>
      </c>
      <c r="O190" s="356">
        <v>94943</v>
      </c>
      <c r="P190" s="356">
        <v>92564</v>
      </c>
      <c r="Q190" s="356">
        <v>78837</v>
      </c>
      <c r="R190" s="356">
        <v>119767</v>
      </c>
      <c r="S190" s="356">
        <v>111012</v>
      </c>
      <c r="T190" s="356">
        <v>166064</v>
      </c>
      <c r="U190" s="356" t="e">
        <f>VLOOKUP(D190,Mid!$A$2:$C$225,2,FALSE)</f>
        <v>#N/A</v>
      </c>
      <c r="V190" s="356">
        <v>104306</v>
      </c>
      <c r="W190" s="356">
        <v>118878</v>
      </c>
      <c r="X190" s="356">
        <v>112746</v>
      </c>
      <c r="Y190" s="356">
        <v>103090</v>
      </c>
      <c r="Z190" s="356">
        <v>106719</v>
      </c>
      <c r="AA190" s="356">
        <v>137719</v>
      </c>
      <c r="AB190" s="356">
        <v>107423</v>
      </c>
      <c r="AC190" s="356">
        <v>154867</v>
      </c>
      <c r="AD190" s="356">
        <v>128627</v>
      </c>
      <c r="AE190" s="356">
        <v>121776</v>
      </c>
      <c r="AF190" s="356">
        <v>128862</v>
      </c>
      <c r="AG190" s="356">
        <v>203009</v>
      </c>
      <c r="AH190" s="356">
        <v>156828</v>
      </c>
      <c r="AI190" s="353">
        <v>158276</v>
      </c>
      <c r="AJ190" s="367">
        <v>121579</v>
      </c>
      <c r="AK190" s="283" t="s">
        <v>2221</v>
      </c>
      <c r="AL190" s="283">
        <v>140662</v>
      </c>
      <c r="AM190" s="283" t="s">
        <v>2222</v>
      </c>
      <c r="AN190" s="283" t="s">
        <v>2223</v>
      </c>
      <c r="AO190" s="283" t="s">
        <v>2224</v>
      </c>
      <c r="AP190" s="283">
        <f>188384*0.2816*2</f>
        <v>106097.8688</v>
      </c>
      <c r="AQ190" s="283" t="s">
        <v>2225</v>
      </c>
      <c r="AR190" s="283" t="s">
        <v>2226</v>
      </c>
      <c r="AS190" s="283" t="s">
        <v>2227</v>
      </c>
      <c r="AT190" s="283" t="s">
        <v>2228</v>
      </c>
      <c r="AU190" s="283" t="s">
        <v>2229</v>
      </c>
      <c r="AV190" s="283" t="s">
        <v>2230</v>
      </c>
      <c r="AW190" s="283">
        <f t="shared" si="18"/>
        <v>62753</v>
      </c>
      <c r="AX190" s="283">
        <v>11400</v>
      </c>
      <c r="AY190" s="283">
        <v>19500</v>
      </c>
      <c r="AZ190" s="283">
        <v>31800</v>
      </c>
      <c r="BA190" s="283">
        <v>31900</v>
      </c>
      <c r="BB190" s="283">
        <v>38400</v>
      </c>
      <c r="BC190" s="283">
        <v>33800</v>
      </c>
      <c r="BD190" s="283">
        <v>35700</v>
      </c>
      <c r="BE190" s="283">
        <v>35600</v>
      </c>
      <c r="BF190" s="283">
        <v>57600</v>
      </c>
      <c r="BG190" s="283">
        <v>40600</v>
      </c>
      <c r="BH190" s="283">
        <v>56100</v>
      </c>
      <c r="BI190" s="283" t="e">
        <f>VLOOKUP(D190,Mid!$A$2:$C$225,3,FALSE)</f>
        <v>#N/A</v>
      </c>
      <c r="BJ190" s="283">
        <v>51300</v>
      </c>
      <c r="BK190" s="283">
        <v>43800</v>
      </c>
      <c r="BL190" s="283">
        <v>51300</v>
      </c>
      <c r="BM190" s="283">
        <v>92500</v>
      </c>
      <c r="BN190" s="283">
        <v>110200</v>
      </c>
      <c r="BO190" s="283">
        <v>48300</v>
      </c>
      <c r="BP190" s="283">
        <v>75900</v>
      </c>
      <c r="BQ190" s="283">
        <v>112800</v>
      </c>
      <c r="BR190" s="283">
        <v>56200</v>
      </c>
      <c r="BS190" s="283">
        <v>75100</v>
      </c>
      <c r="BT190" s="283">
        <v>133600</v>
      </c>
      <c r="BU190" s="283">
        <v>72500</v>
      </c>
      <c r="BV190" s="283">
        <v>83100</v>
      </c>
      <c r="BW190" s="283">
        <v>61400</v>
      </c>
      <c r="BX190" s="283">
        <v>73609</v>
      </c>
      <c r="BY190" s="283">
        <v>73608</v>
      </c>
      <c r="BZ190" s="283">
        <v>55700</v>
      </c>
      <c r="CA190" s="283">
        <v>144500</v>
      </c>
      <c r="CB190" s="283">
        <v>68700</v>
      </c>
      <c r="CC190" s="283">
        <v>47000</v>
      </c>
      <c r="CD190" s="283">
        <v>79500</v>
      </c>
      <c r="CE190" s="283">
        <v>77400</v>
      </c>
      <c r="CF190" s="283">
        <v>37500</v>
      </c>
      <c r="CG190" s="283">
        <v>22021.12</v>
      </c>
      <c r="CH190" s="283">
        <v>77700</v>
      </c>
      <c r="CI190" s="283">
        <v>57255.36</v>
      </c>
      <c r="CJ190" s="283">
        <v>25100</v>
      </c>
      <c r="CK190" s="283">
        <f t="shared" si="19"/>
        <v>44585.12</v>
      </c>
      <c r="CL190" s="372"/>
      <c r="CM190" s="371">
        <f>Summary!$D$8</f>
        <v>724303.229333334</v>
      </c>
      <c r="CN190" s="258">
        <f t="shared" si="23"/>
        <v>1</v>
      </c>
    </row>
    <row r="191" ht="62.4" spans="1:92">
      <c r="A191" s="258" t="s">
        <v>159</v>
      </c>
      <c r="B191" s="258" t="s">
        <v>694</v>
      </c>
      <c r="C191" s="258" t="s">
        <v>230</v>
      </c>
      <c r="D191" s="258" t="s">
        <v>283</v>
      </c>
      <c r="E191" s="258" t="s">
        <v>233</v>
      </c>
      <c r="F191" s="260" t="s">
        <v>50</v>
      </c>
      <c r="G191" s="343"/>
      <c r="H191" s="283">
        <f t="shared" si="25"/>
        <v>50752.1733333333</v>
      </c>
      <c r="I191" s="292" t="s">
        <v>2231</v>
      </c>
      <c r="J191" s="351">
        <v>56618</v>
      </c>
      <c r="K191" s="351">
        <v>51307</v>
      </c>
      <c r="L191" s="351">
        <v>30163</v>
      </c>
      <c r="M191" s="351">
        <v>53340</v>
      </c>
      <c r="N191" s="352">
        <v>79999</v>
      </c>
      <c r="O191" s="353">
        <v>60830</v>
      </c>
      <c r="P191" s="353">
        <v>46036</v>
      </c>
      <c r="Q191" s="353">
        <v>49425</v>
      </c>
      <c r="R191" s="353">
        <v>45830</v>
      </c>
      <c r="S191" s="353">
        <v>50143</v>
      </c>
      <c r="T191" s="353">
        <v>62887</v>
      </c>
      <c r="U191" s="353" t="e">
        <f>VLOOKUP(D191,Mid!$A$2:$C$225,2,FALSE)</f>
        <v>#N/A</v>
      </c>
      <c r="V191" s="353">
        <v>44030</v>
      </c>
      <c r="W191" s="353">
        <v>36774</v>
      </c>
      <c r="X191" s="353">
        <v>71256</v>
      </c>
      <c r="Y191" s="353">
        <v>21668</v>
      </c>
      <c r="Z191" s="353">
        <v>28364</v>
      </c>
      <c r="AA191" s="353">
        <v>25679</v>
      </c>
      <c r="AB191" s="353">
        <v>22560</v>
      </c>
      <c r="AC191" s="353">
        <v>25502</v>
      </c>
      <c r="AD191" s="353">
        <v>15742</v>
      </c>
      <c r="AE191" s="353">
        <v>15918</v>
      </c>
      <c r="AF191" s="353">
        <v>26799</v>
      </c>
      <c r="AG191" s="353">
        <v>11897</v>
      </c>
      <c r="AH191" s="353">
        <v>49917</v>
      </c>
      <c r="AI191" s="353">
        <v>67152</v>
      </c>
      <c r="AJ191" s="367">
        <v>93060</v>
      </c>
      <c r="AK191" s="283" t="s">
        <v>2232</v>
      </c>
      <c r="AL191" s="283">
        <v>19566</v>
      </c>
      <c r="AM191" s="283" t="s">
        <v>2233</v>
      </c>
      <c r="AN191" s="283" t="s">
        <v>2234</v>
      </c>
      <c r="AO191" s="283" t="s">
        <v>2235</v>
      </c>
      <c r="AP191" s="283">
        <f>49533*0.3078*2</f>
        <v>30492.5148</v>
      </c>
      <c r="AQ191" s="283">
        <f>37095*0.3036*2</f>
        <v>22524.084</v>
      </c>
      <c r="AR191" s="283">
        <f>48601*0.2586*2</f>
        <v>25136.4372</v>
      </c>
      <c r="AS191" s="283" t="s">
        <v>2236</v>
      </c>
      <c r="AT191" s="283" t="s">
        <v>2237</v>
      </c>
      <c r="AU191" s="283">
        <v>81378</v>
      </c>
      <c r="AV191" s="283">
        <v>83679</v>
      </c>
      <c r="AW191" s="283">
        <f t="shared" si="18"/>
        <v>74618.8333333333</v>
      </c>
      <c r="AX191" s="283">
        <v>26800</v>
      </c>
      <c r="AY191" s="283">
        <v>24400</v>
      </c>
      <c r="AZ191" s="283">
        <v>28800</v>
      </c>
      <c r="BA191" s="283">
        <v>27900</v>
      </c>
      <c r="BB191" s="283">
        <v>33800</v>
      </c>
      <c r="BC191" s="283">
        <v>24500</v>
      </c>
      <c r="BD191" s="283">
        <v>27900</v>
      </c>
      <c r="BE191" s="283">
        <v>37700</v>
      </c>
      <c r="BF191" s="283">
        <v>17500</v>
      </c>
      <c r="BG191" s="283">
        <v>26700</v>
      </c>
      <c r="BH191" s="283">
        <v>23400</v>
      </c>
      <c r="BI191" s="283" t="e">
        <f>VLOOKUP(D191,Mid!$A$2:$C$225,3,FALSE)</f>
        <v>#N/A</v>
      </c>
      <c r="BJ191" s="283">
        <v>30300</v>
      </c>
      <c r="BK191" s="283">
        <v>55600</v>
      </c>
      <c r="BL191" s="283">
        <v>52300</v>
      </c>
      <c r="BM191" s="283">
        <v>150400</v>
      </c>
      <c r="BN191" s="283">
        <v>81700</v>
      </c>
      <c r="BO191" s="283">
        <v>70800</v>
      </c>
      <c r="BP191" s="283">
        <v>40300</v>
      </c>
      <c r="BQ191" s="283">
        <v>31200</v>
      </c>
      <c r="BR191" s="283">
        <v>47500</v>
      </c>
      <c r="BS191" s="283">
        <v>26000</v>
      </c>
      <c r="BT191" s="283">
        <v>55800</v>
      </c>
      <c r="BU191" s="283">
        <v>54200</v>
      </c>
      <c r="BV191" s="283">
        <v>52600</v>
      </c>
      <c r="BW191" s="283">
        <v>17800</v>
      </c>
      <c r="BX191" s="283">
        <v>24300</v>
      </c>
      <c r="BY191" s="283">
        <v>24300</v>
      </c>
      <c r="BZ191" s="283">
        <v>21300</v>
      </c>
      <c r="CA191" s="283">
        <v>48500</v>
      </c>
      <c r="CB191" s="283">
        <v>28900</v>
      </c>
      <c r="CC191" s="283">
        <v>37700</v>
      </c>
      <c r="CD191" s="283">
        <v>11100</v>
      </c>
      <c r="CE191" s="283">
        <v>11100</v>
      </c>
      <c r="CF191" s="283">
        <v>35900</v>
      </c>
      <c r="CG191" s="283">
        <v>40800</v>
      </c>
      <c r="CH191" s="283">
        <v>10800</v>
      </c>
      <c r="CI191" s="283">
        <v>27556.54</v>
      </c>
      <c r="CJ191" s="283">
        <v>31800</v>
      </c>
      <c r="CK191" s="283">
        <f t="shared" si="19"/>
        <v>26885.5133333333</v>
      </c>
      <c r="CL191" s="370"/>
      <c r="CM191" s="371">
        <f>Summary!$D$8</f>
        <v>724303.229333334</v>
      </c>
      <c r="CN191" s="258">
        <f t="shared" si="23"/>
        <v>1</v>
      </c>
    </row>
    <row r="192" ht="15.6" spans="1:92">
      <c r="A192" s="258" t="s">
        <v>159</v>
      </c>
      <c r="B192" s="258" t="s">
        <v>694</v>
      </c>
      <c r="C192" s="258" t="s">
        <v>230</v>
      </c>
      <c r="D192" s="258" t="s">
        <v>493</v>
      </c>
      <c r="E192" s="258" t="s">
        <v>233</v>
      </c>
      <c r="F192" s="260" t="s">
        <v>60</v>
      </c>
      <c r="G192" s="343"/>
      <c r="H192" s="283">
        <f t="shared" si="25"/>
        <v>14255.1166666667</v>
      </c>
      <c r="I192" s="292"/>
      <c r="J192" s="351">
        <v>49406</v>
      </c>
      <c r="K192" s="351">
        <v>37534</v>
      </c>
      <c r="L192" s="351">
        <v>25563</v>
      </c>
      <c r="M192" s="351">
        <v>45604</v>
      </c>
      <c r="N192" s="352">
        <v>45098</v>
      </c>
      <c r="O192" s="353">
        <v>55210</v>
      </c>
      <c r="P192" s="353">
        <v>38096</v>
      </c>
      <c r="Q192" s="353">
        <v>41225</v>
      </c>
      <c r="R192" s="353">
        <v>28649</v>
      </c>
      <c r="S192" s="353">
        <v>37617</v>
      </c>
      <c r="T192" s="353">
        <v>23440</v>
      </c>
      <c r="U192" s="353" t="e">
        <f>VLOOKUP(D192,Mid!$A$2:$C$225,2,FALSE)</f>
        <v>#N/A</v>
      </c>
      <c r="V192" s="353">
        <v>26313</v>
      </c>
      <c r="W192" s="353">
        <v>21074</v>
      </c>
      <c r="X192" s="353">
        <v>18880</v>
      </c>
      <c r="Y192" s="353">
        <v>24755</v>
      </c>
      <c r="Z192" s="353">
        <v>29821</v>
      </c>
      <c r="AA192" s="353">
        <v>23014</v>
      </c>
      <c r="AB192" s="353">
        <v>34285</v>
      </c>
      <c r="AC192" s="353">
        <v>53825</v>
      </c>
      <c r="AD192" s="353">
        <v>39672</v>
      </c>
      <c r="AE192" s="353">
        <v>29113</v>
      </c>
      <c r="AF192" s="353">
        <v>25734</v>
      </c>
      <c r="AG192" s="353">
        <v>26581</v>
      </c>
      <c r="AH192" s="353">
        <v>24500</v>
      </c>
      <c r="AI192" s="353">
        <v>29821</v>
      </c>
      <c r="AJ192" s="367">
        <v>28506</v>
      </c>
      <c r="AK192" s="283">
        <v>29972</v>
      </c>
      <c r="AL192" s="283">
        <v>22650</v>
      </c>
      <c r="AM192" s="283" t="s">
        <v>2238</v>
      </c>
      <c r="AN192" s="283" t="s">
        <v>2239</v>
      </c>
      <c r="AO192" s="283" t="s">
        <v>2240</v>
      </c>
      <c r="AP192" s="283">
        <v>36441</v>
      </c>
      <c r="AQ192" s="283" t="s">
        <v>2241</v>
      </c>
      <c r="AR192" s="283" t="s">
        <v>2242</v>
      </c>
      <c r="AS192" s="283" t="s">
        <v>2243</v>
      </c>
      <c r="AT192" s="283" t="s">
        <v>2244</v>
      </c>
      <c r="AU192" s="283" t="s">
        <v>2245</v>
      </c>
      <c r="AV192" s="283" t="s">
        <v>2246</v>
      </c>
      <c r="AW192" s="283">
        <f t="shared" si="18"/>
        <v>20348</v>
      </c>
      <c r="AX192" s="283">
        <v>38900</v>
      </c>
      <c r="AY192" s="283">
        <v>41100</v>
      </c>
      <c r="AZ192" s="283">
        <v>46100</v>
      </c>
      <c r="BA192" s="283">
        <v>50100</v>
      </c>
      <c r="BB192" s="283">
        <v>62700</v>
      </c>
      <c r="BC192" s="283">
        <v>44400</v>
      </c>
      <c r="BD192" s="283">
        <v>45300</v>
      </c>
      <c r="BE192" s="283">
        <v>43100</v>
      </c>
      <c r="BF192" s="283">
        <v>32000</v>
      </c>
      <c r="BG192" s="283">
        <v>29500</v>
      </c>
      <c r="BH192" s="283">
        <v>42400</v>
      </c>
      <c r="BI192" s="283" t="e">
        <f>VLOOKUP(D192,Mid!$A$2:$C$225,3,FALSE)</f>
        <v>#N/A</v>
      </c>
      <c r="BJ192" s="283">
        <v>20700</v>
      </c>
      <c r="BK192" s="283">
        <v>24900</v>
      </c>
      <c r="BL192" s="283">
        <v>22900</v>
      </c>
      <c r="BM192" s="283">
        <v>70500</v>
      </c>
      <c r="BN192" s="283">
        <v>50600</v>
      </c>
      <c r="BO192" s="283">
        <v>21700</v>
      </c>
      <c r="BP192" s="283">
        <v>12400</v>
      </c>
      <c r="BQ192" s="283">
        <v>37700</v>
      </c>
      <c r="BR192" s="283">
        <v>24100</v>
      </c>
      <c r="BS192" s="283">
        <v>16000</v>
      </c>
      <c r="BT192" s="283">
        <v>32000</v>
      </c>
      <c r="BU192" s="283">
        <v>6600</v>
      </c>
      <c r="BV192" s="283">
        <v>22000</v>
      </c>
      <c r="BW192" s="283">
        <v>41500</v>
      </c>
      <c r="BX192" s="283">
        <v>40100</v>
      </c>
      <c r="BY192" s="283">
        <v>40100</v>
      </c>
      <c r="BZ192" s="283">
        <v>34800</v>
      </c>
      <c r="CA192" s="283">
        <v>17200</v>
      </c>
      <c r="CB192" s="283">
        <v>22100</v>
      </c>
      <c r="CC192" s="283">
        <v>14400</v>
      </c>
      <c r="CD192" s="283">
        <v>8600</v>
      </c>
      <c r="CE192" s="283">
        <v>8600</v>
      </c>
      <c r="CF192" s="283">
        <v>4400</v>
      </c>
      <c r="CG192" s="283">
        <v>11175.48</v>
      </c>
      <c r="CH192" s="283">
        <v>13073.4</v>
      </c>
      <c r="CI192" s="283">
        <v>5200</v>
      </c>
      <c r="CJ192" s="283">
        <v>8500</v>
      </c>
      <c r="CK192" s="283">
        <f t="shared" si="19"/>
        <v>8162.23333333333</v>
      </c>
      <c r="CL192" s="370"/>
      <c r="CM192" s="371">
        <f>Summary!$D$8</f>
        <v>724303.229333334</v>
      </c>
      <c r="CN192" s="258">
        <f t="shared" si="23"/>
        <v>0</v>
      </c>
    </row>
    <row r="193" ht="15.6" spans="1:92">
      <c r="A193" s="258" t="s">
        <v>159</v>
      </c>
      <c r="B193" s="258" t="s">
        <v>694</v>
      </c>
      <c r="C193" s="258" t="s">
        <v>230</v>
      </c>
      <c r="D193" s="258" t="s">
        <v>457</v>
      </c>
      <c r="E193" s="258" t="s">
        <v>233</v>
      </c>
      <c r="F193" s="260" t="s">
        <v>58</v>
      </c>
      <c r="G193" s="343"/>
      <c r="H193" s="283">
        <f t="shared" si="25"/>
        <v>24892</v>
      </c>
      <c r="I193" s="292"/>
      <c r="J193" s="351">
        <v>31592</v>
      </c>
      <c r="K193" s="351">
        <v>38548</v>
      </c>
      <c r="L193" s="351">
        <v>38210</v>
      </c>
      <c r="M193" s="351">
        <v>32850</v>
      </c>
      <c r="N193" s="352">
        <v>28871</v>
      </c>
      <c r="O193" s="353">
        <v>50486</v>
      </c>
      <c r="P193" s="353">
        <v>27587</v>
      </c>
      <c r="Q193" s="353">
        <v>29248</v>
      </c>
      <c r="R193" s="353">
        <v>18237</v>
      </c>
      <c r="S193" s="353">
        <v>31048</v>
      </c>
      <c r="T193" s="353">
        <v>39266</v>
      </c>
      <c r="U193" s="353" t="e">
        <f>VLOOKUP(D193,Mid!$A$2:$C$225,2,FALSE)</f>
        <v>#N/A</v>
      </c>
      <c r="V193" s="353">
        <v>39033</v>
      </c>
      <c r="W193" s="353">
        <v>48080</v>
      </c>
      <c r="X193" s="353">
        <v>29949</v>
      </c>
      <c r="Y193" s="353">
        <v>28115</v>
      </c>
      <c r="Z193" s="353">
        <v>38385</v>
      </c>
      <c r="AA193" s="353">
        <v>27488</v>
      </c>
      <c r="AB193" s="353">
        <v>24881</v>
      </c>
      <c r="AC193" s="353">
        <v>32923</v>
      </c>
      <c r="AD193" s="353">
        <v>36451</v>
      </c>
      <c r="AE193" s="353">
        <v>36076</v>
      </c>
      <c r="AF193" s="353">
        <v>31639</v>
      </c>
      <c r="AG193" s="353">
        <v>20642</v>
      </c>
      <c r="AH193" s="353">
        <v>39222</v>
      </c>
      <c r="AI193" s="353">
        <v>57703</v>
      </c>
      <c r="AJ193" s="367">
        <v>48272</v>
      </c>
      <c r="AK193" s="283" t="s">
        <v>2247</v>
      </c>
      <c r="AL193" s="283">
        <v>59156</v>
      </c>
      <c r="AM193" s="283" t="s">
        <v>2248</v>
      </c>
      <c r="AN193" s="283" t="s">
        <v>2249</v>
      </c>
      <c r="AO193" s="283" t="s">
        <v>2250</v>
      </c>
      <c r="AP193" s="283">
        <f>35124*0.1846*2</f>
        <v>12967.7808</v>
      </c>
      <c r="AQ193" s="283">
        <f>40330*0.2306*2</f>
        <v>18600.196</v>
      </c>
      <c r="AR193" s="283" t="s">
        <v>2251</v>
      </c>
      <c r="AS193" s="283" t="s">
        <v>2252</v>
      </c>
      <c r="AT193" s="283" t="s">
        <v>2253</v>
      </c>
      <c r="AU193" s="283" t="s">
        <v>1626</v>
      </c>
      <c r="AV193" s="283" t="s">
        <v>2254</v>
      </c>
      <c r="AW193" s="283">
        <f t="shared" si="18"/>
        <v>34117.3333333333</v>
      </c>
      <c r="AX193" s="283">
        <v>8900</v>
      </c>
      <c r="AY193" s="283">
        <v>7400</v>
      </c>
      <c r="AZ193" s="283">
        <v>4000</v>
      </c>
      <c r="BA193" s="283">
        <v>4700</v>
      </c>
      <c r="BB193" s="283">
        <v>8600</v>
      </c>
      <c r="BC193" s="283">
        <v>7100</v>
      </c>
      <c r="BD193" s="283">
        <v>5000</v>
      </c>
      <c r="BE193" s="283">
        <v>6000</v>
      </c>
      <c r="BF193" s="283">
        <v>13500</v>
      </c>
      <c r="BG193" s="283">
        <v>4800</v>
      </c>
      <c r="BH193" s="283">
        <v>14300</v>
      </c>
      <c r="BI193" s="283" t="e">
        <f>VLOOKUP(D193,Mid!$A$2:$C$225,3,FALSE)</f>
        <v>#N/A</v>
      </c>
      <c r="BJ193" s="283">
        <v>8300</v>
      </c>
      <c r="BK193" s="283">
        <v>10400</v>
      </c>
      <c r="BL193" s="283">
        <v>12300</v>
      </c>
      <c r="BM193" s="283">
        <v>13400</v>
      </c>
      <c r="BN193" s="283">
        <v>9000</v>
      </c>
      <c r="BO193" s="283">
        <v>8400</v>
      </c>
      <c r="BP193" s="283">
        <v>14200</v>
      </c>
      <c r="BQ193" s="283">
        <v>12200</v>
      </c>
      <c r="BR193" s="283">
        <v>46200</v>
      </c>
      <c r="BS193" s="283">
        <v>17800</v>
      </c>
      <c r="BT193" s="283">
        <v>26000</v>
      </c>
      <c r="BU193" s="283">
        <v>37400</v>
      </c>
      <c r="BV193" s="283">
        <v>37400</v>
      </c>
      <c r="BW193" s="283">
        <v>43100</v>
      </c>
      <c r="BX193" s="283">
        <v>7800</v>
      </c>
      <c r="BY193" s="283">
        <v>7800</v>
      </c>
      <c r="BZ193" s="283">
        <v>25118</v>
      </c>
      <c r="CA193" s="283">
        <v>35100</v>
      </c>
      <c r="CB193" s="283">
        <v>10000</v>
      </c>
      <c r="CC193" s="283">
        <v>23300</v>
      </c>
      <c r="CD193" s="283">
        <v>40500</v>
      </c>
      <c r="CE193" s="283">
        <v>40500</v>
      </c>
      <c r="CF193" s="283">
        <v>8400</v>
      </c>
      <c r="CG193" s="283">
        <v>6700</v>
      </c>
      <c r="CH193" s="283">
        <v>6500</v>
      </c>
      <c r="CI193" s="283">
        <v>34300</v>
      </c>
      <c r="CJ193" s="283">
        <v>6300</v>
      </c>
      <c r="CK193" s="283">
        <f t="shared" si="19"/>
        <v>15666.6666666667</v>
      </c>
      <c r="CL193" s="370"/>
      <c r="CM193" s="371">
        <f>Summary!$D$8</f>
        <v>724303.229333334</v>
      </c>
      <c r="CN193" s="258">
        <f t="shared" si="23"/>
        <v>0</v>
      </c>
    </row>
    <row r="194" ht="15.6" spans="1:92">
      <c r="A194" s="258" t="s">
        <v>159</v>
      </c>
      <c r="B194" s="258" t="s">
        <v>694</v>
      </c>
      <c r="C194" s="258" t="s">
        <v>367</v>
      </c>
      <c r="D194" s="258" t="s">
        <v>2255</v>
      </c>
      <c r="E194" s="390" t="s">
        <v>234</v>
      </c>
      <c r="F194" s="260" t="s">
        <v>58</v>
      </c>
      <c r="G194" s="343"/>
      <c r="H194" s="283">
        <f t="shared" si="25"/>
        <v>4933.5</v>
      </c>
      <c r="I194" s="360" t="s">
        <v>1580</v>
      </c>
      <c r="J194" s="351">
        <v>1720</v>
      </c>
      <c r="K194" s="351">
        <v>1405</v>
      </c>
      <c r="L194" s="351">
        <v>1088</v>
      </c>
      <c r="M194" s="351">
        <v>5158</v>
      </c>
      <c r="N194" s="352">
        <v>5664</v>
      </c>
      <c r="O194" s="353">
        <v>4793</v>
      </c>
      <c r="P194" s="353">
        <v>3007</v>
      </c>
      <c r="Q194" s="353">
        <v>2578</v>
      </c>
      <c r="R194" s="353">
        <v>3726</v>
      </c>
      <c r="S194" s="353">
        <v>2932</v>
      </c>
      <c r="T194" s="353">
        <v>2615</v>
      </c>
      <c r="U194" s="353" t="e">
        <f>VLOOKUP(D194,Mid!$A$2:$C$225,2,FALSE)</f>
        <v>#N/A</v>
      </c>
      <c r="V194" s="353">
        <v>6603</v>
      </c>
      <c r="W194" s="353">
        <v>0</v>
      </c>
      <c r="X194" s="353">
        <v>5331</v>
      </c>
      <c r="Y194" s="353">
        <v>6750</v>
      </c>
      <c r="Z194" s="353">
        <v>7211</v>
      </c>
      <c r="AA194" s="353">
        <v>4200</v>
      </c>
      <c r="AB194" s="353">
        <v>335</v>
      </c>
      <c r="AC194" s="353">
        <v>2201</v>
      </c>
      <c r="AD194" s="353">
        <v>6156</v>
      </c>
      <c r="AE194" s="353">
        <v>2063</v>
      </c>
      <c r="AF194" s="353">
        <v>5654</v>
      </c>
      <c r="AG194" s="353">
        <v>6380</v>
      </c>
      <c r="AH194" s="353">
        <v>730</v>
      </c>
      <c r="AI194" s="353">
        <v>6834</v>
      </c>
      <c r="AJ194" s="367">
        <v>2560</v>
      </c>
      <c r="AK194" s="283" t="s">
        <v>2256</v>
      </c>
      <c r="AL194" s="283">
        <v>2550</v>
      </c>
      <c r="AM194" s="283" t="s">
        <v>2257</v>
      </c>
      <c r="AN194" s="283" t="s">
        <v>2258</v>
      </c>
      <c r="AO194" s="283" t="s">
        <v>2259</v>
      </c>
      <c r="AP194" s="283">
        <f>15221*0.0234*2</f>
        <v>712.3428</v>
      </c>
      <c r="AQ194" s="283" t="s">
        <v>2260</v>
      </c>
      <c r="AR194" s="283" t="s">
        <v>2261</v>
      </c>
      <c r="AS194" s="283" t="s">
        <v>2262</v>
      </c>
      <c r="AT194" s="283" t="s">
        <v>2263</v>
      </c>
      <c r="AU194" s="283" t="s">
        <v>2264</v>
      </c>
      <c r="AV194" s="283" t="s">
        <v>2265</v>
      </c>
      <c r="AW194" s="283">
        <f t="shared" si="18"/>
        <v>7881.5</v>
      </c>
      <c r="AX194" s="283">
        <v>2100</v>
      </c>
      <c r="AY194" s="283">
        <v>883</v>
      </c>
      <c r="AZ194" s="283">
        <v>0</v>
      </c>
      <c r="BA194" s="283">
        <v>3700</v>
      </c>
      <c r="BB194" s="283">
        <v>4000</v>
      </c>
      <c r="BC194" s="283">
        <v>4100</v>
      </c>
      <c r="BD194" s="283">
        <v>4300</v>
      </c>
      <c r="BE194" s="283">
        <v>0</v>
      </c>
      <c r="BF194" s="283">
        <v>5100</v>
      </c>
      <c r="BG194" s="283">
        <v>1600</v>
      </c>
      <c r="BH194" s="283">
        <v>4200</v>
      </c>
      <c r="BI194" s="283" t="e">
        <f>VLOOKUP(D194,Mid!$A$2:$C$225,3,FALSE)</f>
        <v>#N/A</v>
      </c>
      <c r="BJ194" s="283">
        <v>7200</v>
      </c>
      <c r="BK194" s="283">
        <v>9600</v>
      </c>
      <c r="BL194" s="283">
        <v>7200</v>
      </c>
      <c r="BM194" s="283">
        <v>10400</v>
      </c>
      <c r="BN194" s="283">
        <v>5900</v>
      </c>
      <c r="BO194" s="283">
        <v>2800</v>
      </c>
      <c r="BP194" s="283">
        <v>4200</v>
      </c>
      <c r="BQ194" s="283">
        <v>2700</v>
      </c>
      <c r="BR194" s="283">
        <v>8900</v>
      </c>
      <c r="BS194" s="283">
        <v>3000</v>
      </c>
      <c r="BT194" s="283">
        <v>0</v>
      </c>
      <c r="BU194" s="283">
        <v>1700</v>
      </c>
      <c r="BV194" s="283">
        <v>1700</v>
      </c>
      <c r="BW194" s="283">
        <v>4300</v>
      </c>
      <c r="BX194" s="283">
        <v>6300</v>
      </c>
      <c r="BY194" s="283">
        <v>6300</v>
      </c>
      <c r="BZ194" s="283">
        <v>7532</v>
      </c>
      <c r="CA194" s="283">
        <v>0</v>
      </c>
      <c r="CB194" s="283">
        <v>7500</v>
      </c>
      <c r="CC194" s="283">
        <v>2100</v>
      </c>
      <c r="CD194" s="283">
        <v>850</v>
      </c>
      <c r="CE194" s="283">
        <v>850</v>
      </c>
      <c r="CF194" s="283">
        <v>439</v>
      </c>
      <c r="CG194" s="283">
        <v>6300</v>
      </c>
      <c r="CH194" s="283">
        <v>513</v>
      </c>
      <c r="CI194" s="283">
        <v>0</v>
      </c>
      <c r="CJ194" s="283">
        <v>3800</v>
      </c>
      <c r="CK194" s="283">
        <f t="shared" si="19"/>
        <v>1985.5</v>
      </c>
      <c r="CL194" s="370"/>
      <c r="CM194" s="371">
        <f>Summary!$D$8</f>
        <v>724303.229333334</v>
      </c>
      <c r="CN194" s="258">
        <f t="shared" si="23"/>
        <v>0</v>
      </c>
    </row>
    <row r="195" customFormat="1" ht="15.6" spans="1:92">
      <c r="A195" s="258" t="s">
        <v>159</v>
      </c>
      <c r="B195" s="258" t="s">
        <v>694</v>
      </c>
      <c r="C195" s="258"/>
      <c r="D195" s="258" t="s">
        <v>2266</v>
      </c>
      <c r="E195" s="390"/>
      <c r="F195" s="260" t="s">
        <v>234</v>
      </c>
      <c r="G195" s="343"/>
      <c r="H195" s="283">
        <f t="shared" si="25"/>
        <v>21194.25</v>
      </c>
      <c r="I195" s="360"/>
      <c r="J195" s="351"/>
      <c r="K195" s="351"/>
      <c r="L195" s="351"/>
      <c r="M195" s="351"/>
      <c r="N195" s="352"/>
      <c r="O195" s="353"/>
      <c r="P195" s="353"/>
      <c r="Q195" s="353"/>
      <c r="R195" s="353"/>
      <c r="S195" s="353"/>
      <c r="T195" s="353"/>
      <c r="U195" s="353"/>
      <c r="V195" s="353"/>
      <c r="W195" s="353"/>
      <c r="X195" s="353"/>
      <c r="Y195" s="353"/>
      <c r="Z195" s="353"/>
      <c r="AA195" s="353"/>
      <c r="AB195" s="353"/>
      <c r="AC195" s="353"/>
      <c r="AD195" s="353"/>
      <c r="AE195" s="353"/>
      <c r="AF195" s="353"/>
      <c r="AG195" s="353"/>
      <c r="AH195" s="353"/>
      <c r="AI195" s="353">
        <v>34395</v>
      </c>
      <c r="AJ195" s="353">
        <v>34020</v>
      </c>
      <c r="AK195" s="283">
        <v>32510</v>
      </c>
      <c r="AL195" s="283">
        <v>30174</v>
      </c>
      <c r="AM195" s="283" t="s">
        <v>2267</v>
      </c>
      <c r="AN195" s="283" t="s">
        <v>2268</v>
      </c>
      <c r="AO195" s="283" t="s">
        <v>2269</v>
      </c>
      <c r="AP195" s="283">
        <v>31018</v>
      </c>
      <c r="AQ195" s="283" t="s">
        <v>2270</v>
      </c>
      <c r="AR195" s="283" t="s">
        <v>2271</v>
      </c>
      <c r="AS195" s="283" t="s">
        <v>2272</v>
      </c>
      <c r="AT195" s="283" t="s">
        <v>2273</v>
      </c>
      <c r="AU195" s="283" t="s">
        <v>2274</v>
      </c>
      <c r="AV195" s="283" t="s">
        <v>2275</v>
      </c>
      <c r="AW195" s="283">
        <f t="shared" ref="AW195:AW258" si="26">SUM(AV195*3+AU195*2+AT195*1)/6</f>
        <v>23688.5</v>
      </c>
      <c r="AX195" s="283"/>
      <c r="AY195" s="283"/>
      <c r="AZ195" s="283"/>
      <c r="BA195" s="283"/>
      <c r="BB195" s="283"/>
      <c r="BC195" s="283"/>
      <c r="BD195" s="283"/>
      <c r="BE195" s="283"/>
      <c r="BF195" s="283"/>
      <c r="BG195" s="283"/>
      <c r="BH195" s="283"/>
      <c r="BI195" s="283"/>
      <c r="BJ195" s="283"/>
      <c r="BK195" s="283"/>
      <c r="BL195" s="283"/>
      <c r="BM195" s="283"/>
      <c r="BN195" s="283"/>
      <c r="BO195" s="283"/>
      <c r="BP195" s="283"/>
      <c r="BQ195" s="283"/>
      <c r="BR195" s="283"/>
      <c r="BS195" s="283"/>
      <c r="BT195" s="283"/>
      <c r="BU195" s="283"/>
      <c r="BV195" s="283"/>
      <c r="BW195" s="283">
        <v>11000</v>
      </c>
      <c r="BX195" s="283">
        <v>43300</v>
      </c>
      <c r="BY195" s="283">
        <v>43300</v>
      </c>
      <c r="BZ195" s="283">
        <v>35900</v>
      </c>
      <c r="CA195" s="283">
        <v>17000</v>
      </c>
      <c r="CB195" s="283">
        <v>17000</v>
      </c>
      <c r="CC195" s="283">
        <v>36700</v>
      </c>
      <c r="CD195" s="283">
        <v>12600</v>
      </c>
      <c r="CE195" s="283">
        <v>12600</v>
      </c>
      <c r="CF195" s="283">
        <v>11531.52</v>
      </c>
      <c r="CG195" s="283">
        <v>17500</v>
      </c>
      <c r="CH195" s="283">
        <v>4700</v>
      </c>
      <c r="CI195" s="283">
        <v>26900</v>
      </c>
      <c r="CJ195" s="283">
        <v>17900</v>
      </c>
      <c r="CK195" s="283">
        <f t="shared" ref="CK195:CK258" si="27">SUM(CJ195*3+CI195*2+CH195*1)/6</f>
        <v>18700</v>
      </c>
      <c r="CL195" s="370"/>
      <c r="CM195" s="371">
        <f>Summary!$D$8</f>
        <v>724303.229333334</v>
      </c>
      <c r="CN195" s="258">
        <f t="shared" si="23"/>
        <v>0</v>
      </c>
    </row>
    <row r="196" customFormat="1" ht="15.6" spans="1:92">
      <c r="A196" s="258" t="s">
        <v>159</v>
      </c>
      <c r="B196" s="258" t="s">
        <v>694</v>
      </c>
      <c r="C196" s="258"/>
      <c r="D196" s="258" t="s">
        <v>2276</v>
      </c>
      <c r="E196" s="390"/>
      <c r="F196" s="260" t="s">
        <v>417</v>
      </c>
      <c r="G196" s="343"/>
      <c r="H196" s="283">
        <f t="shared" si="25"/>
        <v>15568.355</v>
      </c>
      <c r="I196" s="360"/>
      <c r="J196" s="351"/>
      <c r="K196" s="351"/>
      <c r="L196" s="351"/>
      <c r="M196" s="351"/>
      <c r="N196" s="352"/>
      <c r="O196" s="353"/>
      <c r="P196" s="353"/>
      <c r="Q196" s="353"/>
      <c r="R196" s="353"/>
      <c r="S196" s="353"/>
      <c r="T196" s="353"/>
      <c r="U196" s="353"/>
      <c r="V196" s="353"/>
      <c r="W196" s="353"/>
      <c r="X196" s="353"/>
      <c r="Y196" s="353"/>
      <c r="Z196" s="353"/>
      <c r="AA196" s="353"/>
      <c r="AB196" s="353"/>
      <c r="AC196" s="353"/>
      <c r="AD196" s="353"/>
      <c r="AE196" s="353"/>
      <c r="AF196" s="353"/>
      <c r="AG196" s="353"/>
      <c r="AH196" s="353"/>
      <c r="AI196" s="353">
        <v>8149</v>
      </c>
      <c r="AJ196" s="353">
        <v>15506</v>
      </c>
      <c r="AK196" s="283">
        <v>14470</v>
      </c>
      <c r="AL196" s="283">
        <v>17911</v>
      </c>
      <c r="AM196" s="283" t="s">
        <v>2277</v>
      </c>
      <c r="AN196" s="283" t="s">
        <v>2278</v>
      </c>
      <c r="AO196" s="283" t="s">
        <v>2279</v>
      </c>
      <c r="AP196" s="283">
        <v>11807</v>
      </c>
      <c r="AQ196" s="283" t="s">
        <v>2280</v>
      </c>
      <c r="AR196" s="283" t="s">
        <v>2281</v>
      </c>
      <c r="AS196" s="283" t="s">
        <v>2282</v>
      </c>
      <c r="AT196" s="283" t="s">
        <v>2283</v>
      </c>
      <c r="AU196" s="283" t="s">
        <v>2284</v>
      </c>
      <c r="AV196" s="283" t="s">
        <v>2285</v>
      </c>
      <c r="AW196" s="283">
        <f t="shared" si="26"/>
        <v>13812.6666666667</v>
      </c>
      <c r="AX196" s="283"/>
      <c r="AY196" s="283"/>
      <c r="AZ196" s="283"/>
      <c r="BA196" s="283"/>
      <c r="BB196" s="283"/>
      <c r="BC196" s="283"/>
      <c r="BD196" s="283"/>
      <c r="BE196" s="283"/>
      <c r="BF196" s="283"/>
      <c r="BG196" s="283"/>
      <c r="BH196" s="283"/>
      <c r="BI196" s="283"/>
      <c r="BJ196" s="283"/>
      <c r="BK196" s="283"/>
      <c r="BL196" s="283"/>
      <c r="BM196" s="283"/>
      <c r="BN196" s="283"/>
      <c r="BO196" s="283"/>
      <c r="BP196" s="283"/>
      <c r="BQ196" s="283"/>
      <c r="BR196" s="283"/>
      <c r="BS196" s="283"/>
      <c r="BT196" s="283"/>
      <c r="BU196" s="283"/>
      <c r="BV196" s="283"/>
      <c r="BW196" s="283">
        <v>4302</v>
      </c>
      <c r="BX196" s="283">
        <v>15200</v>
      </c>
      <c r="BY196" s="283">
        <v>15200</v>
      </c>
      <c r="BZ196" s="283">
        <v>8000</v>
      </c>
      <c r="CA196" s="283">
        <v>7300</v>
      </c>
      <c r="CB196" s="283">
        <v>7500</v>
      </c>
      <c r="CC196" s="283">
        <v>21300</v>
      </c>
      <c r="CD196" s="283">
        <v>2300</v>
      </c>
      <c r="CE196" s="283">
        <v>2300</v>
      </c>
      <c r="CF196" s="283">
        <v>4400</v>
      </c>
      <c r="CG196" s="283">
        <v>14900</v>
      </c>
      <c r="CH196" s="283">
        <v>16444.26</v>
      </c>
      <c r="CI196" s="283">
        <v>23800</v>
      </c>
      <c r="CJ196" s="283">
        <v>13300</v>
      </c>
      <c r="CK196" s="283">
        <f t="shared" si="27"/>
        <v>17324.0433333333</v>
      </c>
      <c r="CL196" s="370"/>
      <c r="CM196" s="371">
        <f>Summary!$D$8</f>
        <v>724303.229333334</v>
      </c>
      <c r="CN196" s="258">
        <f t="shared" si="23"/>
        <v>0</v>
      </c>
    </row>
    <row r="197" customFormat="1" ht="109.2" spans="1:92">
      <c r="A197" s="258" t="s">
        <v>159</v>
      </c>
      <c r="B197" s="258" t="s">
        <v>694</v>
      </c>
      <c r="C197" s="258" t="s">
        <v>230</v>
      </c>
      <c r="D197" s="258" t="s">
        <v>281</v>
      </c>
      <c r="E197" s="258" t="s">
        <v>233</v>
      </c>
      <c r="F197" s="260" t="s">
        <v>234</v>
      </c>
      <c r="G197" s="343"/>
      <c r="H197" s="283">
        <f t="shared" si="25"/>
        <v>135661.166666667</v>
      </c>
      <c r="I197" s="292" t="s">
        <v>705</v>
      </c>
      <c r="J197" s="351"/>
      <c r="K197" s="351"/>
      <c r="L197" s="351"/>
      <c r="M197" s="351"/>
      <c r="N197" s="352"/>
      <c r="O197" s="353"/>
      <c r="P197" s="353"/>
      <c r="Q197" s="353"/>
      <c r="R197" s="353"/>
      <c r="S197" s="353"/>
      <c r="T197" s="353"/>
      <c r="U197" s="353"/>
      <c r="V197" s="353"/>
      <c r="W197" s="353"/>
      <c r="X197" s="353"/>
      <c r="Y197" s="353"/>
      <c r="Z197" s="353"/>
      <c r="AA197" s="353"/>
      <c r="AB197" s="353"/>
      <c r="AC197" s="353"/>
      <c r="AD197" s="353"/>
      <c r="AE197" s="353"/>
      <c r="AF197" s="353"/>
      <c r="AG197" s="353"/>
      <c r="AH197" s="353"/>
      <c r="AI197" s="353">
        <v>26277</v>
      </c>
      <c r="AJ197" s="353">
        <v>32864</v>
      </c>
      <c r="AK197" s="283">
        <v>53333</v>
      </c>
      <c r="AL197" s="283">
        <v>88944</v>
      </c>
      <c r="AM197" s="283" t="s">
        <v>2286</v>
      </c>
      <c r="AN197" s="283" t="s">
        <v>2287</v>
      </c>
      <c r="AO197" s="283" t="s">
        <v>2288</v>
      </c>
      <c r="AP197" s="283">
        <v>74771</v>
      </c>
      <c r="AQ197" s="283" t="s">
        <v>2289</v>
      </c>
      <c r="AR197" s="283" t="s">
        <v>2290</v>
      </c>
      <c r="AS197" s="283" t="s">
        <v>2291</v>
      </c>
      <c r="AT197" s="283" t="s">
        <v>2292</v>
      </c>
      <c r="AU197" s="283" t="s">
        <v>2293</v>
      </c>
      <c r="AV197" s="283" t="s">
        <v>2294</v>
      </c>
      <c r="AW197" s="283">
        <f t="shared" si="26"/>
        <v>115555.666666667</v>
      </c>
      <c r="AX197" s="283"/>
      <c r="AY197" s="283"/>
      <c r="AZ197" s="283"/>
      <c r="BA197" s="283"/>
      <c r="BB197" s="283"/>
      <c r="BC197" s="283"/>
      <c r="BD197" s="283"/>
      <c r="BE197" s="283"/>
      <c r="BF197" s="283"/>
      <c r="BG197" s="283"/>
      <c r="BH197" s="283"/>
      <c r="BI197" s="283"/>
      <c r="BJ197" s="283"/>
      <c r="BK197" s="283"/>
      <c r="BL197" s="283"/>
      <c r="BM197" s="283"/>
      <c r="BN197" s="283"/>
      <c r="BO197" s="283"/>
      <c r="BP197" s="283"/>
      <c r="BQ197" s="283"/>
      <c r="BR197" s="283"/>
      <c r="BS197" s="283"/>
      <c r="BT197" s="283"/>
      <c r="BU197" s="283"/>
      <c r="BV197" s="283">
        <v>57300</v>
      </c>
      <c r="BW197" s="283">
        <v>695000</v>
      </c>
      <c r="BX197" s="283">
        <v>4600</v>
      </c>
      <c r="BY197" s="283">
        <f>600000*0.08</f>
        <v>48000</v>
      </c>
      <c r="BZ197" s="283">
        <f>526000*0.08</f>
        <v>42080</v>
      </c>
      <c r="CA197" s="283">
        <v>39886</v>
      </c>
      <c r="CB197" s="283">
        <f>751700*0.08</f>
        <v>60136</v>
      </c>
      <c r="CC197" s="283">
        <v>62300</v>
      </c>
      <c r="CD197" s="283">
        <v>22200</v>
      </c>
      <c r="CE197" s="283">
        <f>1300000*0.3717*2*0.08</f>
        <v>77313.6</v>
      </c>
      <c r="CF197" s="283">
        <f>1400000*0.3978*2*0.08</f>
        <v>89107.2</v>
      </c>
      <c r="CG197" s="283">
        <v>105536</v>
      </c>
      <c r="CH197" s="283">
        <v>123700</v>
      </c>
      <c r="CI197" s="283">
        <v>141600</v>
      </c>
      <c r="CJ197" s="283">
        <v>175900</v>
      </c>
      <c r="CK197" s="283">
        <f t="shared" si="27"/>
        <v>155766.666666667</v>
      </c>
      <c r="CL197" s="370"/>
      <c r="CM197" s="371">
        <f>Summary!$D$8</f>
        <v>724303.229333334</v>
      </c>
      <c r="CN197" s="258">
        <f t="shared" si="23"/>
        <v>1</v>
      </c>
    </row>
    <row r="198" customFormat="1" ht="43.95" customHeight="1" spans="1:92">
      <c r="A198" s="258" t="s">
        <v>159</v>
      </c>
      <c r="B198" s="258" t="s">
        <v>694</v>
      </c>
      <c r="C198" s="258"/>
      <c r="D198" s="258" t="s">
        <v>1154</v>
      </c>
      <c r="E198" s="391"/>
      <c r="F198" s="260" t="s">
        <v>234</v>
      </c>
      <c r="G198" s="343"/>
      <c r="H198" s="283">
        <f>(AW198+CK198)/2*0.05</f>
        <v>834.554166666667</v>
      </c>
      <c r="I198" s="292" t="s">
        <v>1155</v>
      </c>
      <c r="J198" s="351"/>
      <c r="K198" s="351"/>
      <c r="L198" s="351"/>
      <c r="M198" s="351"/>
      <c r="N198" s="352"/>
      <c r="O198" s="353"/>
      <c r="P198" s="353"/>
      <c r="Q198" s="353"/>
      <c r="R198" s="353"/>
      <c r="S198" s="353"/>
      <c r="T198" s="353"/>
      <c r="U198" s="353"/>
      <c r="V198" s="353"/>
      <c r="W198" s="353"/>
      <c r="X198" s="353"/>
      <c r="Y198" s="353"/>
      <c r="Z198" s="353"/>
      <c r="AA198" s="353"/>
      <c r="AB198" s="353"/>
      <c r="AC198" s="353"/>
      <c r="AD198" s="353"/>
      <c r="AE198" s="353"/>
      <c r="AF198" s="353"/>
      <c r="AG198" s="353"/>
      <c r="AH198" s="353"/>
      <c r="AI198" s="353">
        <v>68772</v>
      </c>
      <c r="AJ198" s="353">
        <v>58235</v>
      </c>
      <c r="AK198" s="283">
        <v>62835</v>
      </c>
      <c r="AL198" s="283">
        <v>47902</v>
      </c>
      <c r="AM198" s="283" t="s">
        <v>1156</v>
      </c>
      <c r="AN198" s="283" t="s">
        <v>1157</v>
      </c>
      <c r="AO198" s="283" t="s">
        <v>1158</v>
      </c>
      <c r="AP198" s="283">
        <v>53801</v>
      </c>
      <c r="AQ198" s="283" t="s">
        <v>1159</v>
      </c>
      <c r="AR198" s="283" t="s">
        <v>1160</v>
      </c>
      <c r="AS198" s="283" t="s">
        <v>1161</v>
      </c>
      <c r="AT198" s="283" t="s">
        <v>1162</v>
      </c>
      <c r="AU198" s="283" t="s">
        <v>1163</v>
      </c>
      <c r="AV198" s="283" t="s">
        <v>1164</v>
      </c>
      <c r="AW198" s="283">
        <f t="shared" si="26"/>
        <v>26032.1666666667</v>
      </c>
      <c r="AX198" s="283"/>
      <c r="AY198" s="283"/>
      <c r="AZ198" s="283"/>
      <c r="BA198" s="283"/>
      <c r="BB198" s="283"/>
      <c r="BC198" s="283"/>
      <c r="BD198" s="283"/>
      <c r="BE198" s="283"/>
      <c r="BF198" s="283"/>
      <c r="BG198" s="283"/>
      <c r="BH198" s="283"/>
      <c r="BI198" s="283"/>
      <c r="BJ198" s="283"/>
      <c r="BK198" s="283"/>
      <c r="BL198" s="283"/>
      <c r="BM198" s="283"/>
      <c r="BN198" s="283"/>
      <c r="BO198" s="283"/>
      <c r="BP198" s="283"/>
      <c r="BQ198" s="283"/>
      <c r="BR198" s="283"/>
      <c r="BS198" s="283"/>
      <c r="BT198" s="283"/>
      <c r="BU198" s="283"/>
      <c r="BV198" s="283"/>
      <c r="BW198" s="283">
        <v>34000</v>
      </c>
      <c r="BX198" s="283">
        <v>88800</v>
      </c>
      <c r="BY198" s="283">
        <v>88800</v>
      </c>
      <c r="BZ198" s="283">
        <v>26600</v>
      </c>
      <c r="CA198" s="283">
        <v>29800</v>
      </c>
      <c r="CB198" s="283">
        <v>32600</v>
      </c>
      <c r="CC198" s="283">
        <v>73700</v>
      </c>
      <c r="CD198" s="283">
        <v>50400</v>
      </c>
      <c r="CE198" s="283">
        <v>50400</v>
      </c>
      <c r="CF198" s="283">
        <v>14500</v>
      </c>
      <c r="CG198" s="283">
        <v>30300</v>
      </c>
      <c r="CH198" s="283">
        <v>12900</v>
      </c>
      <c r="CI198" s="283">
        <v>4800</v>
      </c>
      <c r="CJ198" s="283">
        <v>7200</v>
      </c>
      <c r="CK198" s="283">
        <f t="shared" si="27"/>
        <v>7350</v>
      </c>
      <c r="CL198" s="370"/>
      <c r="CM198" s="371">
        <f>Summary!$D$8</f>
        <v>724303.229333334</v>
      </c>
      <c r="CN198" s="258">
        <f t="shared" si="23"/>
        <v>0</v>
      </c>
    </row>
    <row r="199" customFormat="1" ht="78" spans="1:92">
      <c r="A199" s="258" t="s">
        <v>159</v>
      </c>
      <c r="B199" s="258" t="s">
        <v>694</v>
      </c>
      <c r="C199" s="258" t="s">
        <v>230</v>
      </c>
      <c r="D199" s="258" t="s">
        <v>2295</v>
      </c>
      <c r="E199" s="258" t="s">
        <v>233</v>
      </c>
      <c r="F199" s="260" t="s">
        <v>234</v>
      </c>
      <c r="G199" s="343"/>
      <c r="H199" s="283">
        <f>(AW199+CK199)/2*0.25</f>
        <v>4330.02625</v>
      </c>
      <c r="I199" s="361" t="s">
        <v>1144</v>
      </c>
      <c r="J199" s="351"/>
      <c r="K199" s="351"/>
      <c r="L199" s="351"/>
      <c r="M199" s="351"/>
      <c r="N199" s="352"/>
      <c r="O199" s="353"/>
      <c r="P199" s="353"/>
      <c r="Q199" s="353"/>
      <c r="R199" s="353"/>
      <c r="S199" s="353"/>
      <c r="T199" s="353"/>
      <c r="U199" s="353"/>
      <c r="V199" s="353"/>
      <c r="W199" s="353"/>
      <c r="X199" s="353"/>
      <c r="Y199" s="353"/>
      <c r="Z199" s="353"/>
      <c r="AA199" s="353"/>
      <c r="AB199" s="353"/>
      <c r="AC199" s="353"/>
      <c r="AD199" s="353"/>
      <c r="AE199" s="353"/>
      <c r="AF199" s="353"/>
      <c r="AG199" s="353"/>
      <c r="AH199" s="353"/>
      <c r="AI199" s="353">
        <v>20825</v>
      </c>
      <c r="AJ199" s="353">
        <v>14882</v>
      </c>
      <c r="AK199" s="283">
        <v>32597</v>
      </c>
      <c r="AL199" s="283">
        <v>36600</v>
      </c>
      <c r="AM199" s="283" t="s">
        <v>2296</v>
      </c>
      <c r="AN199" s="283" t="s">
        <v>2297</v>
      </c>
      <c r="AO199" s="283" t="s">
        <v>2298</v>
      </c>
      <c r="AP199" s="283">
        <f>33800*0.1078*2</f>
        <v>7287.28</v>
      </c>
      <c r="AQ199" s="283" t="s">
        <v>2299</v>
      </c>
      <c r="AR199" s="283" t="s">
        <v>2300</v>
      </c>
      <c r="AS199" s="283" t="s">
        <v>2301</v>
      </c>
      <c r="AT199" s="283" t="s">
        <v>2302</v>
      </c>
      <c r="AU199" s="283" t="s">
        <v>2303</v>
      </c>
      <c r="AV199" s="283" t="s">
        <v>2304</v>
      </c>
      <c r="AW199" s="283">
        <f t="shared" si="26"/>
        <v>12092.8333333333</v>
      </c>
      <c r="AX199" s="283"/>
      <c r="AY199" s="283"/>
      <c r="AZ199" s="283"/>
      <c r="BA199" s="283"/>
      <c r="BB199" s="283"/>
      <c r="BC199" s="283"/>
      <c r="BD199" s="283"/>
      <c r="BE199" s="283"/>
      <c r="BF199" s="283"/>
      <c r="BG199" s="283"/>
      <c r="BH199" s="283"/>
      <c r="BI199" s="283"/>
      <c r="BJ199" s="283"/>
      <c r="BK199" s="283"/>
      <c r="BL199" s="283"/>
      <c r="BM199" s="283"/>
      <c r="BN199" s="283"/>
      <c r="BO199" s="283"/>
      <c r="BP199" s="283"/>
      <c r="BQ199" s="283"/>
      <c r="BR199" s="283"/>
      <c r="BS199" s="283"/>
      <c r="BT199" s="283"/>
      <c r="BU199" s="283"/>
      <c r="BV199" s="283"/>
      <c r="BW199" s="283">
        <v>100000</v>
      </c>
      <c r="BX199" s="283">
        <v>22811.5384615385</v>
      </c>
      <c r="BY199" s="283">
        <v>17480.7692307692</v>
      </c>
      <c r="BZ199" s="283">
        <v>12721.1538461538</v>
      </c>
      <c r="CA199" s="283">
        <v>0</v>
      </c>
      <c r="CB199" s="283">
        <v>0</v>
      </c>
      <c r="CC199" s="283">
        <v>7100</v>
      </c>
      <c r="CD199" s="283">
        <f>74000*0.17</f>
        <v>12580</v>
      </c>
      <c r="CE199" s="283">
        <f>87200*0.17</f>
        <v>14824</v>
      </c>
      <c r="CF199" s="283">
        <f>163500*0.17</f>
        <v>27795</v>
      </c>
      <c r="CG199" s="283">
        <v>13600</v>
      </c>
      <c r="CH199" s="283">
        <v>3078.16</v>
      </c>
      <c r="CI199" s="283">
        <f>132300*0.3414*2*0.25</f>
        <v>22583.61</v>
      </c>
      <c r="CJ199" s="283">
        <f>137600*0.25*0.4217*2</f>
        <v>29012.96</v>
      </c>
      <c r="CK199" s="283">
        <f t="shared" si="27"/>
        <v>22547.3766666667</v>
      </c>
      <c r="CL199" s="370"/>
      <c r="CM199" s="371">
        <f>Summary!$D$8</f>
        <v>724303.229333334</v>
      </c>
      <c r="CN199" s="258">
        <f t="shared" si="23"/>
        <v>0</v>
      </c>
    </row>
    <row r="200" customFormat="1" ht="15.6" spans="1:92">
      <c r="A200" s="258" t="s">
        <v>159</v>
      </c>
      <c r="B200" s="258" t="s">
        <v>694</v>
      </c>
      <c r="C200" s="258" t="s">
        <v>243</v>
      </c>
      <c r="D200" s="258" t="s">
        <v>401</v>
      </c>
      <c r="E200" s="390" t="s">
        <v>233</v>
      </c>
      <c r="F200" s="260" t="s">
        <v>266</v>
      </c>
      <c r="G200" s="343"/>
      <c r="H200" s="283">
        <f t="shared" ref="H199:H204" si="28">(AW200+CK200)/2</f>
        <v>13399.8333333333</v>
      </c>
      <c r="I200" s="360" t="s">
        <v>2305</v>
      </c>
      <c r="J200" s="351"/>
      <c r="K200" s="351"/>
      <c r="L200" s="351"/>
      <c r="M200" s="351"/>
      <c r="N200" s="352"/>
      <c r="O200" s="353"/>
      <c r="P200" s="353"/>
      <c r="Q200" s="353"/>
      <c r="R200" s="353"/>
      <c r="S200" s="353"/>
      <c r="T200" s="353"/>
      <c r="U200" s="353"/>
      <c r="V200" s="353"/>
      <c r="W200" s="353"/>
      <c r="X200" s="353"/>
      <c r="Y200" s="353"/>
      <c r="Z200" s="353"/>
      <c r="AA200" s="353"/>
      <c r="AB200" s="353"/>
      <c r="AC200" s="353"/>
      <c r="AD200" s="353"/>
      <c r="AE200" s="353"/>
      <c r="AF200" s="353"/>
      <c r="AG200" s="353"/>
      <c r="AH200" s="353"/>
      <c r="AI200" s="353">
        <v>56834</v>
      </c>
      <c r="AJ200" s="353">
        <v>21060</v>
      </c>
      <c r="AK200" s="283">
        <v>27945</v>
      </c>
      <c r="AL200" s="283">
        <v>60662</v>
      </c>
      <c r="AM200" s="283" t="s">
        <v>2306</v>
      </c>
      <c r="AN200" s="283" t="s">
        <v>2307</v>
      </c>
      <c r="AO200" s="283" t="s">
        <v>2308</v>
      </c>
      <c r="AP200" s="283">
        <f>34390*0.2389*2</f>
        <v>16431.542</v>
      </c>
      <c r="AQ200" s="283" t="s">
        <v>2309</v>
      </c>
      <c r="AR200" s="283" t="s">
        <v>2310</v>
      </c>
      <c r="AS200" s="283" t="s">
        <v>2311</v>
      </c>
      <c r="AT200" s="283" t="s">
        <v>2312</v>
      </c>
      <c r="AU200" s="283" t="s">
        <v>2313</v>
      </c>
      <c r="AV200" s="283" t="s">
        <v>2314</v>
      </c>
      <c r="AW200" s="283">
        <f t="shared" si="26"/>
        <v>15599.6666666667</v>
      </c>
      <c r="AX200" s="283"/>
      <c r="AY200" s="283"/>
      <c r="AZ200" s="283"/>
      <c r="BA200" s="283"/>
      <c r="BB200" s="283"/>
      <c r="BC200" s="283"/>
      <c r="BD200" s="283"/>
      <c r="BE200" s="283"/>
      <c r="BF200" s="283"/>
      <c r="BG200" s="283"/>
      <c r="BH200" s="283"/>
      <c r="BI200" s="283"/>
      <c r="BJ200" s="283"/>
      <c r="BK200" s="283"/>
      <c r="BL200" s="283"/>
      <c r="BM200" s="283"/>
      <c r="BN200" s="283"/>
      <c r="BO200" s="283"/>
      <c r="BP200" s="283"/>
      <c r="BQ200" s="283"/>
      <c r="BR200" s="283"/>
      <c r="BS200" s="283"/>
      <c r="BT200" s="283"/>
      <c r="BU200" s="283"/>
      <c r="BV200" s="283"/>
      <c r="BW200" s="283">
        <v>23000</v>
      </c>
      <c r="BX200" s="283">
        <v>27100</v>
      </c>
      <c r="BY200" s="283">
        <v>27100</v>
      </c>
      <c r="BZ200" s="283">
        <v>35600</v>
      </c>
      <c r="CA200" s="283">
        <v>26700</v>
      </c>
      <c r="CB200" s="283">
        <v>16800</v>
      </c>
      <c r="CC200" s="283">
        <v>16100</v>
      </c>
      <c r="CD200" s="283">
        <v>3000</v>
      </c>
      <c r="CE200" s="283">
        <v>3000</v>
      </c>
      <c r="CF200" s="283">
        <v>1300</v>
      </c>
      <c r="CG200" s="283">
        <v>1700</v>
      </c>
      <c r="CH200" s="283">
        <v>5200</v>
      </c>
      <c r="CI200" s="283">
        <v>1900</v>
      </c>
      <c r="CJ200" s="283">
        <v>19400</v>
      </c>
      <c r="CK200" s="283">
        <f t="shared" si="27"/>
        <v>11200</v>
      </c>
      <c r="CL200" s="370"/>
      <c r="CM200" s="371">
        <f>Summary!$D$8</f>
        <v>724303.229333334</v>
      </c>
      <c r="CN200" s="258">
        <f t="shared" si="23"/>
        <v>0</v>
      </c>
    </row>
    <row r="201" ht="15.6" spans="1:92">
      <c r="A201" s="258" t="s">
        <v>159</v>
      </c>
      <c r="B201" s="258" t="s">
        <v>694</v>
      </c>
      <c r="C201" s="258" t="s">
        <v>230</v>
      </c>
      <c r="D201" s="258" t="s">
        <v>2315</v>
      </c>
      <c r="E201" s="258" t="s">
        <v>234</v>
      </c>
      <c r="F201" s="260" t="s">
        <v>60</v>
      </c>
      <c r="G201" s="343"/>
      <c r="H201" s="283">
        <f t="shared" si="28"/>
        <v>655.75</v>
      </c>
      <c r="I201" s="360"/>
      <c r="J201" s="357">
        <v>0</v>
      </c>
      <c r="K201" s="357">
        <v>0</v>
      </c>
      <c r="L201" s="357">
        <v>0</v>
      </c>
      <c r="M201" s="357">
        <v>0</v>
      </c>
      <c r="N201" s="358">
        <v>0</v>
      </c>
      <c r="O201" s="359">
        <v>0</v>
      </c>
      <c r="P201" s="359">
        <v>0</v>
      </c>
      <c r="Q201" s="359">
        <v>0</v>
      </c>
      <c r="R201" s="359">
        <v>0</v>
      </c>
      <c r="S201" s="359">
        <v>0</v>
      </c>
      <c r="T201" s="359">
        <v>0</v>
      </c>
      <c r="U201" s="353" t="e">
        <f>VLOOKUP(D201,Mid!$A$2:$C$225,2,FALSE)</f>
        <v>#N/A</v>
      </c>
      <c r="V201" s="353">
        <v>0</v>
      </c>
      <c r="W201" s="353">
        <v>0</v>
      </c>
      <c r="X201" s="353">
        <v>0</v>
      </c>
      <c r="Y201" s="353">
        <v>0</v>
      </c>
      <c r="Z201" s="353">
        <v>0</v>
      </c>
      <c r="AA201" s="353">
        <v>0</v>
      </c>
      <c r="AB201" s="353">
        <v>0</v>
      </c>
      <c r="AC201" s="353">
        <v>0</v>
      </c>
      <c r="AD201" s="353">
        <v>0</v>
      </c>
      <c r="AE201" s="353">
        <v>0</v>
      </c>
      <c r="AF201" s="353">
        <v>0</v>
      </c>
      <c r="AG201" s="353">
        <v>0</v>
      </c>
      <c r="AH201" s="353">
        <v>0</v>
      </c>
      <c r="AI201" s="353">
        <v>0</v>
      </c>
      <c r="AJ201" s="353">
        <v>7467</v>
      </c>
      <c r="AK201" s="283">
        <v>11924</v>
      </c>
      <c r="AL201" s="283">
        <v>3214</v>
      </c>
      <c r="AM201" s="283" t="s">
        <v>2316</v>
      </c>
      <c r="AN201" s="283" t="s">
        <v>795</v>
      </c>
      <c r="AO201" s="283" t="s">
        <v>2317</v>
      </c>
      <c r="AP201" s="283">
        <v>12219</v>
      </c>
      <c r="AQ201" s="283" t="s">
        <v>2318</v>
      </c>
      <c r="AR201" s="283" t="s">
        <v>2319</v>
      </c>
      <c r="AS201" s="283" t="s">
        <v>2320</v>
      </c>
      <c r="AT201" s="283" t="s">
        <v>2321</v>
      </c>
      <c r="AU201" s="283" t="s">
        <v>795</v>
      </c>
      <c r="AV201" s="283" t="s">
        <v>796</v>
      </c>
      <c r="AW201" s="283">
        <f t="shared" si="26"/>
        <v>676</v>
      </c>
      <c r="AX201" s="283">
        <v>0</v>
      </c>
      <c r="AY201" s="283">
        <v>0</v>
      </c>
      <c r="AZ201" s="283">
        <v>0</v>
      </c>
      <c r="BA201" s="283">
        <v>0</v>
      </c>
      <c r="BB201" s="283">
        <v>0</v>
      </c>
      <c r="BC201" s="283">
        <v>0</v>
      </c>
      <c r="BD201" s="283">
        <v>0</v>
      </c>
      <c r="BE201" s="283">
        <v>0</v>
      </c>
      <c r="BF201" s="283">
        <v>4400</v>
      </c>
      <c r="BG201" s="283">
        <v>323</v>
      </c>
      <c r="BH201" s="283">
        <v>3200</v>
      </c>
      <c r="BI201" s="283" t="e">
        <f>VLOOKUP(D201,Mid!$A$2:$C$225,3,FALSE)</f>
        <v>#N/A</v>
      </c>
      <c r="BJ201" s="283">
        <v>5000</v>
      </c>
      <c r="BK201" s="283">
        <v>4400</v>
      </c>
      <c r="BL201" s="283">
        <v>606</v>
      </c>
      <c r="BM201" s="283">
        <v>4600</v>
      </c>
      <c r="BN201" s="283">
        <v>3800</v>
      </c>
      <c r="BO201" s="283">
        <v>5400</v>
      </c>
      <c r="BP201" s="283">
        <v>1700</v>
      </c>
      <c r="BQ201" s="283">
        <v>1500</v>
      </c>
      <c r="BR201" s="283">
        <v>5900</v>
      </c>
      <c r="BS201" s="283">
        <v>1500</v>
      </c>
      <c r="BT201" s="283">
        <v>2600</v>
      </c>
      <c r="BU201" s="283">
        <v>1400</v>
      </c>
      <c r="BV201" s="283">
        <v>1500</v>
      </c>
      <c r="BW201" s="283">
        <v>3400</v>
      </c>
      <c r="BX201" s="283">
        <v>3200</v>
      </c>
      <c r="BY201" s="283">
        <v>3200</v>
      </c>
      <c r="BZ201" s="283">
        <v>0</v>
      </c>
      <c r="CA201" s="283">
        <v>3400</v>
      </c>
      <c r="CB201" s="283">
        <v>4800</v>
      </c>
      <c r="CC201" s="283">
        <v>4100</v>
      </c>
      <c r="CD201" s="283">
        <v>806</v>
      </c>
      <c r="CE201" s="283">
        <v>806</v>
      </c>
      <c r="CF201" s="283">
        <v>38400</v>
      </c>
      <c r="CG201" s="283">
        <v>1100</v>
      </c>
      <c r="CH201" s="283">
        <v>513</v>
      </c>
      <c r="CI201" s="283">
        <v>0</v>
      </c>
      <c r="CJ201" s="283">
        <v>1100</v>
      </c>
      <c r="CK201" s="283">
        <f t="shared" si="27"/>
        <v>635.5</v>
      </c>
      <c r="CL201" s="370"/>
      <c r="CM201" s="371">
        <f>Summary!$D$8</f>
        <v>724303.229333334</v>
      </c>
      <c r="CN201" s="258">
        <f t="shared" si="23"/>
        <v>0</v>
      </c>
    </row>
    <row r="202" ht="15.6" spans="1:92">
      <c r="A202" s="258" t="s">
        <v>159</v>
      </c>
      <c r="B202" s="258" t="s">
        <v>694</v>
      </c>
      <c r="C202" s="258" t="s">
        <v>230</v>
      </c>
      <c r="D202" s="258" t="s">
        <v>2322</v>
      </c>
      <c r="E202" s="258" t="s">
        <v>234</v>
      </c>
      <c r="F202" s="260" t="s">
        <v>60</v>
      </c>
      <c r="G202" s="343"/>
      <c r="H202" s="283">
        <f t="shared" si="28"/>
        <v>2663.75</v>
      </c>
      <c r="I202" s="360" t="s">
        <v>2323</v>
      </c>
      <c r="J202" s="357">
        <v>0</v>
      </c>
      <c r="K202" s="357">
        <v>0</v>
      </c>
      <c r="L202" s="357">
        <v>0</v>
      </c>
      <c r="M202" s="357">
        <v>0</v>
      </c>
      <c r="N202" s="358">
        <v>0</v>
      </c>
      <c r="O202" s="359">
        <v>0</v>
      </c>
      <c r="P202" s="359">
        <v>0</v>
      </c>
      <c r="Q202" s="359">
        <v>0</v>
      </c>
      <c r="R202" s="359">
        <v>9726</v>
      </c>
      <c r="S202" s="359">
        <v>0</v>
      </c>
      <c r="T202" s="359">
        <v>0</v>
      </c>
      <c r="U202" s="353" t="e">
        <f>VLOOKUP(D202,Mid!$A$2:$C$225,2,FALSE)</f>
        <v>#N/A</v>
      </c>
      <c r="V202" s="353">
        <v>0</v>
      </c>
      <c r="W202" s="353">
        <v>0</v>
      </c>
      <c r="X202" s="353">
        <v>0</v>
      </c>
      <c r="Y202" s="353">
        <v>0</v>
      </c>
      <c r="Z202" s="353">
        <v>0</v>
      </c>
      <c r="AA202" s="353">
        <v>0</v>
      </c>
      <c r="AB202" s="353">
        <v>0</v>
      </c>
      <c r="AC202" s="353">
        <v>0</v>
      </c>
      <c r="AD202" s="353">
        <v>0</v>
      </c>
      <c r="AE202" s="353">
        <v>0</v>
      </c>
      <c r="AF202" s="353">
        <v>0</v>
      </c>
      <c r="AG202" s="353">
        <v>0</v>
      </c>
      <c r="AH202" s="353">
        <v>0</v>
      </c>
      <c r="AI202" s="353">
        <v>0</v>
      </c>
      <c r="AJ202" s="353">
        <v>5013</v>
      </c>
      <c r="AK202" s="283">
        <v>5883</v>
      </c>
      <c r="AL202" s="283">
        <v>7121</v>
      </c>
      <c r="AM202" s="283" t="s">
        <v>2324</v>
      </c>
      <c r="AN202" s="283" t="s">
        <v>2325</v>
      </c>
      <c r="AO202" s="283" t="s">
        <v>2326</v>
      </c>
      <c r="AP202" s="283">
        <f>14577*0.0242*2</f>
        <v>705.5268</v>
      </c>
      <c r="AQ202" s="283" t="s">
        <v>2327</v>
      </c>
      <c r="AR202" s="283" t="s">
        <v>2328</v>
      </c>
      <c r="AS202" s="283" t="s">
        <v>2329</v>
      </c>
      <c r="AT202" s="283" t="s">
        <v>2330</v>
      </c>
      <c r="AU202" s="283" t="s">
        <v>2331</v>
      </c>
      <c r="AV202" s="283" t="s">
        <v>2332</v>
      </c>
      <c r="AW202" s="283">
        <f t="shared" si="26"/>
        <v>4770.83333333333</v>
      </c>
      <c r="AX202" s="283">
        <v>809</v>
      </c>
      <c r="AY202" s="283">
        <v>1900</v>
      </c>
      <c r="AZ202" s="283">
        <v>2100</v>
      </c>
      <c r="BA202" s="283">
        <v>2700</v>
      </c>
      <c r="BB202" s="283">
        <v>4200</v>
      </c>
      <c r="BC202" s="283">
        <v>1300</v>
      </c>
      <c r="BD202" s="283">
        <v>3200</v>
      </c>
      <c r="BE202" s="283">
        <v>0</v>
      </c>
      <c r="BF202" s="283">
        <v>8300</v>
      </c>
      <c r="BG202" s="283">
        <v>2000</v>
      </c>
      <c r="BH202" s="283">
        <v>1200</v>
      </c>
      <c r="BI202" s="283" t="e">
        <f>VLOOKUP(D202,Mid!$A$2:$C$225,3,FALSE)</f>
        <v>#N/A</v>
      </c>
      <c r="BJ202" s="283">
        <v>2500</v>
      </c>
      <c r="BK202" s="283">
        <v>2300</v>
      </c>
      <c r="BL202" s="283">
        <v>2100</v>
      </c>
      <c r="BM202" s="283">
        <v>14000</v>
      </c>
      <c r="BN202" s="283">
        <v>4600</v>
      </c>
      <c r="BO202" s="283">
        <v>2600</v>
      </c>
      <c r="BP202" s="283">
        <v>7000</v>
      </c>
      <c r="BQ202" s="283">
        <v>2500</v>
      </c>
      <c r="BR202" s="283">
        <v>1500</v>
      </c>
      <c r="BS202" s="283">
        <v>2500</v>
      </c>
      <c r="BT202" s="283">
        <v>2100</v>
      </c>
      <c r="BU202" s="283">
        <v>1300</v>
      </c>
      <c r="BV202" s="283">
        <v>69</v>
      </c>
      <c r="BW202" s="283">
        <v>615</v>
      </c>
      <c r="BX202" s="283">
        <v>3300</v>
      </c>
      <c r="BY202" s="283">
        <v>3300</v>
      </c>
      <c r="BZ202" s="283">
        <v>0</v>
      </c>
      <c r="CA202" s="283">
        <v>4000</v>
      </c>
      <c r="CB202" s="283">
        <v>769</v>
      </c>
      <c r="CC202" s="283">
        <v>0</v>
      </c>
      <c r="CD202" s="283">
        <v>0</v>
      </c>
      <c r="CE202" s="283">
        <v>0</v>
      </c>
      <c r="CF202" s="283">
        <v>2600</v>
      </c>
      <c r="CG202" s="283">
        <v>2600</v>
      </c>
      <c r="CH202" s="283">
        <v>0</v>
      </c>
      <c r="CI202" s="283">
        <v>851</v>
      </c>
      <c r="CJ202" s="283">
        <v>546</v>
      </c>
      <c r="CK202" s="283">
        <f t="shared" si="27"/>
        <v>556.666666666667</v>
      </c>
      <c r="CL202" s="370"/>
      <c r="CM202" s="371">
        <f>Summary!$D$8</f>
        <v>724303.229333334</v>
      </c>
      <c r="CN202" s="258">
        <f t="shared" si="23"/>
        <v>0</v>
      </c>
    </row>
    <row r="203" ht="15.6" spans="1:92">
      <c r="A203" s="258" t="s">
        <v>159</v>
      </c>
      <c r="B203" s="258" t="s">
        <v>694</v>
      </c>
      <c r="C203" s="258" t="s">
        <v>230</v>
      </c>
      <c r="D203" s="258" t="s">
        <v>2333</v>
      </c>
      <c r="E203" s="258" t="s">
        <v>233</v>
      </c>
      <c r="F203" s="260" t="s">
        <v>49</v>
      </c>
      <c r="G203" s="343"/>
      <c r="H203" s="283">
        <f t="shared" si="28"/>
        <v>821.416666666667</v>
      </c>
      <c r="I203" s="260"/>
      <c r="J203" s="357">
        <v>0</v>
      </c>
      <c r="K203" s="357">
        <v>0</v>
      </c>
      <c r="L203" s="357">
        <v>0</v>
      </c>
      <c r="M203" s="357">
        <v>0</v>
      </c>
      <c r="N203" s="358">
        <v>0</v>
      </c>
      <c r="O203" s="359">
        <v>0</v>
      </c>
      <c r="P203" s="359">
        <v>0</v>
      </c>
      <c r="Q203" s="359">
        <v>0</v>
      </c>
      <c r="R203" s="359">
        <v>0</v>
      </c>
      <c r="S203" s="359">
        <v>0</v>
      </c>
      <c r="T203" s="359">
        <v>0</v>
      </c>
      <c r="U203" s="353" t="e">
        <f>VLOOKUP(D203,Mid!$A$2:$C$225,2,FALSE)</f>
        <v>#N/A</v>
      </c>
      <c r="V203" s="353">
        <v>0</v>
      </c>
      <c r="W203" s="353">
        <v>0</v>
      </c>
      <c r="X203" s="353">
        <v>0</v>
      </c>
      <c r="Y203" s="353">
        <v>0</v>
      </c>
      <c r="Z203" s="353">
        <v>0</v>
      </c>
      <c r="AA203" s="353">
        <v>0</v>
      </c>
      <c r="AB203" s="353">
        <v>0</v>
      </c>
      <c r="AC203" s="353">
        <v>0</v>
      </c>
      <c r="AD203" s="353">
        <v>0</v>
      </c>
      <c r="AE203" s="353">
        <v>0</v>
      </c>
      <c r="AF203" s="353">
        <v>0</v>
      </c>
      <c r="AG203" s="353">
        <v>0</v>
      </c>
      <c r="AH203" s="353">
        <v>0</v>
      </c>
      <c r="AI203" s="353">
        <v>0</v>
      </c>
      <c r="AJ203" s="353">
        <v>0</v>
      </c>
      <c r="AK203" s="283">
        <v>0</v>
      </c>
      <c r="AL203" s="283">
        <v>857</v>
      </c>
      <c r="AM203" s="283" t="s">
        <v>2334</v>
      </c>
      <c r="AN203" s="283" t="s">
        <v>796</v>
      </c>
      <c r="AO203" s="283" t="s">
        <v>796</v>
      </c>
      <c r="AP203" s="283">
        <v>2500</v>
      </c>
      <c r="AQ203" s="283" t="s">
        <v>2335</v>
      </c>
      <c r="AR203" s="283" t="s">
        <v>796</v>
      </c>
      <c r="AS203" s="283" t="s">
        <v>2336</v>
      </c>
      <c r="AT203" s="283" t="s">
        <v>2337</v>
      </c>
      <c r="AU203" s="283" t="s">
        <v>2338</v>
      </c>
      <c r="AV203" s="283" t="s">
        <v>2339</v>
      </c>
      <c r="AW203" s="283">
        <f t="shared" si="26"/>
        <v>1557.33333333333</v>
      </c>
      <c r="AX203" s="283">
        <v>0</v>
      </c>
      <c r="AY203" s="283">
        <v>0</v>
      </c>
      <c r="AZ203" s="283">
        <v>0</v>
      </c>
      <c r="BA203" s="283">
        <v>0</v>
      </c>
      <c r="BB203" s="283">
        <v>0</v>
      </c>
      <c r="BC203" s="283">
        <v>0</v>
      </c>
      <c r="BD203" s="283">
        <v>0</v>
      </c>
      <c r="BE203" s="283">
        <v>0</v>
      </c>
      <c r="BF203" s="283">
        <v>0</v>
      </c>
      <c r="BG203" s="283">
        <v>1300</v>
      </c>
      <c r="BH203" s="283">
        <v>1100</v>
      </c>
      <c r="BI203" s="283" t="e">
        <f>VLOOKUP(D203,Mid!$A$2:$C$225,3,FALSE)</f>
        <v>#N/A</v>
      </c>
      <c r="BJ203" s="283">
        <v>0</v>
      </c>
      <c r="BK203" s="283">
        <v>0</v>
      </c>
      <c r="BL203" s="283">
        <v>0</v>
      </c>
      <c r="BM203" s="283">
        <v>2500</v>
      </c>
      <c r="BN203" s="283">
        <v>10100</v>
      </c>
      <c r="BO203" s="283">
        <v>343</v>
      </c>
      <c r="BP203" s="283">
        <v>0</v>
      </c>
      <c r="BQ203" s="283">
        <v>1400</v>
      </c>
      <c r="BR203" s="283">
        <v>0</v>
      </c>
      <c r="BS203" s="283">
        <v>1300</v>
      </c>
      <c r="BT203" s="283">
        <v>0</v>
      </c>
      <c r="BU203" s="283">
        <v>3400</v>
      </c>
      <c r="BV203" s="283">
        <v>0</v>
      </c>
      <c r="BW203" s="283">
        <v>0</v>
      </c>
      <c r="BX203" s="283">
        <v>0</v>
      </c>
      <c r="BY203" s="283">
        <v>0</v>
      </c>
      <c r="BZ203" s="283">
        <v>0</v>
      </c>
      <c r="CA203" s="283">
        <v>1400</v>
      </c>
      <c r="CB203" s="283">
        <v>1600</v>
      </c>
      <c r="CC203" s="283">
        <v>1600</v>
      </c>
      <c r="CD203" s="283">
        <v>1900</v>
      </c>
      <c r="CE203" s="283">
        <v>1900</v>
      </c>
      <c r="CF203" s="283">
        <v>0</v>
      </c>
      <c r="CG203" s="283">
        <v>0</v>
      </c>
      <c r="CH203" s="283">
        <v>513</v>
      </c>
      <c r="CI203" s="283">
        <v>0</v>
      </c>
      <c r="CJ203" s="283">
        <v>0</v>
      </c>
      <c r="CK203" s="283">
        <f t="shared" si="27"/>
        <v>85.5</v>
      </c>
      <c r="CL203" s="370"/>
      <c r="CM203" s="371">
        <f>Summary!$D$8</f>
        <v>724303.229333334</v>
      </c>
      <c r="CN203" s="258">
        <f t="shared" si="23"/>
        <v>0</v>
      </c>
    </row>
    <row r="204" ht="15.6" spans="1:92">
      <c r="A204" s="258" t="s">
        <v>165</v>
      </c>
      <c r="B204" s="258" t="s">
        <v>672</v>
      </c>
      <c r="C204" s="258" t="s">
        <v>2340</v>
      </c>
      <c r="D204" s="342" t="s">
        <v>577</v>
      </c>
      <c r="E204" s="258" t="s">
        <v>441</v>
      </c>
      <c r="F204" s="260" t="s">
        <v>234</v>
      </c>
      <c r="G204" s="343"/>
      <c r="H204" s="283">
        <f t="shared" si="28"/>
        <v>718429.083333333</v>
      </c>
      <c r="I204" s="292"/>
      <c r="J204" s="351">
        <v>307868</v>
      </c>
      <c r="K204" s="351">
        <v>321114</v>
      </c>
      <c r="L204" s="351">
        <v>285285</v>
      </c>
      <c r="M204" s="351">
        <v>366579</v>
      </c>
      <c r="N204" s="352">
        <v>321569</v>
      </c>
      <c r="O204" s="353">
        <v>372849</v>
      </c>
      <c r="P204" s="353">
        <v>345616</v>
      </c>
      <c r="Q204" s="353">
        <v>391138</v>
      </c>
      <c r="R204" s="353">
        <v>376839</v>
      </c>
      <c r="S204" s="353">
        <v>367556</v>
      </c>
      <c r="T204" s="353">
        <v>346079</v>
      </c>
      <c r="U204" s="353">
        <f>VLOOKUP(D204,Mid!$A$2:$C$225,2,FALSE)</f>
        <v>367605</v>
      </c>
      <c r="V204" s="353">
        <v>353693</v>
      </c>
      <c r="W204" s="353">
        <v>390153</v>
      </c>
      <c r="X204" s="353">
        <v>302878</v>
      </c>
      <c r="Y204" s="353">
        <v>375630</v>
      </c>
      <c r="Z204" s="353">
        <v>330762</v>
      </c>
      <c r="AA204" s="353">
        <v>341348</v>
      </c>
      <c r="AB204" s="353">
        <v>351431</v>
      </c>
      <c r="AC204" s="353">
        <v>372858</v>
      </c>
      <c r="AD204" s="353">
        <v>452470</v>
      </c>
      <c r="AE204" s="353">
        <v>438167</v>
      </c>
      <c r="AF204" s="353">
        <v>1114000</v>
      </c>
      <c r="AG204" s="353">
        <v>883264</v>
      </c>
      <c r="AH204" s="353">
        <v>510691</v>
      </c>
      <c r="AI204" s="353">
        <v>466464</v>
      </c>
      <c r="AJ204" s="367">
        <v>477606</v>
      </c>
      <c r="AK204" s="283" t="s">
        <v>2341</v>
      </c>
      <c r="AL204" s="283">
        <v>514079</v>
      </c>
      <c r="AM204" s="283" t="s">
        <v>2342</v>
      </c>
      <c r="AN204" s="283" t="s">
        <v>2343</v>
      </c>
      <c r="AO204" s="283" t="s">
        <v>2344</v>
      </c>
      <c r="AP204" s="283">
        <v>513236</v>
      </c>
      <c r="AQ204" s="283" t="s">
        <v>2345</v>
      </c>
      <c r="AR204" s="283" t="s">
        <v>2346</v>
      </c>
      <c r="AS204" s="283" t="s">
        <v>2347</v>
      </c>
      <c r="AT204" s="283" t="s">
        <v>2348</v>
      </c>
      <c r="AU204" s="283" t="s">
        <v>2349</v>
      </c>
      <c r="AV204" s="283" t="s">
        <v>2350</v>
      </c>
      <c r="AW204" s="283">
        <f t="shared" si="26"/>
        <v>453691.5</v>
      </c>
      <c r="AX204" s="283">
        <v>492400</v>
      </c>
      <c r="AY204" s="283">
        <v>472600</v>
      </c>
      <c r="AZ204" s="283">
        <v>416600</v>
      </c>
      <c r="BA204" s="283">
        <v>446400</v>
      </c>
      <c r="BB204" s="283">
        <v>401200</v>
      </c>
      <c r="BC204" s="283">
        <v>456600</v>
      </c>
      <c r="BD204" s="283">
        <v>449600</v>
      </c>
      <c r="BE204" s="283">
        <v>486800</v>
      </c>
      <c r="BF204" s="283">
        <v>274700</v>
      </c>
      <c r="BG204" s="283">
        <v>332200</v>
      </c>
      <c r="BH204" s="283">
        <v>356100</v>
      </c>
      <c r="BI204" s="283">
        <f>VLOOKUP(D204,Mid!$A$2:$C$225,3,FALSE)</f>
        <v>327100</v>
      </c>
      <c r="BJ204" s="283">
        <v>305300</v>
      </c>
      <c r="BK204" s="283">
        <v>317400</v>
      </c>
      <c r="BL204" s="283">
        <v>276200</v>
      </c>
      <c r="BM204" s="283">
        <v>494300</v>
      </c>
      <c r="BN204" s="283">
        <v>629300</v>
      </c>
      <c r="BO204" s="283">
        <v>568800</v>
      </c>
      <c r="BP204" s="283">
        <v>377100</v>
      </c>
      <c r="BQ204" s="283">
        <v>473900</v>
      </c>
      <c r="BR204" s="283">
        <v>478600</v>
      </c>
      <c r="BS204" s="283">
        <v>537100</v>
      </c>
      <c r="BT204" s="283">
        <v>547000</v>
      </c>
      <c r="BU204" s="283">
        <v>707400</v>
      </c>
      <c r="BV204" s="283">
        <v>539100</v>
      </c>
      <c r="BW204" s="283">
        <v>757800</v>
      </c>
      <c r="BX204" s="283">
        <v>1000000</v>
      </c>
      <c r="BY204" s="283">
        <v>1000000</v>
      </c>
      <c r="BZ204" s="283">
        <v>1100000</v>
      </c>
      <c r="CA204" s="283">
        <v>1100000</v>
      </c>
      <c r="CB204" s="283">
        <v>879000</v>
      </c>
      <c r="CC204" s="283">
        <v>1200000</v>
      </c>
      <c r="CD204" s="283">
        <v>761500</v>
      </c>
      <c r="CE204" s="283">
        <v>761500</v>
      </c>
      <c r="CF204" s="283">
        <v>1000000</v>
      </c>
      <c r="CG204" s="283">
        <v>1000000</v>
      </c>
      <c r="CH204" s="283">
        <v>1000000</v>
      </c>
      <c r="CI204" s="283">
        <v>1500000</v>
      </c>
      <c r="CJ204" s="283">
        <v>633000</v>
      </c>
      <c r="CK204" s="283">
        <f t="shared" si="27"/>
        <v>983166.666666667</v>
      </c>
      <c r="CL204" s="370"/>
      <c r="CM204" s="371">
        <f>Summary!$D$10</f>
        <v>496999.618566666</v>
      </c>
      <c r="CN204" s="258">
        <f t="shared" si="23"/>
        <v>0</v>
      </c>
    </row>
    <row r="205" ht="15.6" spans="1:92">
      <c r="A205" s="258" t="s">
        <v>165</v>
      </c>
      <c r="B205" s="258" t="s">
        <v>694</v>
      </c>
      <c r="C205" s="258" t="s">
        <v>230</v>
      </c>
      <c r="D205" s="258" t="s">
        <v>293</v>
      </c>
      <c r="E205" s="258" t="s">
        <v>233</v>
      </c>
      <c r="F205" s="260" t="s">
        <v>50</v>
      </c>
      <c r="G205" s="343"/>
      <c r="H205" s="283">
        <f t="shared" ref="H205:H211" si="29">(AW205+CK205)/2</f>
        <v>157431.333333333</v>
      </c>
      <c r="I205" s="292"/>
      <c r="J205" s="351">
        <v>172783</v>
      </c>
      <c r="K205" s="351">
        <v>145527</v>
      </c>
      <c r="L205" s="351">
        <v>125946</v>
      </c>
      <c r="M205" s="351">
        <v>249318</v>
      </c>
      <c r="N205" s="352">
        <v>195494</v>
      </c>
      <c r="O205" s="353">
        <v>180272</v>
      </c>
      <c r="P205" s="353">
        <v>183886</v>
      </c>
      <c r="Q205" s="353">
        <v>170186</v>
      </c>
      <c r="R205" s="353">
        <v>200639</v>
      </c>
      <c r="S205" s="353">
        <v>170370</v>
      </c>
      <c r="T205" s="353">
        <v>164515</v>
      </c>
      <c r="U205" s="353" t="e">
        <f>VLOOKUP(D205,Mid!$A$2:$C$225,2,FALSE)</f>
        <v>#N/A</v>
      </c>
      <c r="V205" s="353">
        <v>218803</v>
      </c>
      <c r="W205" s="353">
        <v>204710</v>
      </c>
      <c r="X205" s="353">
        <v>182764</v>
      </c>
      <c r="Y205" s="353">
        <v>195822</v>
      </c>
      <c r="Z205" s="353">
        <v>208835</v>
      </c>
      <c r="AA205" s="353">
        <v>189132</v>
      </c>
      <c r="AB205" s="353">
        <v>210310</v>
      </c>
      <c r="AC205" s="353">
        <v>186819</v>
      </c>
      <c r="AD205" s="353">
        <v>196935</v>
      </c>
      <c r="AE205" s="353">
        <v>185714</v>
      </c>
      <c r="AF205" s="353">
        <v>216423</v>
      </c>
      <c r="AG205" s="353">
        <v>187297</v>
      </c>
      <c r="AH205" s="353">
        <v>174536</v>
      </c>
      <c r="AI205" s="353">
        <v>198682</v>
      </c>
      <c r="AJ205" s="367">
        <v>186768</v>
      </c>
      <c r="AK205" s="283" t="s">
        <v>2351</v>
      </c>
      <c r="AL205" s="283">
        <v>157492</v>
      </c>
      <c r="AM205" s="283" t="s">
        <v>2352</v>
      </c>
      <c r="AN205" s="283" t="s">
        <v>2353</v>
      </c>
      <c r="AO205" s="283">
        <v>169891</v>
      </c>
      <c r="AP205" s="283">
        <v>194955</v>
      </c>
      <c r="AQ205" s="283">
        <v>187178</v>
      </c>
      <c r="AR205" s="283" t="s">
        <v>2354</v>
      </c>
      <c r="AS205" s="283">
        <v>178129</v>
      </c>
      <c r="AT205" s="283" t="s">
        <v>2355</v>
      </c>
      <c r="AU205" s="283" t="s">
        <v>2356</v>
      </c>
      <c r="AV205" s="283">
        <v>176590</v>
      </c>
      <c r="AW205" s="283">
        <f t="shared" si="26"/>
        <v>181302.333333333</v>
      </c>
      <c r="AX205" s="283">
        <v>139900</v>
      </c>
      <c r="AY205" s="283">
        <v>129600</v>
      </c>
      <c r="AZ205" s="283">
        <v>130100</v>
      </c>
      <c r="BA205" s="283">
        <v>135200</v>
      </c>
      <c r="BB205" s="283">
        <v>139300</v>
      </c>
      <c r="BC205" s="283">
        <v>163600</v>
      </c>
      <c r="BD205" s="283">
        <v>156200</v>
      </c>
      <c r="BE205" s="283">
        <v>158800</v>
      </c>
      <c r="BF205" s="283">
        <v>184100</v>
      </c>
      <c r="BG205" s="283">
        <v>180500</v>
      </c>
      <c r="BH205" s="283">
        <v>227100</v>
      </c>
      <c r="BI205" s="283" t="e">
        <f>VLOOKUP(D205,Mid!$A$2:$C$225,3,FALSE)</f>
        <v>#N/A</v>
      </c>
      <c r="BJ205" s="283">
        <v>124200</v>
      </c>
      <c r="BK205" s="283">
        <v>155800</v>
      </c>
      <c r="BL205" s="283">
        <v>141700</v>
      </c>
      <c r="BM205" s="283">
        <v>269800</v>
      </c>
      <c r="BN205" s="283">
        <v>195200</v>
      </c>
      <c r="BO205" s="283">
        <v>255600</v>
      </c>
      <c r="BP205" s="283">
        <v>216800</v>
      </c>
      <c r="BQ205" s="283">
        <v>215000</v>
      </c>
      <c r="BR205" s="283">
        <v>155600</v>
      </c>
      <c r="BS205" s="283">
        <v>275400</v>
      </c>
      <c r="BT205" s="283">
        <v>267200</v>
      </c>
      <c r="BU205" s="283">
        <v>229600</v>
      </c>
      <c r="BV205" s="283">
        <v>96300</v>
      </c>
      <c r="BW205" s="283">
        <v>162000</v>
      </c>
      <c r="BX205" s="283">
        <v>146700</v>
      </c>
      <c r="BY205" s="283">
        <v>146700</v>
      </c>
      <c r="BZ205" s="283">
        <v>216810</v>
      </c>
      <c r="CA205" s="283">
        <v>190117.2</v>
      </c>
      <c r="CB205" s="283">
        <v>173000</v>
      </c>
      <c r="CC205" s="283">
        <v>148300</v>
      </c>
      <c r="CD205" s="283">
        <v>217300</v>
      </c>
      <c r="CE205" s="283">
        <v>147600</v>
      </c>
      <c r="CF205" s="283">
        <v>218800</v>
      </c>
      <c r="CG205" s="283">
        <v>218600</v>
      </c>
      <c r="CH205" s="283">
        <v>123800</v>
      </c>
      <c r="CI205" s="283">
        <v>133281</v>
      </c>
      <c r="CJ205" s="283">
        <v>137000</v>
      </c>
      <c r="CK205" s="283">
        <f t="shared" si="27"/>
        <v>133560.333333333</v>
      </c>
      <c r="CL205" s="370"/>
      <c r="CM205" s="371">
        <f>Summary!$D$10</f>
        <v>496999.618566666</v>
      </c>
      <c r="CN205" s="258">
        <f t="shared" si="23"/>
        <v>1</v>
      </c>
    </row>
    <row r="206" ht="98.4" customHeight="1" spans="1:92">
      <c r="A206" s="258" t="s">
        <v>165</v>
      </c>
      <c r="B206" s="258" t="s">
        <v>694</v>
      </c>
      <c r="C206" s="258" t="s">
        <v>230</v>
      </c>
      <c r="D206" s="258" t="s">
        <v>295</v>
      </c>
      <c r="E206" s="258" t="s">
        <v>233</v>
      </c>
      <c r="F206" s="260" t="s">
        <v>423</v>
      </c>
      <c r="G206" s="343"/>
      <c r="H206" s="283">
        <f t="shared" si="29"/>
        <v>33194.35</v>
      </c>
      <c r="I206" s="292" t="s">
        <v>2357</v>
      </c>
      <c r="J206" s="351">
        <v>82650</v>
      </c>
      <c r="K206" s="351">
        <v>89549</v>
      </c>
      <c r="L206" s="351">
        <v>96273</v>
      </c>
      <c r="M206" s="351">
        <v>173665</v>
      </c>
      <c r="N206" s="352">
        <v>158903</v>
      </c>
      <c r="O206" s="353">
        <v>153923</v>
      </c>
      <c r="P206" s="353">
        <v>132080</v>
      </c>
      <c r="Q206" s="353">
        <v>155688</v>
      </c>
      <c r="R206" s="353">
        <v>136297</v>
      </c>
      <c r="S206" s="353">
        <v>115647</v>
      </c>
      <c r="T206" s="353">
        <v>115174</v>
      </c>
      <c r="U206" s="353" t="e">
        <f>VLOOKUP(D206,Mid!$A$2:$C$225,2,FALSE)</f>
        <v>#N/A</v>
      </c>
      <c r="V206" s="353">
        <v>154624</v>
      </c>
      <c r="W206" s="353">
        <v>119237</v>
      </c>
      <c r="X206" s="353">
        <v>135190</v>
      </c>
      <c r="Y206" s="353">
        <v>160030</v>
      </c>
      <c r="Z206" s="353">
        <v>128880</v>
      </c>
      <c r="AA206" s="353">
        <v>125904</v>
      </c>
      <c r="AB206" s="353">
        <v>132894</v>
      </c>
      <c r="AC206" s="353">
        <v>162184</v>
      </c>
      <c r="AD206" s="353">
        <v>140006</v>
      </c>
      <c r="AE206" s="353">
        <v>137686</v>
      </c>
      <c r="AF206" s="353">
        <v>106574</v>
      </c>
      <c r="AG206" s="353">
        <v>121702</v>
      </c>
      <c r="AH206" s="353">
        <v>129541</v>
      </c>
      <c r="AI206" s="353">
        <v>120287</v>
      </c>
      <c r="AJ206" s="367">
        <v>31644</v>
      </c>
      <c r="AK206" s="283">
        <v>44393</v>
      </c>
      <c r="AL206" s="283">
        <v>48779</v>
      </c>
      <c r="AM206" s="283" t="s">
        <v>2358</v>
      </c>
      <c r="AN206" s="283" t="s">
        <v>2359</v>
      </c>
      <c r="AO206" s="283" t="s">
        <v>2360</v>
      </c>
      <c r="AP206" s="283">
        <f>47142*0.2145*2</f>
        <v>20223.918</v>
      </c>
      <c r="AQ206" s="283" t="s">
        <v>2361</v>
      </c>
      <c r="AR206" s="283" t="s">
        <v>2362</v>
      </c>
      <c r="AS206" s="283" t="s">
        <v>2363</v>
      </c>
      <c r="AT206" s="283" t="s">
        <v>2364</v>
      </c>
      <c r="AU206" s="283" t="s">
        <v>2365</v>
      </c>
      <c r="AV206" s="283" t="s">
        <v>2366</v>
      </c>
      <c r="AW206" s="283">
        <f t="shared" si="26"/>
        <v>55373.3333333333</v>
      </c>
      <c r="AX206" s="283">
        <v>93500</v>
      </c>
      <c r="AY206" s="283">
        <v>108500</v>
      </c>
      <c r="AZ206" s="283">
        <v>110400</v>
      </c>
      <c r="BA206" s="283">
        <v>111100</v>
      </c>
      <c r="BB206" s="283">
        <v>100500</v>
      </c>
      <c r="BC206" s="283">
        <v>114600</v>
      </c>
      <c r="BD206" s="283">
        <v>141000</v>
      </c>
      <c r="BE206" s="283">
        <v>128400</v>
      </c>
      <c r="BF206" s="283">
        <v>127800</v>
      </c>
      <c r="BG206" s="283">
        <v>118300</v>
      </c>
      <c r="BH206" s="283">
        <v>135000</v>
      </c>
      <c r="BI206" s="283" t="e">
        <f>VLOOKUP(D206,Mid!$A$2:$C$225,3,FALSE)</f>
        <v>#N/A</v>
      </c>
      <c r="BJ206" s="283">
        <v>106200</v>
      </c>
      <c r="BK206" s="283">
        <v>131600</v>
      </c>
      <c r="BL206" s="283">
        <v>111100</v>
      </c>
      <c r="BM206" s="283">
        <v>189300</v>
      </c>
      <c r="BN206" s="283">
        <v>127600</v>
      </c>
      <c r="BO206" s="283">
        <v>183400</v>
      </c>
      <c r="BP206" s="283">
        <v>107500</v>
      </c>
      <c r="BQ206" s="283">
        <v>212100</v>
      </c>
      <c r="BR206" s="283">
        <v>115000</v>
      </c>
      <c r="BS206" s="283">
        <v>135300</v>
      </c>
      <c r="BT206" s="283">
        <v>156300</v>
      </c>
      <c r="BU206" s="283">
        <v>138000</v>
      </c>
      <c r="BV206" s="283">
        <v>107700</v>
      </c>
      <c r="BW206" s="283">
        <v>166200</v>
      </c>
      <c r="BX206" s="283">
        <v>31644</v>
      </c>
      <c r="BY206" s="283">
        <v>9600</v>
      </c>
      <c r="BZ206" s="283">
        <v>26095</v>
      </c>
      <c r="CA206" s="283">
        <v>47982.78</v>
      </c>
      <c r="CB206" s="283">
        <v>6100</v>
      </c>
      <c r="CC206" s="283">
        <v>4100</v>
      </c>
      <c r="CD206" s="283">
        <v>5100</v>
      </c>
      <c r="CE206" s="283">
        <v>5100</v>
      </c>
      <c r="CF206" s="283">
        <v>17200</v>
      </c>
      <c r="CG206" s="283">
        <v>19300</v>
      </c>
      <c r="CH206" s="283">
        <v>18200</v>
      </c>
      <c r="CI206" s="283">
        <v>9908.92</v>
      </c>
      <c r="CJ206" s="283">
        <v>9358.12</v>
      </c>
      <c r="CK206" s="283">
        <f t="shared" si="27"/>
        <v>11015.3666666667</v>
      </c>
      <c r="CL206" s="370"/>
      <c r="CM206" s="371">
        <f>Summary!$D$10</f>
        <v>496999.618566666</v>
      </c>
      <c r="CN206" s="258">
        <f t="shared" si="23"/>
        <v>1</v>
      </c>
    </row>
    <row r="207" s="269" customFormat="1" ht="15.6" spans="1:92">
      <c r="A207" s="258" t="s">
        <v>165</v>
      </c>
      <c r="B207" s="344" t="s">
        <v>683</v>
      </c>
      <c r="C207" s="344" t="s">
        <v>227</v>
      </c>
      <c r="D207" s="344" t="s">
        <v>166</v>
      </c>
      <c r="E207" s="344" t="s">
        <v>441</v>
      </c>
      <c r="F207" s="344" t="s">
        <v>58</v>
      </c>
      <c r="G207" s="345"/>
      <c r="H207" s="345">
        <f t="shared" si="29"/>
        <v>194565.663333333</v>
      </c>
      <c r="I207" s="292"/>
      <c r="J207" s="351">
        <v>53051</v>
      </c>
      <c r="K207" s="351">
        <v>78546</v>
      </c>
      <c r="L207" s="351">
        <v>44771</v>
      </c>
      <c r="M207" s="351">
        <v>69176</v>
      </c>
      <c r="N207" s="352">
        <v>61541</v>
      </c>
      <c r="O207" s="353">
        <v>57179</v>
      </c>
      <c r="P207" s="353">
        <v>53333</v>
      </c>
      <c r="Q207" s="353">
        <v>68551</v>
      </c>
      <c r="R207" s="353">
        <v>89969</v>
      </c>
      <c r="S207" s="353">
        <v>92869</v>
      </c>
      <c r="T207" s="353">
        <v>82462</v>
      </c>
      <c r="U207" s="353" t="e">
        <f>VLOOKUP(D207,Mid!$A$2:$C$225,2,FALSE)</f>
        <v>#N/A</v>
      </c>
      <c r="V207" s="353">
        <v>134697</v>
      </c>
      <c r="W207" s="353">
        <v>95046</v>
      </c>
      <c r="X207" s="353">
        <v>103831</v>
      </c>
      <c r="Y207" s="353">
        <v>107316</v>
      </c>
      <c r="Z207" s="353">
        <v>85085</v>
      </c>
      <c r="AA207" s="353">
        <v>84504</v>
      </c>
      <c r="AB207" s="353">
        <v>85960</v>
      </c>
      <c r="AC207" s="353">
        <v>97639</v>
      </c>
      <c r="AD207" s="353">
        <v>101921</v>
      </c>
      <c r="AE207" s="353">
        <v>144656</v>
      </c>
      <c r="AF207" s="353">
        <v>124020</v>
      </c>
      <c r="AG207" s="353">
        <v>96819</v>
      </c>
      <c r="AH207" s="353">
        <v>122697</v>
      </c>
      <c r="AI207" s="353">
        <v>129111</v>
      </c>
      <c r="AJ207" s="367">
        <v>103744</v>
      </c>
      <c r="AK207" s="283" t="s">
        <v>2367</v>
      </c>
      <c r="AL207" s="283">
        <v>119568</v>
      </c>
      <c r="AM207" s="283" t="s">
        <v>2368</v>
      </c>
      <c r="AN207" s="283" t="s">
        <v>2369</v>
      </c>
      <c r="AO207" s="283" t="s">
        <v>2370</v>
      </c>
      <c r="AP207" s="283">
        <v>139635</v>
      </c>
      <c r="AQ207" s="283" t="s">
        <v>2371</v>
      </c>
      <c r="AR207" s="283" t="s">
        <v>2372</v>
      </c>
      <c r="AS207" s="283" t="s">
        <v>2373</v>
      </c>
      <c r="AT207" s="283" t="s">
        <v>2374</v>
      </c>
      <c r="AU207" s="283">
        <v>200245</v>
      </c>
      <c r="AV207" s="283" t="s">
        <v>2375</v>
      </c>
      <c r="AW207" s="283">
        <f t="shared" si="26"/>
        <v>179538</v>
      </c>
      <c r="AX207" s="283">
        <v>129200</v>
      </c>
      <c r="AY207" s="283">
        <v>107500</v>
      </c>
      <c r="AZ207" s="283">
        <v>106800</v>
      </c>
      <c r="BA207" s="283">
        <v>97700</v>
      </c>
      <c r="BB207" s="283">
        <v>112700</v>
      </c>
      <c r="BC207" s="283">
        <v>105300</v>
      </c>
      <c r="BD207" s="283">
        <v>108500</v>
      </c>
      <c r="BE207" s="283">
        <v>129500</v>
      </c>
      <c r="BF207" s="283">
        <v>76400</v>
      </c>
      <c r="BG207" s="283">
        <v>230000</v>
      </c>
      <c r="BH207" s="283">
        <v>153400</v>
      </c>
      <c r="BI207" s="283" t="e">
        <f>VLOOKUP(D207,Mid!$A$2:$C$225,3,FALSE)</f>
        <v>#N/A</v>
      </c>
      <c r="BJ207" s="283">
        <v>62700</v>
      </c>
      <c r="BK207" s="283">
        <v>86300</v>
      </c>
      <c r="BL207" s="283">
        <v>149200</v>
      </c>
      <c r="BM207" s="283">
        <v>257600</v>
      </c>
      <c r="BN207" s="283">
        <v>383500</v>
      </c>
      <c r="BO207" s="283">
        <v>121600</v>
      </c>
      <c r="BP207" s="283">
        <v>83000</v>
      </c>
      <c r="BQ207" s="283">
        <v>79900</v>
      </c>
      <c r="BR207" s="283">
        <v>65900</v>
      </c>
      <c r="BS207" s="283">
        <v>193100</v>
      </c>
      <c r="BT207" s="283">
        <v>99800</v>
      </c>
      <c r="BU207" s="283">
        <v>63900</v>
      </c>
      <c r="BV207" s="283">
        <v>78500</v>
      </c>
      <c r="BW207" s="283">
        <v>86100</v>
      </c>
      <c r="BX207" s="283">
        <v>111300</v>
      </c>
      <c r="BY207" s="283">
        <v>111300</v>
      </c>
      <c r="BZ207" s="283">
        <v>81300</v>
      </c>
      <c r="CA207" s="283">
        <v>87273.96</v>
      </c>
      <c r="CB207" s="283">
        <v>88700</v>
      </c>
      <c r="CC207" s="283">
        <v>176600</v>
      </c>
      <c r="CD207" s="283">
        <v>188100</v>
      </c>
      <c r="CE207" s="283">
        <v>121200</v>
      </c>
      <c r="CF207" s="283">
        <v>222400</v>
      </c>
      <c r="CG207" s="283">
        <v>159000</v>
      </c>
      <c r="CH207" s="283">
        <v>180319.72</v>
      </c>
      <c r="CI207" s="283">
        <v>189600</v>
      </c>
      <c r="CJ207" s="283">
        <v>232680.08</v>
      </c>
      <c r="CK207" s="283">
        <f t="shared" si="27"/>
        <v>209593.326666667</v>
      </c>
      <c r="CL207" s="370"/>
      <c r="CM207" s="371">
        <f>Summary!$D$10</f>
        <v>496999.618566666</v>
      </c>
      <c r="CN207" s="258">
        <f t="shared" si="23"/>
        <v>1</v>
      </c>
    </row>
    <row r="208" ht="31.2" spans="1:92">
      <c r="A208" s="258" t="s">
        <v>165</v>
      </c>
      <c r="B208" s="258" t="s">
        <v>694</v>
      </c>
      <c r="C208" s="258" t="s">
        <v>230</v>
      </c>
      <c r="D208" s="342" t="s">
        <v>297</v>
      </c>
      <c r="E208" s="258" t="s">
        <v>441</v>
      </c>
      <c r="F208" s="260" t="s">
        <v>421</v>
      </c>
      <c r="G208" s="343"/>
      <c r="H208" s="283">
        <f t="shared" si="29"/>
        <v>24078.0333333333</v>
      </c>
      <c r="I208" s="292" t="s">
        <v>2376</v>
      </c>
      <c r="J208" s="351">
        <v>28250</v>
      </c>
      <c r="K208" s="351">
        <v>29701</v>
      </c>
      <c r="L208" s="351">
        <v>15817</v>
      </c>
      <c r="M208" s="351">
        <v>34054</v>
      </c>
      <c r="N208" s="352">
        <v>41844</v>
      </c>
      <c r="O208" s="353">
        <v>54945</v>
      </c>
      <c r="P208" s="353">
        <v>31792</v>
      </c>
      <c r="Q208" s="353">
        <v>57305</v>
      </c>
      <c r="R208" s="353">
        <v>24059</v>
      </c>
      <c r="S208" s="353">
        <v>31637</v>
      </c>
      <c r="T208" s="353">
        <v>24032</v>
      </c>
      <c r="U208" s="353">
        <f>VLOOKUP(D208,Mid!$A$2:$C$225,2,FALSE)</f>
        <v>24387</v>
      </c>
      <c r="V208" s="353">
        <v>38005</v>
      </c>
      <c r="W208" s="353">
        <v>24938</v>
      </c>
      <c r="X208" s="353">
        <v>18435</v>
      </c>
      <c r="Y208" s="353">
        <v>21668</v>
      </c>
      <c r="Z208" s="353">
        <v>1</v>
      </c>
      <c r="AA208" s="353">
        <v>25679</v>
      </c>
      <c r="AB208" s="353">
        <v>22560</v>
      </c>
      <c r="AC208" s="353">
        <v>25502</v>
      </c>
      <c r="AD208" s="353">
        <v>15742</v>
      </c>
      <c r="AE208" s="353">
        <v>15918</v>
      </c>
      <c r="AF208" s="353">
        <v>26799</v>
      </c>
      <c r="AG208" s="353">
        <v>11897</v>
      </c>
      <c r="AH208" s="353">
        <v>6477</v>
      </c>
      <c r="AI208" s="353">
        <v>13045</v>
      </c>
      <c r="AJ208" s="367">
        <v>7046</v>
      </c>
      <c r="AK208" s="283">
        <v>13785</v>
      </c>
      <c r="AL208" s="283">
        <v>19556</v>
      </c>
      <c r="AM208" s="283">
        <v>22931</v>
      </c>
      <c r="AN208" s="283">
        <v>29641</v>
      </c>
      <c r="AO208" s="283">
        <v>33700</v>
      </c>
      <c r="AP208" s="283">
        <v>27752</v>
      </c>
      <c r="AQ208" s="283">
        <v>36263</v>
      </c>
      <c r="AR208" s="283">
        <v>38601</v>
      </c>
      <c r="AS208" s="283">
        <v>28066</v>
      </c>
      <c r="AT208" s="283">
        <v>33920</v>
      </c>
      <c r="AU208" s="283">
        <v>37526</v>
      </c>
      <c r="AV208" s="283">
        <v>16708</v>
      </c>
      <c r="AW208" s="283">
        <f t="shared" si="26"/>
        <v>26516</v>
      </c>
      <c r="AX208" s="283">
        <v>68900</v>
      </c>
      <c r="AY208" s="283">
        <v>47600</v>
      </c>
      <c r="AZ208" s="283">
        <v>57300</v>
      </c>
      <c r="BA208" s="283">
        <v>53500</v>
      </c>
      <c r="BB208" s="283">
        <v>107800</v>
      </c>
      <c r="BC208" s="283">
        <v>82500</v>
      </c>
      <c r="BD208" s="283">
        <v>66900</v>
      </c>
      <c r="BE208" s="283">
        <v>79900</v>
      </c>
      <c r="BF208" s="283">
        <v>19000</v>
      </c>
      <c r="BG208" s="283">
        <v>50100</v>
      </c>
      <c r="BH208" s="283">
        <v>27700</v>
      </c>
      <c r="BI208" s="283">
        <f>VLOOKUP(D208,Mid!$A$2:$C$225,3,FALSE)</f>
        <v>31000</v>
      </c>
      <c r="BJ208" s="283">
        <v>17400</v>
      </c>
      <c r="BK208" s="283">
        <v>19000</v>
      </c>
      <c r="BL208" s="283">
        <v>21000</v>
      </c>
      <c r="BM208" s="283">
        <v>33300</v>
      </c>
      <c r="BN208" s="283">
        <v>9300</v>
      </c>
      <c r="BO208" s="283">
        <v>12000</v>
      </c>
      <c r="BP208" s="283">
        <v>20700</v>
      </c>
      <c r="BQ208" s="283">
        <v>16000</v>
      </c>
      <c r="BR208" s="283">
        <v>10500</v>
      </c>
      <c r="BS208" s="283">
        <v>11600</v>
      </c>
      <c r="BT208" s="283">
        <v>25300</v>
      </c>
      <c r="BU208" s="283">
        <v>22100</v>
      </c>
      <c r="BV208" s="283">
        <v>11500</v>
      </c>
      <c r="BW208" s="283">
        <v>7800</v>
      </c>
      <c r="BX208" s="283">
        <v>5800</v>
      </c>
      <c r="BY208" s="283">
        <v>5800</v>
      </c>
      <c r="BZ208" s="283">
        <v>18238</v>
      </c>
      <c r="CA208" s="283">
        <v>17400</v>
      </c>
      <c r="CB208" s="283">
        <v>13700</v>
      </c>
      <c r="CC208" s="283">
        <v>25200</v>
      </c>
      <c r="CD208" s="283">
        <v>15300</v>
      </c>
      <c r="CE208" s="283">
        <v>15300</v>
      </c>
      <c r="CF208" s="283">
        <v>20300</v>
      </c>
      <c r="CG208" s="283">
        <v>16000</v>
      </c>
      <c r="CH208" s="283">
        <v>36240.4</v>
      </c>
      <c r="CI208" s="283">
        <v>8400</v>
      </c>
      <c r="CJ208" s="283">
        <v>25600</v>
      </c>
      <c r="CK208" s="283">
        <f t="shared" si="27"/>
        <v>21640.0666666667</v>
      </c>
      <c r="CL208" s="370"/>
      <c r="CM208" s="371">
        <f>Summary!$D$10</f>
        <v>496999.618566666</v>
      </c>
      <c r="CN208" s="258">
        <f t="shared" si="23"/>
        <v>0</v>
      </c>
    </row>
    <row r="209" ht="15.6" spans="1:92">
      <c r="A209" s="258" t="s">
        <v>165</v>
      </c>
      <c r="B209" s="258" t="s">
        <v>694</v>
      </c>
      <c r="C209" s="258" t="s">
        <v>230</v>
      </c>
      <c r="D209" s="258" t="s">
        <v>495</v>
      </c>
      <c r="E209" s="258" t="s">
        <v>233</v>
      </c>
      <c r="F209" s="260" t="s">
        <v>421</v>
      </c>
      <c r="G209" s="343"/>
      <c r="H209" s="283">
        <f t="shared" si="29"/>
        <v>10308.7233333333</v>
      </c>
      <c r="I209" s="292"/>
      <c r="J209" s="351">
        <v>26110</v>
      </c>
      <c r="K209" s="351">
        <v>28174</v>
      </c>
      <c r="L209" s="351">
        <v>29704</v>
      </c>
      <c r="M209" s="351">
        <v>42362</v>
      </c>
      <c r="N209" s="352">
        <v>36668</v>
      </c>
      <c r="O209" s="352">
        <v>59128</v>
      </c>
      <c r="P209" s="352">
        <v>66531</v>
      </c>
      <c r="Q209" s="353">
        <v>38937</v>
      </c>
      <c r="R209" s="353">
        <v>20349</v>
      </c>
      <c r="S209" s="353">
        <v>24445</v>
      </c>
      <c r="T209" s="353">
        <v>18606</v>
      </c>
      <c r="U209" s="353" t="e">
        <f>VLOOKUP(D209,Mid!$A$2:$C$225,2,FALSE)</f>
        <v>#N/A</v>
      </c>
      <c r="V209" s="353">
        <v>24587</v>
      </c>
      <c r="W209" s="353">
        <v>21664</v>
      </c>
      <c r="X209" s="353">
        <v>26606</v>
      </c>
      <c r="Y209" s="353">
        <v>16721</v>
      </c>
      <c r="Z209" s="353">
        <v>45687</v>
      </c>
      <c r="AA209" s="353">
        <v>34073</v>
      </c>
      <c r="AB209" s="353">
        <v>24310</v>
      </c>
      <c r="AC209" s="353">
        <v>15401</v>
      </c>
      <c r="AD209" s="353">
        <v>26303</v>
      </c>
      <c r="AE209" s="353">
        <v>20985</v>
      </c>
      <c r="AF209" s="353">
        <v>18752</v>
      </c>
      <c r="AG209" s="353">
        <v>15766</v>
      </c>
      <c r="AH209" s="353">
        <v>20357</v>
      </c>
      <c r="AI209" s="353">
        <v>19082</v>
      </c>
      <c r="AJ209" s="367">
        <v>27055</v>
      </c>
      <c r="AK209" s="283" t="s">
        <v>2377</v>
      </c>
      <c r="AL209" s="283">
        <v>25971</v>
      </c>
      <c r="AM209" s="283" t="s">
        <v>2378</v>
      </c>
      <c r="AN209" s="283" t="s">
        <v>2379</v>
      </c>
      <c r="AO209" s="283">
        <f>30472*0.3083*2</f>
        <v>18789.0352</v>
      </c>
      <c r="AP209" s="283">
        <f>25105*0.2614*2</f>
        <v>13124.894</v>
      </c>
      <c r="AQ209" s="283" t="s">
        <v>2380</v>
      </c>
      <c r="AR209" s="283" t="s">
        <v>2381</v>
      </c>
      <c r="AS209" s="283" t="s">
        <v>2382</v>
      </c>
      <c r="AT209" s="283" t="s">
        <v>2383</v>
      </c>
      <c r="AU209" s="283" t="s">
        <v>2384</v>
      </c>
      <c r="AV209" s="283" t="s">
        <v>2385</v>
      </c>
      <c r="AW209" s="283">
        <f t="shared" si="26"/>
        <v>15356.5</v>
      </c>
      <c r="AX209" s="283">
        <v>45100</v>
      </c>
      <c r="AY209" s="283">
        <v>41000</v>
      </c>
      <c r="AZ209" s="283">
        <v>44200</v>
      </c>
      <c r="BA209" s="283">
        <v>48300</v>
      </c>
      <c r="BB209" s="283">
        <v>59000</v>
      </c>
      <c r="BC209" s="283">
        <v>53900</v>
      </c>
      <c r="BD209" s="283">
        <v>54900</v>
      </c>
      <c r="BE209" s="283">
        <v>54600</v>
      </c>
      <c r="BF209" s="283">
        <v>17200</v>
      </c>
      <c r="BG209" s="283">
        <v>19300</v>
      </c>
      <c r="BH209" s="283">
        <v>34000</v>
      </c>
      <c r="BI209" s="283" t="e">
        <f>VLOOKUP(D209,Mid!$A$2:$C$225,3,FALSE)</f>
        <v>#N/A</v>
      </c>
      <c r="BJ209" s="283">
        <v>15800</v>
      </c>
      <c r="BK209" s="283">
        <v>15600</v>
      </c>
      <c r="BL209" s="283">
        <v>7400</v>
      </c>
      <c r="BM209" s="283">
        <v>9100</v>
      </c>
      <c r="BN209" s="283">
        <v>18300</v>
      </c>
      <c r="BO209" s="283">
        <v>11000</v>
      </c>
      <c r="BP209" s="283">
        <v>4800</v>
      </c>
      <c r="BQ209" s="283">
        <v>4200</v>
      </c>
      <c r="BR209" s="283">
        <v>5900</v>
      </c>
      <c r="BS209" s="283">
        <v>18116</v>
      </c>
      <c r="BT209" s="283">
        <v>14000</v>
      </c>
      <c r="BU209" s="283">
        <v>14200</v>
      </c>
      <c r="BV209" s="283">
        <v>10100</v>
      </c>
      <c r="BW209" s="283">
        <v>22000</v>
      </c>
      <c r="BX209" s="283">
        <v>19000</v>
      </c>
      <c r="BY209" s="283">
        <v>19000</v>
      </c>
      <c r="BZ209" s="283">
        <v>23400</v>
      </c>
      <c r="CA209" s="283">
        <v>22600</v>
      </c>
      <c r="CB209" s="283">
        <v>11800</v>
      </c>
      <c r="CC209" s="283">
        <v>26500</v>
      </c>
      <c r="CD209" s="283">
        <v>7600</v>
      </c>
      <c r="CE209" s="283">
        <v>7600</v>
      </c>
      <c r="CF209" s="283">
        <v>4000</v>
      </c>
      <c r="CG209" s="283">
        <v>11500</v>
      </c>
      <c r="CH209" s="283">
        <v>6475.2</v>
      </c>
      <c r="CI209" s="283">
        <v>8195.24</v>
      </c>
      <c r="CJ209" s="283">
        <v>2900</v>
      </c>
      <c r="CK209" s="283">
        <f t="shared" si="27"/>
        <v>5260.94666666667</v>
      </c>
      <c r="CL209" s="370"/>
      <c r="CM209" s="371">
        <f>Summary!$D$10</f>
        <v>496999.618566666</v>
      </c>
      <c r="CN209" s="258">
        <f t="shared" si="23"/>
        <v>0</v>
      </c>
    </row>
    <row r="210" ht="15.6" spans="1:92">
      <c r="A210" s="258" t="s">
        <v>165</v>
      </c>
      <c r="B210" s="258" t="s">
        <v>694</v>
      </c>
      <c r="C210" s="258" t="s">
        <v>230</v>
      </c>
      <c r="D210" s="258" t="s">
        <v>440</v>
      </c>
      <c r="E210" s="258" t="s">
        <v>233</v>
      </c>
      <c r="F210" s="260" t="s">
        <v>417</v>
      </c>
      <c r="G210" s="343"/>
      <c r="H210" s="283">
        <f t="shared" si="29"/>
        <v>26780.6666666667</v>
      </c>
      <c r="I210" s="360" t="s">
        <v>2323</v>
      </c>
      <c r="J210" s="351"/>
      <c r="K210" s="351"/>
      <c r="L210" s="351"/>
      <c r="M210" s="351"/>
      <c r="N210" s="352"/>
      <c r="O210" s="352"/>
      <c r="P210" s="352"/>
      <c r="Q210" s="353"/>
      <c r="R210" s="353"/>
      <c r="S210" s="353"/>
      <c r="T210" s="353"/>
      <c r="U210" s="353"/>
      <c r="V210" s="353"/>
      <c r="W210" s="353"/>
      <c r="X210" s="353"/>
      <c r="Y210" s="353"/>
      <c r="Z210" s="353"/>
      <c r="AA210" s="353"/>
      <c r="AB210" s="353"/>
      <c r="AC210" s="353"/>
      <c r="AD210" s="353"/>
      <c r="AE210" s="353"/>
      <c r="AF210" s="353"/>
      <c r="AG210" s="353"/>
      <c r="AH210" s="353"/>
      <c r="AI210" s="353">
        <v>30401</v>
      </c>
      <c r="AJ210" s="353">
        <v>34556</v>
      </c>
      <c r="AK210" s="283">
        <v>28512</v>
      </c>
      <c r="AL210" s="283">
        <v>22552</v>
      </c>
      <c r="AM210" s="283" t="s">
        <v>2386</v>
      </c>
      <c r="AN210" s="283" t="s">
        <v>2387</v>
      </c>
      <c r="AO210" s="283" t="s">
        <v>2388</v>
      </c>
      <c r="AP210" s="283">
        <v>17047</v>
      </c>
      <c r="AQ210" s="283" t="s">
        <v>2389</v>
      </c>
      <c r="AR210" s="283" t="s">
        <v>841</v>
      </c>
      <c r="AS210" s="283" t="s">
        <v>2390</v>
      </c>
      <c r="AT210" s="283" t="s">
        <v>2391</v>
      </c>
      <c r="AU210" s="283" t="s">
        <v>2237</v>
      </c>
      <c r="AV210" s="283" t="s">
        <v>2392</v>
      </c>
      <c r="AW210" s="283">
        <f t="shared" si="26"/>
        <v>36861.3333333333</v>
      </c>
      <c r="AX210" s="283"/>
      <c r="AY210" s="283"/>
      <c r="AZ210" s="283"/>
      <c r="BA210" s="283"/>
      <c r="BB210" s="283"/>
      <c r="BC210" s="283"/>
      <c r="BD210" s="283"/>
      <c r="BE210" s="283"/>
      <c r="BF210" s="283"/>
      <c r="BG210" s="283"/>
      <c r="BH210" s="283"/>
      <c r="BI210" s="283"/>
      <c r="BJ210" s="283"/>
      <c r="BK210" s="283"/>
      <c r="BL210" s="283"/>
      <c r="BM210" s="283"/>
      <c r="BN210" s="283"/>
      <c r="BO210" s="283"/>
      <c r="BP210" s="283"/>
      <c r="BQ210" s="283"/>
      <c r="BR210" s="283"/>
      <c r="BS210" s="283"/>
      <c r="BT210" s="283"/>
      <c r="BU210" s="283"/>
      <c r="BV210" s="283"/>
      <c r="BW210" s="283">
        <v>17000</v>
      </c>
      <c r="BX210" s="283">
        <v>15400</v>
      </c>
      <c r="BY210" s="283">
        <v>15400</v>
      </c>
      <c r="BZ210" s="283">
        <v>14900</v>
      </c>
      <c r="CA210" s="283">
        <v>17300</v>
      </c>
      <c r="CB210" s="283">
        <v>15600</v>
      </c>
      <c r="CC210" s="283">
        <v>679</v>
      </c>
      <c r="CD210" s="283">
        <v>6100</v>
      </c>
      <c r="CE210" s="283">
        <v>46200</v>
      </c>
      <c r="CF210" s="283">
        <v>9600</v>
      </c>
      <c r="CG210" s="283">
        <v>17900</v>
      </c>
      <c r="CH210" s="283">
        <v>12500</v>
      </c>
      <c r="CI210" s="283">
        <v>19100</v>
      </c>
      <c r="CJ210" s="283">
        <v>16500</v>
      </c>
      <c r="CK210" s="283">
        <f t="shared" si="27"/>
        <v>16700</v>
      </c>
      <c r="CL210" s="370"/>
      <c r="CM210" s="371">
        <f>Summary!$D$10</f>
        <v>496999.618566666</v>
      </c>
      <c r="CN210" s="258">
        <f t="shared" si="23"/>
        <v>1</v>
      </c>
    </row>
    <row r="211" ht="62.4" spans="1:92">
      <c r="A211" s="258" t="s">
        <v>165</v>
      </c>
      <c r="B211" s="258" t="s">
        <v>694</v>
      </c>
      <c r="C211" s="258" t="s">
        <v>230</v>
      </c>
      <c r="D211" s="258" t="s">
        <v>2393</v>
      </c>
      <c r="E211" s="258" t="s">
        <v>233</v>
      </c>
      <c r="F211" s="260" t="s">
        <v>234</v>
      </c>
      <c r="G211" s="343"/>
      <c r="H211" s="283">
        <f t="shared" si="29"/>
        <v>18052.79765</v>
      </c>
      <c r="I211" s="361" t="s">
        <v>2394</v>
      </c>
      <c r="J211" s="351"/>
      <c r="K211" s="351"/>
      <c r="L211" s="351"/>
      <c r="M211" s="351"/>
      <c r="N211" s="352"/>
      <c r="O211" s="352"/>
      <c r="P211" s="352"/>
      <c r="Q211" s="353"/>
      <c r="R211" s="353"/>
      <c r="S211" s="353"/>
      <c r="T211" s="353"/>
      <c r="U211" s="353"/>
      <c r="V211" s="353"/>
      <c r="W211" s="353"/>
      <c r="X211" s="353"/>
      <c r="Y211" s="353"/>
      <c r="Z211" s="353"/>
      <c r="AA211" s="353"/>
      <c r="AB211" s="353"/>
      <c r="AC211" s="353"/>
      <c r="AD211" s="353"/>
      <c r="AE211" s="353"/>
      <c r="AF211" s="353"/>
      <c r="AG211" s="353"/>
      <c r="AH211" s="353"/>
      <c r="AI211" s="353">
        <v>0</v>
      </c>
      <c r="AJ211" s="353">
        <v>0</v>
      </c>
      <c r="AK211" s="283" t="s">
        <v>796</v>
      </c>
      <c r="AL211" s="283">
        <v>39054</v>
      </c>
      <c r="AM211" s="283" t="s">
        <v>2395</v>
      </c>
      <c r="AN211" s="283" t="s">
        <v>2396</v>
      </c>
      <c r="AO211" s="283" t="s">
        <v>2397</v>
      </c>
      <c r="AP211" s="395">
        <f>42636*0.1566*2</f>
        <v>13353.5952</v>
      </c>
      <c r="AQ211" s="283">
        <f>65524*0.1347*2</f>
        <v>17652.1656</v>
      </c>
      <c r="AR211" s="283" t="s">
        <v>2398</v>
      </c>
      <c r="AS211" s="283" t="s">
        <v>2399</v>
      </c>
      <c r="AT211" s="283">
        <f>0.1108*2*41910</f>
        <v>9287.256</v>
      </c>
      <c r="AU211" s="283">
        <f>0.1306*2*59310</f>
        <v>15491.772</v>
      </c>
      <c r="AV211" s="283">
        <f>0.1061*2*64173</f>
        <v>13617.5106</v>
      </c>
      <c r="AW211" s="283">
        <f t="shared" si="26"/>
        <v>13520.5553</v>
      </c>
      <c r="AX211" s="283"/>
      <c r="AY211" s="283"/>
      <c r="AZ211" s="283"/>
      <c r="BA211" s="283"/>
      <c r="BB211" s="283"/>
      <c r="BC211" s="283"/>
      <c r="BD211" s="283"/>
      <c r="BE211" s="283"/>
      <c r="BF211" s="283"/>
      <c r="BG211" s="283"/>
      <c r="BH211" s="283"/>
      <c r="BI211" s="283"/>
      <c r="BJ211" s="283"/>
      <c r="BK211" s="283"/>
      <c r="BL211" s="283"/>
      <c r="BM211" s="283"/>
      <c r="BN211" s="283"/>
      <c r="BO211" s="283"/>
      <c r="BP211" s="283"/>
      <c r="BQ211" s="283"/>
      <c r="BR211" s="283"/>
      <c r="BS211" s="283"/>
      <c r="BT211" s="283"/>
      <c r="BU211" s="283"/>
      <c r="BV211" s="283"/>
      <c r="BW211" s="283">
        <v>100000</v>
      </c>
      <c r="BX211" s="283">
        <v>7603.84615384615</v>
      </c>
      <c r="BY211" s="283">
        <v>5826.92307692308</v>
      </c>
      <c r="BZ211" s="283">
        <v>4240.38461538462</v>
      </c>
      <c r="CA211" s="283">
        <v>7211.44</v>
      </c>
      <c r="CB211" s="283">
        <v>0</v>
      </c>
      <c r="CC211" s="283">
        <f>69100*0.06</f>
        <v>4146</v>
      </c>
      <c r="CD211" s="395">
        <f>74000*0.06</f>
        <v>4440</v>
      </c>
      <c r="CE211" s="283">
        <f>31900*0.3115*2</f>
        <v>19873.7</v>
      </c>
      <c r="CF211" s="283">
        <f>163500*0.06</f>
        <v>9810</v>
      </c>
      <c r="CG211" s="283">
        <v>11172</v>
      </c>
      <c r="CH211" s="283">
        <v>15600</v>
      </c>
      <c r="CI211" s="283">
        <f>0.2916*2*24100</f>
        <v>14055.12</v>
      </c>
      <c r="CJ211" s="283">
        <v>30600</v>
      </c>
      <c r="CK211" s="283">
        <f t="shared" si="27"/>
        <v>22585.04</v>
      </c>
      <c r="CL211" s="370"/>
      <c r="CM211" s="371">
        <f>Summary!$D$10</f>
        <v>496999.618566666</v>
      </c>
      <c r="CN211" s="258">
        <f t="shared" si="23"/>
        <v>0</v>
      </c>
    </row>
    <row r="212" ht="15.6" spans="1:92">
      <c r="A212" s="258" t="s">
        <v>165</v>
      </c>
      <c r="B212" s="258" t="s">
        <v>694</v>
      </c>
      <c r="C212" s="258" t="s">
        <v>230</v>
      </c>
      <c r="D212" s="258" t="s">
        <v>309</v>
      </c>
      <c r="E212" s="258"/>
      <c r="F212" s="260" t="s">
        <v>266</v>
      </c>
      <c r="G212" s="343"/>
      <c r="H212" s="283">
        <f>(AW212+CK212)/2*0.25</f>
        <v>10997.4383333333</v>
      </c>
      <c r="I212" s="360" t="s">
        <v>2400</v>
      </c>
      <c r="J212" s="351"/>
      <c r="K212" s="351"/>
      <c r="L212" s="351"/>
      <c r="M212" s="351"/>
      <c r="N212" s="352"/>
      <c r="O212" s="352"/>
      <c r="P212" s="352"/>
      <c r="Q212" s="353"/>
      <c r="R212" s="353"/>
      <c r="S212" s="353"/>
      <c r="T212" s="353"/>
      <c r="U212" s="353"/>
      <c r="V212" s="353"/>
      <c r="W212" s="353"/>
      <c r="X212" s="353"/>
      <c r="Y212" s="353"/>
      <c r="Z212" s="353"/>
      <c r="AA212" s="353"/>
      <c r="AB212" s="353"/>
      <c r="AC212" s="353"/>
      <c r="AD212" s="353"/>
      <c r="AE212" s="353"/>
      <c r="AF212" s="353"/>
      <c r="AG212" s="353"/>
      <c r="AH212" s="353"/>
      <c r="AI212" s="353">
        <v>49576</v>
      </c>
      <c r="AJ212" s="353">
        <v>50801</v>
      </c>
      <c r="AK212" s="283">
        <v>71550</v>
      </c>
      <c r="AL212" s="283">
        <v>73341</v>
      </c>
      <c r="AM212" s="283" t="s">
        <v>1889</v>
      </c>
      <c r="AN212" s="283" t="s">
        <v>1890</v>
      </c>
      <c r="AO212" s="283" t="s">
        <v>1891</v>
      </c>
      <c r="AP212" s="283">
        <v>88958</v>
      </c>
      <c r="AQ212" s="283" t="s">
        <v>1892</v>
      </c>
      <c r="AR212" s="283" t="s">
        <v>1893</v>
      </c>
      <c r="AS212" s="283" t="s">
        <v>1894</v>
      </c>
      <c r="AT212" s="283" t="s">
        <v>1895</v>
      </c>
      <c r="AU212" s="283" t="s">
        <v>1896</v>
      </c>
      <c r="AV212" s="283" t="s">
        <v>1897</v>
      </c>
      <c r="AW212" s="283">
        <f t="shared" si="26"/>
        <v>62567</v>
      </c>
      <c r="AX212" s="283"/>
      <c r="AY212" s="283"/>
      <c r="AZ212" s="283"/>
      <c r="BA212" s="283"/>
      <c r="BB212" s="283"/>
      <c r="BC212" s="283"/>
      <c r="BD212" s="283"/>
      <c r="BE212" s="283"/>
      <c r="BF212" s="283"/>
      <c r="BG212" s="283"/>
      <c r="BH212" s="283"/>
      <c r="BI212" s="283"/>
      <c r="BJ212" s="283"/>
      <c r="BK212" s="283"/>
      <c r="BL212" s="283"/>
      <c r="BM212" s="283"/>
      <c r="BN212" s="283"/>
      <c r="BO212" s="283"/>
      <c r="BP212" s="283"/>
      <c r="BQ212" s="283"/>
      <c r="BR212" s="283"/>
      <c r="BS212" s="283"/>
      <c r="BT212" s="283"/>
      <c r="BU212" s="283"/>
      <c r="BV212" s="283"/>
      <c r="BW212" s="283">
        <v>45000</v>
      </c>
      <c r="BX212" s="283">
        <v>29600</v>
      </c>
      <c r="BY212" s="283">
        <v>29600</v>
      </c>
      <c r="BZ212" s="283">
        <v>29600</v>
      </c>
      <c r="CA212" s="283">
        <v>46600</v>
      </c>
      <c r="CB212" s="283">
        <v>32300</v>
      </c>
      <c r="CC212" s="283">
        <v>29800</v>
      </c>
      <c r="CD212" s="283">
        <v>58600</v>
      </c>
      <c r="CE212" s="283">
        <v>58600</v>
      </c>
      <c r="CF212" s="283">
        <v>10900</v>
      </c>
      <c r="CG212" s="283">
        <v>14400</v>
      </c>
      <c r="CH212" s="283">
        <v>36600</v>
      </c>
      <c r="CI212" s="283">
        <v>33937.52</v>
      </c>
      <c r="CJ212" s="283">
        <v>16000</v>
      </c>
      <c r="CK212" s="283">
        <f t="shared" si="27"/>
        <v>25412.5066666667</v>
      </c>
      <c r="CL212" s="370"/>
      <c r="CM212" s="371">
        <f>Summary!$D$10</f>
        <v>496999.618566666</v>
      </c>
      <c r="CN212" s="258">
        <f t="shared" si="23"/>
        <v>0</v>
      </c>
    </row>
    <row r="213" ht="15.6" spans="1:92">
      <c r="A213" s="258" t="s">
        <v>165</v>
      </c>
      <c r="B213" s="258" t="s">
        <v>694</v>
      </c>
      <c r="C213" s="258" t="s">
        <v>243</v>
      </c>
      <c r="D213" s="258" t="s">
        <v>298</v>
      </c>
      <c r="E213" s="258" t="s">
        <v>441</v>
      </c>
      <c r="F213" s="260" t="s">
        <v>422</v>
      </c>
      <c r="G213" s="343"/>
      <c r="H213" s="283">
        <f t="shared" ref="H213:H228" si="30">(AW213+CK213)/2</f>
        <v>22825.75</v>
      </c>
      <c r="I213" s="360"/>
      <c r="J213" s="354"/>
      <c r="K213" s="354"/>
      <c r="L213" s="354"/>
      <c r="M213" s="354"/>
      <c r="N213" s="355"/>
      <c r="O213" s="355"/>
      <c r="P213" s="355"/>
      <c r="Q213" s="356"/>
      <c r="R213" s="356"/>
      <c r="S213" s="356"/>
      <c r="T213" s="356"/>
      <c r="U213" s="356"/>
      <c r="V213" s="356"/>
      <c r="W213" s="356"/>
      <c r="X213" s="356"/>
      <c r="Y213" s="356"/>
      <c r="Z213" s="356"/>
      <c r="AA213" s="356"/>
      <c r="AB213" s="356"/>
      <c r="AC213" s="356"/>
      <c r="AD213" s="356"/>
      <c r="AE213" s="356"/>
      <c r="AF213" s="356"/>
      <c r="AG213" s="356"/>
      <c r="AH213" s="356"/>
      <c r="AI213" s="353">
        <v>48280</v>
      </c>
      <c r="AJ213" s="353">
        <v>83370</v>
      </c>
      <c r="AK213" s="283">
        <v>58187</v>
      </c>
      <c r="AL213" s="283">
        <v>68108</v>
      </c>
      <c r="AM213" s="283" t="s">
        <v>2401</v>
      </c>
      <c r="AN213" s="283" t="s">
        <v>2402</v>
      </c>
      <c r="AO213" s="283" t="s">
        <v>2403</v>
      </c>
      <c r="AP213" s="283">
        <v>62322</v>
      </c>
      <c r="AQ213" s="283" t="s">
        <v>2404</v>
      </c>
      <c r="AR213" s="283" t="s">
        <v>2405</v>
      </c>
      <c r="AS213" s="283" t="s">
        <v>2406</v>
      </c>
      <c r="AT213" s="283" t="s">
        <v>2407</v>
      </c>
      <c r="AU213" s="283" t="s">
        <v>2408</v>
      </c>
      <c r="AV213" s="283" t="s">
        <v>2409</v>
      </c>
      <c r="AW213" s="283">
        <f t="shared" si="26"/>
        <v>37918.1666666667</v>
      </c>
      <c r="AX213" s="283"/>
      <c r="AY213" s="283"/>
      <c r="AZ213" s="283"/>
      <c r="BA213" s="283"/>
      <c r="BB213" s="283"/>
      <c r="BC213" s="283"/>
      <c r="BD213" s="283"/>
      <c r="BE213" s="283"/>
      <c r="BF213" s="283"/>
      <c r="BG213" s="283"/>
      <c r="BH213" s="283"/>
      <c r="BI213" s="283"/>
      <c r="BJ213" s="283"/>
      <c r="BK213" s="283"/>
      <c r="BL213" s="283"/>
      <c r="BM213" s="283"/>
      <c r="BN213" s="283"/>
      <c r="BO213" s="283"/>
      <c r="BP213" s="283"/>
      <c r="BQ213" s="283"/>
      <c r="BR213" s="283"/>
      <c r="BS213" s="283"/>
      <c r="BT213" s="283"/>
      <c r="BU213" s="283"/>
      <c r="BV213" s="283"/>
      <c r="BW213" s="283">
        <v>53000</v>
      </c>
      <c r="BX213" s="283">
        <v>46646</v>
      </c>
      <c r="BY213" s="283">
        <v>46646</v>
      </c>
      <c r="BZ213" s="283">
        <v>35700</v>
      </c>
      <c r="CA213" s="283">
        <v>48295.9</v>
      </c>
      <c r="CB213" s="283">
        <v>23300</v>
      </c>
      <c r="CC213" s="283">
        <v>29640</v>
      </c>
      <c r="CD213" s="283">
        <v>16000</v>
      </c>
      <c r="CE213" s="283">
        <v>48200</v>
      </c>
      <c r="CF213" s="283">
        <v>47100</v>
      </c>
      <c r="CG213" s="283">
        <v>11200</v>
      </c>
      <c r="CH213" s="283">
        <v>5200</v>
      </c>
      <c r="CI213" s="283">
        <v>5300</v>
      </c>
      <c r="CJ213" s="283">
        <v>10200</v>
      </c>
      <c r="CK213" s="283">
        <f t="shared" si="27"/>
        <v>7733.33333333333</v>
      </c>
      <c r="CL213" s="372"/>
      <c r="CM213" s="371">
        <f>Summary!$D$10</f>
        <v>496999.618566666</v>
      </c>
      <c r="CN213" s="258">
        <f t="shared" si="23"/>
        <v>0</v>
      </c>
    </row>
    <row r="214" ht="15.6" spans="1:92">
      <c r="A214" s="258" t="s">
        <v>165</v>
      </c>
      <c r="B214" s="258" t="s">
        <v>694</v>
      </c>
      <c r="C214" s="258" t="s">
        <v>230</v>
      </c>
      <c r="D214" s="258" t="s">
        <v>406</v>
      </c>
      <c r="E214" s="258" t="s">
        <v>233</v>
      </c>
      <c r="F214" s="260" t="s">
        <v>60</v>
      </c>
      <c r="G214" s="343"/>
      <c r="H214" s="283">
        <f t="shared" si="30"/>
        <v>10811.4483333333</v>
      </c>
      <c r="I214" s="360"/>
      <c r="J214" s="351"/>
      <c r="K214" s="351"/>
      <c r="L214" s="351"/>
      <c r="M214" s="351"/>
      <c r="N214" s="352"/>
      <c r="O214" s="352"/>
      <c r="P214" s="352"/>
      <c r="Q214" s="353"/>
      <c r="R214" s="353"/>
      <c r="S214" s="353"/>
      <c r="T214" s="353"/>
      <c r="U214" s="353"/>
      <c r="V214" s="353"/>
      <c r="W214" s="353"/>
      <c r="X214" s="353"/>
      <c r="Y214" s="353"/>
      <c r="Z214" s="353"/>
      <c r="AA214" s="353"/>
      <c r="AB214" s="353"/>
      <c r="AC214" s="353"/>
      <c r="AD214" s="353"/>
      <c r="AE214" s="353"/>
      <c r="AF214" s="353"/>
      <c r="AG214" s="353"/>
      <c r="AH214" s="353"/>
      <c r="AI214" s="353">
        <v>20288</v>
      </c>
      <c r="AJ214" s="353">
        <v>18002</v>
      </c>
      <c r="AK214" s="283">
        <v>21273</v>
      </c>
      <c r="AL214" s="283">
        <v>26781</v>
      </c>
      <c r="AM214" s="283" t="s">
        <v>2410</v>
      </c>
      <c r="AN214" s="283" t="s">
        <v>2411</v>
      </c>
      <c r="AO214" s="283" t="s">
        <v>2412</v>
      </c>
      <c r="AP214" s="283">
        <f>16853*0.245*2</f>
        <v>8257.97</v>
      </c>
      <c r="AQ214" s="283" t="s">
        <v>2413</v>
      </c>
      <c r="AR214" s="283" t="s">
        <v>2414</v>
      </c>
      <c r="AS214" s="283" t="s">
        <v>2415</v>
      </c>
      <c r="AT214" s="283" t="s">
        <v>2416</v>
      </c>
      <c r="AU214" s="283" t="s">
        <v>2417</v>
      </c>
      <c r="AV214" s="283" t="s">
        <v>2418</v>
      </c>
      <c r="AW214" s="283">
        <f t="shared" si="26"/>
        <v>18231.6666666667</v>
      </c>
      <c r="AX214" s="283"/>
      <c r="AY214" s="283"/>
      <c r="AZ214" s="283"/>
      <c r="BA214" s="283"/>
      <c r="BB214" s="283"/>
      <c r="BC214" s="283"/>
      <c r="BD214" s="283"/>
      <c r="BE214" s="283"/>
      <c r="BF214" s="283"/>
      <c r="BG214" s="283"/>
      <c r="BH214" s="283"/>
      <c r="BI214" s="283"/>
      <c r="BJ214" s="283"/>
      <c r="BK214" s="283"/>
      <c r="BL214" s="283"/>
      <c r="BM214" s="283"/>
      <c r="BN214" s="283"/>
      <c r="BO214" s="283"/>
      <c r="BP214" s="283"/>
      <c r="BQ214" s="283"/>
      <c r="BR214" s="283"/>
      <c r="BS214" s="283"/>
      <c r="BT214" s="283"/>
      <c r="BU214" s="283"/>
      <c r="BV214" s="283"/>
      <c r="BW214" s="283">
        <v>10000</v>
      </c>
      <c r="BX214" s="283">
        <v>38200</v>
      </c>
      <c r="BY214" s="283">
        <v>38200</v>
      </c>
      <c r="BZ214" s="283">
        <v>33400</v>
      </c>
      <c r="CA214" s="283">
        <v>11300</v>
      </c>
      <c r="CB214" s="283">
        <v>23100</v>
      </c>
      <c r="CC214" s="283">
        <v>28000</v>
      </c>
      <c r="CD214" s="283">
        <v>14400</v>
      </c>
      <c r="CE214" s="283">
        <v>12400</v>
      </c>
      <c r="CF214" s="283">
        <v>11151</v>
      </c>
      <c r="CG214" s="283">
        <v>11000</v>
      </c>
      <c r="CH214" s="283">
        <v>1500</v>
      </c>
      <c r="CI214" s="283">
        <v>3000</v>
      </c>
      <c r="CJ214" s="283">
        <v>4282.46</v>
      </c>
      <c r="CK214" s="283">
        <f t="shared" si="27"/>
        <v>3391.23</v>
      </c>
      <c r="CL214" s="370"/>
      <c r="CM214" s="371">
        <f>Summary!$D$10</f>
        <v>496999.618566666</v>
      </c>
      <c r="CN214" s="258">
        <f t="shared" si="23"/>
        <v>0</v>
      </c>
    </row>
    <row r="215" ht="15.6" spans="1:92">
      <c r="A215" s="258" t="s">
        <v>165</v>
      </c>
      <c r="B215" s="258" t="s">
        <v>694</v>
      </c>
      <c r="C215" s="258" t="s">
        <v>230</v>
      </c>
      <c r="D215" s="258" t="s">
        <v>2419</v>
      </c>
      <c r="E215" s="258" t="s">
        <v>233</v>
      </c>
      <c r="F215" s="260" t="s">
        <v>371</v>
      </c>
      <c r="G215" s="343"/>
      <c r="H215" s="283">
        <f t="shared" si="30"/>
        <v>13226.1666666667</v>
      </c>
      <c r="I215" s="292"/>
      <c r="J215" s="351">
        <v>2775</v>
      </c>
      <c r="K215" s="351">
        <v>1599</v>
      </c>
      <c r="L215" s="351">
        <v>3401</v>
      </c>
      <c r="M215" s="351">
        <v>5121</v>
      </c>
      <c r="N215" s="352">
        <v>2515</v>
      </c>
      <c r="O215" s="353">
        <v>8326</v>
      </c>
      <c r="P215" s="353">
        <v>4231</v>
      </c>
      <c r="Q215" s="353">
        <v>3769</v>
      </c>
      <c r="R215" s="353">
        <v>7686</v>
      </c>
      <c r="S215" s="353">
        <v>3750</v>
      </c>
      <c r="T215" s="353">
        <v>2297</v>
      </c>
      <c r="U215" s="353" t="e">
        <f>VLOOKUP(D215,Mid!$A$2:$C$225,2,FALSE)</f>
        <v>#N/A</v>
      </c>
      <c r="V215" s="353">
        <v>5391</v>
      </c>
      <c r="W215" s="353">
        <v>3547</v>
      </c>
      <c r="X215" s="353">
        <v>2505</v>
      </c>
      <c r="Y215" s="353">
        <v>4607</v>
      </c>
      <c r="Z215" s="353">
        <v>5157</v>
      </c>
      <c r="AA215" s="353">
        <v>6249</v>
      </c>
      <c r="AB215" s="353">
        <v>7487</v>
      </c>
      <c r="AC215" s="353">
        <v>10124</v>
      </c>
      <c r="AD215" s="353">
        <v>8425</v>
      </c>
      <c r="AE215" s="353">
        <v>32126</v>
      </c>
      <c r="AF215" s="353">
        <v>14882</v>
      </c>
      <c r="AG215" s="353">
        <v>5686</v>
      </c>
      <c r="AH215" s="353">
        <v>2851</v>
      </c>
      <c r="AI215" s="353">
        <v>8500</v>
      </c>
      <c r="AJ215" s="367">
        <v>6883</v>
      </c>
      <c r="AK215" s="283" t="s">
        <v>2420</v>
      </c>
      <c r="AL215" s="283">
        <v>5615</v>
      </c>
      <c r="AM215" s="283" t="s">
        <v>2421</v>
      </c>
      <c r="AN215" s="283" t="s">
        <v>2422</v>
      </c>
      <c r="AO215" s="283" t="s">
        <v>2423</v>
      </c>
      <c r="AP215" s="283">
        <v>5898</v>
      </c>
      <c r="AQ215" s="283" t="s">
        <v>2424</v>
      </c>
      <c r="AR215" s="283" t="s">
        <v>2425</v>
      </c>
      <c r="AS215" s="283" t="s">
        <v>2426</v>
      </c>
      <c r="AT215" s="283" t="s">
        <v>2427</v>
      </c>
      <c r="AU215" s="283" t="s">
        <v>2428</v>
      </c>
      <c r="AV215" s="283" t="s">
        <v>2429</v>
      </c>
      <c r="AW215" s="283">
        <f t="shared" si="26"/>
        <v>2419</v>
      </c>
      <c r="AX215" s="283">
        <v>6200</v>
      </c>
      <c r="AY215" s="283">
        <v>6300</v>
      </c>
      <c r="AZ215" s="283">
        <v>8100</v>
      </c>
      <c r="BA215" s="283">
        <v>10100</v>
      </c>
      <c r="BB215" s="283">
        <v>8200</v>
      </c>
      <c r="BC215" s="283">
        <v>5800</v>
      </c>
      <c r="BD215" s="283">
        <v>7600</v>
      </c>
      <c r="BE215" s="283">
        <v>7400</v>
      </c>
      <c r="BF215" s="283">
        <v>0</v>
      </c>
      <c r="BG215" s="283">
        <v>5700</v>
      </c>
      <c r="BH215" s="283">
        <v>4400</v>
      </c>
      <c r="BI215" s="283" t="e">
        <f>VLOOKUP(D215,Mid!$A$2:$C$225,3,FALSE)</f>
        <v>#N/A</v>
      </c>
      <c r="BJ215" s="283">
        <v>1400</v>
      </c>
      <c r="BK215" s="283">
        <v>1700</v>
      </c>
      <c r="BL215" s="283">
        <v>1300</v>
      </c>
      <c r="BM215" s="283">
        <v>2900</v>
      </c>
      <c r="BN215" s="283">
        <v>4600</v>
      </c>
      <c r="BO215" s="283">
        <v>1600</v>
      </c>
      <c r="BP215" s="283">
        <v>3000</v>
      </c>
      <c r="BQ215" s="283">
        <v>1700</v>
      </c>
      <c r="BR215" s="283">
        <v>12114</v>
      </c>
      <c r="BS215" s="283">
        <v>3600</v>
      </c>
      <c r="BT215" s="283">
        <v>3400</v>
      </c>
      <c r="BU215" s="283">
        <v>2900</v>
      </c>
      <c r="BV215" s="283">
        <v>98</v>
      </c>
      <c r="BW215" s="283">
        <v>12000</v>
      </c>
      <c r="BX215" s="283">
        <v>10800</v>
      </c>
      <c r="BY215" s="283">
        <v>10800</v>
      </c>
      <c r="BZ215" s="283">
        <v>6200</v>
      </c>
      <c r="CA215" s="283">
        <v>18100</v>
      </c>
      <c r="CB215" s="283">
        <v>5600</v>
      </c>
      <c r="CC215" s="283">
        <v>4320</v>
      </c>
      <c r="CD215" s="283">
        <v>905</v>
      </c>
      <c r="CE215" s="283">
        <v>905</v>
      </c>
      <c r="CF215" s="283">
        <v>2100</v>
      </c>
      <c r="CG215" s="283">
        <v>3700</v>
      </c>
      <c r="CH215" s="283">
        <v>1900</v>
      </c>
      <c r="CI215" s="283">
        <v>65300</v>
      </c>
      <c r="CJ215" s="283">
        <v>3900</v>
      </c>
      <c r="CK215" s="283">
        <f t="shared" si="27"/>
        <v>24033.3333333333</v>
      </c>
      <c r="CL215" s="370"/>
      <c r="CM215" s="371">
        <f>Summary!$D$10</f>
        <v>496999.618566666</v>
      </c>
      <c r="CN215" s="258">
        <f t="shared" si="23"/>
        <v>0</v>
      </c>
    </row>
    <row r="216" ht="15.6" spans="1:92">
      <c r="A216" s="258" t="s">
        <v>165</v>
      </c>
      <c r="B216" s="258" t="s">
        <v>694</v>
      </c>
      <c r="C216" s="258" t="s">
        <v>243</v>
      </c>
      <c r="D216" s="258" t="s">
        <v>2430</v>
      </c>
      <c r="E216" s="258" t="s">
        <v>441</v>
      </c>
      <c r="F216" s="260" t="s">
        <v>266</v>
      </c>
      <c r="G216" s="343"/>
      <c r="H216" s="283">
        <f t="shared" si="30"/>
        <v>1422.41666666667</v>
      </c>
      <c r="I216" s="360" t="s">
        <v>2323</v>
      </c>
      <c r="J216" s="351">
        <v>11736</v>
      </c>
      <c r="K216" s="351">
        <v>4007</v>
      </c>
      <c r="L216" s="351">
        <v>6428</v>
      </c>
      <c r="M216" s="351">
        <v>7057</v>
      </c>
      <c r="N216" s="352">
        <v>6521</v>
      </c>
      <c r="O216" s="352">
        <v>8098</v>
      </c>
      <c r="P216" s="353">
        <v>0</v>
      </c>
      <c r="Q216" s="353">
        <v>7283</v>
      </c>
      <c r="R216" s="353">
        <v>6120</v>
      </c>
      <c r="S216" s="353">
        <v>4175</v>
      </c>
      <c r="T216" s="353">
        <v>3637</v>
      </c>
      <c r="U216" s="353" t="e">
        <f>VLOOKUP(D216,Mid!$A$2:$C$225,2,FALSE)</f>
        <v>#N/A</v>
      </c>
      <c r="V216" s="353">
        <v>3900</v>
      </c>
      <c r="W216" s="353">
        <v>262</v>
      </c>
      <c r="X216" s="353">
        <v>1590</v>
      </c>
      <c r="Y216" s="353">
        <v>1094</v>
      </c>
      <c r="Z216" s="353">
        <v>1297</v>
      </c>
      <c r="AA216" s="353">
        <v>2319</v>
      </c>
      <c r="AB216" s="353">
        <v>1236</v>
      </c>
      <c r="AC216" s="353">
        <v>3200</v>
      </c>
      <c r="AD216" s="353">
        <v>2903</v>
      </c>
      <c r="AE216" s="353">
        <v>4176</v>
      </c>
      <c r="AF216" s="353">
        <v>0</v>
      </c>
      <c r="AG216" s="353">
        <v>702</v>
      </c>
      <c r="AH216" s="353">
        <v>1336</v>
      </c>
      <c r="AI216" s="353">
        <v>5159</v>
      </c>
      <c r="AJ216" s="367">
        <v>6287</v>
      </c>
      <c r="AK216" s="283" t="s">
        <v>2431</v>
      </c>
      <c r="AL216" s="283">
        <v>5095</v>
      </c>
      <c r="AM216" s="283" t="s">
        <v>2432</v>
      </c>
      <c r="AN216" s="283" t="s">
        <v>2433</v>
      </c>
      <c r="AO216" s="283" t="s">
        <v>2434</v>
      </c>
      <c r="AP216" s="283">
        <f>8624*0.0634*2</f>
        <v>1093.5232</v>
      </c>
      <c r="AQ216" s="283" t="s">
        <v>2435</v>
      </c>
      <c r="AR216" s="283" t="s">
        <v>2436</v>
      </c>
      <c r="AS216" s="283" t="s">
        <v>2437</v>
      </c>
      <c r="AT216" s="283" t="s">
        <v>2438</v>
      </c>
      <c r="AU216" s="283" t="s">
        <v>2439</v>
      </c>
      <c r="AV216" s="283" t="s">
        <v>796</v>
      </c>
      <c r="AW216" s="283">
        <f t="shared" si="26"/>
        <v>2844.83333333333</v>
      </c>
      <c r="AX216" s="283">
        <v>0</v>
      </c>
      <c r="AY216" s="283">
        <v>0</v>
      </c>
      <c r="AZ216" s="283">
        <v>0</v>
      </c>
      <c r="BA216" s="283">
        <v>0</v>
      </c>
      <c r="BB216" s="283">
        <v>0</v>
      </c>
      <c r="BC216" s="283">
        <v>9200</v>
      </c>
      <c r="BD216" s="283">
        <v>8300</v>
      </c>
      <c r="BE216" s="283">
        <v>8100</v>
      </c>
      <c r="BF216" s="283">
        <v>5800</v>
      </c>
      <c r="BG216" s="283">
        <v>1400</v>
      </c>
      <c r="BH216" s="283">
        <v>1100</v>
      </c>
      <c r="BI216" s="283" t="e">
        <f>VLOOKUP(D216,Mid!$A$2:$C$225,3,FALSE)</f>
        <v>#N/A</v>
      </c>
      <c r="BJ216" s="283">
        <v>3500</v>
      </c>
      <c r="BK216" s="283">
        <v>2300</v>
      </c>
      <c r="BL216" s="283">
        <v>1900</v>
      </c>
      <c r="BM216" s="283">
        <v>2500</v>
      </c>
      <c r="BN216" s="283">
        <v>2700</v>
      </c>
      <c r="BO216" s="283">
        <v>4500</v>
      </c>
      <c r="BP216" s="283">
        <v>472</v>
      </c>
      <c r="BQ216" s="283">
        <v>1400</v>
      </c>
      <c r="BR216" s="283">
        <v>304</v>
      </c>
      <c r="BS216" s="283">
        <v>29800</v>
      </c>
      <c r="BT216" s="283">
        <v>4100</v>
      </c>
      <c r="BU216" s="283">
        <v>1400</v>
      </c>
      <c r="BV216" s="283">
        <v>2966</v>
      </c>
      <c r="BW216" s="283">
        <v>1700</v>
      </c>
      <c r="BX216" s="283">
        <v>6800</v>
      </c>
      <c r="BY216" s="283">
        <v>6800</v>
      </c>
      <c r="BZ216" s="283">
        <v>1200</v>
      </c>
      <c r="CA216" s="283">
        <v>1200</v>
      </c>
      <c r="CB216" s="283">
        <v>7500</v>
      </c>
      <c r="CC216" s="283">
        <v>0</v>
      </c>
      <c r="CD216" s="283">
        <v>0</v>
      </c>
      <c r="CE216" s="283">
        <v>5800</v>
      </c>
      <c r="CF216" s="283">
        <v>439</v>
      </c>
      <c r="CG216" s="283">
        <v>432</v>
      </c>
      <c r="CH216" s="283">
        <v>0</v>
      </c>
      <c r="CI216" s="283">
        <v>0</v>
      </c>
      <c r="CJ216" s="283">
        <v>0</v>
      </c>
      <c r="CK216" s="283">
        <f t="shared" si="27"/>
        <v>0</v>
      </c>
      <c r="CL216" s="370"/>
      <c r="CM216" s="371">
        <f>Summary!$D$10</f>
        <v>496999.618566666</v>
      </c>
      <c r="CN216" s="258">
        <f t="shared" si="23"/>
        <v>0</v>
      </c>
    </row>
    <row r="217" ht="15.6" spans="1:92">
      <c r="A217" s="258" t="s">
        <v>165</v>
      </c>
      <c r="B217" s="258" t="s">
        <v>694</v>
      </c>
      <c r="C217" s="258" t="s">
        <v>1992</v>
      </c>
      <c r="D217" s="258" t="s">
        <v>2440</v>
      </c>
      <c r="E217" s="258" t="s">
        <v>233</v>
      </c>
      <c r="F217" s="260" t="s">
        <v>424</v>
      </c>
      <c r="G217" s="343"/>
      <c r="H217" s="283">
        <f t="shared" si="30"/>
        <v>1918.58333333333</v>
      </c>
      <c r="I217" s="360" t="s">
        <v>2323</v>
      </c>
      <c r="J217" s="351">
        <v>1670</v>
      </c>
      <c r="K217" s="351">
        <v>4265</v>
      </c>
      <c r="L217" s="351">
        <v>546</v>
      </c>
      <c r="M217" s="351">
        <v>1601</v>
      </c>
      <c r="N217" s="352">
        <v>953</v>
      </c>
      <c r="O217" s="353">
        <v>3362</v>
      </c>
      <c r="P217" s="353">
        <v>1380</v>
      </c>
      <c r="Q217" s="353">
        <v>0</v>
      </c>
      <c r="R217" s="353">
        <v>0</v>
      </c>
      <c r="S217" s="353">
        <v>1321</v>
      </c>
      <c r="T217" s="353">
        <v>0</v>
      </c>
      <c r="U217" s="353" t="e">
        <f>VLOOKUP(D217,Mid!$A$2:$C$225,2,FALSE)</f>
        <v>#N/A</v>
      </c>
      <c r="V217" s="353">
        <v>0</v>
      </c>
      <c r="W217" s="353">
        <v>746</v>
      </c>
      <c r="X217" s="353">
        <v>1941</v>
      </c>
      <c r="Y217" s="353">
        <v>602</v>
      </c>
      <c r="Z217" s="353">
        <v>1819</v>
      </c>
      <c r="AA217" s="353">
        <v>5149</v>
      </c>
      <c r="AB217" s="353">
        <v>10009</v>
      </c>
      <c r="AC217" s="353">
        <v>3336</v>
      </c>
      <c r="AD217" s="353">
        <v>3287</v>
      </c>
      <c r="AE217" s="353">
        <v>3021</v>
      </c>
      <c r="AF217" s="353">
        <v>3896</v>
      </c>
      <c r="AG217" s="353">
        <v>5453</v>
      </c>
      <c r="AH217" s="353">
        <v>4630</v>
      </c>
      <c r="AI217" s="353">
        <v>5395</v>
      </c>
      <c r="AJ217" s="353">
        <v>0</v>
      </c>
      <c r="AK217" s="283" t="s">
        <v>2441</v>
      </c>
      <c r="AL217" s="283">
        <v>2220</v>
      </c>
      <c r="AM217" s="283" t="s">
        <v>2442</v>
      </c>
      <c r="AN217" s="283" t="s">
        <v>2443</v>
      </c>
      <c r="AO217" s="283" t="s">
        <v>2444</v>
      </c>
      <c r="AP217" s="283">
        <v>2500</v>
      </c>
      <c r="AQ217" s="283" t="s">
        <v>2445</v>
      </c>
      <c r="AR217" s="283" t="s">
        <v>2446</v>
      </c>
      <c r="AS217" s="283" t="s">
        <v>1442</v>
      </c>
      <c r="AT217" s="283" t="s">
        <v>1576</v>
      </c>
      <c r="AU217" s="283" t="s">
        <v>2447</v>
      </c>
      <c r="AV217" s="283" t="s">
        <v>2448</v>
      </c>
      <c r="AW217" s="283">
        <f t="shared" si="26"/>
        <v>3837.16666666667</v>
      </c>
      <c r="AX217" s="283">
        <v>0</v>
      </c>
      <c r="AY217" s="283">
        <v>0</v>
      </c>
      <c r="AZ217" s="283">
        <v>0</v>
      </c>
      <c r="BA217" s="283">
        <v>0</v>
      </c>
      <c r="BB217" s="283">
        <v>0</v>
      </c>
      <c r="BC217" s="283">
        <v>93</v>
      </c>
      <c r="BD217" s="283">
        <v>0</v>
      </c>
      <c r="BE217" s="283">
        <v>0</v>
      </c>
      <c r="BF217" s="283">
        <v>0</v>
      </c>
      <c r="BG217" s="283">
        <v>0</v>
      </c>
      <c r="BH217" s="283">
        <v>2300</v>
      </c>
      <c r="BI217" s="283" t="e">
        <f>VLOOKUP(D217,Mid!$A$2:$C$225,3,FALSE)</f>
        <v>#N/A</v>
      </c>
      <c r="BJ217" s="283">
        <v>2500</v>
      </c>
      <c r="BK217" s="283">
        <v>2800</v>
      </c>
      <c r="BL217" s="283">
        <v>0</v>
      </c>
      <c r="BM217" s="283">
        <v>4000</v>
      </c>
      <c r="BN217" s="283">
        <v>1300</v>
      </c>
      <c r="BO217" s="283">
        <v>1600</v>
      </c>
      <c r="BP217" s="283">
        <v>0</v>
      </c>
      <c r="BQ217" s="283">
        <v>359</v>
      </c>
      <c r="BR217" s="283">
        <v>1400</v>
      </c>
      <c r="BS217" s="283">
        <v>1600</v>
      </c>
      <c r="BT217" s="283">
        <v>2300</v>
      </c>
      <c r="BU217" s="283">
        <v>2300</v>
      </c>
      <c r="BV217" s="283">
        <v>3000</v>
      </c>
      <c r="BW217" s="283">
        <v>1</v>
      </c>
      <c r="BX217" s="283">
        <v>1600</v>
      </c>
      <c r="BY217" s="283">
        <v>1600</v>
      </c>
      <c r="BZ217" s="283">
        <v>3000</v>
      </c>
      <c r="CA217" s="283">
        <v>1700</v>
      </c>
      <c r="CB217" s="283">
        <v>3100</v>
      </c>
      <c r="CC217" s="283">
        <v>0</v>
      </c>
      <c r="CD217" s="283">
        <v>99</v>
      </c>
      <c r="CE217" s="283">
        <v>99</v>
      </c>
      <c r="CF217" s="283">
        <v>0</v>
      </c>
      <c r="CG217" s="283">
        <v>0</v>
      </c>
      <c r="CH217" s="283">
        <v>0</v>
      </c>
      <c r="CI217" s="283">
        <v>0</v>
      </c>
      <c r="CJ217" s="283">
        <v>0</v>
      </c>
      <c r="CK217" s="283">
        <f t="shared" si="27"/>
        <v>0</v>
      </c>
      <c r="CL217" s="370"/>
      <c r="CM217" s="371">
        <f>Summary!$D$10</f>
        <v>496999.618566666</v>
      </c>
      <c r="CN217" s="258">
        <f t="shared" si="23"/>
        <v>0</v>
      </c>
    </row>
    <row r="218" ht="15.6" spans="1:92">
      <c r="A218" s="258" t="s">
        <v>165</v>
      </c>
      <c r="B218" s="258" t="s">
        <v>694</v>
      </c>
      <c r="C218" s="258" t="s">
        <v>230</v>
      </c>
      <c r="D218" s="258" t="s">
        <v>2449</v>
      </c>
      <c r="E218" s="392" t="s">
        <v>233</v>
      </c>
      <c r="F218" s="393" t="s">
        <v>50</v>
      </c>
      <c r="G218" s="343"/>
      <c r="H218" s="283">
        <f t="shared" si="30"/>
        <v>186.75</v>
      </c>
      <c r="I218" s="292" t="s">
        <v>1580</v>
      </c>
      <c r="J218" s="357">
        <v>0</v>
      </c>
      <c r="K218" s="357">
        <v>0</v>
      </c>
      <c r="L218" s="357">
        <v>0</v>
      </c>
      <c r="M218" s="357">
        <v>0</v>
      </c>
      <c r="N218" s="358">
        <v>0</v>
      </c>
      <c r="O218" s="359">
        <v>0</v>
      </c>
      <c r="P218" s="359">
        <v>0</v>
      </c>
      <c r="Q218" s="359">
        <v>0</v>
      </c>
      <c r="R218" s="359">
        <v>0</v>
      </c>
      <c r="S218" s="359">
        <v>0</v>
      </c>
      <c r="T218" s="359">
        <v>0</v>
      </c>
      <c r="U218" s="353" t="e">
        <f>VLOOKUP(D218,Mid!$A$2:$C$225,2,FALSE)</f>
        <v>#N/A</v>
      </c>
      <c r="V218" s="353">
        <v>0</v>
      </c>
      <c r="W218" s="353">
        <v>0</v>
      </c>
      <c r="X218" s="353">
        <v>0</v>
      </c>
      <c r="Y218" s="353">
        <v>0</v>
      </c>
      <c r="Z218" s="353">
        <v>0</v>
      </c>
      <c r="AA218" s="353">
        <v>0</v>
      </c>
      <c r="AB218" s="353">
        <v>0</v>
      </c>
      <c r="AC218" s="353">
        <v>0</v>
      </c>
      <c r="AD218" s="353">
        <v>0</v>
      </c>
      <c r="AE218" s="353">
        <v>0</v>
      </c>
      <c r="AF218" s="353"/>
      <c r="AG218" s="353">
        <v>0</v>
      </c>
      <c r="AH218" s="353">
        <v>0</v>
      </c>
      <c r="AI218" s="353">
        <v>0</v>
      </c>
      <c r="AJ218" s="353">
        <v>0</v>
      </c>
      <c r="AK218" s="283">
        <v>6744</v>
      </c>
      <c r="AL218" s="283">
        <v>942</v>
      </c>
      <c r="AM218" s="283" t="s">
        <v>2450</v>
      </c>
      <c r="AN218" s="283" t="s">
        <v>2451</v>
      </c>
      <c r="AO218" s="283" t="s">
        <v>2452</v>
      </c>
      <c r="AP218" s="283">
        <v>2500</v>
      </c>
      <c r="AQ218" s="283" t="s">
        <v>2453</v>
      </c>
      <c r="AR218" s="283" t="s">
        <v>2454</v>
      </c>
      <c r="AS218" s="283" t="s">
        <v>2455</v>
      </c>
      <c r="AT218" s="283" t="s">
        <v>796</v>
      </c>
      <c r="AU218" s="283" t="s">
        <v>2456</v>
      </c>
      <c r="AV218" s="283" t="s">
        <v>2457</v>
      </c>
      <c r="AW218" s="283">
        <f t="shared" si="26"/>
        <v>373.5</v>
      </c>
      <c r="AX218" s="283">
        <v>0</v>
      </c>
      <c r="AY218" s="283">
        <v>0</v>
      </c>
      <c r="AZ218" s="283">
        <v>0</v>
      </c>
      <c r="BA218" s="283">
        <v>0</v>
      </c>
      <c r="BB218" s="283">
        <v>0</v>
      </c>
      <c r="BC218" s="283">
        <v>0</v>
      </c>
      <c r="BD218" s="283">
        <v>0</v>
      </c>
      <c r="BE218" s="283">
        <v>0</v>
      </c>
      <c r="BF218" s="283">
        <v>0</v>
      </c>
      <c r="BG218" s="283">
        <v>0</v>
      </c>
      <c r="BH218" s="283">
        <v>0</v>
      </c>
      <c r="BI218" s="283" t="e">
        <f>VLOOKUP(D218,Mid!$A$2:$C$225,3,FALSE)</f>
        <v>#N/A</v>
      </c>
      <c r="BJ218" s="283">
        <v>0</v>
      </c>
      <c r="BK218" s="283">
        <v>0</v>
      </c>
      <c r="BL218" s="283">
        <v>0</v>
      </c>
      <c r="BM218" s="283">
        <v>0</v>
      </c>
      <c r="BN218" s="283">
        <v>0</v>
      </c>
      <c r="BO218" s="283">
        <v>0</v>
      </c>
      <c r="BP218" s="283">
        <v>0</v>
      </c>
      <c r="BQ218" s="283">
        <v>0</v>
      </c>
      <c r="BR218" s="283">
        <v>3900</v>
      </c>
      <c r="BS218" s="283">
        <v>0</v>
      </c>
      <c r="BT218" s="283">
        <v>3000</v>
      </c>
      <c r="BU218" s="283">
        <v>0</v>
      </c>
      <c r="BV218" s="283">
        <v>1800</v>
      </c>
      <c r="BW218" s="283">
        <v>2200</v>
      </c>
      <c r="BX218" s="283">
        <v>0</v>
      </c>
      <c r="BY218" s="283">
        <v>0</v>
      </c>
      <c r="BZ218" s="283">
        <v>0</v>
      </c>
      <c r="CA218" s="283">
        <v>0</v>
      </c>
      <c r="CB218" s="283">
        <v>4800</v>
      </c>
      <c r="CC218" s="283">
        <v>0</v>
      </c>
      <c r="CD218" s="283">
        <v>0</v>
      </c>
      <c r="CE218" s="283">
        <v>0</v>
      </c>
      <c r="CF218" s="283">
        <v>878</v>
      </c>
      <c r="CG218" s="283">
        <v>0</v>
      </c>
      <c r="CH218" s="283">
        <v>0</v>
      </c>
      <c r="CI218" s="283">
        <v>0</v>
      </c>
      <c r="CJ218" s="283">
        <v>0</v>
      </c>
      <c r="CK218" s="283">
        <f t="shared" si="27"/>
        <v>0</v>
      </c>
      <c r="CL218" s="370"/>
      <c r="CM218" s="371">
        <f>Summary!$D$10</f>
        <v>496999.618566666</v>
      </c>
      <c r="CN218" s="258">
        <f t="shared" si="23"/>
        <v>0</v>
      </c>
    </row>
    <row r="219" ht="15.6" spans="1:92">
      <c r="A219" s="258" t="s">
        <v>165</v>
      </c>
      <c r="B219" s="258" t="s">
        <v>694</v>
      </c>
      <c r="C219" s="258" t="s">
        <v>230</v>
      </c>
      <c r="D219" s="258" t="s">
        <v>294</v>
      </c>
      <c r="E219" s="258" t="s">
        <v>233</v>
      </c>
      <c r="F219" s="393" t="s">
        <v>250</v>
      </c>
      <c r="G219" s="343"/>
      <c r="H219" s="283">
        <f t="shared" si="30"/>
        <v>40214.4885666667</v>
      </c>
      <c r="I219" s="360" t="s">
        <v>2061</v>
      </c>
      <c r="J219" s="354"/>
      <c r="K219" s="354"/>
      <c r="L219" s="354"/>
      <c r="M219" s="354"/>
      <c r="N219" s="355"/>
      <c r="O219" s="356"/>
      <c r="P219" s="356"/>
      <c r="Q219" s="356"/>
      <c r="R219" s="356"/>
      <c r="S219" s="356"/>
      <c r="T219" s="356"/>
      <c r="U219" s="356"/>
      <c r="V219" s="356">
        <v>25618</v>
      </c>
      <c r="W219" s="356">
        <v>73272</v>
      </c>
      <c r="X219" s="356">
        <v>53539</v>
      </c>
      <c r="Y219" s="356">
        <v>36122</v>
      </c>
      <c r="Z219" s="356">
        <v>36622</v>
      </c>
      <c r="AA219" s="356">
        <v>36207</v>
      </c>
      <c r="AB219" s="356">
        <v>49788</v>
      </c>
      <c r="AC219" s="356">
        <v>37403</v>
      </c>
      <c r="AD219" s="356">
        <v>43524</v>
      </c>
      <c r="AE219" s="356">
        <v>35531</v>
      </c>
      <c r="AF219" s="356">
        <v>52004</v>
      </c>
      <c r="AG219" s="356">
        <v>52004</v>
      </c>
      <c r="AH219" s="356">
        <v>48444</v>
      </c>
      <c r="AI219" s="353">
        <v>42021</v>
      </c>
      <c r="AJ219" s="367">
        <v>44540</v>
      </c>
      <c r="AK219" s="283" t="s">
        <v>2458</v>
      </c>
      <c r="AL219" s="283">
        <v>49535</v>
      </c>
      <c r="AM219" s="283" t="s">
        <v>2459</v>
      </c>
      <c r="AN219" s="283" t="s">
        <v>2460</v>
      </c>
      <c r="AO219" s="283" t="s">
        <v>2461</v>
      </c>
      <c r="AP219" s="283">
        <f>44269*0.3153*2</f>
        <v>27916.0314</v>
      </c>
      <c r="AQ219" s="283">
        <f>55517*0.1955*2</f>
        <v>21707.147</v>
      </c>
      <c r="AR219" s="283">
        <f>56059*0.2772*2</f>
        <v>31079.1096</v>
      </c>
      <c r="AS219" s="283" t="s">
        <v>2462</v>
      </c>
      <c r="AT219" s="283">
        <f>62293*0.2898*2</f>
        <v>36105.0228</v>
      </c>
      <c r="AU219" s="283" t="s">
        <v>2463</v>
      </c>
      <c r="AV219" s="283" t="s">
        <v>2464</v>
      </c>
      <c r="AW219" s="283">
        <f t="shared" si="26"/>
        <v>53853.1704666667</v>
      </c>
      <c r="AX219" s="283"/>
      <c r="AY219" s="283"/>
      <c r="AZ219" s="283"/>
      <c r="BA219" s="283"/>
      <c r="BB219" s="283"/>
      <c r="BC219" s="283"/>
      <c r="BD219" s="283"/>
      <c r="BE219" s="283"/>
      <c r="BF219" s="283"/>
      <c r="BG219" s="283"/>
      <c r="BH219" s="283"/>
      <c r="BI219" s="283"/>
      <c r="BJ219" s="283">
        <v>10000</v>
      </c>
      <c r="BK219" s="283">
        <v>0</v>
      </c>
      <c r="BL219" s="283">
        <v>10700</v>
      </c>
      <c r="BM219" s="283">
        <v>18600</v>
      </c>
      <c r="BN219" s="283">
        <v>41900</v>
      </c>
      <c r="BO219" s="283">
        <v>33300</v>
      </c>
      <c r="BP219" s="283">
        <v>31800</v>
      </c>
      <c r="BQ219" s="283">
        <v>24800</v>
      </c>
      <c r="BR219" s="283">
        <v>30000</v>
      </c>
      <c r="BS219" s="283">
        <v>32000</v>
      </c>
      <c r="BT219" s="283">
        <v>47000</v>
      </c>
      <c r="BU219" s="283">
        <v>52200</v>
      </c>
      <c r="BV219" s="283">
        <v>25500</v>
      </c>
      <c r="BW219" s="283">
        <v>25300</v>
      </c>
      <c r="BX219" s="283">
        <v>37131</v>
      </c>
      <c r="BY219" s="283">
        <v>37131</v>
      </c>
      <c r="BZ219" s="283">
        <v>45704</v>
      </c>
      <c r="CA219" s="283">
        <v>30076.96</v>
      </c>
      <c r="CB219" s="283">
        <v>14280</v>
      </c>
      <c r="CC219" s="283">
        <v>26352</v>
      </c>
      <c r="CD219" s="283">
        <v>38400</v>
      </c>
      <c r="CE219" s="283">
        <v>26200</v>
      </c>
      <c r="CF219" s="283">
        <v>41669.1</v>
      </c>
      <c r="CG219" s="283">
        <v>67800</v>
      </c>
      <c r="CH219" s="283">
        <v>24800</v>
      </c>
      <c r="CI219" s="283">
        <v>24957.4</v>
      </c>
      <c r="CJ219" s="283">
        <v>28246.68</v>
      </c>
      <c r="CK219" s="283">
        <f t="shared" si="27"/>
        <v>26575.8066666667</v>
      </c>
      <c r="CL219" s="372"/>
      <c r="CM219" s="371">
        <f>Summary!$D$10</f>
        <v>496999.618566666</v>
      </c>
      <c r="CN219" s="258">
        <f t="shared" si="23"/>
        <v>1</v>
      </c>
    </row>
    <row r="220" ht="15.6" spans="1:92">
      <c r="A220" s="258" t="s">
        <v>141</v>
      </c>
      <c r="B220" s="344" t="s">
        <v>683</v>
      </c>
      <c r="C220" s="344" t="s">
        <v>227</v>
      </c>
      <c r="D220" s="348" t="s">
        <v>142</v>
      </c>
      <c r="E220" s="344" t="s">
        <v>441</v>
      </c>
      <c r="F220" s="344" t="s">
        <v>49</v>
      </c>
      <c r="G220" s="345"/>
      <c r="H220" s="345">
        <f t="shared" si="30"/>
        <v>885641.916666667</v>
      </c>
      <c r="I220" s="292"/>
      <c r="J220" s="351">
        <v>363678</v>
      </c>
      <c r="K220" s="351">
        <v>530151</v>
      </c>
      <c r="L220" s="351">
        <v>348926</v>
      </c>
      <c r="M220" s="351">
        <v>414850</v>
      </c>
      <c r="N220" s="352">
        <v>379685</v>
      </c>
      <c r="O220" s="353">
        <v>429401</v>
      </c>
      <c r="P220" s="353">
        <v>406328</v>
      </c>
      <c r="Q220" s="353">
        <v>463768</v>
      </c>
      <c r="R220" s="353">
        <v>501851</v>
      </c>
      <c r="S220" s="353">
        <v>460544</v>
      </c>
      <c r="T220" s="353">
        <v>473315</v>
      </c>
      <c r="U220" s="353" t="e">
        <f>VLOOKUP(D220,Mid!$A$2:$C$225,2,FALSE)</f>
        <v>#N/A</v>
      </c>
      <c r="V220" s="353">
        <v>562629</v>
      </c>
      <c r="W220" s="353">
        <v>698807</v>
      </c>
      <c r="X220" s="353">
        <v>586130</v>
      </c>
      <c r="Y220" s="353">
        <v>635326</v>
      </c>
      <c r="Z220" s="353">
        <v>588464</v>
      </c>
      <c r="AA220" s="353">
        <v>562721</v>
      </c>
      <c r="AB220" s="353">
        <v>592971</v>
      </c>
      <c r="AC220" s="353">
        <v>521864</v>
      </c>
      <c r="AD220" s="353">
        <v>575578</v>
      </c>
      <c r="AE220" s="353">
        <v>643671</v>
      </c>
      <c r="AF220" s="353">
        <v>542358</v>
      </c>
      <c r="AG220" s="353">
        <v>542358</v>
      </c>
      <c r="AH220" s="353">
        <v>481658</v>
      </c>
      <c r="AI220" s="353">
        <v>511570</v>
      </c>
      <c r="AJ220" s="367">
        <v>459193</v>
      </c>
      <c r="AK220" s="283" t="s">
        <v>2465</v>
      </c>
      <c r="AL220" s="283">
        <v>541346</v>
      </c>
      <c r="AM220" s="283" t="s">
        <v>2466</v>
      </c>
      <c r="AN220" s="283" t="s">
        <v>2467</v>
      </c>
      <c r="AO220" s="283" t="s">
        <v>2468</v>
      </c>
      <c r="AP220" s="283">
        <v>622833</v>
      </c>
      <c r="AQ220" s="283" t="s">
        <v>2469</v>
      </c>
      <c r="AR220" s="283" t="s">
        <v>2470</v>
      </c>
      <c r="AS220" s="283" t="s">
        <v>2471</v>
      </c>
      <c r="AT220" s="283" t="s">
        <v>2472</v>
      </c>
      <c r="AU220" s="283" t="s">
        <v>2473</v>
      </c>
      <c r="AV220" s="283" t="s">
        <v>2474</v>
      </c>
      <c r="AW220" s="283">
        <f t="shared" si="26"/>
        <v>819323.833333333</v>
      </c>
      <c r="AX220" s="283">
        <v>446400</v>
      </c>
      <c r="AY220" s="283">
        <v>417200</v>
      </c>
      <c r="AZ220" s="283">
        <v>461500</v>
      </c>
      <c r="BA220" s="283">
        <v>468400</v>
      </c>
      <c r="BB220" s="283">
        <v>404600</v>
      </c>
      <c r="BC220" s="283">
        <v>449700</v>
      </c>
      <c r="BD220" s="283">
        <v>419400</v>
      </c>
      <c r="BE220" s="283">
        <v>482100</v>
      </c>
      <c r="BF220" s="283">
        <v>561400</v>
      </c>
      <c r="BG220" s="283">
        <v>552200</v>
      </c>
      <c r="BH220" s="283">
        <v>763000</v>
      </c>
      <c r="BI220" s="283" t="e">
        <f>VLOOKUP(D220,Mid!$A$2:$C$225,3,FALSE)</f>
        <v>#N/A</v>
      </c>
      <c r="BJ220" s="283">
        <v>527900</v>
      </c>
      <c r="BK220" s="283">
        <v>506800</v>
      </c>
      <c r="BL220" s="283">
        <v>405400</v>
      </c>
      <c r="BM220" s="283">
        <v>632400</v>
      </c>
      <c r="BN220" s="283">
        <v>643000</v>
      </c>
      <c r="BO220" s="283">
        <v>588800</v>
      </c>
      <c r="BP220" s="283">
        <v>432100</v>
      </c>
      <c r="BQ220" s="283">
        <v>330500</v>
      </c>
      <c r="BR220" s="283">
        <v>403700</v>
      </c>
      <c r="BS220" s="283">
        <v>412300</v>
      </c>
      <c r="BT220" s="283">
        <v>603400</v>
      </c>
      <c r="BU220" s="283">
        <v>507700</v>
      </c>
      <c r="BV220" s="283">
        <v>463000</v>
      </c>
      <c r="BW220" s="283">
        <v>607600</v>
      </c>
      <c r="BX220" s="283">
        <v>706100</v>
      </c>
      <c r="BY220" s="283">
        <v>706100</v>
      </c>
      <c r="BZ220" s="283">
        <v>599900</v>
      </c>
      <c r="CA220" s="283">
        <v>558300</v>
      </c>
      <c r="CB220" s="283">
        <v>449800</v>
      </c>
      <c r="CC220" s="283">
        <v>609700</v>
      </c>
      <c r="CD220" s="283">
        <v>563800</v>
      </c>
      <c r="CE220" s="283">
        <f>278600*2</f>
        <v>557200</v>
      </c>
      <c r="CF220" s="283">
        <v>799000</v>
      </c>
      <c r="CG220" s="283">
        <f>278000*2</f>
        <v>556000</v>
      </c>
      <c r="CH220" s="283">
        <v>726000</v>
      </c>
      <c r="CI220" s="283">
        <v>842880</v>
      </c>
      <c r="CJ220" s="283">
        <v>1100000</v>
      </c>
      <c r="CK220" s="283">
        <f t="shared" si="27"/>
        <v>951960</v>
      </c>
      <c r="CL220" s="370"/>
      <c r="CM220" s="371">
        <f>Summary!$D$3</f>
        <v>2112033.31166667</v>
      </c>
      <c r="CN220" s="258">
        <f t="shared" si="23"/>
        <v>1</v>
      </c>
    </row>
    <row r="221" s="269" customFormat="1" ht="15.6" spans="1:92">
      <c r="A221" s="258" t="s">
        <v>141</v>
      </c>
      <c r="B221" s="258" t="s">
        <v>672</v>
      </c>
      <c r="C221" s="258" t="s">
        <v>801</v>
      </c>
      <c r="D221" s="258" t="s">
        <v>534</v>
      </c>
      <c r="E221" s="258" t="s">
        <v>441</v>
      </c>
      <c r="F221" s="260" t="s">
        <v>234</v>
      </c>
      <c r="G221" s="343"/>
      <c r="H221" s="283">
        <f t="shared" si="30"/>
        <v>1100247.08333333</v>
      </c>
      <c r="I221" s="292" t="s">
        <v>2475</v>
      </c>
      <c r="J221" s="351">
        <v>1</v>
      </c>
      <c r="K221" s="351">
        <v>1</v>
      </c>
      <c r="L221" s="351">
        <v>1</v>
      </c>
      <c r="M221" s="351">
        <v>1</v>
      </c>
      <c r="N221" s="352">
        <v>1</v>
      </c>
      <c r="O221" s="353">
        <v>1</v>
      </c>
      <c r="P221" s="353">
        <v>1</v>
      </c>
      <c r="Q221" s="353">
        <v>1</v>
      </c>
      <c r="R221" s="353">
        <v>1</v>
      </c>
      <c r="S221" s="353">
        <v>1</v>
      </c>
      <c r="T221" s="353">
        <v>1</v>
      </c>
      <c r="U221" s="353">
        <f>VLOOKUP(D221,Mid!$A$2:$C$225,2,FALSE)</f>
        <v>1</v>
      </c>
      <c r="V221" s="353">
        <v>1</v>
      </c>
      <c r="W221" s="353">
        <v>1</v>
      </c>
      <c r="X221" s="353">
        <v>1</v>
      </c>
      <c r="Y221" s="353">
        <v>1</v>
      </c>
      <c r="Z221" s="353">
        <v>1</v>
      </c>
      <c r="AA221" s="353">
        <v>1</v>
      </c>
      <c r="AB221" s="353">
        <v>1</v>
      </c>
      <c r="AC221" s="353">
        <v>1</v>
      </c>
      <c r="AD221" s="353">
        <v>1740000</v>
      </c>
      <c r="AE221" s="353">
        <v>1589000</v>
      </c>
      <c r="AF221" s="353">
        <v>1589000</v>
      </c>
      <c r="AG221" s="353">
        <v>1589000</v>
      </c>
      <c r="AH221" s="353">
        <v>1774000</v>
      </c>
      <c r="AI221" s="353">
        <v>1933000</v>
      </c>
      <c r="AJ221" s="353">
        <v>1554000</v>
      </c>
      <c r="AK221" s="283">
        <v>1886000</v>
      </c>
      <c r="AL221" s="283">
        <v>1866000</v>
      </c>
      <c r="AM221" s="283">
        <v>991830</v>
      </c>
      <c r="AN221" s="283">
        <v>726280</v>
      </c>
      <c r="AO221" s="283">
        <f>725004*0.0074*2</f>
        <v>10730.0592</v>
      </c>
      <c r="AP221" s="283">
        <f>757081*0.0065*2</f>
        <v>9842.053</v>
      </c>
      <c r="AQ221" s="283">
        <f>655185*0.002*2</f>
        <v>2620.74</v>
      </c>
      <c r="AR221" s="283">
        <v>894276</v>
      </c>
      <c r="AS221" s="283">
        <v>911328</v>
      </c>
      <c r="AT221" s="283">
        <v>827420</v>
      </c>
      <c r="AU221" s="283">
        <v>988214</v>
      </c>
      <c r="AV221" s="283">
        <v>833039</v>
      </c>
      <c r="AW221" s="283">
        <f t="shared" si="26"/>
        <v>883827.5</v>
      </c>
      <c r="AX221" s="283">
        <v>1400000</v>
      </c>
      <c r="AY221" s="283">
        <v>1400000</v>
      </c>
      <c r="AZ221" s="283">
        <v>1400000</v>
      </c>
      <c r="BA221" s="283">
        <v>1400000</v>
      </c>
      <c r="BB221" s="283">
        <v>1400000</v>
      </c>
      <c r="BC221" s="283">
        <v>1400000</v>
      </c>
      <c r="BD221" s="283">
        <v>1300000</v>
      </c>
      <c r="BE221" s="283">
        <v>1500000</v>
      </c>
      <c r="BF221" s="283">
        <v>1000000</v>
      </c>
      <c r="BG221" s="283">
        <v>1000000</v>
      </c>
      <c r="BH221" s="283">
        <v>1000000</v>
      </c>
      <c r="BI221" s="283">
        <f>VLOOKUP(D221,Mid!$A$2:$C$225,3,FALSE)</f>
        <v>1100000</v>
      </c>
      <c r="BJ221" s="283">
        <v>896000</v>
      </c>
      <c r="BK221" s="283">
        <v>1000000</v>
      </c>
      <c r="BL221" s="283">
        <v>970200</v>
      </c>
      <c r="BM221" s="283">
        <v>871880</v>
      </c>
      <c r="BN221" s="283">
        <v>877135</v>
      </c>
      <c r="BO221" s="283">
        <v>780408</v>
      </c>
      <c r="BP221" s="283">
        <v>763148</v>
      </c>
      <c r="BQ221" s="283">
        <v>747528</v>
      </c>
      <c r="BR221" s="283">
        <v>38900</v>
      </c>
      <c r="BS221" s="283">
        <v>0</v>
      </c>
      <c r="BT221" s="283">
        <v>0</v>
      </c>
      <c r="BU221" s="283">
        <v>2100000</v>
      </c>
      <c r="BV221" s="283">
        <v>1900000</v>
      </c>
      <c r="BW221" s="283">
        <v>2000000</v>
      </c>
      <c r="BX221" s="283">
        <v>1900000</v>
      </c>
      <c r="BY221" s="283">
        <v>1900000</v>
      </c>
      <c r="BZ221" s="283">
        <v>2500000</v>
      </c>
      <c r="CA221" s="283">
        <v>1970000</v>
      </c>
      <c r="CB221" s="283">
        <v>711400</v>
      </c>
      <c r="CC221" s="283">
        <v>953600</v>
      </c>
      <c r="CD221" s="283">
        <v>1700000</v>
      </c>
      <c r="CE221" s="283">
        <v>1700000</v>
      </c>
      <c r="CF221" s="283">
        <v>1100000</v>
      </c>
      <c r="CG221" s="283">
        <v>911620</v>
      </c>
      <c r="CH221" s="283">
        <v>1300000</v>
      </c>
      <c r="CI221" s="283">
        <v>1500000</v>
      </c>
      <c r="CJ221" s="283">
        <v>1200000</v>
      </c>
      <c r="CK221" s="283">
        <f t="shared" si="27"/>
        <v>1316666.66666667</v>
      </c>
      <c r="CL221" s="370"/>
      <c r="CM221" s="371">
        <f>Summary!$D$3</f>
        <v>2112033.31166667</v>
      </c>
      <c r="CN221" s="258">
        <f t="shared" si="23"/>
        <v>0</v>
      </c>
    </row>
    <row r="222" ht="15.6" spans="1:92">
      <c r="A222" s="258" t="s">
        <v>141</v>
      </c>
      <c r="B222" s="258" t="s">
        <v>694</v>
      </c>
      <c r="C222" s="258" t="s">
        <v>230</v>
      </c>
      <c r="D222" s="342" t="s">
        <v>242</v>
      </c>
      <c r="E222" s="258" t="s">
        <v>233</v>
      </c>
      <c r="F222" s="260" t="s">
        <v>414</v>
      </c>
      <c r="G222" s="343"/>
      <c r="H222" s="283">
        <f t="shared" si="30"/>
        <v>414242.433333333</v>
      </c>
      <c r="I222" s="292"/>
      <c r="J222" s="351">
        <v>421315</v>
      </c>
      <c r="K222" s="351">
        <v>400000</v>
      </c>
      <c r="L222" s="351">
        <v>391636</v>
      </c>
      <c r="M222" s="351">
        <v>436719</v>
      </c>
      <c r="N222" s="352">
        <v>405213</v>
      </c>
      <c r="O222" s="353">
        <v>460308</v>
      </c>
      <c r="P222" s="353">
        <v>503486</v>
      </c>
      <c r="Q222" s="353">
        <v>448635</v>
      </c>
      <c r="R222" s="353">
        <v>410697</v>
      </c>
      <c r="S222" s="353">
        <v>389603</v>
      </c>
      <c r="T222" s="353">
        <v>433385</v>
      </c>
      <c r="U222" s="353">
        <f>VLOOKUP(D222,Mid!$A$2:$C$225,2,FALSE)</f>
        <v>417504</v>
      </c>
      <c r="V222" s="353">
        <v>407169</v>
      </c>
      <c r="W222" s="353">
        <v>567102</v>
      </c>
      <c r="X222" s="353">
        <v>452342</v>
      </c>
      <c r="Y222" s="353">
        <v>472403</v>
      </c>
      <c r="Z222" s="353">
        <v>470645</v>
      </c>
      <c r="AA222" s="353">
        <v>460771</v>
      </c>
      <c r="AB222" s="353">
        <v>486334</v>
      </c>
      <c r="AC222" s="353">
        <v>503951</v>
      </c>
      <c r="AD222" s="353">
        <v>565976</v>
      </c>
      <c r="AE222" s="353">
        <v>465211</v>
      </c>
      <c r="AF222" s="353">
        <v>386002</v>
      </c>
      <c r="AG222" s="353">
        <v>386002</v>
      </c>
      <c r="AH222" s="353">
        <v>377662</v>
      </c>
      <c r="AI222" s="353">
        <v>467250</v>
      </c>
      <c r="AJ222" s="367">
        <v>362575</v>
      </c>
      <c r="AK222" s="283" t="s">
        <v>2476</v>
      </c>
      <c r="AL222" s="283">
        <v>298302</v>
      </c>
      <c r="AM222" s="283" t="s">
        <v>2477</v>
      </c>
      <c r="AN222" s="283" t="s">
        <v>2478</v>
      </c>
      <c r="AO222" s="283" t="s">
        <v>2479</v>
      </c>
      <c r="AP222" s="283">
        <v>314330</v>
      </c>
      <c r="AQ222" s="283" t="s">
        <v>2480</v>
      </c>
      <c r="AR222" s="283" t="s">
        <v>2481</v>
      </c>
      <c r="AS222" s="283" t="s">
        <v>2482</v>
      </c>
      <c r="AT222" s="283" t="s">
        <v>2483</v>
      </c>
      <c r="AU222" s="283" t="s">
        <v>2484</v>
      </c>
      <c r="AV222" s="283" t="s">
        <v>2485</v>
      </c>
      <c r="AW222" s="283">
        <f t="shared" si="26"/>
        <v>436041.833333333</v>
      </c>
      <c r="AX222" s="283">
        <v>416600</v>
      </c>
      <c r="AY222" s="283">
        <v>357800</v>
      </c>
      <c r="AZ222" s="283">
        <v>359500</v>
      </c>
      <c r="BA222" s="283">
        <v>373100</v>
      </c>
      <c r="BB222" s="283">
        <v>372000</v>
      </c>
      <c r="BC222" s="283">
        <v>354000</v>
      </c>
      <c r="BD222" s="283">
        <v>369100</v>
      </c>
      <c r="BE222" s="283">
        <v>413900</v>
      </c>
      <c r="BF222" s="283">
        <v>634900</v>
      </c>
      <c r="BG222" s="283">
        <v>558600</v>
      </c>
      <c r="BH222" s="283">
        <v>685700</v>
      </c>
      <c r="BI222" s="283">
        <f>VLOOKUP(D222,Mid!$A$2:$C$225,3,FALSE)</f>
        <v>546400</v>
      </c>
      <c r="BJ222" s="283">
        <v>476400</v>
      </c>
      <c r="BK222" s="283">
        <v>512900</v>
      </c>
      <c r="BL222" s="283">
        <v>437900</v>
      </c>
      <c r="BM222" s="283">
        <v>697100</v>
      </c>
      <c r="BN222" s="283">
        <v>688000</v>
      </c>
      <c r="BO222" s="283">
        <v>590300</v>
      </c>
      <c r="BP222" s="283">
        <v>414200</v>
      </c>
      <c r="BQ222" s="283">
        <v>378900</v>
      </c>
      <c r="BR222" s="283">
        <v>380500</v>
      </c>
      <c r="BS222" s="283">
        <v>519600</v>
      </c>
      <c r="BT222" s="283">
        <v>464900</v>
      </c>
      <c r="BU222" s="283">
        <v>454400</v>
      </c>
      <c r="BV222" s="283">
        <v>526800</v>
      </c>
      <c r="BW222" s="283">
        <v>331000</v>
      </c>
      <c r="BX222" s="283">
        <v>251200</v>
      </c>
      <c r="BY222" s="283">
        <v>251200</v>
      </c>
      <c r="BZ222" s="283">
        <v>299900</v>
      </c>
      <c r="CA222" s="283">
        <v>440900</v>
      </c>
      <c r="CB222" s="283">
        <v>284700</v>
      </c>
      <c r="CC222" s="283">
        <v>347600</v>
      </c>
      <c r="CD222" s="283">
        <v>270980.72</v>
      </c>
      <c r="CE222" s="283">
        <v>270981</v>
      </c>
      <c r="CF222" s="283">
        <v>283043.92</v>
      </c>
      <c r="CG222" s="283">
        <v>275883.04</v>
      </c>
      <c r="CH222" s="283">
        <v>275883</v>
      </c>
      <c r="CI222" s="283">
        <v>487600</v>
      </c>
      <c r="CJ222" s="283">
        <v>367858.4</v>
      </c>
      <c r="CK222" s="283">
        <f t="shared" si="27"/>
        <v>392443.033333333</v>
      </c>
      <c r="CL222" s="370"/>
      <c r="CM222" s="371">
        <f>Summary!$D$3</f>
        <v>2112033.31166667</v>
      </c>
      <c r="CN222" s="258">
        <f t="shared" si="23"/>
        <v>1</v>
      </c>
    </row>
    <row r="223" ht="15.6" spans="1:92">
      <c r="A223" s="258" t="s">
        <v>141</v>
      </c>
      <c r="B223" s="258" t="s">
        <v>694</v>
      </c>
      <c r="C223" s="258" t="s">
        <v>243</v>
      </c>
      <c r="D223" s="342" t="s">
        <v>244</v>
      </c>
      <c r="E223" s="258" t="s">
        <v>454</v>
      </c>
      <c r="F223" s="260" t="s">
        <v>266</v>
      </c>
      <c r="G223" s="343"/>
      <c r="H223" s="283">
        <f t="shared" si="30"/>
        <v>310962.536666667</v>
      </c>
      <c r="I223" s="292"/>
      <c r="J223" s="351">
        <v>178682</v>
      </c>
      <c r="K223" s="351">
        <v>239721</v>
      </c>
      <c r="L223" s="351">
        <v>193897</v>
      </c>
      <c r="M223" s="351">
        <v>195273</v>
      </c>
      <c r="N223" s="352">
        <v>240854</v>
      </c>
      <c r="O223" s="353">
        <v>199346</v>
      </c>
      <c r="P223" s="353">
        <v>197857</v>
      </c>
      <c r="Q223" s="353">
        <v>229016</v>
      </c>
      <c r="R223" s="353">
        <v>272064</v>
      </c>
      <c r="S223" s="353">
        <v>223286</v>
      </c>
      <c r="T223" s="353">
        <v>233969</v>
      </c>
      <c r="U223" s="353">
        <f>VLOOKUP(D223,Mid!$A$2:$C$225,2,FALSE)</f>
        <v>264564</v>
      </c>
      <c r="V223" s="353">
        <v>217893</v>
      </c>
      <c r="W223" s="353">
        <v>385223</v>
      </c>
      <c r="X223" s="353">
        <v>270964</v>
      </c>
      <c r="Y223" s="353">
        <v>311630</v>
      </c>
      <c r="Z223" s="353">
        <v>324818</v>
      </c>
      <c r="AA223" s="353">
        <v>308072</v>
      </c>
      <c r="AB223" s="353">
        <v>278886</v>
      </c>
      <c r="AC223" s="353">
        <v>296107</v>
      </c>
      <c r="AD223" s="353">
        <v>241639</v>
      </c>
      <c r="AE223" s="353">
        <v>199525</v>
      </c>
      <c r="AF223" s="353">
        <v>199324</v>
      </c>
      <c r="AG223" s="353">
        <v>199324</v>
      </c>
      <c r="AH223" s="353">
        <v>195034</v>
      </c>
      <c r="AI223" s="353">
        <v>213781</v>
      </c>
      <c r="AJ223" s="367">
        <v>188658</v>
      </c>
      <c r="AK223" s="283" t="s">
        <v>2486</v>
      </c>
      <c r="AL223" s="283">
        <v>275321</v>
      </c>
      <c r="AM223" s="283">
        <f>608172*0.2855*2</f>
        <v>347266.212</v>
      </c>
      <c r="AN223" s="283">
        <f>587303*0.3111*2</f>
        <v>365419.9266</v>
      </c>
      <c r="AO223" s="283">
        <f>626844*0.3006*2</f>
        <v>376858.6128</v>
      </c>
      <c r="AP223" s="283">
        <v>482817</v>
      </c>
      <c r="AQ223" s="283" t="s">
        <v>2487</v>
      </c>
      <c r="AR223" s="283" t="s">
        <v>2488</v>
      </c>
      <c r="AS223" s="283">
        <v>428596</v>
      </c>
      <c r="AT223" s="283" t="s">
        <v>2489</v>
      </c>
      <c r="AU223" s="283" t="s">
        <v>2490</v>
      </c>
      <c r="AV223" s="283" t="s">
        <v>2491</v>
      </c>
      <c r="AW223" s="283">
        <f t="shared" si="26"/>
        <v>345917.833333333</v>
      </c>
      <c r="AX223" s="283">
        <v>161000</v>
      </c>
      <c r="AY223" s="283">
        <v>144900</v>
      </c>
      <c r="AZ223" s="283">
        <v>157800</v>
      </c>
      <c r="BA223" s="283">
        <v>161100</v>
      </c>
      <c r="BB223" s="283">
        <v>169700</v>
      </c>
      <c r="BC223" s="283">
        <v>175600</v>
      </c>
      <c r="BD223" s="283">
        <v>165600</v>
      </c>
      <c r="BE223" s="283">
        <v>205900</v>
      </c>
      <c r="BF223" s="283">
        <v>614900</v>
      </c>
      <c r="BG223" s="283">
        <v>542900</v>
      </c>
      <c r="BH223" s="283">
        <v>591500</v>
      </c>
      <c r="BI223" s="283">
        <f>VLOOKUP(D223,Mid!$A$2:$C$225,3,FALSE)</f>
        <v>581200</v>
      </c>
      <c r="BJ223" s="283">
        <v>560600</v>
      </c>
      <c r="BK223" s="283">
        <v>386400</v>
      </c>
      <c r="BL223" s="283">
        <v>589700</v>
      </c>
      <c r="BM223" s="283">
        <v>1000000</v>
      </c>
      <c r="BN223" s="283">
        <v>476000</v>
      </c>
      <c r="BO223" s="283">
        <v>522600</v>
      </c>
      <c r="BP223" s="283">
        <v>547800</v>
      </c>
      <c r="BQ223" s="283">
        <v>382400</v>
      </c>
      <c r="BR223" s="283">
        <v>116000</v>
      </c>
      <c r="BS223" s="283">
        <v>370300</v>
      </c>
      <c r="BT223" s="283">
        <v>338400</v>
      </c>
      <c r="BU223" s="283">
        <v>188300</v>
      </c>
      <c r="BV223" s="283">
        <v>222400</v>
      </c>
      <c r="BW223" s="283">
        <v>224500</v>
      </c>
      <c r="BX223" s="283">
        <v>312200</v>
      </c>
      <c r="BY223" s="283">
        <v>312200</v>
      </c>
      <c r="BZ223" s="283">
        <v>355100</v>
      </c>
      <c r="CA223" s="283">
        <v>395300</v>
      </c>
      <c r="CB223" s="283">
        <v>505600</v>
      </c>
      <c r="CC223" s="283">
        <v>508100</v>
      </c>
      <c r="CD223" s="283">
        <f>712800*0.2138*2</f>
        <v>304793.28</v>
      </c>
      <c r="CE223" s="283">
        <v>304793</v>
      </c>
      <c r="CF223" s="283">
        <v>315100</v>
      </c>
      <c r="CG223" s="283">
        <v>269600</v>
      </c>
      <c r="CH223" s="283">
        <v>211027.2</v>
      </c>
      <c r="CI223" s="283">
        <f>0.2092*2*481800</f>
        <v>201585.12</v>
      </c>
      <c r="CJ223" s="283">
        <v>347282</v>
      </c>
      <c r="CK223" s="283">
        <f t="shared" si="27"/>
        <v>276007.24</v>
      </c>
      <c r="CL223" s="370"/>
      <c r="CM223" s="371">
        <f>Summary!$D$3</f>
        <v>2112033.31166667</v>
      </c>
      <c r="CN223" s="258">
        <f t="shared" si="23"/>
        <v>1</v>
      </c>
    </row>
    <row r="224" ht="46.8" spans="1:92">
      <c r="A224" s="258" t="s">
        <v>141</v>
      </c>
      <c r="B224" s="258" t="s">
        <v>694</v>
      </c>
      <c r="C224" s="258" t="s">
        <v>230</v>
      </c>
      <c r="D224" s="258" t="s">
        <v>416</v>
      </c>
      <c r="E224" s="258" t="s">
        <v>233</v>
      </c>
      <c r="F224" s="260" t="s">
        <v>291</v>
      </c>
      <c r="G224" s="343"/>
      <c r="H224" s="283">
        <f>(AW224+CK224)/2*0.8</f>
        <v>12076</v>
      </c>
      <c r="I224" s="292" t="s">
        <v>2492</v>
      </c>
      <c r="J224" s="351">
        <v>159193</v>
      </c>
      <c r="K224" s="351">
        <v>180904</v>
      </c>
      <c r="L224" s="351">
        <v>138612</v>
      </c>
      <c r="M224" s="351">
        <v>186394</v>
      </c>
      <c r="N224" s="352">
        <v>212611</v>
      </c>
      <c r="O224" s="353">
        <v>203458</v>
      </c>
      <c r="P224" s="353">
        <v>207713</v>
      </c>
      <c r="Q224" s="353">
        <v>212700</v>
      </c>
      <c r="R224" s="353">
        <v>228771</v>
      </c>
      <c r="S224" s="353">
        <v>203605</v>
      </c>
      <c r="T224" s="353">
        <v>178849</v>
      </c>
      <c r="U224" s="353">
        <f>VLOOKUP(D224,Mid!$A$2:$C$225,2,FALSE)</f>
        <v>207501</v>
      </c>
      <c r="V224" s="353">
        <v>229202</v>
      </c>
      <c r="W224" s="353">
        <v>221011</v>
      </c>
      <c r="X224" s="353">
        <v>182506</v>
      </c>
      <c r="Y224" s="353">
        <v>277123</v>
      </c>
      <c r="Z224" s="353">
        <v>209017</v>
      </c>
      <c r="AA224" s="353">
        <v>205537</v>
      </c>
      <c r="AB224" s="353">
        <v>195034</v>
      </c>
      <c r="AC224" s="353">
        <v>244586</v>
      </c>
      <c r="AD224" s="353">
        <v>214969</v>
      </c>
      <c r="AE224" s="353">
        <v>182872</v>
      </c>
      <c r="AF224" s="353">
        <v>153548</v>
      </c>
      <c r="AG224" s="353">
        <v>153548</v>
      </c>
      <c r="AH224" s="353">
        <v>182106</v>
      </c>
      <c r="AI224" s="353">
        <v>204274</v>
      </c>
      <c r="AJ224" s="367">
        <v>187912</v>
      </c>
      <c r="AK224" s="283" t="s">
        <v>2493</v>
      </c>
      <c r="AL224" s="283">
        <v>134585</v>
      </c>
      <c r="AM224" s="283" t="s">
        <v>2494</v>
      </c>
      <c r="AN224" s="283" t="s">
        <v>2495</v>
      </c>
      <c r="AO224" s="283" t="s">
        <v>2496</v>
      </c>
      <c r="AP224" s="283">
        <v>217981</v>
      </c>
      <c r="AQ224" s="283" t="s">
        <v>2497</v>
      </c>
      <c r="AR224" s="283" t="s">
        <v>2498</v>
      </c>
      <c r="AS224" s="283" t="s">
        <v>1285</v>
      </c>
      <c r="AT224" s="283" t="s">
        <v>2499</v>
      </c>
      <c r="AU224" s="283" t="s">
        <v>2500</v>
      </c>
      <c r="AV224" s="283" t="s">
        <v>2501</v>
      </c>
      <c r="AW224" s="283">
        <f t="shared" si="26"/>
        <v>4240</v>
      </c>
      <c r="AX224" s="283">
        <v>209700</v>
      </c>
      <c r="AY224" s="283">
        <v>206500</v>
      </c>
      <c r="AZ224" s="283">
        <v>207000</v>
      </c>
      <c r="BA224" s="283">
        <v>177800</v>
      </c>
      <c r="BB224" s="283">
        <v>175800</v>
      </c>
      <c r="BC224" s="283">
        <v>181100</v>
      </c>
      <c r="BD224" s="283">
        <v>173600</v>
      </c>
      <c r="BE224" s="283">
        <v>174900</v>
      </c>
      <c r="BF224" s="283">
        <v>284300</v>
      </c>
      <c r="BG224" s="283">
        <v>339000</v>
      </c>
      <c r="BH224" s="283">
        <v>228000</v>
      </c>
      <c r="BI224" s="283">
        <f>VLOOKUP(D224,Mid!$A$2:$C$225,3,FALSE)</f>
        <v>275200</v>
      </c>
      <c r="BJ224" s="283">
        <v>285600</v>
      </c>
      <c r="BK224" s="283">
        <v>238400</v>
      </c>
      <c r="BL224" s="283">
        <v>250500</v>
      </c>
      <c r="BM224" s="283">
        <v>265700</v>
      </c>
      <c r="BN224" s="283">
        <v>216400</v>
      </c>
      <c r="BO224" s="283">
        <v>216000</v>
      </c>
      <c r="BP224" s="283">
        <v>197900</v>
      </c>
      <c r="BQ224" s="283">
        <v>207300</v>
      </c>
      <c r="BR224" s="283">
        <v>242800</v>
      </c>
      <c r="BS224" s="283">
        <v>173300</v>
      </c>
      <c r="BT224" s="283">
        <v>192900</v>
      </c>
      <c r="BU224" s="283">
        <v>121100</v>
      </c>
      <c r="BV224" s="283">
        <v>171200</v>
      </c>
      <c r="BW224" s="283">
        <v>132300</v>
      </c>
      <c r="BX224" s="283">
        <v>115300</v>
      </c>
      <c r="BY224" s="283">
        <v>115300</v>
      </c>
      <c r="BZ224" s="283">
        <v>124100</v>
      </c>
      <c r="CA224" s="283">
        <v>177100</v>
      </c>
      <c r="CB224" s="283">
        <v>162100</v>
      </c>
      <c r="CC224" s="283">
        <v>234393</v>
      </c>
      <c r="CD224" s="283">
        <v>258347.68</v>
      </c>
      <c r="CE224" s="283">
        <v>258348</v>
      </c>
      <c r="CF224" s="283">
        <v>47000</v>
      </c>
      <c r="CG224" s="283">
        <v>0</v>
      </c>
      <c r="CH224" s="283">
        <v>0</v>
      </c>
      <c r="CI224" s="283">
        <v>0</v>
      </c>
      <c r="CJ224" s="283">
        <v>51900</v>
      </c>
      <c r="CK224" s="283">
        <f t="shared" si="27"/>
        <v>25950</v>
      </c>
      <c r="CL224" s="370"/>
      <c r="CM224" s="371">
        <f>Summary!$D$3</f>
        <v>2112033.31166667</v>
      </c>
      <c r="CN224" s="258">
        <f t="shared" si="23"/>
        <v>0</v>
      </c>
    </row>
    <row r="225" ht="15.6" spans="1:92">
      <c r="A225" s="258" t="s">
        <v>141</v>
      </c>
      <c r="B225" s="258" t="s">
        <v>694</v>
      </c>
      <c r="C225" s="258" t="s">
        <v>230</v>
      </c>
      <c r="D225" s="258" t="s">
        <v>245</v>
      </c>
      <c r="E225" s="344" t="s">
        <v>233</v>
      </c>
      <c r="F225" s="260" t="s">
        <v>415</v>
      </c>
      <c r="G225" s="343"/>
      <c r="H225" s="283">
        <f t="shared" si="30"/>
        <v>178665.166666667</v>
      </c>
      <c r="I225" s="292" t="s">
        <v>2502</v>
      </c>
      <c r="J225" s="283">
        <v>122471</v>
      </c>
      <c r="K225" s="283">
        <v>137319</v>
      </c>
      <c r="L225" s="283">
        <v>147228</v>
      </c>
      <c r="M225" s="283">
        <v>137905</v>
      </c>
      <c r="N225" s="352">
        <v>193829</v>
      </c>
      <c r="O225" s="352">
        <v>290430</v>
      </c>
      <c r="P225" s="352">
        <v>310101</v>
      </c>
      <c r="Q225" s="352">
        <v>207389</v>
      </c>
      <c r="R225" s="352">
        <v>207366</v>
      </c>
      <c r="S225" s="352">
        <v>211854</v>
      </c>
      <c r="T225" s="352">
        <v>213305</v>
      </c>
      <c r="U225" s="353" t="e">
        <f>VLOOKUP(D225,Mid!$A$2:$C$225,2,FALSE)</f>
        <v>#N/A</v>
      </c>
      <c r="V225" s="353">
        <v>210163</v>
      </c>
      <c r="W225" s="353">
        <v>233260</v>
      </c>
      <c r="X225" s="353">
        <v>207348</v>
      </c>
      <c r="Y225" s="353">
        <v>280897</v>
      </c>
      <c r="Z225" s="353">
        <v>240964</v>
      </c>
      <c r="AA225" s="353">
        <v>313638</v>
      </c>
      <c r="AB225" s="353">
        <v>243576</v>
      </c>
      <c r="AC225" s="353">
        <v>325799</v>
      </c>
      <c r="AD225" s="353">
        <v>180282</v>
      </c>
      <c r="AE225" s="353">
        <v>175960</v>
      </c>
      <c r="AF225" s="353">
        <v>158906</v>
      </c>
      <c r="AG225" s="353">
        <v>158906</v>
      </c>
      <c r="AH225" s="353">
        <v>164059</v>
      </c>
      <c r="AI225" s="353">
        <v>197768</v>
      </c>
      <c r="AJ225" s="367">
        <v>163523</v>
      </c>
      <c r="AK225" s="283" t="s">
        <v>2503</v>
      </c>
      <c r="AL225" s="283">
        <v>145761</v>
      </c>
      <c r="AM225" s="283" t="s">
        <v>2504</v>
      </c>
      <c r="AN225" s="283" t="s">
        <v>2505</v>
      </c>
      <c r="AO225" s="283" t="s">
        <v>2506</v>
      </c>
      <c r="AP225" s="283">
        <v>198464</v>
      </c>
      <c r="AQ225" s="283" t="s">
        <v>2507</v>
      </c>
      <c r="AR225" s="283" t="s">
        <v>2508</v>
      </c>
      <c r="AS225" s="283" t="s">
        <v>2509</v>
      </c>
      <c r="AT225" s="283" t="s">
        <v>2510</v>
      </c>
      <c r="AU225" s="283" t="s">
        <v>2511</v>
      </c>
      <c r="AV225" s="283" t="s">
        <v>2512</v>
      </c>
      <c r="AW225" s="283">
        <f t="shared" si="26"/>
        <v>131830.333333333</v>
      </c>
      <c r="AX225" s="283">
        <v>50800</v>
      </c>
      <c r="AY225" s="283">
        <v>57500</v>
      </c>
      <c r="AZ225" s="283">
        <v>60700</v>
      </c>
      <c r="BA225" s="283">
        <v>60300</v>
      </c>
      <c r="BB225" s="283">
        <v>73500</v>
      </c>
      <c r="BC225" s="283">
        <v>85900</v>
      </c>
      <c r="BD225" s="283">
        <v>95200</v>
      </c>
      <c r="BE225" s="283">
        <v>93800</v>
      </c>
      <c r="BF225" s="283">
        <v>82700</v>
      </c>
      <c r="BG225" s="283">
        <v>107800</v>
      </c>
      <c r="BH225" s="283">
        <v>80700</v>
      </c>
      <c r="BI225" s="283" t="e">
        <f>VLOOKUP(D225,Mid!$A$2:$C$225,3,FALSE)</f>
        <v>#N/A</v>
      </c>
      <c r="BJ225" s="283">
        <v>90900</v>
      </c>
      <c r="BK225" s="283">
        <v>75700</v>
      </c>
      <c r="BL225" s="283">
        <v>85700</v>
      </c>
      <c r="BM225" s="283">
        <v>110800</v>
      </c>
      <c r="BN225" s="283">
        <v>157300</v>
      </c>
      <c r="BO225" s="283">
        <v>107100</v>
      </c>
      <c r="BP225" s="283">
        <v>157500</v>
      </c>
      <c r="BQ225" s="283">
        <v>143400</v>
      </c>
      <c r="BR225" s="283">
        <v>112900</v>
      </c>
      <c r="BS225" s="283">
        <v>184000</v>
      </c>
      <c r="BT225" s="283">
        <v>116000</v>
      </c>
      <c r="BU225" s="283">
        <v>96500</v>
      </c>
      <c r="BV225" s="283">
        <v>162000</v>
      </c>
      <c r="BW225" s="283">
        <v>164200</v>
      </c>
      <c r="BX225" s="283">
        <v>163300</v>
      </c>
      <c r="BY225" s="283">
        <v>163300</v>
      </c>
      <c r="BZ225" s="283">
        <v>129000</v>
      </c>
      <c r="CA225" s="283">
        <v>165174.72</v>
      </c>
      <c r="CB225" s="283">
        <v>172500</v>
      </c>
      <c r="CC225" s="283">
        <v>282500</v>
      </c>
      <c r="CD225" s="283">
        <v>310700</v>
      </c>
      <c r="CE225" s="283">
        <v>310700</v>
      </c>
      <c r="CF225" s="283">
        <v>201600</v>
      </c>
      <c r="CG225" s="283">
        <v>113400</v>
      </c>
      <c r="CH225" s="283">
        <v>128500</v>
      </c>
      <c r="CI225" s="283">
        <v>187300</v>
      </c>
      <c r="CJ225" s="283">
        <v>283300</v>
      </c>
      <c r="CK225" s="283">
        <f t="shared" si="27"/>
        <v>225500</v>
      </c>
      <c r="CL225" s="370"/>
      <c r="CM225" s="371">
        <f>Summary!$D$3</f>
        <v>2112033.31166667</v>
      </c>
      <c r="CN225" s="258">
        <f t="shared" si="23"/>
        <v>1</v>
      </c>
    </row>
    <row r="226" ht="15.6" spans="1:92">
      <c r="A226" s="258" t="s">
        <v>141</v>
      </c>
      <c r="B226" s="258" t="s">
        <v>694</v>
      </c>
      <c r="C226" s="258" t="s">
        <v>230</v>
      </c>
      <c r="D226" s="258" t="s">
        <v>531</v>
      </c>
      <c r="E226" s="258" t="s">
        <v>233</v>
      </c>
      <c r="F226" s="260" t="s">
        <v>2513</v>
      </c>
      <c r="G226" s="343"/>
      <c r="H226" s="283">
        <f t="shared" si="30"/>
        <v>76901.4766666667</v>
      </c>
      <c r="I226" s="292" t="s">
        <v>747</v>
      </c>
      <c r="J226" s="351">
        <v>43511</v>
      </c>
      <c r="K226" s="351">
        <v>50341</v>
      </c>
      <c r="L226" s="351">
        <v>52147</v>
      </c>
      <c r="M226" s="351">
        <v>77654</v>
      </c>
      <c r="N226" s="352">
        <v>77571</v>
      </c>
      <c r="O226" s="353">
        <v>79190</v>
      </c>
      <c r="P226" s="353">
        <v>47414</v>
      </c>
      <c r="Q226" s="353">
        <v>70160</v>
      </c>
      <c r="R226" s="353">
        <v>83060</v>
      </c>
      <c r="S226" s="353">
        <v>53973</v>
      </c>
      <c r="T226" s="353">
        <v>82380</v>
      </c>
      <c r="U226" s="353">
        <f>VLOOKUP(D226,Mid!$A$2:$C$225,2,FALSE)</f>
        <v>60398</v>
      </c>
      <c r="V226" s="353">
        <v>69391</v>
      </c>
      <c r="W226" s="353">
        <v>86563</v>
      </c>
      <c r="X226" s="353">
        <v>61517</v>
      </c>
      <c r="Y226" s="353">
        <v>113583</v>
      </c>
      <c r="Z226" s="353">
        <v>78075</v>
      </c>
      <c r="AA226" s="353">
        <v>75540</v>
      </c>
      <c r="AB226" s="353">
        <v>72652</v>
      </c>
      <c r="AC226" s="353">
        <v>97432</v>
      </c>
      <c r="AD226" s="353">
        <v>84896</v>
      </c>
      <c r="AE226" s="353">
        <v>72166</v>
      </c>
      <c r="AF226" s="353">
        <v>84861</v>
      </c>
      <c r="AG226" s="353">
        <v>84861</v>
      </c>
      <c r="AH226" s="353">
        <v>51675</v>
      </c>
      <c r="AI226" s="353">
        <v>60103</v>
      </c>
      <c r="AJ226" s="367">
        <v>55699</v>
      </c>
      <c r="AK226" s="283" t="s">
        <v>2514</v>
      </c>
      <c r="AL226" s="283">
        <v>51971</v>
      </c>
      <c r="AM226" s="283" t="s">
        <v>2515</v>
      </c>
      <c r="AN226" s="283" t="s">
        <v>2516</v>
      </c>
      <c r="AO226" s="283" t="s">
        <v>2517</v>
      </c>
      <c r="AP226" s="283">
        <v>73800</v>
      </c>
      <c r="AQ226" s="283" t="s">
        <v>2518</v>
      </c>
      <c r="AR226" s="283" t="s">
        <v>2519</v>
      </c>
      <c r="AS226" s="283" t="s">
        <v>2520</v>
      </c>
      <c r="AT226" s="283" t="s">
        <v>2521</v>
      </c>
      <c r="AU226" s="283" t="s">
        <v>2522</v>
      </c>
      <c r="AV226" s="283" t="s">
        <v>2523</v>
      </c>
      <c r="AW226" s="283">
        <f t="shared" si="26"/>
        <v>87783</v>
      </c>
      <c r="AX226" s="283">
        <v>28400</v>
      </c>
      <c r="AY226" s="283">
        <v>29400</v>
      </c>
      <c r="AZ226" s="283">
        <v>47200</v>
      </c>
      <c r="BA226" s="283">
        <v>42400</v>
      </c>
      <c r="BB226" s="283">
        <v>47000</v>
      </c>
      <c r="BC226" s="283">
        <v>58100</v>
      </c>
      <c r="BD226" s="283">
        <v>70000</v>
      </c>
      <c r="BE226" s="283">
        <v>46500</v>
      </c>
      <c r="BF226" s="283">
        <v>24400</v>
      </c>
      <c r="BG226" s="283">
        <v>34500</v>
      </c>
      <c r="BH226" s="283">
        <v>30800</v>
      </c>
      <c r="BI226" s="283">
        <f>VLOOKUP(D226,Mid!$A$2:$C$225,3,FALSE)</f>
        <v>68200</v>
      </c>
      <c r="BJ226" s="283">
        <v>246500</v>
      </c>
      <c r="BK226" s="283">
        <v>19400</v>
      </c>
      <c r="BL226" s="283">
        <v>24400</v>
      </c>
      <c r="BM226" s="283">
        <v>30600</v>
      </c>
      <c r="BN226" s="283">
        <v>48400</v>
      </c>
      <c r="BO226" s="283">
        <v>46100</v>
      </c>
      <c r="BP226" s="283">
        <v>11700</v>
      </c>
      <c r="BQ226" s="283">
        <v>25900</v>
      </c>
      <c r="BR226" s="283">
        <v>42100</v>
      </c>
      <c r="BS226" s="283">
        <v>10800</v>
      </c>
      <c r="BT226" s="283">
        <v>25400</v>
      </c>
      <c r="BU226" s="283">
        <v>15500</v>
      </c>
      <c r="BV226" s="283">
        <v>15500</v>
      </c>
      <c r="BW226" s="283">
        <v>44500</v>
      </c>
      <c r="BX226" s="283">
        <v>20400</v>
      </c>
      <c r="BY226" s="283">
        <v>20400</v>
      </c>
      <c r="BZ226" s="283">
        <v>18800</v>
      </c>
      <c r="CA226" s="283">
        <v>47157.6</v>
      </c>
      <c r="CB226" s="283">
        <v>43700</v>
      </c>
      <c r="CC226" s="283">
        <v>39400</v>
      </c>
      <c r="CD226" s="283">
        <v>40800</v>
      </c>
      <c r="CE226" s="283">
        <v>40800</v>
      </c>
      <c r="CF226" s="283">
        <v>38900</v>
      </c>
      <c r="CG226" s="283">
        <v>18508.8</v>
      </c>
      <c r="CH226" s="283">
        <v>31466.32</v>
      </c>
      <c r="CI226" s="283">
        <v>57777.14</v>
      </c>
      <c r="CJ226" s="283">
        <v>83033.04</v>
      </c>
      <c r="CK226" s="283">
        <f t="shared" si="27"/>
        <v>66019.9533333333</v>
      </c>
      <c r="CL226" s="370"/>
      <c r="CM226" s="371">
        <f>Summary!$D$3</f>
        <v>2112033.31166667</v>
      </c>
      <c r="CN226" s="258">
        <f t="shared" si="23"/>
        <v>0</v>
      </c>
    </row>
    <row r="227" ht="15.6" spans="1:92">
      <c r="A227" s="258" t="s">
        <v>141</v>
      </c>
      <c r="B227" s="258" t="s">
        <v>694</v>
      </c>
      <c r="C227" s="258" t="s">
        <v>230</v>
      </c>
      <c r="D227" s="342" t="s">
        <v>533</v>
      </c>
      <c r="E227" s="258" t="s">
        <v>234</v>
      </c>
      <c r="F227" s="260" t="s">
        <v>58</v>
      </c>
      <c r="G227" s="343"/>
      <c r="H227" s="283">
        <f t="shared" si="30"/>
        <v>34293.5</v>
      </c>
      <c r="I227" s="360"/>
      <c r="J227" s="351">
        <v>88684</v>
      </c>
      <c r="K227" s="351">
        <v>76731</v>
      </c>
      <c r="L227" s="351">
        <v>57836</v>
      </c>
      <c r="M227" s="351">
        <v>85883</v>
      </c>
      <c r="N227" s="352">
        <v>68893</v>
      </c>
      <c r="O227" s="353">
        <v>84534</v>
      </c>
      <c r="P227" s="353">
        <v>106557</v>
      </c>
      <c r="Q227" s="353">
        <v>75091</v>
      </c>
      <c r="R227" s="353">
        <v>69419</v>
      </c>
      <c r="S227" s="353">
        <v>79548</v>
      </c>
      <c r="T227" s="353">
        <v>72652</v>
      </c>
      <c r="U227" s="353">
        <f>VLOOKUP(D227,Mid!$A$2:$C$225,2,FALSE)</f>
        <v>73318</v>
      </c>
      <c r="V227" s="353">
        <v>93233</v>
      </c>
      <c r="W227" s="353">
        <v>94370</v>
      </c>
      <c r="X227" s="353">
        <v>74944</v>
      </c>
      <c r="Y227" s="353">
        <v>141766</v>
      </c>
      <c r="Z227" s="353">
        <v>129402</v>
      </c>
      <c r="AA227" s="353">
        <v>97145</v>
      </c>
      <c r="AB227" s="353">
        <v>87255</v>
      </c>
      <c r="AC227" s="353">
        <v>91979</v>
      </c>
      <c r="AD227" s="353">
        <v>60928</v>
      </c>
      <c r="AE227" s="353">
        <v>37627</v>
      </c>
      <c r="AF227" s="353">
        <v>47357</v>
      </c>
      <c r="AG227" s="353">
        <v>47357</v>
      </c>
      <c r="AH227" s="353">
        <v>83409</v>
      </c>
      <c r="AI227" s="353">
        <v>77658</v>
      </c>
      <c r="AJ227" s="367">
        <v>61471</v>
      </c>
      <c r="AK227" s="283" t="s">
        <v>2524</v>
      </c>
      <c r="AL227" s="283">
        <v>41303</v>
      </c>
      <c r="AM227" s="283" t="s">
        <v>2525</v>
      </c>
      <c r="AN227" s="283" t="s">
        <v>2526</v>
      </c>
      <c r="AO227" s="283" t="s">
        <v>2527</v>
      </c>
      <c r="AP227" s="283">
        <f>70062*0.1511*2</f>
        <v>21172.7364</v>
      </c>
      <c r="AQ227" s="283" t="s">
        <v>2528</v>
      </c>
      <c r="AR227" s="283" t="s">
        <v>2529</v>
      </c>
      <c r="AS227" s="283" t="s">
        <v>2530</v>
      </c>
      <c r="AT227" s="283" t="s">
        <v>2531</v>
      </c>
      <c r="AU227" s="283" t="s">
        <v>2532</v>
      </c>
      <c r="AV227" s="283" t="s">
        <v>2533</v>
      </c>
      <c r="AW227" s="283">
        <f t="shared" si="26"/>
        <v>63737</v>
      </c>
      <c r="AX227" s="283">
        <v>52200</v>
      </c>
      <c r="AY227" s="283">
        <v>38300</v>
      </c>
      <c r="AZ227" s="283">
        <v>23800</v>
      </c>
      <c r="BA227" s="283">
        <v>23600</v>
      </c>
      <c r="BB227" s="283">
        <v>23600</v>
      </c>
      <c r="BC227" s="283">
        <v>10800</v>
      </c>
      <c r="BD227" s="283">
        <v>22700</v>
      </c>
      <c r="BE227" s="283">
        <v>33000</v>
      </c>
      <c r="BF227" s="283">
        <v>29100</v>
      </c>
      <c r="BG227" s="283">
        <v>13000</v>
      </c>
      <c r="BH227" s="283">
        <v>15600</v>
      </c>
      <c r="BI227" s="283">
        <f>VLOOKUP(D227,Mid!$A$2:$C$225,3,FALSE)</f>
        <v>15100</v>
      </c>
      <c r="BJ227" s="283">
        <v>21400</v>
      </c>
      <c r="BK227" s="283">
        <v>31800</v>
      </c>
      <c r="BL227" s="283">
        <v>40200</v>
      </c>
      <c r="BM227" s="283">
        <v>32700</v>
      </c>
      <c r="BN227" s="283">
        <v>26100</v>
      </c>
      <c r="BO227" s="283">
        <v>25300</v>
      </c>
      <c r="BP227" s="283">
        <v>18700</v>
      </c>
      <c r="BQ227" s="283">
        <v>21100</v>
      </c>
      <c r="BR227" s="283">
        <v>5000</v>
      </c>
      <c r="BS227" s="283">
        <v>7700</v>
      </c>
      <c r="BT227" s="283">
        <v>7000</v>
      </c>
      <c r="BU227" s="283">
        <v>21400</v>
      </c>
      <c r="BV227" s="283">
        <v>6600</v>
      </c>
      <c r="BW227" s="283">
        <v>5900</v>
      </c>
      <c r="BX227" s="283">
        <v>12700</v>
      </c>
      <c r="BY227" s="283">
        <v>12700</v>
      </c>
      <c r="BZ227" s="283">
        <v>51000</v>
      </c>
      <c r="CA227" s="283">
        <v>52722.3</v>
      </c>
      <c r="CB227" s="283">
        <v>45000</v>
      </c>
      <c r="CC227" s="283">
        <v>29085.2</v>
      </c>
      <c r="CD227" s="283">
        <f>236900*0.0876*2</f>
        <v>41504.88</v>
      </c>
      <c r="CE227" s="283">
        <v>41505</v>
      </c>
      <c r="CF227" s="283">
        <v>24960</v>
      </c>
      <c r="CG227" s="283">
        <v>15425.3</v>
      </c>
      <c r="CH227" s="283">
        <v>9300</v>
      </c>
      <c r="CI227" s="283">
        <v>3900</v>
      </c>
      <c r="CJ227" s="283">
        <v>4000</v>
      </c>
      <c r="CK227" s="283">
        <f t="shared" si="27"/>
        <v>4850</v>
      </c>
      <c r="CL227" s="370"/>
      <c r="CM227" s="371">
        <f>Summary!$D$3</f>
        <v>2112033.31166667</v>
      </c>
      <c r="CN227" s="258">
        <f t="shared" si="23"/>
        <v>0</v>
      </c>
    </row>
    <row r="228" ht="15.6" spans="1:92">
      <c r="A228" s="258" t="s">
        <v>141</v>
      </c>
      <c r="B228" s="258" t="s">
        <v>694</v>
      </c>
      <c r="C228" s="258" t="s">
        <v>230</v>
      </c>
      <c r="D228" s="258" t="s">
        <v>2534</v>
      </c>
      <c r="E228" s="258" t="s">
        <v>233</v>
      </c>
      <c r="F228" s="260" t="s">
        <v>266</v>
      </c>
      <c r="G228" s="343"/>
      <c r="H228" s="283">
        <f t="shared" si="30"/>
        <v>32086.4483333333</v>
      </c>
      <c r="I228" s="292"/>
      <c r="J228" s="357">
        <v>0</v>
      </c>
      <c r="K228" s="357">
        <v>0</v>
      </c>
      <c r="L228" s="357">
        <v>0</v>
      </c>
      <c r="M228" s="357">
        <v>0</v>
      </c>
      <c r="N228" s="358">
        <v>0</v>
      </c>
      <c r="O228" s="359">
        <v>0</v>
      </c>
      <c r="P228" s="359">
        <v>0</v>
      </c>
      <c r="Q228" s="359">
        <v>0</v>
      </c>
      <c r="R228" s="359">
        <v>23156</v>
      </c>
      <c r="S228" s="359">
        <v>21351</v>
      </c>
      <c r="T228" s="359">
        <v>17547</v>
      </c>
      <c r="U228" s="353">
        <f>VLOOKUP(D228,Mid!$A$2:$C$225,2,FALSE)</f>
        <v>18865</v>
      </c>
      <c r="V228" s="353">
        <v>21650</v>
      </c>
      <c r="W228" s="353">
        <v>21005</v>
      </c>
      <c r="X228" s="353">
        <v>25236</v>
      </c>
      <c r="Y228" s="353">
        <v>29084</v>
      </c>
      <c r="Z228" s="353">
        <v>19955</v>
      </c>
      <c r="AA228" s="353">
        <v>23369</v>
      </c>
      <c r="AB228" s="353">
        <v>25943</v>
      </c>
      <c r="AC228" s="353">
        <v>27583</v>
      </c>
      <c r="AD228" s="353">
        <v>25938</v>
      </c>
      <c r="AE228" s="353">
        <v>22200</v>
      </c>
      <c r="AF228" s="353">
        <v>21453</v>
      </c>
      <c r="AG228" s="353">
        <v>21453</v>
      </c>
      <c r="AH228" s="353">
        <v>22252</v>
      </c>
      <c r="AI228" s="353">
        <v>24376</v>
      </c>
      <c r="AJ228" s="367">
        <v>20227</v>
      </c>
      <c r="AK228" s="283" t="s">
        <v>2535</v>
      </c>
      <c r="AL228" s="283">
        <v>44682</v>
      </c>
      <c r="AM228" s="283" t="s">
        <v>2536</v>
      </c>
      <c r="AN228" s="283" t="s">
        <v>2537</v>
      </c>
      <c r="AO228" s="283" t="s">
        <v>2538</v>
      </c>
      <c r="AP228" s="283">
        <f>80268*0.1794*2</f>
        <v>28800.1584</v>
      </c>
      <c r="AQ228" s="283" t="s">
        <v>2539</v>
      </c>
      <c r="AR228" s="283" t="s">
        <v>2540</v>
      </c>
      <c r="AS228" s="283" t="s">
        <v>2541</v>
      </c>
      <c r="AT228" s="283" t="s">
        <v>2542</v>
      </c>
      <c r="AU228" s="283" t="s">
        <v>2543</v>
      </c>
      <c r="AV228" s="283" t="s">
        <v>2544</v>
      </c>
      <c r="AW228" s="283">
        <f t="shared" si="26"/>
        <v>47030.6666666667</v>
      </c>
      <c r="AX228" s="283">
        <v>3800</v>
      </c>
      <c r="AY228" s="283">
        <v>1600</v>
      </c>
      <c r="AZ228" s="283">
        <v>1500</v>
      </c>
      <c r="BA228" s="283">
        <v>1500</v>
      </c>
      <c r="BB228" s="283">
        <v>5100</v>
      </c>
      <c r="BC228" s="283">
        <v>2900</v>
      </c>
      <c r="BD228" s="283">
        <v>4600</v>
      </c>
      <c r="BE228" s="283">
        <v>6700</v>
      </c>
      <c r="BF228" s="283">
        <v>40900</v>
      </c>
      <c r="BG228" s="283">
        <v>21900</v>
      </c>
      <c r="BH228" s="283">
        <v>14000</v>
      </c>
      <c r="BI228" s="283">
        <f>VLOOKUP(D228,Mid!$A$2:$C$225,3,FALSE)</f>
        <v>16100</v>
      </c>
      <c r="BJ228" s="283">
        <v>27400</v>
      </c>
      <c r="BK228" s="283">
        <v>14900</v>
      </c>
      <c r="BL228" s="283">
        <v>16900</v>
      </c>
      <c r="BM228" s="283">
        <v>20900</v>
      </c>
      <c r="BN228" s="283">
        <v>25100</v>
      </c>
      <c r="BO228" s="283">
        <v>10800</v>
      </c>
      <c r="BP228" s="283">
        <v>6700</v>
      </c>
      <c r="BQ228" s="283">
        <v>357</v>
      </c>
      <c r="BR228" s="283">
        <v>1200</v>
      </c>
      <c r="BS228" s="283">
        <v>9000</v>
      </c>
      <c r="BT228" s="283">
        <v>2700</v>
      </c>
      <c r="BU228" s="283">
        <v>688</v>
      </c>
      <c r="BV228" s="283">
        <v>724</v>
      </c>
      <c r="BW228" s="283">
        <v>5300</v>
      </c>
      <c r="BX228" s="283">
        <v>4000</v>
      </c>
      <c r="BY228" s="283">
        <v>4000</v>
      </c>
      <c r="BZ228" s="283">
        <v>6200</v>
      </c>
      <c r="CA228" s="283">
        <v>11500</v>
      </c>
      <c r="CB228" s="283">
        <v>12200</v>
      </c>
      <c r="CC228" s="283">
        <v>16700</v>
      </c>
      <c r="CD228" s="283">
        <f>44600*0.1921*2</f>
        <v>17135.32</v>
      </c>
      <c r="CE228" s="283">
        <v>17135</v>
      </c>
      <c r="CF228" s="283">
        <v>38400</v>
      </c>
      <c r="CG228" s="283">
        <v>8000</v>
      </c>
      <c r="CH228" s="283">
        <v>16200</v>
      </c>
      <c r="CI228" s="283">
        <f>0.1938*2*54700</f>
        <v>21201.72</v>
      </c>
      <c r="CJ228" s="283">
        <v>14749.98</v>
      </c>
      <c r="CK228" s="283">
        <f t="shared" si="27"/>
        <v>17142.23</v>
      </c>
      <c r="CL228" s="370"/>
      <c r="CM228" s="371">
        <f>Summary!$D$3</f>
        <v>2112033.31166667</v>
      </c>
      <c r="CN228" s="258">
        <f t="shared" ref="CN228:CN258" si="31">IF(_xlfn.IFNA(CM228,0),IF(AND(H228/CM228&gt;=0.05,B228&lt;&gt;"官网"),1,0),0)</f>
        <v>0</v>
      </c>
    </row>
    <row r="229" ht="15.6" spans="1:92">
      <c r="A229" s="258" t="s">
        <v>141</v>
      </c>
      <c r="B229" s="258" t="s">
        <v>694</v>
      </c>
      <c r="C229" s="258" t="s">
        <v>230</v>
      </c>
      <c r="D229" s="258" t="s">
        <v>746</v>
      </c>
      <c r="E229" s="258" t="s">
        <v>233</v>
      </c>
      <c r="F229" s="260" t="s">
        <v>266</v>
      </c>
      <c r="G229" s="343"/>
      <c r="H229" s="283">
        <f>(AW229+CK229)*0.09/2</f>
        <v>945.2325</v>
      </c>
      <c r="I229" s="292" t="s">
        <v>747</v>
      </c>
      <c r="J229" s="351">
        <v>176032</v>
      </c>
      <c r="K229" s="351">
        <v>267943</v>
      </c>
      <c r="L229" s="351">
        <v>214616</v>
      </c>
      <c r="M229" s="351">
        <v>258271</v>
      </c>
      <c r="N229" s="352">
        <v>187928</v>
      </c>
      <c r="O229" s="353">
        <v>181520</v>
      </c>
      <c r="P229" s="353">
        <v>224967</v>
      </c>
      <c r="Q229" s="353">
        <v>207895</v>
      </c>
      <c r="R229" s="353">
        <v>206333</v>
      </c>
      <c r="S229" s="353">
        <v>182539</v>
      </c>
      <c r="T229" s="353">
        <v>146238</v>
      </c>
      <c r="U229" s="353" t="e">
        <f>VLOOKUP(D229,Mid!$A$2:$C$225,2,FALSE)</f>
        <v>#N/A</v>
      </c>
      <c r="V229" s="353">
        <v>184359</v>
      </c>
      <c r="W229" s="353">
        <v>174167</v>
      </c>
      <c r="X229" s="353">
        <v>214152</v>
      </c>
      <c r="Y229" s="353">
        <v>199633</v>
      </c>
      <c r="Z229" s="353">
        <v>208932</v>
      </c>
      <c r="AA229" s="353">
        <v>209530</v>
      </c>
      <c r="AB229" s="353">
        <v>184819</v>
      </c>
      <c r="AC229" s="353">
        <v>229858</v>
      </c>
      <c r="AD229" s="353">
        <v>346107</v>
      </c>
      <c r="AE229" s="353">
        <v>271884</v>
      </c>
      <c r="AF229" s="353">
        <v>198072</v>
      </c>
      <c r="AG229" s="353">
        <v>198072</v>
      </c>
      <c r="AH229" s="353">
        <v>396684</v>
      </c>
      <c r="AI229" s="353">
        <v>322537</v>
      </c>
      <c r="AJ229" s="353">
        <v>279868</v>
      </c>
      <c r="AK229" s="283" t="s">
        <v>748</v>
      </c>
      <c r="AL229" s="283">
        <v>213004</v>
      </c>
      <c r="AM229" s="283" t="s">
        <v>749</v>
      </c>
      <c r="AN229" s="283" t="s">
        <v>750</v>
      </c>
      <c r="AO229" s="283" t="s">
        <v>751</v>
      </c>
      <c r="AP229" s="283">
        <v>108207</v>
      </c>
      <c r="AQ229" s="283" t="s">
        <v>752</v>
      </c>
      <c r="AR229" s="283" t="s">
        <v>753</v>
      </c>
      <c r="AS229" s="283" t="s">
        <v>754</v>
      </c>
      <c r="AT229" s="283" t="s">
        <v>755</v>
      </c>
      <c r="AU229" s="283" t="s">
        <v>756</v>
      </c>
      <c r="AV229" s="283" t="s">
        <v>757</v>
      </c>
      <c r="AW229" s="283">
        <f t="shared" si="26"/>
        <v>14215.5</v>
      </c>
      <c r="AX229" s="283">
        <v>253300</v>
      </c>
      <c r="AY229" s="283">
        <v>359800</v>
      </c>
      <c r="AZ229" s="283">
        <v>290900</v>
      </c>
      <c r="BA229" s="283">
        <v>283300</v>
      </c>
      <c r="BB229" s="283">
        <v>231200</v>
      </c>
      <c r="BC229" s="283">
        <v>211200</v>
      </c>
      <c r="BD229" s="283">
        <v>230700</v>
      </c>
      <c r="BE229" s="283">
        <v>235500</v>
      </c>
      <c r="BF229" s="283">
        <v>147000</v>
      </c>
      <c r="BG229" s="283">
        <v>181400</v>
      </c>
      <c r="BH229" s="283">
        <v>218100</v>
      </c>
      <c r="BI229" s="283" t="e">
        <f>VLOOKUP(D229,Mid!$A$2:$C$225,3,FALSE)</f>
        <v>#N/A</v>
      </c>
      <c r="BJ229" s="283">
        <v>242800</v>
      </c>
      <c r="BK229" s="283">
        <v>226800</v>
      </c>
      <c r="BL229" s="283">
        <v>142200</v>
      </c>
      <c r="BM229" s="283">
        <v>68400</v>
      </c>
      <c r="BN229" s="283">
        <v>91600</v>
      </c>
      <c r="BO229" s="283">
        <v>65000</v>
      </c>
      <c r="BP229" s="283">
        <v>78000</v>
      </c>
      <c r="BQ229" s="283">
        <v>101300</v>
      </c>
      <c r="BR229" s="283">
        <v>162800</v>
      </c>
      <c r="BS229" s="283">
        <v>57200</v>
      </c>
      <c r="BT229" s="283">
        <v>106500</v>
      </c>
      <c r="BU229" s="283">
        <v>56400</v>
      </c>
      <c r="BV229" s="283">
        <v>42500</v>
      </c>
      <c r="BW229" s="283">
        <v>76100</v>
      </c>
      <c r="BX229" s="283">
        <v>28100</v>
      </c>
      <c r="BY229" s="283">
        <v>28100</v>
      </c>
      <c r="BZ229" s="283">
        <v>17700</v>
      </c>
      <c r="CA229" s="283">
        <v>32400</v>
      </c>
      <c r="CB229" s="283">
        <v>20300</v>
      </c>
      <c r="CC229" s="283">
        <v>7300</v>
      </c>
      <c r="CD229" s="283">
        <v>12300</v>
      </c>
      <c r="CE229" s="283">
        <v>12300</v>
      </c>
      <c r="CF229" s="283">
        <v>9200</v>
      </c>
      <c r="CG229" s="283">
        <v>16500</v>
      </c>
      <c r="CH229" s="283">
        <v>17700</v>
      </c>
      <c r="CI229" s="283">
        <v>11000</v>
      </c>
      <c r="CJ229" s="283">
        <v>346</v>
      </c>
      <c r="CK229" s="283">
        <f t="shared" si="27"/>
        <v>6789.66666666667</v>
      </c>
      <c r="CL229" s="370"/>
      <c r="CM229" s="371">
        <f>Summary!$D$3</f>
        <v>2112033.31166667</v>
      </c>
      <c r="CN229" s="258">
        <f t="shared" si="31"/>
        <v>0</v>
      </c>
    </row>
    <row r="230" ht="15.6" spans="1:92">
      <c r="A230" s="258" t="s">
        <v>141</v>
      </c>
      <c r="B230" s="258" t="s">
        <v>694</v>
      </c>
      <c r="C230" s="258" t="s">
        <v>230</v>
      </c>
      <c r="D230" s="258" t="s">
        <v>2545</v>
      </c>
      <c r="E230" s="258" t="s">
        <v>233</v>
      </c>
      <c r="F230" s="260" t="s">
        <v>420</v>
      </c>
      <c r="G230" s="343"/>
      <c r="H230" s="283">
        <f>(AW230+CK230)/2</f>
        <v>8336.86666666667</v>
      </c>
      <c r="I230" s="292"/>
      <c r="J230" s="351">
        <v>19547</v>
      </c>
      <c r="K230" s="351">
        <v>15269</v>
      </c>
      <c r="L230" s="351">
        <v>16402</v>
      </c>
      <c r="M230" s="351">
        <v>26162</v>
      </c>
      <c r="N230" s="352">
        <v>19886</v>
      </c>
      <c r="O230" s="353">
        <v>20276</v>
      </c>
      <c r="P230" s="353">
        <v>13361</v>
      </c>
      <c r="Q230" s="353">
        <v>25368</v>
      </c>
      <c r="R230" s="353">
        <v>24361</v>
      </c>
      <c r="S230" s="353">
        <v>21440</v>
      </c>
      <c r="T230" s="353">
        <v>20752</v>
      </c>
      <c r="U230" s="353">
        <f>VLOOKUP(D230,Mid!$A$2:$C$225,2,FALSE)</f>
        <v>19136</v>
      </c>
      <c r="V230" s="353">
        <v>19490</v>
      </c>
      <c r="W230" s="353">
        <v>21367</v>
      </c>
      <c r="X230" s="353">
        <v>30144</v>
      </c>
      <c r="Y230" s="353">
        <v>28079</v>
      </c>
      <c r="Z230" s="353">
        <v>15678</v>
      </c>
      <c r="AA230" s="353">
        <v>19264</v>
      </c>
      <c r="AB230" s="353">
        <v>20086</v>
      </c>
      <c r="AC230" s="353">
        <v>23571</v>
      </c>
      <c r="AD230" s="353">
        <v>16706</v>
      </c>
      <c r="AE230" s="353">
        <v>20893</v>
      </c>
      <c r="AF230" s="353">
        <v>18962</v>
      </c>
      <c r="AG230" s="353">
        <v>18962</v>
      </c>
      <c r="AH230" s="353">
        <v>27583</v>
      </c>
      <c r="AI230" s="353">
        <v>18381</v>
      </c>
      <c r="AJ230" s="367">
        <v>16704</v>
      </c>
      <c r="AK230" s="283" t="s">
        <v>2546</v>
      </c>
      <c r="AL230" s="283">
        <v>27123</v>
      </c>
      <c r="AM230" s="283" t="s">
        <v>2547</v>
      </c>
      <c r="AN230" s="283" t="s">
        <v>2548</v>
      </c>
      <c r="AO230" s="283" t="s">
        <v>2549</v>
      </c>
      <c r="AP230" s="283">
        <f>22995*0.1519*2</f>
        <v>6985.881</v>
      </c>
      <c r="AQ230" s="283" t="s">
        <v>2550</v>
      </c>
      <c r="AR230" s="283" t="s">
        <v>2551</v>
      </c>
      <c r="AS230" s="283" t="s">
        <v>2552</v>
      </c>
      <c r="AT230" s="283" t="s">
        <v>2553</v>
      </c>
      <c r="AU230" s="283" t="s">
        <v>2554</v>
      </c>
      <c r="AV230" s="283" t="s">
        <v>2555</v>
      </c>
      <c r="AW230" s="283">
        <f t="shared" si="26"/>
        <v>15787.6666666667</v>
      </c>
      <c r="AX230" s="283">
        <v>10700</v>
      </c>
      <c r="AY230" s="283">
        <v>6200</v>
      </c>
      <c r="AZ230" s="283">
        <v>13300</v>
      </c>
      <c r="BA230" s="283">
        <v>5600</v>
      </c>
      <c r="BB230" s="283">
        <v>5900</v>
      </c>
      <c r="BC230" s="283">
        <v>5700</v>
      </c>
      <c r="BD230" s="283">
        <v>4200</v>
      </c>
      <c r="BE230" s="283">
        <v>8600</v>
      </c>
      <c r="BF230" s="283">
        <v>8700</v>
      </c>
      <c r="BG230" s="283">
        <v>2700</v>
      </c>
      <c r="BH230" s="283">
        <v>3900</v>
      </c>
      <c r="BI230" s="283">
        <f>VLOOKUP(D230,Mid!$A$2:$C$225,3,FALSE)</f>
        <v>5500</v>
      </c>
      <c r="BJ230" s="283">
        <v>6200</v>
      </c>
      <c r="BK230" s="283">
        <v>6700</v>
      </c>
      <c r="BL230" s="283">
        <v>11000</v>
      </c>
      <c r="BM230" s="283">
        <v>9900</v>
      </c>
      <c r="BN230" s="283">
        <v>16000</v>
      </c>
      <c r="BO230" s="283">
        <v>16700</v>
      </c>
      <c r="BP230" s="283">
        <v>2300</v>
      </c>
      <c r="BQ230" s="283">
        <v>17300</v>
      </c>
      <c r="BR230" s="283">
        <v>8300</v>
      </c>
      <c r="BS230" s="283">
        <v>10100</v>
      </c>
      <c r="BT230" s="283">
        <v>39600</v>
      </c>
      <c r="BU230" s="283">
        <v>4000</v>
      </c>
      <c r="BV230" s="283">
        <v>7600</v>
      </c>
      <c r="BW230" s="283">
        <v>28300</v>
      </c>
      <c r="BX230" s="283">
        <v>30100</v>
      </c>
      <c r="BY230" s="283">
        <v>30100</v>
      </c>
      <c r="BZ230" s="283">
        <v>3700</v>
      </c>
      <c r="CA230" s="283">
        <v>6600</v>
      </c>
      <c r="CB230" s="283">
        <v>9100</v>
      </c>
      <c r="CC230" s="283">
        <v>8900</v>
      </c>
      <c r="CD230" s="283">
        <v>3000</v>
      </c>
      <c r="CE230" s="283">
        <v>3000</v>
      </c>
      <c r="CF230" s="283">
        <v>6000</v>
      </c>
      <c r="CG230" s="283">
        <v>1300</v>
      </c>
      <c r="CH230" s="283">
        <v>1022.4</v>
      </c>
      <c r="CI230" s="283">
        <v>659</v>
      </c>
      <c r="CJ230" s="283">
        <v>992</v>
      </c>
      <c r="CK230" s="283">
        <f t="shared" si="27"/>
        <v>886.066666666667</v>
      </c>
      <c r="CL230" s="370"/>
      <c r="CM230" s="371">
        <f>Summary!$D$3</f>
        <v>2112033.31166667</v>
      </c>
      <c r="CN230" s="258">
        <f t="shared" si="31"/>
        <v>0</v>
      </c>
    </row>
    <row r="231" customFormat="1" ht="15.6" spans="1:92">
      <c r="A231" s="258" t="s">
        <v>141</v>
      </c>
      <c r="B231" s="258" t="s">
        <v>694</v>
      </c>
      <c r="C231" s="258" t="s">
        <v>230</v>
      </c>
      <c r="D231" s="258" t="s">
        <v>309</v>
      </c>
      <c r="E231" s="258"/>
      <c r="F231" s="260" t="s">
        <v>266</v>
      </c>
      <c r="G231" s="343"/>
      <c r="H231" s="283">
        <f>(AW231+CK231)/2*0.33</f>
        <v>14516.6186</v>
      </c>
      <c r="I231" s="360" t="s">
        <v>2400</v>
      </c>
      <c r="J231" s="351"/>
      <c r="K231" s="351"/>
      <c r="L231" s="351"/>
      <c r="M231" s="351"/>
      <c r="N231" s="352"/>
      <c r="O231" s="353"/>
      <c r="P231" s="353"/>
      <c r="Q231" s="353"/>
      <c r="R231" s="353"/>
      <c r="S231" s="353"/>
      <c r="T231" s="353"/>
      <c r="U231" s="353"/>
      <c r="V231" s="353"/>
      <c r="W231" s="353"/>
      <c r="X231" s="353"/>
      <c r="Y231" s="353"/>
      <c r="Z231" s="353"/>
      <c r="AA231" s="353"/>
      <c r="AB231" s="353"/>
      <c r="AC231" s="353"/>
      <c r="AD231" s="353"/>
      <c r="AE231" s="353"/>
      <c r="AF231" s="353"/>
      <c r="AG231" s="353"/>
      <c r="AH231" s="353"/>
      <c r="AI231" s="353">
        <v>49576</v>
      </c>
      <c r="AJ231" s="353">
        <v>50801</v>
      </c>
      <c r="AK231" s="283">
        <v>71550</v>
      </c>
      <c r="AL231" s="283">
        <v>73341</v>
      </c>
      <c r="AM231" s="283" t="s">
        <v>1889</v>
      </c>
      <c r="AN231" s="283" t="s">
        <v>1890</v>
      </c>
      <c r="AO231" s="283" t="s">
        <v>1891</v>
      </c>
      <c r="AP231" s="283">
        <v>88958</v>
      </c>
      <c r="AQ231" s="283" t="s">
        <v>1892</v>
      </c>
      <c r="AR231" s="283" t="s">
        <v>1893</v>
      </c>
      <c r="AS231" s="283" t="s">
        <v>1894</v>
      </c>
      <c r="AT231" s="283" t="s">
        <v>1895</v>
      </c>
      <c r="AU231" s="283" t="s">
        <v>1896</v>
      </c>
      <c r="AV231" s="283" t="s">
        <v>1897</v>
      </c>
      <c r="AW231" s="283">
        <f t="shared" si="26"/>
        <v>62567</v>
      </c>
      <c r="AX231" s="283"/>
      <c r="AY231" s="283"/>
      <c r="AZ231" s="283"/>
      <c r="BA231" s="283"/>
      <c r="BB231" s="283"/>
      <c r="BC231" s="283"/>
      <c r="BD231" s="283"/>
      <c r="BE231" s="283"/>
      <c r="BF231" s="283"/>
      <c r="BG231" s="283"/>
      <c r="BH231" s="283"/>
      <c r="BI231" s="283"/>
      <c r="BJ231" s="283"/>
      <c r="BK231" s="283"/>
      <c r="BL231" s="283"/>
      <c r="BM231" s="283"/>
      <c r="BN231" s="283"/>
      <c r="BO231" s="283"/>
      <c r="BP231" s="283"/>
      <c r="BQ231" s="283"/>
      <c r="BR231" s="283"/>
      <c r="BS231" s="283"/>
      <c r="BT231" s="283"/>
      <c r="BU231" s="283"/>
      <c r="BV231" s="283"/>
      <c r="BW231" s="283">
        <v>45000</v>
      </c>
      <c r="BX231" s="283">
        <v>29600</v>
      </c>
      <c r="BY231" s="283">
        <v>29600</v>
      </c>
      <c r="BZ231" s="283">
        <v>29600</v>
      </c>
      <c r="CA231" s="283">
        <v>46600</v>
      </c>
      <c r="CB231" s="283">
        <v>32300</v>
      </c>
      <c r="CC231" s="283">
        <v>29800</v>
      </c>
      <c r="CD231" s="283">
        <v>58600</v>
      </c>
      <c r="CE231" s="283">
        <v>58600</v>
      </c>
      <c r="CF231" s="283">
        <v>10900</v>
      </c>
      <c r="CG231" s="283">
        <v>14400</v>
      </c>
      <c r="CH231" s="283">
        <v>36600</v>
      </c>
      <c r="CI231" s="283">
        <v>33937.52</v>
      </c>
      <c r="CJ231" s="283">
        <v>16000</v>
      </c>
      <c r="CK231" s="283">
        <f t="shared" si="27"/>
        <v>25412.5066666667</v>
      </c>
      <c r="CL231" s="370"/>
      <c r="CM231" s="371">
        <f>Summary!$D$3</f>
        <v>2112033.31166667</v>
      </c>
      <c r="CN231" s="258">
        <f t="shared" si="31"/>
        <v>0</v>
      </c>
    </row>
    <row r="232" s="269" customFormat="1" ht="31.2" spans="1:92">
      <c r="A232" s="258" t="s">
        <v>141</v>
      </c>
      <c r="B232" s="258" t="s">
        <v>694</v>
      </c>
      <c r="C232" s="258" t="s">
        <v>243</v>
      </c>
      <c r="D232" s="342" t="s">
        <v>2556</v>
      </c>
      <c r="E232" s="258" t="s">
        <v>454</v>
      </c>
      <c r="F232" s="260" t="s">
        <v>266</v>
      </c>
      <c r="G232" s="343"/>
      <c r="H232" s="283">
        <f t="shared" ref="H232:H240" si="32">(AW232+CK232)/2</f>
        <v>4477.16666666667</v>
      </c>
      <c r="I232" s="292" t="s">
        <v>2557</v>
      </c>
      <c r="J232" s="351">
        <v>33373</v>
      </c>
      <c r="K232" s="351">
        <v>27082</v>
      </c>
      <c r="L232" s="351">
        <v>27441</v>
      </c>
      <c r="M232" s="351">
        <v>24426</v>
      </c>
      <c r="N232" s="352">
        <v>24571</v>
      </c>
      <c r="O232" s="353">
        <v>21060</v>
      </c>
      <c r="P232" s="353">
        <v>16897</v>
      </c>
      <c r="Q232" s="353">
        <v>11761</v>
      </c>
      <c r="R232" s="353">
        <v>15189</v>
      </c>
      <c r="S232" s="353">
        <v>18616</v>
      </c>
      <c r="T232" s="353">
        <v>27417</v>
      </c>
      <c r="U232" s="353">
        <f>VLOOKUP(D232,Mid!$A$2:$C$225,2,FALSE)</f>
        <v>13785</v>
      </c>
      <c r="V232" s="353">
        <v>17572</v>
      </c>
      <c r="W232" s="353">
        <v>10373</v>
      </c>
      <c r="X232" s="353">
        <v>17557</v>
      </c>
      <c r="Y232" s="353">
        <v>22078</v>
      </c>
      <c r="Z232" s="353">
        <v>13991</v>
      </c>
      <c r="AA232" s="353">
        <v>10560</v>
      </c>
      <c r="AB232" s="353">
        <v>8670</v>
      </c>
      <c r="AC232" s="353">
        <v>10697</v>
      </c>
      <c r="AD232" s="353">
        <v>7373</v>
      </c>
      <c r="AE232" s="353">
        <v>5477</v>
      </c>
      <c r="AF232" s="353">
        <v>8955</v>
      </c>
      <c r="AG232" s="353">
        <v>8955</v>
      </c>
      <c r="AH232" s="353">
        <v>11590</v>
      </c>
      <c r="AI232" s="353">
        <v>10887</v>
      </c>
      <c r="AJ232" s="367">
        <v>16230</v>
      </c>
      <c r="AK232" s="283" t="s">
        <v>2558</v>
      </c>
      <c r="AL232" s="283">
        <v>16278</v>
      </c>
      <c r="AM232" s="283" t="s">
        <v>2559</v>
      </c>
      <c r="AN232" s="283" t="s">
        <v>2560</v>
      </c>
      <c r="AO232" s="283" t="s">
        <v>2561</v>
      </c>
      <c r="AP232" s="283">
        <v>5537</v>
      </c>
      <c r="AQ232" s="283" t="s">
        <v>2562</v>
      </c>
      <c r="AR232" s="283" t="s">
        <v>1315</v>
      </c>
      <c r="AS232" s="283" t="s">
        <v>2563</v>
      </c>
      <c r="AT232" s="283" t="s">
        <v>2564</v>
      </c>
      <c r="AU232" s="283" t="s">
        <v>2565</v>
      </c>
      <c r="AV232" s="283" t="s">
        <v>2439</v>
      </c>
      <c r="AW232" s="283">
        <f t="shared" si="26"/>
        <v>7181.33333333333</v>
      </c>
      <c r="AX232" s="283">
        <v>19900</v>
      </c>
      <c r="AY232" s="283">
        <v>27200</v>
      </c>
      <c r="AZ232" s="283">
        <v>26500</v>
      </c>
      <c r="BA232" s="283">
        <v>25500</v>
      </c>
      <c r="BB232" s="283">
        <v>35600</v>
      </c>
      <c r="BC232" s="283">
        <v>20100</v>
      </c>
      <c r="BD232" s="283">
        <v>11700</v>
      </c>
      <c r="BE232" s="283">
        <v>25700</v>
      </c>
      <c r="BF232" s="283">
        <v>15400</v>
      </c>
      <c r="BG232" s="283">
        <v>2300</v>
      </c>
      <c r="BH232" s="283">
        <v>0</v>
      </c>
      <c r="BI232" s="283">
        <f>VLOOKUP(D232,Mid!$A$2:$C$225,3,FALSE)</f>
        <v>4600</v>
      </c>
      <c r="BJ232" s="283">
        <v>5700</v>
      </c>
      <c r="BK232" s="283">
        <v>5600</v>
      </c>
      <c r="BL232" s="283">
        <v>4700</v>
      </c>
      <c r="BM232" s="283">
        <v>9000</v>
      </c>
      <c r="BN232" s="283">
        <v>6700</v>
      </c>
      <c r="BO232" s="283">
        <v>10500</v>
      </c>
      <c r="BP232" s="283">
        <v>3500</v>
      </c>
      <c r="BQ232" s="283">
        <v>5900</v>
      </c>
      <c r="BR232" s="283">
        <v>3800</v>
      </c>
      <c r="BS232" s="283">
        <v>9100</v>
      </c>
      <c r="BT232" s="283">
        <v>14800</v>
      </c>
      <c r="BU232" s="283">
        <v>3900</v>
      </c>
      <c r="BV232" s="283">
        <v>9300</v>
      </c>
      <c r="BW232" s="283">
        <v>31900</v>
      </c>
      <c r="BX232" s="283">
        <v>9600</v>
      </c>
      <c r="BY232" s="283">
        <v>9600</v>
      </c>
      <c r="BZ232" s="283">
        <v>5200</v>
      </c>
      <c r="CA232" s="283">
        <v>6900</v>
      </c>
      <c r="CB232" s="283">
        <v>0</v>
      </c>
      <c r="CC232" s="283"/>
      <c r="CD232" s="283">
        <v>0</v>
      </c>
      <c r="CE232" s="283">
        <v>0</v>
      </c>
      <c r="CF232" s="283">
        <v>2100</v>
      </c>
      <c r="CG232" s="283">
        <v>0</v>
      </c>
      <c r="CH232" s="283">
        <v>2600</v>
      </c>
      <c r="CI232" s="283">
        <v>3200</v>
      </c>
      <c r="CJ232" s="283">
        <v>546</v>
      </c>
      <c r="CK232" s="283">
        <f t="shared" si="27"/>
        <v>1773</v>
      </c>
      <c r="CL232" s="370"/>
      <c r="CM232" s="371">
        <f>Summary!$D$3</f>
        <v>2112033.31166667</v>
      </c>
      <c r="CN232" s="258">
        <f t="shared" si="31"/>
        <v>0</v>
      </c>
    </row>
    <row r="233" s="269" customFormat="1" ht="15.6" spans="1:92">
      <c r="A233" s="258" t="s">
        <v>141</v>
      </c>
      <c r="B233" s="258" t="s">
        <v>694</v>
      </c>
      <c r="C233" s="258" t="s">
        <v>230</v>
      </c>
      <c r="D233" s="342" t="s">
        <v>2566</v>
      </c>
      <c r="E233" s="260" t="s">
        <v>234</v>
      </c>
      <c r="F233" s="260" t="s">
        <v>455</v>
      </c>
      <c r="G233" s="343"/>
      <c r="H233" s="283">
        <f t="shared" si="32"/>
        <v>82025.5833333333</v>
      </c>
      <c r="I233" s="292" t="s">
        <v>747</v>
      </c>
      <c r="J233" s="351"/>
      <c r="K233" s="351"/>
      <c r="L233" s="351"/>
      <c r="M233" s="351"/>
      <c r="N233" s="352"/>
      <c r="O233" s="353"/>
      <c r="P233" s="353"/>
      <c r="Q233" s="353"/>
      <c r="R233" s="353"/>
      <c r="S233" s="353"/>
      <c r="T233" s="353"/>
      <c r="U233" s="353"/>
      <c r="V233" s="353">
        <v>100302</v>
      </c>
      <c r="W233" s="353">
        <v>93890</v>
      </c>
      <c r="X233" s="353">
        <v>76920</v>
      </c>
      <c r="Y233" s="353">
        <v>144396</v>
      </c>
      <c r="Z233" s="353">
        <v>151397</v>
      </c>
      <c r="AA233" s="353">
        <v>122177</v>
      </c>
      <c r="AB233" s="353">
        <v>133402</v>
      </c>
      <c r="AC233" s="353">
        <v>127080</v>
      </c>
      <c r="AD233" s="353">
        <v>216991</v>
      </c>
      <c r="AE233" s="353">
        <v>130463</v>
      </c>
      <c r="AF233" s="353">
        <v>112865</v>
      </c>
      <c r="AG233" s="353">
        <v>112865</v>
      </c>
      <c r="AH233" s="353">
        <v>129771</v>
      </c>
      <c r="AI233" s="353">
        <v>70134</v>
      </c>
      <c r="AJ233" s="367">
        <v>80076</v>
      </c>
      <c r="AK233" s="283" t="s">
        <v>2567</v>
      </c>
      <c r="AL233" s="283">
        <v>84031</v>
      </c>
      <c r="AM233" s="283" t="s">
        <v>2568</v>
      </c>
      <c r="AN233" s="283" t="s">
        <v>2569</v>
      </c>
      <c r="AO233" s="283" t="s">
        <v>2570</v>
      </c>
      <c r="AP233" s="283">
        <v>106754</v>
      </c>
      <c r="AQ233" s="283" t="s">
        <v>2571</v>
      </c>
      <c r="AR233" s="283" t="s">
        <v>2572</v>
      </c>
      <c r="AS233" s="283" t="s">
        <v>2573</v>
      </c>
      <c r="AT233" s="283" t="s">
        <v>2574</v>
      </c>
      <c r="AU233" s="283" t="s">
        <v>2575</v>
      </c>
      <c r="AV233" s="283" t="s">
        <v>2576</v>
      </c>
      <c r="AW233" s="283">
        <f t="shared" si="26"/>
        <v>89834.5</v>
      </c>
      <c r="AX233" s="283"/>
      <c r="AY233" s="283"/>
      <c r="AZ233" s="283"/>
      <c r="BA233" s="283"/>
      <c r="BB233" s="283"/>
      <c r="BC233" s="283"/>
      <c r="BD233" s="283"/>
      <c r="BE233" s="283"/>
      <c r="BF233" s="283"/>
      <c r="BG233" s="283"/>
      <c r="BH233" s="283"/>
      <c r="BI233" s="283"/>
      <c r="BJ233" s="283">
        <v>106900</v>
      </c>
      <c r="BK233" s="283">
        <v>128000</v>
      </c>
      <c r="BL233" s="283">
        <v>111200</v>
      </c>
      <c r="BM233" s="283">
        <v>97500</v>
      </c>
      <c r="BN233" s="283">
        <v>232200</v>
      </c>
      <c r="BO233" s="283">
        <v>112900</v>
      </c>
      <c r="BP233" s="283">
        <v>143700</v>
      </c>
      <c r="BQ233" s="283">
        <v>80700</v>
      </c>
      <c r="BR233" s="283">
        <v>36600</v>
      </c>
      <c r="BS233" s="283">
        <v>114000</v>
      </c>
      <c r="BT233" s="283">
        <v>75900</v>
      </c>
      <c r="BU233" s="283">
        <v>114000</v>
      </c>
      <c r="BV233" s="283">
        <v>139000</v>
      </c>
      <c r="BW233" s="283">
        <v>101500</v>
      </c>
      <c r="BX233" s="283">
        <v>75500</v>
      </c>
      <c r="BY233" s="283">
        <v>75500</v>
      </c>
      <c r="BZ233" s="283">
        <v>119900</v>
      </c>
      <c r="CA233" s="283">
        <v>96600</v>
      </c>
      <c r="CB233" s="283">
        <v>53700</v>
      </c>
      <c r="CC233" s="283">
        <v>87800</v>
      </c>
      <c r="CD233" s="283">
        <v>81400</v>
      </c>
      <c r="CE233" s="283">
        <v>81400</v>
      </c>
      <c r="CF233" s="283">
        <v>80890.32</v>
      </c>
      <c r="CG233" s="283">
        <v>51544.16</v>
      </c>
      <c r="CH233" s="283">
        <v>142200</v>
      </c>
      <c r="CI233" s="283">
        <v>83900</v>
      </c>
      <c r="CJ233" s="283">
        <v>45100</v>
      </c>
      <c r="CK233" s="283">
        <f t="shared" si="27"/>
        <v>74216.6666666667</v>
      </c>
      <c r="CL233" s="370"/>
      <c r="CM233" s="371">
        <f>Summary!$D$3</f>
        <v>2112033.31166667</v>
      </c>
      <c r="CN233" s="258">
        <f t="shared" si="31"/>
        <v>0</v>
      </c>
    </row>
    <row r="234" s="269" customFormat="1" ht="15.6" spans="1:92">
      <c r="A234" s="258" t="s">
        <v>189</v>
      </c>
      <c r="B234" s="258" t="s">
        <v>672</v>
      </c>
      <c r="C234" s="258" t="s">
        <v>325</v>
      </c>
      <c r="D234" s="342" t="s">
        <v>466</v>
      </c>
      <c r="E234" s="258" t="s">
        <v>467</v>
      </c>
      <c r="F234" s="260" t="s">
        <v>234</v>
      </c>
      <c r="G234" s="343"/>
      <c r="H234" s="283">
        <f t="shared" si="32"/>
        <v>448087.666666667</v>
      </c>
      <c r="I234" s="292" t="s">
        <v>672</v>
      </c>
      <c r="J234" s="351">
        <v>298743</v>
      </c>
      <c r="K234" s="351">
        <v>333299</v>
      </c>
      <c r="L234" s="351">
        <v>287200</v>
      </c>
      <c r="M234" s="351">
        <v>342953</v>
      </c>
      <c r="N234" s="352">
        <v>303644</v>
      </c>
      <c r="O234" s="353">
        <v>316198</v>
      </c>
      <c r="P234" s="353">
        <v>349619</v>
      </c>
      <c r="Q234" s="353">
        <v>351696</v>
      </c>
      <c r="R234" s="353">
        <v>323293</v>
      </c>
      <c r="S234" s="353">
        <v>312750</v>
      </c>
      <c r="T234" s="353">
        <v>316224</v>
      </c>
      <c r="U234" s="353">
        <f>VLOOKUP(D234,Mid!$A$2:$C$225,2,FALSE)</f>
        <v>328641</v>
      </c>
      <c r="V234" s="353">
        <v>381010</v>
      </c>
      <c r="W234" s="353">
        <v>338928</v>
      </c>
      <c r="X234" s="353">
        <v>294081</v>
      </c>
      <c r="Y234" s="353">
        <v>360000</v>
      </c>
      <c r="Z234" s="353">
        <v>326821</v>
      </c>
      <c r="AA234" s="353">
        <v>372471</v>
      </c>
      <c r="AB234" s="353">
        <v>387977</v>
      </c>
      <c r="AC234" s="353">
        <v>368393</v>
      </c>
      <c r="AD234" s="353">
        <v>460385</v>
      </c>
      <c r="AE234" s="353">
        <v>419319</v>
      </c>
      <c r="AF234" s="353">
        <v>528991</v>
      </c>
      <c r="AG234" s="353">
        <v>528991</v>
      </c>
      <c r="AH234" s="353">
        <v>429099</v>
      </c>
      <c r="AI234" s="353">
        <v>468897</v>
      </c>
      <c r="AJ234" s="367">
        <v>384663</v>
      </c>
      <c r="AK234" s="283">
        <v>492665</v>
      </c>
      <c r="AL234" s="283">
        <v>469777</v>
      </c>
      <c r="AM234" s="283">
        <v>517918</v>
      </c>
      <c r="AN234" s="283">
        <v>574477</v>
      </c>
      <c r="AO234" s="283">
        <v>481165</v>
      </c>
      <c r="AP234" s="283">
        <v>478130</v>
      </c>
      <c r="AQ234" s="283">
        <v>481208</v>
      </c>
      <c r="AR234" s="283">
        <v>467772</v>
      </c>
      <c r="AS234" s="283">
        <v>513897</v>
      </c>
      <c r="AT234" s="283">
        <v>464394</v>
      </c>
      <c r="AU234" s="283">
        <v>445365</v>
      </c>
      <c r="AV234" s="283">
        <v>515934</v>
      </c>
      <c r="AW234" s="283">
        <f t="shared" si="26"/>
        <v>483821</v>
      </c>
      <c r="AX234" s="283">
        <v>472700</v>
      </c>
      <c r="AY234" s="283">
        <v>428500</v>
      </c>
      <c r="AZ234" s="283">
        <v>392000</v>
      </c>
      <c r="BA234" s="283">
        <v>430100</v>
      </c>
      <c r="BB234" s="283">
        <v>401400</v>
      </c>
      <c r="BC234" s="283">
        <v>361700</v>
      </c>
      <c r="BD234" s="283">
        <v>377100</v>
      </c>
      <c r="BE234" s="283">
        <v>451200</v>
      </c>
      <c r="BF234" s="283">
        <v>276000</v>
      </c>
      <c r="BG234" s="283">
        <v>289500</v>
      </c>
      <c r="BH234" s="283">
        <v>293100</v>
      </c>
      <c r="BI234" s="283">
        <f>VLOOKUP(D234,Mid!$A$2:$C$225,3,FALSE)</f>
        <v>292400</v>
      </c>
      <c r="BJ234" s="283">
        <v>283000</v>
      </c>
      <c r="BK234" s="283">
        <v>267700</v>
      </c>
      <c r="BL234" s="283">
        <v>267100</v>
      </c>
      <c r="BM234" s="283">
        <v>380500</v>
      </c>
      <c r="BN234" s="283">
        <v>380100</v>
      </c>
      <c r="BO234" s="283">
        <v>349900</v>
      </c>
      <c r="BP234" s="283">
        <v>396600</v>
      </c>
      <c r="BQ234" s="283">
        <v>426000</v>
      </c>
      <c r="BR234" s="283">
        <v>379900</v>
      </c>
      <c r="BS234" s="283">
        <v>447600</v>
      </c>
      <c r="BT234" s="283">
        <v>746200</v>
      </c>
      <c r="BU234" s="283">
        <v>621400</v>
      </c>
      <c r="BV234" s="283">
        <v>500300</v>
      </c>
      <c r="BW234" s="283">
        <v>578100</v>
      </c>
      <c r="BX234" s="283">
        <v>515000</v>
      </c>
      <c r="BY234" s="283">
        <v>515000</v>
      </c>
      <c r="BZ234" s="283">
        <v>449600</v>
      </c>
      <c r="CA234" s="283">
        <v>670600</v>
      </c>
      <c r="CB234" s="283">
        <v>455700</v>
      </c>
      <c r="CC234" s="283">
        <v>567000</v>
      </c>
      <c r="CD234" s="283">
        <v>375400</v>
      </c>
      <c r="CE234" s="283">
        <v>451300</v>
      </c>
      <c r="CF234" s="283">
        <v>326000</v>
      </c>
      <c r="CG234" s="283">
        <v>371500</v>
      </c>
      <c r="CH234" s="283">
        <v>502300</v>
      </c>
      <c r="CI234" s="283">
        <v>346163</v>
      </c>
      <c r="CJ234" s="283">
        <v>426500</v>
      </c>
      <c r="CK234" s="283">
        <f t="shared" si="27"/>
        <v>412354.333333333</v>
      </c>
      <c r="CL234" s="370"/>
      <c r="CM234" s="396">
        <f>Summary!$D$22</f>
        <v>194324.095</v>
      </c>
      <c r="CN234" s="260">
        <f t="shared" si="31"/>
        <v>0</v>
      </c>
    </row>
    <row r="235" ht="15.6" spans="1:92">
      <c r="A235" s="258" t="s">
        <v>189</v>
      </c>
      <c r="B235" s="258" t="s">
        <v>812</v>
      </c>
      <c r="C235" s="258" t="s">
        <v>243</v>
      </c>
      <c r="D235" s="258" t="s">
        <v>355</v>
      </c>
      <c r="E235" s="258" t="s">
        <v>454</v>
      </c>
      <c r="F235" s="260" t="s">
        <v>420</v>
      </c>
      <c r="G235" s="343"/>
      <c r="H235" s="283">
        <f t="shared" si="32"/>
        <v>19601.9116666667</v>
      </c>
      <c r="I235" s="374"/>
      <c r="J235" s="351">
        <v>35792</v>
      </c>
      <c r="K235" s="351">
        <v>62995</v>
      </c>
      <c r="L235" s="351">
        <v>58265</v>
      </c>
      <c r="M235" s="351">
        <v>35110</v>
      </c>
      <c r="N235" s="352">
        <v>40519</v>
      </c>
      <c r="O235" s="353">
        <v>36507</v>
      </c>
      <c r="P235" s="353">
        <v>28606</v>
      </c>
      <c r="Q235" s="353">
        <v>47934</v>
      </c>
      <c r="R235" s="353">
        <v>34483</v>
      </c>
      <c r="S235" s="353">
        <v>36236</v>
      </c>
      <c r="T235" s="353">
        <v>36733</v>
      </c>
      <c r="U235" s="353" t="e">
        <f>VLOOKUP(D235,Mid!$A$2:$C$225,2,FALSE)</f>
        <v>#N/A</v>
      </c>
      <c r="V235" s="353">
        <v>49580</v>
      </c>
      <c r="W235" s="353">
        <v>45365</v>
      </c>
      <c r="X235" s="353">
        <v>37739</v>
      </c>
      <c r="Y235" s="353">
        <v>36234</v>
      </c>
      <c r="Z235" s="353">
        <v>39193</v>
      </c>
      <c r="AA235" s="353">
        <v>27659</v>
      </c>
      <c r="AB235" s="353">
        <v>33968</v>
      </c>
      <c r="AC235" s="353">
        <v>47695</v>
      </c>
      <c r="AD235" s="353">
        <v>45376</v>
      </c>
      <c r="AE235" s="353">
        <v>35499</v>
      </c>
      <c r="AF235" s="353">
        <v>35429</v>
      </c>
      <c r="AG235" s="353">
        <v>35429</v>
      </c>
      <c r="AH235" s="353">
        <v>31457</v>
      </c>
      <c r="AI235" s="353">
        <v>64652</v>
      </c>
      <c r="AJ235" s="367">
        <v>60135</v>
      </c>
      <c r="AK235" s="283" t="s">
        <v>2577</v>
      </c>
      <c r="AL235" s="283">
        <v>49633</v>
      </c>
      <c r="AM235" s="283" t="s">
        <v>2578</v>
      </c>
      <c r="AN235" s="283" t="s">
        <v>2579</v>
      </c>
      <c r="AO235" s="283" t="s">
        <v>2580</v>
      </c>
      <c r="AP235" s="283">
        <v>60324</v>
      </c>
      <c r="AQ235" s="283" t="s">
        <v>2581</v>
      </c>
      <c r="AR235" s="283" t="s">
        <v>2582</v>
      </c>
      <c r="AS235" s="283" t="s">
        <v>2583</v>
      </c>
      <c r="AT235" s="283" t="s">
        <v>2584</v>
      </c>
      <c r="AU235" s="283" t="s">
        <v>2585</v>
      </c>
      <c r="AV235" s="283" t="s">
        <v>2586</v>
      </c>
      <c r="AW235" s="283">
        <f t="shared" si="26"/>
        <v>22676.6666666667</v>
      </c>
      <c r="AX235" s="283">
        <v>39500</v>
      </c>
      <c r="AY235" s="283">
        <v>39300</v>
      </c>
      <c r="AZ235" s="283">
        <v>36400</v>
      </c>
      <c r="BA235" s="283">
        <v>42000</v>
      </c>
      <c r="BB235" s="283">
        <v>44600</v>
      </c>
      <c r="BC235" s="283">
        <v>42400</v>
      </c>
      <c r="BD235" s="283">
        <v>34300</v>
      </c>
      <c r="BE235" s="283">
        <v>53800</v>
      </c>
      <c r="BF235" s="283">
        <v>42300</v>
      </c>
      <c r="BG235" s="283">
        <v>46800</v>
      </c>
      <c r="BH235" s="283">
        <v>34500</v>
      </c>
      <c r="BI235" s="283" t="e">
        <f>VLOOKUP(D235,Mid!$A$2:$C$225,3,FALSE)</f>
        <v>#N/A</v>
      </c>
      <c r="BJ235" s="283">
        <v>31200</v>
      </c>
      <c r="BK235" s="283">
        <v>30100</v>
      </c>
      <c r="BL235" s="283">
        <v>25600</v>
      </c>
      <c r="BM235" s="283">
        <v>24800</v>
      </c>
      <c r="BN235" s="283">
        <v>18400</v>
      </c>
      <c r="BO235" s="283">
        <v>25000</v>
      </c>
      <c r="BP235" s="283">
        <v>46700</v>
      </c>
      <c r="BQ235" s="283">
        <v>25800</v>
      </c>
      <c r="BR235" s="283">
        <v>29600</v>
      </c>
      <c r="BS235" s="283">
        <v>14400</v>
      </c>
      <c r="BT235" s="283">
        <v>27000</v>
      </c>
      <c r="BU235" s="283">
        <v>15000</v>
      </c>
      <c r="BV235" s="283">
        <v>9500</v>
      </c>
      <c r="BW235" s="283">
        <v>22000</v>
      </c>
      <c r="BX235" s="283">
        <v>27154</v>
      </c>
      <c r="BY235" s="283">
        <v>27154</v>
      </c>
      <c r="BZ235" s="283">
        <v>17700</v>
      </c>
      <c r="CA235" s="283">
        <v>26000</v>
      </c>
      <c r="CB235" s="283">
        <v>21400</v>
      </c>
      <c r="CC235" s="283">
        <v>43100</v>
      </c>
      <c r="CD235" s="283">
        <v>58800</v>
      </c>
      <c r="CE235" s="283">
        <v>31800</v>
      </c>
      <c r="CF235" s="283">
        <v>33000</v>
      </c>
      <c r="CG235" s="283">
        <v>16100</v>
      </c>
      <c r="CH235" s="283">
        <v>18962.94</v>
      </c>
      <c r="CI235" s="283">
        <v>16700</v>
      </c>
      <c r="CJ235" s="283">
        <v>15600</v>
      </c>
      <c r="CK235" s="283">
        <f t="shared" si="27"/>
        <v>16527.1566666667</v>
      </c>
      <c r="CL235" s="370"/>
      <c r="CM235" s="396">
        <f>Summary!$D$22</f>
        <v>194324.095</v>
      </c>
      <c r="CN235" s="260">
        <f t="shared" si="31"/>
        <v>1</v>
      </c>
    </row>
    <row r="236" ht="15.6" spans="1:92">
      <c r="A236" s="258" t="s">
        <v>189</v>
      </c>
      <c r="B236" s="258" t="s">
        <v>812</v>
      </c>
      <c r="C236" s="258" t="s">
        <v>230</v>
      </c>
      <c r="D236" s="258" t="s">
        <v>354</v>
      </c>
      <c r="E236" s="258" t="s">
        <v>233</v>
      </c>
      <c r="F236" s="260" t="s">
        <v>411</v>
      </c>
      <c r="G236" s="343"/>
      <c r="H236" s="283">
        <f t="shared" si="32"/>
        <v>22955.6416666667</v>
      </c>
      <c r="I236" s="292"/>
      <c r="J236" s="351">
        <v>61929</v>
      </c>
      <c r="K236" s="351">
        <v>116124</v>
      </c>
      <c r="L236" s="351">
        <v>93336</v>
      </c>
      <c r="M236" s="351">
        <v>124889</v>
      </c>
      <c r="N236" s="352">
        <v>135000</v>
      </c>
      <c r="O236" s="353">
        <v>115588</v>
      </c>
      <c r="P236" s="353">
        <v>128442</v>
      </c>
      <c r="Q236" s="353">
        <v>147103</v>
      </c>
      <c r="R236" s="353">
        <v>141021</v>
      </c>
      <c r="S236" s="353">
        <v>127646</v>
      </c>
      <c r="T236" s="353">
        <v>290329</v>
      </c>
      <c r="U236" s="353" t="e">
        <f>VLOOKUP(D236,Mid!$A$2:$C$225,2,FALSE)</f>
        <v>#N/A</v>
      </c>
      <c r="V236" s="353">
        <v>864412</v>
      </c>
      <c r="W236" s="353">
        <v>370058</v>
      </c>
      <c r="X236" s="353">
        <v>223369</v>
      </c>
      <c r="Y236" s="353">
        <v>414777</v>
      </c>
      <c r="Z236" s="353">
        <v>715419</v>
      </c>
      <c r="AA236" s="353">
        <v>662821</v>
      </c>
      <c r="AB236" s="353">
        <v>734766</v>
      </c>
      <c r="AC236" s="353">
        <v>781399</v>
      </c>
      <c r="AD236" s="353">
        <v>712048</v>
      </c>
      <c r="AE236" s="353">
        <v>505162</v>
      </c>
      <c r="AF236" s="353">
        <v>219568</v>
      </c>
      <c r="AG236" s="353">
        <v>219568</v>
      </c>
      <c r="AH236" s="353">
        <v>203282</v>
      </c>
      <c r="AI236" s="353">
        <v>175195</v>
      </c>
      <c r="AJ236" s="367">
        <v>135217</v>
      </c>
      <c r="AK236" s="283" t="s">
        <v>2587</v>
      </c>
      <c r="AL236" s="283">
        <v>145840</v>
      </c>
      <c r="AM236" s="283" t="s">
        <v>2588</v>
      </c>
      <c r="AN236" s="283" t="s">
        <v>2589</v>
      </c>
      <c r="AO236" s="283" t="s">
        <v>2590</v>
      </c>
      <c r="AP236" s="283">
        <v>143591</v>
      </c>
      <c r="AQ236" s="283" t="s">
        <v>2591</v>
      </c>
      <c r="AR236" s="283" t="s">
        <v>2592</v>
      </c>
      <c r="AS236" s="283" t="s">
        <v>2593</v>
      </c>
      <c r="AT236" s="283" t="s">
        <v>2594</v>
      </c>
      <c r="AU236" s="283" t="s">
        <v>2595</v>
      </c>
      <c r="AV236" s="283" t="s">
        <v>2596</v>
      </c>
      <c r="AW236" s="283">
        <f t="shared" si="26"/>
        <v>31490.1666666667</v>
      </c>
      <c r="AX236" s="283">
        <v>52600</v>
      </c>
      <c r="AY236" s="283">
        <v>46900</v>
      </c>
      <c r="AZ236" s="283">
        <v>41900</v>
      </c>
      <c r="BA236" s="283">
        <v>49400</v>
      </c>
      <c r="BB236" s="283">
        <v>37600</v>
      </c>
      <c r="BC236" s="283">
        <v>52200</v>
      </c>
      <c r="BD236" s="283">
        <v>58200</v>
      </c>
      <c r="BE236" s="283">
        <v>68600</v>
      </c>
      <c r="BF236" s="283">
        <v>162600</v>
      </c>
      <c r="BG236" s="283">
        <v>146500</v>
      </c>
      <c r="BH236" s="283">
        <v>157500</v>
      </c>
      <c r="BI236" s="283" t="e">
        <f>VLOOKUP(D236,Mid!$A$2:$C$225,3,FALSE)</f>
        <v>#N/A</v>
      </c>
      <c r="BJ236" s="283">
        <v>75700</v>
      </c>
      <c r="BK236" s="283">
        <v>60000</v>
      </c>
      <c r="BL236" s="283">
        <v>71300</v>
      </c>
      <c r="BM236" s="283">
        <v>110600</v>
      </c>
      <c r="BN236" s="283">
        <v>172400</v>
      </c>
      <c r="BO236" s="283">
        <v>116800</v>
      </c>
      <c r="BP236" s="283">
        <v>88000</v>
      </c>
      <c r="BQ236" s="283">
        <v>132200</v>
      </c>
      <c r="BR236" s="283">
        <v>151200</v>
      </c>
      <c r="BS236" s="283">
        <v>154500</v>
      </c>
      <c r="BT236" s="283">
        <v>155200</v>
      </c>
      <c r="BU236" s="283">
        <v>117300</v>
      </c>
      <c r="BV236" s="283">
        <v>106000</v>
      </c>
      <c r="BW236" s="283">
        <v>257900</v>
      </c>
      <c r="BX236" s="283">
        <v>212300</v>
      </c>
      <c r="BY236" s="283">
        <v>212300</v>
      </c>
      <c r="BZ236" s="283">
        <v>74500</v>
      </c>
      <c r="CA236" s="283">
        <v>46900</v>
      </c>
      <c r="CB236" s="283">
        <v>96700</v>
      </c>
      <c r="CC236" s="283">
        <v>112300</v>
      </c>
      <c r="CD236" s="283">
        <v>89400</v>
      </c>
      <c r="CE236" s="283">
        <v>109800</v>
      </c>
      <c r="CF236" s="283">
        <v>147000</v>
      </c>
      <c r="CG236" s="283">
        <v>101984.4</v>
      </c>
      <c r="CH236" s="283">
        <v>75126.7</v>
      </c>
      <c r="CI236" s="283">
        <v>4200</v>
      </c>
      <c r="CJ236" s="283">
        <v>1000</v>
      </c>
      <c r="CK236" s="283">
        <f t="shared" si="27"/>
        <v>14421.1166666667</v>
      </c>
      <c r="CL236" s="370"/>
      <c r="CM236" s="396">
        <f>Summary!$D$22</f>
        <v>194324.095</v>
      </c>
      <c r="CN236" s="260">
        <f t="shared" si="31"/>
        <v>1</v>
      </c>
    </row>
    <row r="237" ht="15.6" spans="1:92">
      <c r="A237" s="258" t="s">
        <v>189</v>
      </c>
      <c r="B237" s="258" t="s">
        <v>812</v>
      </c>
      <c r="C237" s="258" t="s">
        <v>367</v>
      </c>
      <c r="D237" s="342" t="s">
        <v>2597</v>
      </c>
      <c r="E237" s="258" t="s">
        <v>234</v>
      </c>
      <c r="F237" s="260" t="s">
        <v>234</v>
      </c>
      <c r="G237" s="343"/>
      <c r="H237" s="283">
        <f t="shared" si="32"/>
        <v>13.9166666666667</v>
      </c>
      <c r="I237" s="292" t="s">
        <v>2598</v>
      </c>
      <c r="J237" s="357">
        <v>0</v>
      </c>
      <c r="K237" s="357">
        <v>0</v>
      </c>
      <c r="L237" s="357">
        <v>0</v>
      </c>
      <c r="M237" s="357">
        <v>0</v>
      </c>
      <c r="N237" s="357">
        <v>0</v>
      </c>
      <c r="O237" s="359">
        <v>0</v>
      </c>
      <c r="P237" s="359">
        <v>0</v>
      </c>
      <c r="Q237" s="359">
        <v>0</v>
      </c>
      <c r="R237" s="359">
        <v>0</v>
      </c>
      <c r="S237" s="359">
        <v>0</v>
      </c>
      <c r="T237" s="359">
        <v>6043</v>
      </c>
      <c r="U237" s="353" t="e">
        <f>VLOOKUP(D237,Mid!$A$2:$C$225,2,FALSE)</f>
        <v>#N/A</v>
      </c>
      <c r="V237" s="353">
        <v>0</v>
      </c>
      <c r="W237" s="353">
        <v>0</v>
      </c>
      <c r="X237" s="353">
        <v>0</v>
      </c>
      <c r="Y237" s="353">
        <v>0</v>
      </c>
      <c r="Z237" s="353">
        <v>0</v>
      </c>
      <c r="AA237" s="353">
        <v>0</v>
      </c>
      <c r="AB237" s="353">
        <v>0</v>
      </c>
      <c r="AC237" s="353">
        <v>0</v>
      </c>
      <c r="AD237" s="353">
        <v>0</v>
      </c>
      <c r="AE237" s="353">
        <v>0</v>
      </c>
      <c r="AF237" s="353">
        <v>0</v>
      </c>
      <c r="AG237" s="353">
        <v>0</v>
      </c>
      <c r="AH237" s="353">
        <v>0</v>
      </c>
      <c r="AI237" s="353">
        <v>0</v>
      </c>
      <c r="AJ237" s="353">
        <v>0</v>
      </c>
      <c r="AK237" s="283" t="s">
        <v>796</v>
      </c>
      <c r="AL237" s="283">
        <v>0</v>
      </c>
      <c r="AM237" s="283" t="s">
        <v>796</v>
      </c>
      <c r="AN237" s="283" t="s">
        <v>2599</v>
      </c>
      <c r="AO237" s="283" t="s">
        <v>796</v>
      </c>
      <c r="AP237" s="283">
        <v>0</v>
      </c>
      <c r="AQ237" s="283" t="s">
        <v>796</v>
      </c>
      <c r="AR237" s="283" t="s">
        <v>796</v>
      </c>
      <c r="AS237" s="283" t="s">
        <v>796</v>
      </c>
      <c r="AT237" s="283" t="s">
        <v>2600</v>
      </c>
      <c r="AU237" s="283" t="s">
        <v>796</v>
      </c>
      <c r="AV237" s="283" t="s">
        <v>796</v>
      </c>
      <c r="AW237" s="283">
        <f t="shared" si="26"/>
        <v>27.8333333333333</v>
      </c>
      <c r="AX237" s="283">
        <v>2800</v>
      </c>
      <c r="AY237" s="283">
        <v>0</v>
      </c>
      <c r="AZ237" s="283">
        <v>60700</v>
      </c>
      <c r="BA237" s="283">
        <v>2500</v>
      </c>
      <c r="BB237" s="283">
        <v>1700</v>
      </c>
      <c r="BC237" s="283">
        <v>723</v>
      </c>
      <c r="BD237" s="283">
        <v>985</v>
      </c>
      <c r="BE237" s="283">
        <v>0</v>
      </c>
      <c r="BF237" s="283">
        <v>2200</v>
      </c>
      <c r="BG237" s="283">
        <v>0</v>
      </c>
      <c r="BH237" s="283">
        <v>1100</v>
      </c>
      <c r="BI237" s="283" t="e">
        <f>VLOOKUP(D237,Mid!$A$2:$C$225,3,FALSE)</f>
        <v>#N/A</v>
      </c>
      <c r="BJ237" s="283">
        <v>0</v>
      </c>
      <c r="BK237" s="283">
        <v>0</v>
      </c>
      <c r="BL237" s="283">
        <v>0</v>
      </c>
      <c r="BM237" s="283">
        <v>0</v>
      </c>
      <c r="BN237" s="283">
        <v>0</v>
      </c>
      <c r="BO237" s="283">
        <v>461</v>
      </c>
      <c r="BP237" s="283">
        <v>0</v>
      </c>
      <c r="BQ237" s="283">
        <v>0</v>
      </c>
      <c r="BR237" s="283">
        <v>0</v>
      </c>
      <c r="BS237" s="283">
        <v>0</v>
      </c>
      <c r="BT237" s="283">
        <v>0</v>
      </c>
      <c r="BU237" s="283">
        <v>0</v>
      </c>
      <c r="BV237" s="283">
        <v>1800</v>
      </c>
      <c r="BW237" s="283">
        <v>0</v>
      </c>
      <c r="BX237" s="283">
        <v>5600</v>
      </c>
      <c r="BY237" s="283">
        <v>5600</v>
      </c>
      <c r="BZ237" s="283">
        <v>0</v>
      </c>
      <c r="CA237" s="283">
        <v>0</v>
      </c>
      <c r="CB237" s="283">
        <v>1100</v>
      </c>
      <c r="CC237" s="283">
        <v>0</v>
      </c>
      <c r="CD237" s="283">
        <v>0</v>
      </c>
      <c r="CE237" s="283">
        <v>0</v>
      </c>
      <c r="CF237" s="283">
        <v>0</v>
      </c>
      <c r="CG237" s="283">
        <v>0</v>
      </c>
      <c r="CH237" s="283">
        <v>0</v>
      </c>
      <c r="CI237" s="283">
        <v>0</v>
      </c>
      <c r="CJ237" s="283">
        <v>0</v>
      </c>
      <c r="CK237" s="283">
        <f t="shared" si="27"/>
        <v>0</v>
      </c>
      <c r="CL237" s="370"/>
      <c r="CM237" s="396">
        <f>Summary!$D$22</f>
        <v>194324.095</v>
      </c>
      <c r="CN237" s="260">
        <f t="shared" si="31"/>
        <v>0</v>
      </c>
    </row>
    <row r="238" ht="15.6" spans="1:92">
      <c r="A238" s="258" t="s">
        <v>189</v>
      </c>
      <c r="B238" s="258" t="s">
        <v>812</v>
      </c>
      <c r="C238" s="258" t="s">
        <v>230</v>
      </c>
      <c r="D238" s="342" t="s">
        <v>356</v>
      </c>
      <c r="E238" s="258" t="s">
        <v>233</v>
      </c>
      <c r="F238" s="260" t="s">
        <v>414</v>
      </c>
      <c r="G238" s="343"/>
      <c r="H238" s="283">
        <f t="shared" si="32"/>
        <v>17345.8666666667</v>
      </c>
      <c r="I238" s="292"/>
      <c r="J238" s="351">
        <v>46094</v>
      </c>
      <c r="K238" s="351">
        <v>25721</v>
      </c>
      <c r="L238" s="351">
        <v>25221</v>
      </c>
      <c r="M238" s="351">
        <v>27136</v>
      </c>
      <c r="N238" s="352">
        <v>17900</v>
      </c>
      <c r="O238" s="353">
        <v>20678</v>
      </c>
      <c r="P238" s="353">
        <v>20271</v>
      </c>
      <c r="Q238" s="353">
        <v>13138</v>
      </c>
      <c r="R238" s="353">
        <v>24047</v>
      </c>
      <c r="S238" s="353">
        <v>17645</v>
      </c>
      <c r="T238" s="353">
        <v>18096</v>
      </c>
      <c r="U238" s="353" t="e">
        <f>VLOOKUP(D238,Mid!$A$2:$C$225,2,FALSE)</f>
        <v>#N/A</v>
      </c>
      <c r="V238" s="353">
        <v>29038</v>
      </c>
      <c r="W238" s="353">
        <v>24237</v>
      </c>
      <c r="X238" s="353">
        <v>18923</v>
      </c>
      <c r="Y238" s="353">
        <v>32400</v>
      </c>
      <c r="Z238" s="353">
        <v>20824</v>
      </c>
      <c r="AA238" s="353">
        <v>13312</v>
      </c>
      <c r="AB238" s="353">
        <v>19078</v>
      </c>
      <c r="AC238" s="353">
        <v>15513</v>
      </c>
      <c r="AD238" s="353">
        <v>23791</v>
      </c>
      <c r="AE238" s="353">
        <v>34123</v>
      </c>
      <c r="AF238" s="353">
        <v>31741</v>
      </c>
      <c r="AG238" s="353">
        <v>31741</v>
      </c>
      <c r="AH238" s="353">
        <v>45064</v>
      </c>
      <c r="AI238" s="353">
        <v>39457</v>
      </c>
      <c r="AJ238" s="367">
        <v>29854</v>
      </c>
      <c r="AK238" s="283" t="s">
        <v>2601</v>
      </c>
      <c r="AL238" s="283">
        <v>36478</v>
      </c>
      <c r="AM238" s="283" t="s">
        <v>2602</v>
      </c>
      <c r="AN238" s="283" t="s">
        <v>2603</v>
      </c>
      <c r="AO238" s="283" t="s">
        <v>2604</v>
      </c>
      <c r="AP238" s="283">
        <v>37814</v>
      </c>
      <c r="AQ238" s="283" t="s">
        <v>2605</v>
      </c>
      <c r="AR238" s="283" t="s">
        <v>2606</v>
      </c>
      <c r="AS238" s="283" t="s">
        <v>2607</v>
      </c>
      <c r="AT238" s="283" t="s">
        <v>2608</v>
      </c>
      <c r="AU238" s="283" t="s">
        <v>2609</v>
      </c>
      <c r="AV238" s="283" t="s">
        <v>2610</v>
      </c>
      <c r="AW238" s="283">
        <f t="shared" si="26"/>
        <v>29857.3333333333</v>
      </c>
      <c r="AX238" s="283">
        <v>66100</v>
      </c>
      <c r="AY238" s="283">
        <v>30900</v>
      </c>
      <c r="AZ238" s="283">
        <v>40300</v>
      </c>
      <c r="BA238" s="283">
        <v>45000</v>
      </c>
      <c r="BB238" s="283">
        <v>28000</v>
      </c>
      <c r="BC238" s="283">
        <v>18000</v>
      </c>
      <c r="BD238" s="283">
        <v>33900</v>
      </c>
      <c r="BE238" s="283">
        <v>29600</v>
      </c>
      <c r="BF238" s="283">
        <v>47700</v>
      </c>
      <c r="BG238" s="283">
        <v>35000</v>
      </c>
      <c r="BH238" s="283">
        <v>34100</v>
      </c>
      <c r="BI238" s="283" t="e">
        <f>VLOOKUP(D238,Mid!$A$2:$C$225,3,FALSE)</f>
        <v>#N/A</v>
      </c>
      <c r="BJ238" s="283">
        <v>21300</v>
      </c>
      <c r="BK238" s="283">
        <v>27600</v>
      </c>
      <c r="BL238" s="283">
        <v>23800</v>
      </c>
      <c r="BM238" s="283">
        <v>31200</v>
      </c>
      <c r="BN238" s="283">
        <v>20400</v>
      </c>
      <c r="BO238" s="283">
        <v>12400</v>
      </c>
      <c r="BP238" s="283">
        <v>29000</v>
      </c>
      <c r="BQ238" s="283">
        <v>24800</v>
      </c>
      <c r="BR238" s="283">
        <v>59900</v>
      </c>
      <c r="BS238" s="283">
        <v>28900</v>
      </c>
      <c r="BT238" s="283">
        <v>20900</v>
      </c>
      <c r="BU238" s="283">
        <v>23800</v>
      </c>
      <c r="BV238" s="283">
        <v>23800</v>
      </c>
      <c r="BW238" s="283">
        <v>85100</v>
      </c>
      <c r="BX238" s="283">
        <v>7800</v>
      </c>
      <c r="BY238" s="283">
        <v>7800</v>
      </c>
      <c r="BZ238" s="283">
        <v>7100</v>
      </c>
      <c r="CA238" s="283">
        <v>8500</v>
      </c>
      <c r="CB238" s="283">
        <v>11700</v>
      </c>
      <c r="CC238" s="283">
        <v>12100</v>
      </c>
      <c r="CD238" s="283">
        <v>6900</v>
      </c>
      <c r="CE238" s="283">
        <v>2700</v>
      </c>
      <c r="CF238" s="283">
        <v>14600</v>
      </c>
      <c r="CG238" s="283">
        <v>9100</v>
      </c>
      <c r="CH238" s="283">
        <v>3100</v>
      </c>
      <c r="CI238" s="283">
        <f>0.0628*2*47000</f>
        <v>5903.2</v>
      </c>
      <c r="CJ238" s="283">
        <v>4700</v>
      </c>
      <c r="CK238" s="283">
        <f t="shared" si="27"/>
        <v>4834.4</v>
      </c>
      <c r="CL238" s="370"/>
      <c r="CM238" s="396">
        <f>Summary!$D$22</f>
        <v>194324.095</v>
      </c>
      <c r="CN238" s="260">
        <f t="shared" si="31"/>
        <v>1</v>
      </c>
    </row>
    <row r="239" ht="15.6" spans="1:92">
      <c r="A239" s="258" t="s">
        <v>189</v>
      </c>
      <c r="B239" s="258" t="s">
        <v>812</v>
      </c>
      <c r="C239" s="258" t="s">
        <v>243</v>
      </c>
      <c r="D239" s="258" t="s">
        <v>2611</v>
      </c>
      <c r="E239" s="258" t="s">
        <v>234</v>
      </c>
      <c r="F239" s="260" t="s">
        <v>234</v>
      </c>
      <c r="G239" s="343"/>
      <c r="H239" s="283">
        <f t="shared" si="32"/>
        <v>212.25</v>
      </c>
      <c r="I239" s="292" t="s">
        <v>1580</v>
      </c>
      <c r="J239" s="357">
        <v>0</v>
      </c>
      <c r="K239" s="357">
        <v>0</v>
      </c>
      <c r="L239" s="357">
        <v>0</v>
      </c>
      <c r="M239" s="357">
        <v>0</v>
      </c>
      <c r="N239" s="357">
        <v>0</v>
      </c>
      <c r="O239" s="359">
        <v>0</v>
      </c>
      <c r="P239" s="359">
        <v>0</v>
      </c>
      <c r="Q239" s="359">
        <v>0</v>
      </c>
      <c r="R239" s="359">
        <v>0</v>
      </c>
      <c r="S239" s="359">
        <v>0</v>
      </c>
      <c r="T239" s="359">
        <v>0</v>
      </c>
      <c r="U239" s="353" t="e">
        <f>VLOOKUP(D239,Mid!$A$2:$C$225,2,FALSE)</f>
        <v>#N/A</v>
      </c>
      <c r="V239" s="353">
        <v>0</v>
      </c>
      <c r="W239" s="353">
        <v>0</v>
      </c>
      <c r="X239" s="353">
        <v>0</v>
      </c>
      <c r="Y239" s="353">
        <v>0</v>
      </c>
      <c r="Z239" s="353">
        <v>0</v>
      </c>
      <c r="AA239" s="353">
        <v>0</v>
      </c>
      <c r="AB239" s="353">
        <v>0</v>
      </c>
      <c r="AC239" s="353">
        <v>0</v>
      </c>
      <c r="AD239" s="353">
        <v>0</v>
      </c>
      <c r="AE239" s="353">
        <v>0</v>
      </c>
      <c r="AF239" s="353">
        <v>0</v>
      </c>
      <c r="AG239" s="353">
        <v>0</v>
      </c>
      <c r="AH239" s="353">
        <v>0</v>
      </c>
      <c r="AI239" s="353">
        <v>0</v>
      </c>
      <c r="AJ239" s="353">
        <v>419</v>
      </c>
      <c r="AK239" s="283">
        <v>0</v>
      </c>
      <c r="AL239" s="283">
        <v>951</v>
      </c>
      <c r="AM239" s="283">
        <v>1474</v>
      </c>
      <c r="AN239" s="283" t="s">
        <v>796</v>
      </c>
      <c r="AO239" s="283" t="s">
        <v>796</v>
      </c>
      <c r="AP239" s="283">
        <v>5000</v>
      </c>
      <c r="AQ239" s="283">
        <v>580</v>
      </c>
      <c r="AR239" s="283" t="s">
        <v>2612</v>
      </c>
      <c r="AS239" s="283" t="s">
        <v>796</v>
      </c>
      <c r="AT239" s="283" t="s">
        <v>796</v>
      </c>
      <c r="AU239" s="283" t="s">
        <v>796</v>
      </c>
      <c r="AV239" s="283" t="s">
        <v>2613</v>
      </c>
      <c r="AW239" s="283">
        <f t="shared" si="26"/>
        <v>151.5</v>
      </c>
      <c r="AX239" s="283">
        <v>0</v>
      </c>
      <c r="AY239" s="283">
        <v>0</v>
      </c>
      <c r="AZ239" s="283">
        <v>0</v>
      </c>
      <c r="BA239" s="283">
        <v>0</v>
      </c>
      <c r="BB239" s="283">
        <v>0</v>
      </c>
      <c r="BC239" s="283">
        <v>0</v>
      </c>
      <c r="BD239" s="283">
        <v>0</v>
      </c>
      <c r="BE239" s="283">
        <v>0</v>
      </c>
      <c r="BF239" s="283">
        <v>0</v>
      </c>
      <c r="BG239" s="283">
        <v>0</v>
      </c>
      <c r="BH239" s="283">
        <v>0</v>
      </c>
      <c r="BI239" s="283" t="e">
        <f>VLOOKUP(D239,Mid!$A$2:$C$225,3,FALSE)</f>
        <v>#N/A</v>
      </c>
      <c r="BJ239" s="283">
        <v>0</v>
      </c>
      <c r="BK239" s="283">
        <v>0</v>
      </c>
      <c r="BL239" s="283">
        <v>0</v>
      </c>
      <c r="BM239" s="283">
        <v>470</v>
      </c>
      <c r="BN239" s="283">
        <v>0</v>
      </c>
      <c r="BO239" s="283">
        <v>0</v>
      </c>
      <c r="BP239" s="283">
        <v>5900</v>
      </c>
      <c r="BQ239" s="283">
        <v>1500</v>
      </c>
      <c r="BR239" s="283">
        <v>1600</v>
      </c>
      <c r="BS239" s="283">
        <v>213</v>
      </c>
      <c r="BT239" s="283">
        <v>0</v>
      </c>
      <c r="BU239" s="283">
        <v>2600</v>
      </c>
      <c r="BV239" s="283">
        <v>0</v>
      </c>
      <c r="BW239" s="283">
        <v>0</v>
      </c>
      <c r="BX239" s="283">
        <v>63</v>
      </c>
      <c r="BY239" s="283">
        <v>63</v>
      </c>
      <c r="BZ239" s="283">
        <v>4100</v>
      </c>
      <c r="CA239" s="283">
        <v>0</v>
      </c>
      <c r="CB239" s="283">
        <v>0</v>
      </c>
      <c r="CC239" s="283">
        <v>0</v>
      </c>
      <c r="CD239" s="283">
        <v>0</v>
      </c>
      <c r="CE239" s="283">
        <v>0</v>
      </c>
      <c r="CF239" s="283">
        <v>439</v>
      </c>
      <c r="CG239" s="283">
        <v>0</v>
      </c>
      <c r="CH239" s="283">
        <v>0</v>
      </c>
      <c r="CI239" s="283">
        <v>0</v>
      </c>
      <c r="CJ239" s="283">
        <v>546</v>
      </c>
      <c r="CK239" s="283">
        <f t="shared" si="27"/>
        <v>273</v>
      </c>
      <c r="CL239" s="370"/>
      <c r="CM239" s="396">
        <f>Summary!$D$22</f>
        <v>194324.095</v>
      </c>
      <c r="CN239" s="260">
        <f t="shared" si="31"/>
        <v>0</v>
      </c>
    </row>
    <row r="240" ht="15.6" spans="1:92">
      <c r="A240" s="258" t="s">
        <v>191</v>
      </c>
      <c r="B240" s="258" t="s">
        <v>812</v>
      </c>
      <c r="C240" s="258" t="s">
        <v>325</v>
      </c>
      <c r="D240" s="258" t="s">
        <v>357</v>
      </c>
      <c r="E240" s="258" t="s">
        <v>441</v>
      </c>
      <c r="F240" s="260" t="s">
        <v>422</v>
      </c>
      <c r="G240" s="343"/>
      <c r="H240" s="283">
        <f t="shared" si="32"/>
        <v>107339.58</v>
      </c>
      <c r="I240" s="361"/>
      <c r="J240" s="351">
        <v>112071</v>
      </c>
      <c r="K240" s="351">
        <v>134026</v>
      </c>
      <c r="L240" s="351">
        <v>122606</v>
      </c>
      <c r="M240" s="351">
        <v>154680</v>
      </c>
      <c r="N240" s="352">
        <v>143971</v>
      </c>
      <c r="O240" s="353">
        <v>131864</v>
      </c>
      <c r="P240" s="353">
        <v>146087</v>
      </c>
      <c r="Q240" s="353">
        <v>161376</v>
      </c>
      <c r="R240" s="353">
        <v>122688</v>
      </c>
      <c r="S240" s="353">
        <v>105890</v>
      </c>
      <c r="T240" s="353">
        <v>110194</v>
      </c>
      <c r="U240" s="353" t="e">
        <f>VLOOKUP(D240,Mid!$A$2:$C$225,2,FALSE)</f>
        <v>#N/A</v>
      </c>
      <c r="V240" s="353">
        <v>135125</v>
      </c>
      <c r="W240" s="353">
        <v>106142</v>
      </c>
      <c r="X240" s="353">
        <v>88563</v>
      </c>
      <c r="Y240" s="353">
        <v>97352</v>
      </c>
      <c r="Z240" s="353">
        <v>127331</v>
      </c>
      <c r="AA240" s="353">
        <v>127346</v>
      </c>
      <c r="AB240" s="353">
        <v>129482</v>
      </c>
      <c r="AC240" s="353">
        <v>138213</v>
      </c>
      <c r="AD240" s="353">
        <v>111215</v>
      </c>
      <c r="AE240" s="353">
        <v>96934</v>
      </c>
      <c r="AF240" s="353">
        <v>82718</v>
      </c>
      <c r="AG240" s="353">
        <v>82718</v>
      </c>
      <c r="AH240" s="353">
        <v>119243</v>
      </c>
      <c r="AI240" s="353">
        <v>124974</v>
      </c>
      <c r="AJ240" s="367">
        <v>89979</v>
      </c>
      <c r="AK240" s="283" t="s">
        <v>2614</v>
      </c>
      <c r="AL240" s="283">
        <v>95076</v>
      </c>
      <c r="AM240" s="283" t="s">
        <v>2615</v>
      </c>
      <c r="AN240" s="283" t="s">
        <v>2616</v>
      </c>
      <c r="AO240" s="283" t="s">
        <v>2617</v>
      </c>
      <c r="AP240" s="283">
        <v>107726</v>
      </c>
      <c r="AQ240" s="283" t="s">
        <v>2618</v>
      </c>
      <c r="AR240" s="283" t="s">
        <v>2619</v>
      </c>
      <c r="AS240" s="283" t="s">
        <v>2620</v>
      </c>
      <c r="AT240" s="283" t="s">
        <v>2621</v>
      </c>
      <c r="AU240" s="283" t="s">
        <v>2622</v>
      </c>
      <c r="AV240" s="283" t="s">
        <v>2623</v>
      </c>
      <c r="AW240" s="283">
        <f t="shared" si="26"/>
        <v>123544</v>
      </c>
      <c r="AX240" s="283">
        <v>140900</v>
      </c>
      <c r="AY240" s="283">
        <v>125900</v>
      </c>
      <c r="AZ240" s="283">
        <v>129000</v>
      </c>
      <c r="BA240" s="283">
        <v>133300</v>
      </c>
      <c r="BB240" s="283">
        <v>134500</v>
      </c>
      <c r="BC240" s="283">
        <v>125500</v>
      </c>
      <c r="BD240" s="283">
        <v>138800</v>
      </c>
      <c r="BE240" s="283">
        <v>133600</v>
      </c>
      <c r="BF240" s="283">
        <v>171000</v>
      </c>
      <c r="BG240" s="283">
        <v>89000</v>
      </c>
      <c r="BH240" s="283">
        <v>112300</v>
      </c>
      <c r="BI240" s="283" t="e">
        <f>VLOOKUP(D240,Mid!$A$2:$C$225,3,FALSE)</f>
        <v>#N/A</v>
      </c>
      <c r="BJ240" s="283">
        <v>64400</v>
      </c>
      <c r="BK240" s="283">
        <v>89400</v>
      </c>
      <c r="BL240" s="283">
        <v>65500</v>
      </c>
      <c r="BM240" s="283">
        <v>110700</v>
      </c>
      <c r="BN240" s="283">
        <v>80200</v>
      </c>
      <c r="BO240" s="283">
        <v>97200</v>
      </c>
      <c r="BP240" s="283">
        <v>44000</v>
      </c>
      <c r="BQ240" s="283">
        <v>100400</v>
      </c>
      <c r="BR240" s="283">
        <v>138800</v>
      </c>
      <c r="BS240" s="283">
        <v>61200</v>
      </c>
      <c r="BT240" s="283">
        <v>104100</v>
      </c>
      <c r="BU240" s="283">
        <v>139100</v>
      </c>
      <c r="BV240" s="283">
        <v>136400</v>
      </c>
      <c r="BW240" s="283">
        <v>59800</v>
      </c>
      <c r="BX240" s="283">
        <v>82700</v>
      </c>
      <c r="BY240" s="283">
        <v>82700</v>
      </c>
      <c r="BZ240" s="283">
        <v>68600</v>
      </c>
      <c r="CA240" s="283">
        <v>89421.6</v>
      </c>
      <c r="CB240" s="283">
        <v>92800</v>
      </c>
      <c r="CC240" s="283">
        <v>60000</v>
      </c>
      <c r="CD240" s="283">
        <v>77500</v>
      </c>
      <c r="CE240" s="283">
        <v>73200</v>
      </c>
      <c r="CF240" s="283">
        <v>86311.68</v>
      </c>
      <c r="CG240" s="283">
        <v>87000</v>
      </c>
      <c r="CH240" s="283">
        <v>89700</v>
      </c>
      <c r="CI240" s="283">
        <v>117105.48</v>
      </c>
      <c r="CJ240" s="283">
        <v>74300</v>
      </c>
      <c r="CK240" s="283">
        <f t="shared" si="27"/>
        <v>91135.16</v>
      </c>
      <c r="CL240" s="370"/>
      <c r="CM240" s="371">
        <f>Summary!$D$23</f>
        <v>176176.176666667</v>
      </c>
      <c r="CN240" s="258">
        <f t="shared" si="31"/>
        <v>1</v>
      </c>
    </row>
    <row r="241" ht="15.6" spans="1:92">
      <c r="A241" s="258" t="s">
        <v>191</v>
      </c>
      <c r="B241" s="258" t="s">
        <v>672</v>
      </c>
      <c r="C241" s="258" t="s">
        <v>2624</v>
      </c>
      <c r="D241" s="258" t="s">
        <v>465</v>
      </c>
      <c r="E241" s="258" t="s">
        <v>441</v>
      </c>
      <c r="F241" s="260" t="s">
        <v>234</v>
      </c>
      <c r="G241" s="343"/>
      <c r="H241" s="283">
        <f>(AW241+CK241)</f>
        <v>396778.666666667</v>
      </c>
      <c r="I241" s="361"/>
      <c r="J241" s="351">
        <v>204094</v>
      </c>
      <c r="K241" s="351">
        <v>265451</v>
      </c>
      <c r="L241" s="351">
        <v>224026</v>
      </c>
      <c r="M241" s="351">
        <v>216314</v>
      </c>
      <c r="N241" s="352">
        <v>217300</v>
      </c>
      <c r="O241" s="353">
        <v>234461</v>
      </c>
      <c r="P241" s="353">
        <v>193762</v>
      </c>
      <c r="Q241" s="353">
        <v>240555</v>
      </c>
      <c r="R241" s="353">
        <v>236319</v>
      </c>
      <c r="S241" s="353">
        <v>218423</v>
      </c>
      <c r="T241" s="353">
        <v>212204</v>
      </c>
      <c r="U241" s="353">
        <f>VLOOKUP(D241,Mid!$A$2:$C$225,2,FALSE)</f>
        <v>201021</v>
      </c>
      <c r="V241" s="353">
        <v>248473</v>
      </c>
      <c r="W241" s="353">
        <v>296623</v>
      </c>
      <c r="X241" s="353">
        <v>213581</v>
      </c>
      <c r="Y241" s="353">
        <v>226900</v>
      </c>
      <c r="Z241" s="353">
        <v>215390</v>
      </c>
      <c r="AA241" s="353">
        <v>184055</v>
      </c>
      <c r="AB241" s="353">
        <v>181727</v>
      </c>
      <c r="AC241" s="353">
        <v>239269</v>
      </c>
      <c r="AD241" s="353">
        <v>196800</v>
      </c>
      <c r="AE241" s="353">
        <v>198081</v>
      </c>
      <c r="AF241" s="353">
        <v>222307</v>
      </c>
      <c r="AG241" s="353">
        <v>222307</v>
      </c>
      <c r="AH241" s="353">
        <v>228282</v>
      </c>
      <c r="AI241" s="353">
        <v>256060</v>
      </c>
      <c r="AJ241" s="367">
        <v>199326</v>
      </c>
      <c r="AK241" s="283" t="s">
        <v>2625</v>
      </c>
      <c r="AL241" s="283">
        <v>217050</v>
      </c>
      <c r="AM241" s="283" t="s">
        <v>2626</v>
      </c>
      <c r="AN241" s="283" t="s">
        <v>2627</v>
      </c>
      <c r="AO241" s="283" t="s">
        <v>1304</v>
      </c>
      <c r="AP241" s="283">
        <v>240245</v>
      </c>
      <c r="AQ241" s="283" t="s">
        <v>2628</v>
      </c>
      <c r="AR241" s="283" t="s">
        <v>2629</v>
      </c>
      <c r="AS241" s="283" t="s">
        <v>2630</v>
      </c>
      <c r="AT241" s="283" t="s">
        <v>2631</v>
      </c>
      <c r="AU241" s="283" t="s">
        <v>2632</v>
      </c>
      <c r="AV241" s="283" t="s">
        <v>1101</v>
      </c>
      <c r="AW241" s="283">
        <f t="shared" si="26"/>
        <v>337212</v>
      </c>
      <c r="AX241" s="283">
        <v>0</v>
      </c>
      <c r="AY241" s="283">
        <v>0</v>
      </c>
      <c r="AZ241" s="283">
        <v>0</v>
      </c>
      <c r="BA241" s="283">
        <v>0</v>
      </c>
      <c r="BB241" s="283">
        <v>0</v>
      </c>
      <c r="BC241" s="283">
        <v>145000</v>
      </c>
      <c r="BD241" s="283">
        <v>147000</v>
      </c>
      <c r="BE241" s="283">
        <v>52753</v>
      </c>
      <c r="BF241" s="283">
        <v>0</v>
      </c>
      <c r="BG241" s="283">
        <v>0</v>
      </c>
      <c r="BH241" s="283">
        <v>167000</v>
      </c>
      <c r="BI241" s="283">
        <f>VLOOKUP(D241,Mid!$A$2:$C$225,3,FALSE)</f>
        <v>0</v>
      </c>
      <c r="BJ241" s="283">
        <v>0</v>
      </c>
      <c r="BK241" s="283">
        <v>0</v>
      </c>
      <c r="BL241" s="283">
        <v>0</v>
      </c>
      <c r="BM241" s="283">
        <v>0</v>
      </c>
      <c r="BN241" s="283">
        <v>0</v>
      </c>
      <c r="BO241" s="283">
        <v>0</v>
      </c>
      <c r="BP241" s="283">
        <v>0</v>
      </c>
      <c r="BQ241" s="283">
        <v>132000</v>
      </c>
      <c r="BR241" s="283">
        <v>140200</v>
      </c>
      <c r="BS241" s="283">
        <v>143700</v>
      </c>
      <c r="BT241" s="283">
        <v>0</v>
      </c>
      <c r="BU241" s="283">
        <v>312300</v>
      </c>
      <c r="BV241" s="283">
        <v>172100</v>
      </c>
      <c r="BW241" s="283">
        <v>283400</v>
      </c>
      <c r="BX241" s="283">
        <v>391600</v>
      </c>
      <c r="BY241" s="283">
        <v>391600</v>
      </c>
      <c r="BZ241" s="283">
        <v>0</v>
      </c>
      <c r="CA241" s="283">
        <v>0</v>
      </c>
      <c r="CB241" s="283">
        <v>0</v>
      </c>
      <c r="CC241" s="283">
        <v>90900</v>
      </c>
      <c r="CD241" s="283">
        <v>99900</v>
      </c>
      <c r="CE241" s="283">
        <v>101937</v>
      </c>
      <c r="CF241" s="283">
        <f>206800*0.2584*2</f>
        <v>106874.24</v>
      </c>
      <c r="CG241" s="283">
        <v>81099.04</v>
      </c>
      <c r="CH241" s="283">
        <v>0</v>
      </c>
      <c r="CI241" s="283">
        <v>178700</v>
      </c>
      <c r="CJ241" s="283">
        <v>0</v>
      </c>
      <c r="CK241" s="283">
        <f t="shared" si="27"/>
        <v>59566.6666666667</v>
      </c>
      <c r="CL241" s="370"/>
      <c r="CM241" s="371">
        <f>Summary!$D$23</f>
        <v>176176.176666667</v>
      </c>
      <c r="CN241" s="258">
        <f t="shared" si="31"/>
        <v>0</v>
      </c>
    </row>
    <row r="242" ht="15.6" spans="1:92">
      <c r="A242" s="258" t="s">
        <v>191</v>
      </c>
      <c r="B242" s="258" t="s">
        <v>812</v>
      </c>
      <c r="C242" s="258" t="s">
        <v>325</v>
      </c>
      <c r="D242" s="258" t="s">
        <v>362</v>
      </c>
      <c r="E242" s="258" t="s">
        <v>441</v>
      </c>
      <c r="F242" s="260" t="s">
        <v>49</v>
      </c>
      <c r="G242" s="343"/>
      <c r="H242" s="283">
        <f t="shared" ref="H242:H258" si="33">(AW242+CK242)/2</f>
        <v>8469.75</v>
      </c>
      <c r="I242" s="361"/>
      <c r="J242" s="351">
        <v>6640</v>
      </c>
      <c r="K242" s="351">
        <v>5729</v>
      </c>
      <c r="L242" s="351">
        <v>6345</v>
      </c>
      <c r="M242" s="351">
        <v>7865</v>
      </c>
      <c r="N242" s="352">
        <v>9704</v>
      </c>
      <c r="O242" s="353">
        <v>4438</v>
      </c>
      <c r="P242" s="353">
        <v>7180</v>
      </c>
      <c r="Q242" s="353">
        <v>5340</v>
      </c>
      <c r="R242" s="353">
        <v>7299</v>
      </c>
      <c r="S242" s="353">
        <v>5779</v>
      </c>
      <c r="T242" s="353">
        <v>1665</v>
      </c>
      <c r="U242" s="353" t="e">
        <f>VLOOKUP(D242,Mid!$A$2:$C$225,2,FALSE)</f>
        <v>#N/A</v>
      </c>
      <c r="V242" s="353">
        <v>10382</v>
      </c>
      <c r="W242" s="353">
        <v>18131</v>
      </c>
      <c r="X242" s="353">
        <v>27669</v>
      </c>
      <c r="Y242" s="353">
        <v>47740</v>
      </c>
      <c r="Z242" s="353">
        <v>75551</v>
      </c>
      <c r="AA242" s="353">
        <v>78612</v>
      </c>
      <c r="AB242" s="353">
        <v>23963</v>
      </c>
      <c r="AC242" s="353">
        <v>11730</v>
      </c>
      <c r="AD242" s="353">
        <v>15614</v>
      </c>
      <c r="AE242" s="353">
        <v>13419</v>
      </c>
      <c r="AF242" s="353">
        <v>13412</v>
      </c>
      <c r="AG242" s="353">
        <v>13412</v>
      </c>
      <c r="AH242" s="353">
        <v>10496</v>
      </c>
      <c r="AI242" s="353">
        <v>12784</v>
      </c>
      <c r="AJ242" s="367">
        <v>12607</v>
      </c>
      <c r="AK242" s="283" t="s">
        <v>2633</v>
      </c>
      <c r="AL242" s="283">
        <v>12423</v>
      </c>
      <c r="AM242" s="283" t="s">
        <v>2634</v>
      </c>
      <c r="AN242" s="283" t="s">
        <v>2635</v>
      </c>
      <c r="AO242" s="283" t="s">
        <v>2636</v>
      </c>
      <c r="AP242" s="283">
        <v>21229</v>
      </c>
      <c r="AQ242" s="283" t="s">
        <v>2637</v>
      </c>
      <c r="AR242" s="283" t="s">
        <v>2638</v>
      </c>
      <c r="AS242" s="283" t="s">
        <v>2639</v>
      </c>
      <c r="AT242" s="283" t="s">
        <v>2640</v>
      </c>
      <c r="AU242" s="283" t="s">
        <v>2641</v>
      </c>
      <c r="AV242" s="283" t="s">
        <v>2642</v>
      </c>
      <c r="AW242" s="283">
        <f t="shared" si="26"/>
        <v>12206.1666666667</v>
      </c>
      <c r="AX242" s="283">
        <v>1300</v>
      </c>
      <c r="AY242" s="283">
        <v>1400</v>
      </c>
      <c r="AZ242" s="283">
        <v>1600</v>
      </c>
      <c r="BA242" s="283">
        <v>1400</v>
      </c>
      <c r="BB242" s="283">
        <v>1300</v>
      </c>
      <c r="BC242" s="283">
        <v>880</v>
      </c>
      <c r="BD242" s="283">
        <v>1100</v>
      </c>
      <c r="BE242" s="283">
        <v>299</v>
      </c>
      <c r="BF242" s="283">
        <v>5800</v>
      </c>
      <c r="BG242" s="283">
        <v>6400</v>
      </c>
      <c r="BH242" s="283">
        <v>4900</v>
      </c>
      <c r="BI242" s="283" t="e">
        <f>VLOOKUP(D242,Mid!$A$2:$C$225,3,FALSE)</f>
        <v>#N/A</v>
      </c>
      <c r="BJ242" s="283">
        <v>3800</v>
      </c>
      <c r="BK242" s="283">
        <v>14100</v>
      </c>
      <c r="BL242" s="283">
        <v>18300</v>
      </c>
      <c r="BM242" s="283">
        <v>15100</v>
      </c>
      <c r="BN242" s="283">
        <v>34600</v>
      </c>
      <c r="BO242" s="283">
        <v>20500</v>
      </c>
      <c r="BP242" s="283">
        <v>22800</v>
      </c>
      <c r="BQ242" s="283">
        <v>20100</v>
      </c>
      <c r="BR242" s="283">
        <v>14400</v>
      </c>
      <c r="BS242" s="283">
        <v>7300</v>
      </c>
      <c r="BT242" s="283">
        <v>19100</v>
      </c>
      <c r="BU242" s="283">
        <v>30200</v>
      </c>
      <c r="BV242" s="283">
        <v>8100</v>
      </c>
      <c r="BW242" s="283">
        <v>5100</v>
      </c>
      <c r="BX242" s="283">
        <v>5600</v>
      </c>
      <c r="BY242" s="283">
        <v>5600</v>
      </c>
      <c r="BZ242" s="283">
        <v>8600</v>
      </c>
      <c r="CA242" s="283">
        <v>17711.98</v>
      </c>
      <c r="CB242" s="283">
        <v>3300</v>
      </c>
      <c r="CC242" s="283">
        <v>7700</v>
      </c>
      <c r="CD242" s="283">
        <v>5000</v>
      </c>
      <c r="CE242" s="283">
        <v>16000</v>
      </c>
      <c r="CF242" s="283">
        <v>3918.8</v>
      </c>
      <c r="CG242" s="283">
        <v>5920.74</v>
      </c>
      <c r="CH242" s="283">
        <v>3000</v>
      </c>
      <c r="CI242" s="283">
        <v>6100</v>
      </c>
      <c r="CJ242" s="283">
        <v>4400</v>
      </c>
      <c r="CK242" s="283">
        <f t="shared" si="27"/>
        <v>4733.33333333333</v>
      </c>
      <c r="CL242" s="370"/>
      <c r="CM242" s="371">
        <f>Summary!$D$23</f>
        <v>176176.176666667</v>
      </c>
      <c r="CN242" s="258">
        <f t="shared" si="31"/>
        <v>0</v>
      </c>
    </row>
    <row r="243" ht="15.6" spans="1:92">
      <c r="A243" s="258" t="s">
        <v>191</v>
      </c>
      <c r="B243" s="258" t="s">
        <v>812</v>
      </c>
      <c r="C243" s="258" t="s">
        <v>325</v>
      </c>
      <c r="D243" s="258" t="s">
        <v>2643</v>
      </c>
      <c r="E243" s="394" t="s">
        <v>441</v>
      </c>
      <c r="F243" s="260" t="s">
        <v>234</v>
      </c>
      <c r="G243" s="343"/>
      <c r="H243" s="283">
        <f t="shared" si="33"/>
        <v>4048.24793333333</v>
      </c>
      <c r="I243" s="361"/>
      <c r="J243" s="351">
        <v>4791</v>
      </c>
      <c r="K243" s="351">
        <v>5070</v>
      </c>
      <c r="L243" s="351">
        <v>6039</v>
      </c>
      <c r="M243" s="351">
        <v>4225</v>
      </c>
      <c r="N243" s="352">
        <v>3521</v>
      </c>
      <c r="O243" s="353">
        <v>9513</v>
      </c>
      <c r="P243" s="353">
        <v>4346</v>
      </c>
      <c r="Q243" s="353">
        <v>2685</v>
      </c>
      <c r="R243" s="353">
        <v>5188</v>
      </c>
      <c r="S243" s="353">
        <v>7102</v>
      </c>
      <c r="T243" s="353">
        <v>1200</v>
      </c>
      <c r="U243" s="353" t="e">
        <f>VLOOKUP(D243,Mid!$A$2:$C$225,2,FALSE)</f>
        <v>#N/A</v>
      </c>
      <c r="V243" s="353">
        <v>1344</v>
      </c>
      <c r="W243" s="353">
        <v>4892</v>
      </c>
      <c r="X243" s="353">
        <v>1145</v>
      </c>
      <c r="Y243" s="353">
        <v>2047</v>
      </c>
      <c r="Z243" s="353">
        <v>3134</v>
      </c>
      <c r="AA243" s="353">
        <v>4764</v>
      </c>
      <c r="AB243" s="353">
        <v>7508</v>
      </c>
      <c r="AC243" s="353">
        <v>7608</v>
      </c>
      <c r="AD243" s="353">
        <v>3528</v>
      </c>
      <c r="AE243" s="353">
        <v>12458</v>
      </c>
      <c r="AF243" s="353">
        <v>6056</v>
      </c>
      <c r="AG243" s="353">
        <v>6056</v>
      </c>
      <c r="AH243" s="353">
        <v>2694</v>
      </c>
      <c r="AI243" s="353">
        <v>3414</v>
      </c>
      <c r="AJ243" s="353">
        <v>8079</v>
      </c>
      <c r="AK243" s="283" t="s">
        <v>2644</v>
      </c>
      <c r="AL243" s="283">
        <v>11680</v>
      </c>
      <c r="AM243" s="283" t="s">
        <v>2645</v>
      </c>
      <c r="AN243" s="283" t="s">
        <v>2646</v>
      </c>
      <c r="AO243" s="283" t="s">
        <v>2647</v>
      </c>
      <c r="AP243" s="283">
        <v>6813</v>
      </c>
      <c r="AQ243" s="283" t="s">
        <v>2648</v>
      </c>
      <c r="AR243" s="283">
        <f>23880*0.0826*2</f>
        <v>3944.976</v>
      </c>
      <c r="AS243" s="283">
        <f>0.167*2*37761</f>
        <v>12612.174</v>
      </c>
      <c r="AT243" s="283">
        <f>0.2852*2*30163</f>
        <v>17204.9752</v>
      </c>
      <c r="AU243" s="283" t="s">
        <v>2649</v>
      </c>
      <c r="AV243" s="283" t="s">
        <v>2650</v>
      </c>
      <c r="AW243" s="283">
        <f t="shared" si="26"/>
        <v>7809.49586666667</v>
      </c>
      <c r="AX243" s="283">
        <v>0</v>
      </c>
      <c r="AY243" s="283">
        <v>0</v>
      </c>
      <c r="AZ243" s="283">
        <v>0</v>
      </c>
      <c r="BA243" s="283">
        <v>0</v>
      </c>
      <c r="BB243" s="283">
        <v>0</v>
      </c>
      <c r="BC243" s="283">
        <v>2200</v>
      </c>
      <c r="BD243" s="283">
        <v>3400</v>
      </c>
      <c r="BE243" s="283">
        <v>1600</v>
      </c>
      <c r="BF243" s="283">
        <v>2200</v>
      </c>
      <c r="BG243" s="283">
        <v>0</v>
      </c>
      <c r="BH243" s="283">
        <v>1200</v>
      </c>
      <c r="BI243" s="283" t="e">
        <f>VLOOKUP(D243,Mid!$A$2:$C$225,3,FALSE)</f>
        <v>#N/A</v>
      </c>
      <c r="BJ243" s="283">
        <v>2800</v>
      </c>
      <c r="BK243" s="283">
        <v>2600</v>
      </c>
      <c r="BL243" s="283">
        <v>1200</v>
      </c>
      <c r="BM243" s="283">
        <v>8300</v>
      </c>
      <c r="BN243" s="283">
        <v>4900</v>
      </c>
      <c r="BO243" s="283">
        <v>8300</v>
      </c>
      <c r="BP243" s="283">
        <v>4300</v>
      </c>
      <c r="BQ243" s="283">
        <v>40100</v>
      </c>
      <c r="BR243" s="283">
        <v>3500</v>
      </c>
      <c r="BS243" s="283">
        <v>4000</v>
      </c>
      <c r="BT243" s="283">
        <v>14400</v>
      </c>
      <c r="BU243" s="283">
        <v>1500</v>
      </c>
      <c r="BV243" s="283">
        <v>1500</v>
      </c>
      <c r="BW243" s="283">
        <v>3800</v>
      </c>
      <c r="BX243" s="283">
        <v>3300</v>
      </c>
      <c r="BY243" s="283">
        <v>3300</v>
      </c>
      <c r="BZ243" s="283">
        <v>0</v>
      </c>
      <c r="CA243" s="283">
        <v>11200</v>
      </c>
      <c r="CB243" s="283">
        <v>6300</v>
      </c>
      <c r="CC243" s="283">
        <v>5000</v>
      </c>
      <c r="CD243" s="283">
        <v>3800</v>
      </c>
      <c r="CE243" s="283">
        <v>3800</v>
      </c>
      <c r="CF243" s="283">
        <v>8000</v>
      </c>
      <c r="CG243" s="283">
        <v>0</v>
      </c>
      <c r="CH243" s="283">
        <v>0</v>
      </c>
      <c r="CI243" s="283">
        <v>39</v>
      </c>
      <c r="CJ243" s="283">
        <v>548</v>
      </c>
      <c r="CK243" s="283">
        <f t="shared" si="27"/>
        <v>287</v>
      </c>
      <c r="CL243" s="370"/>
      <c r="CM243" s="371">
        <f>Summary!$D$23</f>
        <v>176176.176666667</v>
      </c>
      <c r="CN243" s="258">
        <f t="shared" si="31"/>
        <v>0</v>
      </c>
    </row>
    <row r="244" ht="15.6" spans="1:92">
      <c r="A244" s="258" t="s">
        <v>171</v>
      </c>
      <c r="B244" s="258" t="s">
        <v>812</v>
      </c>
      <c r="C244" s="258" t="s">
        <v>230</v>
      </c>
      <c r="D244" s="258" t="s">
        <v>2651</v>
      </c>
      <c r="E244" s="258" t="s">
        <v>441</v>
      </c>
      <c r="F244" s="260" t="s">
        <v>427</v>
      </c>
      <c r="G244" s="260"/>
      <c r="H244" s="283">
        <f t="shared" si="33"/>
        <v>23945.1466666667</v>
      </c>
      <c r="I244" s="360" t="s">
        <v>2652</v>
      </c>
      <c r="J244" s="260"/>
      <c r="K244" s="260"/>
      <c r="L244" s="260"/>
      <c r="M244" s="260"/>
      <c r="N244" s="260"/>
      <c r="O244" s="260"/>
      <c r="P244" s="260"/>
      <c r="Q244" s="260"/>
      <c r="R244" s="260"/>
      <c r="S244" s="260"/>
      <c r="T244" s="260"/>
      <c r="U244" s="260"/>
      <c r="V244" s="260"/>
      <c r="W244" s="260"/>
      <c r="X244" s="260"/>
      <c r="Y244" s="260"/>
      <c r="Z244" s="260"/>
      <c r="AA244" s="260"/>
      <c r="AB244" s="260"/>
      <c r="AC244" s="260"/>
      <c r="AD244" s="260"/>
      <c r="AE244" s="260"/>
      <c r="AF244" s="260"/>
      <c r="AG244" s="258"/>
      <c r="AH244" s="258"/>
      <c r="AI244" s="258"/>
      <c r="AJ244" s="258">
        <v>0</v>
      </c>
      <c r="AK244" s="283" t="s">
        <v>796</v>
      </c>
      <c r="AL244" s="283">
        <v>0</v>
      </c>
      <c r="AM244" s="283" t="s">
        <v>796</v>
      </c>
      <c r="AN244" s="283" t="s">
        <v>796</v>
      </c>
      <c r="AO244" s="283">
        <v>39843</v>
      </c>
      <c r="AP244" s="283">
        <v>54350</v>
      </c>
      <c r="AQ244" s="283" t="s">
        <v>796</v>
      </c>
      <c r="AR244" s="283" t="s">
        <v>796</v>
      </c>
      <c r="AS244" s="283" t="s">
        <v>796</v>
      </c>
      <c r="AT244" s="283" t="s">
        <v>796</v>
      </c>
      <c r="AU244" s="283" t="s">
        <v>796</v>
      </c>
      <c r="AV244" s="283">
        <v>42612</v>
      </c>
      <c r="AW244" s="283">
        <f t="shared" si="26"/>
        <v>21306</v>
      </c>
      <c r="AX244" s="283"/>
      <c r="AY244" s="283"/>
      <c r="AZ244" s="283"/>
      <c r="BA244" s="283"/>
      <c r="BB244" s="283"/>
      <c r="BC244" s="283"/>
      <c r="BD244" s="283"/>
      <c r="BE244" s="283"/>
      <c r="BF244" s="283"/>
      <c r="BG244" s="283"/>
      <c r="BH244" s="283"/>
      <c r="BI244" s="283"/>
      <c r="BJ244" s="283"/>
      <c r="BK244" s="283"/>
      <c r="BL244" s="283"/>
      <c r="BM244" s="283"/>
      <c r="BN244" s="283"/>
      <c r="BO244" s="283"/>
      <c r="BP244" s="283"/>
      <c r="BQ244" s="283"/>
      <c r="BR244" s="283"/>
      <c r="BS244" s="283"/>
      <c r="BT244" s="283"/>
      <c r="BU244" s="283"/>
      <c r="BV244" s="283"/>
      <c r="BW244" s="283"/>
      <c r="BX244" s="283">
        <v>36600</v>
      </c>
      <c r="BY244" s="283">
        <v>18029</v>
      </c>
      <c r="BZ244" s="283">
        <v>52100</v>
      </c>
      <c r="CA244" s="283">
        <v>26900</v>
      </c>
      <c r="CB244" s="283">
        <v>7700</v>
      </c>
      <c r="CC244" s="283">
        <v>71100</v>
      </c>
      <c r="CD244" s="283">
        <v>2200</v>
      </c>
      <c r="CE244" s="283">
        <v>26500</v>
      </c>
      <c r="CF244" s="283">
        <v>22900</v>
      </c>
      <c r="CG244" s="283">
        <v>49400</v>
      </c>
      <c r="CH244" s="283">
        <v>23600</v>
      </c>
      <c r="CI244" s="283">
        <v>36002.88</v>
      </c>
      <c r="CJ244" s="283">
        <v>21300</v>
      </c>
      <c r="CK244" s="283">
        <f t="shared" si="27"/>
        <v>26584.2933333333</v>
      </c>
      <c r="CL244" s="397"/>
      <c r="CM244" s="371">
        <f>Summary!$D$12</f>
        <v>489885.37</v>
      </c>
      <c r="CN244" s="258">
        <f t="shared" si="31"/>
        <v>0</v>
      </c>
    </row>
    <row r="245" ht="15.6" spans="1:92">
      <c r="A245" s="258" t="s">
        <v>152</v>
      </c>
      <c r="B245" s="258" t="s">
        <v>812</v>
      </c>
      <c r="C245" s="258" t="s">
        <v>230</v>
      </c>
      <c r="D245" s="258" t="s">
        <v>2653</v>
      </c>
      <c r="E245" s="258" t="s">
        <v>233</v>
      </c>
      <c r="F245" s="260" t="s">
        <v>1105</v>
      </c>
      <c r="G245" s="260"/>
      <c r="H245" s="283">
        <f t="shared" si="33"/>
        <v>56360.6133333333</v>
      </c>
      <c r="I245" s="360" t="s">
        <v>2652</v>
      </c>
      <c r="J245" s="258"/>
      <c r="K245" s="258"/>
      <c r="L245" s="258"/>
      <c r="M245" s="258"/>
      <c r="N245" s="258"/>
      <c r="O245" s="258"/>
      <c r="P245" s="258"/>
      <c r="Q245" s="258"/>
      <c r="R245" s="258"/>
      <c r="S245" s="258"/>
      <c r="T245" s="258"/>
      <c r="U245" s="258"/>
      <c r="V245" s="258"/>
      <c r="W245" s="258"/>
      <c r="X245" s="258"/>
      <c r="Y245" s="258"/>
      <c r="Z245" s="258"/>
      <c r="AA245" s="258"/>
      <c r="AB245" s="258"/>
      <c r="AC245" s="258"/>
      <c r="AD245" s="258"/>
      <c r="AE245" s="258"/>
      <c r="AF245" s="258"/>
      <c r="AG245" s="258"/>
      <c r="AH245" s="258"/>
      <c r="AI245" s="258"/>
      <c r="AJ245" s="367">
        <v>26335</v>
      </c>
      <c r="AK245" s="283" t="s">
        <v>2654</v>
      </c>
      <c r="AL245" s="283">
        <v>39289</v>
      </c>
      <c r="AM245" s="283" t="s">
        <v>2655</v>
      </c>
      <c r="AN245" s="283" t="s">
        <v>2656</v>
      </c>
      <c r="AO245" s="283" t="s">
        <v>2657</v>
      </c>
      <c r="AP245" s="283">
        <v>31345</v>
      </c>
      <c r="AQ245" s="283" t="s">
        <v>2658</v>
      </c>
      <c r="AR245" s="283" t="s">
        <v>2659</v>
      </c>
      <c r="AS245" s="283" t="s">
        <v>2660</v>
      </c>
      <c r="AT245" s="283" t="s">
        <v>2661</v>
      </c>
      <c r="AU245" s="283" t="s">
        <v>2662</v>
      </c>
      <c r="AV245" s="283" t="s">
        <v>2663</v>
      </c>
      <c r="AW245" s="283">
        <f t="shared" si="26"/>
        <v>67358.3333333333</v>
      </c>
      <c r="AX245" s="283"/>
      <c r="AY245" s="283"/>
      <c r="AZ245" s="283"/>
      <c r="BA245" s="283"/>
      <c r="BB245" s="283"/>
      <c r="BC245" s="283"/>
      <c r="BD245" s="283"/>
      <c r="BE245" s="283"/>
      <c r="BF245" s="283"/>
      <c r="BG245" s="283"/>
      <c r="BH245" s="283"/>
      <c r="BI245" s="283"/>
      <c r="BJ245" s="283"/>
      <c r="BK245" s="283"/>
      <c r="BL245" s="283"/>
      <c r="BM245" s="283"/>
      <c r="BN245" s="283"/>
      <c r="BO245" s="283"/>
      <c r="BP245" s="283"/>
      <c r="BQ245" s="283"/>
      <c r="BR245" s="283"/>
      <c r="BS245" s="283"/>
      <c r="BT245" s="283"/>
      <c r="BU245" s="283"/>
      <c r="BV245" s="283"/>
      <c r="BW245" s="283"/>
      <c r="BX245" s="283">
        <v>66400</v>
      </c>
      <c r="BY245" s="283">
        <v>70300</v>
      </c>
      <c r="BZ245" s="283">
        <v>49800</v>
      </c>
      <c r="CA245" s="283">
        <v>54400</v>
      </c>
      <c r="CB245" s="283">
        <v>16100</v>
      </c>
      <c r="CC245" s="283">
        <v>45995.04</v>
      </c>
      <c r="CD245" s="283">
        <v>42800</v>
      </c>
      <c r="CE245" s="283">
        <v>42800</v>
      </c>
      <c r="CF245" s="283">
        <v>17877</v>
      </c>
      <c r="CG245" s="283">
        <v>38366.08</v>
      </c>
      <c r="CH245" s="283">
        <v>33700</v>
      </c>
      <c r="CI245" s="283">
        <v>43606.16</v>
      </c>
      <c r="CJ245" s="283">
        <v>50421.68</v>
      </c>
      <c r="CK245" s="283">
        <f t="shared" si="27"/>
        <v>45362.8933333333</v>
      </c>
      <c r="CL245" s="397"/>
      <c r="CM245" s="371">
        <f>Summary!$D$6</f>
        <v>1473053.7196</v>
      </c>
      <c r="CN245" s="258">
        <f t="shared" si="31"/>
        <v>0</v>
      </c>
    </row>
    <row r="246" ht="15.6" spans="1:92">
      <c r="A246" s="258" t="s">
        <v>152</v>
      </c>
      <c r="B246" s="258" t="s">
        <v>812</v>
      </c>
      <c r="C246" s="258" t="s">
        <v>243</v>
      </c>
      <c r="D246" s="258" t="s">
        <v>2664</v>
      </c>
      <c r="E246" s="258" t="s">
        <v>233</v>
      </c>
      <c r="F246" s="260" t="s">
        <v>60</v>
      </c>
      <c r="G246" s="260"/>
      <c r="H246" s="283">
        <f t="shared" si="33"/>
        <v>20695.4133333333</v>
      </c>
      <c r="I246" s="360" t="s">
        <v>2652</v>
      </c>
      <c r="J246" s="258"/>
      <c r="K246" s="258"/>
      <c r="L246" s="258"/>
      <c r="M246" s="258"/>
      <c r="N246" s="258"/>
      <c r="O246" s="258"/>
      <c r="P246" s="258"/>
      <c r="Q246" s="258"/>
      <c r="R246" s="258"/>
      <c r="S246" s="258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367">
        <v>26011</v>
      </c>
      <c r="AK246" s="283" t="s">
        <v>2665</v>
      </c>
      <c r="AL246" s="283">
        <v>48863</v>
      </c>
      <c r="AM246" s="283" t="s">
        <v>2666</v>
      </c>
      <c r="AN246" s="283" t="s">
        <v>2667</v>
      </c>
      <c r="AO246" s="283" t="s">
        <v>2668</v>
      </c>
      <c r="AP246" s="283">
        <v>33107</v>
      </c>
      <c r="AQ246" s="283" t="s">
        <v>2669</v>
      </c>
      <c r="AR246" s="283" t="s">
        <v>2670</v>
      </c>
      <c r="AS246" s="283" t="s">
        <v>2671</v>
      </c>
      <c r="AT246" s="283" t="s">
        <v>2672</v>
      </c>
      <c r="AU246" s="283" t="s">
        <v>2673</v>
      </c>
      <c r="AV246" s="283" t="s">
        <v>2674</v>
      </c>
      <c r="AW246" s="283">
        <f t="shared" si="26"/>
        <v>20709.3333333333</v>
      </c>
      <c r="AX246" s="283"/>
      <c r="AY246" s="283"/>
      <c r="AZ246" s="283"/>
      <c r="BA246" s="283"/>
      <c r="BB246" s="283"/>
      <c r="BC246" s="283"/>
      <c r="BD246" s="283"/>
      <c r="BE246" s="283"/>
      <c r="BF246" s="283"/>
      <c r="BG246" s="283"/>
      <c r="BH246" s="283"/>
      <c r="BI246" s="283"/>
      <c r="BJ246" s="283"/>
      <c r="BK246" s="283"/>
      <c r="BL246" s="283"/>
      <c r="BM246" s="283"/>
      <c r="BN246" s="283"/>
      <c r="BO246" s="283"/>
      <c r="BP246" s="283"/>
      <c r="BQ246" s="283"/>
      <c r="BR246" s="283"/>
      <c r="BS246" s="283"/>
      <c r="BT246" s="283"/>
      <c r="BU246" s="283"/>
      <c r="BV246" s="283"/>
      <c r="BW246" s="283"/>
      <c r="BX246" s="283">
        <v>49000</v>
      </c>
      <c r="BY246" s="283">
        <v>110000</v>
      </c>
      <c r="BZ246" s="283">
        <v>33089</v>
      </c>
      <c r="CA246" s="283">
        <v>86700</v>
      </c>
      <c r="CB246" s="283">
        <v>33500</v>
      </c>
      <c r="CC246" s="283">
        <v>43000</v>
      </c>
      <c r="CD246" s="283">
        <v>34200</v>
      </c>
      <c r="CE246" s="283">
        <v>34200</v>
      </c>
      <c r="CF246" s="283">
        <v>18400</v>
      </c>
      <c r="CG246" s="283">
        <v>17294.18</v>
      </c>
      <c r="CH246" s="283">
        <v>9288.96</v>
      </c>
      <c r="CI246" s="283">
        <v>47200</v>
      </c>
      <c r="CJ246" s="283">
        <v>6800</v>
      </c>
      <c r="CK246" s="283">
        <f t="shared" si="27"/>
        <v>20681.4933333333</v>
      </c>
      <c r="CL246" s="397"/>
      <c r="CM246" s="371">
        <f>Summary!$D$6</f>
        <v>1473053.7196</v>
      </c>
      <c r="CN246" s="258">
        <f t="shared" si="31"/>
        <v>0</v>
      </c>
    </row>
    <row r="247" ht="15.6" spans="1:92">
      <c r="A247" s="258" t="s">
        <v>152</v>
      </c>
      <c r="B247" s="258" t="s">
        <v>812</v>
      </c>
      <c r="C247" s="258" t="s">
        <v>243</v>
      </c>
      <c r="D247" s="258" t="s">
        <v>2675</v>
      </c>
      <c r="E247" s="258" t="s">
        <v>233</v>
      </c>
      <c r="F247" s="260" t="s">
        <v>291</v>
      </c>
      <c r="G247" s="260"/>
      <c r="H247" s="283">
        <f t="shared" si="33"/>
        <v>65037.8333333333</v>
      </c>
      <c r="I247" s="360" t="s">
        <v>2652</v>
      </c>
      <c r="J247" s="258"/>
      <c r="K247" s="258"/>
      <c r="L247" s="258"/>
      <c r="M247" s="258"/>
      <c r="N247" s="258"/>
      <c r="O247" s="258"/>
      <c r="P247" s="258"/>
      <c r="Q247" s="258"/>
      <c r="R247" s="258"/>
      <c r="S247" s="258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367">
        <v>6553</v>
      </c>
      <c r="AK247" s="283" t="s">
        <v>2676</v>
      </c>
      <c r="AL247" s="283">
        <v>15247</v>
      </c>
      <c r="AM247" s="283" t="s">
        <v>2677</v>
      </c>
      <c r="AN247" s="283" t="s">
        <v>2678</v>
      </c>
      <c r="AO247" s="283" t="s">
        <v>2679</v>
      </c>
      <c r="AP247" s="366">
        <f>49634*0.1106*2</f>
        <v>10979.0408</v>
      </c>
      <c r="AQ247" s="366" t="s">
        <v>2680</v>
      </c>
      <c r="AR247" s="283" t="s">
        <v>2681</v>
      </c>
      <c r="AS247" s="283" t="s">
        <v>2682</v>
      </c>
      <c r="AT247" s="283" t="s">
        <v>2683</v>
      </c>
      <c r="AU247" s="283" t="s">
        <v>2684</v>
      </c>
      <c r="AV247" s="283" t="s">
        <v>2685</v>
      </c>
      <c r="AW247" s="283">
        <f t="shared" si="26"/>
        <v>25575.6666666667</v>
      </c>
      <c r="AX247" s="283"/>
      <c r="AY247" s="283"/>
      <c r="AZ247" s="283"/>
      <c r="BA247" s="283"/>
      <c r="BB247" s="283"/>
      <c r="BC247" s="283"/>
      <c r="BD247" s="283"/>
      <c r="BE247" s="283"/>
      <c r="BF247" s="283"/>
      <c r="BG247" s="283"/>
      <c r="BH247" s="283"/>
      <c r="BI247" s="283"/>
      <c r="BJ247" s="283"/>
      <c r="BK247" s="283"/>
      <c r="BL247" s="283"/>
      <c r="BM247" s="283"/>
      <c r="BN247" s="283"/>
      <c r="BO247" s="283"/>
      <c r="BP247" s="283"/>
      <c r="BQ247" s="283"/>
      <c r="BR247" s="283"/>
      <c r="BS247" s="283"/>
      <c r="BT247" s="283"/>
      <c r="BU247" s="283"/>
      <c r="BV247" s="283"/>
      <c r="BW247" s="283"/>
      <c r="BX247" s="283">
        <v>60200</v>
      </c>
      <c r="BY247" s="283">
        <v>62500</v>
      </c>
      <c r="BZ247" s="283">
        <v>48500</v>
      </c>
      <c r="CA247" s="283">
        <v>21400</v>
      </c>
      <c r="CB247" s="283">
        <v>53500</v>
      </c>
      <c r="CC247" s="283">
        <v>98704</v>
      </c>
      <c r="CD247" s="283">
        <v>27200</v>
      </c>
      <c r="CE247" s="283">
        <v>27200</v>
      </c>
      <c r="CF247" s="283">
        <v>10800</v>
      </c>
      <c r="CG247" s="283">
        <v>28737.5</v>
      </c>
      <c r="CH247" s="283">
        <v>55300</v>
      </c>
      <c r="CI247" s="283">
        <v>52000</v>
      </c>
      <c r="CJ247" s="283">
        <v>155900</v>
      </c>
      <c r="CK247" s="283">
        <f t="shared" si="27"/>
        <v>104500</v>
      </c>
      <c r="CL247" s="397"/>
      <c r="CM247" s="371">
        <f>Summary!$D$6</f>
        <v>1473053.7196</v>
      </c>
      <c r="CN247" s="258">
        <f t="shared" si="31"/>
        <v>0</v>
      </c>
    </row>
    <row r="248" ht="15.6" spans="1:92">
      <c r="A248" s="258" t="s">
        <v>152</v>
      </c>
      <c r="B248" s="258" t="s">
        <v>812</v>
      </c>
      <c r="C248" s="258" t="s">
        <v>230</v>
      </c>
      <c r="D248" s="258" t="s">
        <v>2686</v>
      </c>
      <c r="E248" s="258" t="s">
        <v>233</v>
      </c>
      <c r="F248" s="260" t="s">
        <v>49</v>
      </c>
      <c r="G248" s="260"/>
      <c r="H248" s="283">
        <f t="shared" si="33"/>
        <v>3192</v>
      </c>
      <c r="I248" s="360" t="s">
        <v>2687</v>
      </c>
      <c r="J248" s="258"/>
      <c r="K248" s="258"/>
      <c r="L248" s="258"/>
      <c r="M248" s="258"/>
      <c r="N248" s="258"/>
      <c r="O248" s="258"/>
      <c r="P248" s="258"/>
      <c r="Q248" s="258"/>
      <c r="R248" s="258"/>
      <c r="S248" s="258"/>
      <c r="T248" s="258"/>
      <c r="U248" s="258"/>
      <c r="V248" s="258"/>
      <c r="W248" s="258"/>
      <c r="X248" s="258"/>
      <c r="Y248" s="258"/>
      <c r="Z248" s="258"/>
      <c r="AA248" s="258"/>
      <c r="AB248" s="258"/>
      <c r="AC248" s="258"/>
      <c r="AD248" s="258"/>
      <c r="AE248" s="258"/>
      <c r="AF248" s="258"/>
      <c r="AG248" s="258"/>
      <c r="AH248" s="258"/>
      <c r="AI248" s="258"/>
      <c r="AJ248" s="367">
        <v>4065</v>
      </c>
      <c r="AK248" s="283" t="s">
        <v>2688</v>
      </c>
      <c r="AL248" s="283">
        <v>4390</v>
      </c>
      <c r="AM248" s="283" t="s">
        <v>2689</v>
      </c>
      <c r="AN248" s="283" t="s">
        <v>2690</v>
      </c>
      <c r="AO248" s="283" t="s">
        <v>2691</v>
      </c>
      <c r="AP248" s="283">
        <f>11108*0.2036*2</f>
        <v>4523.1776</v>
      </c>
      <c r="AQ248" s="283" t="s">
        <v>2692</v>
      </c>
      <c r="AR248" s="283" t="s">
        <v>2427</v>
      </c>
      <c r="AS248" s="283" t="s">
        <v>2693</v>
      </c>
      <c r="AT248" s="283" t="s">
        <v>2694</v>
      </c>
      <c r="AU248" s="283" t="s">
        <v>2336</v>
      </c>
      <c r="AV248" s="283" t="s">
        <v>796</v>
      </c>
      <c r="AW248" s="283">
        <f t="shared" si="26"/>
        <v>711</v>
      </c>
      <c r="AX248" s="283"/>
      <c r="AY248" s="283"/>
      <c r="AZ248" s="283"/>
      <c r="BA248" s="283"/>
      <c r="BB248" s="283"/>
      <c r="BC248" s="283"/>
      <c r="BD248" s="283"/>
      <c r="BE248" s="283"/>
      <c r="BF248" s="283"/>
      <c r="BG248" s="283"/>
      <c r="BH248" s="283"/>
      <c r="BI248" s="283"/>
      <c r="BJ248" s="283"/>
      <c r="BK248" s="283"/>
      <c r="BL248" s="283"/>
      <c r="BM248" s="283"/>
      <c r="BN248" s="283"/>
      <c r="BO248" s="283"/>
      <c r="BP248" s="283"/>
      <c r="BQ248" s="283"/>
      <c r="BR248" s="283"/>
      <c r="BS248" s="283"/>
      <c r="BT248" s="283"/>
      <c r="BU248" s="283"/>
      <c r="BV248" s="283"/>
      <c r="BW248" s="283"/>
      <c r="BX248" s="283">
        <v>29200</v>
      </c>
      <c r="BY248" s="283">
        <v>42900</v>
      </c>
      <c r="BZ248" s="283">
        <v>15800</v>
      </c>
      <c r="CA248" s="283">
        <v>17064.72</v>
      </c>
      <c r="CB248" s="283">
        <v>26300</v>
      </c>
      <c r="CC248" s="283">
        <v>0</v>
      </c>
      <c r="CD248" s="283">
        <v>1500</v>
      </c>
      <c r="CE248" s="283">
        <v>1500</v>
      </c>
      <c r="CF248" s="283">
        <v>439</v>
      </c>
      <c r="CG248" s="283">
        <v>5200</v>
      </c>
      <c r="CH248" s="283">
        <v>32400</v>
      </c>
      <c r="CI248" s="283">
        <v>0</v>
      </c>
      <c r="CJ248" s="283">
        <v>546</v>
      </c>
      <c r="CK248" s="283">
        <f t="shared" si="27"/>
        <v>5673</v>
      </c>
      <c r="CL248" s="397"/>
      <c r="CM248" s="371">
        <f>Summary!$D$6</f>
        <v>1473053.7196</v>
      </c>
      <c r="CN248" s="258">
        <f t="shared" si="31"/>
        <v>0</v>
      </c>
    </row>
    <row r="249" ht="15.6" spans="1:92">
      <c r="A249" s="258" t="s">
        <v>152</v>
      </c>
      <c r="B249" s="258" t="s">
        <v>812</v>
      </c>
      <c r="C249" s="258" t="s">
        <v>230</v>
      </c>
      <c r="D249" s="258" t="s">
        <v>271</v>
      </c>
      <c r="E249" s="258" t="s">
        <v>233</v>
      </c>
      <c r="F249" s="260" t="s">
        <v>272</v>
      </c>
      <c r="G249" s="260"/>
      <c r="H249" s="283">
        <f t="shared" si="33"/>
        <v>131559.1784</v>
      </c>
      <c r="I249" s="360" t="s">
        <v>2652</v>
      </c>
      <c r="J249" s="258"/>
      <c r="K249" s="258"/>
      <c r="L249" s="258"/>
      <c r="M249" s="258"/>
      <c r="N249" s="258"/>
      <c r="O249" s="258"/>
      <c r="P249" s="258"/>
      <c r="Q249" s="258"/>
      <c r="R249" s="258"/>
      <c r="S249" s="258"/>
      <c r="T249" s="258"/>
      <c r="U249" s="258"/>
      <c r="V249" s="258"/>
      <c r="W249" s="258"/>
      <c r="X249" s="258"/>
      <c r="Y249" s="258"/>
      <c r="Z249" s="258"/>
      <c r="AA249" s="258"/>
      <c r="AB249" s="258"/>
      <c r="AC249" s="258"/>
      <c r="AD249" s="258"/>
      <c r="AE249" s="258"/>
      <c r="AF249" s="258"/>
      <c r="AG249" s="258"/>
      <c r="AH249" s="258"/>
      <c r="AI249" s="258"/>
      <c r="AJ249" s="367">
        <v>40995</v>
      </c>
      <c r="AK249" s="283" t="s">
        <v>2695</v>
      </c>
      <c r="AL249" s="283">
        <v>54867</v>
      </c>
      <c r="AM249" s="283" t="s">
        <v>2696</v>
      </c>
      <c r="AN249" s="283" t="s">
        <v>2697</v>
      </c>
      <c r="AO249" s="283" t="s">
        <v>2698</v>
      </c>
      <c r="AP249" s="283">
        <v>77736</v>
      </c>
      <c r="AQ249" s="283" t="s">
        <v>2699</v>
      </c>
      <c r="AR249" s="283">
        <f>146885*0.3023*2</f>
        <v>88806.671</v>
      </c>
      <c r="AS249" s="283" t="s">
        <v>2700</v>
      </c>
      <c r="AT249" s="283" t="s">
        <v>2701</v>
      </c>
      <c r="AU249" s="283">
        <f>0.2794*2*153258</f>
        <v>85640.5704</v>
      </c>
      <c r="AV249" s="283" t="s">
        <v>2702</v>
      </c>
      <c r="AW249" s="283">
        <f t="shared" si="26"/>
        <v>120351.690133333</v>
      </c>
      <c r="AX249" s="283"/>
      <c r="AY249" s="283"/>
      <c r="AZ249" s="283"/>
      <c r="BA249" s="283"/>
      <c r="BB249" s="283"/>
      <c r="BC249" s="283"/>
      <c r="BD249" s="283"/>
      <c r="BE249" s="283"/>
      <c r="BF249" s="283"/>
      <c r="BG249" s="283"/>
      <c r="BH249" s="283"/>
      <c r="BI249" s="283"/>
      <c r="BJ249" s="283"/>
      <c r="BK249" s="283"/>
      <c r="BL249" s="283"/>
      <c r="BM249" s="283"/>
      <c r="BN249" s="283"/>
      <c r="BO249" s="283"/>
      <c r="BP249" s="283"/>
      <c r="BQ249" s="283"/>
      <c r="BR249" s="283"/>
      <c r="BS249" s="283"/>
      <c r="BT249" s="283"/>
      <c r="BU249" s="283"/>
      <c r="BV249" s="283"/>
      <c r="BW249" s="283"/>
      <c r="BX249" s="283">
        <v>50400</v>
      </c>
      <c r="BY249" s="283">
        <v>50400</v>
      </c>
      <c r="BZ249" s="283">
        <v>24000</v>
      </c>
      <c r="CA249" s="283">
        <v>24593.9</v>
      </c>
      <c r="CB249" s="283">
        <v>8600</v>
      </c>
      <c r="CC249" s="283">
        <v>14900</v>
      </c>
      <c r="CD249" s="283">
        <v>22200</v>
      </c>
      <c r="CE249" s="283">
        <v>38800</v>
      </c>
      <c r="CF249" s="283">
        <v>60889.6</v>
      </c>
      <c r="CG249" s="283">
        <v>58600</v>
      </c>
      <c r="CH249" s="283">
        <v>128800</v>
      </c>
      <c r="CI249" s="283">
        <v>162900</v>
      </c>
      <c r="CJ249" s="283">
        <v>134000</v>
      </c>
      <c r="CK249" s="283">
        <f t="shared" si="27"/>
        <v>142766.666666667</v>
      </c>
      <c r="CL249" s="397"/>
      <c r="CM249" s="371">
        <f>Summary!$D$6</f>
        <v>1473053.7196</v>
      </c>
      <c r="CN249" s="258">
        <f t="shared" si="31"/>
        <v>1</v>
      </c>
    </row>
    <row r="250" ht="15.6" spans="1:92">
      <c r="A250" s="258" t="s">
        <v>152</v>
      </c>
      <c r="B250" s="258" t="s">
        <v>812</v>
      </c>
      <c r="C250" s="258" t="s">
        <v>230</v>
      </c>
      <c r="D250" s="258" t="s">
        <v>2703</v>
      </c>
      <c r="E250" s="258" t="s">
        <v>233</v>
      </c>
      <c r="F250" s="260" t="s">
        <v>421</v>
      </c>
      <c r="G250" s="260"/>
      <c r="H250" s="283">
        <f t="shared" si="33"/>
        <v>36031.75</v>
      </c>
      <c r="I250" s="360" t="s">
        <v>2652</v>
      </c>
      <c r="J250" s="258"/>
      <c r="K250" s="258"/>
      <c r="L250" s="258"/>
      <c r="M250" s="258"/>
      <c r="N250" s="258"/>
      <c r="O250" s="258"/>
      <c r="P250" s="258"/>
      <c r="Q250" s="258"/>
      <c r="R250" s="258"/>
      <c r="S250" s="258"/>
      <c r="T250" s="258"/>
      <c r="U250" s="258"/>
      <c r="V250" s="258"/>
      <c r="W250" s="258"/>
      <c r="X250" s="258"/>
      <c r="Y250" s="258"/>
      <c r="Z250" s="258"/>
      <c r="AA250" s="258"/>
      <c r="AB250" s="258"/>
      <c r="AC250" s="258"/>
      <c r="AD250" s="258"/>
      <c r="AE250" s="258"/>
      <c r="AF250" s="258"/>
      <c r="AG250" s="258"/>
      <c r="AH250" s="258"/>
      <c r="AI250" s="258"/>
      <c r="AJ250" s="367">
        <v>28143</v>
      </c>
      <c r="AK250" s="283" t="s">
        <v>2704</v>
      </c>
      <c r="AL250" s="283">
        <v>42345</v>
      </c>
      <c r="AM250" s="283" t="s">
        <v>2705</v>
      </c>
      <c r="AN250" s="283" t="s">
        <v>2706</v>
      </c>
      <c r="AO250" s="283" t="s">
        <v>1107</v>
      </c>
      <c r="AP250" s="283">
        <v>48119</v>
      </c>
      <c r="AQ250" s="283" t="s">
        <v>2707</v>
      </c>
      <c r="AR250" s="283" t="s">
        <v>1109</v>
      </c>
      <c r="AS250" s="283" t="s">
        <v>1110</v>
      </c>
      <c r="AT250" s="283" t="s">
        <v>2708</v>
      </c>
      <c r="AU250" s="283" t="s">
        <v>2709</v>
      </c>
      <c r="AV250" s="283" t="s">
        <v>2710</v>
      </c>
      <c r="AW250" s="283">
        <f t="shared" si="26"/>
        <v>35496.8333333333</v>
      </c>
      <c r="AX250" s="283"/>
      <c r="AY250" s="283"/>
      <c r="AZ250" s="283"/>
      <c r="BA250" s="283"/>
      <c r="BB250" s="283"/>
      <c r="BC250" s="283"/>
      <c r="BD250" s="283"/>
      <c r="BE250" s="283"/>
      <c r="BF250" s="283"/>
      <c r="BG250" s="283"/>
      <c r="BH250" s="283"/>
      <c r="BI250" s="283"/>
      <c r="BJ250" s="283"/>
      <c r="BK250" s="283"/>
      <c r="BL250" s="283"/>
      <c r="BM250" s="283"/>
      <c r="BN250" s="283"/>
      <c r="BO250" s="283"/>
      <c r="BP250" s="283"/>
      <c r="BQ250" s="283"/>
      <c r="BR250" s="283"/>
      <c r="BS250" s="283"/>
      <c r="BT250" s="283"/>
      <c r="BU250" s="283"/>
      <c r="BV250" s="283"/>
      <c r="BW250" s="283"/>
      <c r="BX250" s="283">
        <v>12300</v>
      </c>
      <c r="BY250" s="283">
        <v>12300</v>
      </c>
      <c r="BZ250" s="283">
        <v>74800</v>
      </c>
      <c r="CA250" s="283">
        <v>99100</v>
      </c>
      <c r="CB250" s="283">
        <v>18900</v>
      </c>
      <c r="CC250" s="283">
        <v>14800</v>
      </c>
      <c r="CD250" s="283">
        <v>28300</v>
      </c>
      <c r="CE250" s="283">
        <v>28300</v>
      </c>
      <c r="CF250" s="283">
        <v>37700</v>
      </c>
      <c r="CG250" s="283">
        <v>7600</v>
      </c>
      <c r="CH250" s="283">
        <v>9900</v>
      </c>
      <c r="CI250" s="283">
        <v>20000</v>
      </c>
      <c r="CJ250" s="283">
        <v>56500</v>
      </c>
      <c r="CK250" s="283">
        <f t="shared" si="27"/>
        <v>36566.6666666667</v>
      </c>
      <c r="CL250" s="398"/>
      <c r="CM250" s="371">
        <f>Summary!$D$6</f>
        <v>1473053.7196</v>
      </c>
      <c r="CN250" s="258">
        <f t="shared" si="31"/>
        <v>0</v>
      </c>
    </row>
    <row r="251" ht="15.6" spans="1:92">
      <c r="A251" s="258" t="s">
        <v>145</v>
      </c>
      <c r="B251" s="258" t="s">
        <v>812</v>
      </c>
      <c r="C251" s="258" t="s">
        <v>230</v>
      </c>
      <c r="D251" s="258" t="s">
        <v>2711</v>
      </c>
      <c r="E251" s="258" t="s">
        <v>233</v>
      </c>
      <c r="F251" s="260" t="s">
        <v>422</v>
      </c>
      <c r="G251" s="260"/>
      <c r="H251" s="283">
        <f t="shared" si="33"/>
        <v>61244.3333333333</v>
      </c>
      <c r="I251" s="360" t="s">
        <v>2652</v>
      </c>
      <c r="J251" s="258"/>
      <c r="K251" s="258"/>
      <c r="L251" s="258"/>
      <c r="M251" s="258"/>
      <c r="N251" s="258"/>
      <c r="O251" s="258"/>
      <c r="P251" s="258"/>
      <c r="Q251" s="258"/>
      <c r="R251" s="258"/>
      <c r="S251" s="258"/>
      <c r="T251" s="258"/>
      <c r="U251" s="258"/>
      <c r="V251" s="258"/>
      <c r="W251" s="258"/>
      <c r="X251" s="258"/>
      <c r="Y251" s="258"/>
      <c r="Z251" s="258"/>
      <c r="AA251" s="258"/>
      <c r="AB251" s="258"/>
      <c r="AC251" s="258"/>
      <c r="AD251" s="258"/>
      <c r="AE251" s="258"/>
      <c r="AF251" s="258"/>
      <c r="AG251" s="258"/>
      <c r="AH251" s="258"/>
      <c r="AI251" s="258"/>
      <c r="AJ251" s="367">
        <v>48371</v>
      </c>
      <c r="AK251" s="283" t="s">
        <v>2712</v>
      </c>
      <c r="AL251" s="283">
        <v>47330</v>
      </c>
      <c r="AM251" s="283" t="s">
        <v>2713</v>
      </c>
      <c r="AN251" s="283" t="s">
        <v>2714</v>
      </c>
      <c r="AO251" s="283" t="s">
        <v>2715</v>
      </c>
      <c r="AP251" s="283">
        <v>49658</v>
      </c>
      <c r="AQ251" s="283" t="s">
        <v>2716</v>
      </c>
      <c r="AR251" s="283" t="s">
        <v>2717</v>
      </c>
      <c r="AS251" s="283" t="s">
        <v>2718</v>
      </c>
      <c r="AT251" s="283" t="s">
        <v>2719</v>
      </c>
      <c r="AU251" s="283" t="s">
        <v>2720</v>
      </c>
      <c r="AV251" s="283" t="s">
        <v>2721</v>
      </c>
      <c r="AW251" s="283">
        <f t="shared" si="26"/>
        <v>88813.6666666667</v>
      </c>
      <c r="AX251" s="283"/>
      <c r="AY251" s="283"/>
      <c r="AZ251" s="283"/>
      <c r="BA251" s="283"/>
      <c r="BB251" s="283"/>
      <c r="BC251" s="283"/>
      <c r="BD251" s="283"/>
      <c r="BE251" s="283"/>
      <c r="BF251" s="283"/>
      <c r="BG251" s="283"/>
      <c r="BH251" s="283"/>
      <c r="BI251" s="283"/>
      <c r="BJ251" s="283"/>
      <c r="BK251" s="283"/>
      <c r="BL251" s="283"/>
      <c r="BM251" s="283"/>
      <c r="BN251" s="283"/>
      <c r="BO251" s="283"/>
      <c r="BP251" s="283"/>
      <c r="BQ251" s="283"/>
      <c r="BR251" s="283"/>
      <c r="BS251" s="283"/>
      <c r="BT251" s="283"/>
      <c r="BU251" s="283"/>
      <c r="BV251" s="283"/>
      <c r="BW251" s="283"/>
      <c r="BX251" s="283">
        <v>41300</v>
      </c>
      <c r="BY251" s="283">
        <v>41300</v>
      </c>
      <c r="BZ251" s="283">
        <v>29848</v>
      </c>
      <c r="CA251" s="283">
        <v>16600</v>
      </c>
      <c r="CB251" s="283">
        <v>26000</v>
      </c>
      <c r="CC251" s="283">
        <v>21900</v>
      </c>
      <c r="CD251" s="283">
        <v>14600</v>
      </c>
      <c r="CE251" s="283">
        <v>14600</v>
      </c>
      <c r="CF251" s="283">
        <v>25000</v>
      </c>
      <c r="CG251" s="283">
        <v>22600</v>
      </c>
      <c r="CH251" s="283">
        <v>56700</v>
      </c>
      <c r="CI251" s="283">
        <v>23400</v>
      </c>
      <c r="CJ251" s="283">
        <v>32850</v>
      </c>
      <c r="CK251" s="283">
        <f t="shared" si="27"/>
        <v>33675</v>
      </c>
      <c r="CL251" s="398"/>
      <c r="CM251" s="371">
        <f>Summary!$D$4</f>
        <v>1816871.23333333</v>
      </c>
      <c r="CN251" s="258">
        <f t="shared" si="31"/>
        <v>0</v>
      </c>
    </row>
    <row r="252" ht="15.6" spans="1:92">
      <c r="A252" s="258" t="s">
        <v>156</v>
      </c>
      <c r="B252" s="258" t="s">
        <v>812</v>
      </c>
      <c r="C252" s="258" t="s">
        <v>230</v>
      </c>
      <c r="D252" s="258" t="s">
        <v>2722</v>
      </c>
      <c r="E252" s="258" t="s">
        <v>233</v>
      </c>
      <c r="F252" s="260" t="s">
        <v>426</v>
      </c>
      <c r="G252" s="260"/>
      <c r="H252" s="283">
        <f t="shared" si="33"/>
        <v>4486.78333333333</v>
      </c>
      <c r="I252" s="360" t="s">
        <v>2652</v>
      </c>
      <c r="J252" s="258"/>
      <c r="K252" s="258"/>
      <c r="L252" s="258"/>
      <c r="M252" s="258"/>
      <c r="N252" s="258"/>
      <c r="O252" s="258"/>
      <c r="P252" s="258"/>
      <c r="Q252" s="258"/>
      <c r="R252" s="258"/>
      <c r="S252" s="258"/>
      <c r="T252" s="258"/>
      <c r="U252" s="258"/>
      <c r="V252" s="258"/>
      <c r="W252" s="258"/>
      <c r="X252" s="258"/>
      <c r="Y252" s="258"/>
      <c r="Z252" s="258"/>
      <c r="AA252" s="258"/>
      <c r="AB252" s="258"/>
      <c r="AC252" s="258"/>
      <c r="AD252" s="258"/>
      <c r="AE252" s="258"/>
      <c r="AF252" s="258"/>
      <c r="AG252" s="258"/>
      <c r="AH252" s="258"/>
      <c r="AI252" s="258"/>
      <c r="AJ252" s="367">
        <v>5864</v>
      </c>
      <c r="AK252" s="283" t="s">
        <v>2723</v>
      </c>
      <c r="AL252" s="283">
        <v>4690</v>
      </c>
      <c r="AM252" s="283" t="s">
        <v>2724</v>
      </c>
      <c r="AN252" s="283" t="s">
        <v>2725</v>
      </c>
      <c r="AO252" s="283" t="s">
        <v>2726</v>
      </c>
      <c r="AP252" s="283">
        <v>5000</v>
      </c>
      <c r="AQ252" s="283" t="s">
        <v>2727</v>
      </c>
      <c r="AR252" s="283" t="s">
        <v>2728</v>
      </c>
      <c r="AS252" s="283" t="s">
        <v>2729</v>
      </c>
      <c r="AT252" s="283" t="s">
        <v>2730</v>
      </c>
      <c r="AU252" s="283" t="s">
        <v>2731</v>
      </c>
      <c r="AV252" s="283" t="s">
        <v>2732</v>
      </c>
      <c r="AW252" s="283">
        <f t="shared" si="26"/>
        <v>7316.83333333333</v>
      </c>
      <c r="AX252" s="283"/>
      <c r="AY252" s="283"/>
      <c r="AZ252" s="283"/>
      <c r="BA252" s="283"/>
      <c r="BB252" s="283"/>
      <c r="BC252" s="283"/>
      <c r="BD252" s="283"/>
      <c r="BE252" s="283"/>
      <c r="BF252" s="283"/>
      <c r="BG252" s="283"/>
      <c r="BH252" s="283"/>
      <c r="BI252" s="283"/>
      <c r="BJ252" s="283"/>
      <c r="BK252" s="283"/>
      <c r="BL252" s="283"/>
      <c r="BM252" s="283"/>
      <c r="BN252" s="283"/>
      <c r="BO252" s="283"/>
      <c r="BP252" s="283"/>
      <c r="BQ252" s="283"/>
      <c r="BR252" s="283"/>
      <c r="BS252" s="283"/>
      <c r="BT252" s="283"/>
      <c r="BU252" s="283"/>
      <c r="BV252" s="283"/>
      <c r="BW252" s="283"/>
      <c r="BX252" s="283">
        <v>9500</v>
      </c>
      <c r="BY252" s="283">
        <v>13400</v>
      </c>
      <c r="BZ252" s="283">
        <v>5200</v>
      </c>
      <c r="CA252" s="283">
        <v>6900</v>
      </c>
      <c r="CB252" s="283">
        <v>3500</v>
      </c>
      <c r="CC252" s="283">
        <v>9700</v>
      </c>
      <c r="CD252" s="283">
        <v>11700</v>
      </c>
      <c r="CE252" s="283">
        <v>11700</v>
      </c>
      <c r="CF252" s="283">
        <v>2596.24</v>
      </c>
      <c r="CG252" s="283">
        <v>5700</v>
      </c>
      <c r="CH252" s="283">
        <v>2030.4</v>
      </c>
      <c r="CI252" s="283">
        <v>355</v>
      </c>
      <c r="CJ252" s="283">
        <v>2400</v>
      </c>
      <c r="CK252" s="283">
        <f t="shared" si="27"/>
        <v>1656.73333333333</v>
      </c>
      <c r="CL252" s="398"/>
      <c r="CM252" s="371">
        <f>Summary!$D$7</f>
        <v>965318.368333333</v>
      </c>
      <c r="CN252" s="258">
        <f t="shared" si="31"/>
        <v>0</v>
      </c>
    </row>
    <row r="253" ht="15.6" spans="1:92">
      <c r="A253" s="258" t="s">
        <v>177</v>
      </c>
      <c r="B253" s="258" t="s">
        <v>812</v>
      </c>
      <c r="C253" s="258" t="s">
        <v>243</v>
      </c>
      <c r="D253" s="258" t="s">
        <v>2733</v>
      </c>
      <c r="E253" s="258" t="s">
        <v>441</v>
      </c>
      <c r="F253" s="260" t="s">
        <v>49</v>
      </c>
      <c r="G253" s="260"/>
      <c r="H253" s="283">
        <f t="shared" si="33"/>
        <v>3425.41666666667</v>
      </c>
      <c r="I253" s="360" t="s">
        <v>2652</v>
      </c>
      <c r="J253" s="258"/>
      <c r="K253" s="258"/>
      <c r="L253" s="258"/>
      <c r="M253" s="258"/>
      <c r="N253" s="258"/>
      <c r="O253" s="258"/>
      <c r="P253" s="258"/>
      <c r="Q253" s="258"/>
      <c r="R253" s="258"/>
      <c r="S253" s="258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>
        <v>514</v>
      </c>
      <c r="AK253" s="283" t="s">
        <v>2734</v>
      </c>
      <c r="AL253" s="283">
        <v>5825</v>
      </c>
      <c r="AM253" s="283">
        <f>11876*0.0688*2</f>
        <v>1634.1376</v>
      </c>
      <c r="AN253" s="283">
        <f>15956*0.1882*2</f>
        <v>6005.8384</v>
      </c>
      <c r="AO253" s="283" t="s">
        <v>2735</v>
      </c>
      <c r="AP253" s="283">
        <v>5000</v>
      </c>
      <c r="AQ253" s="283" t="s">
        <v>2736</v>
      </c>
      <c r="AR253" s="283" t="s">
        <v>2737</v>
      </c>
      <c r="AS253" s="283" t="s">
        <v>2738</v>
      </c>
      <c r="AT253" s="283" t="s">
        <v>2739</v>
      </c>
      <c r="AU253" s="283" t="s">
        <v>2740</v>
      </c>
      <c r="AV253" s="283">
        <v>5695</v>
      </c>
      <c r="AW253" s="283">
        <f t="shared" si="26"/>
        <v>3784.16666666667</v>
      </c>
      <c r="AX253" s="283"/>
      <c r="AY253" s="283"/>
      <c r="AZ253" s="283"/>
      <c r="BA253" s="283"/>
      <c r="BB253" s="283"/>
      <c r="BC253" s="283"/>
      <c r="BD253" s="283"/>
      <c r="BE253" s="283"/>
      <c r="BF253" s="283"/>
      <c r="BG253" s="283"/>
      <c r="BH253" s="283"/>
      <c r="BI253" s="283"/>
      <c r="BJ253" s="283"/>
      <c r="BK253" s="283"/>
      <c r="BL253" s="283"/>
      <c r="BM253" s="283"/>
      <c r="BN253" s="283"/>
      <c r="BO253" s="283"/>
      <c r="BP253" s="283"/>
      <c r="BQ253" s="283"/>
      <c r="BR253" s="283"/>
      <c r="BS253" s="283"/>
      <c r="BT253" s="283"/>
      <c r="BU253" s="283"/>
      <c r="BV253" s="283"/>
      <c r="BW253" s="283"/>
      <c r="BX253" s="283">
        <v>1800</v>
      </c>
      <c r="BY253" s="283">
        <v>0</v>
      </c>
      <c r="BZ253" s="283">
        <v>2400</v>
      </c>
      <c r="CA253" s="283">
        <v>13050.3</v>
      </c>
      <c r="CB253" s="283">
        <v>9500</v>
      </c>
      <c r="CC253" s="283">
        <v>3900</v>
      </c>
      <c r="CD253" s="283">
        <v>0</v>
      </c>
      <c r="CE253" s="283">
        <v>5800</v>
      </c>
      <c r="CF253" s="283">
        <v>2600</v>
      </c>
      <c r="CG253" s="283">
        <v>1700</v>
      </c>
      <c r="CH253" s="283">
        <v>10300</v>
      </c>
      <c r="CI253" s="283">
        <v>2400</v>
      </c>
      <c r="CJ253" s="283">
        <v>1100</v>
      </c>
      <c r="CK253" s="283">
        <f t="shared" si="27"/>
        <v>3066.66666666667</v>
      </c>
      <c r="CL253" s="398"/>
      <c r="CM253" s="371">
        <f>Summary!$D$14</f>
        <v>157127.612416667</v>
      </c>
      <c r="CN253" s="258">
        <f t="shared" si="31"/>
        <v>0</v>
      </c>
    </row>
    <row r="254" ht="15.6" spans="1:92">
      <c r="A254" s="258" t="s">
        <v>1761</v>
      </c>
      <c r="B254" s="258" t="s">
        <v>812</v>
      </c>
      <c r="C254" s="258" t="s">
        <v>243</v>
      </c>
      <c r="D254" s="258" t="s">
        <v>290</v>
      </c>
      <c r="E254" s="258" t="s">
        <v>233</v>
      </c>
      <c r="F254" s="260" t="s">
        <v>291</v>
      </c>
      <c r="G254" s="260"/>
      <c r="H254" s="283">
        <f t="shared" si="33"/>
        <v>23155.5</v>
      </c>
      <c r="I254" s="360" t="s">
        <v>2652</v>
      </c>
      <c r="J254" s="258"/>
      <c r="K254" s="258"/>
      <c r="L254" s="258"/>
      <c r="M254" s="258"/>
      <c r="N254" s="258"/>
      <c r="O254" s="258"/>
      <c r="P254" s="258"/>
      <c r="Q254" s="258"/>
      <c r="R254" s="258"/>
      <c r="S254" s="258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367">
        <v>26041</v>
      </c>
      <c r="AK254" s="283" t="s">
        <v>2741</v>
      </c>
      <c r="AL254" s="283">
        <v>57888</v>
      </c>
      <c r="AM254" s="283" t="s">
        <v>2742</v>
      </c>
      <c r="AN254" s="283" t="s">
        <v>2743</v>
      </c>
      <c r="AO254" s="283" t="s">
        <v>2744</v>
      </c>
      <c r="AP254" s="283">
        <v>46790</v>
      </c>
      <c r="AQ254" s="283" t="s">
        <v>2745</v>
      </c>
      <c r="AR254" s="283" t="s">
        <v>2746</v>
      </c>
      <c r="AS254" s="283" t="s">
        <v>2747</v>
      </c>
      <c r="AT254" s="283" t="s">
        <v>2748</v>
      </c>
      <c r="AU254" s="283" t="s">
        <v>2749</v>
      </c>
      <c r="AV254" s="283" t="s">
        <v>2750</v>
      </c>
      <c r="AW254" s="283">
        <f t="shared" si="26"/>
        <v>40994.3333333333</v>
      </c>
      <c r="AX254" s="283"/>
      <c r="AY254" s="283"/>
      <c r="AZ254" s="283"/>
      <c r="BA254" s="283"/>
      <c r="BB254" s="283"/>
      <c r="BC254" s="283"/>
      <c r="BD254" s="283"/>
      <c r="BE254" s="283"/>
      <c r="BF254" s="283"/>
      <c r="BG254" s="283"/>
      <c r="BH254" s="283"/>
      <c r="BI254" s="283"/>
      <c r="BJ254" s="283"/>
      <c r="BK254" s="283"/>
      <c r="BL254" s="283"/>
      <c r="BM254" s="283"/>
      <c r="BN254" s="283"/>
      <c r="BO254" s="283"/>
      <c r="BP254" s="283"/>
      <c r="BQ254" s="283"/>
      <c r="BR254" s="283"/>
      <c r="BS254" s="283"/>
      <c r="BT254" s="283"/>
      <c r="BU254" s="283"/>
      <c r="BV254" s="283"/>
      <c r="BW254" s="283"/>
      <c r="BX254" s="283">
        <v>40500</v>
      </c>
      <c r="BY254" s="283">
        <v>40500</v>
      </c>
      <c r="BZ254" s="283">
        <v>22900</v>
      </c>
      <c r="CA254" s="283">
        <v>23800</v>
      </c>
      <c r="CB254" s="283">
        <v>53700</v>
      </c>
      <c r="CC254" s="283">
        <v>25300</v>
      </c>
      <c r="CD254" s="283">
        <v>17300</v>
      </c>
      <c r="CE254" s="283">
        <v>22018</v>
      </c>
      <c r="CF254" s="283">
        <v>17800</v>
      </c>
      <c r="CG254" s="283">
        <v>16300</v>
      </c>
      <c r="CH254" s="283">
        <v>7000</v>
      </c>
      <c r="CI254" s="283">
        <v>7200</v>
      </c>
      <c r="CJ254" s="283">
        <v>3500</v>
      </c>
      <c r="CK254" s="283">
        <f t="shared" si="27"/>
        <v>5316.66666666667</v>
      </c>
      <c r="CL254" s="398"/>
      <c r="CM254" s="371">
        <f>Summary!$D$9</f>
        <v>657757.072666666</v>
      </c>
      <c r="CN254" s="258">
        <f t="shared" si="31"/>
        <v>0</v>
      </c>
    </row>
    <row r="255" ht="15.6" spans="1:92">
      <c r="A255" s="258" t="s">
        <v>168</v>
      </c>
      <c r="B255" s="258" t="s">
        <v>812</v>
      </c>
      <c r="C255" s="258" t="s">
        <v>230</v>
      </c>
      <c r="D255" s="258" t="s">
        <v>307</v>
      </c>
      <c r="E255" s="258" t="s">
        <v>233</v>
      </c>
      <c r="F255" s="260" t="s">
        <v>49</v>
      </c>
      <c r="G255" s="260"/>
      <c r="H255" s="283">
        <f t="shared" si="33"/>
        <v>24728.8333333333</v>
      </c>
      <c r="I255" s="360" t="s">
        <v>2652</v>
      </c>
      <c r="J255" s="258"/>
      <c r="K255" s="258"/>
      <c r="L255" s="258"/>
      <c r="M255" s="258"/>
      <c r="N255" s="258"/>
      <c r="O255" s="258"/>
      <c r="P255" s="258"/>
      <c r="Q255" s="258"/>
      <c r="R255" s="258"/>
      <c r="S255" s="258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367">
        <v>21210</v>
      </c>
      <c r="AK255" s="283" t="s">
        <v>2751</v>
      </c>
      <c r="AL255" s="283">
        <v>38692</v>
      </c>
      <c r="AM255" s="283" t="s">
        <v>2752</v>
      </c>
      <c r="AN255" s="283" t="s">
        <v>2753</v>
      </c>
      <c r="AO255" s="283" t="s">
        <v>2754</v>
      </c>
      <c r="AP255" s="283">
        <v>15418</v>
      </c>
      <c r="AQ255" s="283" t="s">
        <v>2755</v>
      </c>
      <c r="AR255" s="283" t="s">
        <v>2756</v>
      </c>
      <c r="AS255" s="283" t="s">
        <v>956</v>
      </c>
      <c r="AT255" s="283" t="s">
        <v>2757</v>
      </c>
      <c r="AU255" s="283" t="s">
        <v>2758</v>
      </c>
      <c r="AV255" s="283" t="s">
        <v>2759</v>
      </c>
      <c r="AW255" s="283">
        <f t="shared" si="26"/>
        <v>38791</v>
      </c>
      <c r="AX255" s="283"/>
      <c r="AY255" s="283"/>
      <c r="AZ255" s="283"/>
      <c r="BA255" s="283"/>
      <c r="BB255" s="283"/>
      <c r="BC255" s="283"/>
      <c r="BD255" s="283"/>
      <c r="BE255" s="283"/>
      <c r="BF255" s="283"/>
      <c r="BG255" s="283"/>
      <c r="BH255" s="283"/>
      <c r="BI255" s="283"/>
      <c r="BJ255" s="283"/>
      <c r="BK255" s="283"/>
      <c r="BL255" s="283"/>
      <c r="BM255" s="283"/>
      <c r="BN255" s="283"/>
      <c r="BO255" s="283"/>
      <c r="BP255" s="283"/>
      <c r="BQ255" s="283"/>
      <c r="BR255" s="283"/>
      <c r="BS255" s="283"/>
      <c r="BT255" s="283"/>
      <c r="BU255" s="283"/>
      <c r="BV255" s="283"/>
      <c r="BW255" s="283"/>
      <c r="BX255" s="283">
        <v>34000</v>
      </c>
      <c r="BY255" s="283">
        <v>13552</v>
      </c>
      <c r="BZ255" s="283">
        <v>26480</v>
      </c>
      <c r="CA255" s="283">
        <v>36191.6</v>
      </c>
      <c r="CB255" s="283">
        <v>49800</v>
      </c>
      <c r="CC255" s="283">
        <v>65700</v>
      </c>
      <c r="CD255" s="283">
        <v>9300</v>
      </c>
      <c r="CE255" s="283">
        <v>22100</v>
      </c>
      <c r="CF255" s="283">
        <v>24700</v>
      </c>
      <c r="CG255" s="283">
        <v>60800</v>
      </c>
      <c r="CH255" s="283">
        <v>5700</v>
      </c>
      <c r="CI255" s="283">
        <v>21200</v>
      </c>
      <c r="CJ255" s="283">
        <v>5300</v>
      </c>
      <c r="CK255" s="283">
        <f t="shared" si="27"/>
        <v>10666.6666666667</v>
      </c>
      <c r="CL255" s="398"/>
      <c r="CM255" s="371">
        <f>Summary!$D$11</f>
        <v>495890.9464</v>
      </c>
      <c r="CN255" s="258">
        <f t="shared" si="31"/>
        <v>0</v>
      </c>
    </row>
    <row r="256" ht="15.6" spans="1:92">
      <c r="A256" s="258" t="s">
        <v>168</v>
      </c>
      <c r="B256" s="258" t="s">
        <v>812</v>
      </c>
      <c r="C256" s="258" t="s">
        <v>243</v>
      </c>
      <c r="D256" s="258" t="s">
        <v>462</v>
      </c>
      <c r="E256" s="258" t="s">
        <v>441</v>
      </c>
      <c r="F256" s="260" t="s">
        <v>420</v>
      </c>
      <c r="G256" s="260"/>
      <c r="H256" s="283">
        <f t="shared" si="33"/>
        <v>15583.0833333333</v>
      </c>
      <c r="I256" s="360" t="s">
        <v>2652</v>
      </c>
      <c r="J256" s="258"/>
      <c r="K256" s="258"/>
      <c r="L256" s="258"/>
      <c r="M256" s="258"/>
      <c r="N256" s="258"/>
      <c r="O256" s="258"/>
      <c r="P256" s="258"/>
      <c r="Q256" s="258"/>
      <c r="R256" s="258"/>
      <c r="S256" s="258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367">
        <v>10577</v>
      </c>
      <c r="AK256" s="283" t="s">
        <v>2760</v>
      </c>
      <c r="AL256" s="283">
        <v>14119</v>
      </c>
      <c r="AM256" s="283" t="s">
        <v>2761</v>
      </c>
      <c r="AN256" s="283" t="s">
        <v>2762</v>
      </c>
      <c r="AO256" s="283" t="s">
        <v>2763</v>
      </c>
      <c r="AP256" s="283">
        <f>0.2876*23128*2</f>
        <v>13303.2256</v>
      </c>
      <c r="AQ256" s="283" t="s">
        <v>2764</v>
      </c>
      <c r="AR256" s="283" t="s">
        <v>2765</v>
      </c>
      <c r="AS256" s="283" t="s">
        <v>2766</v>
      </c>
      <c r="AT256" s="283" t="s">
        <v>2767</v>
      </c>
      <c r="AU256" s="283" t="s">
        <v>2768</v>
      </c>
      <c r="AV256" s="283" t="s">
        <v>2769</v>
      </c>
      <c r="AW256" s="283">
        <f t="shared" si="26"/>
        <v>13516.1666666667</v>
      </c>
      <c r="AX256" s="283"/>
      <c r="AY256" s="283"/>
      <c r="AZ256" s="283"/>
      <c r="BA256" s="283"/>
      <c r="BB256" s="283"/>
      <c r="BC256" s="283"/>
      <c r="BD256" s="283"/>
      <c r="BE256" s="283"/>
      <c r="BF256" s="283"/>
      <c r="BG256" s="283"/>
      <c r="BH256" s="283"/>
      <c r="BI256" s="283"/>
      <c r="BJ256" s="283"/>
      <c r="BK256" s="283"/>
      <c r="BL256" s="283"/>
      <c r="BM256" s="283"/>
      <c r="BN256" s="283"/>
      <c r="BO256" s="283"/>
      <c r="BP256" s="283"/>
      <c r="BQ256" s="283"/>
      <c r="BR256" s="283"/>
      <c r="BS256" s="283"/>
      <c r="BT256" s="283"/>
      <c r="BU256" s="283"/>
      <c r="BV256" s="283"/>
      <c r="BW256" s="283"/>
      <c r="BX256" s="283">
        <v>30300</v>
      </c>
      <c r="BY256" s="283">
        <v>7993</v>
      </c>
      <c r="BZ256" s="283">
        <v>15800</v>
      </c>
      <c r="CA256" s="283">
        <v>16400</v>
      </c>
      <c r="CB256" s="283">
        <v>10800</v>
      </c>
      <c r="CC256" s="283">
        <v>11200</v>
      </c>
      <c r="CD256" s="283">
        <v>12100</v>
      </c>
      <c r="CE256" s="283">
        <v>12100</v>
      </c>
      <c r="CF256" s="283">
        <v>62504.52</v>
      </c>
      <c r="CG256" s="283">
        <v>53300</v>
      </c>
      <c r="CH256" s="283">
        <v>6000</v>
      </c>
      <c r="CI256" s="283">
        <v>25500</v>
      </c>
      <c r="CJ256" s="283">
        <v>16300</v>
      </c>
      <c r="CK256" s="283">
        <f t="shared" si="27"/>
        <v>17650</v>
      </c>
      <c r="CL256" s="398"/>
      <c r="CM256" s="371">
        <f>Summary!$D$11</f>
        <v>495890.9464</v>
      </c>
      <c r="CN256" s="258">
        <f t="shared" si="31"/>
        <v>0</v>
      </c>
    </row>
    <row r="257" ht="15.6" spans="1:92">
      <c r="A257" s="258" t="s">
        <v>168</v>
      </c>
      <c r="B257" s="258" t="s">
        <v>812</v>
      </c>
      <c r="C257" s="258" t="s">
        <v>243</v>
      </c>
      <c r="D257" s="258" t="s">
        <v>2770</v>
      </c>
      <c r="E257" s="258" t="s">
        <v>441</v>
      </c>
      <c r="F257" s="260" t="s">
        <v>412</v>
      </c>
      <c r="G257" s="260"/>
      <c r="H257" s="283">
        <f t="shared" si="33"/>
        <v>3735</v>
      </c>
      <c r="I257" s="360" t="s">
        <v>2771</v>
      </c>
      <c r="J257" s="258"/>
      <c r="K257" s="258"/>
      <c r="L257" s="258"/>
      <c r="M257" s="258"/>
      <c r="N257" s="258"/>
      <c r="O257" s="258"/>
      <c r="P257" s="258"/>
      <c r="Q257" s="258"/>
      <c r="R257" s="258"/>
      <c r="S257" s="258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>
        <v>585</v>
      </c>
      <c r="AK257" s="283" t="s">
        <v>796</v>
      </c>
      <c r="AL257" s="283">
        <v>0</v>
      </c>
      <c r="AM257" s="283" t="s">
        <v>796</v>
      </c>
      <c r="AN257" s="283" t="s">
        <v>2772</v>
      </c>
      <c r="AO257" s="283" t="s">
        <v>2773</v>
      </c>
      <c r="AP257" s="283">
        <f>28332*0.0268*2</f>
        <v>1518.5952</v>
      </c>
      <c r="AQ257" s="283" t="s">
        <v>2774</v>
      </c>
      <c r="AR257" s="283" t="s">
        <v>2775</v>
      </c>
      <c r="AS257" s="283" t="s">
        <v>2776</v>
      </c>
      <c r="AT257" s="283" t="s">
        <v>2777</v>
      </c>
      <c r="AU257" s="283" t="s">
        <v>2778</v>
      </c>
      <c r="AV257" s="283" t="s">
        <v>2779</v>
      </c>
      <c r="AW257" s="283">
        <f t="shared" si="26"/>
        <v>416.5</v>
      </c>
      <c r="AX257" s="283"/>
      <c r="AY257" s="283"/>
      <c r="AZ257" s="283"/>
      <c r="BA257" s="283"/>
      <c r="BB257" s="283"/>
      <c r="BC257" s="283"/>
      <c r="BD257" s="283"/>
      <c r="BE257" s="283"/>
      <c r="BF257" s="283"/>
      <c r="BG257" s="283"/>
      <c r="BH257" s="283"/>
      <c r="BI257" s="283"/>
      <c r="BJ257" s="283"/>
      <c r="BK257" s="283"/>
      <c r="BL257" s="283"/>
      <c r="BM257" s="283"/>
      <c r="BN257" s="283"/>
      <c r="BO257" s="283"/>
      <c r="BP257" s="283"/>
      <c r="BQ257" s="283"/>
      <c r="BR257" s="283"/>
      <c r="BS257" s="283"/>
      <c r="BT257" s="283"/>
      <c r="BU257" s="283"/>
      <c r="BV257" s="283"/>
      <c r="BW257" s="283"/>
      <c r="BX257" s="283">
        <v>21100</v>
      </c>
      <c r="BY257" s="283">
        <v>21100</v>
      </c>
      <c r="BZ257" s="283">
        <v>34200</v>
      </c>
      <c r="CA257" s="283">
        <v>25300</v>
      </c>
      <c r="CB257" s="283">
        <v>0</v>
      </c>
      <c r="CC257" s="283">
        <v>65500</v>
      </c>
      <c r="CD257" s="283">
        <v>6400</v>
      </c>
      <c r="CE257" s="283">
        <v>6400</v>
      </c>
      <c r="CF257" s="283">
        <v>17100</v>
      </c>
      <c r="CG257" s="283">
        <v>0</v>
      </c>
      <c r="CH257" s="283">
        <v>221</v>
      </c>
      <c r="CI257" s="283">
        <v>9800</v>
      </c>
      <c r="CJ257" s="283">
        <v>7500</v>
      </c>
      <c r="CK257" s="283">
        <f t="shared" si="27"/>
        <v>7053.5</v>
      </c>
      <c r="CL257" s="398"/>
      <c r="CM257" s="371">
        <f>Summary!$D$11</f>
        <v>495890.9464</v>
      </c>
      <c r="CN257" s="258">
        <f t="shared" si="31"/>
        <v>0</v>
      </c>
    </row>
    <row r="258" ht="15.6" spans="1:92">
      <c r="A258" s="258" t="s">
        <v>149</v>
      </c>
      <c r="B258" s="258" t="s">
        <v>812</v>
      </c>
      <c r="C258" s="258" t="s">
        <v>230</v>
      </c>
      <c r="D258" s="258" t="s">
        <v>2780</v>
      </c>
      <c r="E258" s="258" t="s">
        <v>441</v>
      </c>
      <c r="F258" s="260" t="s">
        <v>451</v>
      </c>
      <c r="G258" s="260"/>
      <c r="H258" s="283">
        <f t="shared" si="33"/>
        <v>18387.9166666667</v>
      </c>
      <c r="I258" s="360" t="s">
        <v>2652</v>
      </c>
      <c r="J258" s="258"/>
      <c r="K258" s="258"/>
      <c r="L258" s="258"/>
      <c r="M258" s="258"/>
      <c r="N258" s="258"/>
      <c r="O258" s="258"/>
      <c r="P258" s="258"/>
      <c r="Q258" s="258"/>
      <c r="R258" s="258"/>
      <c r="S258" s="258"/>
      <c r="T258" s="258"/>
      <c r="U258" s="258"/>
      <c r="V258" s="258"/>
      <c r="W258" s="258"/>
      <c r="X258" s="258"/>
      <c r="Y258" s="258"/>
      <c r="Z258" s="258"/>
      <c r="AA258" s="258"/>
      <c r="AB258" s="258"/>
      <c r="AC258" s="258"/>
      <c r="AD258" s="258"/>
      <c r="AE258" s="258"/>
      <c r="AF258" s="258"/>
      <c r="AG258" s="258"/>
      <c r="AH258" s="258"/>
      <c r="AI258" s="258"/>
      <c r="AJ258" s="367">
        <v>19824</v>
      </c>
      <c r="AK258" s="283" t="s">
        <v>2781</v>
      </c>
      <c r="AL258" s="283">
        <v>29608</v>
      </c>
      <c r="AM258" s="283" t="s">
        <v>2782</v>
      </c>
      <c r="AN258" s="283" t="s">
        <v>2783</v>
      </c>
      <c r="AO258" s="283" t="s">
        <v>2784</v>
      </c>
      <c r="AP258" s="283">
        <v>28272</v>
      </c>
      <c r="AQ258" s="283" t="s">
        <v>2785</v>
      </c>
      <c r="AR258" s="283" t="s">
        <v>2786</v>
      </c>
      <c r="AS258" s="283" t="s">
        <v>2787</v>
      </c>
      <c r="AT258" s="283" t="s">
        <v>2788</v>
      </c>
      <c r="AU258" s="283" t="s">
        <v>2789</v>
      </c>
      <c r="AV258" s="283" t="s">
        <v>2790</v>
      </c>
      <c r="AW258" s="283">
        <f t="shared" si="26"/>
        <v>24559.1666666667</v>
      </c>
      <c r="AX258" s="283"/>
      <c r="AY258" s="283"/>
      <c r="AZ258" s="283"/>
      <c r="BA258" s="283"/>
      <c r="BB258" s="283"/>
      <c r="BC258" s="283"/>
      <c r="BD258" s="283"/>
      <c r="BE258" s="283"/>
      <c r="BF258" s="283"/>
      <c r="BG258" s="283"/>
      <c r="BH258" s="283"/>
      <c r="BI258" s="283"/>
      <c r="BJ258" s="283"/>
      <c r="BK258" s="283"/>
      <c r="BL258" s="283"/>
      <c r="BM258" s="283"/>
      <c r="BN258" s="283"/>
      <c r="BO258" s="283"/>
      <c r="BP258" s="283"/>
      <c r="BQ258" s="283"/>
      <c r="BR258" s="283"/>
      <c r="BS258" s="283"/>
      <c r="BT258" s="283"/>
      <c r="BU258" s="283"/>
      <c r="BV258" s="283"/>
      <c r="BW258" s="283"/>
      <c r="BX258" s="283">
        <v>13800</v>
      </c>
      <c r="BY258" s="283">
        <v>13800</v>
      </c>
      <c r="BZ258" s="283">
        <v>22140</v>
      </c>
      <c r="CA258" s="283">
        <v>19400</v>
      </c>
      <c r="CB258" s="283">
        <v>15000</v>
      </c>
      <c r="CC258" s="283">
        <v>13500</v>
      </c>
      <c r="CD258" s="283">
        <v>10300</v>
      </c>
      <c r="CE258" s="283">
        <v>10300</v>
      </c>
      <c r="CF258" s="283">
        <v>12552.84</v>
      </c>
      <c r="CG258" s="283">
        <v>5547.56</v>
      </c>
      <c r="CH258" s="283">
        <v>7400</v>
      </c>
      <c r="CI258" s="283">
        <v>22300</v>
      </c>
      <c r="CJ258" s="283">
        <v>7100</v>
      </c>
      <c r="CK258" s="283">
        <f t="shared" si="27"/>
        <v>12216.6666666667</v>
      </c>
      <c r="CL258" s="398"/>
      <c r="CM258" s="371">
        <f>Summary!$D$5</f>
        <v>1543433.55918333</v>
      </c>
      <c r="CN258" s="258">
        <f t="shared" si="31"/>
        <v>0</v>
      </c>
    </row>
    <row r="259" ht="15.6" spans="1:92">
      <c r="A259" s="258" t="s">
        <v>149</v>
      </c>
      <c r="B259" s="258" t="s">
        <v>812</v>
      </c>
      <c r="C259" s="258" t="s">
        <v>230</v>
      </c>
      <c r="D259" s="258" t="s">
        <v>2791</v>
      </c>
      <c r="E259" s="258" t="s">
        <v>441</v>
      </c>
      <c r="F259" s="260" t="s">
        <v>60</v>
      </c>
      <c r="G259" s="260"/>
      <c r="H259" s="283">
        <f t="shared" ref="H259:H284" si="34">(AW259+CK259)/2</f>
        <v>5646.83333333333</v>
      </c>
      <c r="I259" s="360" t="s">
        <v>2652</v>
      </c>
      <c r="J259" s="258"/>
      <c r="K259" s="258"/>
      <c r="L259" s="258"/>
      <c r="M259" s="258"/>
      <c r="N259" s="258"/>
      <c r="O259" s="258"/>
      <c r="P259" s="258"/>
      <c r="Q259" s="258"/>
      <c r="R259" s="258"/>
      <c r="S259" s="258"/>
      <c r="T259" s="258"/>
      <c r="U259" s="258"/>
      <c r="V259" s="258"/>
      <c r="W259" s="258"/>
      <c r="X259" s="258"/>
      <c r="Y259" s="258"/>
      <c r="Z259" s="258"/>
      <c r="AA259" s="258"/>
      <c r="AB259" s="258"/>
      <c r="AC259" s="258"/>
      <c r="AD259" s="258"/>
      <c r="AE259" s="258"/>
      <c r="AF259" s="258"/>
      <c r="AG259" s="258"/>
      <c r="AH259" s="258"/>
      <c r="AI259" s="258"/>
      <c r="AJ259" s="367">
        <v>32674</v>
      </c>
      <c r="AK259" s="283" t="s">
        <v>2792</v>
      </c>
      <c r="AL259" s="283">
        <v>31011</v>
      </c>
      <c r="AM259" s="283" t="s">
        <v>2793</v>
      </c>
      <c r="AN259" s="283" t="s">
        <v>2794</v>
      </c>
      <c r="AO259" s="283" t="s">
        <v>2795</v>
      </c>
      <c r="AP259" s="283">
        <f>0.1774*17271*2</f>
        <v>6127.7508</v>
      </c>
      <c r="AQ259" s="283" t="s">
        <v>2796</v>
      </c>
      <c r="AR259" s="283" t="s">
        <v>2797</v>
      </c>
      <c r="AS259" s="283" t="s">
        <v>925</v>
      </c>
      <c r="AT259" s="283" t="s">
        <v>2271</v>
      </c>
      <c r="AU259" s="283" t="s">
        <v>2013</v>
      </c>
      <c r="AV259" s="283" t="s">
        <v>2798</v>
      </c>
      <c r="AW259" s="283">
        <f t="shared" ref="AW259:AW322" si="35">SUM(AV259*3+AU259*2+AT259*1)/6</f>
        <v>9860.33333333333</v>
      </c>
      <c r="AX259" s="283"/>
      <c r="AY259" s="283"/>
      <c r="AZ259" s="283"/>
      <c r="BA259" s="283"/>
      <c r="BB259" s="283"/>
      <c r="BC259" s="283"/>
      <c r="BD259" s="283"/>
      <c r="BE259" s="283"/>
      <c r="BF259" s="283"/>
      <c r="BG259" s="283"/>
      <c r="BH259" s="283"/>
      <c r="BI259" s="283"/>
      <c r="BJ259" s="283"/>
      <c r="BK259" s="283"/>
      <c r="BL259" s="283"/>
      <c r="BM259" s="283"/>
      <c r="BN259" s="283"/>
      <c r="BO259" s="283"/>
      <c r="BP259" s="283"/>
      <c r="BQ259" s="283"/>
      <c r="BR259" s="283"/>
      <c r="BS259" s="283"/>
      <c r="BT259" s="283"/>
      <c r="BU259" s="283"/>
      <c r="BV259" s="283"/>
      <c r="BW259" s="283"/>
      <c r="BX259" s="283">
        <v>58000</v>
      </c>
      <c r="BY259" s="283">
        <v>58000</v>
      </c>
      <c r="BZ259" s="283">
        <v>9000</v>
      </c>
      <c r="CA259" s="283">
        <v>6200</v>
      </c>
      <c r="CB259" s="283">
        <v>13500</v>
      </c>
      <c r="CC259" s="283">
        <v>9300</v>
      </c>
      <c r="CD259" s="283">
        <v>3200</v>
      </c>
      <c r="CE259" s="283">
        <v>37200</v>
      </c>
      <c r="CF259" s="283">
        <v>3400</v>
      </c>
      <c r="CG259" s="283">
        <v>863.28</v>
      </c>
      <c r="CH259" s="283">
        <v>1500</v>
      </c>
      <c r="CI259" s="283">
        <v>1900</v>
      </c>
      <c r="CJ259" s="283">
        <v>1100</v>
      </c>
      <c r="CK259" s="283">
        <f t="shared" ref="CK259:CK322" si="36">SUM(CJ259*3+CI259*2+CH259*1)/6</f>
        <v>1433.33333333333</v>
      </c>
      <c r="CL259" s="398"/>
      <c r="CM259" s="371">
        <f>Summary!$D$5</f>
        <v>1543433.55918333</v>
      </c>
      <c r="CN259" s="258">
        <f t="shared" ref="CN259:CN288" si="37">IF(_xlfn.IFNA(CM259,0),IF(AND(H259/CM259&gt;=0.05,B259&lt;&gt;"官网"),1,0),0)</f>
        <v>0</v>
      </c>
    </row>
    <row r="260" ht="15.6" spans="1:92">
      <c r="A260" s="258" t="s">
        <v>149</v>
      </c>
      <c r="B260" s="258" t="s">
        <v>812</v>
      </c>
      <c r="C260" s="258" t="s">
        <v>230</v>
      </c>
      <c r="D260" s="258" t="s">
        <v>1390</v>
      </c>
      <c r="E260" s="258" t="s">
        <v>441</v>
      </c>
      <c r="F260" s="260" t="s">
        <v>60</v>
      </c>
      <c r="G260" s="260"/>
      <c r="H260" s="283">
        <f t="shared" si="34"/>
        <v>67528.3333333333</v>
      </c>
      <c r="I260" s="360" t="s">
        <v>2652</v>
      </c>
      <c r="J260" s="258"/>
      <c r="K260" s="258"/>
      <c r="L260" s="258"/>
      <c r="M260" s="258"/>
      <c r="N260" s="258"/>
      <c r="O260" s="258"/>
      <c r="P260" s="258"/>
      <c r="Q260" s="258"/>
      <c r="R260" s="258"/>
      <c r="S260" s="258"/>
      <c r="T260" s="258"/>
      <c r="U260" s="258"/>
      <c r="V260" s="258"/>
      <c r="W260" s="258"/>
      <c r="X260" s="258"/>
      <c r="Y260" s="258"/>
      <c r="Z260" s="258"/>
      <c r="AA260" s="258"/>
      <c r="AB260" s="258"/>
      <c r="AC260" s="258"/>
      <c r="AD260" s="258"/>
      <c r="AE260" s="258"/>
      <c r="AF260" s="258"/>
      <c r="AG260" s="258"/>
      <c r="AH260" s="258"/>
      <c r="AI260" s="258"/>
      <c r="AJ260" s="367">
        <v>61006</v>
      </c>
      <c r="AK260" s="283" t="s">
        <v>1391</v>
      </c>
      <c r="AL260" s="283">
        <v>61705</v>
      </c>
      <c r="AM260" s="283" t="s">
        <v>1392</v>
      </c>
      <c r="AN260" s="283" t="s">
        <v>1393</v>
      </c>
      <c r="AO260" s="283" t="s">
        <v>1394</v>
      </c>
      <c r="AP260" s="283">
        <f>45982*0.1703*2</f>
        <v>15661.4692</v>
      </c>
      <c r="AQ260" s="283" t="s">
        <v>1395</v>
      </c>
      <c r="AR260" s="283" t="s">
        <v>1396</v>
      </c>
      <c r="AS260" s="283" t="s">
        <v>1397</v>
      </c>
      <c r="AT260" s="283" t="s">
        <v>1398</v>
      </c>
      <c r="AU260" s="283" t="s">
        <v>1399</v>
      </c>
      <c r="AV260" s="283" t="s">
        <v>1400</v>
      </c>
      <c r="AW260" s="283">
        <f t="shared" si="35"/>
        <v>87956.6666666667</v>
      </c>
      <c r="AX260" s="283"/>
      <c r="AY260" s="283"/>
      <c r="AZ260" s="283"/>
      <c r="BA260" s="283"/>
      <c r="BB260" s="283"/>
      <c r="BC260" s="283"/>
      <c r="BD260" s="283"/>
      <c r="BE260" s="283"/>
      <c r="BF260" s="283"/>
      <c r="BG260" s="283"/>
      <c r="BH260" s="283"/>
      <c r="BI260" s="283"/>
      <c r="BJ260" s="283"/>
      <c r="BK260" s="283"/>
      <c r="BL260" s="283"/>
      <c r="BM260" s="283"/>
      <c r="BN260" s="283"/>
      <c r="BO260" s="283"/>
      <c r="BP260" s="283"/>
      <c r="BQ260" s="283"/>
      <c r="BR260" s="283"/>
      <c r="BS260" s="283"/>
      <c r="BT260" s="283"/>
      <c r="BU260" s="283"/>
      <c r="BV260" s="283"/>
      <c r="BW260" s="283"/>
      <c r="BX260" s="283">
        <v>58000</v>
      </c>
      <c r="BY260" s="283">
        <v>58000</v>
      </c>
      <c r="BZ260" s="283">
        <v>26000</v>
      </c>
      <c r="CA260" s="283">
        <v>43100</v>
      </c>
      <c r="CB260" s="283">
        <v>34800</v>
      </c>
      <c r="CC260" s="283">
        <v>8500</v>
      </c>
      <c r="CD260" s="283">
        <v>9200</v>
      </c>
      <c r="CE260" s="283">
        <v>12800</v>
      </c>
      <c r="CF260" s="283">
        <v>8200</v>
      </c>
      <c r="CG260" s="283">
        <v>21800</v>
      </c>
      <c r="CH260" s="283">
        <v>138900</v>
      </c>
      <c r="CI260" s="283">
        <v>26100</v>
      </c>
      <c r="CJ260" s="283">
        <v>30500</v>
      </c>
      <c r="CK260" s="283">
        <f t="shared" si="36"/>
        <v>47100</v>
      </c>
      <c r="CL260" s="398"/>
      <c r="CM260" s="371">
        <f>Summary!$D$5</f>
        <v>1543433.55918333</v>
      </c>
      <c r="CN260" s="258">
        <f t="shared" si="37"/>
        <v>0</v>
      </c>
    </row>
    <row r="261" ht="15.6" spans="1:92">
      <c r="A261" s="258" t="s">
        <v>149</v>
      </c>
      <c r="B261" s="258" t="s">
        <v>812</v>
      </c>
      <c r="C261" s="258" t="s">
        <v>230</v>
      </c>
      <c r="D261" s="258" t="s">
        <v>2799</v>
      </c>
      <c r="E261" s="258" t="s">
        <v>441</v>
      </c>
      <c r="F261" s="260" t="s">
        <v>423</v>
      </c>
      <c r="G261" s="260"/>
      <c r="H261" s="283">
        <f t="shared" si="34"/>
        <v>21358.13</v>
      </c>
      <c r="I261" s="360" t="s">
        <v>2652</v>
      </c>
      <c r="J261" s="258"/>
      <c r="K261" s="258"/>
      <c r="L261" s="258"/>
      <c r="M261" s="258"/>
      <c r="N261" s="258"/>
      <c r="O261" s="258"/>
      <c r="P261" s="258"/>
      <c r="Q261" s="258"/>
      <c r="R261" s="258"/>
      <c r="S261" s="258"/>
      <c r="T261" s="258"/>
      <c r="U261" s="258"/>
      <c r="V261" s="258"/>
      <c r="W261" s="258"/>
      <c r="X261" s="258"/>
      <c r="Y261" s="258"/>
      <c r="Z261" s="258"/>
      <c r="AA261" s="258"/>
      <c r="AB261" s="258"/>
      <c r="AC261" s="258"/>
      <c r="AD261" s="258"/>
      <c r="AE261" s="258"/>
      <c r="AF261" s="258"/>
      <c r="AG261" s="258"/>
      <c r="AH261" s="258"/>
      <c r="AI261" s="258"/>
      <c r="AJ261" s="367">
        <v>28292</v>
      </c>
      <c r="AK261" s="283" t="s">
        <v>2800</v>
      </c>
      <c r="AL261" s="283">
        <v>48240</v>
      </c>
      <c r="AM261" s="283" t="s">
        <v>2801</v>
      </c>
      <c r="AN261" s="283" t="s">
        <v>2802</v>
      </c>
      <c r="AO261" s="283" t="s">
        <v>2803</v>
      </c>
      <c r="AP261" s="283">
        <f>27450*0.2344*2</f>
        <v>12868.56</v>
      </c>
      <c r="AQ261" s="283" t="s">
        <v>2804</v>
      </c>
      <c r="AR261" s="283" t="s">
        <v>2805</v>
      </c>
      <c r="AS261" s="283" t="s">
        <v>2806</v>
      </c>
      <c r="AT261" s="283" t="s">
        <v>2807</v>
      </c>
      <c r="AU261" s="283" t="s">
        <v>2808</v>
      </c>
      <c r="AV261" s="283" t="s">
        <v>2809</v>
      </c>
      <c r="AW261" s="283">
        <f t="shared" si="35"/>
        <v>30931.8333333333</v>
      </c>
      <c r="AX261" s="283"/>
      <c r="AY261" s="283"/>
      <c r="AZ261" s="283"/>
      <c r="BA261" s="283"/>
      <c r="BB261" s="283"/>
      <c r="BC261" s="283"/>
      <c r="BD261" s="283"/>
      <c r="BE261" s="283"/>
      <c r="BF261" s="283"/>
      <c r="BG261" s="283"/>
      <c r="BH261" s="283"/>
      <c r="BI261" s="283"/>
      <c r="BJ261" s="283"/>
      <c r="BK261" s="283"/>
      <c r="BL261" s="283"/>
      <c r="BM261" s="283"/>
      <c r="BN261" s="283"/>
      <c r="BO261" s="283"/>
      <c r="BP261" s="283"/>
      <c r="BQ261" s="283"/>
      <c r="BR261" s="283"/>
      <c r="BS261" s="283"/>
      <c r="BT261" s="283"/>
      <c r="BU261" s="283"/>
      <c r="BV261" s="283"/>
      <c r="BW261" s="283"/>
      <c r="BX261" s="283">
        <v>6900</v>
      </c>
      <c r="BY261" s="283">
        <v>6900</v>
      </c>
      <c r="BZ261" s="283">
        <v>1300</v>
      </c>
      <c r="CA261" s="283">
        <v>4500</v>
      </c>
      <c r="CB261" s="283">
        <v>7462</v>
      </c>
      <c r="CC261" s="283">
        <v>7676.08</v>
      </c>
      <c r="CD261" s="283">
        <v>988</v>
      </c>
      <c r="CE261" s="283">
        <v>988</v>
      </c>
      <c r="CF261" s="283">
        <v>8100</v>
      </c>
      <c r="CG261" s="283">
        <v>12300</v>
      </c>
      <c r="CH261" s="283">
        <v>8500</v>
      </c>
      <c r="CI261" s="283">
        <v>10253.28</v>
      </c>
      <c r="CJ261" s="283">
        <v>13900</v>
      </c>
      <c r="CK261" s="283">
        <f t="shared" si="36"/>
        <v>11784.4266666667</v>
      </c>
      <c r="CL261" s="398"/>
      <c r="CM261" s="371">
        <f>Summary!$D$5</f>
        <v>1543433.55918333</v>
      </c>
      <c r="CN261" s="258">
        <f t="shared" si="37"/>
        <v>0</v>
      </c>
    </row>
    <row r="262" ht="15.6" spans="1:92">
      <c r="A262" s="258" t="s">
        <v>159</v>
      </c>
      <c r="B262" s="258" t="s">
        <v>812</v>
      </c>
      <c r="C262" s="258" t="s">
        <v>243</v>
      </c>
      <c r="D262" s="258" t="s">
        <v>2810</v>
      </c>
      <c r="E262" s="258" t="s">
        <v>441</v>
      </c>
      <c r="F262" s="260" t="s">
        <v>60</v>
      </c>
      <c r="G262" s="260"/>
      <c r="H262" s="283">
        <f t="shared" si="34"/>
        <v>4019.16666666667</v>
      </c>
      <c r="I262" s="360" t="s">
        <v>2771</v>
      </c>
      <c r="J262" s="258"/>
      <c r="K262" s="258"/>
      <c r="L262" s="258"/>
      <c r="M262" s="258"/>
      <c r="N262" s="258"/>
      <c r="O262" s="258"/>
      <c r="P262" s="258"/>
      <c r="Q262" s="258"/>
      <c r="R262" s="258"/>
      <c r="S262" s="258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367">
        <v>13791</v>
      </c>
      <c r="AK262" s="283" t="s">
        <v>2811</v>
      </c>
      <c r="AL262" s="283">
        <v>20095</v>
      </c>
      <c r="AM262" s="283" t="s">
        <v>2812</v>
      </c>
      <c r="AN262" s="283" t="s">
        <v>2813</v>
      </c>
      <c r="AO262" s="283" t="s">
        <v>2814</v>
      </c>
      <c r="AP262" s="283">
        <v>5000</v>
      </c>
      <c r="AQ262" s="283" t="s">
        <v>2815</v>
      </c>
      <c r="AR262" s="283" t="s">
        <v>2816</v>
      </c>
      <c r="AS262" s="283" t="s">
        <v>2817</v>
      </c>
      <c r="AT262" s="283" t="s">
        <v>2818</v>
      </c>
      <c r="AU262" s="283" t="s">
        <v>2819</v>
      </c>
      <c r="AV262" s="283" t="s">
        <v>2820</v>
      </c>
      <c r="AW262" s="283">
        <f t="shared" si="35"/>
        <v>4005</v>
      </c>
      <c r="AX262" s="283"/>
      <c r="AY262" s="283"/>
      <c r="AZ262" s="283"/>
      <c r="BA262" s="283"/>
      <c r="BB262" s="283"/>
      <c r="BC262" s="283"/>
      <c r="BD262" s="283"/>
      <c r="BE262" s="283"/>
      <c r="BF262" s="283"/>
      <c r="BG262" s="283"/>
      <c r="BH262" s="283"/>
      <c r="BI262" s="283"/>
      <c r="BJ262" s="283"/>
      <c r="BK262" s="283"/>
      <c r="BL262" s="283"/>
      <c r="BM262" s="283"/>
      <c r="BN262" s="283"/>
      <c r="BO262" s="283"/>
      <c r="BP262" s="283"/>
      <c r="BQ262" s="283"/>
      <c r="BR262" s="283"/>
      <c r="BS262" s="283"/>
      <c r="BT262" s="283"/>
      <c r="BU262" s="283"/>
      <c r="BV262" s="283"/>
      <c r="BW262" s="283"/>
      <c r="BX262" s="283">
        <v>4900</v>
      </c>
      <c r="BY262" s="283">
        <v>16500</v>
      </c>
      <c r="BZ262" s="283">
        <v>29800</v>
      </c>
      <c r="CA262" s="283">
        <v>18700</v>
      </c>
      <c r="CB262" s="283">
        <v>0</v>
      </c>
      <c r="CC262" s="283">
        <v>2900</v>
      </c>
      <c r="CD262" s="283">
        <v>1500</v>
      </c>
      <c r="CE262" s="283">
        <v>1500</v>
      </c>
      <c r="CF262" s="283">
        <v>89400</v>
      </c>
      <c r="CG262" s="283">
        <v>15300</v>
      </c>
      <c r="CH262" s="283">
        <v>4700</v>
      </c>
      <c r="CI262" s="283">
        <v>8100</v>
      </c>
      <c r="CJ262" s="283">
        <v>1100</v>
      </c>
      <c r="CK262" s="283">
        <f t="shared" si="36"/>
        <v>4033.33333333333</v>
      </c>
      <c r="CL262" s="398"/>
      <c r="CM262" s="371">
        <f>Summary!$D$8</f>
        <v>724303.229333334</v>
      </c>
      <c r="CN262" s="258">
        <f t="shared" si="37"/>
        <v>0</v>
      </c>
    </row>
    <row r="263" ht="15.6" spans="1:92">
      <c r="A263" s="258" t="s">
        <v>159</v>
      </c>
      <c r="B263" s="258" t="s">
        <v>812</v>
      </c>
      <c r="C263" s="258" t="s">
        <v>243</v>
      </c>
      <c r="D263" s="258" t="s">
        <v>2821</v>
      </c>
      <c r="E263" s="258" t="s">
        <v>441</v>
      </c>
      <c r="F263" s="260" t="s">
        <v>266</v>
      </c>
      <c r="G263" s="260"/>
      <c r="H263" s="283">
        <f t="shared" si="34"/>
        <v>1978.63833333333</v>
      </c>
      <c r="I263" s="360" t="s">
        <v>2652</v>
      </c>
      <c r="J263" s="258"/>
      <c r="K263" s="258"/>
      <c r="L263" s="258"/>
      <c r="M263" s="258"/>
      <c r="N263" s="258"/>
      <c r="O263" s="258"/>
      <c r="P263" s="258"/>
      <c r="Q263" s="258"/>
      <c r="R263" s="258"/>
      <c r="S263" s="258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367">
        <v>14421</v>
      </c>
      <c r="AK263" s="283" t="s">
        <v>2605</v>
      </c>
      <c r="AL263" s="283">
        <v>24302</v>
      </c>
      <c r="AM263" s="283" t="s">
        <v>2822</v>
      </c>
      <c r="AN263" s="283" t="s">
        <v>2823</v>
      </c>
      <c r="AO263" s="283" t="s">
        <v>2824</v>
      </c>
      <c r="AP263" s="283">
        <f>32547*0.1847*2</f>
        <v>12022.8618</v>
      </c>
      <c r="AQ263" s="283" t="s">
        <v>2825</v>
      </c>
      <c r="AR263" s="283" t="s">
        <v>2826</v>
      </c>
      <c r="AS263" s="283" t="s">
        <v>2827</v>
      </c>
      <c r="AT263" s="283" t="s">
        <v>796</v>
      </c>
      <c r="AU263" s="283" t="s">
        <v>2828</v>
      </c>
      <c r="AV263" s="283" t="s">
        <v>2829</v>
      </c>
      <c r="AW263" s="283">
        <f t="shared" si="35"/>
        <v>91.1666666666667</v>
      </c>
      <c r="AX263" s="283"/>
      <c r="AY263" s="283"/>
      <c r="AZ263" s="283"/>
      <c r="BA263" s="283"/>
      <c r="BB263" s="283"/>
      <c r="BC263" s="283"/>
      <c r="BD263" s="283"/>
      <c r="BE263" s="283"/>
      <c r="BF263" s="283"/>
      <c r="BG263" s="283"/>
      <c r="BH263" s="283"/>
      <c r="BI263" s="283"/>
      <c r="BJ263" s="283"/>
      <c r="BK263" s="283"/>
      <c r="BL263" s="283"/>
      <c r="BM263" s="283"/>
      <c r="BN263" s="283"/>
      <c r="BO263" s="283"/>
      <c r="BP263" s="283"/>
      <c r="BQ263" s="283"/>
      <c r="BR263" s="283"/>
      <c r="BS263" s="283"/>
      <c r="BT263" s="283"/>
      <c r="BU263" s="283"/>
      <c r="BV263" s="283"/>
      <c r="BW263" s="283"/>
      <c r="BX263" s="283">
        <v>8400</v>
      </c>
      <c r="BY263" s="283">
        <v>16700</v>
      </c>
      <c r="BZ263" s="283">
        <v>33751</v>
      </c>
      <c r="CA263" s="283">
        <v>20900</v>
      </c>
      <c r="CB263" s="283">
        <v>15800</v>
      </c>
      <c r="CC263" s="283">
        <v>41300</v>
      </c>
      <c r="CD263" s="283">
        <v>9700</v>
      </c>
      <c r="CE263" s="283">
        <v>9700</v>
      </c>
      <c r="CF263" s="283">
        <v>22500</v>
      </c>
      <c r="CG263" s="283">
        <v>0</v>
      </c>
      <c r="CH263" s="283">
        <v>5200</v>
      </c>
      <c r="CI263" s="283">
        <v>7361.2</v>
      </c>
      <c r="CJ263" s="283">
        <v>1091.42</v>
      </c>
      <c r="CK263" s="283">
        <f t="shared" si="36"/>
        <v>3866.11</v>
      </c>
      <c r="CL263" s="398"/>
      <c r="CM263" s="371">
        <f>Summary!$D$8</f>
        <v>724303.229333334</v>
      </c>
      <c r="CN263" s="258">
        <f t="shared" si="37"/>
        <v>0</v>
      </c>
    </row>
    <row r="264" ht="15.6" spans="1:92">
      <c r="A264" s="258" t="s">
        <v>159</v>
      </c>
      <c r="B264" s="258" t="s">
        <v>812</v>
      </c>
      <c r="C264" s="258" t="s">
        <v>230</v>
      </c>
      <c r="D264" s="258" t="s">
        <v>2830</v>
      </c>
      <c r="E264" s="258" t="s">
        <v>233</v>
      </c>
      <c r="F264" s="260" t="s">
        <v>424</v>
      </c>
      <c r="G264" s="260"/>
      <c r="H264" s="283">
        <f t="shared" si="34"/>
        <v>8221.83333333335</v>
      </c>
      <c r="I264" s="360" t="s">
        <v>2652</v>
      </c>
      <c r="J264" s="258"/>
      <c r="K264" s="258"/>
      <c r="L264" s="258"/>
      <c r="M264" s="258"/>
      <c r="N264" s="258"/>
      <c r="O264" s="258"/>
      <c r="P264" s="258"/>
      <c r="Q264" s="258"/>
      <c r="R264" s="258"/>
      <c r="S264" s="258"/>
      <c r="T264" s="258"/>
      <c r="U264" s="258"/>
      <c r="V264" s="258"/>
      <c r="W264" s="258"/>
      <c r="X264" s="258"/>
      <c r="Y264" s="258"/>
      <c r="Z264" s="258"/>
      <c r="AA264" s="258"/>
      <c r="AB264" s="258"/>
      <c r="AC264" s="258"/>
      <c r="AD264" s="258"/>
      <c r="AE264" s="258"/>
      <c r="AF264" s="258"/>
      <c r="AG264" s="258"/>
      <c r="AH264" s="258"/>
      <c r="AI264" s="258"/>
      <c r="AJ264" s="367">
        <v>10919</v>
      </c>
      <c r="AK264" s="283" t="s">
        <v>2831</v>
      </c>
      <c r="AL264" s="283">
        <v>19173</v>
      </c>
      <c r="AM264" s="283" t="s">
        <v>2832</v>
      </c>
      <c r="AN264" s="283" t="s">
        <v>2833</v>
      </c>
      <c r="AO264" s="283" t="s">
        <v>2834</v>
      </c>
      <c r="AP264" s="283">
        <f>20329*0.2086*2</f>
        <v>8481.2588</v>
      </c>
      <c r="AQ264" s="283" t="s">
        <v>2835</v>
      </c>
      <c r="AR264" s="283" t="s">
        <v>2836</v>
      </c>
      <c r="AS264" s="283" t="s">
        <v>2837</v>
      </c>
      <c r="AT264" s="283" t="s">
        <v>2838</v>
      </c>
      <c r="AU264" s="283" t="s">
        <v>2839</v>
      </c>
      <c r="AV264" s="283" t="s">
        <v>2840</v>
      </c>
      <c r="AW264" s="283">
        <f t="shared" si="35"/>
        <v>12960.1666666667</v>
      </c>
      <c r="AX264" s="283"/>
      <c r="AY264" s="283"/>
      <c r="AZ264" s="283"/>
      <c r="BA264" s="283"/>
      <c r="BB264" s="283"/>
      <c r="BC264" s="283"/>
      <c r="BD264" s="283"/>
      <c r="BE264" s="283"/>
      <c r="BF264" s="283"/>
      <c r="BG264" s="283"/>
      <c r="BH264" s="283"/>
      <c r="BI264" s="283"/>
      <c r="BJ264" s="283"/>
      <c r="BK264" s="283"/>
      <c r="BL264" s="283"/>
      <c r="BM264" s="283"/>
      <c r="BN264" s="283"/>
      <c r="BO264" s="283"/>
      <c r="BP264" s="283"/>
      <c r="BQ264" s="283"/>
      <c r="BR264" s="283"/>
      <c r="BS264" s="283"/>
      <c r="BT264" s="283"/>
      <c r="BU264" s="283"/>
      <c r="BV264" s="283"/>
      <c r="BW264" s="283"/>
      <c r="BX264" s="283">
        <v>4600</v>
      </c>
      <c r="BY264" s="283">
        <v>4600</v>
      </c>
      <c r="BZ264" s="283">
        <v>53100</v>
      </c>
      <c r="CA264" s="283">
        <v>19600</v>
      </c>
      <c r="CB264" s="283">
        <v>8300</v>
      </c>
      <c r="CC264" s="283">
        <v>7100</v>
      </c>
      <c r="CD264" s="283">
        <v>1700</v>
      </c>
      <c r="CE264" s="283">
        <v>1700</v>
      </c>
      <c r="CF264" s="283">
        <v>13300</v>
      </c>
      <c r="CG264" s="283">
        <v>5200</v>
      </c>
      <c r="CH264" s="283">
        <v>501</v>
      </c>
      <c r="CI264" s="283">
        <v>6000</v>
      </c>
      <c r="CJ264" s="283">
        <v>2800</v>
      </c>
      <c r="CK264" s="283">
        <f t="shared" si="36"/>
        <v>3483.5</v>
      </c>
      <c r="CL264" s="398"/>
      <c r="CM264" s="371">
        <f>Summary!$D$8</f>
        <v>724303.229333334</v>
      </c>
      <c r="CN264" s="258">
        <f t="shared" si="37"/>
        <v>0</v>
      </c>
    </row>
    <row r="265" ht="15.6" spans="1:92">
      <c r="A265" s="258" t="s">
        <v>165</v>
      </c>
      <c r="B265" s="258" t="s">
        <v>812</v>
      </c>
      <c r="C265" s="258" t="s">
        <v>230</v>
      </c>
      <c r="D265" s="258" t="s">
        <v>296</v>
      </c>
      <c r="E265" s="258" t="s">
        <v>233</v>
      </c>
      <c r="F265" s="260" t="s">
        <v>423</v>
      </c>
      <c r="G265" s="260"/>
      <c r="H265" s="283">
        <f t="shared" si="34"/>
        <v>24690</v>
      </c>
      <c r="I265" s="360" t="s">
        <v>2841</v>
      </c>
      <c r="J265" s="258"/>
      <c r="K265" s="258"/>
      <c r="L265" s="258"/>
      <c r="M265" s="258"/>
      <c r="N265" s="258"/>
      <c r="O265" s="258"/>
      <c r="P265" s="258"/>
      <c r="Q265" s="258"/>
      <c r="R265" s="258"/>
      <c r="S265" s="258"/>
      <c r="T265" s="258"/>
      <c r="U265" s="258"/>
      <c r="V265" s="258"/>
      <c r="W265" s="258"/>
      <c r="X265" s="258"/>
      <c r="Y265" s="258"/>
      <c r="Z265" s="258"/>
      <c r="AA265" s="258"/>
      <c r="AB265" s="258"/>
      <c r="AC265" s="258"/>
      <c r="AD265" s="258"/>
      <c r="AE265" s="258"/>
      <c r="AF265" s="258"/>
      <c r="AG265" s="258"/>
      <c r="AH265" s="258"/>
      <c r="AI265" s="258"/>
      <c r="AJ265" s="367">
        <v>30019</v>
      </c>
      <c r="AK265" s="283" t="s">
        <v>2842</v>
      </c>
      <c r="AL265" s="283">
        <v>25929</v>
      </c>
      <c r="AM265" s="283" t="s">
        <v>2843</v>
      </c>
      <c r="AN265" s="283" t="s">
        <v>2844</v>
      </c>
      <c r="AO265" s="283" t="s">
        <v>2845</v>
      </c>
      <c r="AP265" s="283">
        <f>37063*0.1101*2</f>
        <v>8161.2726</v>
      </c>
      <c r="AQ265" s="283" t="s">
        <v>2846</v>
      </c>
      <c r="AR265" s="283" t="s">
        <v>2847</v>
      </c>
      <c r="AS265" s="283" t="s">
        <v>2848</v>
      </c>
      <c r="AT265" s="283" t="s">
        <v>2849</v>
      </c>
      <c r="AU265" s="283" t="s">
        <v>2850</v>
      </c>
      <c r="AV265" s="283" t="s">
        <v>2851</v>
      </c>
      <c r="AW265" s="283">
        <f t="shared" si="35"/>
        <v>48940.3333333333</v>
      </c>
      <c r="AX265" s="283"/>
      <c r="AY265" s="283"/>
      <c r="AZ265" s="283"/>
      <c r="BA265" s="283"/>
      <c r="BB265" s="283"/>
      <c r="BC265" s="283"/>
      <c r="BD265" s="283"/>
      <c r="BE265" s="283"/>
      <c r="BF265" s="283"/>
      <c r="BG265" s="283"/>
      <c r="BH265" s="283"/>
      <c r="BI265" s="283"/>
      <c r="BJ265" s="283"/>
      <c r="BK265" s="283"/>
      <c r="BL265" s="283"/>
      <c r="BM265" s="283"/>
      <c r="BN265" s="283"/>
      <c r="BO265" s="283"/>
      <c r="BP265" s="283"/>
      <c r="BQ265" s="283"/>
      <c r="BR265" s="283"/>
      <c r="BS265" s="283"/>
      <c r="BT265" s="283"/>
      <c r="BU265" s="283"/>
      <c r="BV265" s="283"/>
      <c r="BW265" s="283"/>
      <c r="BX265" s="283">
        <v>10200</v>
      </c>
      <c r="BY265" s="283">
        <v>10200</v>
      </c>
      <c r="BZ265" s="283">
        <v>5000</v>
      </c>
      <c r="CA265" s="283">
        <v>5000</v>
      </c>
      <c r="CB265" s="283">
        <v>0</v>
      </c>
      <c r="CC265" s="283">
        <v>148000</v>
      </c>
      <c r="CD265" s="283">
        <v>42900</v>
      </c>
      <c r="CE265" s="283">
        <v>42900</v>
      </c>
      <c r="CF265" s="283">
        <v>0</v>
      </c>
      <c r="CG265" s="283">
        <v>17000</v>
      </c>
      <c r="CH265" s="283">
        <v>1000</v>
      </c>
      <c r="CI265" s="283">
        <v>0</v>
      </c>
      <c r="CJ265" s="283">
        <v>546</v>
      </c>
      <c r="CK265" s="283">
        <f t="shared" si="36"/>
        <v>439.666666666667</v>
      </c>
      <c r="CL265" s="398"/>
      <c r="CM265" s="371">
        <f>Summary!$D$10</f>
        <v>496999.618566666</v>
      </c>
      <c r="CN265" s="258">
        <f t="shared" si="37"/>
        <v>0</v>
      </c>
    </row>
    <row r="266" ht="15.6" spans="1:92">
      <c r="A266" s="258" t="s">
        <v>165</v>
      </c>
      <c r="B266" s="258" t="s">
        <v>812</v>
      </c>
      <c r="C266" s="258" t="s">
        <v>230</v>
      </c>
      <c r="D266" s="258" t="s">
        <v>2852</v>
      </c>
      <c r="E266" s="258" t="s">
        <v>233</v>
      </c>
      <c r="F266" s="260" t="s">
        <v>58</v>
      </c>
      <c r="G266" s="260"/>
      <c r="H266" s="283">
        <f t="shared" si="34"/>
        <v>16788.7433333334</v>
      </c>
      <c r="I266" s="360" t="s">
        <v>2853</v>
      </c>
      <c r="J266" s="258"/>
      <c r="K266" s="258"/>
      <c r="L266" s="258"/>
      <c r="M266" s="258"/>
      <c r="N266" s="258"/>
      <c r="O266" s="258"/>
      <c r="P266" s="258"/>
      <c r="Q266" s="258"/>
      <c r="R266" s="258"/>
      <c r="S266" s="258"/>
      <c r="T266" s="258"/>
      <c r="U266" s="258"/>
      <c r="V266" s="258"/>
      <c r="W266" s="258"/>
      <c r="X266" s="258"/>
      <c r="Y266" s="258"/>
      <c r="Z266" s="258"/>
      <c r="AA266" s="258"/>
      <c r="AB266" s="258"/>
      <c r="AC266" s="258"/>
      <c r="AD266" s="258"/>
      <c r="AE266" s="258"/>
      <c r="AF266" s="258"/>
      <c r="AG266" s="258"/>
      <c r="AH266" s="258"/>
      <c r="AI266" s="258"/>
      <c r="AJ266" s="367">
        <v>14352</v>
      </c>
      <c r="AK266" s="283" t="s">
        <v>2854</v>
      </c>
      <c r="AL266" s="283">
        <v>8146</v>
      </c>
      <c r="AM266" s="283" t="s">
        <v>2855</v>
      </c>
      <c r="AN266" s="283" t="s">
        <v>2856</v>
      </c>
      <c r="AO266" s="283" t="s">
        <v>2857</v>
      </c>
      <c r="AP266" s="283">
        <f>12129*0.2807*2</f>
        <v>6809.2206</v>
      </c>
      <c r="AQ266" s="283" t="s">
        <v>2858</v>
      </c>
      <c r="AR266" s="283" t="s">
        <v>2859</v>
      </c>
      <c r="AS266" s="283" t="s">
        <v>2860</v>
      </c>
      <c r="AT266" s="283" t="s">
        <v>2861</v>
      </c>
      <c r="AU266" s="283" t="s">
        <v>2862</v>
      </c>
      <c r="AV266" s="283" t="s">
        <v>2863</v>
      </c>
      <c r="AW266" s="283">
        <f t="shared" si="35"/>
        <v>16045.1666666667</v>
      </c>
      <c r="AX266" s="283"/>
      <c r="AY266" s="283"/>
      <c r="AZ266" s="283"/>
      <c r="BA266" s="283"/>
      <c r="BB266" s="283"/>
      <c r="BC266" s="283"/>
      <c r="BD266" s="283"/>
      <c r="BE266" s="283"/>
      <c r="BF266" s="283"/>
      <c r="BG266" s="283"/>
      <c r="BH266" s="283"/>
      <c r="BI266" s="283"/>
      <c r="BJ266" s="283"/>
      <c r="BK266" s="283"/>
      <c r="BL266" s="283"/>
      <c r="BM266" s="283"/>
      <c r="BN266" s="283"/>
      <c r="BO266" s="283"/>
      <c r="BP266" s="283"/>
      <c r="BQ266" s="283"/>
      <c r="BR266" s="283"/>
      <c r="BS266" s="283"/>
      <c r="BT266" s="283"/>
      <c r="BU266" s="283"/>
      <c r="BV266" s="283"/>
      <c r="BW266" s="283"/>
      <c r="BX266" s="283">
        <v>5300</v>
      </c>
      <c r="BY266" s="283">
        <v>34300</v>
      </c>
      <c r="BZ266" s="283">
        <v>43100</v>
      </c>
      <c r="CA266" s="283">
        <f>29400*0.1129*2</f>
        <v>6638.52</v>
      </c>
      <c r="CB266" s="283">
        <v>0</v>
      </c>
      <c r="CC266" s="283">
        <v>52300</v>
      </c>
      <c r="CD266" s="283">
        <v>8700</v>
      </c>
      <c r="CE266" s="283">
        <v>8700</v>
      </c>
      <c r="CF266" s="283">
        <v>29800</v>
      </c>
      <c r="CG266" s="283">
        <v>7800</v>
      </c>
      <c r="CH266" s="283">
        <v>3200</v>
      </c>
      <c r="CI266" s="283">
        <f>41200*0.1729*2</f>
        <v>14246.96</v>
      </c>
      <c r="CJ266" s="283">
        <v>24500</v>
      </c>
      <c r="CK266" s="283">
        <f t="shared" si="36"/>
        <v>17532.32</v>
      </c>
      <c r="CL266" s="398"/>
      <c r="CM266" s="371">
        <f>Summary!$D$10</f>
        <v>496999.618566666</v>
      </c>
      <c r="CN266" s="258">
        <f t="shared" si="37"/>
        <v>0</v>
      </c>
    </row>
    <row r="267" ht="15.6" spans="1:92">
      <c r="A267" s="258" t="s">
        <v>165</v>
      </c>
      <c r="B267" s="258" t="s">
        <v>812</v>
      </c>
      <c r="C267" s="258" t="s">
        <v>243</v>
      </c>
      <c r="D267" s="258" t="s">
        <v>2864</v>
      </c>
      <c r="E267" s="258" t="s">
        <v>441</v>
      </c>
      <c r="F267" s="260" t="s">
        <v>266</v>
      </c>
      <c r="G267" s="260"/>
      <c r="H267" s="283">
        <f>AW267</f>
        <v>411.666666666667</v>
      </c>
      <c r="I267" s="360" t="s">
        <v>2865</v>
      </c>
      <c r="J267" s="258"/>
      <c r="K267" s="258"/>
      <c r="L267" s="258"/>
      <c r="M267" s="258"/>
      <c r="N267" s="258"/>
      <c r="O267" s="258"/>
      <c r="P267" s="258"/>
      <c r="Q267" s="258"/>
      <c r="R267" s="258"/>
      <c r="S267" s="258"/>
      <c r="T267" s="258"/>
      <c r="U267" s="258"/>
      <c r="V267" s="258"/>
      <c r="W267" s="258"/>
      <c r="X267" s="258"/>
      <c r="Y267" s="258"/>
      <c r="Z267" s="258"/>
      <c r="AA267" s="258"/>
      <c r="AB267" s="258"/>
      <c r="AC267" s="258"/>
      <c r="AD267" s="258"/>
      <c r="AE267" s="258"/>
      <c r="AF267" s="258"/>
      <c r="AG267" s="258"/>
      <c r="AH267" s="258"/>
      <c r="AI267" s="258"/>
      <c r="AJ267" s="367">
        <v>1398</v>
      </c>
      <c r="AK267" s="283" t="s">
        <v>2866</v>
      </c>
      <c r="AL267" s="283">
        <v>0</v>
      </c>
      <c r="AM267" s="283" t="s">
        <v>2867</v>
      </c>
      <c r="AN267" s="283" t="s">
        <v>2868</v>
      </c>
      <c r="AO267" s="283" t="s">
        <v>2778</v>
      </c>
      <c r="AP267" s="283">
        <v>0</v>
      </c>
      <c r="AQ267" s="283" t="s">
        <v>796</v>
      </c>
      <c r="AR267" s="283" t="s">
        <v>2869</v>
      </c>
      <c r="AS267" s="283" t="s">
        <v>2870</v>
      </c>
      <c r="AT267" s="283" t="s">
        <v>796</v>
      </c>
      <c r="AU267" s="283" t="s">
        <v>2871</v>
      </c>
      <c r="AV267" s="283" t="s">
        <v>796</v>
      </c>
      <c r="AW267" s="283">
        <f t="shared" si="35"/>
        <v>411.666666666667</v>
      </c>
      <c r="AX267" s="283"/>
      <c r="AY267" s="283"/>
      <c r="AZ267" s="283"/>
      <c r="BA267" s="283"/>
      <c r="BB267" s="283"/>
      <c r="BC267" s="283"/>
      <c r="BD267" s="283"/>
      <c r="BE267" s="283"/>
      <c r="BF267" s="283"/>
      <c r="BG267" s="283"/>
      <c r="BH267" s="283"/>
      <c r="BI267" s="283"/>
      <c r="BJ267" s="283"/>
      <c r="BK267" s="283"/>
      <c r="BL267" s="283"/>
      <c r="BM267" s="283"/>
      <c r="BN267" s="283"/>
      <c r="BO267" s="283"/>
      <c r="BP267" s="283"/>
      <c r="BQ267" s="283"/>
      <c r="BR267" s="283"/>
      <c r="BS267" s="283"/>
      <c r="BT267" s="283"/>
      <c r="BU267" s="283"/>
      <c r="BV267" s="283"/>
      <c r="BW267" s="283"/>
      <c r="BX267" s="283">
        <v>2200</v>
      </c>
      <c r="BY267" s="283">
        <v>2200</v>
      </c>
      <c r="BZ267" s="283">
        <v>30200</v>
      </c>
      <c r="CA267" s="283">
        <v>3900</v>
      </c>
      <c r="CB267" s="283">
        <v>0</v>
      </c>
      <c r="CC267" s="283">
        <v>18000</v>
      </c>
      <c r="CD267" s="283">
        <v>988</v>
      </c>
      <c r="CE267" s="283">
        <v>988</v>
      </c>
      <c r="CF267" s="283">
        <v>1600</v>
      </c>
      <c r="CG267" s="283">
        <v>518</v>
      </c>
      <c r="CH267" s="283">
        <v>0</v>
      </c>
      <c r="CI267" s="283">
        <v>0</v>
      </c>
      <c r="CJ267" s="283">
        <v>14900</v>
      </c>
      <c r="CK267" s="283">
        <f t="shared" si="36"/>
        <v>7450</v>
      </c>
      <c r="CL267" s="398"/>
      <c r="CM267" s="371">
        <f>Summary!$D$10</f>
        <v>496999.618566666</v>
      </c>
      <c r="CN267" s="258">
        <f t="shared" si="37"/>
        <v>0</v>
      </c>
    </row>
    <row r="268" ht="15.6" spans="1:92">
      <c r="A268" s="258" t="s">
        <v>165</v>
      </c>
      <c r="B268" s="258" t="s">
        <v>812</v>
      </c>
      <c r="C268" s="258" t="s">
        <v>243</v>
      </c>
      <c r="D268" s="258" t="s">
        <v>2872</v>
      </c>
      <c r="E268" s="258" t="s">
        <v>441</v>
      </c>
      <c r="F268" s="260" t="s">
        <v>424</v>
      </c>
      <c r="G268" s="260"/>
      <c r="H268" s="283">
        <f t="shared" si="34"/>
        <v>11005.8333333333</v>
      </c>
      <c r="I268" s="360" t="s">
        <v>2652</v>
      </c>
      <c r="J268" s="258"/>
      <c r="K268" s="258"/>
      <c r="L268" s="258"/>
      <c r="M268" s="258"/>
      <c r="N268" s="258"/>
      <c r="O268" s="258"/>
      <c r="P268" s="258"/>
      <c r="Q268" s="258"/>
      <c r="R268" s="258"/>
      <c r="S268" s="258"/>
      <c r="T268" s="258"/>
      <c r="U268" s="258"/>
      <c r="V268" s="258"/>
      <c r="W268" s="258"/>
      <c r="X268" s="258"/>
      <c r="Y268" s="258"/>
      <c r="Z268" s="258"/>
      <c r="AA268" s="258"/>
      <c r="AB268" s="258"/>
      <c r="AC268" s="258"/>
      <c r="AD268" s="258"/>
      <c r="AE268" s="258"/>
      <c r="AF268" s="258"/>
      <c r="AG268" s="258"/>
      <c r="AH268" s="258"/>
      <c r="AI268" s="258"/>
      <c r="AJ268" s="367">
        <v>6080</v>
      </c>
      <c r="AK268" s="283" t="s">
        <v>2873</v>
      </c>
      <c r="AL268" s="283">
        <v>629</v>
      </c>
      <c r="AM268" s="283" t="s">
        <v>2874</v>
      </c>
      <c r="AN268" s="283" t="s">
        <v>2875</v>
      </c>
      <c r="AO268" s="283" t="s">
        <v>2876</v>
      </c>
      <c r="AP268" s="283">
        <v>5000</v>
      </c>
      <c r="AQ268" s="283" t="s">
        <v>2877</v>
      </c>
      <c r="AR268" s="283" t="s">
        <v>2878</v>
      </c>
      <c r="AS268" s="283" t="s">
        <v>2879</v>
      </c>
      <c r="AT268" s="283" t="s">
        <v>2880</v>
      </c>
      <c r="AU268" s="283" t="s">
        <v>796</v>
      </c>
      <c r="AV268" s="283" t="s">
        <v>2881</v>
      </c>
      <c r="AW268" s="283">
        <f t="shared" si="35"/>
        <v>259.5</v>
      </c>
      <c r="AX268" s="283"/>
      <c r="AY268" s="283"/>
      <c r="AZ268" s="283"/>
      <c r="BA268" s="283"/>
      <c r="BB268" s="283"/>
      <c r="BC268" s="283"/>
      <c r="BD268" s="283"/>
      <c r="BE268" s="283"/>
      <c r="BF268" s="283"/>
      <c r="BG268" s="283"/>
      <c r="BH268" s="283"/>
      <c r="BI268" s="283"/>
      <c r="BJ268" s="283"/>
      <c r="BK268" s="283"/>
      <c r="BL268" s="283"/>
      <c r="BM268" s="283"/>
      <c r="BN268" s="283"/>
      <c r="BO268" s="283"/>
      <c r="BP268" s="283"/>
      <c r="BQ268" s="283"/>
      <c r="BR268" s="283"/>
      <c r="BS268" s="283"/>
      <c r="BT268" s="283"/>
      <c r="BU268" s="283"/>
      <c r="BV268" s="283"/>
      <c r="BW268" s="283"/>
      <c r="BX268" s="283">
        <v>25900</v>
      </c>
      <c r="BY268" s="283">
        <v>31900</v>
      </c>
      <c r="BZ268" s="283">
        <v>34500</v>
      </c>
      <c r="CA268" s="283">
        <v>30700</v>
      </c>
      <c r="CB268" s="283">
        <v>21000</v>
      </c>
      <c r="CC268" s="283">
        <v>12000</v>
      </c>
      <c r="CD268" s="283">
        <v>494</v>
      </c>
      <c r="CE268" s="283">
        <v>494</v>
      </c>
      <c r="CF268" s="283">
        <v>6300</v>
      </c>
      <c r="CG268" s="283">
        <v>1300</v>
      </c>
      <c r="CH268" s="283">
        <v>513</v>
      </c>
      <c r="CI268" s="283">
        <v>44600</v>
      </c>
      <c r="CJ268" s="283">
        <v>13600</v>
      </c>
      <c r="CK268" s="283">
        <f t="shared" si="36"/>
        <v>21752.1666666667</v>
      </c>
      <c r="CL268" s="398"/>
      <c r="CM268" s="371">
        <f>Summary!$D$10</f>
        <v>496999.618566666</v>
      </c>
      <c r="CN268" s="258">
        <f t="shared" si="37"/>
        <v>0</v>
      </c>
    </row>
    <row r="269" ht="15.6" spans="1:92">
      <c r="A269" s="258" t="s">
        <v>165</v>
      </c>
      <c r="B269" s="258" t="s">
        <v>812</v>
      </c>
      <c r="C269" s="258" t="s">
        <v>243</v>
      </c>
      <c r="D269" s="258" t="s">
        <v>2882</v>
      </c>
      <c r="E269" s="258" t="s">
        <v>441</v>
      </c>
      <c r="F269" s="260" t="s">
        <v>49</v>
      </c>
      <c r="G269" s="260"/>
      <c r="H269" s="283">
        <f t="shared" si="34"/>
        <v>3468.25</v>
      </c>
      <c r="I269" s="360" t="s">
        <v>2652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258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367">
        <v>8512</v>
      </c>
      <c r="AK269" s="283" t="s">
        <v>2883</v>
      </c>
      <c r="AL269" s="283">
        <v>2595</v>
      </c>
      <c r="AM269" s="283" t="s">
        <v>2884</v>
      </c>
      <c r="AN269" s="283" t="s">
        <v>2885</v>
      </c>
      <c r="AO269" s="283" t="s">
        <v>2257</v>
      </c>
      <c r="AP269" s="283">
        <v>2500</v>
      </c>
      <c r="AQ269" s="283" t="s">
        <v>2886</v>
      </c>
      <c r="AR269" s="283" t="s">
        <v>2887</v>
      </c>
      <c r="AS269" s="283" t="s">
        <v>2888</v>
      </c>
      <c r="AT269" s="283" t="s">
        <v>2889</v>
      </c>
      <c r="AU269" s="283" t="s">
        <v>2890</v>
      </c>
      <c r="AV269" s="283" t="s">
        <v>2891</v>
      </c>
      <c r="AW269" s="283">
        <f t="shared" si="35"/>
        <v>3175.16666666667</v>
      </c>
      <c r="AX269" s="283"/>
      <c r="AY269" s="283"/>
      <c r="AZ269" s="283"/>
      <c r="BA269" s="283"/>
      <c r="BB269" s="283"/>
      <c r="BC269" s="283"/>
      <c r="BD269" s="283"/>
      <c r="BE269" s="283"/>
      <c r="BF269" s="283"/>
      <c r="BG269" s="283"/>
      <c r="BH269" s="283"/>
      <c r="BI269" s="283"/>
      <c r="BJ269" s="283"/>
      <c r="BK269" s="283"/>
      <c r="BL269" s="283"/>
      <c r="BM269" s="283"/>
      <c r="BN269" s="283"/>
      <c r="BO269" s="283"/>
      <c r="BP269" s="283"/>
      <c r="BQ269" s="283"/>
      <c r="BR269" s="283"/>
      <c r="BS269" s="283"/>
      <c r="BT269" s="283"/>
      <c r="BU269" s="283"/>
      <c r="BV269" s="283"/>
      <c r="BW269" s="283"/>
      <c r="BX269" s="283">
        <v>1200</v>
      </c>
      <c r="BY269" s="283">
        <v>4800</v>
      </c>
      <c r="BZ269" s="283">
        <v>12500</v>
      </c>
      <c r="CA269" s="283">
        <v>22248</v>
      </c>
      <c r="CB269" s="283">
        <v>7051</v>
      </c>
      <c r="CC269" s="283">
        <v>12400</v>
      </c>
      <c r="CD269" s="283">
        <v>7300</v>
      </c>
      <c r="CE269" s="283">
        <v>7300</v>
      </c>
      <c r="CF269" s="283">
        <v>3400</v>
      </c>
      <c r="CG269" s="283">
        <v>14400</v>
      </c>
      <c r="CH269" s="283">
        <v>7800</v>
      </c>
      <c r="CI269" s="283">
        <v>484</v>
      </c>
      <c r="CJ269" s="283">
        <v>4600</v>
      </c>
      <c r="CK269" s="283">
        <f t="shared" si="36"/>
        <v>3761.33333333333</v>
      </c>
      <c r="CL269" s="398"/>
      <c r="CM269" s="371">
        <f>Summary!$D$10</f>
        <v>496999.618566666</v>
      </c>
      <c r="CN269" s="258">
        <f t="shared" si="37"/>
        <v>0</v>
      </c>
    </row>
    <row r="270" ht="15.6" spans="1:92">
      <c r="A270" s="258" t="s">
        <v>165</v>
      </c>
      <c r="B270" s="258" t="s">
        <v>812</v>
      </c>
      <c r="C270" s="258" t="s">
        <v>243</v>
      </c>
      <c r="D270" s="258" t="s">
        <v>2892</v>
      </c>
      <c r="E270" s="258" t="s">
        <v>441</v>
      </c>
      <c r="F270" s="260" t="s">
        <v>266</v>
      </c>
      <c r="G270" s="260"/>
      <c r="H270" s="283">
        <f t="shared" si="34"/>
        <v>21380.2266666667</v>
      </c>
      <c r="I270" s="360" t="s">
        <v>2652</v>
      </c>
      <c r="J270" s="258"/>
      <c r="K270" s="258"/>
      <c r="L270" s="258"/>
      <c r="M270" s="258"/>
      <c r="N270" s="258"/>
      <c r="O270" s="258"/>
      <c r="P270" s="258"/>
      <c r="Q270" s="258"/>
      <c r="R270" s="258"/>
      <c r="S270" s="258"/>
      <c r="T270" s="258"/>
      <c r="U270" s="258"/>
      <c r="V270" s="258"/>
      <c r="W270" s="258"/>
      <c r="X270" s="258"/>
      <c r="Y270" s="258"/>
      <c r="Z270" s="258"/>
      <c r="AA270" s="258"/>
      <c r="AB270" s="258"/>
      <c r="AC270" s="258"/>
      <c r="AD270" s="258"/>
      <c r="AE270" s="258"/>
      <c r="AF270" s="258"/>
      <c r="AG270" s="258"/>
      <c r="AH270" s="258"/>
      <c r="AI270" s="258"/>
      <c r="AJ270" s="367">
        <v>12130</v>
      </c>
      <c r="AK270" s="283" t="s">
        <v>2893</v>
      </c>
      <c r="AL270" s="283">
        <v>14700</v>
      </c>
      <c r="AM270" s="283" t="s">
        <v>2894</v>
      </c>
      <c r="AN270" s="283" t="s">
        <v>2895</v>
      </c>
      <c r="AO270" s="283" t="s">
        <v>2896</v>
      </c>
      <c r="AP270" s="283">
        <v>12791</v>
      </c>
      <c r="AQ270" s="283" t="s">
        <v>2897</v>
      </c>
      <c r="AR270" s="283" t="s">
        <v>2898</v>
      </c>
      <c r="AS270" s="283" t="s">
        <v>2899</v>
      </c>
      <c r="AT270" s="283" t="s">
        <v>2900</v>
      </c>
      <c r="AU270" s="283" t="s">
        <v>2901</v>
      </c>
      <c r="AV270" s="283" t="s">
        <v>2902</v>
      </c>
      <c r="AW270" s="283">
        <f t="shared" si="35"/>
        <v>20151.1666666667</v>
      </c>
      <c r="AX270" s="283"/>
      <c r="AY270" s="283"/>
      <c r="AZ270" s="283"/>
      <c r="BA270" s="283"/>
      <c r="BB270" s="283"/>
      <c r="BC270" s="283"/>
      <c r="BD270" s="283"/>
      <c r="BE270" s="283"/>
      <c r="BF270" s="283"/>
      <c r="BG270" s="283"/>
      <c r="BH270" s="283"/>
      <c r="BI270" s="283"/>
      <c r="BJ270" s="283"/>
      <c r="BK270" s="283"/>
      <c r="BL270" s="283"/>
      <c r="BM270" s="283"/>
      <c r="BN270" s="283"/>
      <c r="BO270" s="283"/>
      <c r="BP270" s="283"/>
      <c r="BQ270" s="283"/>
      <c r="BR270" s="283"/>
      <c r="BS270" s="283"/>
      <c r="BT270" s="283"/>
      <c r="BU270" s="283"/>
      <c r="BV270" s="283"/>
      <c r="BW270" s="283"/>
      <c r="BX270" s="283">
        <v>30900</v>
      </c>
      <c r="BY270" s="283">
        <f>30900*0.0651*2</f>
        <v>4023.18</v>
      </c>
      <c r="BZ270" s="283">
        <v>12800</v>
      </c>
      <c r="CA270" s="283">
        <v>6000</v>
      </c>
      <c r="CB270" s="283">
        <v>7900</v>
      </c>
      <c r="CC270" s="283">
        <v>60600</v>
      </c>
      <c r="CD270" s="283">
        <v>2800</v>
      </c>
      <c r="CE270" s="283">
        <v>2400</v>
      </c>
      <c r="CF270" s="283">
        <v>8125.04</v>
      </c>
      <c r="CG270" s="283">
        <v>29994.12</v>
      </c>
      <c r="CH270" s="283">
        <v>3177</v>
      </c>
      <c r="CI270" s="283">
        <f>59200*0.2554*2</f>
        <v>30239.36</v>
      </c>
      <c r="CJ270" s="283">
        <v>24000</v>
      </c>
      <c r="CK270" s="283">
        <f t="shared" si="36"/>
        <v>22609.2866666667</v>
      </c>
      <c r="CL270" s="398"/>
      <c r="CM270" s="371">
        <f>Summary!$D$10</f>
        <v>496999.618566666</v>
      </c>
      <c r="CN270" s="258">
        <f t="shared" si="37"/>
        <v>0</v>
      </c>
    </row>
    <row r="271" ht="15.6" spans="1:92">
      <c r="A271" s="258" t="s">
        <v>141</v>
      </c>
      <c r="B271" s="258" t="s">
        <v>812</v>
      </c>
      <c r="C271" s="258" t="s">
        <v>230</v>
      </c>
      <c r="D271" s="258" t="s">
        <v>249</v>
      </c>
      <c r="E271" s="258" t="s">
        <v>233</v>
      </c>
      <c r="F271" s="260" t="s">
        <v>250</v>
      </c>
      <c r="G271" s="260"/>
      <c r="H271" s="283">
        <f t="shared" si="34"/>
        <v>8734.58333333333</v>
      </c>
      <c r="I271" s="360" t="s">
        <v>2652</v>
      </c>
      <c r="J271" s="258"/>
      <c r="K271" s="258"/>
      <c r="L271" s="258"/>
      <c r="M271" s="258"/>
      <c r="N271" s="258"/>
      <c r="O271" s="258"/>
      <c r="P271" s="258"/>
      <c r="Q271" s="258"/>
      <c r="R271" s="258"/>
      <c r="S271" s="258"/>
      <c r="T271" s="258"/>
      <c r="U271" s="258"/>
      <c r="V271" s="258"/>
      <c r="W271" s="258"/>
      <c r="X271" s="258"/>
      <c r="Y271" s="258"/>
      <c r="Z271" s="258"/>
      <c r="AA271" s="258"/>
      <c r="AB271" s="258"/>
      <c r="AC271" s="258"/>
      <c r="AD271" s="258"/>
      <c r="AE271" s="258"/>
      <c r="AF271" s="258"/>
      <c r="AG271" s="258"/>
      <c r="AH271" s="258"/>
      <c r="AI271" s="258"/>
      <c r="AJ271" s="367">
        <v>63973</v>
      </c>
      <c r="AK271" s="283" t="s">
        <v>2903</v>
      </c>
      <c r="AL271" s="283">
        <v>128208</v>
      </c>
      <c r="AM271" s="283" t="s">
        <v>2904</v>
      </c>
      <c r="AN271" s="283" t="s">
        <v>2905</v>
      </c>
      <c r="AO271" s="283" t="s">
        <v>2906</v>
      </c>
      <c r="AP271" s="283">
        <v>155925</v>
      </c>
      <c r="AQ271" s="283" t="s">
        <v>2907</v>
      </c>
      <c r="AR271" s="283" t="s">
        <v>2908</v>
      </c>
      <c r="AS271" s="283" t="s">
        <v>2909</v>
      </c>
      <c r="AT271" s="283" t="s">
        <v>2910</v>
      </c>
      <c r="AU271" s="283" t="s">
        <v>2911</v>
      </c>
      <c r="AV271" s="283" t="s">
        <v>2912</v>
      </c>
      <c r="AW271" s="283">
        <f t="shared" si="35"/>
        <v>10452.5</v>
      </c>
      <c r="AX271" s="283"/>
      <c r="AY271" s="283"/>
      <c r="AZ271" s="283"/>
      <c r="BA271" s="283"/>
      <c r="BB271" s="283"/>
      <c r="BC271" s="283"/>
      <c r="BD271" s="283"/>
      <c r="BE271" s="283"/>
      <c r="BF271" s="283"/>
      <c r="BG271" s="283"/>
      <c r="BH271" s="283"/>
      <c r="BI271" s="283"/>
      <c r="BJ271" s="283"/>
      <c r="BK271" s="283"/>
      <c r="BL271" s="283"/>
      <c r="BM271" s="283"/>
      <c r="BN271" s="283"/>
      <c r="BO271" s="283"/>
      <c r="BP271" s="283"/>
      <c r="BQ271" s="283"/>
      <c r="BR271" s="283"/>
      <c r="BS271" s="283"/>
      <c r="BT271" s="283"/>
      <c r="BU271" s="283"/>
      <c r="BV271" s="283"/>
      <c r="BW271" s="283"/>
      <c r="BX271" s="283">
        <v>254400</v>
      </c>
      <c r="BY271" s="283">
        <v>254400</v>
      </c>
      <c r="BZ271" s="283">
        <v>166900</v>
      </c>
      <c r="CA271" s="283">
        <v>134854.4</v>
      </c>
      <c r="CB271" s="283">
        <v>140800</v>
      </c>
      <c r="CC271" s="283">
        <v>196700</v>
      </c>
      <c r="CD271" s="283">
        <v>187900</v>
      </c>
      <c r="CE271" s="283">
        <v>187900</v>
      </c>
      <c r="CF271" s="283">
        <v>94600</v>
      </c>
      <c r="CG271" s="283">
        <v>91184.02</v>
      </c>
      <c r="CH271" s="283">
        <v>42100</v>
      </c>
      <c r="CI271" s="283">
        <v>0</v>
      </c>
      <c r="CJ271" s="283">
        <v>0</v>
      </c>
      <c r="CK271" s="283">
        <f t="shared" si="36"/>
        <v>7016.66666666667</v>
      </c>
      <c r="CL271" s="398"/>
      <c r="CM271" s="371">
        <f>Summary!$D$3</f>
        <v>2112033.31166667</v>
      </c>
      <c r="CN271" s="258">
        <f t="shared" si="37"/>
        <v>0</v>
      </c>
    </row>
    <row r="272" ht="15.6" spans="1:92">
      <c r="A272" s="258" t="s">
        <v>141</v>
      </c>
      <c r="B272" s="258" t="s">
        <v>812</v>
      </c>
      <c r="C272" s="258" t="s">
        <v>230</v>
      </c>
      <c r="D272" s="258" t="s">
        <v>246</v>
      </c>
      <c r="E272" s="258" t="s">
        <v>233</v>
      </c>
      <c r="F272" s="260" t="s">
        <v>49</v>
      </c>
      <c r="G272" s="260"/>
      <c r="H272" s="283">
        <f t="shared" si="34"/>
        <v>159595.605</v>
      </c>
      <c r="I272" s="360" t="s">
        <v>2652</v>
      </c>
      <c r="J272" s="258"/>
      <c r="K272" s="258"/>
      <c r="L272" s="258"/>
      <c r="M272" s="258"/>
      <c r="N272" s="258"/>
      <c r="O272" s="258"/>
      <c r="P272" s="258"/>
      <c r="Q272" s="258"/>
      <c r="R272" s="258"/>
      <c r="S272" s="258"/>
      <c r="T272" s="258"/>
      <c r="U272" s="258"/>
      <c r="V272" s="258"/>
      <c r="W272" s="258"/>
      <c r="X272" s="258"/>
      <c r="Y272" s="258"/>
      <c r="Z272" s="258"/>
      <c r="AA272" s="258"/>
      <c r="AB272" s="258"/>
      <c r="AC272" s="258"/>
      <c r="AD272" s="258"/>
      <c r="AE272" s="258"/>
      <c r="AF272" s="258"/>
      <c r="AG272" s="258"/>
      <c r="AH272" s="258"/>
      <c r="AI272" s="258"/>
      <c r="AJ272" s="367">
        <v>103355</v>
      </c>
      <c r="AK272" s="283" t="s">
        <v>2913</v>
      </c>
      <c r="AL272" s="283">
        <v>141077</v>
      </c>
      <c r="AM272" s="283" t="s">
        <v>2914</v>
      </c>
      <c r="AN272" s="283" t="s">
        <v>2915</v>
      </c>
      <c r="AO272" s="283" t="s">
        <v>2916</v>
      </c>
      <c r="AP272" s="283">
        <v>147548</v>
      </c>
      <c r="AQ272" s="283" t="s">
        <v>2917</v>
      </c>
      <c r="AR272" s="283" t="s">
        <v>2918</v>
      </c>
      <c r="AS272" s="283" t="s">
        <v>2919</v>
      </c>
      <c r="AT272" s="283" t="s">
        <v>2920</v>
      </c>
      <c r="AU272" s="283" t="s">
        <v>2921</v>
      </c>
      <c r="AV272" s="283" t="s">
        <v>2922</v>
      </c>
      <c r="AW272" s="283">
        <f t="shared" si="35"/>
        <v>145883.166666667</v>
      </c>
      <c r="AX272" s="283"/>
      <c r="AY272" s="283"/>
      <c r="AZ272" s="283"/>
      <c r="BA272" s="283"/>
      <c r="BB272" s="283"/>
      <c r="BC272" s="283"/>
      <c r="BD272" s="283"/>
      <c r="BE272" s="283"/>
      <c r="BF272" s="283"/>
      <c r="BG272" s="283"/>
      <c r="BH272" s="283"/>
      <c r="BI272" s="283"/>
      <c r="BJ272" s="283"/>
      <c r="BK272" s="283"/>
      <c r="BL272" s="283"/>
      <c r="BM272" s="283"/>
      <c r="BN272" s="283"/>
      <c r="BO272" s="283"/>
      <c r="BP272" s="283"/>
      <c r="BQ272" s="283"/>
      <c r="BR272" s="283"/>
      <c r="BS272" s="283"/>
      <c r="BT272" s="283"/>
      <c r="BU272" s="283"/>
      <c r="BV272" s="283"/>
      <c r="BW272" s="283"/>
      <c r="BX272" s="283">
        <v>206300</v>
      </c>
      <c r="BY272" s="283">
        <v>206300</v>
      </c>
      <c r="BZ272" s="283">
        <v>47000</v>
      </c>
      <c r="CA272" s="283">
        <f>224900*0.3047*2</f>
        <v>137054.06</v>
      </c>
      <c r="CB272" s="283">
        <v>163937</v>
      </c>
      <c r="CC272" s="283">
        <v>126100</v>
      </c>
      <c r="CD272" s="283">
        <v>245887.2</v>
      </c>
      <c r="CE272" s="283">
        <f>175900*0.2769*2</f>
        <v>97413.42</v>
      </c>
      <c r="CF272" s="283">
        <v>119500</v>
      </c>
      <c r="CG272" s="283">
        <v>91400</v>
      </c>
      <c r="CH272" s="283">
        <v>152300</v>
      </c>
      <c r="CI272" s="283">
        <v>232573.98</v>
      </c>
      <c r="CJ272" s="283">
        <f>248500*0.2833*2</f>
        <v>140800.1</v>
      </c>
      <c r="CK272" s="283">
        <f t="shared" si="36"/>
        <v>173308.043333333</v>
      </c>
      <c r="CL272" s="398"/>
      <c r="CM272" s="371">
        <f>Summary!$D$3</f>
        <v>2112033.31166667</v>
      </c>
      <c r="CN272" s="258">
        <f t="shared" si="37"/>
        <v>1</v>
      </c>
    </row>
    <row r="273" ht="15.6" spans="1:92">
      <c r="A273" s="258" t="s">
        <v>141</v>
      </c>
      <c r="B273" s="258" t="s">
        <v>812</v>
      </c>
      <c r="C273" s="258" t="s">
        <v>243</v>
      </c>
      <c r="D273" s="258" t="s">
        <v>2923</v>
      </c>
      <c r="E273" s="258" t="s">
        <v>441</v>
      </c>
      <c r="F273" s="260" t="s">
        <v>417</v>
      </c>
      <c r="G273" s="260"/>
      <c r="H273" s="283">
        <f t="shared" si="34"/>
        <v>63500</v>
      </c>
      <c r="I273" s="360" t="s">
        <v>2924</v>
      </c>
      <c r="J273" s="258"/>
      <c r="K273" s="258"/>
      <c r="L273" s="258"/>
      <c r="M273" s="258"/>
      <c r="N273" s="258"/>
      <c r="O273" s="258"/>
      <c r="P273" s="258"/>
      <c r="Q273" s="258"/>
      <c r="R273" s="258"/>
      <c r="S273" s="258"/>
      <c r="T273" s="258"/>
      <c r="U273" s="258"/>
      <c r="V273" s="258"/>
      <c r="W273" s="258"/>
      <c r="X273" s="258"/>
      <c r="Y273" s="258"/>
      <c r="Z273" s="258"/>
      <c r="AA273" s="258"/>
      <c r="AB273" s="258"/>
      <c r="AC273" s="258"/>
      <c r="AD273" s="258"/>
      <c r="AE273" s="258"/>
      <c r="AF273" s="258"/>
      <c r="AG273" s="258"/>
      <c r="AH273" s="258"/>
      <c r="AI273" s="258"/>
      <c r="AJ273" s="367">
        <v>17940</v>
      </c>
      <c r="AK273" s="283" t="s">
        <v>2925</v>
      </c>
      <c r="AL273" s="283">
        <v>4261</v>
      </c>
      <c r="AM273" s="283" t="s">
        <v>2926</v>
      </c>
      <c r="AN273" s="283" t="s">
        <v>796</v>
      </c>
      <c r="AO273" s="283" t="s">
        <v>796</v>
      </c>
      <c r="AP273" s="283">
        <v>0</v>
      </c>
      <c r="AQ273" s="283" t="s">
        <v>796</v>
      </c>
      <c r="AR273" s="283" t="s">
        <v>796</v>
      </c>
      <c r="AS273" s="283" t="s">
        <v>796</v>
      </c>
      <c r="AT273" s="283" t="s">
        <v>796</v>
      </c>
      <c r="AU273" s="283" t="s">
        <v>796</v>
      </c>
      <c r="AV273" s="283" t="s">
        <v>796</v>
      </c>
      <c r="AW273" s="283">
        <f t="shared" si="35"/>
        <v>0</v>
      </c>
      <c r="AX273" s="283"/>
      <c r="AY273" s="283"/>
      <c r="AZ273" s="283"/>
      <c r="BA273" s="283"/>
      <c r="BB273" s="283"/>
      <c r="BC273" s="283"/>
      <c r="BD273" s="283"/>
      <c r="BE273" s="283"/>
      <c r="BF273" s="283"/>
      <c r="BG273" s="283"/>
      <c r="BH273" s="283"/>
      <c r="BI273" s="283"/>
      <c r="BJ273" s="283"/>
      <c r="BK273" s="283"/>
      <c r="BL273" s="283"/>
      <c r="BM273" s="283"/>
      <c r="BN273" s="283"/>
      <c r="BO273" s="283"/>
      <c r="BP273" s="283"/>
      <c r="BQ273" s="283"/>
      <c r="BR273" s="283"/>
      <c r="BS273" s="283"/>
      <c r="BT273" s="283"/>
      <c r="BU273" s="283"/>
      <c r="BV273" s="283"/>
      <c r="BW273" s="283"/>
      <c r="BX273" s="283">
        <v>1400</v>
      </c>
      <c r="BY273" s="283">
        <v>1400</v>
      </c>
      <c r="BZ273" s="283">
        <v>72400</v>
      </c>
      <c r="CA273" s="283">
        <v>80400</v>
      </c>
      <c r="CB273" s="283">
        <v>0</v>
      </c>
      <c r="CC273" s="283">
        <v>23200</v>
      </c>
      <c r="CD273" s="283">
        <v>58000</v>
      </c>
      <c r="CE273" s="283">
        <v>58000</v>
      </c>
      <c r="CF273" s="283">
        <v>60800</v>
      </c>
      <c r="CG273" s="283">
        <v>50700</v>
      </c>
      <c r="CH273" s="283">
        <v>0</v>
      </c>
      <c r="CI273" s="283">
        <v>0</v>
      </c>
      <c r="CJ273" s="283">
        <v>254000</v>
      </c>
      <c r="CK273" s="283">
        <f t="shared" si="36"/>
        <v>127000</v>
      </c>
      <c r="CL273" s="398"/>
      <c r="CM273" s="371">
        <f>Summary!$D$3</f>
        <v>2112033.31166667</v>
      </c>
      <c r="CN273" s="258">
        <f t="shared" si="37"/>
        <v>0</v>
      </c>
    </row>
    <row r="274" ht="15.6" spans="1:92">
      <c r="A274" s="258" t="s">
        <v>141</v>
      </c>
      <c r="B274" s="258" t="s">
        <v>812</v>
      </c>
      <c r="C274" s="258" t="s">
        <v>230</v>
      </c>
      <c r="D274" s="258" t="s">
        <v>2927</v>
      </c>
      <c r="E274" s="258" t="s">
        <v>441</v>
      </c>
      <c r="F274" s="260" t="s">
        <v>417</v>
      </c>
      <c r="G274" s="260"/>
      <c r="H274" s="283">
        <f t="shared" si="34"/>
        <v>69867.6866666666</v>
      </c>
      <c r="I274" s="360" t="s">
        <v>2652</v>
      </c>
      <c r="J274" s="258"/>
      <c r="K274" s="258"/>
      <c r="L274" s="258"/>
      <c r="M274" s="258"/>
      <c r="N274" s="258"/>
      <c r="O274" s="258"/>
      <c r="P274" s="258"/>
      <c r="Q274" s="258"/>
      <c r="R274" s="258"/>
      <c r="S274" s="258"/>
      <c r="T274" s="258"/>
      <c r="U274" s="258"/>
      <c r="V274" s="258"/>
      <c r="W274" s="258"/>
      <c r="X274" s="258"/>
      <c r="Y274" s="258"/>
      <c r="Z274" s="258"/>
      <c r="AA274" s="258"/>
      <c r="AB274" s="258"/>
      <c r="AC274" s="258"/>
      <c r="AD274" s="258"/>
      <c r="AE274" s="258"/>
      <c r="AF274" s="258"/>
      <c r="AG274" s="258"/>
      <c r="AH274" s="258"/>
      <c r="AI274" s="258"/>
      <c r="AJ274" s="367">
        <v>28910</v>
      </c>
      <c r="AK274" s="283" t="s">
        <v>2928</v>
      </c>
      <c r="AL274" s="283">
        <v>33425</v>
      </c>
      <c r="AM274" s="283" t="s">
        <v>2929</v>
      </c>
      <c r="AN274" s="283" t="s">
        <v>2930</v>
      </c>
      <c r="AO274" s="283" t="s">
        <v>2931</v>
      </c>
      <c r="AP274" s="283">
        <v>43461</v>
      </c>
      <c r="AQ274" s="283" t="s">
        <v>2932</v>
      </c>
      <c r="AR274" s="283" t="s">
        <v>2933</v>
      </c>
      <c r="AS274" s="283" t="s">
        <v>2934</v>
      </c>
      <c r="AT274" s="283" t="s">
        <v>2935</v>
      </c>
      <c r="AU274" s="283" t="s">
        <v>2936</v>
      </c>
      <c r="AV274" s="283" t="s">
        <v>2937</v>
      </c>
      <c r="AW274" s="283">
        <f t="shared" si="35"/>
        <v>64642.8333333333</v>
      </c>
      <c r="AX274" s="283"/>
      <c r="AY274" s="283"/>
      <c r="AZ274" s="283"/>
      <c r="BA274" s="283"/>
      <c r="BB274" s="283"/>
      <c r="BC274" s="283"/>
      <c r="BD274" s="283"/>
      <c r="BE274" s="283"/>
      <c r="BF274" s="283"/>
      <c r="BG274" s="283"/>
      <c r="BH274" s="283"/>
      <c r="BI274" s="283"/>
      <c r="BJ274" s="283"/>
      <c r="BK274" s="283"/>
      <c r="BL274" s="283"/>
      <c r="BM274" s="283"/>
      <c r="BN274" s="283"/>
      <c r="BO274" s="283"/>
      <c r="BP274" s="283"/>
      <c r="BQ274" s="283"/>
      <c r="BR274" s="283"/>
      <c r="BS274" s="283"/>
      <c r="BT274" s="283"/>
      <c r="BU274" s="283"/>
      <c r="BV274" s="283"/>
      <c r="BW274" s="283"/>
      <c r="BX274" s="283">
        <v>19200</v>
      </c>
      <c r="BY274" s="283">
        <v>19200</v>
      </c>
      <c r="BZ274" s="283">
        <v>57300</v>
      </c>
      <c r="CA274" s="283">
        <v>40091.92</v>
      </c>
      <c r="CB274" s="283">
        <v>59528</v>
      </c>
      <c r="CC274" s="283">
        <v>14600</v>
      </c>
      <c r="CD274" s="283">
        <v>30230</v>
      </c>
      <c r="CE274" s="283">
        <v>31197</v>
      </c>
      <c r="CF274" s="283">
        <v>25900</v>
      </c>
      <c r="CG274" s="283">
        <v>24900</v>
      </c>
      <c r="CH274" s="283">
        <v>75248.04</v>
      </c>
      <c r="CI274" s="283">
        <v>65628.84</v>
      </c>
      <c r="CJ274" s="283">
        <v>81349.84</v>
      </c>
      <c r="CK274" s="283">
        <f t="shared" si="36"/>
        <v>75092.54</v>
      </c>
      <c r="CL274" s="398"/>
      <c r="CM274" s="371">
        <f>Summary!$D$3</f>
        <v>2112033.31166667</v>
      </c>
      <c r="CN274" s="258">
        <f t="shared" si="37"/>
        <v>0</v>
      </c>
    </row>
    <row r="275" ht="15.6" spans="1:92">
      <c r="A275" s="258" t="s">
        <v>141</v>
      </c>
      <c r="B275" s="258" t="s">
        <v>812</v>
      </c>
      <c r="C275" s="258" t="s">
        <v>230</v>
      </c>
      <c r="D275" s="258" t="s">
        <v>2938</v>
      </c>
      <c r="E275" s="258" t="s">
        <v>233</v>
      </c>
      <c r="F275" s="260" t="s">
        <v>57</v>
      </c>
      <c r="G275" s="260"/>
      <c r="H275" s="283">
        <f t="shared" si="34"/>
        <v>30720.0333333333</v>
      </c>
      <c r="I275" s="360" t="s">
        <v>2652</v>
      </c>
      <c r="J275" s="258"/>
      <c r="K275" s="258"/>
      <c r="L275" s="258"/>
      <c r="M275" s="258"/>
      <c r="N275" s="258"/>
      <c r="O275" s="258"/>
      <c r="P275" s="258"/>
      <c r="Q275" s="258"/>
      <c r="R275" s="258"/>
      <c r="S275" s="258"/>
      <c r="T275" s="258"/>
      <c r="U275" s="258"/>
      <c r="V275" s="258"/>
      <c r="W275" s="258"/>
      <c r="X275" s="258"/>
      <c r="Y275" s="258"/>
      <c r="Z275" s="258"/>
      <c r="AA275" s="258"/>
      <c r="AB275" s="258"/>
      <c r="AC275" s="258"/>
      <c r="AD275" s="258"/>
      <c r="AE275" s="258"/>
      <c r="AF275" s="258"/>
      <c r="AG275" s="258"/>
      <c r="AH275" s="258"/>
      <c r="AI275" s="258"/>
      <c r="AJ275" s="367">
        <v>42665</v>
      </c>
      <c r="AK275" s="283" t="s">
        <v>2939</v>
      </c>
      <c r="AL275" s="283">
        <v>34864</v>
      </c>
      <c r="AM275" s="283" t="s">
        <v>2940</v>
      </c>
      <c r="AN275" s="283" t="s">
        <v>2941</v>
      </c>
      <c r="AO275" s="283" t="s">
        <v>2942</v>
      </c>
      <c r="AP275" s="283">
        <f>47298*0.2634*2</f>
        <v>24916.5864</v>
      </c>
      <c r="AQ275" s="283" t="s">
        <v>2943</v>
      </c>
      <c r="AR275" s="283" t="s">
        <v>2944</v>
      </c>
      <c r="AS275" s="283" t="s">
        <v>2945</v>
      </c>
      <c r="AT275" s="283" t="s">
        <v>2946</v>
      </c>
      <c r="AU275" s="283" t="s">
        <v>2947</v>
      </c>
      <c r="AV275" s="283" t="s">
        <v>2948</v>
      </c>
      <c r="AW275" s="283">
        <f t="shared" si="35"/>
        <v>38323.3333333333</v>
      </c>
      <c r="AX275" s="283"/>
      <c r="AY275" s="283"/>
      <c r="AZ275" s="283"/>
      <c r="BA275" s="283"/>
      <c r="BB275" s="283"/>
      <c r="BC275" s="283"/>
      <c r="BD275" s="283"/>
      <c r="BE275" s="283"/>
      <c r="BF275" s="283"/>
      <c r="BG275" s="283"/>
      <c r="BH275" s="283"/>
      <c r="BI275" s="283"/>
      <c r="BJ275" s="283"/>
      <c r="BK275" s="283"/>
      <c r="BL275" s="283"/>
      <c r="BM275" s="283"/>
      <c r="BN275" s="283"/>
      <c r="BO275" s="283"/>
      <c r="BP275" s="283"/>
      <c r="BQ275" s="283"/>
      <c r="BR275" s="283"/>
      <c r="BS275" s="283"/>
      <c r="BT275" s="283"/>
      <c r="BU275" s="283"/>
      <c r="BV275" s="283"/>
      <c r="BW275" s="283"/>
      <c r="BX275" s="283">
        <v>14100</v>
      </c>
      <c r="BY275" s="283">
        <v>101200</v>
      </c>
      <c r="BZ275" s="283">
        <v>87000</v>
      </c>
      <c r="CA275" s="283">
        <v>52600</v>
      </c>
      <c r="CB275" s="283">
        <v>31000</v>
      </c>
      <c r="CC275" s="283">
        <v>28300</v>
      </c>
      <c r="CD275" s="283">
        <v>126600</v>
      </c>
      <c r="CE275" s="283">
        <v>126600</v>
      </c>
      <c r="CF275" s="283">
        <v>28800</v>
      </c>
      <c r="CG275" s="283">
        <v>21061.44</v>
      </c>
      <c r="CH275" s="283">
        <v>32900.4</v>
      </c>
      <c r="CI275" s="283">
        <v>32200</v>
      </c>
      <c r="CJ275" s="283">
        <v>13800</v>
      </c>
      <c r="CK275" s="283">
        <f t="shared" si="36"/>
        <v>23116.7333333333</v>
      </c>
      <c r="CL275" s="398"/>
      <c r="CM275" s="371">
        <f>Summary!$D$3</f>
        <v>2112033.31166667</v>
      </c>
      <c r="CN275" s="258">
        <f t="shared" si="37"/>
        <v>0</v>
      </c>
    </row>
    <row r="276" ht="15.6" spans="1:92">
      <c r="A276" s="258" t="s">
        <v>141</v>
      </c>
      <c r="B276" s="258" t="s">
        <v>812</v>
      </c>
      <c r="C276" s="258" t="s">
        <v>230</v>
      </c>
      <c r="D276" s="258" t="s">
        <v>2949</v>
      </c>
      <c r="E276" s="258" t="s">
        <v>233</v>
      </c>
      <c r="F276" s="260" t="s">
        <v>427</v>
      </c>
      <c r="G276" s="260"/>
      <c r="H276" s="283">
        <f t="shared" si="34"/>
        <v>94936.3166666667</v>
      </c>
      <c r="I276" s="360" t="s">
        <v>2652</v>
      </c>
      <c r="J276" s="258"/>
      <c r="K276" s="258"/>
      <c r="L276" s="258"/>
      <c r="M276" s="258"/>
      <c r="N276" s="258"/>
      <c r="O276" s="258"/>
      <c r="P276" s="258"/>
      <c r="Q276" s="258"/>
      <c r="R276" s="258"/>
      <c r="S276" s="258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367">
        <v>30071</v>
      </c>
      <c r="AK276" s="283" t="s">
        <v>1781</v>
      </c>
      <c r="AL276" s="283">
        <v>42363</v>
      </c>
      <c r="AM276" s="283" t="s">
        <v>2950</v>
      </c>
      <c r="AN276" s="283" t="s">
        <v>2951</v>
      </c>
      <c r="AO276" s="283" t="s">
        <v>2952</v>
      </c>
      <c r="AP276" s="283">
        <v>78965</v>
      </c>
      <c r="AQ276" s="283" t="s">
        <v>2953</v>
      </c>
      <c r="AR276" s="283" t="s">
        <v>2954</v>
      </c>
      <c r="AS276" s="283" t="s">
        <v>2955</v>
      </c>
      <c r="AT276" s="283" t="s">
        <v>2956</v>
      </c>
      <c r="AU276" s="283" t="s">
        <v>2957</v>
      </c>
      <c r="AV276" s="283" t="s">
        <v>2958</v>
      </c>
      <c r="AW276" s="283">
        <f t="shared" si="35"/>
        <v>96018.8333333333</v>
      </c>
      <c r="AX276" s="283"/>
      <c r="AY276" s="283"/>
      <c r="AZ276" s="283"/>
      <c r="BA276" s="283"/>
      <c r="BB276" s="283"/>
      <c r="BC276" s="283"/>
      <c r="BD276" s="283"/>
      <c r="BE276" s="283"/>
      <c r="BF276" s="283"/>
      <c r="BG276" s="283"/>
      <c r="BH276" s="283"/>
      <c r="BI276" s="283"/>
      <c r="BJ276" s="283"/>
      <c r="BK276" s="283"/>
      <c r="BL276" s="283"/>
      <c r="BM276" s="283"/>
      <c r="BN276" s="283"/>
      <c r="BO276" s="283"/>
      <c r="BP276" s="283"/>
      <c r="BQ276" s="283"/>
      <c r="BR276" s="283"/>
      <c r="BS276" s="283"/>
      <c r="BT276" s="283"/>
      <c r="BU276" s="283"/>
      <c r="BV276" s="283"/>
      <c r="BW276" s="283"/>
      <c r="BX276" s="283">
        <v>15700</v>
      </c>
      <c r="BY276" s="283">
        <v>28100</v>
      </c>
      <c r="BZ276" s="283">
        <v>23900</v>
      </c>
      <c r="CA276" s="283">
        <v>100075.22</v>
      </c>
      <c r="CB276" s="283">
        <v>72600</v>
      </c>
      <c r="CC276" s="283">
        <v>89900</v>
      </c>
      <c r="CD276" s="283">
        <v>46300</v>
      </c>
      <c r="CE276" s="283">
        <v>46300</v>
      </c>
      <c r="CF276" s="283">
        <v>118400</v>
      </c>
      <c r="CG276" s="283">
        <f>0.2953*2*142600</f>
        <v>84219.56</v>
      </c>
      <c r="CH276" s="283">
        <v>67084.04</v>
      </c>
      <c r="CI276" s="283">
        <v>68319.38</v>
      </c>
      <c r="CJ276" s="283">
        <v>119800</v>
      </c>
      <c r="CK276" s="283">
        <f t="shared" si="36"/>
        <v>93853.8</v>
      </c>
      <c r="CL276" s="398"/>
      <c r="CM276" s="371">
        <f>Summary!$D$3</f>
        <v>2112033.31166667</v>
      </c>
      <c r="CN276" s="258">
        <f t="shared" si="37"/>
        <v>0</v>
      </c>
    </row>
    <row r="277" ht="15.6" spans="1:92">
      <c r="A277" s="258" t="s">
        <v>141</v>
      </c>
      <c r="B277" s="258" t="s">
        <v>812</v>
      </c>
      <c r="C277" s="258" t="s">
        <v>230</v>
      </c>
      <c r="D277" s="258" t="s">
        <v>2959</v>
      </c>
      <c r="E277" s="258" t="s">
        <v>233</v>
      </c>
      <c r="F277" s="260" t="s">
        <v>422</v>
      </c>
      <c r="G277" s="260"/>
      <c r="H277" s="283">
        <f t="shared" si="34"/>
        <v>65558.4966666667</v>
      </c>
      <c r="I277" s="360" t="s">
        <v>2652</v>
      </c>
      <c r="J277" s="258"/>
      <c r="K277" s="258"/>
      <c r="L277" s="258"/>
      <c r="M277" s="258"/>
      <c r="N277" s="258"/>
      <c r="O277" s="258"/>
      <c r="P277" s="258"/>
      <c r="Q277" s="258"/>
      <c r="R277" s="258"/>
      <c r="S277" s="258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367">
        <v>23719</v>
      </c>
      <c r="AK277" s="283" t="s">
        <v>2960</v>
      </c>
      <c r="AL277" s="283">
        <v>50470</v>
      </c>
      <c r="AM277" s="283" t="s">
        <v>2961</v>
      </c>
      <c r="AN277" s="283" t="s">
        <v>2962</v>
      </c>
      <c r="AO277" s="283" t="s">
        <v>2963</v>
      </c>
      <c r="AP277" s="283">
        <f>0.292*42479*2</f>
        <v>24807.736</v>
      </c>
      <c r="AQ277" s="283" t="s">
        <v>2964</v>
      </c>
      <c r="AR277" s="283" t="s">
        <v>2965</v>
      </c>
      <c r="AS277" s="283" t="s">
        <v>2966</v>
      </c>
      <c r="AT277" s="283" t="s">
        <v>2967</v>
      </c>
      <c r="AU277" s="283" t="s">
        <v>2968</v>
      </c>
      <c r="AV277" s="283" t="s">
        <v>2969</v>
      </c>
      <c r="AW277" s="283">
        <f t="shared" si="35"/>
        <v>61593.5</v>
      </c>
      <c r="AX277" s="283"/>
      <c r="AY277" s="283"/>
      <c r="AZ277" s="283"/>
      <c r="BA277" s="283"/>
      <c r="BB277" s="283"/>
      <c r="BC277" s="283"/>
      <c r="BD277" s="283"/>
      <c r="BE277" s="283"/>
      <c r="BF277" s="283"/>
      <c r="BG277" s="283"/>
      <c r="BH277" s="283"/>
      <c r="BI277" s="283"/>
      <c r="BJ277" s="283"/>
      <c r="BK277" s="283"/>
      <c r="BL277" s="283"/>
      <c r="BM277" s="283"/>
      <c r="BN277" s="283"/>
      <c r="BO277" s="283"/>
      <c r="BP277" s="283"/>
      <c r="BQ277" s="283"/>
      <c r="BR277" s="283"/>
      <c r="BS277" s="283"/>
      <c r="BT277" s="283"/>
      <c r="BU277" s="283"/>
      <c r="BV277" s="283"/>
      <c r="BW277" s="283"/>
      <c r="BX277" s="283">
        <v>45500</v>
      </c>
      <c r="BY277" s="283">
        <v>59400</v>
      </c>
      <c r="BZ277" s="283">
        <v>61400</v>
      </c>
      <c r="CA277" s="283">
        <v>49421.88</v>
      </c>
      <c r="CB277" s="283">
        <v>23000</v>
      </c>
      <c r="CC277" s="283">
        <v>44600</v>
      </c>
      <c r="CD277" s="283">
        <v>21100</v>
      </c>
      <c r="CE277" s="283">
        <v>21100</v>
      </c>
      <c r="CF277" s="283">
        <v>67200</v>
      </c>
      <c r="CG277" s="283">
        <v>46800</v>
      </c>
      <c r="CH277" s="283">
        <v>68900</v>
      </c>
      <c r="CI277" s="283">
        <v>34848</v>
      </c>
      <c r="CJ277" s="283">
        <v>92848.32</v>
      </c>
      <c r="CK277" s="283">
        <f t="shared" si="36"/>
        <v>69523.4933333333</v>
      </c>
      <c r="CL277" s="398"/>
      <c r="CM277" s="371">
        <f>Summary!$D$3</f>
        <v>2112033.31166667</v>
      </c>
      <c r="CN277" s="258">
        <f t="shared" si="37"/>
        <v>0</v>
      </c>
    </row>
    <row r="278" ht="15.6" spans="1:92">
      <c r="A278" s="258" t="s">
        <v>168</v>
      </c>
      <c r="B278" s="258" t="s">
        <v>812</v>
      </c>
      <c r="C278" s="258" t="s">
        <v>243</v>
      </c>
      <c r="D278" s="311" t="s">
        <v>300</v>
      </c>
      <c r="E278" s="258" t="s">
        <v>441</v>
      </c>
      <c r="F278" s="260" t="s">
        <v>302</v>
      </c>
      <c r="G278" s="260"/>
      <c r="H278" s="283">
        <f t="shared" si="34"/>
        <v>41932.3366666667</v>
      </c>
      <c r="I278" s="360" t="s">
        <v>2970</v>
      </c>
      <c r="J278" s="258"/>
      <c r="K278" s="258"/>
      <c r="L278" s="258"/>
      <c r="M278" s="258"/>
      <c r="N278" s="258"/>
      <c r="O278" s="258"/>
      <c r="P278" s="258"/>
      <c r="Q278" s="258"/>
      <c r="R278" s="258"/>
      <c r="S278" s="258"/>
      <c r="T278" s="258"/>
      <c r="U278" s="258"/>
      <c r="V278" s="258"/>
      <c r="W278" s="258"/>
      <c r="X278" s="258"/>
      <c r="Y278" s="258"/>
      <c r="Z278" s="258"/>
      <c r="AA278" s="258"/>
      <c r="AB278" s="258"/>
      <c r="AC278" s="258"/>
      <c r="AD278" s="258"/>
      <c r="AE278" s="258"/>
      <c r="AF278" s="258"/>
      <c r="AG278" s="258"/>
      <c r="AH278" s="258"/>
      <c r="AI278" s="258"/>
      <c r="AJ278" s="258"/>
      <c r="AK278" s="283" t="s">
        <v>2971</v>
      </c>
      <c r="AL278" s="283">
        <v>25500</v>
      </c>
      <c r="AM278" s="283" t="s">
        <v>2972</v>
      </c>
      <c r="AN278" s="283" t="s">
        <v>2973</v>
      </c>
      <c r="AO278" s="283" t="s">
        <v>2974</v>
      </c>
      <c r="AP278" s="283">
        <v>37321</v>
      </c>
      <c r="AQ278" s="283" t="s">
        <v>2975</v>
      </c>
      <c r="AR278" s="283" t="s">
        <v>2976</v>
      </c>
      <c r="AS278" s="283" t="s">
        <v>2977</v>
      </c>
      <c r="AT278" s="283" t="s">
        <v>2978</v>
      </c>
      <c r="AU278" s="283" t="s">
        <v>2979</v>
      </c>
      <c r="AV278" s="283" t="s">
        <v>2980</v>
      </c>
      <c r="AW278" s="283">
        <f t="shared" si="35"/>
        <v>59947.1666666667</v>
      </c>
      <c r="AX278" s="283"/>
      <c r="AY278" s="283"/>
      <c r="AZ278" s="283"/>
      <c r="BA278" s="283"/>
      <c r="BB278" s="283"/>
      <c r="BC278" s="283"/>
      <c r="BD278" s="283"/>
      <c r="BE278" s="283"/>
      <c r="BF278" s="283"/>
      <c r="BG278" s="283"/>
      <c r="BH278" s="283"/>
      <c r="BI278" s="283"/>
      <c r="BJ278" s="283"/>
      <c r="BK278" s="283"/>
      <c r="BL278" s="283"/>
      <c r="BM278" s="283"/>
      <c r="BN278" s="283"/>
      <c r="BO278" s="283"/>
      <c r="BP278" s="283"/>
      <c r="BQ278" s="283"/>
      <c r="BR278" s="283"/>
      <c r="BS278" s="283"/>
      <c r="BT278" s="283"/>
      <c r="BU278" s="283"/>
      <c r="BV278" s="283"/>
      <c r="BW278" s="283"/>
      <c r="BX278" s="283"/>
      <c r="BY278" s="283">
        <f>41100*0.3725*2</f>
        <v>30619.5</v>
      </c>
      <c r="BZ278" s="283">
        <f>48800*0.2921*2</f>
        <v>28508.96</v>
      </c>
      <c r="CA278" s="283">
        <v>43600</v>
      </c>
      <c r="CB278" s="283">
        <v>29700</v>
      </c>
      <c r="CC278" s="283">
        <v>30000</v>
      </c>
      <c r="CD278" s="283">
        <v>12500</v>
      </c>
      <c r="CE278" s="283">
        <v>14900</v>
      </c>
      <c r="CF278" s="283">
        <v>14000</v>
      </c>
      <c r="CG278" s="283">
        <v>61500</v>
      </c>
      <c r="CH278" s="283">
        <v>10000</v>
      </c>
      <c r="CI278" s="283">
        <v>25457.76</v>
      </c>
      <c r="CJ278" s="283">
        <v>27529.84</v>
      </c>
      <c r="CK278" s="283">
        <f t="shared" si="36"/>
        <v>23917.5066666667</v>
      </c>
      <c r="CL278" s="398"/>
      <c r="CM278" s="371">
        <f>Summary!$D$11</f>
        <v>495890.9464</v>
      </c>
      <c r="CN278" s="258">
        <f t="shared" si="37"/>
        <v>1</v>
      </c>
    </row>
    <row r="279" ht="15.6" spans="1:92">
      <c r="A279" s="258" t="s">
        <v>168</v>
      </c>
      <c r="B279" s="258" t="s">
        <v>812</v>
      </c>
      <c r="C279" s="258" t="s">
        <v>243</v>
      </c>
      <c r="D279" s="258" t="s">
        <v>303</v>
      </c>
      <c r="E279" s="258" t="s">
        <v>441</v>
      </c>
      <c r="F279" s="260" t="s">
        <v>411</v>
      </c>
      <c r="G279" s="260"/>
      <c r="H279" s="283">
        <f t="shared" si="34"/>
        <v>40924.5</v>
      </c>
      <c r="I279" s="360" t="s">
        <v>2981</v>
      </c>
      <c r="J279" s="258"/>
      <c r="K279" s="258"/>
      <c r="L279" s="258"/>
      <c r="M279" s="258"/>
      <c r="N279" s="258"/>
      <c r="O279" s="258"/>
      <c r="P279" s="258"/>
      <c r="Q279" s="258"/>
      <c r="R279" s="258"/>
      <c r="S279" s="258"/>
      <c r="T279" s="258"/>
      <c r="U279" s="258"/>
      <c r="V279" s="258"/>
      <c r="W279" s="258"/>
      <c r="X279" s="258"/>
      <c r="Y279" s="258"/>
      <c r="Z279" s="258"/>
      <c r="AA279" s="258"/>
      <c r="AB279" s="258"/>
      <c r="AC279" s="258"/>
      <c r="AD279" s="258"/>
      <c r="AE279" s="258"/>
      <c r="AF279" s="258"/>
      <c r="AG279" s="258"/>
      <c r="AH279" s="258"/>
      <c r="AI279" s="258"/>
      <c r="AJ279" s="258"/>
      <c r="AK279" s="283" t="s">
        <v>2982</v>
      </c>
      <c r="AL279" s="283">
        <v>23858</v>
      </c>
      <c r="AM279" s="283" t="s">
        <v>2983</v>
      </c>
      <c r="AN279" s="283" t="s">
        <v>2984</v>
      </c>
      <c r="AO279" s="283" t="s">
        <v>2985</v>
      </c>
      <c r="AP279" s="283">
        <v>28642</v>
      </c>
      <c r="AQ279" s="283" t="s">
        <v>2986</v>
      </c>
      <c r="AR279" s="283">
        <f>42543*0.3325*2</f>
        <v>28291.095</v>
      </c>
      <c r="AS279" s="283" t="s">
        <v>2987</v>
      </c>
      <c r="AT279" s="283" t="s">
        <v>2988</v>
      </c>
      <c r="AU279" s="283" t="s">
        <v>2989</v>
      </c>
      <c r="AV279" s="283" t="s">
        <v>2990</v>
      </c>
      <c r="AW279" s="283">
        <f t="shared" si="35"/>
        <v>52699</v>
      </c>
      <c r="AX279" s="283"/>
      <c r="AY279" s="283"/>
      <c r="AZ279" s="283"/>
      <c r="BA279" s="283"/>
      <c r="BB279" s="283"/>
      <c r="BC279" s="283"/>
      <c r="BD279" s="283"/>
      <c r="BE279" s="283"/>
      <c r="BF279" s="283"/>
      <c r="BG279" s="283"/>
      <c r="BH279" s="283"/>
      <c r="BI279" s="283"/>
      <c r="BJ279" s="283"/>
      <c r="BK279" s="283"/>
      <c r="BL279" s="283"/>
      <c r="BM279" s="283"/>
      <c r="BN279" s="283"/>
      <c r="BO279" s="283"/>
      <c r="BP279" s="283"/>
      <c r="BQ279" s="283"/>
      <c r="BR279" s="283"/>
      <c r="BS279" s="283"/>
      <c r="BT279" s="283"/>
      <c r="BU279" s="283"/>
      <c r="BV279" s="283"/>
      <c r="BW279" s="283"/>
      <c r="BX279" s="283"/>
      <c r="BY279" s="283">
        <v>6700</v>
      </c>
      <c r="BZ279" s="283">
        <v>5200</v>
      </c>
      <c r="CA279" s="283">
        <v>9100</v>
      </c>
      <c r="CB279" s="283">
        <v>36000</v>
      </c>
      <c r="CC279" s="283">
        <f>183100*0.1492*2</f>
        <v>54637.04</v>
      </c>
      <c r="CD279" s="283">
        <v>10400</v>
      </c>
      <c r="CE279" s="283">
        <v>18200</v>
      </c>
      <c r="CF279" s="283">
        <f>63400*0.396*2</f>
        <v>50212.8</v>
      </c>
      <c r="CG279" s="283">
        <v>15400</v>
      </c>
      <c r="CH279" s="283">
        <v>34200</v>
      </c>
      <c r="CI279" s="283">
        <v>18600</v>
      </c>
      <c r="CJ279" s="283">
        <v>34500</v>
      </c>
      <c r="CK279" s="283">
        <f t="shared" si="36"/>
        <v>29150</v>
      </c>
      <c r="CL279" s="398"/>
      <c r="CM279" s="371">
        <f>Summary!$D$11</f>
        <v>495890.9464</v>
      </c>
      <c r="CN279" s="258">
        <f t="shared" si="37"/>
        <v>1</v>
      </c>
    </row>
    <row r="280" ht="15.6" spans="1:92">
      <c r="A280" s="258" t="s">
        <v>2991</v>
      </c>
      <c r="B280" s="258" t="s">
        <v>812</v>
      </c>
      <c r="C280" s="258" t="s">
        <v>243</v>
      </c>
      <c r="D280" s="311" t="s">
        <v>2992</v>
      </c>
      <c r="E280" s="258" t="s">
        <v>441</v>
      </c>
      <c r="F280" s="260" t="s">
        <v>2993</v>
      </c>
      <c r="G280" s="260"/>
      <c r="H280" s="283">
        <f t="shared" si="34"/>
        <v>490.281666666667</v>
      </c>
      <c r="I280" s="360" t="s">
        <v>2994</v>
      </c>
      <c r="J280" s="258"/>
      <c r="K280" s="258"/>
      <c r="L280" s="258"/>
      <c r="M280" s="258"/>
      <c r="N280" s="258"/>
      <c r="O280" s="258"/>
      <c r="P280" s="258"/>
      <c r="Q280" s="258"/>
      <c r="R280" s="258"/>
      <c r="S280" s="258"/>
      <c r="T280" s="258"/>
      <c r="U280" s="258"/>
      <c r="V280" s="258"/>
      <c r="W280" s="258"/>
      <c r="X280" s="258"/>
      <c r="Y280" s="258"/>
      <c r="Z280" s="258"/>
      <c r="AA280" s="258"/>
      <c r="AB280" s="258"/>
      <c r="AC280" s="258"/>
      <c r="AD280" s="258"/>
      <c r="AE280" s="258"/>
      <c r="AF280" s="258"/>
      <c r="AG280" s="258"/>
      <c r="AH280" s="258"/>
      <c r="AI280" s="258"/>
      <c r="AJ280" s="258"/>
      <c r="AK280" s="283" t="s">
        <v>796</v>
      </c>
      <c r="AL280" s="283">
        <v>7244</v>
      </c>
      <c r="AM280" s="283" t="s">
        <v>2995</v>
      </c>
      <c r="AN280" s="283" t="s">
        <v>2996</v>
      </c>
      <c r="AO280" s="283" t="s">
        <v>2890</v>
      </c>
      <c r="AP280" s="283">
        <v>0</v>
      </c>
      <c r="AQ280" s="283" t="s">
        <v>796</v>
      </c>
      <c r="AR280" s="283" t="s">
        <v>2997</v>
      </c>
      <c r="AS280" s="283" t="s">
        <v>2998</v>
      </c>
      <c r="AT280" s="283" t="s">
        <v>2999</v>
      </c>
      <c r="AU280" s="283" t="s">
        <v>796</v>
      </c>
      <c r="AV280" s="283" t="s">
        <v>796</v>
      </c>
      <c r="AW280" s="283">
        <f t="shared" si="35"/>
        <v>98.5</v>
      </c>
      <c r="AX280" s="283"/>
      <c r="AY280" s="283"/>
      <c r="AZ280" s="283"/>
      <c r="BA280" s="283"/>
      <c r="BB280" s="283"/>
      <c r="BC280" s="283"/>
      <c r="BD280" s="283"/>
      <c r="BE280" s="283"/>
      <c r="BF280" s="283"/>
      <c r="BG280" s="283"/>
      <c r="BH280" s="283"/>
      <c r="BI280" s="283"/>
      <c r="BJ280" s="283"/>
      <c r="BK280" s="283"/>
      <c r="BL280" s="283"/>
      <c r="BM280" s="283"/>
      <c r="BN280" s="283"/>
      <c r="BO280" s="283"/>
      <c r="BP280" s="283"/>
      <c r="BQ280" s="283"/>
      <c r="BR280" s="283"/>
      <c r="BS280" s="283"/>
      <c r="BT280" s="283"/>
      <c r="BU280" s="283"/>
      <c r="BV280" s="283"/>
      <c r="BW280" s="283"/>
      <c r="BX280" s="283"/>
      <c r="BY280" s="283">
        <v>0</v>
      </c>
      <c r="BZ280" s="283">
        <v>7100</v>
      </c>
      <c r="CA280" s="283">
        <v>19000</v>
      </c>
      <c r="CB280" s="283">
        <v>2600</v>
      </c>
      <c r="CC280" s="283">
        <v>0</v>
      </c>
      <c r="CD280" s="283">
        <v>431</v>
      </c>
      <c r="CE280" s="283">
        <v>2400</v>
      </c>
      <c r="CF280" s="283">
        <v>439</v>
      </c>
      <c r="CG280" s="283">
        <v>0</v>
      </c>
      <c r="CH280" s="283">
        <v>5158.38</v>
      </c>
      <c r="CI280" s="283">
        <v>67</v>
      </c>
      <c r="CJ280" s="283">
        <v>0</v>
      </c>
      <c r="CK280" s="283">
        <f t="shared" si="36"/>
        <v>882.063333333333</v>
      </c>
      <c r="CL280" s="398"/>
      <c r="CM280" s="371">
        <f>Summary!$D$10</f>
        <v>496999.618566666</v>
      </c>
      <c r="CN280" s="258">
        <f t="shared" si="37"/>
        <v>0</v>
      </c>
    </row>
    <row r="281" ht="15.6" spans="1:92">
      <c r="A281" s="258" t="s">
        <v>2991</v>
      </c>
      <c r="B281" s="258" t="s">
        <v>812</v>
      </c>
      <c r="C281" s="258" t="s">
        <v>243</v>
      </c>
      <c r="D281" s="311" t="s">
        <v>3000</v>
      </c>
      <c r="E281" s="258" t="s">
        <v>441</v>
      </c>
      <c r="F281" s="260" t="s">
        <v>266</v>
      </c>
      <c r="G281" s="260"/>
      <c r="H281" s="283">
        <f t="shared" si="34"/>
        <v>1902</v>
      </c>
      <c r="I281" s="360" t="s">
        <v>3001</v>
      </c>
      <c r="J281" s="258"/>
      <c r="K281" s="258"/>
      <c r="L281" s="258"/>
      <c r="M281" s="258"/>
      <c r="N281" s="258"/>
      <c r="O281" s="258"/>
      <c r="P281" s="258"/>
      <c r="Q281" s="258"/>
      <c r="R281" s="258"/>
      <c r="S281" s="258"/>
      <c r="T281" s="258"/>
      <c r="U281" s="258"/>
      <c r="V281" s="258"/>
      <c r="W281" s="258"/>
      <c r="X281" s="258"/>
      <c r="Y281" s="258"/>
      <c r="Z281" s="258"/>
      <c r="AA281" s="258"/>
      <c r="AB281" s="258"/>
      <c r="AC281" s="258"/>
      <c r="AD281" s="258"/>
      <c r="AE281" s="258"/>
      <c r="AF281" s="258"/>
      <c r="AG281" s="258"/>
      <c r="AH281" s="258"/>
      <c r="AI281" s="258"/>
      <c r="AJ281" s="258"/>
      <c r="AK281" s="283" t="s">
        <v>2338</v>
      </c>
      <c r="AL281" s="283">
        <v>4330</v>
      </c>
      <c r="AM281" s="283" t="s">
        <v>3002</v>
      </c>
      <c r="AN281" s="283" t="s">
        <v>3003</v>
      </c>
      <c r="AO281" s="283" t="s">
        <v>3004</v>
      </c>
      <c r="AP281" s="283">
        <v>0</v>
      </c>
      <c r="AQ281" s="283" t="s">
        <v>3005</v>
      </c>
      <c r="AR281" s="283" t="s">
        <v>3006</v>
      </c>
      <c r="AS281" s="283" t="s">
        <v>3007</v>
      </c>
      <c r="AT281" s="283" t="s">
        <v>3008</v>
      </c>
      <c r="AU281" s="283" t="s">
        <v>3009</v>
      </c>
      <c r="AV281" s="283" t="s">
        <v>3010</v>
      </c>
      <c r="AW281" s="283">
        <f t="shared" si="35"/>
        <v>865</v>
      </c>
      <c r="AX281" s="283"/>
      <c r="AY281" s="283"/>
      <c r="AZ281" s="283"/>
      <c r="BA281" s="283"/>
      <c r="BB281" s="283"/>
      <c r="BC281" s="283"/>
      <c r="BD281" s="283"/>
      <c r="BE281" s="283"/>
      <c r="BF281" s="283"/>
      <c r="BG281" s="283"/>
      <c r="BH281" s="283"/>
      <c r="BI281" s="283"/>
      <c r="BJ281" s="283"/>
      <c r="BK281" s="283"/>
      <c r="BL281" s="283"/>
      <c r="BM281" s="283"/>
      <c r="BN281" s="283"/>
      <c r="BO281" s="283"/>
      <c r="BP281" s="283"/>
      <c r="BQ281" s="283"/>
      <c r="BR281" s="283"/>
      <c r="BS281" s="283"/>
      <c r="BT281" s="283"/>
      <c r="BU281" s="283"/>
      <c r="BV281" s="283"/>
      <c r="BW281" s="283"/>
      <c r="BX281" s="283"/>
      <c r="BY281" s="283">
        <v>2400</v>
      </c>
      <c r="BZ281" s="283">
        <v>2700</v>
      </c>
      <c r="CA281" s="283">
        <v>14787.36</v>
      </c>
      <c r="CB281" s="283">
        <v>4800</v>
      </c>
      <c r="CC281" s="283">
        <v>2600</v>
      </c>
      <c r="CD281" s="283">
        <v>1100</v>
      </c>
      <c r="CE281" s="283">
        <v>0</v>
      </c>
      <c r="CF281" s="283">
        <v>439</v>
      </c>
      <c r="CG281" s="283">
        <v>0</v>
      </c>
      <c r="CH281" s="283">
        <v>17500</v>
      </c>
      <c r="CI281" s="283">
        <v>67</v>
      </c>
      <c r="CJ281" s="283">
        <v>0</v>
      </c>
      <c r="CK281" s="283">
        <f t="shared" si="36"/>
        <v>2939</v>
      </c>
      <c r="CL281" s="398"/>
      <c r="CM281" s="371">
        <f>Summary!$D$10</f>
        <v>496999.618566666</v>
      </c>
      <c r="CN281" s="258">
        <f t="shared" si="37"/>
        <v>0</v>
      </c>
    </row>
    <row r="282" ht="15.6" spans="1:92">
      <c r="A282" s="258" t="s">
        <v>141</v>
      </c>
      <c r="B282" s="258" t="s">
        <v>812</v>
      </c>
      <c r="C282" s="258" t="s">
        <v>230</v>
      </c>
      <c r="D282" s="311" t="s">
        <v>3011</v>
      </c>
      <c r="E282" s="258" t="s">
        <v>233</v>
      </c>
      <c r="F282" s="260" t="s">
        <v>49</v>
      </c>
      <c r="G282" s="260"/>
      <c r="H282" s="283">
        <f t="shared" si="34"/>
        <v>26428.55</v>
      </c>
      <c r="I282" s="360" t="s">
        <v>1898</v>
      </c>
      <c r="J282" s="258"/>
      <c r="K282" s="258"/>
      <c r="L282" s="258"/>
      <c r="M282" s="258"/>
      <c r="N282" s="258"/>
      <c r="O282" s="258"/>
      <c r="P282" s="258"/>
      <c r="Q282" s="258"/>
      <c r="R282" s="258"/>
      <c r="S282" s="258"/>
      <c r="T282" s="258"/>
      <c r="U282" s="258"/>
      <c r="V282" s="258"/>
      <c r="W282" s="258"/>
      <c r="X282" s="258"/>
      <c r="Y282" s="258"/>
      <c r="Z282" s="258"/>
      <c r="AA282" s="258"/>
      <c r="AB282" s="258"/>
      <c r="AC282" s="258"/>
      <c r="AD282" s="258"/>
      <c r="AE282" s="258"/>
      <c r="AF282" s="258"/>
      <c r="AG282" s="258"/>
      <c r="AH282" s="258"/>
      <c r="AI282" s="258"/>
      <c r="AJ282" s="258"/>
      <c r="AK282" s="283" t="s">
        <v>3012</v>
      </c>
      <c r="AL282" s="283">
        <v>28320</v>
      </c>
      <c r="AM282" s="283" t="s">
        <v>3013</v>
      </c>
      <c r="AN282" s="283" t="s">
        <v>3014</v>
      </c>
      <c r="AO282" s="283" t="s">
        <v>3015</v>
      </c>
      <c r="AP282" s="283">
        <v>35052</v>
      </c>
      <c r="AQ282" s="283" t="s">
        <v>3016</v>
      </c>
      <c r="AR282" s="283" t="s">
        <v>3017</v>
      </c>
      <c r="AS282" s="283" t="s">
        <v>3018</v>
      </c>
      <c r="AT282" s="283" t="s">
        <v>3019</v>
      </c>
      <c r="AU282" s="283" t="s">
        <v>2300</v>
      </c>
      <c r="AV282" s="283" t="s">
        <v>3020</v>
      </c>
      <c r="AW282" s="283">
        <f t="shared" si="35"/>
        <v>33602.5</v>
      </c>
      <c r="AX282" s="283"/>
      <c r="AY282" s="283"/>
      <c r="AZ282" s="283"/>
      <c r="BA282" s="283"/>
      <c r="BB282" s="283"/>
      <c r="BC282" s="283"/>
      <c r="BD282" s="283"/>
      <c r="BE282" s="283"/>
      <c r="BF282" s="283"/>
      <c r="BG282" s="283"/>
      <c r="BH282" s="283"/>
      <c r="BI282" s="283"/>
      <c r="BJ282" s="283"/>
      <c r="BK282" s="283"/>
      <c r="BL282" s="283"/>
      <c r="BM282" s="283"/>
      <c r="BN282" s="283"/>
      <c r="BO282" s="283"/>
      <c r="BP282" s="283"/>
      <c r="BQ282" s="283"/>
      <c r="BR282" s="283"/>
      <c r="BS282" s="283"/>
      <c r="BT282" s="283"/>
      <c r="BU282" s="283"/>
      <c r="BV282" s="283"/>
      <c r="BW282" s="283"/>
      <c r="BX282" s="283"/>
      <c r="BY282" s="283">
        <v>65900</v>
      </c>
      <c r="BZ282" s="283">
        <v>24900</v>
      </c>
      <c r="CA282" s="283">
        <v>47720.4</v>
      </c>
      <c r="CB282" s="283">
        <v>21200</v>
      </c>
      <c r="CC282" s="283">
        <v>42000</v>
      </c>
      <c r="CD282" s="283">
        <v>43400</v>
      </c>
      <c r="CE282" s="283">
        <v>21945</v>
      </c>
      <c r="CF282" s="283">
        <v>13300</v>
      </c>
      <c r="CG282" s="283">
        <v>50128.32</v>
      </c>
      <c r="CH282" s="283">
        <v>9600</v>
      </c>
      <c r="CI282" s="283">
        <v>16800</v>
      </c>
      <c r="CJ282" s="283">
        <v>24109.2</v>
      </c>
      <c r="CK282" s="283">
        <f t="shared" si="36"/>
        <v>19254.6</v>
      </c>
      <c r="CL282" s="398"/>
      <c r="CM282" s="371">
        <f>Summary!$D$3</f>
        <v>2112033.31166667</v>
      </c>
      <c r="CN282" s="258">
        <f t="shared" si="37"/>
        <v>0</v>
      </c>
    </row>
    <row r="283" ht="15.6" spans="1:92">
      <c r="A283" s="258" t="s">
        <v>149</v>
      </c>
      <c r="B283" s="258" t="s">
        <v>812</v>
      </c>
      <c r="C283" s="258" t="s">
        <v>243</v>
      </c>
      <c r="D283" s="342" t="s">
        <v>264</v>
      </c>
      <c r="E283" s="258" t="s">
        <v>441</v>
      </c>
      <c r="F283" s="260" t="s">
        <v>60</v>
      </c>
      <c r="G283" s="260"/>
      <c r="H283" s="283">
        <f t="shared" si="34"/>
        <v>84589.5166666665</v>
      </c>
      <c r="I283" s="360" t="s">
        <v>3021</v>
      </c>
      <c r="J283" s="258"/>
      <c r="K283" s="258"/>
      <c r="L283" s="258"/>
      <c r="M283" s="258"/>
      <c r="N283" s="258"/>
      <c r="O283" s="258"/>
      <c r="P283" s="258"/>
      <c r="Q283" s="258"/>
      <c r="R283" s="258"/>
      <c r="S283" s="25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283" t="s">
        <v>3022</v>
      </c>
      <c r="AL283" s="283">
        <v>61436</v>
      </c>
      <c r="AM283" s="283" t="s">
        <v>3023</v>
      </c>
      <c r="AN283" s="283" t="s">
        <v>3024</v>
      </c>
      <c r="AO283" s="283" t="s">
        <v>3025</v>
      </c>
      <c r="AP283" s="283">
        <f>136913*0.333*2</f>
        <v>91184.058</v>
      </c>
      <c r="AQ283" s="283" t="s">
        <v>3026</v>
      </c>
      <c r="AR283" s="283" t="s">
        <v>3027</v>
      </c>
      <c r="AS283" s="283" t="s">
        <v>3028</v>
      </c>
      <c r="AT283" s="283" t="s">
        <v>3029</v>
      </c>
      <c r="AU283" s="283" t="s">
        <v>3030</v>
      </c>
      <c r="AV283" s="283" t="s">
        <v>3031</v>
      </c>
      <c r="AW283" s="283">
        <f t="shared" si="35"/>
        <v>109123.333333333</v>
      </c>
      <c r="AX283" s="283"/>
      <c r="AY283" s="283"/>
      <c r="AZ283" s="283"/>
      <c r="BA283" s="283"/>
      <c r="BB283" s="283"/>
      <c r="BC283" s="283"/>
      <c r="BD283" s="283"/>
      <c r="BE283" s="283"/>
      <c r="BF283" s="283"/>
      <c r="BG283" s="283"/>
      <c r="BH283" s="283"/>
      <c r="BI283" s="283"/>
      <c r="BJ283" s="283"/>
      <c r="BK283" s="283"/>
      <c r="BL283" s="283"/>
      <c r="BM283" s="283"/>
      <c r="BN283" s="283"/>
      <c r="BO283" s="283"/>
      <c r="BP283" s="283"/>
      <c r="BQ283" s="283"/>
      <c r="BR283" s="283"/>
      <c r="BS283" s="283"/>
      <c r="BT283" s="283"/>
      <c r="BU283" s="283"/>
      <c r="BV283" s="283"/>
      <c r="BW283" s="283"/>
      <c r="BX283" s="283"/>
      <c r="BY283" s="283">
        <v>77800</v>
      </c>
      <c r="BZ283" s="283">
        <v>67600</v>
      </c>
      <c r="CA283" s="283">
        <v>60800</v>
      </c>
      <c r="CB283" s="283">
        <v>39700</v>
      </c>
      <c r="CC283" s="283">
        <v>68800</v>
      </c>
      <c r="CD283" s="283">
        <v>31500</v>
      </c>
      <c r="CE283" s="283">
        <v>31500</v>
      </c>
      <c r="CF283" s="283">
        <v>86000</v>
      </c>
      <c r="CG283" s="283">
        <v>57220.64</v>
      </c>
      <c r="CH283" s="283">
        <v>53100</v>
      </c>
      <c r="CI283" s="283">
        <v>53867.1</v>
      </c>
      <c r="CJ283" s="283">
        <v>66500</v>
      </c>
      <c r="CK283" s="283">
        <f t="shared" si="36"/>
        <v>60055.7</v>
      </c>
      <c r="CL283" s="398"/>
      <c r="CM283" s="371">
        <f>Summary!$D$5</f>
        <v>1543433.55918333</v>
      </c>
      <c r="CN283" s="258">
        <f t="shared" si="37"/>
        <v>1</v>
      </c>
    </row>
    <row r="284" ht="31.2" spans="1:92">
      <c r="A284" s="258" t="s">
        <v>149</v>
      </c>
      <c r="B284" s="258" t="s">
        <v>812</v>
      </c>
      <c r="C284" s="258" t="s">
        <v>230</v>
      </c>
      <c r="D284" s="311" t="s">
        <v>3032</v>
      </c>
      <c r="E284" s="258" t="s">
        <v>233</v>
      </c>
      <c r="F284" s="260" t="s">
        <v>430</v>
      </c>
      <c r="G284" s="260"/>
      <c r="H284" s="283">
        <f t="shared" si="34"/>
        <v>133.916666666666</v>
      </c>
      <c r="I284" s="292" t="s">
        <v>3033</v>
      </c>
      <c r="J284" s="258"/>
      <c r="K284" s="258"/>
      <c r="L284" s="258"/>
      <c r="M284" s="258"/>
      <c r="N284" s="258"/>
      <c r="O284" s="258"/>
      <c r="P284" s="258"/>
      <c r="Q284" s="258"/>
      <c r="R284" s="258"/>
      <c r="S284" s="258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283">
        <v>25762</v>
      </c>
      <c r="AL284" s="283">
        <v>21716</v>
      </c>
      <c r="AM284" s="283" t="s">
        <v>3034</v>
      </c>
      <c r="AN284" s="283" t="s">
        <v>3035</v>
      </c>
      <c r="AO284" s="283" t="s">
        <v>3036</v>
      </c>
      <c r="AP284" s="283">
        <v>8350</v>
      </c>
      <c r="AQ284" s="283" t="s">
        <v>3037</v>
      </c>
      <c r="AR284" s="283" t="s">
        <v>3038</v>
      </c>
      <c r="AS284" s="283" t="s">
        <v>796</v>
      </c>
      <c r="AT284" s="283" t="s">
        <v>796</v>
      </c>
      <c r="AU284" s="283" t="s">
        <v>3039</v>
      </c>
      <c r="AV284" s="283" t="s">
        <v>3040</v>
      </c>
      <c r="AW284" s="283">
        <f t="shared" si="35"/>
        <v>267.833333333333</v>
      </c>
      <c r="AX284" s="283"/>
      <c r="AY284" s="283"/>
      <c r="AZ284" s="283"/>
      <c r="BA284" s="283"/>
      <c r="BB284" s="283"/>
      <c r="BC284" s="283"/>
      <c r="BD284" s="283"/>
      <c r="BE284" s="283"/>
      <c r="BF284" s="283"/>
      <c r="BG284" s="283"/>
      <c r="BH284" s="283"/>
      <c r="BI284" s="283"/>
      <c r="BJ284" s="283"/>
      <c r="BK284" s="283"/>
      <c r="BL284" s="283"/>
      <c r="BM284" s="283"/>
      <c r="BN284" s="283"/>
      <c r="BO284" s="283"/>
      <c r="BP284" s="283"/>
      <c r="BQ284" s="283"/>
      <c r="BR284" s="283"/>
      <c r="BS284" s="283"/>
      <c r="BT284" s="283"/>
      <c r="BU284" s="283"/>
      <c r="BV284" s="283"/>
      <c r="BW284" s="283"/>
      <c r="BX284" s="283"/>
      <c r="BY284" s="283">
        <v>0</v>
      </c>
      <c r="BZ284" s="283">
        <v>224</v>
      </c>
      <c r="CA284" s="283">
        <v>0</v>
      </c>
      <c r="CB284" s="283">
        <v>0</v>
      </c>
      <c r="CC284" s="283">
        <v>0</v>
      </c>
      <c r="CD284" s="283">
        <v>0</v>
      </c>
      <c r="CE284" s="283">
        <v>0</v>
      </c>
      <c r="CF284" s="283">
        <v>0</v>
      </c>
      <c r="CG284" s="283">
        <v>0</v>
      </c>
      <c r="CH284" s="283">
        <v>0</v>
      </c>
      <c r="CI284" s="283">
        <v>0</v>
      </c>
      <c r="CJ284" s="283">
        <v>0</v>
      </c>
      <c r="CK284" s="283">
        <f t="shared" si="36"/>
        <v>0</v>
      </c>
      <c r="CL284" s="398"/>
      <c r="CM284" s="371">
        <f>Summary!$D$5</f>
        <v>1543433.55918333</v>
      </c>
      <c r="CN284" s="258">
        <f t="shared" si="37"/>
        <v>0</v>
      </c>
    </row>
    <row r="285" ht="46.8" spans="1:92">
      <c r="A285" s="258" t="s">
        <v>149</v>
      </c>
      <c r="B285" s="258" t="s">
        <v>812</v>
      </c>
      <c r="C285" s="258" t="s">
        <v>230</v>
      </c>
      <c r="D285" s="311" t="s">
        <v>459</v>
      </c>
      <c r="E285" s="258" t="s">
        <v>441</v>
      </c>
      <c r="F285" s="260" t="s">
        <v>419</v>
      </c>
      <c r="G285" s="260"/>
      <c r="H285" s="283">
        <f>(AW285+CK285)/2*0.33</f>
        <v>26517.0125000001</v>
      </c>
      <c r="I285" s="292" t="s">
        <v>1180</v>
      </c>
      <c r="J285" s="258"/>
      <c r="K285" s="258"/>
      <c r="L285" s="258"/>
      <c r="M285" s="258"/>
      <c r="N285" s="258"/>
      <c r="O285" s="258"/>
      <c r="P285" s="258"/>
      <c r="Q285" s="258"/>
      <c r="R285" s="258"/>
      <c r="S285" s="258"/>
      <c r="T285" s="258"/>
      <c r="U285" s="258"/>
      <c r="V285" s="258"/>
      <c r="W285" s="258"/>
      <c r="X285" s="258"/>
      <c r="Y285" s="258"/>
      <c r="Z285" s="258"/>
      <c r="AA285" s="258"/>
      <c r="AB285" s="258"/>
      <c r="AC285" s="258"/>
      <c r="AD285" s="258"/>
      <c r="AE285" s="258"/>
      <c r="AF285" s="258"/>
      <c r="AG285" s="258"/>
      <c r="AH285" s="258"/>
      <c r="AI285" s="258"/>
      <c r="AJ285" s="258"/>
      <c r="AK285" s="283">
        <v>136385</v>
      </c>
      <c r="AL285" s="283">
        <v>113011</v>
      </c>
      <c r="AM285" s="283" t="s">
        <v>1181</v>
      </c>
      <c r="AN285" s="283" t="s">
        <v>1182</v>
      </c>
      <c r="AO285" s="283" t="s">
        <v>1183</v>
      </c>
      <c r="AP285" s="283">
        <f>155870*0.1978*2</f>
        <v>61662.172</v>
      </c>
      <c r="AQ285" s="283" t="s">
        <v>1184</v>
      </c>
      <c r="AR285" s="283" t="s">
        <v>1185</v>
      </c>
      <c r="AS285" s="283" t="s">
        <v>1186</v>
      </c>
      <c r="AT285" s="283" t="s">
        <v>1187</v>
      </c>
      <c r="AU285" s="283" t="s">
        <v>1188</v>
      </c>
      <c r="AV285" s="283" t="s">
        <v>1189</v>
      </c>
      <c r="AW285" s="283">
        <f t="shared" si="35"/>
        <v>126679.166666667</v>
      </c>
      <c r="AX285" s="283"/>
      <c r="AY285" s="283"/>
      <c r="AZ285" s="283"/>
      <c r="BA285" s="283"/>
      <c r="BB285" s="283"/>
      <c r="BC285" s="283"/>
      <c r="BD285" s="283"/>
      <c r="BE285" s="283"/>
      <c r="BF285" s="283"/>
      <c r="BG285" s="283"/>
      <c r="BH285" s="283"/>
      <c r="BI285" s="283"/>
      <c r="BJ285" s="283"/>
      <c r="BK285" s="283"/>
      <c r="BL285" s="283"/>
      <c r="BM285" s="283"/>
      <c r="BN285" s="283"/>
      <c r="BO285" s="283"/>
      <c r="BP285" s="283"/>
      <c r="BQ285" s="283"/>
      <c r="BR285" s="283"/>
      <c r="BS285" s="283"/>
      <c r="BT285" s="283"/>
      <c r="BU285" s="283"/>
      <c r="BV285" s="283"/>
      <c r="BW285" s="283"/>
      <c r="BX285" s="283"/>
      <c r="BY285" s="283">
        <v>101600</v>
      </c>
      <c r="BZ285" s="283">
        <v>93900</v>
      </c>
      <c r="CA285" s="283">
        <v>108100</v>
      </c>
      <c r="CB285" s="283">
        <v>43100</v>
      </c>
      <c r="CC285" s="283">
        <v>27600</v>
      </c>
      <c r="CD285" s="283">
        <v>39400</v>
      </c>
      <c r="CE285" s="283">
        <v>51000</v>
      </c>
      <c r="CF285" s="283">
        <v>11100</v>
      </c>
      <c r="CG285" s="283">
        <v>51800</v>
      </c>
      <c r="CH285" s="283">
        <v>55100</v>
      </c>
      <c r="CI285" s="283">
        <v>28100</v>
      </c>
      <c r="CJ285" s="283">
        <v>30960</v>
      </c>
      <c r="CK285" s="283">
        <f t="shared" si="36"/>
        <v>34030</v>
      </c>
      <c r="CL285" s="398"/>
      <c r="CM285" s="371">
        <f>Summary!$D$5</f>
        <v>1543433.55918333</v>
      </c>
      <c r="CN285" s="258">
        <f t="shared" si="37"/>
        <v>0</v>
      </c>
    </row>
    <row r="286" ht="15.6" spans="1:92">
      <c r="A286" s="258" t="s">
        <v>159</v>
      </c>
      <c r="B286" s="258" t="s">
        <v>812</v>
      </c>
      <c r="C286" s="258" t="s">
        <v>243</v>
      </c>
      <c r="D286" s="311" t="s">
        <v>3041</v>
      </c>
      <c r="E286" s="258" t="s">
        <v>441</v>
      </c>
      <c r="F286" s="260" t="s">
        <v>266</v>
      </c>
      <c r="G286" s="260"/>
      <c r="H286" s="283">
        <f>(AW286+CK286)/2</f>
        <v>6910.08333333333</v>
      </c>
      <c r="I286" s="360" t="s">
        <v>1898</v>
      </c>
      <c r="J286" s="258"/>
      <c r="K286" s="258"/>
      <c r="L286" s="258"/>
      <c r="M286" s="258"/>
      <c r="N286" s="258"/>
      <c r="O286" s="258"/>
      <c r="P286" s="258"/>
      <c r="Q286" s="258"/>
      <c r="R286" s="258"/>
      <c r="S286" s="258"/>
      <c r="T286" s="258"/>
      <c r="U286" s="258"/>
      <c r="V286" s="258"/>
      <c r="W286" s="258"/>
      <c r="X286" s="258"/>
      <c r="Y286" s="258"/>
      <c r="Z286" s="258"/>
      <c r="AA286" s="258"/>
      <c r="AB286" s="258"/>
      <c r="AC286" s="258"/>
      <c r="AD286" s="258"/>
      <c r="AE286" s="258"/>
      <c r="AF286" s="258"/>
      <c r="AG286" s="258"/>
      <c r="AH286" s="258"/>
      <c r="AI286" s="258"/>
      <c r="AJ286" s="258"/>
      <c r="AK286" s="283" t="s">
        <v>3042</v>
      </c>
      <c r="AL286" s="283">
        <v>21815</v>
      </c>
      <c r="AM286" s="283" t="s">
        <v>3043</v>
      </c>
      <c r="AN286" s="283" t="s">
        <v>3044</v>
      </c>
      <c r="AO286" s="283" t="s">
        <v>3045</v>
      </c>
      <c r="AP286" s="283">
        <v>6563</v>
      </c>
      <c r="AQ286" s="283" t="s">
        <v>3046</v>
      </c>
      <c r="AR286" s="283" t="s">
        <v>3047</v>
      </c>
      <c r="AS286" s="283" t="s">
        <v>3048</v>
      </c>
      <c r="AT286" s="283" t="s">
        <v>3049</v>
      </c>
      <c r="AU286" s="283" t="s">
        <v>3050</v>
      </c>
      <c r="AV286" s="283" t="s">
        <v>3051</v>
      </c>
      <c r="AW286" s="283">
        <f t="shared" si="35"/>
        <v>5303.5</v>
      </c>
      <c r="AX286" s="283"/>
      <c r="AY286" s="283"/>
      <c r="AZ286" s="283"/>
      <c r="BA286" s="283"/>
      <c r="BB286" s="283"/>
      <c r="BC286" s="283"/>
      <c r="BD286" s="283"/>
      <c r="BE286" s="283"/>
      <c r="BF286" s="283"/>
      <c r="BG286" s="283"/>
      <c r="BH286" s="283"/>
      <c r="BI286" s="283"/>
      <c r="BJ286" s="283"/>
      <c r="BK286" s="283"/>
      <c r="BL286" s="283"/>
      <c r="BM286" s="283"/>
      <c r="BN286" s="283"/>
      <c r="BO286" s="283"/>
      <c r="BP286" s="283"/>
      <c r="BQ286" s="283"/>
      <c r="BR286" s="283"/>
      <c r="BS286" s="283"/>
      <c r="BT286" s="283"/>
      <c r="BU286" s="283"/>
      <c r="BV286" s="283"/>
      <c r="BW286" s="283"/>
      <c r="BX286" s="283"/>
      <c r="BY286" s="283">
        <v>60500</v>
      </c>
      <c r="BZ286" s="283">
        <v>6100</v>
      </c>
      <c r="CA286" s="283">
        <v>12121.92</v>
      </c>
      <c r="CB286" s="283">
        <v>10700</v>
      </c>
      <c r="CC286" s="283">
        <v>5700</v>
      </c>
      <c r="CD286" s="283">
        <v>5200</v>
      </c>
      <c r="CE286" s="283">
        <v>3400</v>
      </c>
      <c r="CF286" s="283">
        <v>439</v>
      </c>
      <c r="CG286" s="283">
        <v>7000</v>
      </c>
      <c r="CH286" s="283">
        <v>2600</v>
      </c>
      <c r="CI286" s="283">
        <v>14500</v>
      </c>
      <c r="CJ286" s="283">
        <v>6500</v>
      </c>
      <c r="CK286" s="283">
        <f t="shared" si="36"/>
        <v>8516.66666666667</v>
      </c>
      <c r="CL286" s="398"/>
      <c r="CM286" s="371">
        <f>Summary!$D$8</f>
        <v>724303.229333334</v>
      </c>
      <c r="CN286" s="258">
        <f t="shared" si="37"/>
        <v>0</v>
      </c>
    </row>
    <row r="287" ht="15.6" spans="1:92">
      <c r="A287" s="258" t="s">
        <v>149</v>
      </c>
      <c r="B287" s="258" t="s">
        <v>812</v>
      </c>
      <c r="C287" s="258" t="s">
        <v>230</v>
      </c>
      <c r="D287" s="311" t="s">
        <v>3052</v>
      </c>
      <c r="E287" s="258" t="s">
        <v>441</v>
      </c>
      <c r="F287" s="260" t="s">
        <v>423</v>
      </c>
      <c r="G287" s="260"/>
      <c r="H287" s="283">
        <f>(AW287+CK287)/2</f>
        <v>40886.3333333333</v>
      </c>
      <c r="I287" s="360" t="s">
        <v>3053</v>
      </c>
      <c r="J287" s="258"/>
      <c r="K287" s="258"/>
      <c r="L287" s="258"/>
      <c r="M287" s="258"/>
      <c r="N287" s="258"/>
      <c r="O287" s="258"/>
      <c r="P287" s="258"/>
      <c r="Q287" s="258"/>
      <c r="R287" s="258"/>
      <c r="S287" s="258"/>
      <c r="T287" s="258"/>
      <c r="U287" s="258"/>
      <c r="V287" s="258"/>
      <c r="W287" s="258"/>
      <c r="X287" s="258"/>
      <c r="Y287" s="258"/>
      <c r="Z287" s="258"/>
      <c r="AA287" s="258"/>
      <c r="AB287" s="258"/>
      <c r="AC287" s="258"/>
      <c r="AD287" s="258"/>
      <c r="AE287" s="258"/>
      <c r="AF287" s="258"/>
      <c r="AG287" s="258"/>
      <c r="AH287" s="258"/>
      <c r="AI287" s="258"/>
      <c r="AJ287" s="258"/>
      <c r="AK287" s="283"/>
      <c r="AL287" s="283">
        <v>14775</v>
      </c>
      <c r="AM287" s="283" t="s">
        <v>3054</v>
      </c>
      <c r="AN287" s="283" t="s">
        <v>3055</v>
      </c>
      <c r="AO287" s="283" t="s">
        <v>3056</v>
      </c>
      <c r="AP287" s="283">
        <f>16512*0.2196*2</f>
        <v>7252.0704</v>
      </c>
      <c r="AQ287" s="283" t="s">
        <v>3057</v>
      </c>
      <c r="AR287" s="283" t="s">
        <v>3058</v>
      </c>
      <c r="AS287" s="283" t="s">
        <v>3059</v>
      </c>
      <c r="AT287" s="283" t="s">
        <v>3060</v>
      </c>
      <c r="AU287" s="283" t="s">
        <v>3061</v>
      </c>
      <c r="AV287" s="283" t="s">
        <v>3062</v>
      </c>
      <c r="AW287" s="283">
        <f t="shared" si="35"/>
        <v>75889.3333333333</v>
      </c>
      <c r="AX287" s="283"/>
      <c r="AY287" s="283"/>
      <c r="AZ287" s="283"/>
      <c r="BA287" s="283"/>
      <c r="BB287" s="283"/>
      <c r="BC287" s="283"/>
      <c r="BD287" s="283"/>
      <c r="BE287" s="283"/>
      <c r="BF287" s="283"/>
      <c r="BG287" s="283"/>
      <c r="BH287" s="283"/>
      <c r="BI287" s="283"/>
      <c r="BJ287" s="283"/>
      <c r="BK287" s="283"/>
      <c r="BL287" s="283"/>
      <c r="BM287" s="283"/>
      <c r="BN287" s="283"/>
      <c r="BO287" s="283"/>
      <c r="BP287" s="283"/>
      <c r="BQ287" s="283"/>
      <c r="BR287" s="283"/>
      <c r="BS287" s="283"/>
      <c r="BT287" s="283"/>
      <c r="BU287" s="283"/>
      <c r="BV287" s="283"/>
      <c r="BW287" s="283"/>
      <c r="BX287" s="283"/>
      <c r="BY287" s="283"/>
      <c r="BZ287" s="283">
        <v>13300</v>
      </c>
      <c r="CA287" s="283">
        <v>4900</v>
      </c>
      <c r="CB287" s="283">
        <v>8000</v>
      </c>
      <c r="CC287" s="283">
        <v>7300</v>
      </c>
      <c r="CD287" s="283">
        <v>25800</v>
      </c>
      <c r="CE287" s="283">
        <v>14467</v>
      </c>
      <c r="CF287" s="283">
        <v>6000</v>
      </c>
      <c r="CG287" s="283">
        <v>22700</v>
      </c>
      <c r="CH287" s="283">
        <v>2700</v>
      </c>
      <c r="CI287" s="283">
        <v>6700</v>
      </c>
      <c r="CJ287" s="283">
        <v>6400</v>
      </c>
      <c r="CK287" s="283">
        <f t="shared" si="36"/>
        <v>5883.33333333333</v>
      </c>
      <c r="CL287" s="398"/>
      <c r="CM287" s="371">
        <f>Summary!$D$5</f>
        <v>1543433.55918333</v>
      </c>
      <c r="CN287" s="258">
        <f t="shared" si="37"/>
        <v>0</v>
      </c>
    </row>
    <row r="288" ht="15.6" spans="1:92">
      <c r="A288" s="258" t="s">
        <v>141</v>
      </c>
      <c r="B288" s="258" t="s">
        <v>812</v>
      </c>
      <c r="C288" s="258" t="s">
        <v>230</v>
      </c>
      <c r="D288" s="311" t="s">
        <v>3063</v>
      </c>
      <c r="E288" s="258" t="s">
        <v>233</v>
      </c>
      <c r="F288" s="260" t="s">
        <v>56</v>
      </c>
      <c r="G288" s="260"/>
      <c r="H288" s="283">
        <f>(AW288+CK288)/2</f>
        <v>31574.9166666667</v>
      </c>
      <c r="I288" s="360" t="s">
        <v>3053</v>
      </c>
      <c r="J288" s="258"/>
      <c r="K288" s="258"/>
      <c r="L288" s="258"/>
      <c r="M288" s="258"/>
      <c r="N288" s="258"/>
      <c r="O288" s="258"/>
      <c r="P288" s="258"/>
      <c r="Q288" s="258"/>
      <c r="R288" s="258"/>
      <c r="S288" s="258"/>
      <c r="T288" s="258"/>
      <c r="U288" s="258"/>
      <c r="V288" s="258"/>
      <c r="W288" s="258"/>
      <c r="X288" s="258"/>
      <c r="Y288" s="258"/>
      <c r="Z288" s="258"/>
      <c r="AA288" s="258"/>
      <c r="AB288" s="258"/>
      <c r="AC288" s="258"/>
      <c r="AD288" s="258"/>
      <c r="AE288" s="258"/>
      <c r="AF288" s="258"/>
      <c r="AG288" s="258"/>
      <c r="AH288" s="258"/>
      <c r="AI288" s="258"/>
      <c r="AJ288" s="258"/>
      <c r="AK288" s="283"/>
      <c r="AL288" s="283">
        <v>14446</v>
      </c>
      <c r="AM288" s="283" t="s">
        <v>3064</v>
      </c>
      <c r="AN288" s="283" t="s">
        <v>3065</v>
      </c>
      <c r="AO288" s="283" t="s">
        <v>3066</v>
      </c>
      <c r="AP288" s="283">
        <f>23586*0.1535*2</f>
        <v>7240.902</v>
      </c>
      <c r="AQ288" s="283" t="s">
        <v>3067</v>
      </c>
      <c r="AR288" s="283" t="s">
        <v>3068</v>
      </c>
      <c r="AS288" s="283" t="s">
        <v>3069</v>
      </c>
      <c r="AT288" s="283" t="s">
        <v>3070</v>
      </c>
      <c r="AU288" s="283" t="s">
        <v>3071</v>
      </c>
      <c r="AV288" s="283" t="s">
        <v>3072</v>
      </c>
      <c r="AW288" s="283">
        <f t="shared" si="35"/>
        <v>12833.1666666667</v>
      </c>
      <c r="AX288" s="283"/>
      <c r="AY288" s="283"/>
      <c r="AZ288" s="283"/>
      <c r="BA288" s="283"/>
      <c r="BB288" s="283"/>
      <c r="BC288" s="283"/>
      <c r="BD288" s="283"/>
      <c r="BE288" s="283"/>
      <c r="BF288" s="283"/>
      <c r="BG288" s="283"/>
      <c r="BH288" s="283"/>
      <c r="BI288" s="283"/>
      <c r="BJ288" s="283"/>
      <c r="BK288" s="283"/>
      <c r="BL288" s="283"/>
      <c r="BM288" s="283"/>
      <c r="BN288" s="283"/>
      <c r="BO288" s="283"/>
      <c r="BP288" s="283"/>
      <c r="BQ288" s="283"/>
      <c r="BR288" s="283"/>
      <c r="BS288" s="283"/>
      <c r="BT288" s="283"/>
      <c r="BU288" s="283"/>
      <c r="BV288" s="283"/>
      <c r="BW288" s="283"/>
      <c r="BX288" s="283"/>
      <c r="BY288" s="283"/>
      <c r="BZ288" s="283">
        <v>20500</v>
      </c>
      <c r="CA288" s="283">
        <v>26404</v>
      </c>
      <c r="CB288" s="283">
        <v>36700</v>
      </c>
      <c r="CC288" s="283">
        <v>6200</v>
      </c>
      <c r="CD288" s="283">
        <v>16600</v>
      </c>
      <c r="CE288" s="283">
        <v>6700</v>
      </c>
      <c r="CF288" s="283">
        <v>1100</v>
      </c>
      <c r="CG288" s="283">
        <v>16400</v>
      </c>
      <c r="CH288" s="283">
        <v>47500</v>
      </c>
      <c r="CI288" s="283">
        <v>54000</v>
      </c>
      <c r="CJ288" s="283">
        <v>48800</v>
      </c>
      <c r="CK288" s="283">
        <f t="shared" si="36"/>
        <v>50316.6666666667</v>
      </c>
      <c r="CL288" s="398"/>
      <c r="CM288" s="371">
        <f>Summary!$D$3</f>
        <v>2112033.31166667</v>
      </c>
      <c r="CN288" s="258">
        <f t="shared" si="37"/>
        <v>0</v>
      </c>
    </row>
    <row r="289" ht="15.6" spans="1:92">
      <c r="A289" s="258" t="s">
        <v>152</v>
      </c>
      <c r="B289" s="258" t="s">
        <v>694</v>
      </c>
      <c r="C289" s="258" t="s">
        <v>230</v>
      </c>
      <c r="D289" s="311" t="s">
        <v>3073</v>
      </c>
      <c r="E289" s="258" t="s">
        <v>233</v>
      </c>
      <c r="F289" s="260" t="s">
        <v>411</v>
      </c>
      <c r="G289" s="260"/>
      <c r="H289" s="283">
        <f>(AW289+CK289)/2</f>
        <v>20548.8333333334</v>
      </c>
      <c r="I289" s="360" t="s">
        <v>3074</v>
      </c>
      <c r="J289" s="258"/>
      <c r="K289" s="258"/>
      <c r="L289" s="258"/>
      <c r="M289" s="258"/>
      <c r="N289" s="258"/>
      <c r="O289" s="258"/>
      <c r="P289" s="258"/>
      <c r="Q289" s="258"/>
      <c r="R289" s="258"/>
      <c r="S289" s="258"/>
      <c r="T289" s="258"/>
      <c r="U289" s="258"/>
      <c r="V289" s="258"/>
      <c r="W289" s="258"/>
      <c r="X289" s="258"/>
      <c r="Y289" s="258"/>
      <c r="Z289" s="258"/>
      <c r="AA289" s="258"/>
      <c r="AB289" s="258"/>
      <c r="AC289" s="258"/>
      <c r="AD289" s="258"/>
      <c r="AE289" s="258"/>
      <c r="AF289" s="258"/>
      <c r="AG289" s="258"/>
      <c r="AH289" s="258"/>
      <c r="AI289" s="258"/>
      <c r="AJ289" s="258"/>
      <c r="AK289" s="283"/>
      <c r="AL289" s="283"/>
      <c r="AM289" s="283" t="s">
        <v>3075</v>
      </c>
      <c r="AN289" s="283" t="s">
        <v>3076</v>
      </c>
      <c r="AO289" s="283" t="s">
        <v>3077</v>
      </c>
      <c r="AP289" s="283">
        <v>16772</v>
      </c>
      <c r="AQ289" s="283" t="s">
        <v>3078</v>
      </c>
      <c r="AR289" s="283" t="s">
        <v>3079</v>
      </c>
      <c r="AS289" s="283" t="s">
        <v>3080</v>
      </c>
      <c r="AT289" s="283" t="s">
        <v>3081</v>
      </c>
      <c r="AU289" s="283" t="s">
        <v>3082</v>
      </c>
      <c r="AV289" s="283" t="s">
        <v>3083</v>
      </c>
      <c r="AW289" s="283">
        <f t="shared" si="35"/>
        <v>30297.6666666667</v>
      </c>
      <c r="AX289" s="283"/>
      <c r="AY289" s="283"/>
      <c r="AZ289" s="283"/>
      <c r="BA289" s="283"/>
      <c r="BB289" s="283"/>
      <c r="BC289" s="283"/>
      <c r="BD289" s="283"/>
      <c r="BE289" s="283"/>
      <c r="BF289" s="283"/>
      <c r="BG289" s="283"/>
      <c r="BH289" s="283"/>
      <c r="BI289" s="283"/>
      <c r="BJ289" s="283"/>
      <c r="BK289" s="283"/>
      <c r="BL289" s="283"/>
      <c r="BM289" s="283"/>
      <c r="BN289" s="283"/>
      <c r="BO289" s="283"/>
      <c r="BP289" s="283"/>
      <c r="BQ289" s="283"/>
      <c r="BR289" s="283"/>
      <c r="BS289" s="283"/>
      <c r="BT289" s="283"/>
      <c r="BU289" s="283"/>
      <c r="BV289" s="283"/>
      <c r="BW289" s="283"/>
      <c r="BX289" s="283"/>
      <c r="BY289" s="283"/>
      <c r="BZ289" s="283"/>
      <c r="CA289" s="283">
        <v>8000</v>
      </c>
      <c r="CB289" s="283">
        <v>6200</v>
      </c>
      <c r="CC289" s="283">
        <v>2800</v>
      </c>
      <c r="CD289" s="283">
        <v>6800</v>
      </c>
      <c r="CE289" s="283">
        <v>8479</v>
      </c>
      <c r="CF289" s="283">
        <v>4700</v>
      </c>
      <c r="CG289" s="283">
        <v>2900</v>
      </c>
      <c r="CH289" s="283">
        <v>24900</v>
      </c>
      <c r="CI289" s="283">
        <v>12300</v>
      </c>
      <c r="CJ289" s="283">
        <v>5100</v>
      </c>
      <c r="CK289" s="283">
        <f t="shared" si="36"/>
        <v>10800</v>
      </c>
      <c r="CL289" s="398"/>
      <c r="CM289" s="371">
        <f>Summary!$D$6</f>
        <v>1473053.7196</v>
      </c>
      <c r="CN289" s="258">
        <f>IF(_xlfn.IFNA(CM289,0),IF(AND(H289/CM289&gt;=0.05,B289&lt;&gt;"官网",B289&lt;&gt;"自己网站"),1,0),0)</f>
        <v>0</v>
      </c>
    </row>
    <row r="290" ht="93.6" spans="1:92">
      <c r="A290" s="258" t="s">
        <v>149</v>
      </c>
      <c r="B290" s="258" t="s">
        <v>694</v>
      </c>
      <c r="C290" s="258" t="s">
        <v>230</v>
      </c>
      <c r="D290" s="311" t="s">
        <v>3084</v>
      </c>
      <c r="E290" s="258" t="s">
        <v>233</v>
      </c>
      <c r="F290" s="260" t="s">
        <v>3085</v>
      </c>
      <c r="G290" s="260"/>
      <c r="H290" s="283">
        <f>(AW290+CK290)/2*0.38</f>
        <v>8669.25666666666</v>
      </c>
      <c r="I290" s="292" t="s">
        <v>3086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258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283"/>
      <c r="AL290" s="283"/>
      <c r="AM290" s="283" t="s">
        <v>3087</v>
      </c>
      <c r="AN290" s="283" t="s">
        <v>3088</v>
      </c>
      <c r="AO290" s="283" t="s">
        <v>3089</v>
      </c>
      <c r="AP290" s="283">
        <f>52990*0.2689*2</f>
        <v>28498.022</v>
      </c>
      <c r="AQ290" s="283" t="s">
        <v>3090</v>
      </c>
      <c r="AR290" s="283" t="s">
        <v>3091</v>
      </c>
      <c r="AS290" s="283" t="s">
        <v>3092</v>
      </c>
      <c r="AT290" s="283" t="s">
        <v>3093</v>
      </c>
      <c r="AU290" s="283" t="s">
        <v>3094</v>
      </c>
      <c r="AV290" s="283" t="s">
        <v>3095</v>
      </c>
      <c r="AW290" s="283">
        <f t="shared" si="35"/>
        <v>24744.3333333333</v>
      </c>
      <c r="AX290" s="283"/>
      <c r="AY290" s="283"/>
      <c r="AZ290" s="283"/>
      <c r="BA290" s="283"/>
      <c r="BB290" s="283"/>
      <c r="BC290" s="283"/>
      <c r="BD290" s="283"/>
      <c r="BE290" s="283"/>
      <c r="BF290" s="283"/>
      <c r="BG290" s="283"/>
      <c r="BH290" s="283"/>
      <c r="BI290" s="283"/>
      <c r="BJ290" s="283"/>
      <c r="BK290" s="283"/>
      <c r="BL290" s="283"/>
      <c r="BM290" s="283"/>
      <c r="BN290" s="283"/>
      <c r="BO290" s="283"/>
      <c r="BP290" s="283"/>
      <c r="BQ290" s="283"/>
      <c r="BR290" s="283"/>
      <c r="BS290" s="283"/>
      <c r="BT290" s="283"/>
      <c r="BU290" s="283"/>
      <c r="BV290" s="283"/>
      <c r="BW290" s="283"/>
      <c r="BX290" s="283"/>
      <c r="BY290" s="283"/>
      <c r="BZ290" s="283"/>
      <c r="CA290" s="283">
        <v>74900</v>
      </c>
      <c r="CB290" s="283">
        <v>8800</v>
      </c>
      <c r="CC290" s="283">
        <v>20500</v>
      </c>
      <c r="CD290" s="283">
        <v>4900</v>
      </c>
      <c r="CE290" s="283">
        <v>2300</v>
      </c>
      <c r="CF290" s="283">
        <v>15500</v>
      </c>
      <c r="CG290" s="283">
        <v>8400</v>
      </c>
      <c r="CH290" s="283">
        <v>3100</v>
      </c>
      <c r="CI290" s="283">
        <v>48200</v>
      </c>
      <c r="CJ290" s="283">
        <v>8600</v>
      </c>
      <c r="CK290" s="283">
        <f t="shared" si="36"/>
        <v>20883.3333333333</v>
      </c>
      <c r="CL290" s="398"/>
      <c r="CM290" s="371">
        <f>Summary!$D$5</f>
        <v>1543433.55918333</v>
      </c>
      <c r="CN290" s="258">
        <f>IF(_xlfn.IFNA(CM290,0),IF(AND(H290/CM290&gt;=0.05,B290&lt;&gt;"官网",B290&lt;&gt;"自己网站"),1,0),0)</f>
        <v>0</v>
      </c>
    </row>
    <row r="291" ht="15.6" spans="1:92">
      <c r="A291" s="258" t="s">
        <v>165</v>
      </c>
      <c r="B291" s="258"/>
      <c r="C291" s="258" t="s">
        <v>243</v>
      </c>
      <c r="D291" s="311" t="s">
        <v>3096</v>
      </c>
      <c r="E291" s="258" t="s">
        <v>441</v>
      </c>
      <c r="F291" s="260" t="s">
        <v>422</v>
      </c>
      <c r="G291" s="260"/>
      <c r="H291" s="283">
        <f>(AW291+CK291)/2</f>
        <v>11001</v>
      </c>
      <c r="I291" s="360" t="s">
        <v>3097</v>
      </c>
      <c r="J291" s="258"/>
      <c r="K291" s="258"/>
      <c r="L291" s="258"/>
      <c r="M291" s="258"/>
      <c r="N291" s="258"/>
      <c r="O291" s="258"/>
      <c r="P291" s="258"/>
      <c r="Q291" s="258"/>
      <c r="R291" s="258"/>
      <c r="S291" s="258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283"/>
      <c r="AL291" s="283"/>
      <c r="AM291" s="283">
        <v>23150</v>
      </c>
      <c r="AN291" s="283" t="s">
        <v>796</v>
      </c>
      <c r="AO291" s="283">
        <f>9819*0.1539*2</f>
        <v>3022.2882</v>
      </c>
      <c r="AP291" s="283">
        <f>8643*0.1288*2</f>
        <v>2226.4368</v>
      </c>
      <c r="AQ291" s="283">
        <f>7656*0.1756*2</f>
        <v>2688.7872</v>
      </c>
      <c r="AR291" s="283" t="s">
        <v>3098</v>
      </c>
      <c r="AS291" s="283" t="s">
        <v>3099</v>
      </c>
      <c r="AT291" s="283" t="s">
        <v>3100</v>
      </c>
      <c r="AU291" s="283" t="s">
        <v>3101</v>
      </c>
      <c r="AV291" s="283" t="s">
        <v>2833</v>
      </c>
      <c r="AW291" s="283">
        <f t="shared" si="35"/>
        <v>13652</v>
      </c>
      <c r="AX291" s="283"/>
      <c r="AY291" s="283"/>
      <c r="AZ291" s="283"/>
      <c r="BA291" s="283"/>
      <c r="BB291" s="283"/>
      <c r="BC291" s="283"/>
      <c r="BD291" s="283"/>
      <c r="BE291" s="283"/>
      <c r="BF291" s="283"/>
      <c r="BG291" s="283"/>
      <c r="BH291" s="283"/>
      <c r="BI291" s="283"/>
      <c r="BJ291" s="283"/>
      <c r="BK291" s="283"/>
      <c r="BL291" s="283"/>
      <c r="BM291" s="283"/>
      <c r="BN291" s="283"/>
      <c r="BO291" s="283"/>
      <c r="BP291" s="283"/>
      <c r="BQ291" s="283"/>
      <c r="BR291" s="283"/>
      <c r="BS291" s="283"/>
      <c r="BT291" s="283"/>
      <c r="BU291" s="283"/>
      <c r="BV291" s="283"/>
      <c r="BW291" s="283"/>
      <c r="BX291" s="283"/>
      <c r="BY291" s="283"/>
      <c r="BZ291" s="283"/>
      <c r="CA291" s="283">
        <v>7800</v>
      </c>
      <c r="CB291" s="283">
        <v>5100</v>
      </c>
      <c r="CC291" s="283">
        <v>0</v>
      </c>
      <c r="CD291" s="283">
        <v>896</v>
      </c>
      <c r="CE291" s="283">
        <v>2400</v>
      </c>
      <c r="CF291" s="283">
        <v>2100</v>
      </c>
      <c r="CG291" s="283">
        <v>432</v>
      </c>
      <c r="CH291" s="283">
        <v>1500</v>
      </c>
      <c r="CI291" s="283">
        <v>12300</v>
      </c>
      <c r="CJ291" s="283">
        <v>8000</v>
      </c>
      <c r="CK291" s="283">
        <f t="shared" si="36"/>
        <v>8350</v>
      </c>
      <c r="CL291" s="398"/>
      <c r="CM291" s="371">
        <f>Summary!$D$10</f>
        <v>496999.618566666</v>
      </c>
      <c r="CN291" s="258">
        <f>IF(_xlfn.IFNA(CM291,0),IF(AND(H291/CM291&gt;=0.05,B291&lt;&gt;"官网",B291&lt;&gt;"自己网站"),1,0),0)</f>
        <v>0</v>
      </c>
    </row>
    <row r="292" ht="15.6" spans="1:92">
      <c r="A292" s="258" t="s">
        <v>171</v>
      </c>
      <c r="B292" s="258" t="s">
        <v>234</v>
      </c>
      <c r="C292" s="258" t="s">
        <v>234</v>
      </c>
      <c r="D292" s="258" t="s">
        <v>3102</v>
      </c>
      <c r="E292" s="258" t="s">
        <v>234</v>
      </c>
      <c r="F292" s="260" t="s">
        <v>234</v>
      </c>
      <c r="G292" s="260"/>
      <c r="H292" s="283">
        <f t="shared" ref="H292:H299" si="38">(AW292+CK292)/2</f>
        <v>19581.25</v>
      </c>
      <c r="I292" s="260" t="s">
        <v>3103</v>
      </c>
      <c r="J292" s="258"/>
      <c r="K292" s="258"/>
      <c r="L292" s="258"/>
      <c r="M292" s="258"/>
      <c r="N292" s="258"/>
      <c r="O292" s="258"/>
      <c r="P292" s="258"/>
      <c r="Q292" s="258"/>
      <c r="R292" s="258"/>
      <c r="S292" s="258"/>
      <c r="T292" s="258"/>
      <c r="U292" s="258"/>
      <c r="V292" s="258"/>
      <c r="W292" s="258"/>
      <c r="X292" s="258"/>
      <c r="Y292" s="258"/>
      <c r="Z292" s="258"/>
      <c r="AA292" s="258"/>
      <c r="AB292" s="258"/>
      <c r="AC292" s="258"/>
      <c r="AD292" s="258"/>
      <c r="AE292" s="258"/>
      <c r="AF292" s="258"/>
      <c r="AG292" s="258"/>
      <c r="AH292" s="258"/>
      <c r="AI292" s="258"/>
      <c r="AJ292" s="367">
        <v>35675</v>
      </c>
      <c r="AK292" s="283" t="s">
        <v>3104</v>
      </c>
      <c r="AL292" s="283">
        <v>27646</v>
      </c>
      <c r="AM292" s="283" t="s">
        <v>3105</v>
      </c>
      <c r="AN292" s="283" t="s">
        <v>3106</v>
      </c>
      <c r="AO292" s="283" t="s">
        <v>3107</v>
      </c>
      <c r="AP292" s="283">
        <v>51916</v>
      </c>
      <c r="AQ292" s="283" t="s">
        <v>3108</v>
      </c>
      <c r="AR292" s="283" t="s">
        <v>3109</v>
      </c>
      <c r="AS292" s="283" t="s">
        <v>3110</v>
      </c>
      <c r="AT292" s="283" t="s">
        <v>3111</v>
      </c>
      <c r="AU292" s="283" t="s">
        <v>3112</v>
      </c>
      <c r="AV292" s="283" t="s">
        <v>3113</v>
      </c>
      <c r="AW292" s="283">
        <f t="shared" si="35"/>
        <v>26029.1666666667</v>
      </c>
      <c r="AX292" s="283"/>
      <c r="AY292" s="283"/>
      <c r="AZ292" s="283"/>
      <c r="BA292" s="283"/>
      <c r="BB292" s="283"/>
      <c r="BC292" s="283"/>
      <c r="BD292" s="283"/>
      <c r="BE292" s="283"/>
      <c r="BF292" s="283"/>
      <c r="BG292" s="283"/>
      <c r="BH292" s="283"/>
      <c r="BI292" s="283"/>
      <c r="BJ292" s="283"/>
      <c r="BK292" s="283"/>
      <c r="BL292" s="283"/>
      <c r="BM292" s="283"/>
      <c r="BN292" s="283"/>
      <c r="BO292" s="283"/>
      <c r="BP292" s="283"/>
      <c r="BQ292" s="283"/>
      <c r="BR292" s="283"/>
      <c r="BS292" s="283"/>
      <c r="BT292" s="283"/>
      <c r="BU292" s="283"/>
      <c r="BV292" s="283"/>
      <c r="BW292" s="283"/>
      <c r="BX292" s="283">
        <v>32900</v>
      </c>
      <c r="BY292" s="283">
        <v>32900</v>
      </c>
      <c r="BZ292" s="283">
        <v>26600</v>
      </c>
      <c r="CA292" s="283">
        <v>32000</v>
      </c>
      <c r="CB292" s="283">
        <v>21100</v>
      </c>
      <c r="CC292" s="283">
        <v>17000</v>
      </c>
      <c r="CD292" s="283">
        <v>8400</v>
      </c>
      <c r="CE292" s="283">
        <v>23100</v>
      </c>
      <c r="CF292" s="283">
        <v>12800</v>
      </c>
      <c r="CG292" s="283">
        <v>8800</v>
      </c>
      <c r="CH292" s="283">
        <v>13700</v>
      </c>
      <c r="CI292" s="283">
        <v>18000</v>
      </c>
      <c r="CJ292" s="283">
        <v>9700</v>
      </c>
      <c r="CK292" s="283">
        <f t="shared" si="36"/>
        <v>13133.3333333333</v>
      </c>
      <c r="CL292" s="398"/>
      <c r="CM292" s="371">
        <f>Summary!$D$12</f>
        <v>489885.37</v>
      </c>
      <c r="CN292" s="258">
        <f>IF(_xlfn.IFNA(CM292,0),IF(AND(H292/CM292&gt;=0.05,B292&lt;&gt;"官网",B292&lt;&gt;"自己网站"),1,0),0)</f>
        <v>0</v>
      </c>
    </row>
    <row r="293" ht="15.6" spans="1:92">
      <c r="A293" s="258" t="s">
        <v>145</v>
      </c>
      <c r="B293" s="258" t="s">
        <v>234</v>
      </c>
      <c r="C293" s="258" t="s">
        <v>234</v>
      </c>
      <c r="D293" s="258" t="s">
        <v>3114</v>
      </c>
      <c r="E293" s="258" t="s">
        <v>234</v>
      </c>
      <c r="F293" s="260" t="s">
        <v>234</v>
      </c>
      <c r="G293" s="260"/>
      <c r="H293" s="283">
        <f t="shared" si="38"/>
        <v>69589.6666666667</v>
      </c>
      <c r="I293" s="260" t="s">
        <v>3115</v>
      </c>
      <c r="J293" s="258"/>
      <c r="K293" s="258"/>
      <c r="L293" s="258"/>
      <c r="M293" s="258"/>
      <c r="N293" s="258"/>
      <c r="O293" s="258"/>
      <c r="P293" s="258"/>
      <c r="Q293" s="258"/>
      <c r="R293" s="258"/>
      <c r="S293" s="258"/>
      <c r="T293" s="258"/>
      <c r="U293" s="258"/>
      <c r="V293" s="258"/>
      <c r="W293" s="258"/>
      <c r="X293" s="258"/>
      <c r="Y293" s="258"/>
      <c r="Z293" s="258"/>
      <c r="AA293" s="258"/>
      <c r="AB293" s="258"/>
      <c r="AC293" s="258"/>
      <c r="AD293" s="258"/>
      <c r="AE293" s="258"/>
      <c r="AF293" s="258"/>
      <c r="AG293" s="258"/>
      <c r="AH293" s="258"/>
      <c r="AI293" s="258"/>
      <c r="AJ293" s="367">
        <v>57370</v>
      </c>
      <c r="AK293" s="283" t="s">
        <v>3116</v>
      </c>
      <c r="AL293" s="283">
        <v>41276</v>
      </c>
      <c r="AM293" s="283" t="s">
        <v>3117</v>
      </c>
      <c r="AN293" s="283" t="s">
        <v>3118</v>
      </c>
      <c r="AO293" s="283" t="s">
        <v>3119</v>
      </c>
      <c r="AP293" s="283">
        <v>50530</v>
      </c>
      <c r="AQ293" s="283" t="s">
        <v>3120</v>
      </c>
      <c r="AR293" s="283" t="s">
        <v>3121</v>
      </c>
      <c r="AS293" s="283" t="s">
        <v>3122</v>
      </c>
      <c r="AT293" s="283" t="s">
        <v>3123</v>
      </c>
      <c r="AU293" s="283" t="s">
        <v>3124</v>
      </c>
      <c r="AV293" s="283" t="s">
        <v>3125</v>
      </c>
      <c r="AW293" s="283">
        <f t="shared" si="35"/>
        <v>89462.6666666667</v>
      </c>
      <c r="AX293" s="283"/>
      <c r="AY293" s="283"/>
      <c r="AZ293" s="283"/>
      <c r="BA293" s="283"/>
      <c r="BB293" s="283"/>
      <c r="BC293" s="283"/>
      <c r="BD293" s="283"/>
      <c r="BE293" s="283"/>
      <c r="BF293" s="283"/>
      <c r="BG293" s="283"/>
      <c r="BH293" s="283"/>
      <c r="BI293" s="283"/>
      <c r="BJ293" s="283"/>
      <c r="BK293" s="283"/>
      <c r="BL293" s="283"/>
      <c r="BM293" s="283"/>
      <c r="BN293" s="283"/>
      <c r="BO293" s="283"/>
      <c r="BP293" s="283"/>
      <c r="BQ293" s="283"/>
      <c r="BR293" s="283"/>
      <c r="BS293" s="283"/>
      <c r="BT293" s="283"/>
      <c r="BU293" s="283"/>
      <c r="BV293" s="283"/>
      <c r="BW293" s="283"/>
      <c r="BX293" s="283">
        <v>45300</v>
      </c>
      <c r="BY293" s="283">
        <v>45300</v>
      </c>
      <c r="BZ293" s="283">
        <v>26400</v>
      </c>
      <c r="CA293" s="283">
        <v>37600</v>
      </c>
      <c r="CB293" s="283">
        <v>35200</v>
      </c>
      <c r="CC293" s="283">
        <v>57500</v>
      </c>
      <c r="CD293" s="283">
        <v>18500</v>
      </c>
      <c r="CE293" s="283">
        <v>18500</v>
      </c>
      <c r="CF293" s="283">
        <v>71800</v>
      </c>
      <c r="CG293" s="283">
        <v>10200</v>
      </c>
      <c r="CH293" s="283">
        <v>77100</v>
      </c>
      <c r="CI293" s="283">
        <v>36500</v>
      </c>
      <c r="CJ293" s="283">
        <v>49400</v>
      </c>
      <c r="CK293" s="283">
        <f t="shared" si="36"/>
        <v>49716.6666666667</v>
      </c>
      <c r="CL293" s="398"/>
      <c r="CM293" s="371">
        <f>Summary!$D$4</f>
        <v>1816871.23333333</v>
      </c>
      <c r="CN293" s="258">
        <f t="shared" ref="CN293:CN299" si="39">IF(_xlfn.IFNA(CM293,0),IF(AND(H293/CM293&gt;=0.05,B293&lt;&gt;"官网",B293&lt;&gt;"自己网站"),1,0),0)</f>
        <v>0</v>
      </c>
    </row>
    <row r="294" ht="15.6" spans="1:92">
      <c r="A294" s="258" t="s">
        <v>156</v>
      </c>
      <c r="B294" s="258" t="s">
        <v>234</v>
      </c>
      <c r="C294" s="258" t="s">
        <v>234</v>
      </c>
      <c r="D294" s="258" t="s">
        <v>3126</v>
      </c>
      <c r="E294" s="258" t="s">
        <v>234</v>
      </c>
      <c r="F294" s="260" t="s">
        <v>234</v>
      </c>
      <c r="G294" s="260"/>
      <c r="H294" s="283">
        <f t="shared" si="38"/>
        <v>189954.25</v>
      </c>
      <c r="I294" s="260" t="s">
        <v>3115</v>
      </c>
      <c r="J294" s="258"/>
      <c r="K294" s="258"/>
      <c r="L294" s="258"/>
      <c r="M294" s="258"/>
      <c r="N294" s="258"/>
      <c r="O294" s="258"/>
      <c r="P294" s="258"/>
      <c r="Q294" s="258"/>
      <c r="R294" s="258"/>
      <c r="S294" s="258"/>
      <c r="T294" s="258"/>
      <c r="U294" s="258"/>
      <c r="V294" s="258"/>
      <c r="W294" s="258"/>
      <c r="X294" s="258"/>
      <c r="Y294" s="258"/>
      <c r="Z294" s="258"/>
      <c r="AA294" s="258"/>
      <c r="AB294" s="258"/>
      <c r="AC294" s="258"/>
      <c r="AD294" s="258"/>
      <c r="AE294" s="258"/>
      <c r="AF294" s="258"/>
      <c r="AG294" s="258"/>
      <c r="AH294" s="258"/>
      <c r="AI294" s="258"/>
      <c r="AJ294" s="367">
        <v>161355</v>
      </c>
      <c r="AK294" s="283" t="s">
        <v>3127</v>
      </c>
      <c r="AL294" s="283">
        <v>159373</v>
      </c>
      <c r="AM294" s="283" t="s">
        <v>3128</v>
      </c>
      <c r="AN294" s="283" t="s">
        <v>3129</v>
      </c>
      <c r="AO294" s="283" t="s">
        <v>3130</v>
      </c>
      <c r="AP294" s="283">
        <v>158073</v>
      </c>
      <c r="AQ294" s="283" t="s">
        <v>3131</v>
      </c>
      <c r="AR294" s="283" t="s">
        <v>3132</v>
      </c>
      <c r="AS294" s="283" t="s">
        <v>3133</v>
      </c>
      <c r="AT294" s="283" t="s">
        <v>3134</v>
      </c>
      <c r="AU294" s="283" t="s">
        <v>3135</v>
      </c>
      <c r="AV294" s="283" t="s">
        <v>3136</v>
      </c>
      <c r="AW294" s="283">
        <f t="shared" si="35"/>
        <v>160108.5</v>
      </c>
      <c r="AX294" s="283"/>
      <c r="AY294" s="283"/>
      <c r="AZ294" s="283"/>
      <c r="BA294" s="283"/>
      <c r="BB294" s="283"/>
      <c r="BC294" s="283"/>
      <c r="BD294" s="283"/>
      <c r="BE294" s="283"/>
      <c r="BF294" s="283"/>
      <c r="BG294" s="283"/>
      <c r="BH294" s="283"/>
      <c r="BI294" s="283"/>
      <c r="BJ294" s="283"/>
      <c r="BK294" s="283"/>
      <c r="BL294" s="283"/>
      <c r="BM294" s="283"/>
      <c r="BN294" s="283"/>
      <c r="BO294" s="283"/>
      <c r="BP294" s="283"/>
      <c r="BQ294" s="283"/>
      <c r="BR294" s="283"/>
      <c r="BS294" s="283"/>
      <c r="BT294" s="283"/>
      <c r="BU294" s="283"/>
      <c r="BV294" s="283"/>
      <c r="BW294" s="283"/>
      <c r="BX294" s="283">
        <v>241100</v>
      </c>
      <c r="BY294" s="283">
        <v>241100</v>
      </c>
      <c r="BZ294" s="283">
        <v>269300</v>
      </c>
      <c r="CA294" s="283">
        <v>196700</v>
      </c>
      <c r="CB294" s="283">
        <v>112600</v>
      </c>
      <c r="CC294" s="283">
        <v>135800</v>
      </c>
      <c r="CD294" s="283">
        <v>232600</v>
      </c>
      <c r="CE294" s="283">
        <v>232600</v>
      </c>
      <c r="CF294" s="283">
        <v>139815</v>
      </c>
      <c r="CG294" s="283">
        <v>264000</v>
      </c>
      <c r="CH294" s="283">
        <v>171900</v>
      </c>
      <c r="CI294" s="283">
        <v>180900</v>
      </c>
      <c r="CJ294" s="283">
        <v>261700</v>
      </c>
      <c r="CK294" s="283">
        <f t="shared" si="36"/>
        <v>219800</v>
      </c>
      <c r="CL294" s="398"/>
      <c r="CM294" s="371">
        <f>Summary!$D$7</f>
        <v>965318.368333333</v>
      </c>
      <c r="CN294" s="258">
        <f>IF(_xlfn.IFNA(CM294,0),IF(AND(H294/CM294&gt;=0.05,B294&lt;&gt;"官网"),1,0),0)</f>
        <v>1</v>
      </c>
    </row>
    <row r="295" ht="15.6" spans="1:92">
      <c r="A295" s="258" t="s">
        <v>159</v>
      </c>
      <c r="B295" s="258" t="s">
        <v>234</v>
      </c>
      <c r="C295" s="258" t="s">
        <v>234</v>
      </c>
      <c r="D295" s="258" t="s">
        <v>3137</v>
      </c>
      <c r="E295" s="258" t="s">
        <v>234</v>
      </c>
      <c r="F295" s="260" t="s">
        <v>234</v>
      </c>
      <c r="G295" s="260"/>
      <c r="H295" s="283">
        <f t="shared" si="38"/>
        <v>576217.833333333</v>
      </c>
      <c r="I295" s="260" t="s">
        <v>3138</v>
      </c>
      <c r="J295" s="258"/>
      <c r="K295" s="258"/>
      <c r="L295" s="258"/>
      <c r="M295" s="258"/>
      <c r="N295" s="258"/>
      <c r="O295" s="258"/>
      <c r="P295" s="258"/>
      <c r="Q295" s="258"/>
      <c r="R295" s="258"/>
      <c r="S295" s="258"/>
      <c r="T295" s="258"/>
      <c r="U295" s="258"/>
      <c r="V295" s="258"/>
      <c r="W295" s="258"/>
      <c r="X295" s="258"/>
      <c r="Y295" s="258"/>
      <c r="Z295" s="258"/>
      <c r="AA295" s="258"/>
      <c r="AB295" s="258"/>
      <c r="AC295" s="258"/>
      <c r="AD295" s="258"/>
      <c r="AE295" s="258"/>
      <c r="AF295" s="258"/>
      <c r="AG295" s="258"/>
      <c r="AH295" s="258"/>
      <c r="AI295" s="258"/>
      <c r="AJ295" s="367">
        <v>479023</v>
      </c>
      <c r="AK295" s="283" t="s">
        <v>3139</v>
      </c>
      <c r="AL295" s="283">
        <v>680020</v>
      </c>
      <c r="AM295" s="283" t="s">
        <v>3140</v>
      </c>
      <c r="AN295" s="283" t="s">
        <v>3141</v>
      </c>
      <c r="AO295" s="283" t="s">
        <v>3142</v>
      </c>
      <c r="AP295" s="283">
        <f>853579*0.2581*2</f>
        <v>440617.4798</v>
      </c>
      <c r="AQ295" s="283" t="s">
        <v>3143</v>
      </c>
      <c r="AR295" s="283" t="s">
        <v>3144</v>
      </c>
      <c r="AS295" s="283" t="s">
        <v>3145</v>
      </c>
      <c r="AT295" s="283" t="s">
        <v>3146</v>
      </c>
      <c r="AU295" s="283" t="s">
        <v>3147</v>
      </c>
      <c r="AV295" s="283" t="s">
        <v>3148</v>
      </c>
      <c r="AW295" s="283">
        <f t="shared" si="35"/>
        <v>649485.666666667</v>
      </c>
      <c r="AX295" s="283"/>
      <c r="AY295" s="283"/>
      <c r="AZ295" s="283"/>
      <c r="BA295" s="283"/>
      <c r="BB295" s="283"/>
      <c r="BC295" s="283"/>
      <c r="BD295" s="283"/>
      <c r="BE295" s="283"/>
      <c r="BF295" s="283"/>
      <c r="BG295" s="283"/>
      <c r="BH295" s="283"/>
      <c r="BI295" s="283"/>
      <c r="BJ295" s="283"/>
      <c r="BK295" s="283"/>
      <c r="BL295" s="283"/>
      <c r="BM295" s="283"/>
      <c r="BN295" s="283"/>
      <c r="BO295" s="283"/>
      <c r="BP295" s="283"/>
      <c r="BQ295" s="283"/>
      <c r="BR295" s="283"/>
      <c r="BS295" s="283"/>
      <c r="BT295" s="283"/>
      <c r="BU295" s="283"/>
      <c r="BV295" s="283"/>
      <c r="BW295" s="283"/>
      <c r="BX295" s="283">
        <v>407700</v>
      </c>
      <c r="BY295" s="283">
        <v>407700</v>
      </c>
      <c r="BZ295" s="283">
        <v>520700</v>
      </c>
      <c r="CA295" s="283">
        <v>496200</v>
      </c>
      <c r="CB295" s="283">
        <v>397900</v>
      </c>
      <c r="CC295" s="283">
        <v>697700</v>
      </c>
      <c r="CD295" s="283">
        <v>390200</v>
      </c>
      <c r="CE295" s="283">
        <v>411800</v>
      </c>
      <c r="CF295" s="283">
        <v>330531.76</v>
      </c>
      <c r="CG295" s="283">
        <v>445868.8</v>
      </c>
      <c r="CH295" s="283">
        <v>576900</v>
      </c>
      <c r="CI295" s="283">
        <v>504300</v>
      </c>
      <c r="CJ295" s="283">
        <v>477400</v>
      </c>
      <c r="CK295" s="283">
        <f t="shared" si="36"/>
        <v>502950</v>
      </c>
      <c r="CL295" s="398"/>
      <c r="CM295" s="371">
        <f>Summary!$D$8</f>
        <v>724303.229333334</v>
      </c>
      <c r="CN295" s="258">
        <f t="shared" si="39"/>
        <v>1</v>
      </c>
    </row>
    <row r="296" ht="15.6" spans="1:92">
      <c r="A296" s="258" t="s">
        <v>159</v>
      </c>
      <c r="B296" s="258" t="s">
        <v>234</v>
      </c>
      <c r="C296" s="258" t="s">
        <v>234</v>
      </c>
      <c r="D296" s="258" t="s">
        <v>3149</v>
      </c>
      <c r="E296" s="258" t="s">
        <v>234</v>
      </c>
      <c r="F296" s="260" t="s">
        <v>234</v>
      </c>
      <c r="G296" s="260"/>
      <c r="H296" s="283">
        <f t="shared" si="38"/>
        <v>134051.416666667</v>
      </c>
      <c r="I296" s="260" t="s">
        <v>3150</v>
      </c>
      <c r="J296" s="258"/>
      <c r="K296" s="258"/>
      <c r="L296" s="258"/>
      <c r="M296" s="258"/>
      <c r="N296" s="258"/>
      <c r="O296" s="258"/>
      <c r="P296" s="258"/>
      <c r="Q296" s="258"/>
      <c r="R296" s="258"/>
      <c r="S296" s="258"/>
      <c r="T296" s="258"/>
      <c r="U296" s="258"/>
      <c r="V296" s="258"/>
      <c r="W296" s="258"/>
      <c r="X296" s="258"/>
      <c r="Y296" s="258"/>
      <c r="Z296" s="258"/>
      <c r="AA296" s="258"/>
      <c r="AB296" s="258"/>
      <c r="AC296" s="258"/>
      <c r="AD296" s="258"/>
      <c r="AE296" s="258"/>
      <c r="AF296" s="258"/>
      <c r="AG296" s="258"/>
      <c r="AH296" s="258"/>
      <c r="AI296" s="258"/>
      <c r="AJ296" s="367">
        <v>108427</v>
      </c>
      <c r="AK296" s="283" t="s">
        <v>3151</v>
      </c>
      <c r="AL296" s="283">
        <v>99812</v>
      </c>
      <c r="AM296" s="283" t="s">
        <v>3152</v>
      </c>
      <c r="AN296" s="283" t="s">
        <v>3153</v>
      </c>
      <c r="AO296" s="283" t="s">
        <v>3154</v>
      </c>
      <c r="AP296" s="283">
        <v>135986</v>
      </c>
      <c r="AQ296" s="283" t="s">
        <v>3155</v>
      </c>
      <c r="AR296" s="283" t="s">
        <v>3156</v>
      </c>
      <c r="AS296" s="283" t="s">
        <v>3157</v>
      </c>
      <c r="AT296" s="283" t="s">
        <v>3158</v>
      </c>
      <c r="AU296" s="283" t="s">
        <v>3159</v>
      </c>
      <c r="AV296" s="283" t="s">
        <v>3160</v>
      </c>
      <c r="AW296" s="283">
        <f t="shared" si="35"/>
        <v>149069.5</v>
      </c>
      <c r="AX296" s="283"/>
      <c r="AY296" s="283"/>
      <c r="AZ296" s="283"/>
      <c r="BA296" s="283"/>
      <c r="BB296" s="283"/>
      <c r="BC296" s="283"/>
      <c r="BD296" s="283"/>
      <c r="BE296" s="283"/>
      <c r="BF296" s="283"/>
      <c r="BG296" s="283"/>
      <c r="BH296" s="283"/>
      <c r="BI296" s="283"/>
      <c r="BJ296" s="283"/>
      <c r="BK296" s="283"/>
      <c r="BL296" s="283"/>
      <c r="BM296" s="283"/>
      <c r="BN296" s="283"/>
      <c r="BO296" s="283"/>
      <c r="BP296" s="283"/>
      <c r="BQ296" s="283"/>
      <c r="BR296" s="283"/>
      <c r="BS296" s="283"/>
      <c r="BT296" s="283"/>
      <c r="BU296" s="283"/>
      <c r="BV296" s="283"/>
      <c r="BW296" s="283"/>
      <c r="BX296" s="283">
        <v>169600</v>
      </c>
      <c r="BY296" s="283">
        <v>169600</v>
      </c>
      <c r="BZ296" s="283">
        <v>146300</v>
      </c>
      <c r="CA296" s="283">
        <v>78600</v>
      </c>
      <c r="CB296" s="283">
        <v>42200</v>
      </c>
      <c r="CC296" s="283">
        <v>362200</v>
      </c>
      <c r="CD296" s="283">
        <v>9800</v>
      </c>
      <c r="CE296" s="283">
        <v>96200</v>
      </c>
      <c r="CF296" s="283">
        <v>92417.8</v>
      </c>
      <c r="CG296" s="283">
        <v>66082.38</v>
      </c>
      <c r="CH296" s="283">
        <v>42000</v>
      </c>
      <c r="CI296" s="283">
        <v>137500</v>
      </c>
      <c r="CJ296" s="283">
        <v>132400</v>
      </c>
      <c r="CK296" s="283">
        <f t="shared" si="36"/>
        <v>119033.333333333</v>
      </c>
      <c r="CL296" s="398"/>
      <c r="CM296" s="371">
        <f>Summary!$D$8</f>
        <v>724303.229333334</v>
      </c>
      <c r="CN296" s="258">
        <f t="shared" si="39"/>
        <v>1</v>
      </c>
    </row>
    <row r="297" ht="15.6" spans="1:92">
      <c r="A297" s="258" t="s">
        <v>1761</v>
      </c>
      <c r="B297" s="258" t="s">
        <v>234</v>
      </c>
      <c r="C297" s="258" t="s">
        <v>234</v>
      </c>
      <c r="D297" s="258" t="s">
        <v>3161</v>
      </c>
      <c r="E297" s="258" t="s">
        <v>234</v>
      </c>
      <c r="F297" s="260" t="s">
        <v>234</v>
      </c>
      <c r="G297" s="260"/>
      <c r="H297" s="283">
        <f t="shared" si="38"/>
        <v>87115.4166666667</v>
      </c>
      <c r="I297" s="260" t="s">
        <v>3103</v>
      </c>
      <c r="J297" s="258"/>
      <c r="K297" s="258"/>
      <c r="L297" s="258"/>
      <c r="M297" s="258"/>
      <c r="N297" s="258"/>
      <c r="O297" s="258"/>
      <c r="P297" s="258"/>
      <c r="Q297" s="258"/>
      <c r="R297" s="258"/>
      <c r="S297" s="258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367">
        <v>105283</v>
      </c>
      <c r="AK297" s="283" t="s">
        <v>3162</v>
      </c>
      <c r="AL297" s="283">
        <v>94567</v>
      </c>
      <c r="AM297" s="283" t="s">
        <v>3163</v>
      </c>
      <c r="AN297" s="283" t="s">
        <v>3164</v>
      </c>
      <c r="AO297" s="283" t="s">
        <v>3165</v>
      </c>
      <c r="AP297" s="283">
        <v>113100</v>
      </c>
      <c r="AQ297" s="283" t="s">
        <v>3166</v>
      </c>
      <c r="AR297" s="283" t="s">
        <v>3167</v>
      </c>
      <c r="AS297" s="283" t="s">
        <v>3168</v>
      </c>
      <c r="AT297" s="283" t="s">
        <v>3169</v>
      </c>
      <c r="AU297" s="283" t="s">
        <v>3170</v>
      </c>
      <c r="AV297" s="283" t="s">
        <v>3171</v>
      </c>
      <c r="AW297" s="283">
        <f t="shared" si="35"/>
        <v>106997.5</v>
      </c>
      <c r="AX297" s="283"/>
      <c r="AY297" s="283"/>
      <c r="AZ297" s="283"/>
      <c r="BA297" s="283"/>
      <c r="BB297" s="283"/>
      <c r="BC297" s="283"/>
      <c r="BD297" s="283"/>
      <c r="BE297" s="283"/>
      <c r="BF297" s="283"/>
      <c r="BG297" s="283"/>
      <c r="BH297" s="283"/>
      <c r="BI297" s="283"/>
      <c r="BJ297" s="283"/>
      <c r="BK297" s="283"/>
      <c r="BL297" s="283"/>
      <c r="BM297" s="283"/>
      <c r="BN297" s="283"/>
      <c r="BO297" s="283"/>
      <c r="BP297" s="283"/>
      <c r="BQ297" s="283"/>
      <c r="BR297" s="283"/>
      <c r="BS297" s="283"/>
      <c r="BT297" s="283"/>
      <c r="BU297" s="283"/>
      <c r="BV297" s="283"/>
      <c r="BW297" s="283"/>
      <c r="BX297" s="283">
        <v>155600</v>
      </c>
      <c r="BY297" s="283">
        <v>155600</v>
      </c>
      <c r="BZ297" s="283">
        <v>173000</v>
      </c>
      <c r="CA297" s="283">
        <f>155600*0.3026*2</f>
        <v>94169.12</v>
      </c>
      <c r="CB297" s="283">
        <v>150260</v>
      </c>
      <c r="CC297" s="283">
        <v>156600</v>
      </c>
      <c r="CD297" s="283">
        <v>67000</v>
      </c>
      <c r="CE297" s="283">
        <v>71600</v>
      </c>
      <c r="CF297" s="283">
        <f>718700*0.768*2</f>
        <v>1103923.2</v>
      </c>
      <c r="CG297" s="283">
        <v>67200</v>
      </c>
      <c r="CH297" s="283">
        <v>123700</v>
      </c>
      <c r="CI297" s="283">
        <v>49700</v>
      </c>
      <c r="CJ297" s="283">
        <v>60100</v>
      </c>
      <c r="CK297" s="283">
        <f t="shared" si="36"/>
        <v>67233.3333333333</v>
      </c>
      <c r="CL297" s="398"/>
      <c r="CM297" s="371">
        <f>Summary!$D$9</f>
        <v>657757.072666666</v>
      </c>
      <c r="CN297" s="258">
        <f t="shared" si="39"/>
        <v>1</v>
      </c>
    </row>
    <row r="298" ht="15.6" spans="1:92">
      <c r="A298" s="258" t="s">
        <v>1761</v>
      </c>
      <c r="B298" s="258" t="s">
        <v>234</v>
      </c>
      <c r="C298" s="258" t="s">
        <v>234</v>
      </c>
      <c r="D298" s="258" t="s">
        <v>3172</v>
      </c>
      <c r="E298" s="258" t="s">
        <v>234</v>
      </c>
      <c r="F298" s="260" t="s">
        <v>234</v>
      </c>
      <c r="G298" s="260"/>
      <c r="H298" s="283">
        <f t="shared" si="38"/>
        <v>10613.5833333333</v>
      </c>
      <c r="I298" s="260" t="s">
        <v>3103</v>
      </c>
      <c r="J298" s="258"/>
      <c r="K298" s="258"/>
      <c r="L298" s="258"/>
      <c r="M298" s="258"/>
      <c r="N298" s="258"/>
      <c r="O298" s="258"/>
      <c r="P298" s="258"/>
      <c r="Q298" s="258"/>
      <c r="R298" s="258"/>
      <c r="S298" s="258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367">
        <v>9996</v>
      </c>
      <c r="AK298" s="283" t="s">
        <v>3173</v>
      </c>
      <c r="AL298" s="283">
        <v>10926</v>
      </c>
      <c r="AM298" s="283" t="s">
        <v>3174</v>
      </c>
      <c r="AN298" s="283" t="s">
        <v>3175</v>
      </c>
      <c r="AO298" s="283" t="s">
        <v>3176</v>
      </c>
      <c r="AP298" s="283">
        <f>16734*0.0947*2</f>
        <v>3169.4196</v>
      </c>
      <c r="AQ298" s="283" t="s">
        <v>3177</v>
      </c>
      <c r="AR298" s="283" t="s">
        <v>3178</v>
      </c>
      <c r="AS298" s="283" t="s">
        <v>3179</v>
      </c>
      <c r="AT298" s="283" t="s">
        <v>3180</v>
      </c>
      <c r="AU298" s="283" t="s">
        <v>3181</v>
      </c>
      <c r="AV298" s="283" t="s">
        <v>3182</v>
      </c>
      <c r="AW298" s="283">
        <f t="shared" si="35"/>
        <v>17193.8333333333</v>
      </c>
      <c r="AX298" s="283"/>
      <c r="AY298" s="283"/>
      <c r="AZ298" s="283"/>
      <c r="BA298" s="283"/>
      <c r="BB298" s="283"/>
      <c r="BC298" s="283"/>
      <c r="BD298" s="283"/>
      <c r="BE298" s="283"/>
      <c r="BF298" s="283"/>
      <c r="BG298" s="283"/>
      <c r="BH298" s="283"/>
      <c r="BI298" s="283"/>
      <c r="BJ298" s="283"/>
      <c r="BK298" s="283"/>
      <c r="BL298" s="283"/>
      <c r="BM298" s="283"/>
      <c r="BN298" s="283"/>
      <c r="BO298" s="283"/>
      <c r="BP298" s="283"/>
      <c r="BQ298" s="283"/>
      <c r="BR298" s="283"/>
      <c r="BS298" s="283"/>
      <c r="BT298" s="283"/>
      <c r="BU298" s="283"/>
      <c r="BV298" s="283"/>
      <c r="BW298" s="283"/>
      <c r="BX298" s="283">
        <v>10800</v>
      </c>
      <c r="BY298" s="283">
        <v>10800</v>
      </c>
      <c r="BZ298" s="283">
        <v>10300</v>
      </c>
      <c r="CA298" s="283">
        <v>5600</v>
      </c>
      <c r="CB298" s="283">
        <v>5300</v>
      </c>
      <c r="CC298" s="283">
        <v>5100</v>
      </c>
      <c r="CD298" s="283">
        <v>4900</v>
      </c>
      <c r="CE298" s="283">
        <v>4900</v>
      </c>
      <c r="CF298" s="283">
        <v>8100</v>
      </c>
      <c r="CG298" s="283">
        <v>6519.44</v>
      </c>
      <c r="CH298" s="283">
        <v>1700</v>
      </c>
      <c r="CI298" s="283">
        <v>9600</v>
      </c>
      <c r="CJ298" s="283">
        <v>1100</v>
      </c>
      <c r="CK298" s="283">
        <f t="shared" si="36"/>
        <v>4033.33333333333</v>
      </c>
      <c r="CL298" s="398"/>
      <c r="CM298" s="371">
        <f>Summary!$D$9</f>
        <v>657757.072666666</v>
      </c>
      <c r="CN298" s="258">
        <f t="shared" si="39"/>
        <v>0</v>
      </c>
    </row>
    <row r="299" ht="15.6" spans="1:92">
      <c r="A299" s="258" t="s">
        <v>145</v>
      </c>
      <c r="B299" s="258" t="s">
        <v>694</v>
      </c>
      <c r="C299" s="258" t="s">
        <v>230</v>
      </c>
      <c r="D299" s="258" t="s">
        <v>253</v>
      </c>
      <c r="E299" s="258" t="s">
        <v>233</v>
      </c>
      <c r="F299" s="260" t="s">
        <v>60</v>
      </c>
      <c r="G299" s="260"/>
      <c r="H299" s="283">
        <f t="shared" si="38"/>
        <v>174742.83</v>
      </c>
      <c r="I299" s="260" t="s">
        <v>3183</v>
      </c>
      <c r="J299" s="258"/>
      <c r="K299" s="258"/>
      <c r="L299" s="258"/>
      <c r="M299" s="258"/>
      <c r="N299" s="258"/>
      <c r="O299" s="258"/>
      <c r="P299" s="258"/>
      <c r="Q299" s="258"/>
      <c r="R299" s="258"/>
      <c r="S299" s="258"/>
      <c r="T299" s="258"/>
      <c r="U299" s="258"/>
      <c r="V299" s="258"/>
      <c r="W299" s="258"/>
      <c r="X299" s="258"/>
      <c r="Y299" s="258"/>
      <c r="Z299" s="258"/>
      <c r="AA299" s="258"/>
      <c r="AB299" s="258"/>
      <c r="AC299" s="258"/>
      <c r="AD299" s="258"/>
      <c r="AE299" s="258"/>
      <c r="AF299" s="258"/>
      <c r="AG299" s="258"/>
      <c r="AH299" s="258"/>
      <c r="AI299" s="258"/>
      <c r="AJ299" s="258"/>
      <c r="AK299" s="258"/>
      <c r="AL299" s="258"/>
      <c r="AM299" s="258"/>
      <c r="AN299" s="258" t="s">
        <v>3184</v>
      </c>
      <c r="AO299" s="258">
        <f>117244*0.3276*2</f>
        <v>76818.2688</v>
      </c>
      <c r="AP299" s="258">
        <f>130273*0.2697*2</f>
        <v>70269.2562</v>
      </c>
      <c r="AQ299" s="258">
        <v>120626</v>
      </c>
      <c r="AR299" s="283" t="s">
        <v>3185</v>
      </c>
      <c r="AS299" s="283" t="s">
        <v>3186</v>
      </c>
      <c r="AT299" s="283" t="s">
        <v>3187</v>
      </c>
      <c r="AU299" s="283" t="s">
        <v>3188</v>
      </c>
      <c r="AV299" s="283" t="s">
        <v>3189</v>
      </c>
      <c r="AW299" s="283">
        <f t="shared" si="35"/>
        <v>199453.833333333</v>
      </c>
      <c r="AX299" s="399"/>
      <c r="AY299" s="399"/>
      <c r="AZ299" s="400"/>
      <c r="BA299" s="400"/>
      <c r="BB299" s="400"/>
      <c r="BC299" s="400"/>
      <c r="BD299" s="400"/>
      <c r="BE299" s="400"/>
      <c r="BF299" s="400"/>
      <c r="BG299" s="400"/>
      <c r="BH299" s="400"/>
      <c r="BI299" s="400"/>
      <c r="BJ299" s="400"/>
      <c r="BK299" s="400"/>
      <c r="BL299" s="400"/>
      <c r="BM299" s="400"/>
      <c r="BN299" s="400"/>
      <c r="BO299" s="400"/>
      <c r="BP299" s="400"/>
      <c r="BQ299" s="400"/>
      <c r="BR299" s="258"/>
      <c r="BS299" s="258"/>
      <c r="BT299" s="258"/>
      <c r="BU299" s="258"/>
      <c r="BV299" s="258"/>
      <c r="BW299" s="258"/>
      <c r="BX299" s="258"/>
      <c r="BY299" s="258"/>
      <c r="BZ299" s="258"/>
      <c r="CA299" s="258"/>
      <c r="CB299" s="258">
        <v>109200</v>
      </c>
      <c r="CC299" s="258">
        <v>53300</v>
      </c>
      <c r="CD299" s="258">
        <v>76200</v>
      </c>
      <c r="CE299" s="258">
        <f>284200*0.2394*2</f>
        <v>136074.96</v>
      </c>
      <c r="CF299" s="258">
        <v>170300</v>
      </c>
      <c r="CG299" s="258">
        <v>210500</v>
      </c>
      <c r="CH299" s="258">
        <v>223200</v>
      </c>
      <c r="CI299" s="258">
        <v>129779</v>
      </c>
      <c r="CJ299" s="258">
        <v>139144.32</v>
      </c>
      <c r="CK299" s="283">
        <f t="shared" si="36"/>
        <v>150031.826666667</v>
      </c>
      <c r="CL299" s="398"/>
      <c r="CM299" s="371">
        <f>Summary!$D$4</f>
        <v>1816871.23333333</v>
      </c>
      <c r="CN299" s="258">
        <f t="shared" si="39"/>
        <v>1</v>
      </c>
    </row>
    <row r="300" ht="15.6" spans="1:92">
      <c r="A300" s="258" t="s">
        <v>174</v>
      </c>
      <c r="B300" s="258" t="s">
        <v>694</v>
      </c>
      <c r="C300" s="258" t="s">
        <v>230</v>
      </c>
      <c r="D300" s="258" t="s">
        <v>3190</v>
      </c>
      <c r="E300" s="258" t="s">
        <v>441</v>
      </c>
      <c r="F300" s="260" t="s">
        <v>423</v>
      </c>
      <c r="G300" s="260"/>
      <c r="H300" s="283">
        <f t="shared" ref="H300:H321" si="40">(AW300+CK300)/2</f>
        <v>8446.99999999998</v>
      </c>
      <c r="I300" s="260" t="s">
        <v>3191</v>
      </c>
      <c r="J300" s="258"/>
      <c r="K300" s="258"/>
      <c r="L300" s="258"/>
      <c r="M300" s="258"/>
      <c r="N300" s="258"/>
      <c r="O300" s="258"/>
      <c r="P300" s="258"/>
      <c r="Q300" s="258"/>
      <c r="R300" s="258"/>
      <c r="S300" s="258"/>
      <c r="T300" s="258"/>
      <c r="U300" s="258"/>
      <c r="V300" s="258"/>
      <c r="W300" s="258"/>
      <c r="X300" s="258"/>
      <c r="Y300" s="258"/>
      <c r="Z300" s="258"/>
      <c r="AA300" s="258"/>
      <c r="AB300" s="258"/>
      <c r="AC300" s="258"/>
      <c r="AD300" s="258"/>
      <c r="AE300" s="258"/>
      <c r="AF300" s="258"/>
      <c r="AG300" s="258"/>
      <c r="AH300" s="258"/>
      <c r="AI300" s="258"/>
      <c r="AJ300" s="258"/>
      <c r="AK300" s="258"/>
      <c r="AL300" s="258"/>
      <c r="AM300" s="258"/>
      <c r="AN300" s="258"/>
      <c r="AO300" s="258" t="s">
        <v>3192</v>
      </c>
      <c r="AP300" s="367">
        <v>16779</v>
      </c>
      <c r="AQ300" s="367" t="s">
        <v>3193</v>
      </c>
      <c r="AR300" s="283" t="s">
        <v>3194</v>
      </c>
      <c r="AS300" s="283" t="s">
        <v>3195</v>
      </c>
      <c r="AT300" s="283" t="s">
        <v>3196</v>
      </c>
      <c r="AU300" s="283" t="s">
        <v>3197</v>
      </c>
      <c r="AV300" s="283" t="s">
        <v>3198</v>
      </c>
      <c r="AW300" s="283">
        <f t="shared" si="35"/>
        <v>14177.3333333333</v>
      </c>
      <c r="AX300" s="399"/>
      <c r="AY300" s="399"/>
      <c r="AZ300" s="400"/>
      <c r="BA300" s="400"/>
      <c r="BB300" s="400"/>
      <c r="BC300" s="400"/>
      <c r="BD300" s="400"/>
      <c r="BE300" s="400"/>
      <c r="BF300" s="400"/>
      <c r="BG300" s="400"/>
      <c r="BH300" s="400"/>
      <c r="BI300" s="400"/>
      <c r="BJ300" s="400"/>
      <c r="BK300" s="400"/>
      <c r="BL300" s="400"/>
      <c r="BM300" s="400"/>
      <c r="BN300" s="400"/>
      <c r="BO300" s="400"/>
      <c r="BP300" s="400"/>
      <c r="BQ300" s="400"/>
      <c r="BR300" s="258"/>
      <c r="BS300" s="258"/>
      <c r="BT300" s="258"/>
      <c r="BU300" s="258"/>
      <c r="BV300" s="258"/>
      <c r="BW300" s="258"/>
      <c r="BX300" s="258"/>
      <c r="BY300" s="258"/>
      <c r="BZ300" s="258"/>
      <c r="CA300" s="258"/>
      <c r="CB300" s="258"/>
      <c r="CC300" s="258">
        <v>35800</v>
      </c>
      <c r="CD300" s="258">
        <v>3000</v>
      </c>
      <c r="CE300" s="258">
        <v>4900</v>
      </c>
      <c r="CF300" s="258">
        <v>2900</v>
      </c>
      <c r="CG300" s="258">
        <v>432</v>
      </c>
      <c r="CH300" s="258">
        <v>5600</v>
      </c>
      <c r="CI300" s="258">
        <v>3700</v>
      </c>
      <c r="CJ300" s="258">
        <v>1100</v>
      </c>
      <c r="CK300" s="283">
        <f t="shared" si="36"/>
        <v>2716.66666666667</v>
      </c>
      <c r="CL300" s="398"/>
      <c r="CM300" s="371">
        <f>Summary!$D$13</f>
        <v>470607.104766667</v>
      </c>
      <c r="CN300" s="258">
        <f>IF(_xlfn.IFNA(CM300,0),IF(AND(H300/CM300&gt;=0.05,B300&lt;&gt;"官网"),1,0),0)</f>
        <v>0</v>
      </c>
    </row>
    <row r="301" ht="15.6" spans="1:92">
      <c r="A301" s="258" t="s">
        <v>171</v>
      </c>
      <c r="B301" s="258" t="s">
        <v>234</v>
      </c>
      <c r="C301" s="258" t="s">
        <v>234</v>
      </c>
      <c r="D301" s="258" t="s">
        <v>3199</v>
      </c>
      <c r="E301" s="258" t="s">
        <v>234</v>
      </c>
      <c r="F301" s="260" t="s">
        <v>451</v>
      </c>
      <c r="G301" s="260"/>
      <c r="H301" s="283">
        <f t="shared" si="40"/>
        <v>35268.5833333333</v>
      </c>
      <c r="I301" s="260" t="s">
        <v>3200</v>
      </c>
      <c r="J301" s="258"/>
      <c r="K301" s="258"/>
      <c r="L301" s="258"/>
      <c r="M301" s="258"/>
      <c r="N301" s="258"/>
      <c r="O301" s="258"/>
      <c r="P301" s="258"/>
      <c r="Q301" s="258"/>
      <c r="R301" s="258"/>
      <c r="S301" s="258"/>
      <c r="T301" s="258"/>
      <c r="U301" s="258"/>
      <c r="V301" s="258"/>
      <c r="W301" s="258"/>
      <c r="X301" s="258"/>
      <c r="Y301" s="258"/>
      <c r="Z301" s="258"/>
      <c r="AA301" s="258"/>
      <c r="AB301" s="258"/>
      <c r="AC301" s="258"/>
      <c r="AD301" s="258"/>
      <c r="AE301" s="258"/>
      <c r="AF301" s="258"/>
      <c r="AG301" s="258"/>
      <c r="AH301" s="258"/>
      <c r="AI301" s="258"/>
      <c r="AJ301" s="258"/>
      <c r="AK301" s="258"/>
      <c r="AL301" s="258"/>
      <c r="AM301" s="258"/>
      <c r="AN301" s="258"/>
      <c r="AO301" s="258" t="s">
        <v>3201</v>
      </c>
      <c r="AP301" s="367">
        <v>92149</v>
      </c>
      <c r="AQ301" s="367" t="s">
        <v>3202</v>
      </c>
      <c r="AR301" s="283" t="s">
        <v>3203</v>
      </c>
      <c r="AS301" s="283" t="s">
        <v>3204</v>
      </c>
      <c r="AT301" s="283" t="s">
        <v>3205</v>
      </c>
      <c r="AU301" s="283" t="s">
        <v>3206</v>
      </c>
      <c r="AV301" s="283" t="s">
        <v>3207</v>
      </c>
      <c r="AW301" s="283">
        <f t="shared" si="35"/>
        <v>59920.5</v>
      </c>
      <c r="AX301" s="399"/>
      <c r="AY301" s="399"/>
      <c r="AZ301" s="400"/>
      <c r="BA301" s="400"/>
      <c r="BB301" s="400"/>
      <c r="BC301" s="400"/>
      <c r="BD301" s="400"/>
      <c r="BE301" s="400"/>
      <c r="BF301" s="400"/>
      <c r="BG301" s="400"/>
      <c r="BH301" s="400"/>
      <c r="BI301" s="400"/>
      <c r="BJ301" s="400"/>
      <c r="BK301" s="400"/>
      <c r="BL301" s="400"/>
      <c r="BM301" s="400"/>
      <c r="BN301" s="400"/>
      <c r="BO301" s="400"/>
      <c r="BP301" s="400"/>
      <c r="BQ301" s="400"/>
      <c r="BR301" s="258"/>
      <c r="BS301" s="258"/>
      <c r="BT301" s="258"/>
      <c r="BU301" s="258"/>
      <c r="BV301" s="258"/>
      <c r="BW301" s="258"/>
      <c r="BX301" s="258"/>
      <c r="BY301" s="258"/>
      <c r="BZ301" s="258"/>
      <c r="CA301" s="258"/>
      <c r="CB301" s="258"/>
      <c r="CC301" s="258">
        <v>16900</v>
      </c>
      <c r="CD301" s="258">
        <v>12800</v>
      </c>
      <c r="CE301" s="258">
        <v>26100</v>
      </c>
      <c r="CF301" s="258">
        <v>9900</v>
      </c>
      <c r="CG301" s="258">
        <v>13900</v>
      </c>
      <c r="CH301" s="258">
        <v>2400</v>
      </c>
      <c r="CI301" s="258">
        <v>17900</v>
      </c>
      <c r="CJ301" s="258">
        <v>8500</v>
      </c>
      <c r="CK301" s="283">
        <f t="shared" si="36"/>
        <v>10616.6666666667</v>
      </c>
      <c r="CL301" s="398"/>
      <c r="CM301" s="371">
        <f>Summary!$D$12</f>
        <v>489885.37</v>
      </c>
      <c r="CN301" s="258">
        <f t="shared" ref="CN301:CN307" si="41">IF(_xlfn.IFNA(CM301,0),IF(AND(H301/CM301&gt;=0.05,B301&lt;&gt;"官网",B301&lt;&gt;"自己网站"),1,0),0)</f>
        <v>1</v>
      </c>
    </row>
    <row r="302" ht="15.6" spans="1:92">
      <c r="A302" s="258" t="s">
        <v>171</v>
      </c>
      <c r="B302" s="258" t="s">
        <v>694</v>
      </c>
      <c r="C302" s="258" t="s">
        <v>243</v>
      </c>
      <c r="D302" s="258" t="s">
        <v>3208</v>
      </c>
      <c r="E302" s="258" t="s">
        <v>441</v>
      </c>
      <c r="F302" s="260" t="s">
        <v>423</v>
      </c>
      <c r="G302" s="260"/>
      <c r="H302" s="283">
        <f t="shared" si="40"/>
        <v>5241.75</v>
      </c>
      <c r="I302" s="260" t="s">
        <v>3209</v>
      </c>
      <c r="J302" s="258"/>
      <c r="K302" s="258"/>
      <c r="L302" s="258"/>
      <c r="M302" s="258"/>
      <c r="N302" s="258"/>
      <c r="O302" s="258"/>
      <c r="P302" s="258"/>
      <c r="Q302" s="258"/>
      <c r="R302" s="258"/>
      <c r="S302" s="258"/>
      <c r="T302" s="258"/>
      <c r="U302" s="258"/>
      <c r="V302" s="258"/>
      <c r="W302" s="258"/>
      <c r="X302" s="258"/>
      <c r="Y302" s="258"/>
      <c r="Z302" s="258"/>
      <c r="AA302" s="258"/>
      <c r="AB302" s="258"/>
      <c r="AC302" s="258"/>
      <c r="AD302" s="258"/>
      <c r="AE302" s="258"/>
      <c r="AF302" s="258"/>
      <c r="AG302" s="258"/>
      <c r="AH302" s="258"/>
      <c r="AI302" s="258"/>
      <c r="AJ302" s="258"/>
      <c r="AK302" s="258"/>
      <c r="AL302" s="258"/>
      <c r="AM302" s="258"/>
      <c r="AN302" s="258"/>
      <c r="AO302" s="258" t="s">
        <v>3210</v>
      </c>
      <c r="AP302" s="258">
        <v>2500</v>
      </c>
      <c r="AQ302" s="258" t="s">
        <v>3211</v>
      </c>
      <c r="AR302" s="283" t="s">
        <v>3212</v>
      </c>
      <c r="AS302" s="283" t="s">
        <v>3213</v>
      </c>
      <c r="AT302" s="283" t="s">
        <v>3214</v>
      </c>
      <c r="AU302" s="283" t="s">
        <v>3215</v>
      </c>
      <c r="AV302" s="283" t="s">
        <v>3216</v>
      </c>
      <c r="AW302" s="283">
        <f t="shared" si="35"/>
        <v>5383.5</v>
      </c>
      <c r="AX302" s="399"/>
      <c r="AY302" s="399"/>
      <c r="AZ302" s="400"/>
      <c r="BA302" s="400"/>
      <c r="BB302" s="400"/>
      <c r="BC302" s="400"/>
      <c r="BD302" s="400"/>
      <c r="BE302" s="400"/>
      <c r="BF302" s="400"/>
      <c r="BG302" s="400"/>
      <c r="BH302" s="400"/>
      <c r="BI302" s="400"/>
      <c r="BJ302" s="400"/>
      <c r="BK302" s="400"/>
      <c r="BL302" s="400"/>
      <c r="BM302" s="400"/>
      <c r="BN302" s="400"/>
      <c r="BO302" s="400"/>
      <c r="BP302" s="400"/>
      <c r="BQ302" s="400"/>
      <c r="BR302" s="258"/>
      <c r="BS302" s="258"/>
      <c r="BT302" s="258"/>
      <c r="BU302" s="258"/>
      <c r="BV302" s="258"/>
      <c r="BW302" s="258"/>
      <c r="BX302" s="258"/>
      <c r="BY302" s="258"/>
      <c r="BZ302" s="258"/>
      <c r="CA302" s="258"/>
      <c r="CB302" s="258"/>
      <c r="CC302" s="258">
        <v>0</v>
      </c>
      <c r="CD302" s="258">
        <v>3400</v>
      </c>
      <c r="CE302" s="258">
        <v>1400</v>
      </c>
      <c r="CF302" s="258">
        <v>1800</v>
      </c>
      <c r="CG302" s="258">
        <v>2000</v>
      </c>
      <c r="CH302" s="258">
        <v>2300</v>
      </c>
      <c r="CI302" s="258">
        <v>9200</v>
      </c>
      <c r="CJ302" s="258">
        <v>3300</v>
      </c>
      <c r="CK302" s="283">
        <f t="shared" si="36"/>
        <v>5100</v>
      </c>
      <c r="CL302" s="398"/>
      <c r="CM302" s="371">
        <f>Summary!$D$12</f>
        <v>489885.37</v>
      </c>
      <c r="CN302" s="258">
        <f t="shared" si="41"/>
        <v>0</v>
      </c>
    </row>
    <row r="303" ht="15.6" spans="1:92">
      <c r="A303" s="258" t="s">
        <v>171</v>
      </c>
      <c r="B303" s="258" t="s">
        <v>694</v>
      </c>
      <c r="C303" s="258" t="s">
        <v>234</v>
      </c>
      <c r="D303" s="258" t="s">
        <v>3217</v>
      </c>
      <c r="E303" s="258" t="s">
        <v>234</v>
      </c>
      <c r="F303" s="260" t="s">
        <v>421</v>
      </c>
      <c r="G303" s="260"/>
      <c r="H303" s="283">
        <f t="shared" si="40"/>
        <v>2518278.33333333</v>
      </c>
      <c r="I303" s="260" t="s">
        <v>3218</v>
      </c>
      <c r="J303" s="258"/>
      <c r="K303" s="258"/>
      <c r="L303" s="258"/>
      <c r="M303" s="258"/>
      <c r="N303" s="258"/>
      <c r="O303" s="258"/>
      <c r="P303" s="258"/>
      <c r="Q303" s="258"/>
      <c r="R303" s="258"/>
      <c r="S303" s="258"/>
      <c r="T303" s="258"/>
      <c r="U303" s="258"/>
      <c r="V303" s="258"/>
      <c r="W303" s="258"/>
      <c r="X303" s="258"/>
      <c r="Y303" s="258"/>
      <c r="Z303" s="258"/>
      <c r="AA303" s="258"/>
      <c r="AB303" s="258"/>
      <c r="AC303" s="258"/>
      <c r="AD303" s="258"/>
      <c r="AE303" s="258"/>
      <c r="AF303" s="258"/>
      <c r="AG303" s="258"/>
      <c r="AH303" s="258"/>
      <c r="AI303" s="258"/>
      <c r="AJ303" s="258"/>
      <c r="AK303" s="258"/>
      <c r="AL303" s="258"/>
      <c r="AM303" s="258"/>
      <c r="AN303" s="258"/>
      <c r="AO303" s="258">
        <v>3940000</v>
      </c>
      <c r="AP303" s="258">
        <f>3938000*0.3605*2</f>
        <v>2839298</v>
      </c>
      <c r="AQ303" s="258">
        <v>3531000</v>
      </c>
      <c r="AR303" s="283">
        <v>3551000</v>
      </c>
      <c r="AS303" s="283">
        <v>3316000</v>
      </c>
      <c r="AT303" s="283">
        <v>2872000</v>
      </c>
      <c r="AU303" s="283">
        <v>2937000</v>
      </c>
      <c r="AV303" s="283">
        <v>3022000</v>
      </c>
      <c r="AW303" s="283">
        <f t="shared" si="35"/>
        <v>2968666.66666667</v>
      </c>
      <c r="AX303" s="399"/>
      <c r="AY303" s="399"/>
      <c r="AZ303" s="400"/>
      <c r="BA303" s="400"/>
      <c r="BB303" s="400"/>
      <c r="BC303" s="400"/>
      <c r="BD303" s="400"/>
      <c r="BE303" s="400"/>
      <c r="BF303" s="400"/>
      <c r="BG303" s="400"/>
      <c r="BH303" s="400"/>
      <c r="BI303" s="400"/>
      <c r="BJ303" s="400"/>
      <c r="BK303" s="400"/>
      <c r="BL303" s="400"/>
      <c r="BM303" s="400"/>
      <c r="BN303" s="400"/>
      <c r="BO303" s="400"/>
      <c r="BP303" s="400"/>
      <c r="BQ303" s="400"/>
      <c r="BR303" s="258"/>
      <c r="BS303" s="258"/>
      <c r="BT303" s="258"/>
      <c r="BU303" s="258"/>
      <c r="BV303" s="258"/>
      <c r="BW303" s="258"/>
      <c r="BX303" s="258"/>
      <c r="BY303" s="258"/>
      <c r="BZ303" s="258"/>
      <c r="CA303" s="258"/>
      <c r="CB303" s="258"/>
      <c r="CC303" s="258">
        <v>2300000</v>
      </c>
      <c r="CD303" s="258">
        <v>2800000</v>
      </c>
      <c r="CE303" s="258">
        <f>4500000*0.2401*2</f>
        <v>2160900</v>
      </c>
      <c r="CF303" s="258">
        <v>2600000</v>
      </c>
      <c r="CG303" s="258">
        <v>2200800</v>
      </c>
      <c r="CH303" s="258">
        <v>1619100</v>
      </c>
      <c r="CI303" s="258">
        <f>4000000*0.2595*2</f>
        <v>2076000</v>
      </c>
      <c r="CJ303" s="258">
        <v>2212080</v>
      </c>
      <c r="CK303" s="283">
        <f t="shared" si="36"/>
        <v>2067890</v>
      </c>
      <c r="CL303" s="398"/>
      <c r="CM303" s="371">
        <f>Summary!$D$12</f>
        <v>489885.37</v>
      </c>
      <c r="CN303" s="258">
        <f t="shared" si="41"/>
        <v>1</v>
      </c>
    </row>
    <row r="304" ht="93.6" spans="1:92">
      <c r="A304" s="258" t="s">
        <v>152</v>
      </c>
      <c r="B304" s="258" t="s">
        <v>694</v>
      </c>
      <c r="C304" s="258" t="s">
        <v>230</v>
      </c>
      <c r="D304" s="258" t="s">
        <v>3084</v>
      </c>
      <c r="E304" s="258" t="s">
        <v>233</v>
      </c>
      <c r="F304" s="260" t="s">
        <v>3085</v>
      </c>
      <c r="G304" s="260"/>
      <c r="H304" s="283">
        <f>(AW304+CK304)/2*0.25</f>
        <v>5703.45833333333</v>
      </c>
      <c r="I304" s="292" t="s">
        <v>3219</v>
      </c>
      <c r="J304" s="258"/>
      <c r="K304" s="258"/>
      <c r="L304" s="258"/>
      <c r="M304" s="258"/>
      <c r="N304" s="258"/>
      <c r="O304" s="258"/>
      <c r="P304" s="258"/>
      <c r="Q304" s="258"/>
      <c r="R304" s="258"/>
      <c r="S304" s="258"/>
      <c r="T304" s="258"/>
      <c r="U304" s="258"/>
      <c r="V304" s="258"/>
      <c r="W304" s="258"/>
      <c r="X304" s="258"/>
      <c r="Y304" s="258"/>
      <c r="Z304" s="258"/>
      <c r="AA304" s="258"/>
      <c r="AB304" s="258"/>
      <c r="AC304" s="258"/>
      <c r="AD304" s="258"/>
      <c r="AE304" s="258"/>
      <c r="AF304" s="258"/>
      <c r="AG304" s="258"/>
      <c r="AH304" s="258"/>
      <c r="AI304" s="258"/>
      <c r="AJ304" s="258"/>
      <c r="AK304" s="258"/>
      <c r="AL304" s="258"/>
      <c r="AM304" s="258"/>
      <c r="AN304" s="258"/>
      <c r="AO304" s="258" t="s">
        <v>3089</v>
      </c>
      <c r="AP304" s="258">
        <f>52990*0.2689*2</f>
        <v>28498.022</v>
      </c>
      <c r="AQ304" s="258" t="s">
        <v>3090</v>
      </c>
      <c r="AR304" s="283" t="s">
        <v>3091</v>
      </c>
      <c r="AS304" s="283" t="s">
        <v>3092</v>
      </c>
      <c r="AT304" s="283" t="s">
        <v>3093</v>
      </c>
      <c r="AU304" s="283" t="s">
        <v>3094</v>
      </c>
      <c r="AV304" s="283" t="s">
        <v>3095</v>
      </c>
      <c r="AW304" s="283">
        <f t="shared" si="35"/>
        <v>24744.3333333333</v>
      </c>
      <c r="AX304" s="399"/>
      <c r="AY304" s="399"/>
      <c r="AZ304" s="400"/>
      <c r="BA304" s="400"/>
      <c r="BB304" s="400"/>
      <c r="BC304" s="400"/>
      <c r="BD304" s="400"/>
      <c r="BE304" s="400"/>
      <c r="BF304" s="400"/>
      <c r="BG304" s="400"/>
      <c r="BH304" s="400"/>
      <c r="BI304" s="400"/>
      <c r="BJ304" s="400"/>
      <c r="BK304" s="400"/>
      <c r="BL304" s="400"/>
      <c r="BM304" s="400"/>
      <c r="BN304" s="400"/>
      <c r="BO304" s="400"/>
      <c r="BP304" s="400"/>
      <c r="BQ304" s="400"/>
      <c r="BR304" s="258"/>
      <c r="BS304" s="258"/>
      <c r="BT304" s="258"/>
      <c r="BU304" s="258"/>
      <c r="BV304" s="258"/>
      <c r="BW304" s="258"/>
      <c r="BX304" s="258"/>
      <c r="BY304" s="258"/>
      <c r="BZ304" s="258"/>
      <c r="CA304" s="258"/>
      <c r="CB304" s="258"/>
      <c r="CC304" s="258">
        <v>20500</v>
      </c>
      <c r="CD304" s="258">
        <v>4900</v>
      </c>
      <c r="CE304" s="258">
        <v>2300</v>
      </c>
      <c r="CF304" s="258">
        <v>15500</v>
      </c>
      <c r="CG304" s="258">
        <v>8400</v>
      </c>
      <c r="CH304" s="258">
        <v>3100</v>
      </c>
      <c r="CI304" s="258">
        <v>48200</v>
      </c>
      <c r="CJ304" s="258">
        <v>8600</v>
      </c>
      <c r="CK304" s="283">
        <f t="shared" si="36"/>
        <v>20883.3333333333</v>
      </c>
      <c r="CL304" s="398"/>
      <c r="CM304" s="371">
        <f>Summary!$D$6</f>
        <v>1473053.7196</v>
      </c>
      <c r="CN304" s="258">
        <f t="shared" si="41"/>
        <v>0</v>
      </c>
    </row>
    <row r="305" ht="15.6" spans="1:92">
      <c r="A305" s="258" t="s">
        <v>152</v>
      </c>
      <c r="B305" s="258" t="s">
        <v>694</v>
      </c>
      <c r="C305" s="258" t="s">
        <v>230</v>
      </c>
      <c r="D305" s="258" t="s">
        <v>3220</v>
      </c>
      <c r="E305" s="258" t="s">
        <v>233</v>
      </c>
      <c r="F305" s="260" t="s">
        <v>50</v>
      </c>
      <c r="G305" s="260"/>
      <c r="H305" s="283">
        <f t="shared" si="40"/>
        <v>7235.39666666667</v>
      </c>
      <c r="I305" s="260" t="s">
        <v>3191</v>
      </c>
      <c r="J305" s="258"/>
      <c r="K305" s="258"/>
      <c r="L305" s="258"/>
      <c r="M305" s="258"/>
      <c r="N305" s="258"/>
      <c r="O305" s="258"/>
      <c r="P305" s="258"/>
      <c r="Q305" s="258"/>
      <c r="R305" s="258"/>
      <c r="S305" s="258"/>
      <c r="T305" s="258"/>
      <c r="U305" s="258"/>
      <c r="V305" s="258"/>
      <c r="W305" s="258"/>
      <c r="X305" s="258"/>
      <c r="Y305" s="258"/>
      <c r="Z305" s="258"/>
      <c r="AA305" s="258"/>
      <c r="AB305" s="258"/>
      <c r="AC305" s="258"/>
      <c r="AD305" s="258"/>
      <c r="AE305" s="258"/>
      <c r="AF305" s="258"/>
      <c r="AG305" s="258"/>
      <c r="AH305" s="258"/>
      <c r="AI305" s="258"/>
      <c r="AJ305" s="258"/>
      <c r="AK305" s="258"/>
      <c r="AL305" s="258"/>
      <c r="AM305" s="258"/>
      <c r="AN305" s="258"/>
      <c r="AO305" s="258" t="s">
        <v>3221</v>
      </c>
      <c r="AP305" s="258">
        <f>11381*0.1508*2</f>
        <v>3432.5096</v>
      </c>
      <c r="AQ305" s="258" t="s">
        <v>3222</v>
      </c>
      <c r="AR305" s="283" t="s">
        <v>3223</v>
      </c>
      <c r="AS305" s="283" t="s">
        <v>3224</v>
      </c>
      <c r="AT305" s="283" t="s">
        <v>3225</v>
      </c>
      <c r="AU305" s="283" t="s">
        <v>3226</v>
      </c>
      <c r="AV305" s="283" t="s">
        <v>3227</v>
      </c>
      <c r="AW305" s="283">
        <f t="shared" si="35"/>
        <v>9919.16666666667</v>
      </c>
      <c r="AX305" s="399"/>
      <c r="AY305" s="399"/>
      <c r="AZ305" s="400"/>
      <c r="BA305" s="400"/>
      <c r="BB305" s="400"/>
      <c r="BC305" s="400"/>
      <c r="BD305" s="400"/>
      <c r="BE305" s="400"/>
      <c r="BF305" s="400"/>
      <c r="BG305" s="400"/>
      <c r="BH305" s="400"/>
      <c r="BI305" s="400"/>
      <c r="BJ305" s="400"/>
      <c r="BK305" s="400"/>
      <c r="BL305" s="400"/>
      <c r="BM305" s="400"/>
      <c r="BN305" s="400"/>
      <c r="BO305" s="400"/>
      <c r="BP305" s="400"/>
      <c r="BQ305" s="400"/>
      <c r="BR305" s="258"/>
      <c r="BS305" s="258"/>
      <c r="BT305" s="258"/>
      <c r="BU305" s="258"/>
      <c r="BV305" s="258"/>
      <c r="BW305" s="258"/>
      <c r="BX305" s="258"/>
      <c r="BY305" s="258"/>
      <c r="BZ305" s="258"/>
      <c r="CA305" s="258"/>
      <c r="CB305" s="258"/>
      <c r="CC305" s="258">
        <v>3900</v>
      </c>
      <c r="CD305" s="258">
        <v>717</v>
      </c>
      <c r="CE305" s="258">
        <v>717</v>
      </c>
      <c r="CF305" s="258">
        <v>0</v>
      </c>
      <c r="CG305" s="258">
        <v>10000</v>
      </c>
      <c r="CH305" s="258">
        <v>1000</v>
      </c>
      <c r="CI305" s="258">
        <f>21300*0.3088*2</f>
        <v>13154.88</v>
      </c>
      <c r="CJ305" s="258">
        <v>0</v>
      </c>
      <c r="CK305" s="283">
        <f t="shared" si="36"/>
        <v>4551.62666666667</v>
      </c>
      <c r="CL305" s="398"/>
      <c r="CM305" s="371">
        <f>Summary!$D$6</f>
        <v>1473053.7196</v>
      </c>
      <c r="CN305" s="258">
        <f t="shared" si="41"/>
        <v>0</v>
      </c>
    </row>
    <row r="306" ht="93.6" spans="1:92">
      <c r="A306" s="258" t="s">
        <v>145</v>
      </c>
      <c r="B306" s="258" t="s">
        <v>694</v>
      </c>
      <c r="C306" s="258" t="s">
        <v>230</v>
      </c>
      <c r="D306" s="258" t="s">
        <v>3084</v>
      </c>
      <c r="E306" s="258" t="s">
        <v>233</v>
      </c>
      <c r="F306" s="260" t="s">
        <v>3085</v>
      </c>
      <c r="G306" s="260"/>
      <c r="H306" s="283">
        <f>(AW306+CK306)/2*0.19</f>
        <v>4334.62833333333</v>
      </c>
      <c r="I306" s="292" t="s">
        <v>3219</v>
      </c>
      <c r="J306" s="258"/>
      <c r="K306" s="258"/>
      <c r="L306" s="258"/>
      <c r="M306" s="258"/>
      <c r="N306" s="258"/>
      <c r="O306" s="258"/>
      <c r="P306" s="258"/>
      <c r="Q306" s="258"/>
      <c r="R306" s="258"/>
      <c r="S306" s="258"/>
      <c r="T306" s="258"/>
      <c r="U306" s="258"/>
      <c r="V306" s="258"/>
      <c r="W306" s="258"/>
      <c r="X306" s="258"/>
      <c r="Y306" s="258"/>
      <c r="Z306" s="258"/>
      <c r="AA306" s="258"/>
      <c r="AB306" s="258"/>
      <c r="AC306" s="258"/>
      <c r="AD306" s="258"/>
      <c r="AE306" s="258"/>
      <c r="AF306" s="258"/>
      <c r="AG306" s="258"/>
      <c r="AH306" s="258"/>
      <c r="AI306" s="258"/>
      <c r="AJ306" s="258"/>
      <c r="AK306" s="258"/>
      <c r="AL306" s="258"/>
      <c r="AM306" s="258"/>
      <c r="AN306" s="258"/>
      <c r="AO306" s="258" t="s">
        <v>3089</v>
      </c>
      <c r="AP306" s="258">
        <f>52990*0.2689*2</f>
        <v>28498.022</v>
      </c>
      <c r="AQ306" s="258" t="s">
        <v>3090</v>
      </c>
      <c r="AR306" s="283" t="s">
        <v>3091</v>
      </c>
      <c r="AS306" s="283" t="s">
        <v>3092</v>
      </c>
      <c r="AT306" s="283" t="s">
        <v>3093</v>
      </c>
      <c r="AU306" s="283" t="s">
        <v>3094</v>
      </c>
      <c r="AV306" s="283" t="s">
        <v>3095</v>
      </c>
      <c r="AW306" s="283">
        <f t="shared" si="35"/>
        <v>24744.3333333333</v>
      </c>
      <c r="AX306" s="399"/>
      <c r="AY306" s="399"/>
      <c r="AZ306" s="400"/>
      <c r="BA306" s="400"/>
      <c r="BB306" s="400"/>
      <c r="BC306" s="400"/>
      <c r="BD306" s="400"/>
      <c r="BE306" s="400"/>
      <c r="BF306" s="400"/>
      <c r="BG306" s="400"/>
      <c r="BH306" s="400"/>
      <c r="BI306" s="400"/>
      <c r="BJ306" s="400"/>
      <c r="BK306" s="400"/>
      <c r="BL306" s="400"/>
      <c r="BM306" s="400"/>
      <c r="BN306" s="400"/>
      <c r="BO306" s="400"/>
      <c r="BP306" s="400"/>
      <c r="BQ306" s="400"/>
      <c r="BR306" s="258"/>
      <c r="BS306" s="258"/>
      <c r="BT306" s="258"/>
      <c r="BU306" s="258"/>
      <c r="BV306" s="258"/>
      <c r="BW306" s="258"/>
      <c r="BX306" s="258"/>
      <c r="BY306" s="258"/>
      <c r="BZ306" s="258"/>
      <c r="CA306" s="258"/>
      <c r="CB306" s="258"/>
      <c r="CC306" s="258">
        <v>20500</v>
      </c>
      <c r="CD306" s="258">
        <v>4900</v>
      </c>
      <c r="CE306" s="258">
        <v>2300</v>
      </c>
      <c r="CF306" s="258">
        <v>15500</v>
      </c>
      <c r="CG306" s="258">
        <v>8400</v>
      </c>
      <c r="CH306" s="258">
        <v>3100</v>
      </c>
      <c r="CI306" s="258">
        <v>48200</v>
      </c>
      <c r="CJ306" s="258">
        <v>8600</v>
      </c>
      <c r="CK306" s="283">
        <f t="shared" si="36"/>
        <v>20883.3333333333</v>
      </c>
      <c r="CL306" s="398"/>
      <c r="CM306" s="371">
        <f>Summary!$D$4</f>
        <v>1816871.23333333</v>
      </c>
      <c r="CN306" s="258">
        <f t="shared" si="41"/>
        <v>0</v>
      </c>
    </row>
    <row r="307" ht="15.6" spans="1:92">
      <c r="A307" s="258" t="s">
        <v>145</v>
      </c>
      <c r="B307" s="258" t="s">
        <v>694</v>
      </c>
      <c r="C307" s="258" t="s">
        <v>230</v>
      </c>
      <c r="D307" s="258" t="s">
        <v>3228</v>
      </c>
      <c r="E307" s="258" t="s">
        <v>233</v>
      </c>
      <c r="F307" s="260" t="s">
        <v>411</v>
      </c>
      <c r="G307" s="260"/>
      <c r="H307" s="283">
        <f t="shared" si="40"/>
        <v>7302.25000000002</v>
      </c>
      <c r="I307" s="260" t="s">
        <v>3191</v>
      </c>
      <c r="J307" s="258"/>
      <c r="K307" s="258"/>
      <c r="L307" s="258"/>
      <c r="M307" s="258"/>
      <c r="N307" s="258"/>
      <c r="O307" s="258"/>
      <c r="P307" s="258"/>
      <c r="Q307" s="258"/>
      <c r="R307" s="258"/>
      <c r="S307" s="258"/>
      <c r="T307" s="258"/>
      <c r="U307" s="258"/>
      <c r="V307" s="258"/>
      <c r="W307" s="258"/>
      <c r="X307" s="258"/>
      <c r="Y307" s="258"/>
      <c r="Z307" s="258"/>
      <c r="AA307" s="258"/>
      <c r="AB307" s="258"/>
      <c r="AC307" s="258"/>
      <c r="AD307" s="258"/>
      <c r="AE307" s="258"/>
      <c r="AF307" s="258"/>
      <c r="AG307" s="258"/>
      <c r="AH307" s="258"/>
      <c r="AI307" s="258"/>
      <c r="AJ307" s="258"/>
      <c r="AK307" s="258"/>
      <c r="AL307" s="258"/>
      <c r="AM307" s="258"/>
      <c r="AN307" s="258"/>
      <c r="AO307" s="258" t="s">
        <v>3229</v>
      </c>
      <c r="AP307" s="367">
        <v>8733</v>
      </c>
      <c r="AQ307" s="367" t="s">
        <v>3230</v>
      </c>
      <c r="AR307" s="283" t="s">
        <v>3231</v>
      </c>
      <c r="AS307" s="283" t="s">
        <v>3232</v>
      </c>
      <c r="AT307" s="283" t="s">
        <v>3233</v>
      </c>
      <c r="AU307" s="283" t="s">
        <v>3234</v>
      </c>
      <c r="AV307" s="283" t="s">
        <v>3235</v>
      </c>
      <c r="AW307" s="283">
        <f t="shared" si="35"/>
        <v>12171.1666666667</v>
      </c>
      <c r="AX307" s="399"/>
      <c r="AY307" s="399"/>
      <c r="AZ307" s="400"/>
      <c r="BA307" s="400"/>
      <c r="BB307" s="400"/>
      <c r="BC307" s="400"/>
      <c r="BD307" s="400"/>
      <c r="BE307" s="400"/>
      <c r="BF307" s="400"/>
      <c r="BG307" s="400"/>
      <c r="BH307" s="400"/>
      <c r="BI307" s="400"/>
      <c r="BJ307" s="400"/>
      <c r="BK307" s="400"/>
      <c r="BL307" s="400"/>
      <c r="BM307" s="400"/>
      <c r="BN307" s="400"/>
      <c r="BO307" s="400"/>
      <c r="BP307" s="400"/>
      <c r="BQ307" s="400"/>
      <c r="BR307" s="258"/>
      <c r="BS307" s="258"/>
      <c r="BT307" s="258"/>
      <c r="BU307" s="258"/>
      <c r="BV307" s="258"/>
      <c r="BW307" s="258"/>
      <c r="BX307" s="258"/>
      <c r="BY307" s="258"/>
      <c r="BZ307" s="258"/>
      <c r="CA307" s="258"/>
      <c r="CB307" s="258"/>
      <c r="CC307" s="258">
        <v>9500</v>
      </c>
      <c r="CD307" s="258">
        <v>5600</v>
      </c>
      <c r="CE307" s="258">
        <v>4000</v>
      </c>
      <c r="CF307" s="258">
        <v>4600</v>
      </c>
      <c r="CG307" s="258">
        <v>2600</v>
      </c>
      <c r="CH307" s="258">
        <v>7200</v>
      </c>
      <c r="CI307" s="258">
        <v>3700</v>
      </c>
      <c r="CJ307" s="258">
        <v>0</v>
      </c>
      <c r="CK307" s="283">
        <f t="shared" si="36"/>
        <v>2433.33333333333</v>
      </c>
      <c r="CL307" s="398"/>
      <c r="CM307" s="371">
        <f>Summary!$D$4</f>
        <v>1816871.23333333</v>
      </c>
      <c r="CN307" s="258">
        <f t="shared" si="41"/>
        <v>0</v>
      </c>
    </row>
    <row r="308" ht="15.6" spans="1:92">
      <c r="A308" s="258" t="s">
        <v>138</v>
      </c>
      <c r="B308" s="258" t="s">
        <v>694</v>
      </c>
      <c r="C308" s="258" t="s">
        <v>230</v>
      </c>
      <c r="D308" s="258" t="s">
        <v>3236</v>
      </c>
      <c r="E308" s="258" t="s">
        <v>441</v>
      </c>
      <c r="F308" s="260" t="s">
        <v>420</v>
      </c>
      <c r="G308" s="260"/>
      <c r="H308" s="283">
        <f t="shared" si="40"/>
        <v>8184.08333333335</v>
      </c>
      <c r="I308" s="260" t="s">
        <v>3209</v>
      </c>
      <c r="J308" s="258"/>
      <c r="K308" s="258"/>
      <c r="L308" s="258"/>
      <c r="M308" s="258"/>
      <c r="N308" s="258"/>
      <c r="O308" s="258"/>
      <c r="P308" s="258"/>
      <c r="Q308" s="258"/>
      <c r="R308" s="258"/>
      <c r="S308" s="258"/>
      <c r="T308" s="258"/>
      <c r="U308" s="258"/>
      <c r="V308" s="258"/>
      <c r="W308" s="258"/>
      <c r="X308" s="258"/>
      <c r="Y308" s="258"/>
      <c r="Z308" s="258"/>
      <c r="AA308" s="258"/>
      <c r="AB308" s="258"/>
      <c r="AC308" s="258"/>
      <c r="AD308" s="258"/>
      <c r="AE308" s="258"/>
      <c r="AF308" s="258"/>
      <c r="AG308" s="258"/>
      <c r="AH308" s="258"/>
      <c r="AI308" s="258"/>
      <c r="AJ308" s="258"/>
      <c r="AK308" s="258"/>
      <c r="AL308" s="258"/>
      <c r="AM308" s="258"/>
      <c r="AN308" s="258"/>
      <c r="AO308" s="258" t="s">
        <v>3237</v>
      </c>
      <c r="AP308" s="258">
        <v>2500</v>
      </c>
      <c r="AQ308" s="258" t="s">
        <v>3238</v>
      </c>
      <c r="AR308" s="283" t="s">
        <v>3239</v>
      </c>
      <c r="AS308" s="283" t="s">
        <v>3240</v>
      </c>
      <c r="AT308" s="283" t="s">
        <v>3241</v>
      </c>
      <c r="AU308" s="283" t="s">
        <v>3242</v>
      </c>
      <c r="AV308" s="283" t="s">
        <v>3243</v>
      </c>
      <c r="AW308" s="283">
        <f t="shared" si="35"/>
        <v>10918.1666666667</v>
      </c>
      <c r="AX308" s="399"/>
      <c r="AY308" s="399"/>
      <c r="AZ308" s="400"/>
      <c r="BA308" s="400"/>
      <c r="BB308" s="400"/>
      <c r="BC308" s="400"/>
      <c r="BD308" s="400"/>
      <c r="BE308" s="400"/>
      <c r="BF308" s="400"/>
      <c r="BG308" s="400"/>
      <c r="BH308" s="400"/>
      <c r="BI308" s="400"/>
      <c r="BJ308" s="400"/>
      <c r="BK308" s="400"/>
      <c r="BL308" s="400"/>
      <c r="BM308" s="400"/>
      <c r="BN308" s="400"/>
      <c r="BO308" s="400"/>
      <c r="BP308" s="400"/>
      <c r="BQ308" s="400"/>
      <c r="BR308" s="258"/>
      <c r="BS308" s="258"/>
      <c r="BT308" s="258"/>
      <c r="BU308" s="258"/>
      <c r="BV308" s="258"/>
      <c r="BW308" s="258"/>
      <c r="BX308" s="258"/>
      <c r="BY308" s="258"/>
      <c r="BZ308" s="258"/>
      <c r="CA308" s="258"/>
      <c r="CB308" s="258"/>
      <c r="CC308" s="258">
        <v>0</v>
      </c>
      <c r="CD308" s="258">
        <v>5700</v>
      </c>
      <c r="CE308" s="258">
        <v>1400</v>
      </c>
      <c r="CF308" s="258">
        <v>6600</v>
      </c>
      <c r="CG308" s="258">
        <v>6100</v>
      </c>
      <c r="CH308" s="258">
        <v>0</v>
      </c>
      <c r="CI308" s="258">
        <v>5100</v>
      </c>
      <c r="CJ308" s="258">
        <v>7500</v>
      </c>
      <c r="CK308" s="283">
        <f t="shared" si="36"/>
        <v>5450</v>
      </c>
      <c r="CL308" s="398"/>
      <c r="CM308" s="371">
        <f>Summary!$D$2</f>
        <v>2530324.072226</v>
      </c>
      <c r="CN308" s="258">
        <f t="shared" ref="CN308:CN312" si="42">IF(_xlfn.IFNA(CM308,0),IF(AND(H308/CM308&gt;=0.05,B308&lt;&gt;"官网"),1,0),0)</f>
        <v>0</v>
      </c>
    </row>
    <row r="309" ht="15.6" spans="1:92">
      <c r="A309" s="258" t="s">
        <v>177</v>
      </c>
      <c r="B309" s="258" t="s">
        <v>694</v>
      </c>
      <c r="C309" s="258" t="s">
        <v>243</v>
      </c>
      <c r="D309" s="258" t="s">
        <v>3244</v>
      </c>
      <c r="E309" s="258" t="s">
        <v>441</v>
      </c>
      <c r="F309" s="260" t="s">
        <v>302</v>
      </c>
      <c r="G309" s="260"/>
      <c r="H309" s="283">
        <f t="shared" si="40"/>
        <v>2624.16666666667</v>
      </c>
      <c r="I309" s="260" t="s">
        <v>3209</v>
      </c>
      <c r="J309" s="258"/>
      <c r="K309" s="258"/>
      <c r="L309" s="258"/>
      <c r="M309" s="258"/>
      <c r="N309" s="258"/>
      <c r="O309" s="258"/>
      <c r="P309" s="258"/>
      <c r="Q309" s="258"/>
      <c r="R309" s="258"/>
      <c r="S309" s="258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258"/>
      <c r="AJ309" s="258"/>
      <c r="AK309" s="258"/>
      <c r="AL309" s="258"/>
      <c r="AM309" s="258"/>
      <c r="AN309" s="258"/>
      <c r="AO309" s="258" t="s">
        <v>3245</v>
      </c>
      <c r="AP309" s="258">
        <f>11266*0.0517*2</f>
        <v>1164.9044</v>
      </c>
      <c r="AQ309" s="258" t="s">
        <v>3246</v>
      </c>
      <c r="AR309" s="283" t="s">
        <v>3247</v>
      </c>
      <c r="AS309" s="283" t="s">
        <v>3248</v>
      </c>
      <c r="AT309" s="283" t="s">
        <v>3249</v>
      </c>
      <c r="AU309" s="283" t="s">
        <v>3250</v>
      </c>
      <c r="AV309" s="283">
        <v>7527</v>
      </c>
      <c r="AW309" s="283">
        <f t="shared" si="35"/>
        <v>4889.83333333333</v>
      </c>
      <c r="AX309" s="399"/>
      <c r="AY309" s="399"/>
      <c r="AZ309" s="400"/>
      <c r="BA309" s="400"/>
      <c r="BB309" s="400"/>
      <c r="BC309" s="400"/>
      <c r="BD309" s="400"/>
      <c r="BE309" s="400"/>
      <c r="BF309" s="400"/>
      <c r="BG309" s="400"/>
      <c r="BH309" s="400"/>
      <c r="BI309" s="400"/>
      <c r="BJ309" s="400"/>
      <c r="BK309" s="400"/>
      <c r="BL309" s="400"/>
      <c r="BM309" s="400"/>
      <c r="BN309" s="400"/>
      <c r="BO309" s="400"/>
      <c r="BP309" s="400"/>
      <c r="BQ309" s="400"/>
      <c r="BR309" s="258"/>
      <c r="BS309" s="258"/>
      <c r="BT309" s="258"/>
      <c r="BU309" s="258"/>
      <c r="BV309" s="258"/>
      <c r="BW309" s="258"/>
      <c r="BX309" s="258"/>
      <c r="BY309" s="258"/>
      <c r="BZ309" s="258"/>
      <c r="CA309" s="258"/>
      <c r="CB309" s="258"/>
      <c r="CC309" s="258">
        <v>0</v>
      </c>
      <c r="CD309" s="258">
        <v>0</v>
      </c>
      <c r="CE309" s="258">
        <v>1900</v>
      </c>
      <c r="CF309" s="258">
        <v>5200</v>
      </c>
      <c r="CG309" s="258">
        <v>337</v>
      </c>
      <c r="CH309" s="258">
        <v>513</v>
      </c>
      <c r="CI309" s="258">
        <v>0</v>
      </c>
      <c r="CJ309" s="258">
        <v>546</v>
      </c>
      <c r="CK309" s="283">
        <f t="shared" si="36"/>
        <v>358.5</v>
      </c>
      <c r="CL309" s="398"/>
      <c r="CM309" s="371">
        <f>Summary!$D$14</f>
        <v>157127.612416667</v>
      </c>
      <c r="CN309" s="258">
        <f t="shared" si="42"/>
        <v>0</v>
      </c>
    </row>
    <row r="310" ht="15.6" spans="1:92">
      <c r="A310" s="258" t="s">
        <v>177</v>
      </c>
      <c r="B310" s="258" t="s">
        <v>694</v>
      </c>
      <c r="C310" s="258" t="s">
        <v>243</v>
      </c>
      <c r="D310" s="258" t="s">
        <v>3251</v>
      </c>
      <c r="E310" s="258" t="s">
        <v>441</v>
      </c>
      <c r="F310" s="260" t="s">
        <v>423</v>
      </c>
      <c r="G310" s="260"/>
      <c r="H310" s="283">
        <f t="shared" si="40"/>
        <v>1725.83333333334</v>
      </c>
      <c r="I310" s="260" t="s">
        <v>3209</v>
      </c>
      <c r="J310" s="258"/>
      <c r="K310" s="258"/>
      <c r="L310" s="258"/>
      <c r="M310" s="258"/>
      <c r="N310" s="258"/>
      <c r="O310" s="258"/>
      <c r="P310" s="258"/>
      <c r="Q310" s="258"/>
      <c r="R310" s="258"/>
      <c r="S310" s="258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258"/>
      <c r="AJ310" s="258"/>
      <c r="AK310" s="258"/>
      <c r="AL310" s="258"/>
      <c r="AM310" s="258"/>
      <c r="AN310" s="258"/>
      <c r="AO310" s="258">
        <f>21327*0.2212*2</f>
        <v>9435.0648</v>
      </c>
      <c r="AP310" s="367">
        <v>30122</v>
      </c>
      <c r="AQ310" s="367">
        <f>13302*0.1627*2</f>
        <v>4328.4708</v>
      </c>
      <c r="AR310" s="283" t="s">
        <v>3252</v>
      </c>
      <c r="AS310" s="283" t="s">
        <v>3253</v>
      </c>
      <c r="AT310" s="283" t="s">
        <v>3254</v>
      </c>
      <c r="AU310" s="283" t="s">
        <v>3255</v>
      </c>
      <c r="AV310" s="283">
        <v>5000</v>
      </c>
      <c r="AW310" s="283">
        <f t="shared" si="35"/>
        <v>3451.66666666667</v>
      </c>
      <c r="AX310" s="399"/>
      <c r="AY310" s="399"/>
      <c r="AZ310" s="400"/>
      <c r="BA310" s="400"/>
      <c r="BB310" s="400"/>
      <c r="BC310" s="400"/>
      <c r="BD310" s="400"/>
      <c r="BE310" s="400"/>
      <c r="BF310" s="400"/>
      <c r="BG310" s="400"/>
      <c r="BH310" s="400"/>
      <c r="BI310" s="400"/>
      <c r="BJ310" s="400"/>
      <c r="BK310" s="400"/>
      <c r="BL310" s="400"/>
      <c r="BM310" s="400"/>
      <c r="BN310" s="400"/>
      <c r="BO310" s="400"/>
      <c r="BP310" s="400"/>
      <c r="BQ310" s="400"/>
      <c r="BR310" s="258"/>
      <c r="BS310" s="258"/>
      <c r="BT310" s="258"/>
      <c r="BU310" s="258"/>
      <c r="BV310" s="258"/>
      <c r="BW310" s="258"/>
      <c r="BX310" s="258"/>
      <c r="BY310" s="258"/>
      <c r="BZ310" s="258"/>
      <c r="CA310" s="258"/>
      <c r="CB310" s="258"/>
      <c r="CC310" s="258">
        <v>0</v>
      </c>
      <c r="CD310" s="258">
        <v>1500</v>
      </c>
      <c r="CE310" s="258">
        <v>1500</v>
      </c>
      <c r="CF310" s="258">
        <v>965</v>
      </c>
      <c r="CG310" s="258">
        <v>2600</v>
      </c>
      <c r="CH310" s="258">
        <v>0</v>
      </c>
      <c r="CI310" s="258">
        <v>0</v>
      </c>
      <c r="CJ310" s="258">
        <v>0</v>
      </c>
      <c r="CK310" s="283">
        <f t="shared" si="36"/>
        <v>0</v>
      </c>
      <c r="CL310" s="398"/>
      <c r="CM310" s="371">
        <f>Summary!$D$14</f>
        <v>157127.612416667</v>
      </c>
      <c r="CN310" s="258">
        <f t="shared" si="42"/>
        <v>0</v>
      </c>
    </row>
    <row r="311" ht="15.6" spans="1:92">
      <c r="A311" s="258" t="s">
        <v>1761</v>
      </c>
      <c r="B311" s="258" t="s">
        <v>694</v>
      </c>
      <c r="C311" s="258" t="s">
        <v>230</v>
      </c>
      <c r="D311" s="258" t="s">
        <v>3256</v>
      </c>
      <c r="E311" s="258" t="s">
        <v>233</v>
      </c>
      <c r="F311" s="260" t="s">
        <v>250</v>
      </c>
      <c r="G311" s="260"/>
      <c r="H311" s="283">
        <f t="shared" si="40"/>
        <v>9218.58333333332</v>
      </c>
      <c r="I311" s="260" t="s">
        <v>3191</v>
      </c>
      <c r="J311" s="258"/>
      <c r="K311" s="258"/>
      <c r="L311" s="258"/>
      <c r="M311" s="258"/>
      <c r="N311" s="258"/>
      <c r="O311" s="258"/>
      <c r="P311" s="258"/>
      <c r="Q311" s="258"/>
      <c r="R311" s="258"/>
      <c r="S311" s="258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258"/>
      <c r="AJ311" s="258"/>
      <c r="AK311" s="258"/>
      <c r="AL311" s="258"/>
      <c r="AM311" s="258"/>
      <c r="AN311" s="258"/>
      <c r="AO311" s="258" t="s">
        <v>3257</v>
      </c>
      <c r="AP311" s="367">
        <v>6662</v>
      </c>
      <c r="AQ311" s="367" t="s">
        <v>3258</v>
      </c>
      <c r="AR311" s="283" t="s">
        <v>3259</v>
      </c>
      <c r="AS311" s="283" t="s">
        <v>3260</v>
      </c>
      <c r="AT311" s="283" t="s">
        <v>3261</v>
      </c>
      <c r="AU311" s="283" t="s">
        <v>3262</v>
      </c>
      <c r="AV311" s="283" t="s">
        <v>3263</v>
      </c>
      <c r="AW311" s="283">
        <f t="shared" si="35"/>
        <v>12953.8333333333</v>
      </c>
      <c r="AX311" s="399"/>
      <c r="AY311" s="399"/>
      <c r="AZ311" s="400"/>
      <c r="BA311" s="400"/>
      <c r="BB311" s="400"/>
      <c r="BC311" s="400"/>
      <c r="BD311" s="400"/>
      <c r="BE311" s="400"/>
      <c r="BF311" s="400"/>
      <c r="BG311" s="400"/>
      <c r="BH311" s="400"/>
      <c r="BI311" s="400"/>
      <c r="BJ311" s="400"/>
      <c r="BK311" s="400"/>
      <c r="BL311" s="400"/>
      <c r="BM311" s="400"/>
      <c r="BN311" s="400"/>
      <c r="BO311" s="400"/>
      <c r="BP311" s="400"/>
      <c r="BQ311" s="400"/>
      <c r="BR311" s="258"/>
      <c r="BS311" s="258"/>
      <c r="BT311" s="258"/>
      <c r="BU311" s="258"/>
      <c r="BV311" s="258"/>
      <c r="BW311" s="258"/>
      <c r="BX311" s="258"/>
      <c r="BY311" s="258"/>
      <c r="BZ311" s="258"/>
      <c r="CA311" s="258"/>
      <c r="CB311" s="258"/>
      <c r="CC311" s="258">
        <v>10300</v>
      </c>
      <c r="CD311" s="258">
        <v>8100</v>
      </c>
      <c r="CE311" s="258">
        <v>6700</v>
      </c>
      <c r="CF311" s="258">
        <v>10200</v>
      </c>
      <c r="CG311" s="258">
        <v>4700</v>
      </c>
      <c r="CH311" s="258">
        <v>10600</v>
      </c>
      <c r="CI311" s="258">
        <v>4400</v>
      </c>
      <c r="CJ311" s="258">
        <v>4500</v>
      </c>
      <c r="CK311" s="283">
        <f t="shared" si="36"/>
        <v>5483.33333333333</v>
      </c>
      <c r="CL311" s="398"/>
      <c r="CM311" s="371">
        <f>Summary!$D$9</f>
        <v>657757.072666666</v>
      </c>
      <c r="CN311" s="258">
        <f t="shared" si="42"/>
        <v>0</v>
      </c>
    </row>
    <row r="312" ht="15.6" spans="1:92">
      <c r="A312" s="258" t="s">
        <v>168</v>
      </c>
      <c r="B312" s="258" t="s">
        <v>694</v>
      </c>
      <c r="C312" s="258" t="s">
        <v>243</v>
      </c>
      <c r="D312" s="258" t="s">
        <v>3264</v>
      </c>
      <c r="E312" s="258" t="s">
        <v>441</v>
      </c>
      <c r="F312" s="260" t="s">
        <v>60</v>
      </c>
      <c r="G312" s="260"/>
      <c r="H312" s="283">
        <f t="shared" si="40"/>
        <v>15254</v>
      </c>
      <c r="I312" s="260" t="s">
        <v>3191</v>
      </c>
      <c r="J312" s="258"/>
      <c r="K312" s="258"/>
      <c r="L312" s="258"/>
      <c r="M312" s="258"/>
      <c r="N312" s="258"/>
      <c r="O312" s="258"/>
      <c r="P312" s="258"/>
      <c r="Q312" s="258"/>
      <c r="R312" s="258"/>
      <c r="S312" s="258"/>
      <c r="T312" s="258"/>
      <c r="U312" s="258"/>
      <c r="V312" s="258"/>
      <c r="W312" s="258"/>
      <c r="X312" s="258"/>
      <c r="Y312" s="258"/>
      <c r="Z312" s="258"/>
      <c r="AA312" s="258"/>
      <c r="AB312" s="258"/>
      <c r="AC312" s="258"/>
      <c r="AD312" s="258"/>
      <c r="AE312" s="258"/>
      <c r="AF312" s="258"/>
      <c r="AG312" s="258"/>
      <c r="AH312" s="258"/>
      <c r="AI312" s="258"/>
      <c r="AJ312" s="258"/>
      <c r="AK312" s="258"/>
      <c r="AL312" s="258"/>
      <c r="AM312" s="258"/>
      <c r="AN312" s="258"/>
      <c r="AO312" s="258" t="s">
        <v>3265</v>
      </c>
      <c r="AP312" s="367">
        <v>25861</v>
      </c>
      <c r="AQ312" s="367" t="s">
        <v>3266</v>
      </c>
      <c r="AR312" s="283" t="s">
        <v>3267</v>
      </c>
      <c r="AS312" s="283" t="s">
        <v>3268</v>
      </c>
      <c r="AT312" s="283" t="s">
        <v>3269</v>
      </c>
      <c r="AU312" s="283" t="s">
        <v>3270</v>
      </c>
      <c r="AV312" s="283" t="s">
        <v>3271</v>
      </c>
      <c r="AW312" s="283">
        <f t="shared" si="35"/>
        <v>16274.6666666667</v>
      </c>
      <c r="AX312" s="399"/>
      <c r="AY312" s="399"/>
      <c r="AZ312" s="400"/>
      <c r="BA312" s="400"/>
      <c r="BB312" s="400"/>
      <c r="BC312" s="400"/>
      <c r="BD312" s="400"/>
      <c r="BE312" s="400"/>
      <c r="BF312" s="400"/>
      <c r="BG312" s="400"/>
      <c r="BH312" s="400"/>
      <c r="BI312" s="400"/>
      <c r="BJ312" s="400"/>
      <c r="BK312" s="400"/>
      <c r="BL312" s="400"/>
      <c r="BM312" s="400"/>
      <c r="BN312" s="400"/>
      <c r="BO312" s="400"/>
      <c r="BP312" s="400"/>
      <c r="BQ312" s="400"/>
      <c r="BR312" s="258"/>
      <c r="BS312" s="258"/>
      <c r="BT312" s="258"/>
      <c r="BU312" s="258"/>
      <c r="BV312" s="258"/>
      <c r="BW312" s="258"/>
      <c r="BX312" s="258"/>
      <c r="BY312" s="258"/>
      <c r="BZ312" s="258"/>
      <c r="CA312" s="258"/>
      <c r="CB312" s="258"/>
      <c r="CC312" s="258">
        <v>4300</v>
      </c>
      <c r="CD312" s="258">
        <v>12800</v>
      </c>
      <c r="CE312" s="258">
        <v>9100</v>
      </c>
      <c r="CF312" s="258">
        <v>4800</v>
      </c>
      <c r="CG312" s="258">
        <v>8700</v>
      </c>
      <c r="CH312" s="258">
        <v>4600</v>
      </c>
      <c r="CI312" s="258">
        <v>12500</v>
      </c>
      <c r="CJ312" s="258">
        <v>18600</v>
      </c>
      <c r="CK312" s="283">
        <f t="shared" si="36"/>
        <v>14233.3333333333</v>
      </c>
      <c r="CL312" s="398"/>
      <c r="CM312" s="371">
        <f>Summary!$D$11</f>
        <v>495890.9464</v>
      </c>
      <c r="CN312" s="258">
        <f t="shared" si="42"/>
        <v>0</v>
      </c>
    </row>
    <row r="313" ht="15.6" spans="1:92">
      <c r="A313" s="258" t="s">
        <v>149</v>
      </c>
      <c r="B313" s="258" t="s">
        <v>694</v>
      </c>
      <c r="C313" s="258" t="s">
        <v>230</v>
      </c>
      <c r="D313" s="258" t="s">
        <v>3272</v>
      </c>
      <c r="E313" s="258" t="s">
        <v>441</v>
      </c>
      <c r="F313" s="260" t="s">
        <v>272</v>
      </c>
      <c r="G313" s="260"/>
      <c r="H313" s="283">
        <f t="shared" si="40"/>
        <v>7847.58333333332</v>
      </c>
      <c r="I313" s="260" t="s">
        <v>3191</v>
      </c>
      <c r="J313" s="258"/>
      <c r="K313" s="258"/>
      <c r="L313" s="258"/>
      <c r="M313" s="258"/>
      <c r="N313" s="258"/>
      <c r="O313" s="258"/>
      <c r="P313" s="258"/>
      <c r="Q313" s="258"/>
      <c r="R313" s="258"/>
      <c r="S313" s="258"/>
      <c r="T313" s="258"/>
      <c r="U313" s="258"/>
      <c r="V313" s="258"/>
      <c r="W313" s="258"/>
      <c r="X313" s="258"/>
      <c r="Y313" s="258"/>
      <c r="Z313" s="258"/>
      <c r="AA313" s="258"/>
      <c r="AB313" s="258"/>
      <c r="AC313" s="258"/>
      <c r="AD313" s="258"/>
      <c r="AE313" s="258"/>
      <c r="AF313" s="258"/>
      <c r="AG313" s="258"/>
      <c r="AH313" s="258"/>
      <c r="AI313" s="258"/>
      <c r="AJ313" s="258"/>
      <c r="AK313" s="258"/>
      <c r="AL313" s="258"/>
      <c r="AM313" s="258"/>
      <c r="AN313" s="258"/>
      <c r="AO313" s="258">
        <v>25252</v>
      </c>
      <c r="AP313" s="258">
        <f>16085*0.1308*2</f>
        <v>4207.836</v>
      </c>
      <c r="AQ313" s="258">
        <v>14709</v>
      </c>
      <c r="AR313" s="283" t="s">
        <v>3273</v>
      </c>
      <c r="AS313" s="283" t="s">
        <v>3274</v>
      </c>
      <c r="AT313" s="283" t="s">
        <v>3275</v>
      </c>
      <c r="AU313" s="283" t="s">
        <v>3276</v>
      </c>
      <c r="AV313" s="283" t="s">
        <v>3277</v>
      </c>
      <c r="AW313" s="283">
        <f t="shared" si="35"/>
        <v>10361.8333333333</v>
      </c>
      <c r="AX313" s="399"/>
      <c r="AY313" s="399"/>
      <c r="AZ313" s="400"/>
      <c r="BA313" s="400"/>
      <c r="BB313" s="400"/>
      <c r="BC313" s="400"/>
      <c r="BD313" s="400"/>
      <c r="BE313" s="400"/>
      <c r="BF313" s="400"/>
      <c r="BG313" s="400"/>
      <c r="BH313" s="400"/>
      <c r="BI313" s="400"/>
      <c r="BJ313" s="400"/>
      <c r="BK313" s="400"/>
      <c r="BL313" s="400"/>
      <c r="BM313" s="400"/>
      <c r="BN313" s="400"/>
      <c r="BO313" s="400"/>
      <c r="BP313" s="400"/>
      <c r="BQ313" s="400"/>
      <c r="BR313" s="258"/>
      <c r="BS313" s="258"/>
      <c r="BT313" s="258"/>
      <c r="BU313" s="258"/>
      <c r="BV313" s="258"/>
      <c r="BW313" s="258"/>
      <c r="BX313" s="258"/>
      <c r="BY313" s="258"/>
      <c r="BZ313" s="258"/>
      <c r="CA313" s="258"/>
      <c r="CB313" s="258"/>
      <c r="CC313" s="258">
        <v>5600</v>
      </c>
      <c r="CD313" s="258">
        <v>1700</v>
      </c>
      <c r="CE313" s="258">
        <v>3000</v>
      </c>
      <c r="CF313" s="258">
        <v>5000</v>
      </c>
      <c r="CG313" s="258">
        <v>5200</v>
      </c>
      <c r="CH313" s="258">
        <v>4100</v>
      </c>
      <c r="CI313" s="258">
        <v>5400</v>
      </c>
      <c r="CJ313" s="258">
        <v>5700</v>
      </c>
      <c r="CK313" s="283">
        <f t="shared" si="36"/>
        <v>5333.33333333333</v>
      </c>
      <c r="CL313" s="398"/>
      <c r="CM313" s="371">
        <f>Summary!$D$5</f>
        <v>1543433.55918333</v>
      </c>
      <c r="CN313" s="258">
        <f t="shared" ref="CN313:CN319" si="43">IF(_xlfn.IFNA(CM313,0),IF(AND(H313/CM313&gt;=0.05,B313&lt;&gt;"官网",B313&lt;&gt;"自己网站"),1,0),0)</f>
        <v>0</v>
      </c>
    </row>
    <row r="314" ht="15.6" spans="1:92">
      <c r="A314" s="258" t="s">
        <v>159</v>
      </c>
      <c r="B314" s="258" t="s">
        <v>694</v>
      </c>
      <c r="C314" s="258" t="s">
        <v>230</v>
      </c>
      <c r="D314" s="258" t="s">
        <v>3278</v>
      </c>
      <c r="E314" s="258" t="s">
        <v>233</v>
      </c>
      <c r="F314" s="260" t="s">
        <v>426</v>
      </c>
      <c r="G314" s="260"/>
      <c r="H314" s="283">
        <f t="shared" si="40"/>
        <v>5726.41666666667</v>
      </c>
      <c r="I314" s="260" t="s">
        <v>3191</v>
      </c>
      <c r="J314" s="258"/>
      <c r="K314" s="258"/>
      <c r="L314" s="258"/>
      <c r="M314" s="258"/>
      <c r="N314" s="258"/>
      <c r="O314" s="258"/>
      <c r="P314" s="258"/>
      <c r="Q314" s="258"/>
      <c r="R314" s="258"/>
      <c r="S314" s="258"/>
      <c r="T314" s="258"/>
      <c r="U314" s="258"/>
      <c r="V314" s="258"/>
      <c r="W314" s="258"/>
      <c r="X314" s="258"/>
      <c r="Y314" s="258"/>
      <c r="Z314" s="258"/>
      <c r="AA314" s="258"/>
      <c r="AB314" s="258"/>
      <c r="AC314" s="258"/>
      <c r="AD314" s="258"/>
      <c r="AE314" s="258"/>
      <c r="AF314" s="258"/>
      <c r="AG314" s="258"/>
      <c r="AH314" s="258"/>
      <c r="AI314" s="258"/>
      <c r="AJ314" s="258"/>
      <c r="AK314" s="258"/>
      <c r="AL314" s="258"/>
      <c r="AM314" s="258"/>
      <c r="AN314" s="258"/>
      <c r="AO314" s="258" t="s">
        <v>3279</v>
      </c>
      <c r="AP314" s="367">
        <v>23285</v>
      </c>
      <c r="AQ314" s="367" t="s">
        <v>3280</v>
      </c>
      <c r="AR314" s="283">
        <v>10136</v>
      </c>
      <c r="AS314" s="283">
        <v>15009</v>
      </c>
      <c r="AT314" s="283">
        <v>9569</v>
      </c>
      <c r="AU314" s="283">
        <v>11279</v>
      </c>
      <c r="AV314" s="283">
        <v>11330</v>
      </c>
      <c r="AW314" s="283">
        <f t="shared" si="35"/>
        <v>11019.5</v>
      </c>
      <c r="AX314" s="399"/>
      <c r="AY314" s="399"/>
      <c r="AZ314" s="400"/>
      <c r="BA314" s="400"/>
      <c r="BB314" s="400"/>
      <c r="BC314" s="400"/>
      <c r="BD314" s="400"/>
      <c r="BE314" s="400"/>
      <c r="BF314" s="400"/>
      <c r="BG314" s="400"/>
      <c r="BH314" s="400"/>
      <c r="BI314" s="400"/>
      <c r="BJ314" s="400"/>
      <c r="BK314" s="400"/>
      <c r="BL314" s="400"/>
      <c r="BM314" s="400"/>
      <c r="BN314" s="400"/>
      <c r="BO314" s="400"/>
      <c r="BP314" s="400"/>
      <c r="BQ314" s="400"/>
      <c r="BR314" s="258"/>
      <c r="BS314" s="258"/>
      <c r="BT314" s="258"/>
      <c r="BU314" s="258"/>
      <c r="BV314" s="258"/>
      <c r="BW314" s="258"/>
      <c r="BX314" s="258"/>
      <c r="BY314" s="258"/>
      <c r="BZ314" s="258"/>
      <c r="CA314" s="258"/>
      <c r="CB314" s="258"/>
      <c r="CC314" s="258">
        <v>5200</v>
      </c>
      <c r="CD314" s="258">
        <v>67200</v>
      </c>
      <c r="CE314" s="258">
        <v>12100</v>
      </c>
      <c r="CF314" s="258">
        <v>2141.76</v>
      </c>
      <c r="CG314" s="258">
        <v>2400</v>
      </c>
      <c r="CH314" s="258">
        <v>2600</v>
      </c>
      <c r="CI314" s="258">
        <v>0</v>
      </c>
      <c r="CJ314" s="258">
        <v>0</v>
      </c>
      <c r="CK314" s="283">
        <f t="shared" si="36"/>
        <v>433.333333333333</v>
      </c>
      <c r="CL314" s="398"/>
      <c r="CM314" s="371">
        <f>Summary!$D$8</f>
        <v>724303.229333334</v>
      </c>
      <c r="CN314" s="258">
        <f t="shared" si="43"/>
        <v>0</v>
      </c>
    </row>
    <row r="315" ht="15.6" spans="1:92">
      <c r="A315" s="258" t="s">
        <v>159</v>
      </c>
      <c r="B315" s="258" t="s">
        <v>694</v>
      </c>
      <c r="C315" s="258" t="s">
        <v>243</v>
      </c>
      <c r="D315" s="258" t="s">
        <v>3281</v>
      </c>
      <c r="E315" s="258" t="s">
        <v>441</v>
      </c>
      <c r="F315" s="260" t="s">
        <v>423</v>
      </c>
      <c r="G315" s="260"/>
      <c r="H315" s="283">
        <f t="shared" si="40"/>
        <v>3097.41666666667</v>
      </c>
      <c r="I315" s="260" t="s">
        <v>3191</v>
      </c>
      <c r="J315" s="258"/>
      <c r="K315" s="258"/>
      <c r="L315" s="258"/>
      <c r="M315" s="258"/>
      <c r="N315" s="258"/>
      <c r="O315" s="258"/>
      <c r="P315" s="258"/>
      <c r="Q315" s="258"/>
      <c r="R315" s="258"/>
      <c r="S315" s="258"/>
      <c r="T315" s="258"/>
      <c r="U315" s="258"/>
      <c r="V315" s="258"/>
      <c r="W315" s="258"/>
      <c r="X315" s="258"/>
      <c r="Y315" s="258"/>
      <c r="Z315" s="258"/>
      <c r="AA315" s="258"/>
      <c r="AB315" s="258"/>
      <c r="AC315" s="258"/>
      <c r="AD315" s="258"/>
      <c r="AE315" s="258"/>
      <c r="AF315" s="258"/>
      <c r="AG315" s="258"/>
      <c r="AH315" s="258"/>
      <c r="AI315" s="258"/>
      <c r="AJ315" s="258"/>
      <c r="AK315" s="258"/>
      <c r="AL315" s="258"/>
      <c r="AM315" s="258"/>
      <c r="AN315" s="258"/>
      <c r="AO315" s="258" t="s">
        <v>3282</v>
      </c>
      <c r="AP315" s="258">
        <f>24082*0.1594*2</f>
        <v>7677.3416</v>
      </c>
      <c r="AQ315" s="258" t="s">
        <v>3283</v>
      </c>
      <c r="AR315" s="283">
        <v>9182</v>
      </c>
      <c r="AS315" s="283">
        <v>28633</v>
      </c>
      <c r="AT315" s="283">
        <v>11733</v>
      </c>
      <c r="AU315" s="283">
        <v>3915</v>
      </c>
      <c r="AV315" s="283">
        <v>5000</v>
      </c>
      <c r="AW315" s="283">
        <f t="shared" si="35"/>
        <v>5760.5</v>
      </c>
      <c r="AX315" s="399"/>
      <c r="AY315" s="399"/>
      <c r="AZ315" s="400"/>
      <c r="BA315" s="400"/>
      <c r="BB315" s="400"/>
      <c r="BC315" s="400"/>
      <c r="BD315" s="400"/>
      <c r="BE315" s="400"/>
      <c r="BF315" s="400"/>
      <c r="BG315" s="400"/>
      <c r="BH315" s="400"/>
      <c r="BI315" s="400"/>
      <c r="BJ315" s="400"/>
      <c r="BK315" s="400"/>
      <c r="BL315" s="400"/>
      <c r="BM315" s="400"/>
      <c r="BN315" s="400"/>
      <c r="BO315" s="400"/>
      <c r="BP315" s="400"/>
      <c r="BQ315" s="400"/>
      <c r="BR315" s="258"/>
      <c r="BS315" s="258"/>
      <c r="BT315" s="258"/>
      <c r="BU315" s="258"/>
      <c r="BV315" s="258"/>
      <c r="BW315" s="258"/>
      <c r="BX315" s="258"/>
      <c r="BY315" s="258"/>
      <c r="BZ315" s="258"/>
      <c r="CA315" s="258"/>
      <c r="CB315" s="258"/>
      <c r="CC315" s="258">
        <v>7100</v>
      </c>
      <c r="CD315" s="258">
        <v>11000</v>
      </c>
      <c r="CE315" s="258">
        <v>2500</v>
      </c>
      <c r="CF315" s="258">
        <v>439</v>
      </c>
      <c r="CG315" s="258">
        <v>0</v>
      </c>
      <c r="CH315" s="258">
        <v>0</v>
      </c>
      <c r="CI315" s="258">
        <v>484</v>
      </c>
      <c r="CJ315" s="258">
        <v>546</v>
      </c>
      <c r="CK315" s="283">
        <f t="shared" si="36"/>
        <v>434.333333333333</v>
      </c>
      <c r="CL315" s="398"/>
      <c r="CM315" s="371">
        <f>Summary!$D$8</f>
        <v>724303.229333334</v>
      </c>
      <c r="CN315" s="258">
        <f t="shared" si="43"/>
        <v>0</v>
      </c>
    </row>
    <row r="316" ht="15.6" spans="1:92">
      <c r="A316" s="258" t="s">
        <v>165</v>
      </c>
      <c r="B316" s="258" t="s">
        <v>694</v>
      </c>
      <c r="C316" s="258" t="s">
        <v>243</v>
      </c>
      <c r="D316" s="258" t="s">
        <v>3284</v>
      </c>
      <c r="E316" s="258" t="s">
        <v>441</v>
      </c>
      <c r="F316" s="260" t="s">
        <v>49</v>
      </c>
      <c r="G316" s="260"/>
      <c r="H316" s="283">
        <f t="shared" si="40"/>
        <v>705.666666666667</v>
      </c>
      <c r="I316" s="260" t="s">
        <v>3191</v>
      </c>
      <c r="J316" s="258"/>
      <c r="K316" s="258"/>
      <c r="L316" s="258"/>
      <c r="M316" s="258"/>
      <c r="N316" s="258"/>
      <c r="O316" s="258"/>
      <c r="P316" s="258"/>
      <c r="Q316" s="258"/>
      <c r="R316" s="258"/>
      <c r="S316" s="258"/>
      <c r="T316" s="258"/>
      <c r="U316" s="258"/>
      <c r="V316" s="258"/>
      <c r="W316" s="258"/>
      <c r="X316" s="258"/>
      <c r="Y316" s="258"/>
      <c r="Z316" s="258"/>
      <c r="AA316" s="258"/>
      <c r="AB316" s="258"/>
      <c r="AC316" s="258"/>
      <c r="AD316" s="258"/>
      <c r="AE316" s="258"/>
      <c r="AF316" s="258"/>
      <c r="AG316" s="258"/>
      <c r="AH316" s="258"/>
      <c r="AI316" s="258"/>
      <c r="AJ316" s="258"/>
      <c r="AK316" s="258"/>
      <c r="AL316" s="258"/>
      <c r="AM316" s="258"/>
      <c r="AN316" s="258"/>
      <c r="AO316" s="258" t="s">
        <v>3285</v>
      </c>
      <c r="AP316" s="258">
        <f>8165*0.2197*2</f>
        <v>3587.701</v>
      </c>
      <c r="AQ316" s="258" t="s">
        <v>3286</v>
      </c>
      <c r="AR316" s="283" t="s">
        <v>3287</v>
      </c>
      <c r="AS316" s="283" t="s">
        <v>3288</v>
      </c>
      <c r="AT316" s="283" t="s">
        <v>3289</v>
      </c>
      <c r="AU316" s="283" t="s">
        <v>3290</v>
      </c>
      <c r="AV316" s="283" t="s">
        <v>796</v>
      </c>
      <c r="AW316" s="283">
        <f t="shared" si="35"/>
        <v>544.666666666667</v>
      </c>
      <c r="AX316" s="399"/>
      <c r="AY316" s="399"/>
      <c r="AZ316" s="400"/>
      <c r="BA316" s="400"/>
      <c r="BB316" s="400"/>
      <c r="BC316" s="400"/>
      <c r="BD316" s="400"/>
      <c r="BE316" s="400"/>
      <c r="BF316" s="400"/>
      <c r="BG316" s="400"/>
      <c r="BH316" s="400"/>
      <c r="BI316" s="400"/>
      <c r="BJ316" s="400"/>
      <c r="BK316" s="400"/>
      <c r="BL316" s="400"/>
      <c r="BM316" s="400"/>
      <c r="BN316" s="400"/>
      <c r="BO316" s="400"/>
      <c r="BP316" s="400"/>
      <c r="BQ316" s="400"/>
      <c r="BR316" s="258"/>
      <c r="BS316" s="258"/>
      <c r="BT316" s="258"/>
      <c r="BU316" s="258"/>
      <c r="BV316" s="258"/>
      <c r="BW316" s="258"/>
      <c r="BX316" s="258"/>
      <c r="BY316" s="258"/>
      <c r="BZ316" s="258"/>
      <c r="CA316" s="258"/>
      <c r="CB316" s="258"/>
      <c r="CC316" s="258">
        <v>3900</v>
      </c>
      <c r="CD316" s="258">
        <v>6500</v>
      </c>
      <c r="CE316" s="258">
        <v>5700</v>
      </c>
      <c r="CF316" s="258">
        <v>0</v>
      </c>
      <c r="CG316" s="258">
        <v>0</v>
      </c>
      <c r="CH316" s="258">
        <v>5200</v>
      </c>
      <c r="CI316" s="258">
        <v>0</v>
      </c>
      <c r="CJ316" s="258">
        <v>0</v>
      </c>
      <c r="CK316" s="283">
        <f t="shared" si="36"/>
        <v>866.666666666667</v>
      </c>
      <c r="CL316" s="398"/>
      <c r="CM316" s="371">
        <f>Summary!$D$10</f>
        <v>496999.618566666</v>
      </c>
      <c r="CN316" s="258">
        <f t="shared" si="43"/>
        <v>0</v>
      </c>
    </row>
    <row r="317" ht="15.6" spans="1:92">
      <c r="A317" s="258" t="s">
        <v>165</v>
      </c>
      <c r="B317" s="258" t="s">
        <v>694</v>
      </c>
      <c r="C317" s="258" t="s">
        <v>243</v>
      </c>
      <c r="D317" s="258" t="s">
        <v>3291</v>
      </c>
      <c r="E317" s="258" t="s">
        <v>441</v>
      </c>
      <c r="F317" s="260" t="s">
        <v>420</v>
      </c>
      <c r="G317" s="260"/>
      <c r="H317" s="283">
        <f t="shared" si="40"/>
        <v>1276.5</v>
      </c>
      <c r="I317" s="260" t="s">
        <v>3209</v>
      </c>
      <c r="J317" s="258"/>
      <c r="K317" s="258"/>
      <c r="L317" s="258"/>
      <c r="M317" s="258"/>
      <c r="N317" s="258"/>
      <c r="O317" s="258"/>
      <c r="P317" s="258"/>
      <c r="Q317" s="258"/>
      <c r="R317" s="258"/>
      <c r="S317" s="258"/>
      <c r="T317" s="258"/>
      <c r="U317" s="258"/>
      <c r="V317" s="258"/>
      <c r="W317" s="258"/>
      <c r="X317" s="258"/>
      <c r="Y317" s="258"/>
      <c r="Z317" s="258"/>
      <c r="AA317" s="258"/>
      <c r="AB317" s="258"/>
      <c r="AC317" s="258"/>
      <c r="AD317" s="258"/>
      <c r="AE317" s="258"/>
      <c r="AF317" s="258"/>
      <c r="AG317" s="258"/>
      <c r="AH317" s="258"/>
      <c r="AI317" s="258"/>
      <c r="AJ317" s="258"/>
      <c r="AK317" s="258"/>
      <c r="AL317" s="258"/>
      <c r="AM317" s="258"/>
      <c r="AN317" s="258"/>
      <c r="AO317" s="258" t="s">
        <v>3292</v>
      </c>
      <c r="AP317" s="258">
        <v>2500</v>
      </c>
      <c r="AQ317" s="258" t="s">
        <v>3293</v>
      </c>
      <c r="AR317" s="283" t="s">
        <v>3294</v>
      </c>
      <c r="AS317" s="283" t="s">
        <v>3295</v>
      </c>
      <c r="AT317" s="283" t="s">
        <v>3296</v>
      </c>
      <c r="AU317" s="283" t="s">
        <v>796</v>
      </c>
      <c r="AV317" s="283" t="s">
        <v>3297</v>
      </c>
      <c r="AW317" s="283">
        <f t="shared" si="35"/>
        <v>2467.5</v>
      </c>
      <c r="AX317" s="399"/>
      <c r="AY317" s="399"/>
      <c r="AZ317" s="400"/>
      <c r="BA317" s="400"/>
      <c r="BB317" s="400"/>
      <c r="BC317" s="400"/>
      <c r="BD317" s="400"/>
      <c r="BE317" s="400"/>
      <c r="BF317" s="400"/>
      <c r="BG317" s="400"/>
      <c r="BH317" s="400"/>
      <c r="BI317" s="400"/>
      <c r="BJ317" s="400"/>
      <c r="BK317" s="400"/>
      <c r="BL317" s="400"/>
      <c r="BM317" s="400"/>
      <c r="BN317" s="400"/>
      <c r="BO317" s="400"/>
      <c r="BP317" s="400"/>
      <c r="BQ317" s="400"/>
      <c r="BR317" s="258"/>
      <c r="BS317" s="258"/>
      <c r="BT317" s="258"/>
      <c r="BU317" s="258"/>
      <c r="BV317" s="258"/>
      <c r="BW317" s="258"/>
      <c r="BX317" s="258"/>
      <c r="BY317" s="258"/>
      <c r="BZ317" s="258"/>
      <c r="CA317" s="258"/>
      <c r="CB317" s="258"/>
      <c r="CC317" s="258">
        <v>0</v>
      </c>
      <c r="CD317" s="258">
        <v>431</v>
      </c>
      <c r="CE317" s="258">
        <v>2500</v>
      </c>
      <c r="CF317" s="258">
        <v>439</v>
      </c>
      <c r="CG317" s="258">
        <v>0</v>
      </c>
      <c r="CH317" s="258">
        <v>513</v>
      </c>
      <c r="CI317" s="258">
        <v>0</v>
      </c>
      <c r="CJ317" s="258">
        <v>0</v>
      </c>
      <c r="CK317" s="283">
        <f t="shared" si="36"/>
        <v>85.5</v>
      </c>
      <c r="CL317" s="398"/>
      <c r="CM317" s="371">
        <f>Summary!$D$10</f>
        <v>496999.618566666</v>
      </c>
      <c r="CN317" s="258">
        <f t="shared" si="43"/>
        <v>0</v>
      </c>
    </row>
    <row r="318" ht="15.6" spans="1:92">
      <c r="A318" s="258" t="s">
        <v>165</v>
      </c>
      <c r="B318" s="258" t="s">
        <v>694</v>
      </c>
      <c r="C318" s="258" t="s">
        <v>243</v>
      </c>
      <c r="D318" s="258" t="s">
        <v>3298</v>
      </c>
      <c r="E318" s="258" t="s">
        <v>441</v>
      </c>
      <c r="F318" s="260" t="s">
        <v>426</v>
      </c>
      <c r="G318" s="260"/>
      <c r="H318" s="283">
        <f t="shared" si="40"/>
        <v>4458.66666666667</v>
      </c>
      <c r="I318" s="260" t="s">
        <v>3209</v>
      </c>
      <c r="J318" s="258"/>
      <c r="K318" s="258"/>
      <c r="L318" s="258"/>
      <c r="M318" s="258"/>
      <c r="N318" s="258"/>
      <c r="O318" s="258"/>
      <c r="P318" s="258"/>
      <c r="Q318" s="258"/>
      <c r="R318" s="258"/>
      <c r="S318" s="258"/>
      <c r="T318" s="258"/>
      <c r="U318" s="258"/>
      <c r="V318" s="258"/>
      <c r="W318" s="258"/>
      <c r="X318" s="258"/>
      <c r="Y318" s="258"/>
      <c r="Z318" s="258"/>
      <c r="AA318" s="258"/>
      <c r="AB318" s="258"/>
      <c r="AC318" s="258"/>
      <c r="AD318" s="258"/>
      <c r="AE318" s="258"/>
      <c r="AF318" s="258"/>
      <c r="AG318" s="258"/>
      <c r="AH318" s="258"/>
      <c r="AI318" s="258"/>
      <c r="AJ318" s="258"/>
      <c r="AK318" s="258"/>
      <c r="AL318" s="258"/>
      <c r="AM318" s="258"/>
      <c r="AN318" s="258"/>
      <c r="AO318" s="258">
        <v>8746</v>
      </c>
      <c r="AP318" s="258">
        <f>6386*0.2907*2</f>
        <v>3712.8204</v>
      </c>
      <c r="AQ318" s="258">
        <v>8604</v>
      </c>
      <c r="AR318" s="283" t="s">
        <v>3299</v>
      </c>
      <c r="AS318" s="283" t="s">
        <v>3300</v>
      </c>
      <c r="AT318" s="283" t="s">
        <v>3301</v>
      </c>
      <c r="AU318" s="283" t="s">
        <v>1314</v>
      </c>
      <c r="AV318" s="283" t="s">
        <v>3302</v>
      </c>
      <c r="AW318" s="283">
        <f t="shared" si="35"/>
        <v>4809.33333333333</v>
      </c>
      <c r="AX318" s="399"/>
      <c r="AY318" s="399"/>
      <c r="AZ318" s="400"/>
      <c r="BA318" s="400"/>
      <c r="BB318" s="400"/>
      <c r="BC318" s="400"/>
      <c r="BD318" s="400"/>
      <c r="BE318" s="400"/>
      <c r="BF318" s="400"/>
      <c r="BG318" s="400"/>
      <c r="BH318" s="400"/>
      <c r="BI318" s="400"/>
      <c r="BJ318" s="400"/>
      <c r="BK318" s="400"/>
      <c r="BL318" s="400"/>
      <c r="BM318" s="400"/>
      <c r="BN318" s="400"/>
      <c r="BO318" s="400"/>
      <c r="BP318" s="400"/>
      <c r="BQ318" s="400"/>
      <c r="BR318" s="258"/>
      <c r="BS318" s="258"/>
      <c r="BT318" s="258"/>
      <c r="BU318" s="258"/>
      <c r="BV318" s="258"/>
      <c r="BW318" s="258"/>
      <c r="BX318" s="258"/>
      <c r="BY318" s="258"/>
      <c r="BZ318" s="258"/>
      <c r="CA318" s="258"/>
      <c r="CB318" s="258"/>
      <c r="CC318" s="258">
        <v>0</v>
      </c>
      <c r="CD318" s="258">
        <v>431</v>
      </c>
      <c r="CE318" s="258">
        <v>802</v>
      </c>
      <c r="CF318" s="258">
        <v>875.7</v>
      </c>
      <c r="CG318" s="258">
        <v>0</v>
      </c>
      <c r="CH318" s="258">
        <v>23500</v>
      </c>
      <c r="CI318" s="258">
        <v>484</v>
      </c>
      <c r="CJ318" s="258">
        <v>60</v>
      </c>
      <c r="CK318" s="283">
        <f t="shared" si="36"/>
        <v>4108</v>
      </c>
      <c r="CL318" s="398"/>
      <c r="CM318" s="371">
        <f>Summary!$D$10</f>
        <v>496999.618566666</v>
      </c>
      <c r="CN318" s="258">
        <f t="shared" si="43"/>
        <v>0</v>
      </c>
    </row>
    <row r="319" ht="15.6" spans="1:92">
      <c r="A319" s="258" t="s">
        <v>165</v>
      </c>
      <c r="B319" s="258" t="s">
        <v>694</v>
      </c>
      <c r="C319" s="258" t="s">
        <v>243</v>
      </c>
      <c r="D319" s="258" t="s">
        <v>3303</v>
      </c>
      <c r="E319" s="258" t="s">
        <v>441</v>
      </c>
      <c r="F319" s="260" t="s">
        <v>423</v>
      </c>
      <c r="G319" s="260"/>
      <c r="H319" s="283">
        <f t="shared" si="40"/>
        <v>11829.5</v>
      </c>
      <c r="I319" s="260" t="s">
        <v>3191</v>
      </c>
      <c r="J319" s="258"/>
      <c r="K319" s="258"/>
      <c r="L319" s="258"/>
      <c r="M319" s="258"/>
      <c r="N319" s="258"/>
      <c r="O319" s="258"/>
      <c r="P319" s="258"/>
      <c r="Q319" s="258"/>
      <c r="R319" s="258"/>
      <c r="S319" s="258"/>
      <c r="T319" s="258"/>
      <c r="U319" s="258"/>
      <c r="V319" s="258"/>
      <c r="W319" s="258"/>
      <c r="X319" s="258"/>
      <c r="Y319" s="258"/>
      <c r="Z319" s="258"/>
      <c r="AA319" s="258"/>
      <c r="AB319" s="258"/>
      <c r="AC319" s="258"/>
      <c r="AD319" s="258"/>
      <c r="AE319" s="258"/>
      <c r="AF319" s="258"/>
      <c r="AG319" s="258"/>
      <c r="AH319" s="258"/>
      <c r="AI319" s="258"/>
      <c r="AJ319" s="258"/>
      <c r="AK319" s="258"/>
      <c r="AL319" s="258"/>
      <c r="AM319" s="258"/>
      <c r="AN319" s="258"/>
      <c r="AO319" s="258" t="s">
        <v>3304</v>
      </c>
      <c r="AP319" s="367">
        <v>17953</v>
      </c>
      <c r="AQ319" s="367" t="s">
        <v>3305</v>
      </c>
      <c r="AR319" s="283">
        <v>15672</v>
      </c>
      <c r="AS319" s="283">
        <v>11471</v>
      </c>
      <c r="AT319" s="283">
        <v>8889</v>
      </c>
      <c r="AU319" s="283">
        <v>21989</v>
      </c>
      <c r="AV319" s="283">
        <v>19645</v>
      </c>
      <c r="AW319" s="283">
        <f t="shared" si="35"/>
        <v>18633.6666666667</v>
      </c>
      <c r="AX319" s="399"/>
      <c r="AY319" s="399"/>
      <c r="AZ319" s="400"/>
      <c r="BA319" s="400"/>
      <c r="BB319" s="400"/>
      <c r="BC319" s="400"/>
      <c r="BD319" s="400"/>
      <c r="BE319" s="400"/>
      <c r="BF319" s="400"/>
      <c r="BG319" s="400"/>
      <c r="BH319" s="400"/>
      <c r="BI319" s="400"/>
      <c r="BJ319" s="400"/>
      <c r="BK319" s="400"/>
      <c r="BL319" s="400"/>
      <c r="BM319" s="400"/>
      <c r="BN319" s="400"/>
      <c r="BO319" s="400"/>
      <c r="BP319" s="400"/>
      <c r="BQ319" s="400"/>
      <c r="BR319" s="258"/>
      <c r="BS319" s="258"/>
      <c r="BT319" s="258"/>
      <c r="BU319" s="258"/>
      <c r="BV319" s="258"/>
      <c r="BW319" s="258"/>
      <c r="BX319" s="258"/>
      <c r="BY319" s="258"/>
      <c r="BZ319" s="258"/>
      <c r="CA319" s="258"/>
      <c r="CB319" s="258"/>
      <c r="CC319" s="258">
        <v>19100</v>
      </c>
      <c r="CD319" s="258">
        <v>7900</v>
      </c>
      <c r="CE319" s="258">
        <v>1500</v>
      </c>
      <c r="CF319" s="258">
        <v>990</v>
      </c>
      <c r="CG319" s="258">
        <v>1100</v>
      </c>
      <c r="CH319" s="258">
        <v>152</v>
      </c>
      <c r="CI319" s="258">
        <v>12000</v>
      </c>
      <c r="CJ319" s="258">
        <v>2000</v>
      </c>
      <c r="CK319" s="283">
        <f t="shared" si="36"/>
        <v>5025.33333333333</v>
      </c>
      <c r="CL319" s="398"/>
      <c r="CM319" s="371">
        <f>Summary!$D$10</f>
        <v>496999.618566666</v>
      </c>
      <c r="CN319" s="258">
        <f t="shared" si="43"/>
        <v>0</v>
      </c>
    </row>
    <row r="320" ht="15.6" spans="1:92">
      <c r="A320" s="258" t="s">
        <v>141</v>
      </c>
      <c r="B320" s="258" t="s">
        <v>694</v>
      </c>
      <c r="C320" s="258" t="s">
        <v>243</v>
      </c>
      <c r="D320" s="258" t="s">
        <v>3306</v>
      </c>
      <c r="E320" s="258" t="s">
        <v>233</v>
      </c>
      <c r="F320" s="260" t="s">
        <v>60</v>
      </c>
      <c r="G320" s="260"/>
      <c r="H320" s="283">
        <f t="shared" si="40"/>
        <v>3744.58333333333</v>
      </c>
      <c r="I320" s="260" t="s">
        <v>3209</v>
      </c>
      <c r="J320" s="258"/>
      <c r="K320" s="258"/>
      <c r="L320" s="258"/>
      <c r="M320" s="258"/>
      <c r="N320" s="258"/>
      <c r="O320" s="258"/>
      <c r="P320" s="258"/>
      <c r="Q320" s="258"/>
      <c r="R320" s="258"/>
      <c r="S320" s="258"/>
      <c r="T320" s="258"/>
      <c r="U320" s="258"/>
      <c r="V320" s="258"/>
      <c r="W320" s="258"/>
      <c r="X320" s="258"/>
      <c r="Y320" s="258"/>
      <c r="Z320" s="258"/>
      <c r="AA320" s="258"/>
      <c r="AB320" s="258"/>
      <c r="AC320" s="258"/>
      <c r="AD320" s="258"/>
      <c r="AE320" s="258"/>
      <c r="AF320" s="258"/>
      <c r="AG320" s="258"/>
      <c r="AH320" s="258"/>
      <c r="AI320" s="258"/>
      <c r="AJ320" s="258"/>
      <c r="AK320" s="258"/>
      <c r="AL320" s="258"/>
      <c r="AM320" s="258"/>
      <c r="AN320" s="258"/>
      <c r="AO320" s="258" t="s">
        <v>796</v>
      </c>
      <c r="AP320" s="258">
        <v>2500</v>
      </c>
      <c r="AQ320" s="258" t="s">
        <v>3307</v>
      </c>
      <c r="AR320" s="283" t="s">
        <v>3308</v>
      </c>
      <c r="AS320" s="283" t="s">
        <v>3309</v>
      </c>
      <c r="AT320" s="283" t="s">
        <v>3310</v>
      </c>
      <c r="AU320" s="283" t="s">
        <v>1318</v>
      </c>
      <c r="AV320" s="283" t="s">
        <v>3311</v>
      </c>
      <c r="AW320" s="283">
        <f t="shared" si="35"/>
        <v>2583.16666666667</v>
      </c>
      <c r="AX320" s="399"/>
      <c r="AY320" s="399"/>
      <c r="AZ320" s="400"/>
      <c r="BA320" s="400"/>
      <c r="BB320" s="400"/>
      <c r="BC320" s="400"/>
      <c r="BD320" s="400"/>
      <c r="BE320" s="400"/>
      <c r="BF320" s="400"/>
      <c r="BG320" s="400"/>
      <c r="BH320" s="400"/>
      <c r="BI320" s="400"/>
      <c r="BJ320" s="400"/>
      <c r="BK320" s="400"/>
      <c r="BL320" s="400"/>
      <c r="BM320" s="400"/>
      <c r="BN320" s="400"/>
      <c r="BO320" s="400"/>
      <c r="BP320" s="400"/>
      <c r="BQ320" s="400"/>
      <c r="BR320" s="258"/>
      <c r="BS320" s="258"/>
      <c r="BT320" s="258"/>
      <c r="BU320" s="258"/>
      <c r="BV320" s="258"/>
      <c r="BW320" s="258"/>
      <c r="BX320" s="258"/>
      <c r="BY320" s="258"/>
      <c r="BZ320" s="258"/>
      <c r="CA320" s="258"/>
      <c r="CB320" s="258"/>
      <c r="CC320" s="258">
        <v>0</v>
      </c>
      <c r="CD320" s="258">
        <v>3900</v>
      </c>
      <c r="CE320" s="258">
        <v>3900</v>
      </c>
      <c r="CF320" s="258">
        <v>436</v>
      </c>
      <c r="CG320" s="258">
        <v>432</v>
      </c>
      <c r="CH320" s="258">
        <v>4100</v>
      </c>
      <c r="CI320" s="258">
        <v>968</v>
      </c>
      <c r="CJ320" s="258">
        <v>7800</v>
      </c>
      <c r="CK320" s="283">
        <f t="shared" si="36"/>
        <v>4906</v>
      </c>
      <c r="CL320" s="398"/>
      <c r="CM320" s="371">
        <f>Summary!$D$3</f>
        <v>2112033.31166667</v>
      </c>
      <c r="CN320" s="258">
        <f>IF(_xlfn.IFNA(CM320,0),IF(AND(H320/CM320&gt;=0.05,B320&lt;&gt;"官网"),1,0),0)</f>
        <v>0</v>
      </c>
    </row>
    <row r="321" ht="15.6" spans="1:92">
      <c r="A321" s="258" t="s">
        <v>141</v>
      </c>
      <c r="B321" s="258" t="s">
        <v>694</v>
      </c>
      <c r="C321" s="258" t="s">
        <v>230</v>
      </c>
      <c r="D321" s="258" t="s">
        <v>482</v>
      </c>
      <c r="E321" s="258" t="s">
        <v>233</v>
      </c>
      <c r="F321" s="260" t="s">
        <v>426</v>
      </c>
      <c r="G321" s="260"/>
      <c r="H321" s="283">
        <f t="shared" si="40"/>
        <v>84155.6183333335</v>
      </c>
      <c r="I321" s="260" t="s">
        <v>3312</v>
      </c>
      <c r="J321" s="258"/>
      <c r="K321" s="258"/>
      <c r="L321" s="258"/>
      <c r="M321" s="258"/>
      <c r="N321" s="258"/>
      <c r="O321" s="258"/>
      <c r="P321" s="258"/>
      <c r="Q321" s="258"/>
      <c r="R321" s="258"/>
      <c r="S321" s="258"/>
      <c r="T321" s="258"/>
      <c r="U321" s="258"/>
      <c r="V321" s="258"/>
      <c r="W321" s="258"/>
      <c r="X321" s="258"/>
      <c r="Y321" s="258"/>
      <c r="Z321" s="258"/>
      <c r="AA321" s="258"/>
      <c r="AB321" s="258"/>
      <c r="AC321" s="258"/>
      <c r="AD321" s="258"/>
      <c r="AE321" s="258"/>
      <c r="AF321" s="258"/>
      <c r="AG321" s="258"/>
      <c r="AH321" s="258"/>
      <c r="AI321" s="258"/>
      <c r="AJ321" s="258"/>
      <c r="AK321" s="258"/>
      <c r="AL321" s="258"/>
      <c r="AM321" s="258"/>
      <c r="AN321" s="258"/>
      <c r="AO321" s="258" t="s">
        <v>2096</v>
      </c>
      <c r="AP321" s="367">
        <v>84653</v>
      </c>
      <c r="AQ321" s="367" t="s">
        <v>2097</v>
      </c>
      <c r="AR321" s="283" t="s">
        <v>2098</v>
      </c>
      <c r="AS321" s="283" t="s">
        <v>2099</v>
      </c>
      <c r="AT321" s="283" t="s">
        <v>2100</v>
      </c>
      <c r="AU321" s="283" t="s">
        <v>2101</v>
      </c>
      <c r="AV321" s="283" t="s">
        <v>2102</v>
      </c>
      <c r="AW321" s="283">
        <f t="shared" si="35"/>
        <v>112348.666666667</v>
      </c>
      <c r="AX321" s="399"/>
      <c r="AY321" s="399"/>
      <c r="AZ321" s="400"/>
      <c r="BA321" s="400"/>
      <c r="BB321" s="400"/>
      <c r="BC321" s="400"/>
      <c r="BD321" s="400"/>
      <c r="BE321" s="400"/>
      <c r="BF321" s="400"/>
      <c r="BG321" s="400"/>
      <c r="BH321" s="400"/>
      <c r="BI321" s="400"/>
      <c r="BJ321" s="400"/>
      <c r="BK321" s="400"/>
      <c r="BL321" s="400"/>
      <c r="BM321" s="400"/>
      <c r="BN321" s="400"/>
      <c r="BO321" s="400"/>
      <c r="BP321" s="400"/>
      <c r="BQ321" s="400"/>
      <c r="BR321" s="258"/>
      <c r="BS321" s="258"/>
      <c r="BT321" s="258"/>
      <c r="BU321" s="258"/>
      <c r="BV321" s="258"/>
      <c r="BW321" s="258"/>
      <c r="BX321" s="258"/>
      <c r="BY321" s="258"/>
      <c r="BZ321" s="258"/>
      <c r="CA321" s="258"/>
      <c r="CB321" s="258"/>
      <c r="CC321" s="258">
        <v>109900</v>
      </c>
      <c r="CD321" s="258">
        <v>60200</v>
      </c>
      <c r="CE321" s="258">
        <v>104400</v>
      </c>
      <c r="CF321" s="258">
        <v>82300</v>
      </c>
      <c r="CG321" s="258">
        <v>53600</v>
      </c>
      <c r="CH321" s="258">
        <v>41000</v>
      </c>
      <c r="CI321" s="258">
        <v>50626.7</v>
      </c>
      <c r="CJ321" s="258">
        <v>64507.34</v>
      </c>
      <c r="CK321" s="283">
        <f t="shared" si="36"/>
        <v>55962.57</v>
      </c>
      <c r="CL321" s="398"/>
      <c r="CM321" s="371">
        <f>Summary!$D$3</f>
        <v>2112033.31166667</v>
      </c>
      <c r="CN321" s="258">
        <f>IF(_xlfn.IFNA(CM321,0),IF(AND(H321/CM321&gt;=0.05,B321&lt;&gt;"官网"),1,0),0)</f>
        <v>0</v>
      </c>
    </row>
    <row r="322" ht="15.6" spans="1:92">
      <c r="A322" s="394" t="s">
        <v>193</v>
      </c>
      <c r="B322" s="394" t="s">
        <v>812</v>
      </c>
      <c r="C322" s="258" t="s">
        <v>230</v>
      </c>
      <c r="D322" s="258" t="s">
        <v>3313</v>
      </c>
      <c r="E322" s="258" t="s">
        <v>233</v>
      </c>
      <c r="F322" s="260" t="s">
        <v>411</v>
      </c>
      <c r="G322" s="260"/>
      <c r="H322" s="283">
        <f t="shared" ref="H322:H345" si="44">(AW322+CK322)/2</f>
        <v>8221.25</v>
      </c>
      <c r="I322" s="361" t="s">
        <v>3314</v>
      </c>
      <c r="J322" s="258"/>
      <c r="K322" s="258"/>
      <c r="L322" s="258"/>
      <c r="M322" s="258"/>
      <c r="N322" s="258"/>
      <c r="O322" s="258"/>
      <c r="P322" s="258"/>
      <c r="Q322" s="258"/>
      <c r="R322" s="258"/>
      <c r="S322" s="258"/>
      <c r="T322" s="258"/>
      <c r="U322" s="258"/>
      <c r="V322" s="258"/>
      <c r="W322" s="258"/>
      <c r="X322" s="258"/>
      <c r="Y322" s="258"/>
      <c r="Z322" s="258"/>
      <c r="AA322" s="258"/>
      <c r="AB322" s="258"/>
      <c r="AC322" s="258"/>
      <c r="AD322" s="258"/>
      <c r="AE322" s="258"/>
      <c r="AF322" s="258"/>
      <c r="AG322" s="258"/>
      <c r="AH322" s="258"/>
      <c r="AI322" s="258"/>
      <c r="AJ322" s="258"/>
      <c r="AK322" s="258"/>
      <c r="AL322" s="258"/>
      <c r="AM322" s="258"/>
      <c r="AN322" s="258"/>
      <c r="AO322" s="258"/>
      <c r="AP322" s="258">
        <v>4946</v>
      </c>
      <c r="AQ322" s="258" t="s">
        <v>3315</v>
      </c>
      <c r="AR322" s="283">
        <v>1930</v>
      </c>
      <c r="AS322" s="283">
        <v>1516</v>
      </c>
      <c r="AT322" s="283">
        <v>1343</v>
      </c>
      <c r="AU322" s="283">
        <v>18880</v>
      </c>
      <c r="AV322" s="283">
        <v>5938</v>
      </c>
      <c r="AW322" s="283">
        <f t="shared" si="35"/>
        <v>9486.16666666667</v>
      </c>
      <c r="AX322" s="399"/>
      <c r="AY322" s="399"/>
      <c r="AZ322" s="400"/>
      <c r="BA322" s="400"/>
      <c r="BB322" s="400"/>
      <c r="BC322" s="400"/>
      <c r="BD322" s="400"/>
      <c r="BE322" s="400"/>
      <c r="BF322" s="400"/>
      <c r="BG322" s="400"/>
      <c r="BH322" s="400"/>
      <c r="BI322" s="400"/>
      <c r="BJ322" s="400"/>
      <c r="BK322" s="400"/>
      <c r="BL322" s="400"/>
      <c r="BM322" s="400"/>
      <c r="BN322" s="400"/>
      <c r="BO322" s="400"/>
      <c r="BP322" s="400"/>
      <c r="BQ322" s="400"/>
      <c r="BR322" s="258"/>
      <c r="BS322" s="258"/>
      <c r="BT322" s="258"/>
      <c r="BU322" s="258"/>
      <c r="BV322" s="258"/>
      <c r="BW322" s="258"/>
      <c r="BX322" s="258"/>
      <c r="BY322" s="258"/>
      <c r="BZ322" s="258"/>
      <c r="CA322" s="258"/>
      <c r="CB322" s="258"/>
      <c r="CC322" s="258"/>
      <c r="CD322" s="258">
        <v>172</v>
      </c>
      <c r="CE322" s="258">
        <v>2600</v>
      </c>
      <c r="CF322" s="258">
        <v>1900</v>
      </c>
      <c r="CG322" s="258">
        <v>432</v>
      </c>
      <c r="CH322" s="258">
        <v>838</v>
      </c>
      <c r="CI322" s="258">
        <v>14600</v>
      </c>
      <c r="CJ322" s="258">
        <v>3900</v>
      </c>
      <c r="CK322" s="283">
        <f t="shared" si="36"/>
        <v>6956.33333333333</v>
      </c>
      <c r="CL322" s="398"/>
      <c r="CM322" s="371">
        <f>Summary!$D$24</f>
        <v>175626.7701</v>
      </c>
      <c r="CN322" s="258">
        <f t="shared" ref="CN322:CN362" si="45">IF(_xlfn.IFNA(CM322,0),IF(AND(H322/CM322&gt;=0.05,B322&lt;&gt;"官网"),1,0),0)</f>
        <v>0</v>
      </c>
    </row>
    <row r="323" ht="62.4" spans="1:92">
      <c r="A323" s="394" t="s">
        <v>193</v>
      </c>
      <c r="B323" s="394" t="s">
        <v>812</v>
      </c>
      <c r="C323" s="258" t="s">
        <v>230</v>
      </c>
      <c r="D323" s="258" t="s">
        <v>374</v>
      </c>
      <c r="E323" s="258" t="s">
        <v>233</v>
      </c>
      <c r="F323" s="260" t="s">
        <v>421</v>
      </c>
      <c r="G323" s="260"/>
      <c r="H323" s="283">
        <f>(AW323+CK323)/2*0.63</f>
        <v>5162.7975</v>
      </c>
      <c r="I323" s="361" t="s">
        <v>3316</v>
      </c>
      <c r="J323" s="258"/>
      <c r="K323" s="258"/>
      <c r="L323" s="258"/>
      <c r="M323" s="258"/>
      <c r="N323" s="258"/>
      <c r="O323" s="258"/>
      <c r="P323" s="258"/>
      <c r="Q323" s="258"/>
      <c r="R323" s="258"/>
      <c r="S323" s="258"/>
      <c r="T323" s="258"/>
      <c r="U323" s="258"/>
      <c r="V323" s="258"/>
      <c r="W323" s="258"/>
      <c r="X323" s="258"/>
      <c r="Y323" s="258"/>
      <c r="Z323" s="258"/>
      <c r="AA323" s="258"/>
      <c r="AB323" s="258"/>
      <c r="AC323" s="258"/>
      <c r="AD323" s="258"/>
      <c r="AE323" s="258"/>
      <c r="AF323" s="258"/>
      <c r="AG323" s="258"/>
      <c r="AH323" s="258"/>
      <c r="AI323" s="258"/>
      <c r="AJ323" s="258"/>
      <c r="AK323" s="258"/>
      <c r="AL323" s="258"/>
      <c r="AM323" s="258"/>
      <c r="AN323" s="258"/>
      <c r="AO323" s="258"/>
      <c r="AP323" s="258">
        <v>22295</v>
      </c>
      <c r="AQ323" s="258" t="s">
        <v>1002</v>
      </c>
      <c r="AR323" s="283" t="s">
        <v>3317</v>
      </c>
      <c r="AS323" s="283" t="s">
        <v>3318</v>
      </c>
      <c r="AT323" s="283" t="s">
        <v>3319</v>
      </c>
      <c r="AU323" s="283" t="s">
        <v>3320</v>
      </c>
      <c r="AV323" s="283" t="s">
        <v>3321</v>
      </c>
      <c r="AW323" s="283">
        <f t="shared" ref="AW323:AW386" si="46">SUM(AV323*3+AU323*2+AT323*1)/6</f>
        <v>11739.8333333333</v>
      </c>
      <c r="AX323" s="399"/>
      <c r="AY323" s="399"/>
      <c r="AZ323" s="400"/>
      <c r="BA323" s="400"/>
      <c r="BB323" s="400"/>
      <c r="BC323" s="400"/>
      <c r="BD323" s="400"/>
      <c r="BE323" s="400"/>
      <c r="BF323" s="400"/>
      <c r="BG323" s="400"/>
      <c r="BH323" s="400"/>
      <c r="BI323" s="400"/>
      <c r="BJ323" s="400"/>
      <c r="BK323" s="400"/>
      <c r="BL323" s="400"/>
      <c r="BM323" s="400"/>
      <c r="BN323" s="400"/>
      <c r="BO323" s="400"/>
      <c r="BP323" s="400"/>
      <c r="BQ323" s="400"/>
      <c r="BR323" s="258"/>
      <c r="BS323" s="258"/>
      <c r="BT323" s="258"/>
      <c r="BU323" s="258"/>
      <c r="BV323" s="258"/>
      <c r="BW323" s="258"/>
      <c r="BX323" s="258"/>
      <c r="BY323" s="258"/>
      <c r="BZ323" s="258"/>
      <c r="CA323" s="258"/>
      <c r="CB323" s="258"/>
      <c r="CC323" s="258"/>
      <c r="CD323" s="258">
        <v>2600</v>
      </c>
      <c r="CE323" s="258">
        <v>1600</v>
      </c>
      <c r="CF323" s="258">
        <v>30823.8</v>
      </c>
      <c r="CG323" s="258">
        <v>13400</v>
      </c>
      <c r="CH323" s="258">
        <v>3900</v>
      </c>
      <c r="CI323" s="258">
        <v>6000</v>
      </c>
      <c r="CJ323" s="258">
        <v>4000</v>
      </c>
      <c r="CK323" s="283">
        <f t="shared" ref="CK323:CK386" si="47">SUM(CJ323*3+CI323*2+CH323*1)/6</f>
        <v>4650</v>
      </c>
      <c r="CL323" s="398"/>
      <c r="CM323" s="371">
        <f>Summary!$D$24</f>
        <v>175626.7701</v>
      </c>
      <c r="CN323" s="258">
        <f t="shared" si="45"/>
        <v>0</v>
      </c>
    </row>
    <row r="324" ht="15.6" spans="1:92">
      <c r="A324" s="394" t="s">
        <v>193</v>
      </c>
      <c r="B324" s="394" t="s">
        <v>812</v>
      </c>
      <c r="C324" s="258" t="s">
        <v>230</v>
      </c>
      <c r="D324" s="258" t="s">
        <v>372</v>
      </c>
      <c r="E324" s="258" t="s">
        <v>233</v>
      </c>
      <c r="F324" s="260" t="s">
        <v>55</v>
      </c>
      <c r="G324" s="260"/>
      <c r="H324" s="283">
        <f t="shared" si="44"/>
        <v>8490.33333333333</v>
      </c>
      <c r="I324" s="361" t="s">
        <v>3314</v>
      </c>
      <c r="J324" s="258"/>
      <c r="K324" s="258"/>
      <c r="L324" s="258"/>
      <c r="M324" s="258"/>
      <c r="N324" s="258"/>
      <c r="O324" s="258"/>
      <c r="P324" s="258"/>
      <c r="Q324" s="258"/>
      <c r="R324" s="258"/>
      <c r="S324" s="258"/>
      <c r="T324" s="258"/>
      <c r="U324" s="258"/>
      <c r="V324" s="258"/>
      <c r="W324" s="258"/>
      <c r="X324" s="258"/>
      <c r="Y324" s="258"/>
      <c r="Z324" s="258"/>
      <c r="AA324" s="258"/>
      <c r="AB324" s="258"/>
      <c r="AC324" s="258"/>
      <c r="AD324" s="258"/>
      <c r="AE324" s="258"/>
      <c r="AF324" s="258"/>
      <c r="AG324" s="258"/>
      <c r="AH324" s="258"/>
      <c r="AI324" s="258"/>
      <c r="AJ324" s="258"/>
      <c r="AK324" s="258"/>
      <c r="AL324" s="258"/>
      <c r="AM324" s="258"/>
      <c r="AN324" s="258"/>
      <c r="AO324" s="258"/>
      <c r="AP324" s="258">
        <v>17990</v>
      </c>
      <c r="AQ324" s="258" t="s">
        <v>3322</v>
      </c>
      <c r="AR324" s="283">
        <f>38417*0.1905*2</f>
        <v>14636.877</v>
      </c>
      <c r="AS324" s="283" t="s">
        <v>3323</v>
      </c>
      <c r="AT324" s="283" t="s">
        <v>3324</v>
      </c>
      <c r="AU324" s="283" t="s">
        <v>3325</v>
      </c>
      <c r="AV324" s="283" t="s">
        <v>3326</v>
      </c>
      <c r="AW324" s="283">
        <f t="shared" si="46"/>
        <v>13147.3333333333</v>
      </c>
      <c r="AX324" s="399"/>
      <c r="AY324" s="399"/>
      <c r="AZ324" s="400"/>
      <c r="BA324" s="400"/>
      <c r="BB324" s="400"/>
      <c r="BC324" s="400"/>
      <c r="BD324" s="400"/>
      <c r="BE324" s="400"/>
      <c r="BF324" s="400"/>
      <c r="BG324" s="400"/>
      <c r="BH324" s="400"/>
      <c r="BI324" s="400"/>
      <c r="BJ324" s="400"/>
      <c r="BK324" s="400"/>
      <c r="BL324" s="400"/>
      <c r="BM324" s="400"/>
      <c r="BN324" s="400"/>
      <c r="BO324" s="400"/>
      <c r="BP324" s="400"/>
      <c r="BQ324" s="400"/>
      <c r="BR324" s="258"/>
      <c r="BS324" s="258"/>
      <c r="BT324" s="258"/>
      <c r="BU324" s="258"/>
      <c r="BV324" s="258"/>
      <c r="BW324" s="258"/>
      <c r="BX324" s="258"/>
      <c r="BY324" s="258"/>
      <c r="BZ324" s="258"/>
      <c r="CA324" s="258"/>
      <c r="CB324" s="258"/>
      <c r="CC324" s="258"/>
      <c r="CD324" s="258">
        <v>9700</v>
      </c>
      <c r="CE324" s="258">
        <v>125</v>
      </c>
      <c r="CF324" s="258">
        <v>14100</v>
      </c>
      <c r="CG324" s="258">
        <v>1300</v>
      </c>
      <c r="CH324" s="258">
        <v>8100</v>
      </c>
      <c r="CI324" s="258">
        <v>4900</v>
      </c>
      <c r="CJ324" s="258">
        <v>1700</v>
      </c>
      <c r="CK324" s="283">
        <f t="shared" si="47"/>
        <v>3833.33333333333</v>
      </c>
      <c r="CL324" s="398"/>
      <c r="CM324" s="371">
        <f>Summary!$D$24</f>
        <v>175626.7701</v>
      </c>
      <c r="CN324" s="258">
        <f t="shared" si="45"/>
        <v>0</v>
      </c>
    </row>
    <row r="325" ht="15.6" spans="1:92">
      <c r="A325" s="394" t="s">
        <v>193</v>
      </c>
      <c r="B325" s="394" t="s">
        <v>812</v>
      </c>
      <c r="C325" s="258" t="s">
        <v>230</v>
      </c>
      <c r="D325" s="258" t="s">
        <v>377</v>
      </c>
      <c r="E325" s="258" t="s">
        <v>233</v>
      </c>
      <c r="F325" s="260" t="s">
        <v>49</v>
      </c>
      <c r="G325" s="260"/>
      <c r="H325" s="283">
        <f t="shared" si="44"/>
        <v>2722</v>
      </c>
      <c r="I325" s="361" t="s">
        <v>3314</v>
      </c>
      <c r="J325" s="258"/>
      <c r="K325" s="258"/>
      <c r="L325" s="258"/>
      <c r="M325" s="258"/>
      <c r="N325" s="258"/>
      <c r="O325" s="258"/>
      <c r="P325" s="258"/>
      <c r="Q325" s="258"/>
      <c r="R325" s="258"/>
      <c r="S325" s="258"/>
      <c r="T325" s="258"/>
      <c r="U325" s="258"/>
      <c r="V325" s="258"/>
      <c r="W325" s="258"/>
      <c r="X325" s="258"/>
      <c r="Y325" s="258"/>
      <c r="Z325" s="258"/>
      <c r="AA325" s="258"/>
      <c r="AB325" s="258"/>
      <c r="AC325" s="258"/>
      <c r="AD325" s="258"/>
      <c r="AE325" s="258"/>
      <c r="AF325" s="258"/>
      <c r="AG325" s="258"/>
      <c r="AH325" s="258"/>
      <c r="AI325" s="258"/>
      <c r="AJ325" s="258"/>
      <c r="AK325" s="258"/>
      <c r="AL325" s="258"/>
      <c r="AM325" s="258"/>
      <c r="AN325" s="258"/>
      <c r="AO325" s="258"/>
      <c r="AP325" s="258">
        <v>27483</v>
      </c>
      <c r="AQ325" s="258" t="s">
        <v>3327</v>
      </c>
      <c r="AR325" s="283" t="s">
        <v>3328</v>
      </c>
      <c r="AS325" s="283" t="s">
        <v>3329</v>
      </c>
      <c r="AT325" s="283" t="s">
        <v>3330</v>
      </c>
      <c r="AU325" s="283" t="s">
        <v>3331</v>
      </c>
      <c r="AV325" s="283" t="s">
        <v>3332</v>
      </c>
      <c r="AW325" s="283">
        <f t="shared" si="46"/>
        <v>3695</v>
      </c>
      <c r="AX325" s="399"/>
      <c r="AY325" s="399"/>
      <c r="AZ325" s="400"/>
      <c r="BA325" s="400"/>
      <c r="BB325" s="400"/>
      <c r="BC325" s="400"/>
      <c r="BD325" s="400"/>
      <c r="BE325" s="400"/>
      <c r="BF325" s="400"/>
      <c r="BG325" s="400"/>
      <c r="BH325" s="400"/>
      <c r="BI325" s="400"/>
      <c r="BJ325" s="400"/>
      <c r="BK325" s="400"/>
      <c r="BL325" s="400"/>
      <c r="BM325" s="400"/>
      <c r="BN325" s="400"/>
      <c r="BO325" s="400"/>
      <c r="BP325" s="400"/>
      <c r="BQ325" s="400"/>
      <c r="BR325" s="258"/>
      <c r="BS325" s="258"/>
      <c r="BT325" s="258"/>
      <c r="BU325" s="258"/>
      <c r="BV325" s="258"/>
      <c r="BW325" s="258"/>
      <c r="BX325" s="258"/>
      <c r="BY325" s="258"/>
      <c r="BZ325" s="258"/>
      <c r="CA325" s="258"/>
      <c r="CB325" s="258"/>
      <c r="CC325" s="258"/>
      <c r="CD325" s="258">
        <v>14900</v>
      </c>
      <c r="CE325" s="258">
        <v>3600</v>
      </c>
      <c r="CF325" s="258">
        <v>3200</v>
      </c>
      <c r="CG325" s="258">
        <v>2091.9</v>
      </c>
      <c r="CH325" s="258">
        <v>2000</v>
      </c>
      <c r="CI325" s="258">
        <v>3800</v>
      </c>
      <c r="CJ325" s="258">
        <v>298</v>
      </c>
      <c r="CK325" s="283">
        <f t="shared" si="47"/>
        <v>1749</v>
      </c>
      <c r="CL325" s="398"/>
      <c r="CM325" s="371">
        <f>Summary!$D$24</f>
        <v>175626.7701</v>
      </c>
      <c r="CN325" s="258">
        <f t="shared" si="45"/>
        <v>0</v>
      </c>
    </row>
    <row r="326" ht="15.6" spans="1:92">
      <c r="A326" s="394" t="s">
        <v>193</v>
      </c>
      <c r="B326" s="394" t="s">
        <v>812</v>
      </c>
      <c r="C326" s="258" t="s">
        <v>230</v>
      </c>
      <c r="D326" s="258" t="s">
        <v>3333</v>
      </c>
      <c r="E326" s="258" t="s">
        <v>233</v>
      </c>
      <c r="F326" s="260" t="s">
        <v>55</v>
      </c>
      <c r="G326" s="260"/>
      <c r="H326" s="283">
        <f t="shared" si="44"/>
        <v>2032.75</v>
      </c>
      <c r="I326" s="361" t="s">
        <v>3314</v>
      </c>
      <c r="J326" s="258"/>
      <c r="K326" s="258"/>
      <c r="L326" s="258"/>
      <c r="M326" s="258"/>
      <c r="N326" s="258"/>
      <c r="O326" s="258"/>
      <c r="P326" s="258"/>
      <c r="Q326" s="258"/>
      <c r="R326" s="258"/>
      <c r="S326" s="258"/>
      <c r="T326" s="258"/>
      <c r="U326" s="258"/>
      <c r="V326" s="258"/>
      <c r="W326" s="258"/>
      <c r="X326" s="258"/>
      <c r="Y326" s="258"/>
      <c r="Z326" s="258"/>
      <c r="AA326" s="258"/>
      <c r="AB326" s="258"/>
      <c r="AC326" s="258"/>
      <c r="AD326" s="258"/>
      <c r="AE326" s="258"/>
      <c r="AF326" s="258"/>
      <c r="AG326" s="258"/>
      <c r="AH326" s="258"/>
      <c r="AI326" s="258"/>
      <c r="AJ326" s="258"/>
      <c r="AK326" s="258"/>
      <c r="AL326" s="258"/>
      <c r="AM326" s="258"/>
      <c r="AN326" s="258"/>
      <c r="AO326" s="258"/>
      <c r="AP326" s="258">
        <v>4415</v>
      </c>
      <c r="AQ326" s="258">
        <v>2432</v>
      </c>
      <c r="AR326" s="283" t="s">
        <v>3334</v>
      </c>
      <c r="AS326" s="283" t="s">
        <v>3335</v>
      </c>
      <c r="AT326" s="283" t="s">
        <v>3336</v>
      </c>
      <c r="AU326" s="283" t="s">
        <v>3337</v>
      </c>
      <c r="AV326" s="283" t="s">
        <v>3338</v>
      </c>
      <c r="AW326" s="283">
        <f t="shared" si="46"/>
        <v>1876.16666666667</v>
      </c>
      <c r="AX326" s="399"/>
      <c r="AY326" s="399"/>
      <c r="AZ326" s="400"/>
      <c r="BA326" s="400"/>
      <c r="BB326" s="400"/>
      <c r="BC326" s="400"/>
      <c r="BD326" s="400"/>
      <c r="BE326" s="400"/>
      <c r="BF326" s="400"/>
      <c r="BG326" s="400"/>
      <c r="BH326" s="400"/>
      <c r="BI326" s="400"/>
      <c r="BJ326" s="400"/>
      <c r="BK326" s="400"/>
      <c r="BL326" s="400"/>
      <c r="BM326" s="400"/>
      <c r="BN326" s="400"/>
      <c r="BO326" s="400"/>
      <c r="BP326" s="400"/>
      <c r="BQ326" s="400"/>
      <c r="BR326" s="258"/>
      <c r="BS326" s="258"/>
      <c r="BT326" s="258"/>
      <c r="BU326" s="258"/>
      <c r="BV326" s="258"/>
      <c r="BW326" s="258"/>
      <c r="BX326" s="258"/>
      <c r="BY326" s="258"/>
      <c r="BZ326" s="258"/>
      <c r="CA326" s="258"/>
      <c r="CB326" s="258"/>
      <c r="CC326" s="258"/>
      <c r="CD326" s="258">
        <v>862</v>
      </c>
      <c r="CE326" s="258">
        <v>988</v>
      </c>
      <c r="CF326" s="258">
        <v>878</v>
      </c>
      <c r="CG326" s="258">
        <v>864</v>
      </c>
      <c r="CH326" s="258">
        <v>1000</v>
      </c>
      <c r="CI326" s="258">
        <v>968</v>
      </c>
      <c r="CJ326" s="258">
        <v>3400</v>
      </c>
      <c r="CK326" s="283">
        <f t="shared" si="47"/>
        <v>2189.33333333333</v>
      </c>
      <c r="CL326" s="398"/>
      <c r="CM326" s="371">
        <f>Summary!$D$24</f>
        <v>175626.7701</v>
      </c>
      <c r="CN326" s="258">
        <f t="shared" si="45"/>
        <v>0</v>
      </c>
    </row>
    <row r="327" ht="78" spans="1:92">
      <c r="A327" s="394" t="s">
        <v>193</v>
      </c>
      <c r="B327" s="394" t="s">
        <v>812</v>
      </c>
      <c r="C327" s="258" t="s">
        <v>375</v>
      </c>
      <c r="D327" s="258" t="s">
        <v>376</v>
      </c>
      <c r="E327" s="258" t="s">
        <v>3339</v>
      </c>
      <c r="F327" s="260" t="s">
        <v>423</v>
      </c>
      <c r="G327" s="260"/>
      <c r="H327" s="283">
        <f>(AW327+CK327)/2*0.303</f>
        <v>4394.96449999999</v>
      </c>
      <c r="I327" s="361" t="s">
        <v>3340</v>
      </c>
      <c r="J327" s="258"/>
      <c r="K327" s="258"/>
      <c r="L327" s="258"/>
      <c r="M327" s="258"/>
      <c r="N327" s="258"/>
      <c r="O327" s="258"/>
      <c r="P327" s="258"/>
      <c r="Q327" s="258"/>
      <c r="R327" s="258"/>
      <c r="S327" s="258"/>
      <c r="T327" s="258"/>
      <c r="U327" s="258"/>
      <c r="V327" s="258"/>
      <c r="W327" s="258"/>
      <c r="X327" s="258"/>
      <c r="Y327" s="258"/>
      <c r="Z327" s="258"/>
      <c r="AA327" s="258"/>
      <c r="AB327" s="258"/>
      <c r="AC327" s="258"/>
      <c r="AD327" s="258"/>
      <c r="AE327" s="258"/>
      <c r="AF327" s="258"/>
      <c r="AG327" s="258"/>
      <c r="AH327" s="258"/>
      <c r="AI327" s="258"/>
      <c r="AJ327" s="258"/>
      <c r="AK327" s="258"/>
      <c r="AL327" s="258"/>
      <c r="AM327" s="258"/>
      <c r="AN327" s="258"/>
      <c r="AO327" s="258"/>
      <c r="AP327" s="258">
        <v>59854</v>
      </c>
      <c r="AQ327" s="258" t="s">
        <v>3341</v>
      </c>
      <c r="AR327" s="283" t="s">
        <v>3342</v>
      </c>
      <c r="AS327" s="283" t="s">
        <v>3343</v>
      </c>
      <c r="AT327" s="283" t="s">
        <v>850</v>
      </c>
      <c r="AU327" s="283" t="s">
        <v>3344</v>
      </c>
      <c r="AV327" s="283" t="s">
        <v>3345</v>
      </c>
      <c r="AW327" s="283">
        <f t="shared" si="46"/>
        <v>26.3333333333333</v>
      </c>
      <c r="AX327" s="399"/>
      <c r="AY327" s="399"/>
      <c r="AZ327" s="400"/>
      <c r="BA327" s="400"/>
      <c r="BB327" s="400"/>
      <c r="BC327" s="400"/>
      <c r="BD327" s="400"/>
      <c r="BE327" s="400"/>
      <c r="BF327" s="400"/>
      <c r="BG327" s="400"/>
      <c r="BH327" s="400"/>
      <c r="BI327" s="400"/>
      <c r="BJ327" s="400"/>
      <c r="BK327" s="400"/>
      <c r="BL327" s="400"/>
      <c r="BM327" s="400"/>
      <c r="BN327" s="400"/>
      <c r="BO327" s="400"/>
      <c r="BP327" s="400"/>
      <c r="BQ327" s="400"/>
      <c r="BR327" s="258"/>
      <c r="BS327" s="258"/>
      <c r="BT327" s="258"/>
      <c r="BU327" s="258"/>
      <c r="BV327" s="258"/>
      <c r="BW327" s="258"/>
      <c r="BX327" s="258"/>
      <c r="BY327" s="258"/>
      <c r="BZ327" s="258"/>
      <c r="CA327" s="258"/>
      <c r="CB327" s="258"/>
      <c r="CC327" s="258"/>
      <c r="CD327" s="258">
        <v>16000</v>
      </c>
      <c r="CE327" s="258">
        <v>13700</v>
      </c>
      <c r="CF327" s="258">
        <v>15400</v>
      </c>
      <c r="CG327" s="258">
        <v>8500</v>
      </c>
      <c r="CH327" s="258">
        <v>23100</v>
      </c>
      <c r="CI327" s="258">
        <v>36700</v>
      </c>
      <c r="CJ327" s="258">
        <v>25800</v>
      </c>
      <c r="CK327" s="283">
        <f t="shared" si="47"/>
        <v>28983.3333333333</v>
      </c>
      <c r="CL327" s="398"/>
      <c r="CM327" s="371">
        <f>Summary!$D$24</f>
        <v>175626.7701</v>
      </c>
      <c r="CN327" s="258">
        <f t="shared" si="45"/>
        <v>0</v>
      </c>
    </row>
    <row r="328" ht="15.6" spans="1:92">
      <c r="A328" s="258" t="s">
        <v>185</v>
      </c>
      <c r="B328" s="258" t="s">
        <v>812</v>
      </c>
      <c r="C328" s="258" t="s">
        <v>332</v>
      </c>
      <c r="D328" s="258" t="s">
        <v>333</v>
      </c>
      <c r="E328" s="258" t="s">
        <v>233</v>
      </c>
      <c r="F328" s="260" t="s">
        <v>60</v>
      </c>
      <c r="G328" s="260"/>
      <c r="H328" s="283">
        <f t="shared" si="44"/>
        <v>75592.5783333333</v>
      </c>
      <c r="I328" s="361" t="s">
        <v>3346</v>
      </c>
      <c r="J328" s="258"/>
      <c r="K328" s="258"/>
      <c r="L328" s="258"/>
      <c r="M328" s="258"/>
      <c r="N328" s="258"/>
      <c r="O328" s="258"/>
      <c r="P328" s="258"/>
      <c r="Q328" s="258"/>
      <c r="R328" s="258"/>
      <c r="S328" s="258"/>
      <c r="T328" s="258"/>
      <c r="U328" s="258"/>
      <c r="V328" s="258"/>
      <c r="W328" s="258"/>
      <c r="X328" s="258"/>
      <c r="Y328" s="258"/>
      <c r="Z328" s="258"/>
      <c r="AA328" s="258"/>
      <c r="AB328" s="258"/>
      <c r="AC328" s="258"/>
      <c r="AD328" s="258"/>
      <c r="AE328" s="258"/>
      <c r="AF328" s="258"/>
      <c r="AG328" s="258"/>
      <c r="AH328" s="258"/>
      <c r="AI328" s="258"/>
      <c r="AJ328" s="258"/>
      <c r="AK328" s="258"/>
      <c r="AL328" s="258"/>
      <c r="AM328" s="258"/>
      <c r="AN328" s="258"/>
      <c r="AO328" s="258"/>
      <c r="AP328" s="258">
        <v>93010</v>
      </c>
      <c r="AQ328" s="258" t="s">
        <v>3347</v>
      </c>
      <c r="AR328" s="283" t="s">
        <v>3348</v>
      </c>
      <c r="AS328" s="283" t="s">
        <v>3349</v>
      </c>
      <c r="AT328" s="283" t="s">
        <v>3350</v>
      </c>
      <c r="AU328" s="283" t="s">
        <v>3351</v>
      </c>
      <c r="AV328" s="283" t="s">
        <v>3352</v>
      </c>
      <c r="AW328" s="283">
        <f t="shared" si="46"/>
        <v>85812.1666666667</v>
      </c>
      <c r="AX328" s="399"/>
      <c r="AY328" s="399"/>
      <c r="AZ328" s="400"/>
      <c r="BA328" s="400"/>
      <c r="BB328" s="400"/>
      <c r="BC328" s="400"/>
      <c r="BD328" s="400"/>
      <c r="BE328" s="400"/>
      <c r="BF328" s="400"/>
      <c r="BG328" s="400"/>
      <c r="BH328" s="400"/>
      <c r="BI328" s="400"/>
      <c r="BJ328" s="400"/>
      <c r="BK328" s="400"/>
      <c r="BL328" s="400"/>
      <c r="BM328" s="400"/>
      <c r="BN328" s="400"/>
      <c r="BO328" s="400"/>
      <c r="BP328" s="400"/>
      <c r="BQ328" s="400"/>
      <c r="BR328" s="258"/>
      <c r="BS328" s="258"/>
      <c r="BT328" s="258"/>
      <c r="BU328" s="258"/>
      <c r="BV328" s="258"/>
      <c r="BW328" s="258"/>
      <c r="BX328" s="258"/>
      <c r="BY328" s="258"/>
      <c r="BZ328" s="258"/>
      <c r="CA328" s="258"/>
      <c r="CB328" s="258"/>
      <c r="CC328" s="258"/>
      <c r="CD328" s="258">
        <v>64800</v>
      </c>
      <c r="CE328" s="258">
        <f>148500*0.2145*2</f>
        <v>63706.5</v>
      </c>
      <c r="CF328" s="258">
        <v>76900</v>
      </c>
      <c r="CG328" s="258">
        <v>22200</v>
      </c>
      <c r="CH328" s="258">
        <v>27959.1</v>
      </c>
      <c r="CI328" s="258">
        <v>68289.42</v>
      </c>
      <c r="CJ328" s="258">
        <v>75900</v>
      </c>
      <c r="CK328" s="283">
        <f t="shared" si="47"/>
        <v>65372.99</v>
      </c>
      <c r="CL328" s="398"/>
      <c r="CM328" s="371">
        <f>Summary!$D$20</f>
        <v>496415.356416666</v>
      </c>
      <c r="CN328" s="258">
        <f t="shared" si="45"/>
        <v>1</v>
      </c>
    </row>
    <row r="329" ht="15.6" spans="1:92">
      <c r="A329" s="258" t="s">
        <v>185</v>
      </c>
      <c r="B329" s="258" t="s">
        <v>812</v>
      </c>
      <c r="C329" s="258" t="s">
        <v>230</v>
      </c>
      <c r="D329" s="258" t="s">
        <v>335</v>
      </c>
      <c r="E329" s="258" t="s">
        <v>233</v>
      </c>
      <c r="F329" s="260" t="s">
        <v>427</v>
      </c>
      <c r="G329" s="260"/>
      <c r="H329" s="283">
        <f t="shared" si="44"/>
        <v>41856.5833333333</v>
      </c>
      <c r="I329" s="361" t="s">
        <v>3314</v>
      </c>
      <c r="J329" s="258"/>
      <c r="K329" s="258"/>
      <c r="L329" s="258"/>
      <c r="M329" s="258"/>
      <c r="N329" s="258"/>
      <c r="O329" s="258"/>
      <c r="P329" s="258"/>
      <c r="Q329" s="258"/>
      <c r="R329" s="258"/>
      <c r="S329" s="258"/>
      <c r="T329" s="258"/>
      <c r="U329" s="258"/>
      <c r="V329" s="258"/>
      <c r="W329" s="258"/>
      <c r="X329" s="258"/>
      <c r="Y329" s="258"/>
      <c r="Z329" s="258"/>
      <c r="AA329" s="258"/>
      <c r="AB329" s="258"/>
      <c r="AC329" s="258"/>
      <c r="AD329" s="258"/>
      <c r="AE329" s="258"/>
      <c r="AF329" s="258"/>
      <c r="AG329" s="258"/>
      <c r="AH329" s="258"/>
      <c r="AI329" s="258"/>
      <c r="AJ329" s="258"/>
      <c r="AK329" s="258"/>
      <c r="AL329" s="258"/>
      <c r="AM329" s="258"/>
      <c r="AN329" s="258"/>
      <c r="AO329" s="258"/>
      <c r="AP329" s="258">
        <v>42972</v>
      </c>
      <c r="AQ329" s="258" t="s">
        <v>3353</v>
      </c>
      <c r="AR329" s="283" t="s">
        <v>3354</v>
      </c>
      <c r="AS329" s="283" t="s">
        <v>3355</v>
      </c>
      <c r="AT329" s="283" t="s">
        <v>3356</v>
      </c>
      <c r="AU329" s="283" t="s">
        <v>3357</v>
      </c>
      <c r="AV329" s="283" t="s">
        <v>3358</v>
      </c>
      <c r="AW329" s="283">
        <f t="shared" si="46"/>
        <v>31079.8333333333</v>
      </c>
      <c r="AX329" s="399"/>
      <c r="AY329" s="399"/>
      <c r="AZ329" s="400"/>
      <c r="BA329" s="400"/>
      <c r="BB329" s="400"/>
      <c r="BC329" s="400"/>
      <c r="BD329" s="400"/>
      <c r="BE329" s="400"/>
      <c r="BF329" s="400"/>
      <c r="BG329" s="400"/>
      <c r="BH329" s="400"/>
      <c r="BI329" s="400"/>
      <c r="BJ329" s="400"/>
      <c r="BK329" s="400"/>
      <c r="BL329" s="400"/>
      <c r="BM329" s="400"/>
      <c r="BN329" s="400"/>
      <c r="BO329" s="400"/>
      <c r="BP329" s="400"/>
      <c r="BQ329" s="400"/>
      <c r="BR329" s="258"/>
      <c r="BS329" s="258"/>
      <c r="BT329" s="258"/>
      <c r="BU329" s="258"/>
      <c r="BV329" s="258"/>
      <c r="BW329" s="258"/>
      <c r="BX329" s="258"/>
      <c r="BY329" s="258"/>
      <c r="BZ329" s="258"/>
      <c r="CA329" s="258"/>
      <c r="CB329" s="258"/>
      <c r="CC329" s="258"/>
      <c r="CD329" s="258">
        <v>19600</v>
      </c>
      <c r="CE329" s="258">
        <f>73000*0.2561*2</f>
        <v>37390.6</v>
      </c>
      <c r="CF329" s="258">
        <v>27240.4</v>
      </c>
      <c r="CG329" s="258">
        <v>24850.56</v>
      </c>
      <c r="CH329" s="258">
        <v>29200</v>
      </c>
      <c r="CI329" s="258">
        <v>24500</v>
      </c>
      <c r="CJ329" s="258">
        <v>79200</v>
      </c>
      <c r="CK329" s="283">
        <f t="shared" si="47"/>
        <v>52633.3333333333</v>
      </c>
      <c r="CL329" s="398"/>
      <c r="CM329" s="371">
        <f>Summary!$D$20</f>
        <v>496415.356416666</v>
      </c>
      <c r="CN329" s="258">
        <f t="shared" si="45"/>
        <v>1</v>
      </c>
    </row>
    <row r="330" ht="15.6" spans="1:92">
      <c r="A330" s="258" t="s">
        <v>185</v>
      </c>
      <c r="B330" s="258" t="s">
        <v>812</v>
      </c>
      <c r="C330" s="258" t="s">
        <v>230</v>
      </c>
      <c r="D330" s="258" t="s">
        <v>3359</v>
      </c>
      <c r="E330" s="258" t="s">
        <v>233</v>
      </c>
      <c r="F330" s="260"/>
      <c r="G330" s="260"/>
      <c r="H330" s="283">
        <f t="shared" si="44"/>
        <v>2017</v>
      </c>
      <c r="I330" s="361" t="s">
        <v>3360</v>
      </c>
      <c r="J330" s="258"/>
      <c r="K330" s="258"/>
      <c r="L330" s="258"/>
      <c r="M330" s="258"/>
      <c r="N330" s="258"/>
      <c r="O330" s="258"/>
      <c r="P330" s="258"/>
      <c r="Q330" s="258"/>
      <c r="R330" s="258"/>
      <c r="S330" s="258"/>
      <c r="T330" s="258"/>
      <c r="U330" s="258"/>
      <c r="V330" s="258"/>
      <c r="W330" s="258"/>
      <c r="X330" s="258"/>
      <c r="Y330" s="258"/>
      <c r="Z330" s="258"/>
      <c r="AA330" s="258"/>
      <c r="AB330" s="258"/>
      <c r="AC330" s="258"/>
      <c r="AD330" s="258"/>
      <c r="AE330" s="258"/>
      <c r="AF330" s="258"/>
      <c r="AG330" s="258"/>
      <c r="AH330" s="258"/>
      <c r="AI330" s="258"/>
      <c r="AJ330" s="258"/>
      <c r="AK330" s="258"/>
      <c r="AL330" s="258"/>
      <c r="AM330" s="258"/>
      <c r="AN330" s="258"/>
      <c r="AO330" s="258"/>
      <c r="AP330" s="258">
        <v>25855</v>
      </c>
      <c r="AQ330" s="258" t="s">
        <v>3361</v>
      </c>
      <c r="AR330" s="283" t="s">
        <v>3362</v>
      </c>
      <c r="AS330" s="283" t="s">
        <v>3363</v>
      </c>
      <c r="AT330" s="283" t="s">
        <v>3364</v>
      </c>
      <c r="AU330" s="283" t="s">
        <v>3365</v>
      </c>
      <c r="AV330" s="283" t="s">
        <v>3366</v>
      </c>
      <c r="AW330" s="283">
        <f t="shared" si="46"/>
        <v>1867.33333333333</v>
      </c>
      <c r="AX330" s="399"/>
      <c r="AY330" s="399"/>
      <c r="AZ330" s="400"/>
      <c r="BA330" s="400"/>
      <c r="BB330" s="400"/>
      <c r="BC330" s="400"/>
      <c r="BD330" s="400"/>
      <c r="BE330" s="400"/>
      <c r="BF330" s="400"/>
      <c r="BG330" s="400"/>
      <c r="BH330" s="400"/>
      <c r="BI330" s="400"/>
      <c r="BJ330" s="400"/>
      <c r="BK330" s="400"/>
      <c r="BL330" s="400"/>
      <c r="BM330" s="400"/>
      <c r="BN330" s="400"/>
      <c r="BO330" s="400"/>
      <c r="BP330" s="400"/>
      <c r="BQ330" s="400"/>
      <c r="BR330" s="258"/>
      <c r="BS330" s="258"/>
      <c r="BT330" s="258"/>
      <c r="BU330" s="258"/>
      <c r="BV330" s="258"/>
      <c r="BW330" s="258"/>
      <c r="BX330" s="258"/>
      <c r="BY330" s="258"/>
      <c r="BZ330" s="258"/>
      <c r="CA330" s="258"/>
      <c r="CB330" s="258"/>
      <c r="CC330" s="258"/>
      <c r="CD330" s="258">
        <v>3100</v>
      </c>
      <c r="CE330" s="258">
        <v>9600</v>
      </c>
      <c r="CF330" s="258">
        <v>6600</v>
      </c>
      <c r="CG330" s="258">
        <v>2100</v>
      </c>
      <c r="CH330" s="258">
        <v>1300</v>
      </c>
      <c r="CI330" s="258">
        <v>4200</v>
      </c>
      <c r="CJ330" s="258">
        <v>1100</v>
      </c>
      <c r="CK330" s="283">
        <f t="shared" si="47"/>
        <v>2166.66666666667</v>
      </c>
      <c r="CL330" s="398"/>
      <c r="CM330" s="371">
        <f>Summary!$D$20</f>
        <v>496415.356416666</v>
      </c>
      <c r="CN330" s="258">
        <f t="shared" si="45"/>
        <v>0</v>
      </c>
    </row>
    <row r="331" ht="15.6" spans="1:92">
      <c r="A331" s="258" t="s">
        <v>185</v>
      </c>
      <c r="B331" s="258" t="s">
        <v>812</v>
      </c>
      <c r="C331" s="258" t="s">
        <v>230</v>
      </c>
      <c r="D331" s="258" t="s">
        <v>336</v>
      </c>
      <c r="E331" s="258" t="s">
        <v>233</v>
      </c>
      <c r="F331" s="260" t="s">
        <v>422</v>
      </c>
      <c r="G331" s="260"/>
      <c r="H331" s="283">
        <f t="shared" si="44"/>
        <v>39683.9166666666</v>
      </c>
      <c r="I331" s="361" t="s">
        <v>3314</v>
      </c>
      <c r="J331" s="258"/>
      <c r="K331" s="258"/>
      <c r="L331" s="258"/>
      <c r="M331" s="258"/>
      <c r="N331" s="258"/>
      <c r="O331" s="258"/>
      <c r="P331" s="258"/>
      <c r="Q331" s="258"/>
      <c r="R331" s="258"/>
      <c r="S331" s="258"/>
      <c r="T331" s="258"/>
      <c r="U331" s="258"/>
      <c r="V331" s="258"/>
      <c r="W331" s="258"/>
      <c r="X331" s="258"/>
      <c r="Y331" s="258"/>
      <c r="Z331" s="258"/>
      <c r="AA331" s="258"/>
      <c r="AB331" s="258"/>
      <c r="AC331" s="258"/>
      <c r="AD331" s="258"/>
      <c r="AE331" s="258"/>
      <c r="AF331" s="258"/>
      <c r="AG331" s="258"/>
      <c r="AH331" s="258"/>
      <c r="AI331" s="258"/>
      <c r="AJ331" s="258"/>
      <c r="AK331" s="258"/>
      <c r="AL331" s="258"/>
      <c r="AM331" s="258"/>
      <c r="AN331" s="258"/>
      <c r="AO331" s="258"/>
      <c r="AP331" s="258">
        <v>72954</v>
      </c>
      <c r="AQ331" s="258">
        <v>71220</v>
      </c>
      <c r="AR331" s="283" t="s">
        <v>3367</v>
      </c>
      <c r="AS331" s="283">
        <f>0.1756*2*125626</f>
        <v>44119.8512</v>
      </c>
      <c r="AT331" s="283" t="s">
        <v>3368</v>
      </c>
      <c r="AU331" s="283" t="s">
        <v>3369</v>
      </c>
      <c r="AV331" s="283" t="s">
        <v>3370</v>
      </c>
      <c r="AW331" s="283">
        <f t="shared" si="46"/>
        <v>57984.5</v>
      </c>
      <c r="AX331" s="399"/>
      <c r="AY331" s="399"/>
      <c r="AZ331" s="400"/>
      <c r="BA331" s="400"/>
      <c r="BB331" s="400"/>
      <c r="BC331" s="400"/>
      <c r="BD331" s="400"/>
      <c r="BE331" s="400"/>
      <c r="BF331" s="400"/>
      <c r="BG331" s="400"/>
      <c r="BH331" s="400"/>
      <c r="BI331" s="400"/>
      <c r="BJ331" s="400"/>
      <c r="BK331" s="400"/>
      <c r="BL331" s="400"/>
      <c r="BM331" s="400"/>
      <c r="BN331" s="400"/>
      <c r="BO331" s="400"/>
      <c r="BP331" s="400"/>
      <c r="BQ331" s="400"/>
      <c r="BR331" s="258"/>
      <c r="BS331" s="258"/>
      <c r="BT331" s="258"/>
      <c r="BU331" s="258"/>
      <c r="BV331" s="258"/>
      <c r="BW331" s="258"/>
      <c r="BX331" s="258"/>
      <c r="BY331" s="258"/>
      <c r="BZ331" s="258"/>
      <c r="CA331" s="258"/>
      <c r="CB331" s="258"/>
      <c r="CC331" s="258"/>
      <c r="CD331" s="258">
        <v>85100</v>
      </c>
      <c r="CE331" s="258">
        <v>81200</v>
      </c>
      <c r="CF331" s="258">
        <v>63300</v>
      </c>
      <c r="CG331" s="258">
        <v>26500</v>
      </c>
      <c r="CH331" s="258">
        <v>28600</v>
      </c>
      <c r="CI331" s="258">
        <v>25700</v>
      </c>
      <c r="CJ331" s="258">
        <v>16100</v>
      </c>
      <c r="CK331" s="283">
        <f t="shared" si="47"/>
        <v>21383.3333333333</v>
      </c>
      <c r="CL331" s="398"/>
      <c r="CM331" s="371">
        <f>Summary!$D$20</f>
        <v>496415.356416666</v>
      </c>
      <c r="CN331" s="258">
        <f t="shared" si="45"/>
        <v>1</v>
      </c>
    </row>
    <row r="332" ht="15.6" spans="1:92">
      <c r="A332" s="258" t="s">
        <v>185</v>
      </c>
      <c r="B332" s="258" t="s">
        <v>812</v>
      </c>
      <c r="C332" s="258" t="s">
        <v>243</v>
      </c>
      <c r="D332" s="258" t="s">
        <v>3371</v>
      </c>
      <c r="E332" s="258" t="s">
        <v>441</v>
      </c>
      <c r="F332" s="260" t="s">
        <v>422</v>
      </c>
      <c r="G332" s="260"/>
      <c r="H332" s="283">
        <f t="shared" si="44"/>
        <v>5838.3</v>
      </c>
      <c r="I332" s="361" t="s">
        <v>3314</v>
      </c>
      <c r="J332" s="258"/>
      <c r="K332" s="258"/>
      <c r="L332" s="258"/>
      <c r="M332" s="258"/>
      <c r="N332" s="258"/>
      <c r="O332" s="258"/>
      <c r="P332" s="258"/>
      <c r="Q332" s="258"/>
      <c r="R332" s="258"/>
      <c r="S332" s="258"/>
      <c r="T332" s="258"/>
      <c r="U332" s="258"/>
      <c r="V332" s="258"/>
      <c r="W332" s="258"/>
      <c r="X332" s="258"/>
      <c r="Y332" s="258"/>
      <c r="Z332" s="258"/>
      <c r="AA332" s="258"/>
      <c r="AB332" s="258"/>
      <c r="AC332" s="258"/>
      <c r="AD332" s="258"/>
      <c r="AE332" s="258"/>
      <c r="AF332" s="258"/>
      <c r="AG332" s="258"/>
      <c r="AH332" s="258"/>
      <c r="AI332" s="258"/>
      <c r="AJ332" s="258"/>
      <c r="AK332" s="258"/>
      <c r="AL332" s="258"/>
      <c r="AM332" s="258"/>
      <c r="AN332" s="258"/>
      <c r="AO332" s="258"/>
      <c r="AP332" s="258">
        <v>25309</v>
      </c>
      <c r="AQ332" s="258" t="s">
        <v>3372</v>
      </c>
      <c r="AR332" s="283">
        <v>21414</v>
      </c>
      <c r="AS332" s="283">
        <v>36990</v>
      </c>
      <c r="AT332" s="283">
        <v>14878</v>
      </c>
      <c r="AU332" s="283">
        <v>4496</v>
      </c>
      <c r="AV332" s="283">
        <v>10399</v>
      </c>
      <c r="AW332" s="283">
        <f t="shared" si="46"/>
        <v>9177.83333333333</v>
      </c>
      <c r="AX332" s="399"/>
      <c r="AY332" s="399"/>
      <c r="AZ332" s="400"/>
      <c r="BA332" s="400"/>
      <c r="BB332" s="400"/>
      <c r="BC332" s="400"/>
      <c r="BD332" s="400"/>
      <c r="BE332" s="400"/>
      <c r="BF332" s="400"/>
      <c r="BG332" s="400"/>
      <c r="BH332" s="400"/>
      <c r="BI332" s="400"/>
      <c r="BJ332" s="400"/>
      <c r="BK332" s="400"/>
      <c r="BL332" s="400"/>
      <c r="BM332" s="400"/>
      <c r="BN332" s="400"/>
      <c r="BO332" s="400"/>
      <c r="BP332" s="400"/>
      <c r="BQ332" s="400"/>
      <c r="BR332" s="258"/>
      <c r="BS332" s="258"/>
      <c r="BT332" s="258"/>
      <c r="BU332" s="258"/>
      <c r="BV332" s="258"/>
      <c r="BW332" s="258"/>
      <c r="BX332" s="258"/>
      <c r="BY332" s="258"/>
      <c r="BZ332" s="258"/>
      <c r="CA332" s="258"/>
      <c r="CB332" s="258"/>
      <c r="CC332" s="258"/>
      <c r="CD332" s="258">
        <v>29700</v>
      </c>
      <c r="CE332" s="258">
        <v>24700</v>
      </c>
      <c r="CF332" s="258">
        <v>8302.14</v>
      </c>
      <c r="CG332" s="258">
        <v>4500.76</v>
      </c>
      <c r="CH332" s="258">
        <v>952</v>
      </c>
      <c r="CI332" s="258">
        <v>2100</v>
      </c>
      <c r="CJ332" s="258">
        <v>3280.2</v>
      </c>
      <c r="CK332" s="283">
        <f t="shared" si="47"/>
        <v>2498.76666666667</v>
      </c>
      <c r="CL332" s="398"/>
      <c r="CM332" s="371">
        <f>Summary!$D$20</f>
        <v>496415.356416666</v>
      </c>
      <c r="CN332" s="258">
        <f t="shared" si="45"/>
        <v>0</v>
      </c>
    </row>
    <row r="333" ht="15.6" spans="1:92">
      <c r="A333" s="258" t="s">
        <v>185</v>
      </c>
      <c r="B333" s="258" t="s">
        <v>812</v>
      </c>
      <c r="C333" s="342" t="s">
        <v>243</v>
      </c>
      <c r="D333" s="258" t="s">
        <v>339</v>
      </c>
      <c r="E333" s="258" t="s">
        <v>233</v>
      </c>
      <c r="F333" s="260" t="s">
        <v>60</v>
      </c>
      <c r="G333" s="260"/>
      <c r="H333" s="283">
        <f t="shared" si="44"/>
        <v>16150.8333333333</v>
      </c>
      <c r="I333" s="361" t="s">
        <v>3314</v>
      </c>
      <c r="J333" s="258"/>
      <c r="K333" s="258"/>
      <c r="L333" s="258"/>
      <c r="M333" s="258"/>
      <c r="N333" s="258"/>
      <c r="O333" s="258"/>
      <c r="P333" s="258"/>
      <c r="Q333" s="258"/>
      <c r="R333" s="258"/>
      <c r="S333" s="258"/>
      <c r="T333" s="258"/>
      <c r="U333" s="258"/>
      <c r="V333" s="258"/>
      <c r="W333" s="258"/>
      <c r="X333" s="258"/>
      <c r="Y333" s="258"/>
      <c r="Z333" s="258"/>
      <c r="AA333" s="258"/>
      <c r="AB333" s="258"/>
      <c r="AC333" s="258"/>
      <c r="AD333" s="258"/>
      <c r="AE333" s="258"/>
      <c r="AF333" s="258"/>
      <c r="AG333" s="258"/>
      <c r="AH333" s="258"/>
      <c r="AI333" s="258"/>
      <c r="AJ333" s="258"/>
      <c r="AK333" s="258"/>
      <c r="AL333" s="258"/>
      <c r="AM333" s="258"/>
      <c r="AN333" s="258"/>
      <c r="AO333" s="258"/>
      <c r="AP333" s="258">
        <v>30224</v>
      </c>
      <c r="AQ333" s="258" t="s">
        <v>3373</v>
      </c>
      <c r="AR333" s="283" t="s">
        <v>755</v>
      </c>
      <c r="AS333" s="283" t="s">
        <v>3374</v>
      </c>
      <c r="AT333" s="283" t="s">
        <v>1676</v>
      </c>
      <c r="AU333" s="283" t="s">
        <v>3375</v>
      </c>
      <c r="AV333" s="283" t="s">
        <v>3376</v>
      </c>
      <c r="AW333" s="283">
        <f t="shared" si="46"/>
        <v>26285</v>
      </c>
      <c r="AX333" s="399"/>
      <c r="AY333" s="399"/>
      <c r="AZ333" s="400"/>
      <c r="BA333" s="400"/>
      <c r="BB333" s="400"/>
      <c r="BC333" s="400"/>
      <c r="BD333" s="400"/>
      <c r="BE333" s="400"/>
      <c r="BF333" s="400"/>
      <c r="BG333" s="400"/>
      <c r="BH333" s="400"/>
      <c r="BI333" s="400"/>
      <c r="BJ333" s="400"/>
      <c r="BK333" s="400"/>
      <c r="BL333" s="400"/>
      <c r="BM333" s="400"/>
      <c r="BN333" s="400"/>
      <c r="BO333" s="400"/>
      <c r="BP333" s="400"/>
      <c r="BQ333" s="400"/>
      <c r="BR333" s="258"/>
      <c r="BS333" s="258"/>
      <c r="BT333" s="258"/>
      <c r="BU333" s="258"/>
      <c r="BV333" s="258"/>
      <c r="BW333" s="258"/>
      <c r="BX333" s="258"/>
      <c r="BY333" s="258"/>
      <c r="BZ333" s="258"/>
      <c r="CA333" s="258"/>
      <c r="CB333" s="258"/>
      <c r="CC333" s="258"/>
      <c r="CD333" s="258">
        <v>9400</v>
      </c>
      <c r="CE333" s="258">
        <f>127400*0.087*2</f>
        <v>22167.6</v>
      </c>
      <c r="CF333" s="258">
        <v>23600</v>
      </c>
      <c r="CG333" s="258">
        <v>14200</v>
      </c>
      <c r="CH333" s="258">
        <v>7200</v>
      </c>
      <c r="CI333" s="258">
        <v>7100</v>
      </c>
      <c r="CJ333" s="258">
        <v>4900</v>
      </c>
      <c r="CK333" s="283">
        <f t="shared" si="47"/>
        <v>6016.66666666667</v>
      </c>
      <c r="CL333" s="398"/>
      <c r="CM333" s="371">
        <f>Summary!$D$20</f>
        <v>496415.356416666</v>
      </c>
      <c r="CN333" s="258">
        <f t="shared" si="45"/>
        <v>0</v>
      </c>
    </row>
    <row r="334" ht="15.6" spans="1:92">
      <c r="A334" s="258" t="s">
        <v>185</v>
      </c>
      <c r="B334" s="258" t="s">
        <v>812</v>
      </c>
      <c r="C334" s="258" t="s">
        <v>243</v>
      </c>
      <c r="D334" s="258" t="s">
        <v>3377</v>
      </c>
      <c r="E334" s="258" t="s">
        <v>233</v>
      </c>
      <c r="F334" s="260" t="s">
        <v>1105</v>
      </c>
      <c r="G334" s="260"/>
      <c r="H334" s="283">
        <f t="shared" si="44"/>
        <v>15174.5</v>
      </c>
      <c r="I334" s="361" t="s">
        <v>3314</v>
      </c>
      <c r="J334" s="258"/>
      <c r="K334" s="258"/>
      <c r="L334" s="258"/>
      <c r="M334" s="258"/>
      <c r="N334" s="258"/>
      <c r="O334" s="258"/>
      <c r="P334" s="258"/>
      <c r="Q334" s="258"/>
      <c r="R334" s="258"/>
      <c r="S334" s="258"/>
      <c r="T334" s="258"/>
      <c r="U334" s="258"/>
      <c r="V334" s="258"/>
      <c r="W334" s="258"/>
      <c r="X334" s="258"/>
      <c r="Y334" s="258"/>
      <c r="Z334" s="258"/>
      <c r="AA334" s="258"/>
      <c r="AB334" s="258"/>
      <c r="AC334" s="258"/>
      <c r="AD334" s="258"/>
      <c r="AE334" s="258"/>
      <c r="AF334" s="258"/>
      <c r="AG334" s="258"/>
      <c r="AH334" s="258"/>
      <c r="AI334" s="258"/>
      <c r="AJ334" s="258"/>
      <c r="AK334" s="258"/>
      <c r="AL334" s="258"/>
      <c r="AM334" s="258"/>
      <c r="AN334" s="258"/>
      <c r="AO334" s="258"/>
      <c r="AP334" s="258">
        <v>23661</v>
      </c>
      <c r="AQ334" s="258" t="s">
        <v>3378</v>
      </c>
      <c r="AR334" s="283" t="s">
        <v>3379</v>
      </c>
      <c r="AS334" s="283" t="s">
        <v>3380</v>
      </c>
      <c r="AT334" s="283" t="s">
        <v>3381</v>
      </c>
      <c r="AU334" s="283" t="s">
        <v>3382</v>
      </c>
      <c r="AV334" s="283" t="s">
        <v>3383</v>
      </c>
      <c r="AW334" s="283">
        <f t="shared" si="46"/>
        <v>24682.3333333333</v>
      </c>
      <c r="AX334" s="399"/>
      <c r="AY334" s="399"/>
      <c r="AZ334" s="400"/>
      <c r="BA334" s="400"/>
      <c r="BB334" s="400"/>
      <c r="BC334" s="400"/>
      <c r="BD334" s="400"/>
      <c r="BE334" s="400"/>
      <c r="BF334" s="400"/>
      <c r="BG334" s="400"/>
      <c r="BH334" s="400"/>
      <c r="BI334" s="400"/>
      <c r="BJ334" s="400"/>
      <c r="BK334" s="400"/>
      <c r="BL334" s="400"/>
      <c r="BM334" s="400"/>
      <c r="BN334" s="400"/>
      <c r="BO334" s="400"/>
      <c r="BP334" s="400"/>
      <c r="BQ334" s="400"/>
      <c r="BR334" s="258"/>
      <c r="BS334" s="258"/>
      <c r="BT334" s="258"/>
      <c r="BU334" s="258"/>
      <c r="BV334" s="258"/>
      <c r="BW334" s="258"/>
      <c r="BX334" s="258"/>
      <c r="BY334" s="258"/>
      <c r="BZ334" s="258"/>
      <c r="CA334" s="258"/>
      <c r="CB334" s="258"/>
      <c r="CC334" s="258"/>
      <c r="CD334" s="258">
        <v>3400</v>
      </c>
      <c r="CE334" s="258">
        <f>58800*0.0198*2</f>
        <v>2328.48</v>
      </c>
      <c r="CF334" s="258">
        <v>4298.56</v>
      </c>
      <c r="CG334" s="258">
        <v>15679.2</v>
      </c>
      <c r="CH334" s="258">
        <v>6300</v>
      </c>
      <c r="CI334" s="258">
        <v>6200</v>
      </c>
      <c r="CJ334" s="258">
        <v>5100</v>
      </c>
      <c r="CK334" s="283">
        <f t="shared" si="47"/>
        <v>5666.66666666667</v>
      </c>
      <c r="CL334" s="398"/>
      <c r="CM334" s="371">
        <f>Summary!$D$20</f>
        <v>496415.356416666</v>
      </c>
      <c r="CN334" s="258">
        <f t="shared" si="45"/>
        <v>0</v>
      </c>
    </row>
    <row r="335" ht="15.6" spans="1:92">
      <c r="A335" s="258" t="s">
        <v>185</v>
      </c>
      <c r="B335" s="258" t="s">
        <v>812</v>
      </c>
      <c r="C335" s="258" t="s">
        <v>230</v>
      </c>
      <c r="D335" s="258" t="s">
        <v>3384</v>
      </c>
      <c r="E335" s="258" t="s">
        <v>233</v>
      </c>
      <c r="F335" s="260" t="s">
        <v>250</v>
      </c>
      <c r="G335" s="260"/>
      <c r="H335" s="283">
        <f t="shared" si="44"/>
        <v>20050.18</v>
      </c>
      <c r="I335" s="361" t="s">
        <v>3314</v>
      </c>
      <c r="J335" s="258"/>
      <c r="K335" s="258"/>
      <c r="L335" s="258"/>
      <c r="M335" s="258"/>
      <c r="N335" s="258"/>
      <c r="O335" s="258"/>
      <c r="P335" s="258"/>
      <c r="Q335" s="258"/>
      <c r="R335" s="258"/>
      <c r="S335" s="258"/>
      <c r="T335" s="258"/>
      <c r="U335" s="258"/>
      <c r="V335" s="258"/>
      <c r="W335" s="258"/>
      <c r="X335" s="258"/>
      <c r="Y335" s="258"/>
      <c r="Z335" s="258"/>
      <c r="AA335" s="258"/>
      <c r="AB335" s="258"/>
      <c r="AC335" s="258"/>
      <c r="AD335" s="258"/>
      <c r="AE335" s="258"/>
      <c r="AF335" s="258"/>
      <c r="AG335" s="258"/>
      <c r="AH335" s="258"/>
      <c r="AI335" s="258"/>
      <c r="AJ335" s="258"/>
      <c r="AK335" s="258"/>
      <c r="AL335" s="258"/>
      <c r="AM335" s="258"/>
      <c r="AN335" s="258"/>
      <c r="AO335" s="258"/>
      <c r="AP335" s="258">
        <v>29151</v>
      </c>
      <c r="AQ335" s="258">
        <v>30398</v>
      </c>
      <c r="AR335" s="283" t="s">
        <v>3385</v>
      </c>
      <c r="AS335" s="283">
        <f>0.0703*2*89469</f>
        <v>12579.3414</v>
      </c>
      <c r="AT335" s="283" t="s">
        <v>3386</v>
      </c>
      <c r="AU335" s="283" t="s">
        <v>3387</v>
      </c>
      <c r="AV335" s="283" t="s">
        <v>1984</v>
      </c>
      <c r="AW335" s="283">
        <f t="shared" si="46"/>
        <v>28367</v>
      </c>
      <c r="AX335" s="399"/>
      <c r="AY335" s="399"/>
      <c r="AZ335" s="400"/>
      <c r="BA335" s="400"/>
      <c r="BB335" s="400"/>
      <c r="BC335" s="400"/>
      <c r="BD335" s="400"/>
      <c r="BE335" s="400"/>
      <c r="BF335" s="400"/>
      <c r="BG335" s="400"/>
      <c r="BH335" s="400"/>
      <c r="BI335" s="400"/>
      <c r="BJ335" s="400"/>
      <c r="BK335" s="400"/>
      <c r="BL335" s="400"/>
      <c r="BM335" s="400"/>
      <c r="BN335" s="400"/>
      <c r="BO335" s="400"/>
      <c r="BP335" s="400"/>
      <c r="BQ335" s="400"/>
      <c r="BR335" s="258"/>
      <c r="BS335" s="258"/>
      <c r="BT335" s="258"/>
      <c r="BU335" s="258"/>
      <c r="BV335" s="258"/>
      <c r="BW335" s="258"/>
      <c r="BX335" s="258"/>
      <c r="BY335" s="258"/>
      <c r="BZ335" s="258"/>
      <c r="CA335" s="258"/>
      <c r="CB335" s="258"/>
      <c r="CC335" s="258"/>
      <c r="CD335" s="258">
        <v>862</v>
      </c>
      <c r="CE335" s="258">
        <f>42800*0.158*2</f>
        <v>13524.8</v>
      </c>
      <c r="CF335" s="258">
        <v>2500</v>
      </c>
      <c r="CG335" s="258">
        <v>8200</v>
      </c>
      <c r="CH335" s="258">
        <v>20200</v>
      </c>
      <c r="CI335" s="258">
        <v>9350.08</v>
      </c>
      <c r="CJ335" s="258">
        <v>10500</v>
      </c>
      <c r="CK335" s="283">
        <f t="shared" si="47"/>
        <v>11733.36</v>
      </c>
      <c r="CL335" s="398"/>
      <c r="CM335" s="371">
        <f>Summary!$D$20</f>
        <v>496415.356416666</v>
      </c>
      <c r="CN335" s="258">
        <f t="shared" si="45"/>
        <v>0</v>
      </c>
    </row>
    <row r="336" ht="31.2" spans="1:92">
      <c r="A336" s="258" t="s">
        <v>185</v>
      </c>
      <c r="B336" s="258" t="s">
        <v>812</v>
      </c>
      <c r="C336" s="258" t="s">
        <v>243</v>
      </c>
      <c r="D336" s="258" t="s">
        <v>338</v>
      </c>
      <c r="E336" s="258" t="s">
        <v>441</v>
      </c>
      <c r="F336" s="260" t="s">
        <v>50</v>
      </c>
      <c r="G336" s="260"/>
      <c r="H336" s="283">
        <f t="shared" si="44"/>
        <v>16355.0833333333</v>
      </c>
      <c r="I336" s="361" t="s">
        <v>3388</v>
      </c>
      <c r="J336" s="258"/>
      <c r="K336" s="258"/>
      <c r="L336" s="258"/>
      <c r="M336" s="258"/>
      <c r="N336" s="258"/>
      <c r="O336" s="258"/>
      <c r="P336" s="258"/>
      <c r="Q336" s="258"/>
      <c r="R336" s="258"/>
      <c r="S336" s="258"/>
      <c r="T336" s="258"/>
      <c r="U336" s="258"/>
      <c r="V336" s="258"/>
      <c r="W336" s="258"/>
      <c r="X336" s="258"/>
      <c r="Y336" s="258"/>
      <c r="Z336" s="258"/>
      <c r="AA336" s="258"/>
      <c r="AB336" s="258"/>
      <c r="AC336" s="258"/>
      <c r="AD336" s="258"/>
      <c r="AE336" s="258"/>
      <c r="AF336" s="258"/>
      <c r="AG336" s="258"/>
      <c r="AH336" s="258"/>
      <c r="AI336" s="258"/>
      <c r="AJ336" s="258"/>
      <c r="AK336" s="258"/>
      <c r="AL336" s="258"/>
      <c r="AM336" s="258"/>
      <c r="AN336" s="258"/>
      <c r="AO336" s="258"/>
      <c r="AP336" s="258">
        <v>29441</v>
      </c>
      <c r="AQ336" s="258" t="s">
        <v>3389</v>
      </c>
      <c r="AR336" s="283" t="s">
        <v>3390</v>
      </c>
      <c r="AS336" s="283" t="s">
        <v>3391</v>
      </c>
      <c r="AT336" s="283" t="s">
        <v>3392</v>
      </c>
      <c r="AU336" s="283">
        <v>23632</v>
      </c>
      <c r="AV336" s="283" t="s">
        <v>3393</v>
      </c>
      <c r="AW336" s="283">
        <f t="shared" si="46"/>
        <v>31365.5</v>
      </c>
      <c r="AX336" s="399"/>
      <c r="AY336" s="399"/>
      <c r="AZ336" s="400"/>
      <c r="BA336" s="400"/>
      <c r="BB336" s="400"/>
      <c r="BC336" s="400"/>
      <c r="BD336" s="400"/>
      <c r="BE336" s="400"/>
      <c r="BF336" s="400"/>
      <c r="BG336" s="400"/>
      <c r="BH336" s="400"/>
      <c r="BI336" s="400"/>
      <c r="BJ336" s="400"/>
      <c r="BK336" s="400"/>
      <c r="BL336" s="400"/>
      <c r="BM336" s="400"/>
      <c r="BN336" s="400"/>
      <c r="BO336" s="400"/>
      <c r="BP336" s="400"/>
      <c r="BQ336" s="400"/>
      <c r="BR336" s="258"/>
      <c r="BS336" s="258"/>
      <c r="BT336" s="258"/>
      <c r="BU336" s="258"/>
      <c r="BV336" s="258"/>
      <c r="BW336" s="258"/>
      <c r="BX336" s="258"/>
      <c r="BY336" s="258"/>
      <c r="BZ336" s="258"/>
      <c r="CA336" s="258"/>
      <c r="CB336" s="258"/>
      <c r="CC336" s="258"/>
      <c r="CD336" s="258">
        <v>7000</v>
      </c>
      <c r="CE336" s="258">
        <v>7400</v>
      </c>
      <c r="CF336" s="258">
        <v>17400</v>
      </c>
      <c r="CG336" s="258">
        <v>3900</v>
      </c>
      <c r="CH336" s="258">
        <v>2600</v>
      </c>
      <c r="CI336" s="258">
        <v>484</v>
      </c>
      <c r="CJ336" s="258">
        <v>1500</v>
      </c>
      <c r="CK336" s="283">
        <f t="shared" si="47"/>
        <v>1344.66666666667</v>
      </c>
      <c r="CL336" s="398"/>
      <c r="CM336" s="371">
        <f>Summary!$D$20</f>
        <v>496415.356416666</v>
      </c>
      <c r="CN336" s="258">
        <f t="shared" si="45"/>
        <v>0</v>
      </c>
    </row>
    <row r="337" ht="15.6" spans="1:92">
      <c r="A337" s="258" t="s">
        <v>185</v>
      </c>
      <c r="B337" s="258" t="s">
        <v>812</v>
      </c>
      <c r="C337" s="258" t="s">
        <v>243</v>
      </c>
      <c r="D337" s="258" t="s">
        <v>3394</v>
      </c>
      <c r="E337" s="258" t="s">
        <v>441</v>
      </c>
      <c r="F337" s="260" t="s">
        <v>420</v>
      </c>
      <c r="G337" s="260"/>
      <c r="H337" s="283">
        <f t="shared" si="44"/>
        <v>23909.8333333334</v>
      </c>
      <c r="I337" s="361" t="s">
        <v>3314</v>
      </c>
      <c r="J337" s="258"/>
      <c r="K337" s="258"/>
      <c r="L337" s="258"/>
      <c r="M337" s="258"/>
      <c r="N337" s="258"/>
      <c r="O337" s="258"/>
      <c r="P337" s="258"/>
      <c r="Q337" s="258"/>
      <c r="R337" s="258"/>
      <c r="S337" s="258"/>
      <c r="T337" s="258"/>
      <c r="U337" s="258"/>
      <c r="V337" s="258"/>
      <c r="W337" s="258"/>
      <c r="X337" s="258"/>
      <c r="Y337" s="258"/>
      <c r="Z337" s="258"/>
      <c r="AA337" s="258"/>
      <c r="AB337" s="258"/>
      <c r="AC337" s="258"/>
      <c r="AD337" s="258"/>
      <c r="AE337" s="258"/>
      <c r="AF337" s="258"/>
      <c r="AG337" s="258"/>
      <c r="AH337" s="258"/>
      <c r="AI337" s="258"/>
      <c r="AJ337" s="258"/>
      <c r="AK337" s="258"/>
      <c r="AL337" s="258"/>
      <c r="AM337" s="258"/>
      <c r="AN337" s="258"/>
      <c r="AO337" s="258"/>
      <c r="AP337" s="258">
        <v>16614</v>
      </c>
      <c r="AQ337" s="258" t="s">
        <v>3395</v>
      </c>
      <c r="AR337" s="283">
        <v>5551</v>
      </c>
      <c r="AS337" s="283">
        <v>8192</v>
      </c>
      <c r="AT337" s="283">
        <v>10802</v>
      </c>
      <c r="AU337" s="283">
        <v>7913</v>
      </c>
      <c r="AV337" s="283">
        <v>7545</v>
      </c>
      <c r="AW337" s="283">
        <f t="shared" si="46"/>
        <v>8210.5</v>
      </c>
      <c r="AX337" s="399"/>
      <c r="AY337" s="399"/>
      <c r="AZ337" s="400"/>
      <c r="BA337" s="400"/>
      <c r="BB337" s="400"/>
      <c r="BC337" s="400"/>
      <c r="BD337" s="400"/>
      <c r="BE337" s="400"/>
      <c r="BF337" s="400"/>
      <c r="BG337" s="400"/>
      <c r="BH337" s="400"/>
      <c r="BI337" s="400"/>
      <c r="BJ337" s="400"/>
      <c r="BK337" s="400"/>
      <c r="BL337" s="400"/>
      <c r="BM337" s="400"/>
      <c r="BN337" s="400"/>
      <c r="BO337" s="400"/>
      <c r="BP337" s="400"/>
      <c r="BQ337" s="400"/>
      <c r="BR337" s="258"/>
      <c r="BS337" s="258"/>
      <c r="BT337" s="258"/>
      <c r="BU337" s="258"/>
      <c r="BV337" s="258"/>
      <c r="BW337" s="258"/>
      <c r="BX337" s="258"/>
      <c r="BY337" s="258"/>
      <c r="BZ337" s="258"/>
      <c r="CA337" s="258"/>
      <c r="CB337" s="258"/>
      <c r="CC337" s="258"/>
      <c r="CD337" s="258">
        <v>3500</v>
      </c>
      <c r="CE337" s="258">
        <v>5400</v>
      </c>
      <c r="CF337" s="258">
        <v>1000</v>
      </c>
      <c r="CG337" s="258">
        <v>432</v>
      </c>
      <c r="CH337" s="258">
        <v>655</v>
      </c>
      <c r="CI337" s="258">
        <v>50100</v>
      </c>
      <c r="CJ337" s="258">
        <v>45600</v>
      </c>
      <c r="CK337" s="283">
        <f t="shared" si="47"/>
        <v>39609.1666666667</v>
      </c>
      <c r="CL337" s="398"/>
      <c r="CM337" s="371">
        <f>Summary!$D$20</f>
        <v>496415.356416666</v>
      </c>
      <c r="CN337" s="258">
        <f t="shared" si="45"/>
        <v>0</v>
      </c>
    </row>
    <row r="338" ht="15.6" spans="1:92">
      <c r="A338" s="258" t="s">
        <v>185</v>
      </c>
      <c r="B338" s="258" t="s">
        <v>812</v>
      </c>
      <c r="C338" s="258" t="s">
        <v>243</v>
      </c>
      <c r="D338" s="258" t="s">
        <v>3396</v>
      </c>
      <c r="E338" s="258" t="s">
        <v>441</v>
      </c>
      <c r="F338" s="260" t="s">
        <v>412</v>
      </c>
      <c r="G338" s="260"/>
      <c r="H338" s="283">
        <f t="shared" si="44"/>
        <v>9819.67</v>
      </c>
      <c r="I338" s="361" t="s">
        <v>3314</v>
      </c>
      <c r="J338" s="258"/>
      <c r="K338" s="258"/>
      <c r="L338" s="258"/>
      <c r="M338" s="258"/>
      <c r="N338" s="258"/>
      <c r="O338" s="258"/>
      <c r="P338" s="258"/>
      <c r="Q338" s="258"/>
      <c r="R338" s="258"/>
      <c r="S338" s="258"/>
      <c r="T338" s="258"/>
      <c r="U338" s="258"/>
      <c r="V338" s="258"/>
      <c r="W338" s="258"/>
      <c r="X338" s="258"/>
      <c r="Y338" s="258"/>
      <c r="Z338" s="258"/>
      <c r="AA338" s="258"/>
      <c r="AB338" s="258"/>
      <c r="AC338" s="258"/>
      <c r="AD338" s="258"/>
      <c r="AE338" s="258"/>
      <c r="AF338" s="258"/>
      <c r="AG338" s="258"/>
      <c r="AH338" s="258"/>
      <c r="AI338" s="258"/>
      <c r="AJ338" s="258"/>
      <c r="AK338" s="258"/>
      <c r="AL338" s="258"/>
      <c r="AM338" s="258"/>
      <c r="AN338" s="258"/>
      <c r="AO338" s="258"/>
      <c r="AP338" s="258">
        <v>18033</v>
      </c>
      <c r="AQ338" s="258" t="s">
        <v>3397</v>
      </c>
      <c r="AR338" s="283" t="s">
        <v>3398</v>
      </c>
      <c r="AS338" s="283" t="s">
        <v>3399</v>
      </c>
      <c r="AT338" s="283" t="s">
        <v>3400</v>
      </c>
      <c r="AU338" s="283" t="s">
        <v>3401</v>
      </c>
      <c r="AV338" s="283" t="s">
        <v>3402</v>
      </c>
      <c r="AW338" s="283">
        <f t="shared" si="46"/>
        <v>13141.3333333333</v>
      </c>
      <c r="AX338" s="399"/>
      <c r="AY338" s="399"/>
      <c r="AZ338" s="400"/>
      <c r="BA338" s="400"/>
      <c r="BB338" s="400"/>
      <c r="BC338" s="400"/>
      <c r="BD338" s="400"/>
      <c r="BE338" s="400"/>
      <c r="BF338" s="400"/>
      <c r="BG338" s="400"/>
      <c r="BH338" s="400"/>
      <c r="BI338" s="400"/>
      <c r="BJ338" s="400"/>
      <c r="BK338" s="400"/>
      <c r="BL338" s="400"/>
      <c r="BM338" s="400"/>
      <c r="BN338" s="400"/>
      <c r="BO338" s="400"/>
      <c r="BP338" s="400"/>
      <c r="BQ338" s="400"/>
      <c r="BR338" s="258"/>
      <c r="BS338" s="258"/>
      <c r="BT338" s="258"/>
      <c r="BU338" s="258"/>
      <c r="BV338" s="258"/>
      <c r="BW338" s="258"/>
      <c r="BX338" s="258"/>
      <c r="BY338" s="258"/>
      <c r="BZ338" s="258"/>
      <c r="CA338" s="258"/>
      <c r="CB338" s="258"/>
      <c r="CC338" s="258"/>
      <c r="CD338" s="258">
        <v>271</v>
      </c>
      <c r="CE338" s="258">
        <v>28700</v>
      </c>
      <c r="CF338" s="258">
        <v>3900</v>
      </c>
      <c r="CG338" s="258">
        <v>5500</v>
      </c>
      <c r="CH338" s="258">
        <v>8200</v>
      </c>
      <c r="CI338" s="258">
        <v>5944.02</v>
      </c>
      <c r="CJ338" s="258">
        <v>6300</v>
      </c>
      <c r="CK338" s="283">
        <f t="shared" si="47"/>
        <v>6498.00666666667</v>
      </c>
      <c r="CL338" s="398"/>
      <c r="CM338" s="371">
        <f>Summary!$D$20</f>
        <v>496415.356416666</v>
      </c>
      <c r="CN338" s="258">
        <f t="shared" si="45"/>
        <v>0</v>
      </c>
    </row>
    <row r="339" ht="15.6" spans="1:92">
      <c r="A339" s="258" t="s">
        <v>185</v>
      </c>
      <c r="B339" s="258" t="s">
        <v>812</v>
      </c>
      <c r="C339" s="258" t="s">
        <v>230</v>
      </c>
      <c r="D339" s="258" t="s">
        <v>3403</v>
      </c>
      <c r="E339" s="258" t="s">
        <v>233</v>
      </c>
      <c r="F339" s="260" t="s">
        <v>417</v>
      </c>
      <c r="G339" s="260"/>
      <c r="H339" s="283">
        <f t="shared" si="44"/>
        <v>2095.25</v>
      </c>
      <c r="I339" s="361" t="s">
        <v>3314</v>
      </c>
      <c r="J339" s="258"/>
      <c r="K339" s="258"/>
      <c r="L339" s="258"/>
      <c r="M339" s="258"/>
      <c r="N339" s="258"/>
      <c r="O339" s="258"/>
      <c r="P339" s="258"/>
      <c r="Q339" s="258"/>
      <c r="R339" s="258"/>
      <c r="S339" s="258"/>
      <c r="T339" s="258"/>
      <c r="U339" s="258"/>
      <c r="V339" s="258"/>
      <c r="W339" s="258"/>
      <c r="X339" s="258"/>
      <c r="Y339" s="258"/>
      <c r="Z339" s="258"/>
      <c r="AA339" s="258"/>
      <c r="AB339" s="258"/>
      <c r="AC339" s="258"/>
      <c r="AD339" s="258"/>
      <c r="AE339" s="258"/>
      <c r="AF339" s="258"/>
      <c r="AG339" s="258"/>
      <c r="AH339" s="258"/>
      <c r="AI339" s="258"/>
      <c r="AJ339" s="258"/>
      <c r="AK339" s="258"/>
      <c r="AL339" s="258"/>
      <c r="AM339" s="258"/>
      <c r="AN339" s="258"/>
      <c r="AO339" s="258"/>
      <c r="AP339" s="258">
        <v>9894</v>
      </c>
      <c r="AQ339" s="258" t="s">
        <v>3404</v>
      </c>
      <c r="AR339" s="283" t="s">
        <v>3405</v>
      </c>
      <c r="AS339" s="283" t="s">
        <v>3406</v>
      </c>
      <c r="AT339" s="283" t="s">
        <v>3407</v>
      </c>
      <c r="AU339" s="283" t="s">
        <v>3408</v>
      </c>
      <c r="AV339" s="283" t="s">
        <v>3409</v>
      </c>
      <c r="AW339" s="283">
        <f t="shared" si="46"/>
        <v>3584.16666666667</v>
      </c>
      <c r="AX339" s="399"/>
      <c r="AY339" s="399"/>
      <c r="AZ339" s="400"/>
      <c r="BA339" s="400"/>
      <c r="BB339" s="400"/>
      <c r="BC339" s="400"/>
      <c r="BD339" s="400"/>
      <c r="BE339" s="400"/>
      <c r="BF339" s="400"/>
      <c r="BG339" s="400"/>
      <c r="BH339" s="400"/>
      <c r="BI339" s="400"/>
      <c r="BJ339" s="400"/>
      <c r="BK339" s="400"/>
      <c r="BL339" s="400"/>
      <c r="BM339" s="400"/>
      <c r="BN339" s="400"/>
      <c r="BO339" s="400"/>
      <c r="BP339" s="400"/>
      <c r="BQ339" s="400"/>
      <c r="BR339" s="258"/>
      <c r="BS339" s="258"/>
      <c r="BT339" s="258"/>
      <c r="BU339" s="258"/>
      <c r="BV339" s="258"/>
      <c r="BW339" s="258"/>
      <c r="BX339" s="258"/>
      <c r="BY339" s="258"/>
      <c r="BZ339" s="258"/>
      <c r="CA339" s="258"/>
      <c r="CB339" s="258"/>
      <c r="CC339" s="258"/>
      <c r="CD339" s="258">
        <v>1700</v>
      </c>
      <c r="CE339" s="258">
        <v>4300</v>
      </c>
      <c r="CF339" s="258">
        <v>0</v>
      </c>
      <c r="CG339" s="258">
        <v>605</v>
      </c>
      <c r="CH339" s="258">
        <v>0</v>
      </c>
      <c r="CI339" s="258">
        <v>709</v>
      </c>
      <c r="CJ339" s="258">
        <v>740</v>
      </c>
      <c r="CK339" s="283">
        <f t="shared" si="47"/>
        <v>606.333333333333</v>
      </c>
      <c r="CL339" s="398"/>
      <c r="CM339" s="371">
        <f>Summary!$D$20</f>
        <v>496415.356416666</v>
      </c>
      <c r="CN339" s="258">
        <f t="shared" si="45"/>
        <v>0</v>
      </c>
    </row>
    <row r="340" ht="15.6" spans="1:92">
      <c r="A340" s="394" t="s">
        <v>187</v>
      </c>
      <c r="B340" s="394" t="s">
        <v>812</v>
      </c>
      <c r="C340" s="258" t="s">
        <v>230</v>
      </c>
      <c r="D340" s="258" t="s">
        <v>345</v>
      </c>
      <c r="E340" s="258" t="s">
        <v>233</v>
      </c>
      <c r="F340" s="260" t="s">
        <v>49</v>
      </c>
      <c r="G340" s="260"/>
      <c r="H340" s="283">
        <f t="shared" si="44"/>
        <v>19827.4766666667</v>
      </c>
      <c r="I340" s="361" t="s">
        <v>3314</v>
      </c>
      <c r="J340" s="258"/>
      <c r="K340" s="258"/>
      <c r="L340" s="258"/>
      <c r="M340" s="258"/>
      <c r="N340" s="258"/>
      <c r="O340" s="258"/>
      <c r="P340" s="258"/>
      <c r="Q340" s="258"/>
      <c r="R340" s="258"/>
      <c r="S340" s="258"/>
      <c r="T340" s="258"/>
      <c r="U340" s="258"/>
      <c r="V340" s="258"/>
      <c r="W340" s="258"/>
      <c r="X340" s="258"/>
      <c r="Y340" s="258"/>
      <c r="Z340" s="258"/>
      <c r="AA340" s="258"/>
      <c r="AB340" s="258"/>
      <c r="AC340" s="258"/>
      <c r="AD340" s="258"/>
      <c r="AE340" s="258"/>
      <c r="AF340" s="258"/>
      <c r="AG340" s="258"/>
      <c r="AH340" s="258"/>
      <c r="AI340" s="258"/>
      <c r="AJ340" s="258"/>
      <c r="AK340" s="258"/>
      <c r="AL340" s="258"/>
      <c r="AM340" s="258"/>
      <c r="AN340" s="258"/>
      <c r="AO340" s="258"/>
      <c r="AP340" s="258">
        <v>14283</v>
      </c>
      <c r="AQ340" s="258" t="s">
        <v>3410</v>
      </c>
      <c r="AR340" s="283" t="s">
        <v>3411</v>
      </c>
      <c r="AS340" s="283" t="s">
        <v>3412</v>
      </c>
      <c r="AT340" s="283" t="s">
        <v>3413</v>
      </c>
      <c r="AU340" s="283" t="s">
        <v>3414</v>
      </c>
      <c r="AV340" s="283" t="s">
        <v>3415</v>
      </c>
      <c r="AW340" s="283">
        <f t="shared" si="46"/>
        <v>24510.3333333333</v>
      </c>
      <c r="AX340" s="399"/>
      <c r="AY340" s="399"/>
      <c r="AZ340" s="400"/>
      <c r="BA340" s="400"/>
      <c r="BB340" s="400"/>
      <c r="BC340" s="400"/>
      <c r="BD340" s="400"/>
      <c r="BE340" s="400"/>
      <c r="BF340" s="400"/>
      <c r="BG340" s="400"/>
      <c r="BH340" s="400"/>
      <c r="BI340" s="400"/>
      <c r="BJ340" s="400"/>
      <c r="BK340" s="400"/>
      <c r="BL340" s="400"/>
      <c r="BM340" s="400"/>
      <c r="BN340" s="400"/>
      <c r="BO340" s="400"/>
      <c r="BP340" s="400"/>
      <c r="BQ340" s="400"/>
      <c r="BR340" s="258"/>
      <c r="BS340" s="258"/>
      <c r="BT340" s="258"/>
      <c r="BU340" s="258"/>
      <c r="BV340" s="258"/>
      <c r="BW340" s="258"/>
      <c r="BX340" s="258"/>
      <c r="BY340" s="258"/>
      <c r="BZ340" s="258"/>
      <c r="CA340" s="258"/>
      <c r="CB340" s="258"/>
      <c r="CC340" s="258"/>
      <c r="CD340" s="258">
        <v>11000</v>
      </c>
      <c r="CE340" s="258">
        <v>29000</v>
      </c>
      <c r="CF340" s="258">
        <v>12800</v>
      </c>
      <c r="CG340" s="258">
        <v>44100</v>
      </c>
      <c r="CH340" s="258">
        <v>8800</v>
      </c>
      <c r="CI340" s="258">
        <v>12383.86</v>
      </c>
      <c r="CJ340" s="258">
        <v>19100</v>
      </c>
      <c r="CK340" s="283">
        <f t="shared" si="47"/>
        <v>15144.62</v>
      </c>
      <c r="CL340" s="398"/>
      <c r="CM340" s="371">
        <f>Summary!$D$21</f>
        <v>254452.454633333</v>
      </c>
      <c r="CN340" s="258">
        <f t="shared" si="45"/>
        <v>1</v>
      </c>
    </row>
    <row r="341" ht="15.6" spans="1:92">
      <c r="A341" s="394" t="s">
        <v>187</v>
      </c>
      <c r="B341" s="394" t="s">
        <v>812</v>
      </c>
      <c r="C341" s="258" t="s">
        <v>230</v>
      </c>
      <c r="D341" s="258" t="s">
        <v>342</v>
      </c>
      <c r="E341" s="258" t="s">
        <v>233</v>
      </c>
      <c r="F341" s="260" t="s">
        <v>430</v>
      </c>
      <c r="G341" s="260"/>
      <c r="H341" s="283">
        <f t="shared" si="44"/>
        <v>32498.5372333333</v>
      </c>
      <c r="I341" s="361" t="s">
        <v>3314</v>
      </c>
      <c r="J341" s="258"/>
      <c r="K341" s="258"/>
      <c r="L341" s="258"/>
      <c r="M341" s="258"/>
      <c r="N341" s="258"/>
      <c r="O341" s="258"/>
      <c r="P341" s="258"/>
      <c r="Q341" s="258"/>
      <c r="R341" s="258"/>
      <c r="S341" s="258"/>
      <c r="T341" s="258"/>
      <c r="U341" s="258"/>
      <c r="V341" s="258"/>
      <c r="W341" s="258"/>
      <c r="X341" s="258"/>
      <c r="Y341" s="258"/>
      <c r="Z341" s="258"/>
      <c r="AA341" s="258"/>
      <c r="AB341" s="258"/>
      <c r="AC341" s="258"/>
      <c r="AD341" s="258"/>
      <c r="AE341" s="258"/>
      <c r="AF341" s="258"/>
      <c r="AG341" s="258"/>
      <c r="AH341" s="258"/>
      <c r="AI341" s="258"/>
      <c r="AJ341" s="258"/>
      <c r="AK341" s="258"/>
      <c r="AL341" s="258"/>
      <c r="AM341" s="258"/>
      <c r="AN341" s="258"/>
      <c r="AO341" s="258"/>
      <c r="AP341" s="258">
        <v>31630</v>
      </c>
      <c r="AQ341" s="258">
        <v>43597</v>
      </c>
      <c r="AR341" s="283">
        <f>144659*0.1407*2</f>
        <v>40707.0426</v>
      </c>
      <c r="AS341" s="283">
        <f>0.0752*2*203874</f>
        <v>30662.6496</v>
      </c>
      <c r="AT341" s="283">
        <f>0.1318*2*144363</f>
        <v>38054.0868</v>
      </c>
      <c r="AU341" s="283" t="s">
        <v>3416</v>
      </c>
      <c r="AV341" s="283" t="s">
        <v>3417</v>
      </c>
      <c r="AW341" s="283">
        <f t="shared" si="46"/>
        <v>55265.6811333333</v>
      </c>
      <c r="AX341" s="399"/>
      <c r="AY341" s="399"/>
      <c r="AZ341" s="400"/>
      <c r="BA341" s="400"/>
      <c r="BB341" s="400"/>
      <c r="BC341" s="400"/>
      <c r="BD341" s="400"/>
      <c r="BE341" s="400"/>
      <c r="BF341" s="400"/>
      <c r="BG341" s="400"/>
      <c r="BH341" s="400"/>
      <c r="BI341" s="400"/>
      <c r="BJ341" s="400"/>
      <c r="BK341" s="400"/>
      <c r="BL341" s="400"/>
      <c r="BM341" s="400"/>
      <c r="BN341" s="400"/>
      <c r="BO341" s="400"/>
      <c r="BP341" s="400"/>
      <c r="BQ341" s="400"/>
      <c r="BR341" s="258"/>
      <c r="BS341" s="258"/>
      <c r="BT341" s="258"/>
      <c r="BU341" s="258"/>
      <c r="BV341" s="258"/>
      <c r="BW341" s="258"/>
      <c r="BX341" s="258"/>
      <c r="BY341" s="258"/>
      <c r="BZ341" s="258"/>
      <c r="CA341" s="258"/>
      <c r="CB341" s="258"/>
      <c r="CC341" s="258"/>
      <c r="CD341" s="258">
        <v>19900</v>
      </c>
      <c r="CE341" s="258">
        <v>5000</v>
      </c>
      <c r="CF341" s="258">
        <v>4300</v>
      </c>
      <c r="CG341" s="258">
        <v>15800</v>
      </c>
      <c r="CH341" s="258">
        <v>9800</v>
      </c>
      <c r="CI341" s="258">
        <v>9594.18</v>
      </c>
      <c r="CJ341" s="258">
        <v>9800</v>
      </c>
      <c r="CK341" s="283">
        <f t="shared" si="47"/>
        <v>9731.39333333333</v>
      </c>
      <c r="CL341" s="398"/>
      <c r="CM341" s="371">
        <f>Summary!$D$21</f>
        <v>254452.454633333</v>
      </c>
      <c r="CN341" s="258">
        <f t="shared" si="45"/>
        <v>1</v>
      </c>
    </row>
    <row r="342" ht="15.6" spans="1:92">
      <c r="A342" s="394" t="s">
        <v>187</v>
      </c>
      <c r="B342" s="394" t="s">
        <v>812</v>
      </c>
      <c r="C342" s="258" t="s">
        <v>230</v>
      </c>
      <c r="D342" s="258" t="s">
        <v>347</v>
      </c>
      <c r="E342" s="258" t="s">
        <v>233</v>
      </c>
      <c r="F342" s="260" t="s">
        <v>234</v>
      </c>
      <c r="G342" s="260"/>
      <c r="H342" s="283">
        <f t="shared" si="44"/>
        <v>18848.9440666667</v>
      </c>
      <c r="I342" s="361" t="s">
        <v>3314</v>
      </c>
      <c r="J342" s="258"/>
      <c r="K342" s="258"/>
      <c r="L342" s="258"/>
      <c r="M342" s="258"/>
      <c r="N342" s="258"/>
      <c r="O342" s="258"/>
      <c r="P342" s="258"/>
      <c r="Q342" s="258"/>
      <c r="R342" s="258"/>
      <c r="S342" s="258"/>
      <c r="T342" s="258"/>
      <c r="U342" s="258"/>
      <c r="V342" s="258"/>
      <c r="W342" s="258"/>
      <c r="X342" s="258"/>
      <c r="Y342" s="258"/>
      <c r="Z342" s="258"/>
      <c r="AA342" s="258"/>
      <c r="AB342" s="258"/>
      <c r="AC342" s="258"/>
      <c r="AD342" s="258"/>
      <c r="AE342" s="258"/>
      <c r="AF342" s="258"/>
      <c r="AG342" s="258"/>
      <c r="AH342" s="258"/>
      <c r="AI342" s="258"/>
      <c r="AJ342" s="258"/>
      <c r="AK342" s="258"/>
      <c r="AL342" s="258"/>
      <c r="AM342" s="258"/>
      <c r="AN342" s="258"/>
      <c r="AO342" s="258"/>
      <c r="AP342" s="258">
        <v>29729</v>
      </c>
      <c r="AQ342" s="258" t="s">
        <v>3418</v>
      </c>
      <c r="AR342" s="283">
        <v>25639</v>
      </c>
      <c r="AS342" s="283">
        <f>0.1896*2*63108</f>
        <v>23930.5536</v>
      </c>
      <c r="AT342" s="283">
        <f>0.1796*2*54639</f>
        <v>19626.3288</v>
      </c>
      <c r="AU342" s="283">
        <v>29713</v>
      </c>
      <c r="AV342" s="283">
        <v>27345</v>
      </c>
      <c r="AW342" s="283">
        <f t="shared" si="46"/>
        <v>26847.8881333333</v>
      </c>
      <c r="AX342" s="399"/>
      <c r="AY342" s="399"/>
      <c r="AZ342" s="400"/>
      <c r="BA342" s="400"/>
      <c r="BB342" s="400"/>
      <c r="BC342" s="400"/>
      <c r="BD342" s="400"/>
      <c r="BE342" s="400"/>
      <c r="BF342" s="400"/>
      <c r="BG342" s="400"/>
      <c r="BH342" s="400"/>
      <c r="BI342" s="400"/>
      <c r="BJ342" s="400"/>
      <c r="BK342" s="400"/>
      <c r="BL342" s="400"/>
      <c r="BM342" s="400"/>
      <c r="BN342" s="400"/>
      <c r="BO342" s="400"/>
      <c r="BP342" s="400"/>
      <c r="BQ342" s="400"/>
      <c r="BR342" s="258"/>
      <c r="BS342" s="258"/>
      <c r="BT342" s="258"/>
      <c r="BU342" s="258"/>
      <c r="BV342" s="258"/>
      <c r="BW342" s="258"/>
      <c r="BX342" s="258"/>
      <c r="BY342" s="258"/>
      <c r="BZ342" s="258"/>
      <c r="CA342" s="258"/>
      <c r="CB342" s="258"/>
      <c r="CC342" s="258"/>
      <c r="CD342" s="258">
        <v>10800</v>
      </c>
      <c r="CE342" s="258">
        <v>9100</v>
      </c>
      <c r="CF342" s="258">
        <v>18900</v>
      </c>
      <c r="CG342" s="258">
        <v>22700</v>
      </c>
      <c r="CH342" s="258">
        <v>14200</v>
      </c>
      <c r="CI342" s="258">
        <v>6400</v>
      </c>
      <c r="CJ342" s="258">
        <v>12700</v>
      </c>
      <c r="CK342" s="283">
        <f t="shared" si="47"/>
        <v>10850</v>
      </c>
      <c r="CL342" s="398"/>
      <c r="CM342" s="371">
        <f>Summary!$D$21</f>
        <v>254452.454633333</v>
      </c>
      <c r="CN342" s="258">
        <f t="shared" si="45"/>
        <v>1</v>
      </c>
    </row>
    <row r="343" ht="15.6" spans="1:92">
      <c r="A343" s="394" t="s">
        <v>187</v>
      </c>
      <c r="B343" s="394" t="s">
        <v>812</v>
      </c>
      <c r="C343" s="258" t="s">
        <v>230</v>
      </c>
      <c r="D343" s="258" t="s">
        <v>348</v>
      </c>
      <c r="E343" s="258" t="s">
        <v>233</v>
      </c>
      <c r="F343" s="260" t="s">
        <v>234</v>
      </c>
      <c r="G343" s="260"/>
      <c r="H343" s="283">
        <f t="shared" si="44"/>
        <v>17011.75</v>
      </c>
      <c r="I343" s="361" t="s">
        <v>3314</v>
      </c>
      <c r="J343" s="258"/>
      <c r="K343" s="258"/>
      <c r="L343" s="258"/>
      <c r="M343" s="258"/>
      <c r="N343" s="258"/>
      <c r="O343" s="258"/>
      <c r="P343" s="258"/>
      <c r="Q343" s="258"/>
      <c r="R343" s="258"/>
      <c r="S343" s="258"/>
      <c r="T343" s="258"/>
      <c r="U343" s="258"/>
      <c r="V343" s="258"/>
      <c r="W343" s="258"/>
      <c r="X343" s="258"/>
      <c r="Y343" s="258"/>
      <c r="Z343" s="258"/>
      <c r="AA343" s="258"/>
      <c r="AB343" s="258"/>
      <c r="AC343" s="258"/>
      <c r="AD343" s="258"/>
      <c r="AE343" s="258"/>
      <c r="AF343" s="258"/>
      <c r="AG343" s="258"/>
      <c r="AH343" s="258"/>
      <c r="AI343" s="258"/>
      <c r="AJ343" s="258"/>
      <c r="AK343" s="258"/>
      <c r="AL343" s="258"/>
      <c r="AM343" s="258"/>
      <c r="AN343" s="258"/>
      <c r="AO343" s="258"/>
      <c r="AP343" s="258">
        <v>36446</v>
      </c>
      <c r="AQ343" s="258" t="s">
        <v>3419</v>
      </c>
      <c r="AR343" s="283" t="s">
        <v>3420</v>
      </c>
      <c r="AS343" s="283" t="s">
        <v>3421</v>
      </c>
      <c r="AT343" s="283" t="s">
        <v>3422</v>
      </c>
      <c r="AU343" s="283" t="s">
        <v>3423</v>
      </c>
      <c r="AV343" s="283" t="s">
        <v>3424</v>
      </c>
      <c r="AW343" s="283">
        <f t="shared" si="46"/>
        <v>33533.8333333333</v>
      </c>
      <c r="AX343" s="399"/>
      <c r="AY343" s="399"/>
      <c r="AZ343" s="400"/>
      <c r="BA343" s="400"/>
      <c r="BB343" s="400"/>
      <c r="BC343" s="400"/>
      <c r="BD343" s="400"/>
      <c r="BE343" s="400"/>
      <c r="BF343" s="400"/>
      <c r="BG343" s="400"/>
      <c r="BH343" s="400"/>
      <c r="BI343" s="400"/>
      <c r="BJ343" s="400"/>
      <c r="BK343" s="400"/>
      <c r="BL343" s="400"/>
      <c r="BM343" s="400"/>
      <c r="BN343" s="400"/>
      <c r="BO343" s="400"/>
      <c r="BP343" s="400"/>
      <c r="BQ343" s="400"/>
      <c r="BR343" s="258"/>
      <c r="BS343" s="258"/>
      <c r="BT343" s="258"/>
      <c r="BU343" s="258"/>
      <c r="BV343" s="258"/>
      <c r="BW343" s="258"/>
      <c r="BX343" s="258"/>
      <c r="BY343" s="258"/>
      <c r="BZ343" s="258"/>
      <c r="CA343" s="258"/>
      <c r="CB343" s="258"/>
      <c r="CC343" s="258"/>
      <c r="CD343" s="258">
        <v>398</v>
      </c>
      <c r="CE343" s="258">
        <v>0</v>
      </c>
      <c r="CF343" s="258">
        <v>0</v>
      </c>
      <c r="CG343" s="258">
        <v>0</v>
      </c>
      <c r="CH343" s="258">
        <v>1300</v>
      </c>
      <c r="CI343" s="258">
        <v>0</v>
      </c>
      <c r="CJ343" s="258">
        <v>546</v>
      </c>
      <c r="CK343" s="283">
        <f t="shared" si="47"/>
        <v>489.666666666667</v>
      </c>
      <c r="CL343" s="398"/>
      <c r="CM343" s="371">
        <f>Summary!$D$21</f>
        <v>254452.454633333</v>
      </c>
      <c r="CN343" s="258">
        <f t="shared" si="45"/>
        <v>1</v>
      </c>
    </row>
    <row r="344" ht="15.6" spans="1:92">
      <c r="A344" s="394" t="s">
        <v>187</v>
      </c>
      <c r="B344" s="394" t="s">
        <v>812</v>
      </c>
      <c r="C344" s="258" t="s">
        <v>230</v>
      </c>
      <c r="D344" s="258" t="s">
        <v>346</v>
      </c>
      <c r="E344" s="258" t="s">
        <v>233</v>
      </c>
      <c r="F344" s="260" t="s">
        <v>58</v>
      </c>
      <c r="G344" s="260"/>
      <c r="H344" s="283">
        <f t="shared" si="44"/>
        <v>19217.0833333333</v>
      </c>
      <c r="I344" s="361" t="s">
        <v>3314</v>
      </c>
      <c r="J344" s="258"/>
      <c r="K344" s="258"/>
      <c r="L344" s="258"/>
      <c r="M344" s="258"/>
      <c r="N344" s="258"/>
      <c r="O344" s="258"/>
      <c r="P344" s="258"/>
      <c r="Q344" s="258"/>
      <c r="R344" s="258"/>
      <c r="S344" s="258"/>
      <c r="T344" s="258"/>
      <c r="U344" s="258"/>
      <c r="V344" s="258"/>
      <c r="W344" s="258"/>
      <c r="X344" s="258"/>
      <c r="Y344" s="258"/>
      <c r="Z344" s="258"/>
      <c r="AA344" s="258"/>
      <c r="AB344" s="258"/>
      <c r="AC344" s="258"/>
      <c r="AD344" s="258"/>
      <c r="AE344" s="258"/>
      <c r="AF344" s="258"/>
      <c r="AG344" s="258"/>
      <c r="AH344" s="258"/>
      <c r="AI344" s="258"/>
      <c r="AJ344" s="258"/>
      <c r="AK344" s="258"/>
      <c r="AL344" s="258"/>
      <c r="AM344" s="258"/>
      <c r="AN344" s="258"/>
      <c r="AO344" s="258"/>
      <c r="AP344" s="258">
        <v>54091</v>
      </c>
      <c r="AQ344" s="258" t="s">
        <v>3425</v>
      </c>
      <c r="AR344" s="283" t="s">
        <v>3426</v>
      </c>
      <c r="AS344" s="283" t="s">
        <v>3427</v>
      </c>
      <c r="AT344" s="283" t="s">
        <v>3428</v>
      </c>
      <c r="AU344" s="283" t="s">
        <v>3429</v>
      </c>
      <c r="AV344" s="283" t="s">
        <v>3430</v>
      </c>
      <c r="AW344" s="283">
        <f t="shared" si="46"/>
        <v>28634.1666666667</v>
      </c>
      <c r="AX344" s="399"/>
      <c r="AY344" s="399"/>
      <c r="AZ344" s="400"/>
      <c r="BA344" s="400"/>
      <c r="BB344" s="400"/>
      <c r="BC344" s="400"/>
      <c r="BD344" s="400"/>
      <c r="BE344" s="400"/>
      <c r="BF344" s="400"/>
      <c r="BG344" s="400"/>
      <c r="BH344" s="400"/>
      <c r="BI344" s="400"/>
      <c r="BJ344" s="400"/>
      <c r="BK344" s="400"/>
      <c r="BL344" s="400"/>
      <c r="BM344" s="400"/>
      <c r="BN344" s="400"/>
      <c r="BO344" s="400"/>
      <c r="BP344" s="400"/>
      <c r="BQ344" s="400"/>
      <c r="BR344" s="258"/>
      <c r="BS344" s="258"/>
      <c r="BT344" s="258"/>
      <c r="BU344" s="258"/>
      <c r="BV344" s="258"/>
      <c r="BW344" s="258"/>
      <c r="BX344" s="258"/>
      <c r="BY344" s="258"/>
      <c r="BZ344" s="258"/>
      <c r="CA344" s="258"/>
      <c r="CB344" s="258"/>
      <c r="CC344" s="258"/>
      <c r="CD344" s="258">
        <v>16100</v>
      </c>
      <c r="CE344" s="258">
        <v>23700</v>
      </c>
      <c r="CF344" s="258">
        <v>12400</v>
      </c>
      <c r="CG344" s="258">
        <v>7800</v>
      </c>
      <c r="CH344" s="258">
        <v>4800</v>
      </c>
      <c r="CI344" s="258">
        <v>9600</v>
      </c>
      <c r="CJ344" s="258">
        <v>11600</v>
      </c>
      <c r="CK344" s="283">
        <f t="shared" si="47"/>
        <v>9800</v>
      </c>
      <c r="CL344" s="398"/>
      <c r="CM344" s="371">
        <f>Summary!$D$21</f>
        <v>254452.454633333</v>
      </c>
      <c r="CN344" s="258">
        <f t="shared" si="45"/>
        <v>1</v>
      </c>
    </row>
    <row r="345" ht="15.6" spans="1:92">
      <c r="A345" s="394" t="s">
        <v>187</v>
      </c>
      <c r="B345" s="394" t="s">
        <v>812</v>
      </c>
      <c r="C345" s="258" t="s">
        <v>230</v>
      </c>
      <c r="D345" s="258" t="s">
        <v>3431</v>
      </c>
      <c r="E345" s="258" t="s">
        <v>233</v>
      </c>
      <c r="F345" s="260"/>
      <c r="G345" s="260"/>
      <c r="H345" s="283">
        <f t="shared" si="44"/>
        <v>12597.6666666667</v>
      </c>
      <c r="I345" s="361" t="s">
        <v>3314</v>
      </c>
      <c r="J345" s="258"/>
      <c r="K345" s="258"/>
      <c r="L345" s="258"/>
      <c r="M345" s="258"/>
      <c r="N345" s="258"/>
      <c r="O345" s="258"/>
      <c r="P345" s="258"/>
      <c r="Q345" s="258"/>
      <c r="R345" s="258"/>
      <c r="S345" s="258"/>
      <c r="T345" s="258"/>
      <c r="U345" s="258"/>
      <c r="V345" s="258"/>
      <c r="W345" s="258"/>
      <c r="X345" s="258"/>
      <c r="Y345" s="258"/>
      <c r="Z345" s="258"/>
      <c r="AA345" s="258"/>
      <c r="AB345" s="258"/>
      <c r="AC345" s="258"/>
      <c r="AD345" s="258"/>
      <c r="AE345" s="258"/>
      <c r="AF345" s="258"/>
      <c r="AG345" s="258"/>
      <c r="AH345" s="258"/>
      <c r="AI345" s="258"/>
      <c r="AJ345" s="258"/>
      <c r="AK345" s="258"/>
      <c r="AL345" s="258"/>
      <c r="AM345" s="258"/>
      <c r="AN345" s="258"/>
      <c r="AO345" s="258"/>
      <c r="AP345" s="258">
        <v>9252</v>
      </c>
      <c r="AQ345" s="258" t="s">
        <v>3432</v>
      </c>
      <c r="AR345" s="283" t="s">
        <v>3433</v>
      </c>
      <c r="AS345" s="283" t="s">
        <v>3434</v>
      </c>
      <c r="AT345" s="283" t="s">
        <v>3435</v>
      </c>
      <c r="AU345" s="283" t="s">
        <v>3436</v>
      </c>
      <c r="AV345" s="283" t="s">
        <v>3437</v>
      </c>
      <c r="AW345" s="283">
        <f t="shared" si="46"/>
        <v>19778.6666666667</v>
      </c>
      <c r="AX345" s="399"/>
      <c r="AY345" s="399"/>
      <c r="AZ345" s="400"/>
      <c r="BA345" s="400"/>
      <c r="BB345" s="400"/>
      <c r="BC345" s="400"/>
      <c r="BD345" s="400"/>
      <c r="BE345" s="400"/>
      <c r="BF345" s="400"/>
      <c r="BG345" s="400"/>
      <c r="BH345" s="400"/>
      <c r="BI345" s="400"/>
      <c r="BJ345" s="400"/>
      <c r="BK345" s="400"/>
      <c r="BL345" s="400"/>
      <c r="BM345" s="400"/>
      <c r="BN345" s="400"/>
      <c r="BO345" s="400"/>
      <c r="BP345" s="400"/>
      <c r="BQ345" s="400"/>
      <c r="BR345" s="258"/>
      <c r="BS345" s="258"/>
      <c r="BT345" s="258"/>
      <c r="BU345" s="258"/>
      <c r="BV345" s="258"/>
      <c r="BW345" s="258"/>
      <c r="BX345" s="258"/>
      <c r="BY345" s="258"/>
      <c r="BZ345" s="258"/>
      <c r="CA345" s="258"/>
      <c r="CB345" s="258"/>
      <c r="CC345" s="258"/>
      <c r="CD345" s="258">
        <v>4900</v>
      </c>
      <c r="CE345" s="258">
        <v>7700</v>
      </c>
      <c r="CF345" s="258">
        <v>2700</v>
      </c>
      <c r="CG345" s="258">
        <v>14300</v>
      </c>
      <c r="CH345" s="258">
        <v>4000</v>
      </c>
      <c r="CI345" s="258">
        <v>4800</v>
      </c>
      <c r="CJ345" s="258">
        <v>6300</v>
      </c>
      <c r="CK345" s="283">
        <f t="shared" si="47"/>
        <v>5416.66666666667</v>
      </c>
      <c r="CL345" s="398"/>
      <c r="CM345" s="371">
        <f>Summary!$D$21</f>
        <v>254452.454633333</v>
      </c>
      <c r="CN345" s="258">
        <f t="shared" si="45"/>
        <v>0</v>
      </c>
    </row>
    <row r="346" ht="62.4" spans="1:92">
      <c r="A346" s="394" t="s">
        <v>187</v>
      </c>
      <c r="B346" s="394" t="s">
        <v>812</v>
      </c>
      <c r="C346" s="258" t="s">
        <v>375</v>
      </c>
      <c r="D346" s="258" t="s">
        <v>376</v>
      </c>
      <c r="E346" s="258" t="s">
        <v>3339</v>
      </c>
      <c r="F346" s="260"/>
      <c r="G346" s="260"/>
      <c r="H346" s="283">
        <f>(AW346+CK346)/2*0.697</f>
        <v>10109.8688333333</v>
      </c>
      <c r="I346" s="361" t="s">
        <v>3438</v>
      </c>
      <c r="J346" s="258"/>
      <c r="K346" s="258"/>
      <c r="L346" s="258"/>
      <c r="M346" s="258"/>
      <c r="N346" s="258"/>
      <c r="O346" s="258"/>
      <c r="P346" s="258"/>
      <c r="Q346" s="258"/>
      <c r="R346" s="258"/>
      <c r="S346" s="258"/>
      <c r="T346" s="258"/>
      <c r="U346" s="258"/>
      <c r="V346" s="258"/>
      <c r="W346" s="258"/>
      <c r="X346" s="258"/>
      <c r="Y346" s="258"/>
      <c r="Z346" s="258"/>
      <c r="AA346" s="258"/>
      <c r="AB346" s="258"/>
      <c r="AC346" s="258"/>
      <c r="AD346" s="258"/>
      <c r="AE346" s="258"/>
      <c r="AF346" s="258"/>
      <c r="AG346" s="258"/>
      <c r="AH346" s="258"/>
      <c r="AI346" s="258"/>
      <c r="AJ346" s="258"/>
      <c r="AK346" s="258"/>
      <c r="AL346" s="258"/>
      <c r="AM346" s="258"/>
      <c r="AN346" s="258"/>
      <c r="AO346" s="258"/>
      <c r="AP346" s="258">
        <v>59854</v>
      </c>
      <c r="AQ346" s="258" t="s">
        <v>3341</v>
      </c>
      <c r="AR346" s="283" t="s">
        <v>3342</v>
      </c>
      <c r="AS346" s="283" t="s">
        <v>3343</v>
      </c>
      <c r="AT346" s="283" t="s">
        <v>850</v>
      </c>
      <c r="AU346" s="283" t="s">
        <v>3344</v>
      </c>
      <c r="AV346" s="283" t="s">
        <v>3345</v>
      </c>
      <c r="AW346" s="283">
        <f t="shared" si="46"/>
        <v>26.3333333333333</v>
      </c>
      <c r="AX346" s="399"/>
      <c r="AY346" s="399"/>
      <c r="AZ346" s="400"/>
      <c r="BA346" s="400"/>
      <c r="BB346" s="400"/>
      <c r="BC346" s="400"/>
      <c r="BD346" s="400"/>
      <c r="BE346" s="400"/>
      <c r="BF346" s="400"/>
      <c r="BG346" s="400"/>
      <c r="BH346" s="400"/>
      <c r="BI346" s="400"/>
      <c r="BJ346" s="400"/>
      <c r="BK346" s="400"/>
      <c r="BL346" s="400"/>
      <c r="BM346" s="400"/>
      <c r="BN346" s="400"/>
      <c r="BO346" s="400"/>
      <c r="BP346" s="400"/>
      <c r="BQ346" s="400"/>
      <c r="BR346" s="258"/>
      <c r="BS346" s="258"/>
      <c r="BT346" s="258"/>
      <c r="BU346" s="258"/>
      <c r="BV346" s="258"/>
      <c r="BW346" s="258"/>
      <c r="BX346" s="258"/>
      <c r="BY346" s="258"/>
      <c r="BZ346" s="258"/>
      <c r="CA346" s="258"/>
      <c r="CB346" s="258"/>
      <c r="CC346" s="258"/>
      <c r="CD346" s="258">
        <v>16000</v>
      </c>
      <c r="CE346" s="258">
        <v>13700</v>
      </c>
      <c r="CF346" s="258">
        <v>15400</v>
      </c>
      <c r="CG346" s="258">
        <v>8500</v>
      </c>
      <c r="CH346" s="258">
        <v>23100</v>
      </c>
      <c r="CI346" s="258">
        <v>36700</v>
      </c>
      <c r="CJ346" s="258">
        <v>25800</v>
      </c>
      <c r="CK346" s="283">
        <f t="shared" si="47"/>
        <v>28983.3333333333</v>
      </c>
      <c r="CL346" s="398"/>
      <c r="CM346" s="371">
        <f>Summary!$D$21</f>
        <v>254452.454633333</v>
      </c>
      <c r="CN346" s="258">
        <f t="shared" si="45"/>
        <v>0</v>
      </c>
    </row>
    <row r="347" ht="15.6" spans="1:92">
      <c r="A347" s="394" t="s">
        <v>187</v>
      </c>
      <c r="B347" s="394" t="s">
        <v>812</v>
      </c>
      <c r="C347" s="258" t="s">
        <v>230</v>
      </c>
      <c r="D347" s="258" t="s">
        <v>350</v>
      </c>
      <c r="E347" s="258" t="s">
        <v>233</v>
      </c>
      <c r="F347" s="260" t="s">
        <v>56</v>
      </c>
      <c r="G347" s="260"/>
      <c r="H347" s="283">
        <f t="shared" ref="H347:H352" si="48">(AW347+CK347)/2</f>
        <v>6932.83333333333</v>
      </c>
      <c r="I347" s="361" t="s">
        <v>3314</v>
      </c>
      <c r="J347" s="258"/>
      <c r="K347" s="258"/>
      <c r="L347" s="258"/>
      <c r="M347" s="258"/>
      <c r="N347" s="258"/>
      <c r="O347" s="258"/>
      <c r="P347" s="258"/>
      <c r="Q347" s="258"/>
      <c r="R347" s="258"/>
      <c r="S347" s="258"/>
      <c r="T347" s="258"/>
      <c r="U347" s="258"/>
      <c r="V347" s="258"/>
      <c r="W347" s="258"/>
      <c r="X347" s="258"/>
      <c r="Y347" s="258"/>
      <c r="Z347" s="258"/>
      <c r="AA347" s="258"/>
      <c r="AB347" s="258"/>
      <c r="AC347" s="258"/>
      <c r="AD347" s="258"/>
      <c r="AE347" s="258"/>
      <c r="AF347" s="258"/>
      <c r="AG347" s="258"/>
      <c r="AH347" s="258"/>
      <c r="AI347" s="258"/>
      <c r="AJ347" s="258"/>
      <c r="AK347" s="258"/>
      <c r="AL347" s="258"/>
      <c r="AM347" s="258"/>
      <c r="AN347" s="258"/>
      <c r="AO347" s="258"/>
      <c r="AP347" s="258">
        <v>20653</v>
      </c>
      <c r="AQ347" s="258" t="s">
        <v>2162</v>
      </c>
      <c r="AR347" s="283" t="s">
        <v>3439</v>
      </c>
      <c r="AS347" s="283" t="s">
        <v>3440</v>
      </c>
      <c r="AT347" s="283" t="s">
        <v>3441</v>
      </c>
      <c r="AU347" s="283" t="s">
        <v>3442</v>
      </c>
      <c r="AV347" s="283" t="s">
        <v>3443</v>
      </c>
      <c r="AW347" s="283">
        <f t="shared" si="46"/>
        <v>9165.66666666667</v>
      </c>
      <c r="AX347" s="399"/>
      <c r="AY347" s="399"/>
      <c r="AZ347" s="400"/>
      <c r="BA347" s="400"/>
      <c r="BB347" s="400"/>
      <c r="BC347" s="400"/>
      <c r="BD347" s="400"/>
      <c r="BE347" s="400"/>
      <c r="BF347" s="400"/>
      <c r="BG347" s="400"/>
      <c r="BH347" s="400"/>
      <c r="BI347" s="400"/>
      <c r="BJ347" s="400"/>
      <c r="BK347" s="400"/>
      <c r="BL347" s="400"/>
      <c r="BM347" s="400"/>
      <c r="BN347" s="400"/>
      <c r="BO347" s="400"/>
      <c r="BP347" s="400"/>
      <c r="BQ347" s="400"/>
      <c r="BR347" s="258"/>
      <c r="BS347" s="258"/>
      <c r="BT347" s="258"/>
      <c r="BU347" s="258"/>
      <c r="BV347" s="258"/>
      <c r="BW347" s="258"/>
      <c r="BX347" s="258"/>
      <c r="BY347" s="258"/>
      <c r="BZ347" s="258"/>
      <c r="CA347" s="258"/>
      <c r="CB347" s="258"/>
      <c r="CC347" s="258"/>
      <c r="CD347" s="258">
        <v>6700</v>
      </c>
      <c r="CE347" s="258">
        <f>40100*0.1017*2</f>
        <v>8156.34</v>
      </c>
      <c r="CF347" s="258">
        <v>6401</v>
      </c>
      <c r="CG347" s="258">
        <v>6900</v>
      </c>
      <c r="CH347" s="258">
        <v>6000</v>
      </c>
      <c r="CI347" s="258">
        <v>2700</v>
      </c>
      <c r="CJ347" s="258">
        <v>5600</v>
      </c>
      <c r="CK347" s="283">
        <f t="shared" si="47"/>
        <v>4700</v>
      </c>
      <c r="CL347" s="398"/>
      <c r="CM347" s="371">
        <f>Summary!$D$21</f>
        <v>254452.454633333</v>
      </c>
      <c r="CN347" s="258">
        <f t="shared" si="45"/>
        <v>0</v>
      </c>
    </row>
    <row r="348" ht="15.6" spans="1:92">
      <c r="A348" s="394" t="s">
        <v>187</v>
      </c>
      <c r="B348" s="394" t="s">
        <v>812</v>
      </c>
      <c r="C348" s="258" t="s">
        <v>230</v>
      </c>
      <c r="D348" s="258" t="s">
        <v>343</v>
      </c>
      <c r="E348" s="258" t="s">
        <v>233</v>
      </c>
      <c r="F348" s="260" t="s">
        <v>234</v>
      </c>
      <c r="G348" s="260"/>
      <c r="H348" s="283">
        <f t="shared" si="48"/>
        <v>25717.5</v>
      </c>
      <c r="I348" s="361" t="s">
        <v>3314</v>
      </c>
      <c r="J348" s="258"/>
      <c r="K348" s="258"/>
      <c r="L348" s="258"/>
      <c r="M348" s="258"/>
      <c r="N348" s="258"/>
      <c r="O348" s="258"/>
      <c r="P348" s="258"/>
      <c r="Q348" s="258"/>
      <c r="R348" s="258"/>
      <c r="S348" s="258"/>
      <c r="T348" s="258"/>
      <c r="U348" s="258"/>
      <c r="V348" s="258"/>
      <c r="W348" s="258"/>
      <c r="X348" s="258"/>
      <c r="Y348" s="258"/>
      <c r="Z348" s="258"/>
      <c r="AA348" s="258"/>
      <c r="AB348" s="258"/>
      <c r="AC348" s="258"/>
      <c r="AD348" s="258"/>
      <c r="AE348" s="258"/>
      <c r="AF348" s="258"/>
      <c r="AG348" s="258"/>
      <c r="AH348" s="258"/>
      <c r="AI348" s="258"/>
      <c r="AJ348" s="258"/>
      <c r="AK348" s="258"/>
      <c r="AL348" s="258"/>
      <c r="AM348" s="258"/>
      <c r="AN348" s="258"/>
      <c r="AO348" s="258"/>
      <c r="AP348" s="258">
        <v>43950</v>
      </c>
      <c r="AQ348" s="258" t="s">
        <v>3444</v>
      </c>
      <c r="AR348" s="283" t="s">
        <v>2418</v>
      </c>
      <c r="AS348" s="283" t="s">
        <v>3445</v>
      </c>
      <c r="AT348" s="283" t="s">
        <v>3446</v>
      </c>
      <c r="AU348" s="283" t="s">
        <v>3447</v>
      </c>
      <c r="AV348" s="283" t="s">
        <v>3448</v>
      </c>
      <c r="AW348" s="283">
        <f t="shared" si="46"/>
        <v>17835</v>
      </c>
      <c r="AX348" s="399"/>
      <c r="AY348" s="399"/>
      <c r="AZ348" s="400"/>
      <c r="BA348" s="400"/>
      <c r="BB348" s="400"/>
      <c r="BC348" s="400"/>
      <c r="BD348" s="400"/>
      <c r="BE348" s="400"/>
      <c r="BF348" s="400"/>
      <c r="BG348" s="400"/>
      <c r="BH348" s="400"/>
      <c r="BI348" s="400"/>
      <c r="BJ348" s="400"/>
      <c r="BK348" s="400"/>
      <c r="BL348" s="400"/>
      <c r="BM348" s="400"/>
      <c r="BN348" s="400"/>
      <c r="BO348" s="400"/>
      <c r="BP348" s="400"/>
      <c r="BQ348" s="400"/>
      <c r="BR348" s="258"/>
      <c r="BS348" s="258"/>
      <c r="BT348" s="258"/>
      <c r="BU348" s="258"/>
      <c r="BV348" s="258"/>
      <c r="BW348" s="258"/>
      <c r="BX348" s="258"/>
      <c r="BY348" s="258"/>
      <c r="BZ348" s="258"/>
      <c r="CA348" s="258"/>
      <c r="CB348" s="258"/>
      <c r="CC348" s="258"/>
      <c r="CD348" s="258">
        <v>3400</v>
      </c>
      <c r="CE348" s="258">
        <v>2900</v>
      </c>
      <c r="CF348" s="258">
        <v>7400</v>
      </c>
      <c r="CG348" s="258">
        <v>16000</v>
      </c>
      <c r="CH348" s="258">
        <v>2600</v>
      </c>
      <c r="CI348" s="258">
        <v>75500</v>
      </c>
      <c r="CJ348" s="258">
        <v>16000</v>
      </c>
      <c r="CK348" s="283">
        <f t="shared" si="47"/>
        <v>33600</v>
      </c>
      <c r="CL348" s="398"/>
      <c r="CM348" s="371">
        <f>Summary!$D$21</f>
        <v>254452.454633333</v>
      </c>
      <c r="CN348" s="258">
        <f t="shared" si="45"/>
        <v>1</v>
      </c>
    </row>
    <row r="349" ht="15.6" spans="1:92">
      <c r="A349" s="394" t="s">
        <v>187</v>
      </c>
      <c r="B349" s="394" t="s">
        <v>812</v>
      </c>
      <c r="C349" s="258" t="s">
        <v>230</v>
      </c>
      <c r="D349" s="258" t="s">
        <v>3449</v>
      </c>
      <c r="E349" s="258" t="s">
        <v>233</v>
      </c>
      <c r="F349" s="260"/>
      <c r="G349" s="260"/>
      <c r="H349" s="283">
        <f t="shared" si="48"/>
        <v>3589.33333333333</v>
      </c>
      <c r="I349" s="361" t="s">
        <v>3314</v>
      </c>
      <c r="J349" s="258"/>
      <c r="K349" s="258"/>
      <c r="L349" s="258"/>
      <c r="M349" s="258"/>
      <c r="N349" s="258"/>
      <c r="O349" s="258"/>
      <c r="P349" s="258"/>
      <c r="Q349" s="258"/>
      <c r="R349" s="258"/>
      <c r="S349" s="258"/>
      <c r="T349" s="258"/>
      <c r="U349" s="258"/>
      <c r="V349" s="258"/>
      <c r="W349" s="258"/>
      <c r="X349" s="258"/>
      <c r="Y349" s="258"/>
      <c r="Z349" s="258"/>
      <c r="AA349" s="258"/>
      <c r="AB349" s="258"/>
      <c r="AC349" s="258"/>
      <c r="AD349" s="258"/>
      <c r="AE349" s="258"/>
      <c r="AF349" s="258"/>
      <c r="AG349" s="258"/>
      <c r="AH349" s="258"/>
      <c r="AI349" s="258"/>
      <c r="AJ349" s="258"/>
      <c r="AK349" s="258"/>
      <c r="AL349" s="258"/>
      <c r="AM349" s="258"/>
      <c r="AN349" s="258"/>
      <c r="AO349" s="258"/>
      <c r="AP349" s="258">
        <v>11220</v>
      </c>
      <c r="AQ349" s="258" t="s">
        <v>3450</v>
      </c>
      <c r="AR349" s="283" t="s">
        <v>3451</v>
      </c>
      <c r="AS349" s="283" t="s">
        <v>3452</v>
      </c>
      <c r="AT349" s="283" t="s">
        <v>3453</v>
      </c>
      <c r="AU349" s="283" t="s">
        <v>3454</v>
      </c>
      <c r="AV349" s="283" t="s">
        <v>3455</v>
      </c>
      <c r="AW349" s="283">
        <f t="shared" si="46"/>
        <v>2578.66666666667</v>
      </c>
      <c r="AX349" s="399"/>
      <c r="AY349" s="399"/>
      <c r="AZ349" s="400"/>
      <c r="BA349" s="400"/>
      <c r="BB349" s="400"/>
      <c r="BC349" s="400"/>
      <c r="BD349" s="400"/>
      <c r="BE349" s="400"/>
      <c r="BF349" s="400"/>
      <c r="BG349" s="400"/>
      <c r="BH349" s="400"/>
      <c r="BI349" s="400"/>
      <c r="BJ349" s="400"/>
      <c r="BK349" s="400"/>
      <c r="BL349" s="400"/>
      <c r="BM349" s="400"/>
      <c r="BN349" s="400"/>
      <c r="BO349" s="400"/>
      <c r="BP349" s="400"/>
      <c r="BQ349" s="400"/>
      <c r="BR349" s="258"/>
      <c r="BS349" s="258"/>
      <c r="BT349" s="258"/>
      <c r="BU349" s="258"/>
      <c r="BV349" s="258"/>
      <c r="BW349" s="258"/>
      <c r="BX349" s="258"/>
      <c r="BY349" s="258"/>
      <c r="BZ349" s="258"/>
      <c r="CA349" s="258"/>
      <c r="CB349" s="258"/>
      <c r="CC349" s="258"/>
      <c r="CD349" s="258">
        <v>1200</v>
      </c>
      <c r="CE349" s="258">
        <v>2500</v>
      </c>
      <c r="CF349" s="258">
        <v>4900</v>
      </c>
      <c r="CG349" s="258">
        <v>6000</v>
      </c>
      <c r="CH349" s="258">
        <v>0</v>
      </c>
      <c r="CI349" s="258">
        <v>5700</v>
      </c>
      <c r="CJ349" s="258">
        <v>5400</v>
      </c>
      <c r="CK349" s="283">
        <f t="shared" si="47"/>
        <v>4600</v>
      </c>
      <c r="CL349" s="398"/>
      <c r="CM349" s="371">
        <f>Summary!$D$21</f>
        <v>254452.454633333</v>
      </c>
      <c r="CN349" s="258">
        <f t="shared" si="45"/>
        <v>0</v>
      </c>
    </row>
    <row r="350" ht="31.2" spans="1:92">
      <c r="A350" s="394" t="s">
        <v>187</v>
      </c>
      <c r="B350" s="394" t="s">
        <v>812</v>
      </c>
      <c r="C350" s="258" t="s">
        <v>230</v>
      </c>
      <c r="D350" s="258" t="s">
        <v>3456</v>
      </c>
      <c r="E350" s="258" t="s">
        <v>233</v>
      </c>
      <c r="F350" s="260" t="s">
        <v>58</v>
      </c>
      <c r="G350" s="260"/>
      <c r="H350" s="283">
        <f t="shared" si="48"/>
        <v>288.333333333333</v>
      </c>
      <c r="I350" s="361" t="s">
        <v>3457</v>
      </c>
      <c r="J350" s="258"/>
      <c r="K350" s="258"/>
      <c r="L350" s="258"/>
      <c r="M350" s="258"/>
      <c r="N350" s="258"/>
      <c r="O350" s="258"/>
      <c r="P350" s="258"/>
      <c r="Q350" s="258"/>
      <c r="R350" s="258"/>
      <c r="S350" s="258"/>
      <c r="T350" s="258"/>
      <c r="U350" s="258"/>
      <c r="V350" s="258"/>
      <c r="W350" s="258"/>
      <c r="X350" s="258"/>
      <c r="Y350" s="258"/>
      <c r="Z350" s="258"/>
      <c r="AA350" s="258"/>
      <c r="AB350" s="258"/>
      <c r="AC350" s="258"/>
      <c r="AD350" s="258"/>
      <c r="AE350" s="258"/>
      <c r="AF350" s="258"/>
      <c r="AG350" s="258"/>
      <c r="AH350" s="258"/>
      <c r="AI350" s="258"/>
      <c r="AJ350" s="258"/>
      <c r="AK350" s="258"/>
      <c r="AL350" s="258"/>
      <c r="AM350" s="258"/>
      <c r="AN350" s="258"/>
      <c r="AO350" s="258"/>
      <c r="AP350" s="258">
        <v>4209</v>
      </c>
      <c r="AQ350" s="258" t="s">
        <v>3458</v>
      </c>
      <c r="AR350" s="283" t="s">
        <v>3459</v>
      </c>
      <c r="AS350" s="283" t="s">
        <v>3460</v>
      </c>
      <c r="AT350" s="283" t="s">
        <v>3461</v>
      </c>
      <c r="AU350" s="283" t="s">
        <v>3006</v>
      </c>
      <c r="AV350" s="283" t="s">
        <v>796</v>
      </c>
      <c r="AW350" s="283">
        <f t="shared" si="46"/>
        <v>293.333333333333</v>
      </c>
      <c r="AX350" s="399"/>
      <c r="AY350" s="399"/>
      <c r="AZ350" s="400"/>
      <c r="BA350" s="400"/>
      <c r="BB350" s="400"/>
      <c r="BC350" s="400"/>
      <c r="BD350" s="400"/>
      <c r="BE350" s="400"/>
      <c r="BF350" s="400"/>
      <c r="BG350" s="400"/>
      <c r="BH350" s="400"/>
      <c r="BI350" s="400"/>
      <c r="BJ350" s="400"/>
      <c r="BK350" s="400"/>
      <c r="BL350" s="400"/>
      <c r="BM350" s="400"/>
      <c r="BN350" s="400"/>
      <c r="BO350" s="400"/>
      <c r="BP350" s="400"/>
      <c r="BQ350" s="400"/>
      <c r="BR350" s="258"/>
      <c r="BS350" s="258"/>
      <c r="BT350" s="258"/>
      <c r="BU350" s="258"/>
      <c r="BV350" s="258"/>
      <c r="BW350" s="258"/>
      <c r="BX350" s="258"/>
      <c r="BY350" s="258"/>
      <c r="BZ350" s="258"/>
      <c r="CA350" s="258"/>
      <c r="CB350" s="258"/>
      <c r="CC350" s="258"/>
      <c r="CD350" s="258">
        <v>431</v>
      </c>
      <c r="CE350" s="258">
        <v>0</v>
      </c>
      <c r="CF350" s="258">
        <v>12200</v>
      </c>
      <c r="CG350" s="258">
        <v>7300</v>
      </c>
      <c r="CH350" s="258">
        <v>1700</v>
      </c>
      <c r="CI350" s="258">
        <v>0</v>
      </c>
      <c r="CJ350" s="258">
        <v>0</v>
      </c>
      <c r="CK350" s="283">
        <f t="shared" si="47"/>
        <v>283.333333333333</v>
      </c>
      <c r="CL350" s="398"/>
      <c r="CM350" s="371">
        <f>Summary!$D$21</f>
        <v>254452.454633333</v>
      </c>
      <c r="CN350" s="258">
        <f t="shared" si="45"/>
        <v>0</v>
      </c>
    </row>
    <row r="351" ht="15.6" spans="1:92">
      <c r="A351" s="394" t="s">
        <v>187</v>
      </c>
      <c r="B351" s="394" t="s">
        <v>812</v>
      </c>
      <c r="C351" s="258" t="s">
        <v>230</v>
      </c>
      <c r="D351" s="258" t="s">
        <v>3462</v>
      </c>
      <c r="E351" s="258" t="s">
        <v>233</v>
      </c>
      <c r="F351" s="260" t="s">
        <v>426</v>
      </c>
      <c r="G351" s="260"/>
      <c r="H351" s="283">
        <f t="shared" si="48"/>
        <v>11284.3333333333</v>
      </c>
      <c r="I351" s="361" t="s">
        <v>3314</v>
      </c>
      <c r="J351" s="258"/>
      <c r="K351" s="258"/>
      <c r="L351" s="258"/>
      <c r="M351" s="258"/>
      <c r="N351" s="258"/>
      <c r="O351" s="258"/>
      <c r="P351" s="258"/>
      <c r="Q351" s="258"/>
      <c r="R351" s="258"/>
      <c r="S351" s="258"/>
      <c r="T351" s="258"/>
      <c r="U351" s="258"/>
      <c r="V351" s="258"/>
      <c r="W351" s="258"/>
      <c r="X351" s="258"/>
      <c r="Y351" s="258"/>
      <c r="Z351" s="258"/>
      <c r="AA351" s="258"/>
      <c r="AB351" s="258"/>
      <c r="AC351" s="258"/>
      <c r="AD351" s="258"/>
      <c r="AE351" s="258"/>
      <c r="AF351" s="258"/>
      <c r="AG351" s="258"/>
      <c r="AH351" s="258"/>
      <c r="AI351" s="258"/>
      <c r="AJ351" s="258"/>
      <c r="AK351" s="258"/>
      <c r="AL351" s="258"/>
      <c r="AM351" s="258"/>
      <c r="AN351" s="258"/>
      <c r="AO351" s="258"/>
      <c r="AP351" s="258">
        <v>11749</v>
      </c>
      <c r="AQ351" s="258" t="s">
        <v>3463</v>
      </c>
      <c r="AR351" s="283" t="s">
        <v>3464</v>
      </c>
      <c r="AS351" s="283" t="s">
        <v>1002</v>
      </c>
      <c r="AT351" s="283" t="s">
        <v>3465</v>
      </c>
      <c r="AU351" s="283" t="s">
        <v>3466</v>
      </c>
      <c r="AV351" s="283" t="s">
        <v>3467</v>
      </c>
      <c r="AW351" s="283">
        <f t="shared" si="46"/>
        <v>21010.6666666667</v>
      </c>
      <c r="AX351" s="399"/>
      <c r="AY351" s="399"/>
      <c r="AZ351" s="400"/>
      <c r="BA351" s="400"/>
      <c r="BB351" s="400"/>
      <c r="BC351" s="400"/>
      <c r="BD351" s="400"/>
      <c r="BE351" s="400"/>
      <c r="BF351" s="400"/>
      <c r="BG351" s="400"/>
      <c r="BH351" s="400"/>
      <c r="BI351" s="400"/>
      <c r="BJ351" s="400"/>
      <c r="BK351" s="400"/>
      <c r="BL351" s="400"/>
      <c r="BM351" s="400"/>
      <c r="BN351" s="400"/>
      <c r="BO351" s="400"/>
      <c r="BP351" s="400"/>
      <c r="BQ351" s="400"/>
      <c r="BR351" s="258"/>
      <c r="BS351" s="258"/>
      <c r="BT351" s="258"/>
      <c r="BU351" s="258"/>
      <c r="BV351" s="258"/>
      <c r="BW351" s="258"/>
      <c r="BX351" s="258"/>
      <c r="BY351" s="258"/>
      <c r="BZ351" s="258"/>
      <c r="CA351" s="258"/>
      <c r="CB351" s="258"/>
      <c r="CC351" s="258"/>
      <c r="CD351" s="258">
        <v>5900</v>
      </c>
      <c r="CE351" s="258">
        <v>23900</v>
      </c>
      <c r="CF351" s="258">
        <v>1900</v>
      </c>
      <c r="CG351" s="258">
        <v>5200</v>
      </c>
      <c r="CH351" s="258">
        <v>2700</v>
      </c>
      <c r="CI351" s="258">
        <v>924</v>
      </c>
      <c r="CJ351" s="258">
        <v>1600</v>
      </c>
      <c r="CK351" s="283">
        <f t="shared" si="47"/>
        <v>1558</v>
      </c>
      <c r="CL351" s="398"/>
      <c r="CM351" s="371">
        <f>Summary!$D$21</f>
        <v>254452.454633333</v>
      </c>
      <c r="CN351" s="258">
        <f t="shared" si="45"/>
        <v>0</v>
      </c>
    </row>
    <row r="352" ht="15.6" spans="1:92">
      <c r="A352" s="394" t="s">
        <v>187</v>
      </c>
      <c r="B352" s="394" t="s">
        <v>812</v>
      </c>
      <c r="C352" s="258" t="s">
        <v>230</v>
      </c>
      <c r="D352" s="258" t="s">
        <v>3468</v>
      </c>
      <c r="E352" s="258" t="s">
        <v>233</v>
      </c>
      <c r="F352" s="260" t="s">
        <v>422</v>
      </c>
      <c r="G352" s="260"/>
      <c r="H352" s="283">
        <f t="shared" si="48"/>
        <v>8842.66666666666</v>
      </c>
      <c r="I352" s="361" t="s">
        <v>3314</v>
      </c>
      <c r="J352" s="258"/>
      <c r="K352" s="258"/>
      <c r="L352" s="258"/>
      <c r="M352" s="258"/>
      <c r="N352" s="258"/>
      <c r="O352" s="258"/>
      <c r="P352" s="258"/>
      <c r="Q352" s="258"/>
      <c r="R352" s="258"/>
      <c r="S352" s="258"/>
      <c r="T352" s="258"/>
      <c r="U352" s="258"/>
      <c r="V352" s="258"/>
      <c r="W352" s="258"/>
      <c r="X352" s="258"/>
      <c r="Y352" s="258"/>
      <c r="Z352" s="258"/>
      <c r="AA352" s="258"/>
      <c r="AB352" s="258"/>
      <c r="AC352" s="258"/>
      <c r="AD352" s="258"/>
      <c r="AE352" s="258"/>
      <c r="AF352" s="258"/>
      <c r="AG352" s="258"/>
      <c r="AH352" s="258"/>
      <c r="AI352" s="258"/>
      <c r="AJ352" s="258"/>
      <c r="AK352" s="258"/>
      <c r="AL352" s="258"/>
      <c r="AM352" s="258"/>
      <c r="AN352" s="258"/>
      <c r="AO352" s="258"/>
      <c r="AP352" s="258">
        <v>18389</v>
      </c>
      <c r="AQ352" s="258" t="s">
        <v>3469</v>
      </c>
      <c r="AR352" s="283" t="s">
        <v>3470</v>
      </c>
      <c r="AS352" s="283" t="s">
        <v>3471</v>
      </c>
      <c r="AT352" s="283" t="s">
        <v>3472</v>
      </c>
      <c r="AU352" s="283" t="s">
        <v>3473</v>
      </c>
      <c r="AV352" s="283" t="s">
        <v>3474</v>
      </c>
      <c r="AW352" s="283">
        <f t="shared" si="46"/>
        <v>15302</v>
      </c>
      <c r="AX352" s="399"/>
      <c r="AY352" s="399"/>
      <c r="AZ352" s="400"/>
      <c r="BA352" s="400"/>
      <c r="BB352" s="400"/>
      <c r="BC352" s="400"/>
      <c r="BD352" s="400"/>
      <c r="BE352" s="400"/>
      <c r="BF352" s="400"/>
      <c r="BG352" s="400"/>
      <c r="BH352" s="400"/>
      <c r="BI352" s="400"/>
      <c r="BJ352" s="400"/>
      <c r="BK352" s="400"/>
      <c r="BL352" s="400"/>
      <c r="BM352" s="400"/>
      <c r="BN352" s="400"/>
      <c r="BO352" s="400"/>
      <c r="BP352" s="400"/>
      <c r="BQ352" s="400"/>
      <c r="BR352" s="258"/>
      <c r="BS352" s="258"/>
      <c r="BT352" s="258"/>
      <c r="BU352" s="258"/>
      <c r="BV352" s="258"/>
      <c r="BW352" s="258"/>
      <c r="BX352" s="258"/>
      <c r="BY352" s="258"/>
      <c r="BZ352" s="258"/>
      <c r="CA352" s="258"/>
      <c r="CB352" s="258"/>
      <c r="CC352" s="258"/>
      <c r="CD352" s="258">
        <v>1300</v>
      </c>
      <c r="CE352" s="258">
        <v>7900</v>
      </c>
      <c r="CF352" s="258">
        <v>2400</v>
      </c>
      <c r="CG352" s="258">
        <v>1300</v>
      </c>
      <c r="CH352" s="258">
        <v>5100</v>
      </c>
      <c r="CI352" s="258">
        <v>1900</v>
      </c>
      <c r="CJ352" s="258">
        <v>1800</v>
      </c>
      <c r="CK352" s="283">
        <f t="shared" si="47"/>
        <v>2383.33333333333</v>
      </c>
      <c r="CL352" s="398"/>
      <c r="CM352" s="371">
        <f>Summary!$D$21</f>
        <v>254452.454633333</v>
      </c>
      <c r="CN352" s="258">
        <f t="shared" si="45"/>
        <v>0</v>
      </c>
    </row>
    <row r="353" ht="15.6" spans="1:92">
      <c r="A353" s="394" t="s">
        <v>187</v>
      </c>
      <c r="B353" s="394" t="s">
        <v>812</v>
      </c>
      <c r="C353" s="258" t="s">
        <v>3475</v>
      </c>
      <c r="D353" s="258" t="s">
        <v>3476</v>
      </c>
      <c r="E353" s="258" t="s">
        <v>3477</v>
      </c>
      <c r="F353" s="260" t="s">
        <v>460</v>
      </c>
      <c r="G353" s="260"/>
      <c r="H353" s="283">
        <f t="shared" ref="H353:H362" si="49">(AW353+CK353)/2</f>
        <v>22503.2233333333</v>
      </c>
      <c r="I353" s="361" t="s">
        <v>3314</v>
      </c>
      <c r="J353" s="258"/>
      <c r="K353" s="258"/>
      <c r="L353" s="258"/>
      <c r="M353" s="258"/>
      <c r="N353" s="258"/>
      <c r="O353" s="258"/>
      <c r="P353" s="258"/>
      <c r="Q353" s="258"/>
      <c r="R353" s="258"/>
      <c r="S353" s="258"/>
      <c r="T353" s="258"/>
      <c r="U353" s="258"/>
      <c r="V353" s="258"/>
      <c r="W353" s="258"/>
      <c r="X353" s="258"/>
      <c r="Y353" s="258"/>
      <c r="Z353" s="258"/>
      <c r="AA353" s="258"/>
      <c r="AB353" s="258"/>
      <c r="AC353" s="258"/>
      <c r="AD353" s="258"/>
      <c r="AE353" s="258"/>
      <c r="AF353" s="258"/>
      <c r="AG353" s="258"/>
      <c r="AH353" s="258"/>
      <c r="AI353" s="258"/>
      <c r="AJ353" s="258"/>
      <c r="AK353" s="258"/>
      <c r="AL353" s="258"/>
      <c r="AM353" s="258"/>
      <c r="AN353" s="258"/>
      <c r="AO353" s="258"/>
      <c r="AP353" s="258">
        <v>14182</v>
      </c>
      <c r="AQ353" s="258" t="s">
        <v>799</v>
      </c>
      <c r="AR353" s="283" t="s">
        <v>3478</v>
      </c>
      <c r="AS353" s="283" t="s">
        <v>3479</v>
      </c>
      <c r="AT353" s="283" t="s">
        <v>3480</v>
      </c>
      <c r="AU353" s="283" t="s">
        <v>3481</v>
      </c>
      <c r="AV353" s="283" t="s">
        <v>3482</v>
      </c>
      <c r="AW353" s="283">
        <f t="shared" si="46"/>
        <v>22578.5</v>
      </c>
      <c r="AX353" s="399"/>
      <c r="AY353" s="399"/>
      <c r="AZ353" s="400"/>
      <c r="BA353" s="400"/>
      <c r="BB353" s="400"/>
      <c r="BC353" s="400"/>
      <c r="BD353" s="400"/>
      <c r="BE353" s="400"/>
      <c r="BF353" s="400"/>
      <c r="BG353" s="400"/>
      <c r="BH353" s="400"/>
      <c r="BI353" s="400"/>
      <c r="BJ353" s="400"/>
      <c r="BK353" s="400"/>
      <c r="BL353" s="400"/>
      <c r="BM353" s="400"/>
      <c r="BN353" s="400"/>
      <c r="BO353" s="400"/>
      <c r="BP353" s="400"/>
      <c r="BQ353" s="400"/>
      <c r="BR353" s="258"/>
      <c r="BS353" s="258"/>
      <c r="BT353" s="258"/>
      <c r="BU353" s="258"/>
      <c r="BV353" s="258"/>
      <c r="BW353" s="258"/>
      <c r="BX353" s="258"/>
      <c r="BY353" s="258"/>
      <c r="BZ353" s="258"/>
      <c r="CA353" s="258"/>
      <c r="CB353" s="258"/>
      <c r="CC353" s="258"/>
      <c r="CD353" s="258">
        <v>7100</v>
      </c>
      <c r="CE353" s="258">
        <v>8600</v>
      </c>
      <c r="CF353" s="258">
        <v>4200</v>
      </c>
      <c r="CG353" s="258">
        <v>7600</v>
      </c>
      <c r="CH353" s="258">
        <v>19336.32</v>
      </c>
      <c r="CI353" s="258">
        <v>16700</v>
      </c>
      <c r="CJ353" s="258">
        <v>27277.12</v>
      </c>
      <c r="CK353" s="283">
        <f t="shared" si="47"/>
        <v>22427.9466666667</v>
      </c>
      <c r="CL353" s="398"/>
      <c r="CM353" s="371">
        <f>Summary!$D$21</f>
        <v>254452.454633333</v>
      </c>
      <c r="CN353" s="258">
        <f t="shared" si="45"/>
        <v>1</v>
      </c>
    </row>
    <row r="354" ht="15.6" spans="1:92">
      <c r="A354" s="394" t="s">
        <v>187</v>
      </c>
      <c r="B354" s="394" t="s">
        <v>812</v>
      </c>
      <c r="C354" s="258" t="s">
        <v>230</v>
      </c>
      <c r="D354" s="258" t="s">
        <v>349</v>
      </c>
      <c r="E354" s="258" t="s">
        <v>233</v>
      </c>
      <c r="F354" s="260" t="s">
        <v>234</v>
      </c>
      <c r="G354" s="260"/>
      <c r="H354" s="283">
        <f t="shared" si="49"/>
        <v>13491</v>
      </c>
      <c r="I354" s="361" t="s">
        <v>3314</v>
      </c>
      <c r="J354" s="258"/>
      <c r="K354" s="258"/>
      <c r="L354" s="258"/>
      <c r="M354" s="258"/>
      <c r="N354" s="258"/>
      <c r="O354" s="258"/>
      <c r="P354" s="258"/>
      <c r="Q354" s="258"/>
      <c r="R354" s="258"/>
      <c r="S354" s="258"/>
      <c r="T354" s="258"/>
      <c r="U354" s="258"/>
      <c r="V354" s="258"/>
      <c r="W354" s="258"/>
      <c r="X354" s="258"/>
      <c r="Y354" s="258"/>
      <c r="Z354" s="258"/>
      <c r="AA354" s="258"/>
      <c r="AB354" s="258"/>
      <c r="AC354" s="258"/>
      <c r="AD354" s="258"/>
      <c r="AE354" s="258"/>
      <c r="AF354" s="258"/>
      <c r="AG354" s="258"/>
      <c r="AH354" s="258"/>
      <c r="AI354" s="258"/>
      <c r="AJ354" s="258"/>
      <c r="AK354" s="258"/>
      <c r="AL354" s="258"/>
      <c r="AM354" s="258"/>
      <c r="AN354" s="258"/>
      <c r="AO354" s="258"/>
      <c r="AP354" s="258">
        <v>31851</v>
      </c>
      <c r="AQ354" s="258" t="s">
        <v>3483</v>
      </c>
      <c r="AR354" s="283" t="s">
        <v>3484</v>
      </c>
      <c r="AS354" s="283" t="s">
        <v>3485</v>
      </c>
      <c r="AT354" s="283" t="s">
        <v>3486</v>
      </c>
      <c r="AU354" s="283" t="s">
        <v>3487</v>
      </c>
      <c r="AV354" s="283" t="s">
        <v>3488</v>
      </c>
      <c r="AW354" s="283">
        <f t="shared" si="46"/>
        <v>22382</v>
      </c>
      <c r="AX354" s="399"/>
      <c r="AY354" s="399"/>
      <c r="AZ354" s="400"/>
      <c r="BA354" s="400"/>
      <c r="BB354" s="400"/>
      <c r="BC354" s="400"/>
      <c r="BD354" s="400"/>
      <c r="BE354" s="400"/>
      <c r="BF354" s="400"/>
      <c r="BG354" s="400"/>
      <c r="BH354" s="400"/>
      <c r="BI354" s="400"/>
      <c r="BJ354" s="400"/>
      <c r="BK354" s="400"/>
      <c r="BL354" s="400"/>
      <c r="BM354" s="400"/>
      <c r="BN354" s="400"/>
      <c r="BO354" s="400"/>
      <c r="BP354" s="400"/>
      <c r="BQ354" s="400"/>
      <c r="BR354" s="258"/>
      <c r="BS354" s="258"/>
      <c r="BT354" s="258"/>
      <c r="BU354" s="258"/>
      <c r="BV354" s="258"/>
      <c r="BW354" s="258"/>
      <c r="BX354" s="258"/>
      <c r="BY354" s="258"/>
      <c r="BZ354" s="258"/>
      <c r="CA354" s="258"/>
      <c r="CB354" s="258"/>
      <c r="CC354" s="258"/>
      <c r="CD354" s="258">
        <v>1800</v>
      </c>
      <c r="CE354" s="258">
        <v>5000</v>
      </c>
      <c r="CF354" s="258">
        <v>5400</v>
      </c>
      <c r="CG354" s="258">
        <v>10500</v>
      </c>
      <c r="CH354" s="258">
        <v>3900</v>
      </c>
      <c r="CI354" s="258">
        <v>2100</v>
      </c>
      <c r="CJ354" s="258">
        <v>6500</v>
      </c>
      <c r="CK354" s="283">
        <f t="shared" si="47"/>
        <v>4600</v>
      </c>
      <c r="CL354" s="398"/>
      <c r="CM354" s="371">
        <f>Summary!$D$21</f>
        <v>254452.454633333</v>
      </c>
      <c r="CN354" s="258">
        <f t="shared" si="45"/>
        <v>1</v>
      </c>
    </row>
    <row r="355" ht="15.6" spans="1:92">
      <c r="A355" s="258" t="s">
        <v>189</v>
      </c>
      <c r="B355" s="258"/>
      <c r="C355" s="258" t="s">
        <v>243</v>
      </c>
      <c r="D355" s="258" t="s">
        <v>353</v>
      </c>
      <c r="E355" s="258" t="s">
        <v>233</v>
      </c>
      <c r="F355" s="260" t="s">
        <v>429</v>
      </c>
      <c r="G355" s="260"/>
      <c r="H355" s="283">
        <f t="shared" si="49"/>
        <v>40509.5</v>
      </c>
      <c r="I355" s="361" t="s">
        <v>3314</v>
      </c>
      <c r="J355" s="258"/>
      <c r="K355" s="258"/>
      <c r="L355" s="258"/>
      <c r="M355" s="258"/>
      <c r="N355" s="258"/>
      <c r="O355" s="258"/>
      <c r="P355" s="258"/>
      <c r="Q355" s="258"/>
      <c r="R355" s="258"/>
      <c r="S355" s="258"/>
      <c r="T355" s="258"/>
      <c r="U355" s="258"/>
      <c r="V355" s="258"/>
      <c r="W355" s="258"/>
      <c r="X355" s="258"/>
      <c r="Y355" s="258"/>
      <c r="Z355" s="258"/>
      <c r="AA355" s="258"/>
      <c r="AB355" s="258"/>
      <c r="AC355" s="258"/>
      <c r="AD355" s="258"/>
      <c r="AE355" s="258"/>
      <c r="AF355" s="258"/>
      <c r="AG355" s="258"/>
      <c r="AH355" s="258"/>
      <c r="AI355" s="258"/>
      <c r="AJ355" s="258"/>
      <c r="AK355" s="258"/>
      <c r="AL355" s="258"/>
      <c r="AM355" s="258"/>
      <c r="AN355" s="258"/>
      <c r="AO355" s="258"/>
      <c r="AP355" s="258">
        <v>68191</v>
      </c>
      <c r="AQ355" s="258" t="s">
        <v>3489</v>
      </c>
      <c r="AR355" s="283" t="s">
        <v>3490</v>
      </c>
      <c r="AS355" s="283" t="s">
        <v>3491</v>
      </c>
      <c r="AT355" s="283" t="s">
        <v>3492</v>
      </c>
      <c r="AU355" s="283" t="s">
        <v>3493</v>
      </c>
      <c r="AV355" s="283" t="s">
        <v>3494</v>
      </c>
      <c r="AW355" s="283">
        <f t="shared" si="46"/>
        <v>67135.6666666667</v>
      </c>
      <c r="AX355" s="399"/>
      <c r="AY355" s="399"/>
      <c r="AZ355" s="400"/>
      <c r="BA355" s="400"/>
      <c r="BB355" s="400"/>
      <c r="BC355" s="400"/>
      <c r="BD355" s="400"/>
      <c r="BE355" s="400"/>
      <c r="BF355" s="400"/>
      <c r="BG355" s="400"/>
      <c r="BH355" s="400"/>
      <c r="BI355" s="400"/>
      <c r="BJ355" s="400"/>
      <c r="BK355" s="400"/>
      <c r="BL355" s="400"/>
      <c r="BM355" s="400"/>
      <c r="BN355" s="400"/>
      <c r="BO355" s="400"/>
      <c r="BP355" s="400"/>
      <c r="BQ355" s="400"/>
      <c r="BR355" s="258"/>
      <c r="BS355" s="258"/>
      <c r="BT355" s="258"/>
      <c r="BU355" s="258"/>
      <c r="BV355" s="258"/>
      <c r="BW355" s="258"/>
      <c r="BX355" s="258"/>
      <c r="BY355" s="258"/>
      <c r="BZ355" s="258"/>
      <c r="CA355" s="258"/>
      <c r="CB355" s="258"/>
      <c r="CC355" s="258"/>
      <c r="CD355" s="258">
        <v>18600</v>
      </c>
      <c r="CE355" s="258">
        <v>10100</v>
      </c>
      <c r="CF355" s="258">
        <v>22100</v>
      </c>
      <c r="CG355" s="258">
        <v>44800</v>
      </c>
      <c r="CH355" s="258">
        <v>30400</v>
      </c>
      <c r="CI355" s="258">
        <v>12800</v>
      </c>
      <c r="CJ355" s="258">
        <v>9100</v>
      </c>
      <c r="CK355" s="283">
        <f t="shared" si="47"/>
        <v>13883.3333333333</v>
      </c>
      <c r="CL355" s="398"/>
      <c r="CM355" s="396">
        <f>Summary!$D$22</f>
        <v>194324.095</v>
      </c>
      <c r="CN355" s="260">
        <f t="shared" si="45"/>
        <v>1</v>
      </c>
    </row>
    <row r="356" ht="109.2" spans="1:92">
      <c r="A356" s="258" t="s">
        <v>189</v>
      </c>
      <c r="B356" s="258" t="s">
        <v>812</v>
      </c>
      <c r="C356" s="258" t="s">
        <v>230</v>
      </c>
      <c r="D356" s="258" t="s">
        <v>352</v>
      </c>
      <c r="E356" s="258" t="s">
        <v>233</v>
      </c>
      <c r="F356" s="260" t="s">
        <v>234</v>
      </c>
      <c r="G356" s="260"/>
      <c r="H356" s="283">
        <f t="shared" si="49"/>
        <v>93911.175</v>
      </c>
      <c r="I356" s="292" t="s">
        <v>705</v>
      </c>
      <c r="J356" s="258"/>
      <c r="K356" s="258"/>
      <c r="L356" s="258"/>
      <c r="M356" s="258"/>
      <c r="N356" s="258"/>
      <c r="O356" s="258"/>
      <c r="P356" s="258"/>
      <c r="Q356" s="258"/>
      <c r="R356" s="258"/>
      <c r="S356" s="258"/>
      <c r="T356" s="258"/>
      <c r="U356" s="258"/>
      <c r="V356" s="258"/>
      <c r="W356" s="258"/>
      <c r="X356" s="258"/>
      <c r="Y356" s="258"/>
      <c r="Z356" s="258"/>
      <c r="AA356" s="258"/>
      <c r="AB356" s="258"/>
      <c r="AC356" s="258"/>
      <c r="AD356" s="258"/>
      <c r="AE356" s="258"/>
      <c r="AF356" s="258"/>
      <c r="AG356" s="258"/>
      <c r="AH356" s="258"/>
      <c r="AI356" s="258"/>
      <c r="AJ356" s="258"/>
      <c r="AK356" s="258"/>
      <c r="AL356" s="258"/>
      <c r="AM356" s="258"/>
      <c r="AN356" s="258"/>
      <c r="AO356" s="258"/>
      <c r="AP356" s="258">
        <v>37074</v>
      </c>
      <c r="AQ356" s="258">
        <f>93547*0.3116*2</f>
        <v>58298.4904</v>
      </c>
      <c r="AR356" s="283">
        <v>84135</v>
      </c>
      <c r="AS356" s="283">
        <f>0.2985*2*113989</f>
        <v>68051.433</v>
      </c>
      <c r="AT356" s="283" t="s">
        <v>2521</v>
      </c>
      <c r="AU356" s="283" t="s">
        <v>3495</v>
      </c>
      <c r="AV356" s="283" t="s">
        <v>3496</v>
      </c>
      <c r="AW356" s="283">
        <f t="shared" si="46"/>
        <v>126791</v>
      </c>
      <c r="AX356" s="399"/>
      <c r="AY356" s="399"/>
      <c r="AZ356" s="400"/>
      <c r="BA356" s="400"/>
      <c r="BB356" s="400"/>
      <c r="BC356" s="400"/>
      <c r="BD356" s="400"/>
      <c r="BE356" s="400"/>
      <c r="BF356" s="400"/>
      <c r="BG356" s="400"/>
      <c r="BH356" s="400"/>
      <c r="BI356" s="400"/>
      <c r="BJ356" s="400"/>
      <c r="BK356" s="400"/>
      <c r="BL356" s="400"/>
      <c r="BM356" s="400"/>
      <c r="BN356" s="400"/>
      <c r="BO356" s="400"/>
      <c r="BP356" s="400"/>
      <c r="BQ356" s="400"/>
      <c r="BR356" s="258"/>
      <c r="BS356" s="258"/>
      <c r="BT356" s="258"/>
      <c r="BU356" s="258"/>
      <c r="BV356" s="258"/>
      <c r="BW356" s="258"/>
      <c r="BX356" s="258"/>
      <c r="BY356" s="258"/>
      <c r="BZ356" s="258"/>
      <c r="CA356" s="258"/>
      <c r="CB356" s="258"/>
      <c r="CC356" s="258"/>
      <c r="CD356" s="258">
        <f>931400*0.03</f>
        <v>27942</v>
      </c>
      <c r="CE356" s="258">
        <f>1300000*0.3717*0.03*2</f>
        <v>28992.6</v>
      </c>
      <c r="CF356" s="258">
        <f>1400000*0.3978*0.03*2</f>
        <v>33415.2</v>
      </c>
      <c r="CG356" s="258">
        <v>39576</v>
      </c>
      <c r="CH356" s="258">
        <v>36292.62</v>
      </c>
      <c r="CI356" s="258">
        <f>0.2451*2*233700</f>
        <v>114559.74</v>
      </c>
      <c r="CJ356" s="258">
        <f>2000000*0.02*2*0.4199</f>
        <v>33592</v>
      </c>
      <c r="CK356" s="283">
        <f t="shared" si="47"/>
        <v>61031.35</v>
      </c>
      <c r="CL356" s="398"/>
      <c r="CM356" s="396">
        <f>Summary!$D$22</f>
        <v>194324.095</v>
      </c>
      <c r="CN356" s="260">
        <f t="shared" si="45"/>
        <v>1</v>
      </c>
    </row>
    <row r="357" ht="15.6" spans="1:92">
      <c r="A357" s="258" t="s">
        <v>191</v>
      </c>
      <c r="B357" s="258" t="s">
        <v>812</v>
      </c>
      <c r="C357" s="258" t="s">
        <v>230</v>
      </c>
      <c r="D357" s="258" t="s">
        <v>3497</v>
      </c>
      <c r="E357" s="258" t="s">
        <v>233</v>
      </c>
      <c r="F357" s="260" t="s">
        <v>424</v>
      </c>
      <c r="G357" s="260"/>
      <c r="H357" s="283">
        <f t="shared" si="49"/>
        <v>7718.75</v>
      </c>
      <c r="I357" s="361" t="s">
        <v>3314</v>
      </c>
      <c r="J357" s="258"/>
      <c r="K357" s="258"/>
      <c r="L357" s="258"/>
      <c r="M357" s="258"/>
      <c r="N357" s="258"/>
      <c r="O357" s="258"/>
      <c r="P357" s="258"/>
      <c r="Q357" s="258"/>
      <c r="R357" s="258"/>
      <c r="S357" s="258"/>
      <c r="T357" s="258"/>
      <c r="U357" s="258"/>
      <c r="V357" s="258"/>
      <c r="W357" s="258"/>
      <c r="X357" s="258"/>
      <c r="Y357" s="258"/>
      <c r="Z357" s="258"/>
      <c r="AA357" s="258"/>
      <c r="AB357" s="258"/>
      <c r="AC357" s="258"/>
      <c r="AD357" s="258"/>
      <c r="AE357" s="258"/>
      <c r="AF357" s="258"/>
      <c r="AG357" s="258"/>
      <c r="AH357" s="258"/>
      <c r="AI357" s="258"/>
      <c r="AJ357" s="258"/>
      <c r="AK357" s="258"/>
      <c r="AL357" s="258"/>
      <c r="AM357" s="258"/>
      <c r="AN357" s="258"/>
      <c r="AO357" s="258"/>
      <c r="AP357" s="258">
        <v>10328</v>
      </c>
      <c r="AQ357" s="258" t="s">
        <v>3498</v>
      </c>
      <c r="AR357" s="283" t="s">
        <v>3499</v>
      </c>
      <c r="AS357" s="283">
        <f>0.1873*2*29799</f>
        <v>11162.7054</v>
      </c>
      <c r="AT357" s="283" t="s">
        <v>3500</v>
      </c>
      <c r="AU357" s="283" t="s">
        <v>3501</v>
      </c>
      <c r="AV357" s="283" t="s">
        <v>3502</v>
      </c>
      <c r="AW357" s="283">
        <f t="shared" si="46"/>
        <v>9487.5</v>
      </c>
      <c r="AX357" s="399"/>
      <c r="AY357" s="399"/>
      <c r="AZ357" s="400"/>
      <c r="BA357" s="400"/>
      <c r="BB357" s="400"/>
      <c r="BC357" s="400"/>
      <c r="BD357" s="400"/>
      <c r="BE357" s="400"/>
      <c r="BF357" s="400"/>
      <c r="BG357" s="400"/>
      <c r="BH357" s="400"/>
      <c r="BI357" s="400"/>
      <c r="BJ357" s="400"/>
      <c r="BK357" s="400"/>
      <c r="BL357" s="400"/>
      <c r="BM357" s="400"/>
      <c r="BN357" s="400"/>
      <c r="BO357" s="400"/>
      <c r="BP357" s="400"/>
      <c r="BQ357" s="400"/>
      <c r="BR357" s="258"/>
      <c r="BS357" s="258"/>
      <c r="BT357" s="258"/>
      <c r="BU357" s="258"/>
      <c r="BV357" s="258"/>
      <c r="BW357" s="258"/>
      <c r="BX357" s="258"/>
      <c r="BY357" s="258"/>
      <c r="BZ357" s="258"/>
      <c r="CA357" s="258"/>
      <c r="CB357" s="258"/>
      <c r="CC357" s="258"/>
      <c r="CD357" s="258">
        <v>3000</v>
      </c>
      <c r="CE357" s="258">
        <v>8000</v>
      </c>
      <c r="CF357" s="258">
        <v>3000</v>
      </c>
      <c r="CG357" s="258">
        <v>12500</v>
      </c>
      <c r="CH357" s="258">
        <v>3300</v>
      </c>
      <c r="CI357" s="258">
        <v>5100</v>
      </c>
      <c r="CJ357" s="258">
        <v>7400</v>
      </c>
      <c r="CK357" s="283">
        <f t="shared" si="47"/>
        <v>5950</v>
      </c>
      <c r="CL357" s="398"/>
      <c r="CM357" s="371">
        <f>Summary!$D$23</f>
        <v>176176.176666667</v>
      </c>
      <c r="CN357" s="258">
        <f t="shared" si="45"/>
        <v>0</v>
      </c>
    </row>
    <row r="358" ht="15.6" spans="1:92">
      <c r="A358" s="258" t="s">
        <v>191</v>
      </c>
      <c r="B358" s="258" t="s">
        <v>812</v>
      </c>
      <c r="C358" s="258" t="s">
        <v>230</v>
      </c>
      <c r="D358" s="258" t="s">
        <v>358</v>
      </c>
      <c r="E358" s="258" t="s">
        <v>233</v>
      </c>
      <c r="F358" s="260" t="s">
        <v>421</v>
      </c>
      <c r="G358" s="260"/>
      <c r="H358" s="283">
        <f t="shared" si="49"/>
        <v>21908.25</v>
      </c>
      <c r="I358" s="361" t="s">
        <v>3314</v>
      </c>
      <c r="J358" s="258"/>
      <c r="K358" s="258"/>
      <c r="L358" s="258"/>
      <c r="M358" s="258"/>
      <c r="N358" s="258"/>
      <c r="O358" s="258"/>
      <c r="P358" s="258"/>
      <c r="Q358" s="258"/>
      <c r="R358" s="258"/>
      <c r="S358" s="258"/>
      <c r="T358" s="258"/>
      <c r="U358" s="258"/>
      <c r="V358" s="258"/>
      <c r="W358" s="258"/>
      <c r="X358" s="258"/>
      <c r="Y358" s="258"/>
      <c r="Z358" s="258"/>
      <c r="AA358" s="258"/>
      <c r="AB358" s="258"/>
      <c r="AC358" s="258"/>
      <c r="AD358" s="258"/>
      <c r="AE358" s="258"/>
      <c r="AF358" s="258"/>
      <c r="AG358" s="258"/>
      <c r="AH358" s="258"/>
      <c r="AI358" s="258"/>
      <c r="AJ358" s="258"/>
      <c r="AK358" s="258"/>
      <c r="AL358" s="258"/>
      <c r="AM358" s="258"/>
      <c r="AN358" s="258"/>
      <c r="AO358" s="258"/>
      <c r="AP358" s="258">
        <v>26319</v>
      </c>
      <c r="AQ358" s="258" t="s">
        <v>3503</v>
      </c>
      <c r="AR358" s="283" t="s">
        <v>3504</v>
      </c>
      <c r="AS358" s="283" t="s">
        <v>3505</v>
      </c>
      <c r="AT358" s="283" t="s">
        <v>3506</v>
      </c>
      <c r="AU358" s="283" t="s">
        <v>3507</v>
      </c>
      <c r="AV358" s="283" t="s">
        <v>3508</v>
      </c>
      <c r="AW358" s="283">
        <f t="shared" si="46"/>
        <v>29999.8333333333</v>
      </c>
      <c r="AX358" s="399"/>
      <c r="AY358" s="399"/>
      <c r="AZ358" s="400"/>
      <c r="BA358" s="400"/>
      <c r="BB358" s="400"/>
      <c r="BC358" s="400"/>
      <c r="BD358" s="400"/>
      <c r="BE358" s="400"/>
      <c r="BF358" s="400"/>
      <c r="BG358" s="400"/>
      <c r="BH358" s="400"/>
      <c r="BI358" s="400"/>
      <c r="BJ358" s="400"/>
      <c r="BK358" s="400"/>
      <c r="BL358" s="400"/>
      <c r="BM358" s="400"/>
      <c r="BN358" s="400"/>
      <c r="BO358" s="400"/>
      <c r="BP358" s="400"/>
      <c r="BQ358" s="400"/>
      <c r="BR358" s="258"/>
      <c r="BS358" s="258"/>
      <c r="BT358" s="258"/>
      <c r="BU358" s="258"/>
      <c r="BV358" s="258"/>
      <c r="BW358" s="258"/>
      <c r="BX358" s="258"/>
      <c r="BY358" s="258"/>
      <c r="BZ358" s="258"/>
      <c r="CA358" s="258"/>
      <c r="CB358" s="258"/>
      <c r="CC358" s="258"/>
      <c r="CD358" s="258">
        <v>10100</v>
      </c>
      <c r="CE358" s="258">
        <v>12900</v>
      </c>
      <c r="CF358" s="258">
        <v>8958.96</v>
      </c>
      <c r="CG358" s="258">
        <v>64700</v>
      </c>
      <c r="CH358" s="258">
        <v>24100</v>
      </c>
      <c r="CI358" s="258">
        <v>8400</v>
      </c>
      <c r="CJ358" s="258">
        <v>14000</v>
      </c>
      <c r="CK358" s="283">
        <f t="shared" si="47"/>
        <v>13816.6666666667</v>
      </c>
      <c r="CL358" s="398"/>
      <c r="CM358" s="371">
        <f>Summary!$D$23</f>
        <v>176176.176666667</v>
      </c>
      <c r="CN358" s="258">
        <f t="shared" si="45"/>
        <v>1</v>
      </c>
    </row>
    <row r="359" ht="15.6" spans="1:92">
      <c r="A359" s="258" t="s">
        <v>191</v>
      </c>
      <c r="B359" s="258" t="s">
        <v>812</v>
      </c>
      <c r="C359" s="258" t="s">
        <v>230</v>
      </c>
      <c r="D359" s="258" t="s">
        <v>359</v>
      </c>
      <c r="E359" s="258" t="s">
        <v>233</v>
      </c>
      <c r="F359" s="260" t="s">
        <v>423</v>
      </c>
      <c r="G359" s="260"/>
      <c r="H359" s="283">
        <f t="shared" si="49"/>
        <v>17323.3466666666</v>
      </c>
      <c r="I359" s="361" t="s">
        <v>3314</v>
      </c>
      <c r="J359" s="258"/>
      <c r="K359" s="258"/>
      <c r="L359" s="258"/>
      <c r="M359" s="258"/>
      <c r="N359" s="258"/>
      <c r="O359" s="258"/>
      <c r="P359" s="258"/>
      <c r="Q359" s="258"/>
      <c r="R359" s="258"/>
      <c r="S359" s="258"/>
      <c r="T359" s="258"/>
      <c r="U359" s="258"/>
      <c r="V359" s="258"/>
      <c r="W359" s="258"/>
      <c r="X359" s="258"/>
      <c r="Y359" s="258"/>
      <c r="Z359" s="258"/>
      <c r="AA359" s="258"/>
      <c r="AB359" s="258"/>
      <c r="AC359" s="258"/>
      <c r="AD359" s="258"/>
      <c r="AE359" s="258"/>
      <c r="AF359" s="258"/>
      <c r="AG359" s="258"/>
      <c r="AH359" s="258"/>
      <c r="AI359" s="258"/>
      <c r="AJ359" s="258"/>
      <c r="AK359" s="258"/>
      <c r="AL359" s="258"/>
      <c r="AM359" s="258"/>
      <c r="AN359" s="258"/>
      <c r="AO359" s="258"/>
      <c r="AP359" s="258">
        <v>16995</v>
      </c>
      <c r="AQ359" s="258" t="s">
        <v>3509</v>
      </c>
      <c r="AR359" s="283">
        <f>29460*0.2167*2</f>
        <v>12767.964</v>
      </c>
      <c r="AS359" s="283" t="s">
        <v>3510</v>
      </c>
      <c r="AT359" s="283" t="s">
        <v>3511</v>
      </c>
      <c r="AU359" s="283" t="s">
        <v>3512</v>
      </c>
      <c r="AV359" s="283" t="s">
        <v>3513</v>
      </c>
      <c r="AW359" s="283">
        <f t="shared" si="46"/>
        <v>16988</v>
      </c>
      <c r="AX359" s="399"/>
      <c r="AY359" s="399"/>
      <c r="AZ359" s="400"/>
      <c r="BA359" s="400"/>
      <c r="BB359" s="400"/>
      <c r="BC359" s="400"/>
      <c r="BD359" s="400"/>
      <c r="BE359" s="400"/>
      <c r="BF359" s="400"/>
      <c r="BG359" s="400"/>
      <c r="BH359" s="400"/>
      <c r="BI359" s="400"/>
      <c r="BJ359" s="400"/>
      <c r="BK359" s="400"/>
      <c r="BL359" s="400"/>
      <c r="BM359" s="400"/>
      <c r="BN359" s="400"/>
      <c r="BO359" s="400"/>
      <c r="BP359" s="400"/>
      <c r="BQ359" s="400"/>
      <c r="BR359" s="258"/>
      <c r="BS359" s="258"/>
      <c r="BT359" s="258"/>
      <c r="BU359" s="258"/>
      <c r="BV359" s="258"/>
      <c r="BW359" s="258"/>
      <c r="BX359" s="258"/>
      <c r="BY359" s="258"/>
      <c r="BZ359" s="258"/>
      <c r="CA359" s="258"/>
      <c r="CB359" s="258"/>
      <c r="CC359" s="258"/>
      <c r="CD359" s="258">
        <v>4400</v>
      </c>
      <c r="CE359" s="258">
        <v>13100</v>
      </c>
      <c r="CF359" s="258">
        <v>19605.56</v>
      </c>
      <c r="CG359" s="258">
        <v>9000</v>
      </c>
      <c r="CH359" s="258">
        <v>2052.16</v>
      </c>
      <c r="CI359" s="258">
        <v>47000</v>
      </c>
      <c r="CJ359" s="258">
        <v>3300</v>
      </c>
      <c r="CK359" s="283">
        <f t="shared" si="47"/>
        <v>17658.6933333333</v>
      </c>
      <c r="CL359" s="398"/>
      <c r="CM359" s="371">
        <f>Summary!$D$23</f>
        <v>176176.176666667</v>
      </c>
      <c r="CN359" s="258">
        <f t="shared" si="45"/>
        <v>1</v>
      </c>
    </row>
    <row r="360" s="336" customFormat="1" ht="31.2" spans="1:92">
      <c r="A360" s="380" t="s">
        <v>191</v>
      </c>
      <c r="B360" s="380" t="s">
        <v>812</v>
      </c>
      <c r="C360" s="380" t="s">
        <v>230</v>
      </c>
      <c r="D360" s="380" t="s">
        <v>364</v>
      </c>
      <c r="E360" s="380" t="s">
        <v>233</v>
      </c>
      <c r="F360" s="401" t="s">
        <v>60</v>
      </c>
      <c r="G360" s="260"/>
      <c r="H360" s="402">
        <f t="shared" si="49"/>
        <v>2096.08333333333</v>
      </c>
      <c r="I360" s="403" t="s">
        <v>3514</v>
      </c>
      <c r="J360" s="258"/>
      <c r="K360" s="258"/>
      <c r="L360" s="258"/>
      <c r="M360" s="258"/>
      <c r="N360" s="258"/>
      <c r="O360" s="258"/>
      <c r="P360" s="258"/>
      <c r="Q360" s="258"/>
      <c r="R360" s="258"/>
      <c r="S360" s="258"/>
      <c r="T360" s="258"/>
      <c r="U360" s="258"/>
      <c r="V360" s="258"/>
      <c r="W360" s="258"/>
      <c r="X360" s="258"/>
      <c r="Y360" s="258"/>
      <c r="Z360" s="258"/>
      <c r="AA360" s="258"/>
      <c r="AB360" s="258"/>
      <c r="AC360" s="258"/>
      <c r="AD360" s="258"/>
      <c r="AE360" s="258"/>
      <c r="AF360" s="258"/>
      <c r="AG360" s="258"/>
      <c r="AH360" s="258"/>
      <c r="AI360" s="258"/>
      <c r="AJ360" s="258"/>
      <c r="AK360" s="258"/>
      <c r="AL360" s="258"/>
      <c r="AM360" s="258"/>
      <c r="AN360" s="258"/>
      <c r="AO360" s="258"/>
      <c r="AP360" s="258">
        <v>51711</v>
      </c>
      <c r="AQ360" s="258" t="s">
        <v>3515</v>
      </c>
      <c r="AR360" s="283" t="s">
        <v>3516</v>
      </c>
      <c r="AS360" s="283">
        <f>0.2989*2*52658</f>
        <v>31478.9524</v>
      </c>
      <c r="AT360" s="402" t="s">
        <v>3517</v>
      </c>
      <c r="AU360" s="402" t="s">
        <v>796</v>
      </c>
      <c r="AV360" s="402" t="s">
        <v>796</v>
      </c>
      <c r="AW360" s="402">
        <f t="shared" si="46"/>
        <v>4106.66666666667</v>
      </c>
      <c r="AX360" s="399"/>
      <c r="AY360" s="399"/>
      <c r="AZ360" s="400"/>
      <c r="BA360" s="400"/>
      <c r="BB360" s="400"/>
      <c r="BC360" s="400"/>
      <c r="BD360" s="400"/>
      <c r="BE360" s="400"/>
      <c r="BF360" s="400"/>
      <c r="BG360" s="400"/>
      <c r="BH360" s="400"/>
      <c r="BI360" s="400"/>
      <c r="BJ360" s="400"/>
      <c r="BK360" s="400"/>
      <c r="BL360" s="400"/>
      <c r="BM360" s="400"/>
      <c r="BN360" s="400"/>
      <c r="BO360" s="400"/>
      <c r="BP360" s="400"/>
      <c r="BQ360" s="400"/>
      <c r="BR360" s="258"/>
      <c r="BS360" s="258"/>
      <c r="BT360" s="258"/>
      <c r="BU360" s="258"/>
      <c r="BV360" s="258"/>
      <c r="BW360" s="258"/>
      <c r="BX360" s="258"/>
      <c r="BY360" s="258"/>
      <c r="BZ360" s="258"/>
      <c r="CA360" s="258"/>
      <c r="CB360" s="258"/>
      <c r="CC360" s="258"/>
      <c r="CD360" s="258">
        <v>20100</v>
      </c>
      <c r="CE360" s="258">
        <v>21700</v>
      </c>
      <c r="CF360" s="258">
        <v>35470.4</v>
      </c>
      <c r="CG360" s="258">
        <v>57263.2</v>
      </c>
      <c r="CH360" s="380">
        <v>513</v>
      </c>
      <c r="CI360" s="380">
        <v>0</v>
      </c>
      <c r="CJ360" s="380">
        <v>0</v>
      </c>
      <c r="CK360" s="402">
        <f t="shared" si="47"/>
        <v>85.5</v>
      </c>
      <c r="CL360" s="398"/>
      <c r="CM360" s="404">
        <f>Summary!$D$23</f>
        <v>176176.176666667</v>
      </c>
      <c r="CN360" s="380">
        <f t="shared" si="45"/>
        <v>0</v>
      </c>
    </row>
    <row r="361" ht="15.6" spans="1:92">
      <c r="A361" s="258" t="s">
        <v>191</v>
      </c>
      <c r="B361" s="258" t="s">
        <v>812</v>
      </c>
      <c r="C361" s="258" t="s">
        <v>325</v>
      </c>
      <c r="D361" s="258" t="s">
        <v>363</v>
      </c>
      <c r="E361" s="394" t="s">
        <v>441</v>
      </c>
      <c r="F361" s="260" t="s">
        <v>371</v>
      </c>
      <c r="G361" s="260"/>
      <c r="H361" s="283">
        <f t="shared" si="49"/>
        <v>4346.58333333333</v>
      </c>
      <c r="I361" s="361" t="s">
        <v>3314</v>
      </c>
      <c r="J361" s="258"/>
      <c r="K361" s="258"/>
      <c r="L361" s="258"/>
      <c r="M361" s="258"/>
      <c r="N361" s="258"/>
      <c r="O361" s="258"/>
      <c r="P361" s="258"/>
      <c r="Q361" s="258"/>
      <c r="R361" s="258"/>
      <c r="S361" s="258"/>
      <c r="T361" s="258"/>
      <c r="U361" s="258"/>
      <c r="V361" s="258"/>
      <c r="W361" s="258"/>
      <c r="X361" s="258"/>
      <c r="Y361" s="258"/>
      <c r="Z361" s="258"/>
      <c r="AA361" s="258"/>
      <c r="AB361" s="258"/>
      <c r="AC361" s="258"/>
      <c r="AD361" s="258"/>
      <c r="AE361" s="258"/>
      <c r="AF361" s="258"/>
      <c r="AG361" s="258"/>
      <c r="AH361" s="258"/>
      <c r="AI361" s="258"/>
      <c r="AJ361" s="258"/>
      <c r="AK361" s="258"/>
      <c r="AL361" s="258"/>
      <c r="AM361" s="258"/>
      <c r="AN361" s="258"/>
      <c r="AO361" s="258"/>
      <c r="AP361" s="258">
        <v>12194</v>
      </c>
      <c r="AQ361" s="258" t="s">
        <v>3518</v>
      </c>
      <c r="AR361" s="283" t="s">
        <v>3519</v>
      </c>
      <c r="AS361" s="283" t="s">
        <v>3520</v>
      </c>
      <c r="AT361" s="283" t="s">
        <v>3521</v>
      </c>
      <c r="AU361" s="283" t="s">
        <v>3522</v>
      </c>
      <c r="AV361" s="283" t="s">
        <v>3523</v>
      </c>
      <c r="AW361" s="283">
        <f t="shared" si="46"/>
        <v>7261.66666666667</v>
      </c>
      <c r="AX361" s="399"/>
      <c r="AY361" s="399"/>
      <c r="AZ361" s="400"/>
      <c r="BA361" s="400"/>
      <c r="BB361" s="400"/>
      <c r="BC361" s="400"/>
      <c r="BD361" s="400"/>
      <c r="BE361" s="400"/>
      <c r="BF361" s="400"/>
      <c r="BG361" s="400"/>
      <c r="BH361" s="400"/>
      <c r="BI361" s="400"/>
      <c r="BJ361" s="400"/>
      <c r="BK361" s="400"/>
      <c r="BL361" s="400"/>
      <c r="BM361" s="400"/>
      <c r="BN361" s="400"/>
      <c r="BO361" s="400"/>
      <c r="BP361" s="400"/>
      <c r="BQ361" s="400"/>
      <c r="BR361" s="258"/>
      <c r="BS361" s="258"/>
      <c r="BT361" s="258"/>
      <c r="BU361" s="258"/>
      <c r="BV361" s="258"/>
      <c r="BW361" s="258"/>
      <c r="BX361" s="258"/>
      <c r="BY361" s="258"/>
      <c r="BZ361" s="258"/>
      <c r="CA361" s="258"/>
      <c r="CB361" s="258"/>
      <c r="CC361" s="258"/>
      <c r="CD361" s="258">
        <v>330</v>
      </c>
      <c r="CE361" s="258">
        <v>3500</v>
      </c>
      <c r="CF361" s="258">
        <v>878</v>
      </c>
      <c r="CG361" s="258">
        <v>2000</v>
      </c>
      <c r="CH361" s="258">
        <v>720</v>
      </c>
      <c r="CI361" s="258">
        <v>3600</v>
      </c>
      <c r="CJ361" s="258">
        <v>223</v>
      </c>
      <c r="CK361" s="283">
        <f t="shared" si="47"/>
        <v>1431.5</v>
      </c>
      <c r="CL361" s="398"/>
      <c r="CM361" s="371">
        <f>Summary!$D$23</f>
        <v>176176.176666667</v>
      </c>
      <c r="CN361" s="258">
        <f t="shared" si="45"/>
        <v>0</v>
      </c>
    </row>
    <row r="362" ht="15.6" spans="1:92">
      <c r="A362" s="258" t="s">
        <v>191</v>
      </c>
      <c r="B362" s="258" t="s">
        <v>234</v>
      </c>
      <c r="C362" s="258" t="s">
        <v>3524</v>
      </c>
      <c r="D362" s="258" t="s">
        <v>3525</v>
      </c>
      <c r="E362" s="258" t="s">
        <v>3339</v>
      </c>
      <c r="F362" s="260" t="s">
        <v>430</v>
      </c>
      <c r="G362" s="260"/>
      <c r="H362" s="283">
        <f t="shared" si="49"/>
        <v>186829.41</v>
      </c>
      <c r="I362" s="361" t="s">
        <v>3526</v>
      </c>
      <c r="J362" s="258"/>
      <c r="K362" s="258"/>
      <c r="L362" s="258"/>
      <c r="M362" s="258"/>
      <c r="N362" s="258"/>
      <c r="O362" s="258"/>
      <c r="P362" s="258"/>
      <c r="Q362" s="258"/>
      <c r="R362" s="258"/>
      <c r="S362" s="258"/>
      <c r="T362" s="258"/>
      <c r="U362" s="258"/>
      <c r="V362" s="258"/>
      <c r="W362" s="258"/>
      <c r="X362" s="258"/>
      <c r="Y362" s="258"/>
      <c r="Z362" s="258"/>
      <c r="AA362" s="258"/>
      <c r="AB362" s="258"/>
      <c r="AC362" s="258"/>
      <c r="AD362" s="258"/>
      <c r="AE362" s="258"/>
      <c r="AF362" s="258"/>
      <c r="AG362" s="258"/>
      <c r="AH362" s="258"/>
      <c r="AI362" s="258"/>
      <c r="AJ362" s="258"/>
      <c r="AK362" s="258"/>
      <c r="AL362" s="258"/>
      <c r="AM362" s="258"/>
      <c r="AN362" s="258"/>
      <c r="AO362" s="258"/>
      <c r="AP362" s="258">
        <v>199933</v>
      </c>
      <c r="AQ362" s="258" t="s">
        <v>3527</v>
      </c>
      <c r="AR362" s="283" t="s">
        <v>3528</v>
      </c>
      <c r="AS362" s="283" t="s">
        <v>3529</v>
      </c>
      <c r="AT362" s="283" t="s">
        <v>3530</v>
      </c>
      <c r="AU362" s="283" t="s">
        <v>3531</v>
      </c>
      <c r="AV362" s="283" t="s">
        <v>3532</v>
      </c>
      <c r="AW362" s="283">
        <f t="shared" si="46"/>
        <v>212115.833333333</v>
      </c>
      <c r="AX362" s="399"/>
      <c r="AY362" s="399"/>
      <c r="AZ362" s="400"/>
      <c r="BA362" s="400"/>
      <c r="BB362" s="400"/>
      <c r="BC362" s="400"/>
      <c r="BD362" s="400"/>
      <c r="BE362" s="400"/>
      <c r="BF362" s="400"/>
      <c r="BG362" s="400"/>
      <c r="BH362" s="400"/>
      <c r="BI362" s="400"/>
      <c r="BJ362" s="400"/>
      <c r="BK362" s="400"/>
      <c r="BL362" s="400"/>
      <c r="BM362" s="400"/>
      <c r="BN362" s="400"/>
      <c r="BO362" s="400"/>
      <c r="BP362" s="400"/>
      <c r="BQ362" s="400"/>
      <c r="BR362" s="258"/>
      <c r="BS362" s="258"/>
      <c r="BT362" s="258"/>
      <c r="BU362" s="258"/>
      <c r="BV362" s="258"/>
      <c r="BW362" s="258"/>
      <c r="BX362" s="258"/>
      <c r="BY362" s="258"/>
      <c r="BZ362" s="258"/>
      <c r="CA362" s="258"/>
      <c r="CB362" s="258"/>
      <c r="CC362" s="258"/>
      <c r="CD362" s="258">
        <v>277100</v>
      </c>
      <c r="CE362" s="258">
        <v>74500</v>
      </c>
      <c r="CF362" s="258">
        <v>184400</v>
      </c>
      <c r="CG362" s="258">
        <v>165200</v>
      </c>
      <c r="CH362" s="258">
        <v>164600</v>
      </c>
      <c r="CI362" s="258">
        <f>396400*0.2057*2</f>
        <v>163078.96</v>
      </c>
      <c r="CJ362" s="258">
        <v>159500</v>
      </c>
      <c r="CK362" s="283">
        <f t="shared" si="47"/>
        <v>161542.986666667</v>
      </c>
      <c r="CL362" s="398"/>
      <c r="CM362" s="371">
        <f>Summary!$D$23</f>
        <v>176176.176666667</v>
      </c>
      <c r="CN362" s="258">
        <f t="shared" si="45"/>
        <v>1</v>
      </c>
    </row>
    <row r="363" ht="15.6" spans="1:92">
      <c r="A363" s="258" t="s">
        <v>3533</v>
      </c>
      <c r="B363" s="258" t="s">
        <v>812</v>
      </c>
      <c r="C363" s="258" t="s">
        <v>230</v>
      </c>
      <c r="D363" s="258" t="s">
        <v>379</v>
      </c>
      <c r="E363" s="258" t="s">
        <v>233</v>
      </c>
      <c r="F363" s="260" t="s">
        <v>266</v>
      </c>
      <c r="G363" s="260"/>
      <c r="H363" s="283">
        <f t="shared" ref="H363:H373" si="50">(AW363+CK363)/2</f>
        <v>24481.8333333334</v>
      </c>
      <c r="I363" s="361" t="s">
        <v>3314</v>
      </c>
      <c r="J363" s="258"/>
      <c r="K363" s="258"/>
      <c r="L363" s="258"/>
      <c r="M363" s="258"/>
      <c r="N363" s="258"/>
      <c r="O363" s="258"/>
      <c r="P363" s="258"/>
      <c r="Q363" s="258"/>
      <c r="R363" s="258"/>
      <c r="S363" s="258"/>
      <c r="T363" s="258"/>
      <c r="U363" s="258"/>
      <c r="V363" s="258"/>
      <c r="W363" s="258"/>
      <c r="X363" s="258"/>
      <c r="Y363" s="258"/>
      <c r="Z363" s="258"/>
      <c r="AA363" s="258"/>
      <c r="AB363" s="258"/>
      <c r="AC363" s="258"/>
      <c r="AD363" s="258"/>
      <c r="AE363" s="258"/>
      <c r="AF363" s="258"/>
      <c r="AG363" s="258"/>
      <c r="AH363" s="258"/>
      <c r="AI363" s="258"/>
      <c r="AJ363" s="258"/>
      <c r="AK363" s="258"/>
      <c r="AL363" s="258"/>
      <c r="AM363" s="258"/>
      <c r="AN363" s="258"/>
      <c r="AO363" s="258"/>
      <c r="AP363" s="258">
        <v>31895</v>
      </c>
      <c r="AQ363" s="258">
        <v>35351</v>
      </c>
      <c r="AR363" s="283" t="s">
        <v>3534</v>
      </c>
      <c r="AS363" s="283" t="s">
        <v>3535</v>
      </c>
      <c r="AT363" s="283" t="s">
        <v>3536</v>
      </c>
      <c r="AU363" s="283" t="s">
        <v>3537</v>
      </c>
      <c r="AV363" s="283" t="s">
        <v>3538</v>
      </c>
      <c r="AW363" s="283">
        <f t="shared" si="46"/>
        <v>33222</v>
      </c>
      <c r="AX363" s="399"/>
      <c r="AY363" s="399"/>
      <c r="AZ363" s="400"/>
      <c r="BA363" s="400"/>
      <c r="BB363" s="400"/>
      <c r="BC363" s="400"/>
      <c r="BD363" s="400"/>
      <c r="BE363" s="400"/>
      <c r="BF363" s="400"/>
      <c r="BG363" s="400"/>
      <c r="BH363" s="400"/>
      <c r="BI363" s="400"/>
      <c r="BJ363" s="400"/>
      <c r="BK363" s="400"/>
      <c r="BL363" s="400"/>
      <c r="BM363" s="400"/>
      <c r="BN363" s="400"/>
      <c r="BO363" s="400"/>
      <c r="BP363" s="400"/>
      <c r="BQ363" s="400"/>
      <c r="BR363" s="258"/>
      <c r="BS363" s="258"/>
      <c r="BT363" s="258"/>
      <c r="BU363" s="258"/>
      <c r="BV363" s="258"/>
      <c r="BW363" s="258"/>
      <c r="BX363" s="258"/>
      <c r="BY363" s="258"/>
      <c r="BZ363" s="258"/>
      <c r="CA363" s="258"/>
      <c r="CB363" s="258"/>
      <c r="CC363" s="258"/>
      <c r="CD363" s="258">
        <v>14300</v>
      </c>
      <c r="CE363" s="258">
        <f>58100*0.2598*2</f>
        <v>30188.76</v>
      </c>
      <c r="CF363" s="258">
        <v>33661.98</v>
      </c>
      <c r="CG363" s="258">
        <v>17000</v>
      </c>
      <c r="CH363" s="258">
        <v>12400</v>
      </c>
      <c r="CI363" s="258">
        <v>19764</v>
      </c>
      <c r="CJ363" s="258">
        <v>14174</v>
      </c>
      <c r="CK363" s="283">
        <f t="shared" si="47"/>
        <v>15741.6666666667</v>
      </c>
      <c r="CL363" s="398"/>
      <c r="CM363" s="371">
        <f>Summary!$D$25</f>
        <v>163564.626972667</v>
      </c>
      <c r="CN363" s="258">
        <f t="shared" ref="CN363:CN375" si="51">IF(_xlfn.IFNA(CM363,0),IF(AND(H363/CM363&gt;=0.05,B363&lt;&gt;"官网"),1,0),0)</f>
        <v>1</v>
      </c>
    </row>
    <row r="364" ht="15.6" spans="1:92">
      <c r="A364" s="258" t="s">
        <v>3533</v>
      </c>
      <c r="B364" s="258" t="s">
        <v>812</v>
      </c>
      <c r="C364" s="258" t="s">
        <v>230</v>
      </c>
      <c r="D364" s="258" t="s">
        <v>380</v>
      </c>
      <c r="E364" s="258" t="s">
        <v>233</v>
      </c>
      <c r="F364" s="260" t="s">
        <v>266</v>
      </c>
      <c r="G364" s="260"/>
      <c r="H364" s="283">
        <f t="shared" si="50"/>
        <v>24315.8703</v>
      </c>
      <c r="I364" s="361" t="s">
        <v>3314</v>
      </c>
      <c r="J364" s="258"/>
      <c r="K364" s="258"/>
      <c r="L364" s="258"/>
      <c r="M364" s="258"/>
      <c r="N364" s="258"/>
      <c r="O364" s="258"/>
      <c r="P364" s="258"/>
      <c r="Q364" s="258"/>
      <c r="R364" s="258"/>
      <c r="S364" s="258"/>
      <c r="T364" s="258"/>
      <c r="U364" s="258"/>
      <c r="V364" s="258"/>
      <c r="W364" s="258"/>
      <c r="X364" s="258"/>
      <c r="Y364" s="258"/>
      <c r="Z364" s="258"/>
      <c r="AA364" s="258"/>
      <c r="AB364" s="258"/>
      <c r="AC364" s="258"/>
      <c r="AD364" s="258"/>
      <c r="AE364" s="258"/>
      <c r="AF364" s="258"/>
      <c r="AG364" s="258"/>
      <c r="AH364" s="258"/>
      <c r="AI364" s="258"/>
      <c r="AJ364" s="258"/>
      <c r="AK364" s="258"/>
      <c r="AL364" s="258"/>
      <c r="AM364" s="258"/>
      <c r="AN364" s="258"/>
      <c r="AO364" s="258"/>
      <c r="AP364" s="258">
        <v>58484</v>
      </c>
      <c r="AQ364" s="258" t="s">
        <v>3539</v>
      </c>
      <c r="AR364" s="283">
        <v>37923</v>
      </c>
      <c r="AS364" s="283">
        <f>0.1305*2*77502</f>
        <v>20228.022</v>
      </c>
      <c r="AT364" s="283">
        <f>0.0987*2*91638</f>
        <v>18089.3412</v>
      </c>
      <c r="AU364" s="283">
        <f>0.1781*2*64126</f>
        <v>22841.6812</v>
      </c>
      <c r="AV364" s="283">
        <v>39635</v>
      </c>
      <c r="AW364" s="283">
        <f t="shared" si="46"/>
        <v>30446.2839333333</v>
      </c>
      <c r="AX364" s="399"/>
      <c r="AY364" s="399"/>
      <c r="AZ364" s="400"/>
      <c r="BA364" s="400"/>
      <c r="BB364" s="400"/>
      <c r="BC364" s="400"/>
      <c r="BD364" s="400"/>
      <c r="BE364" s="400"/>
      <c r="BF364" s="400"/>
      <c r="BG364" s="400"/>
      <c r="BH364" s="400"/>
      <c r="BI364" s="400"/>
      <c r="BJ364" s="400"/>
      <c r="BK364" s="400"/>
      <c r="BL364" s="400"/>
      <c r="BM364" s="400"/>
      <c r="BN364" s="400"/>
      <c r="BO364" s="400"/>
      <c r="BP364" s="400"/>
      <c r="BQ364" s="400"/>
      <c r="BR364" s="258"/>
      <c r="BS364" s="258"/>
      <c r="BT364" s="258"/>
      <c r="BU364" s="258"/>
      <c r="BV364" s="258"/>
      <c r="BW364" s="258"/>
      <c r="BX364" s="258"/>
      <c r="BY364" s="258"/>
      <c r="BZ364" s="258"/>
      <c r="CA364" s="258"/>
      <c r="CB364" s="258"/>
      <c r="CC364" s="258"/>
      <c r="CD364" s="258">
        <v>32000</v>
      </c>
      <c r="CE364" s="258">
        <v>8500</v>
      </c>
      <c r="CF364" s="258">
        <v>22800</v>
      </c>
      <c r="CG364" s="258">
        <v>14900</v>
      </c>
      <c r="CH364" s="258">
        <v>7300</v>
      </c>
      <c r="CI364" s="258">
        <v>11700</v>
      </c>
      <c r="CJ364" s="258">
        <v>26137.58</v>
      </c>
      <c r="CK364" s="283">
        <f t="shared" si="47"/>
        <v>18185.4566666667</v>
      </c>
      <c r="CL364" s="398"/>
      <c r="CM364" s="371">
        <f>Summary!$D$25</f>
        <v>163564.626972667</v>
      </c>
      <c r="CN364" s="258">
        <f t="shared" si="51"/>
        <v>1</v>
      </c>
    </row>
    <row r="365" ht="15.6" spans="1:92">
      <c r="A365" s="258" t="s">
        <v>3533</v>
      </c>
      <c r="B365" s="258" t="s">
        <v>812</v>
      </c>
      <c r="C365" s="258" t="s">
        <v>230</v>
      </c>
      <c r="D365" s="258" t="s">
        <v>382</v>
      </c>
      <c r="E365" s="258" t="s">
        <v>233</v>
      </c>
      <c r="F365" s="260" t="s">
        <v>411</v>
      </c>
      <c r="G365" s="260"/>
      <c r="H365" s="283">
        <f t="shared" si="50"/>
        <v>13328.9719393333</v>
      </c>
      <c r="I365" s="361" t="s">
        <v>3314</v>
      </c>
      <c r="J365" s="258"/>
      <c r="K365" s="258"/>
      <c r="L365" s="258"/>
      <c r="M365" s="258"/>
      <c r="N365" s="258"/>
      <c r="O365" s="258"/>
      <c r="P365" s="258"/>
      <c r="Q365" s="258"/>
      <c r="R365" s="258"/>
      <c r="S365" s="258"/>
      <c r="T365" s="258"/>
      <c r="U365" s="258"/>
      <c r="V365" s="258"/>
      <c r="W365" s="258"/>
      <c r="X365" s="258"/>
      <c r="Y365" s="258"/>
      <c r="Z365" s="258"/>
      <c r="AA365" s="258"/>
      <c r="AB365" s="258"/>
      <c r="AC365" s="258"/>
      <c r="AD365" s="258"/>
      <c r="AE365" s="258"/>
      <c r="AF365" s="258"/>
      <c r="AG365" s="258"/>
      <c r="AH365" s="258"/>
      <c r="AI365" s="258"/>
      <c r="AJ365" s="258"/>
      <c r="AK365" s="258"/>
      <c r="AL365" s="258"/>
      <c r="AM365" s="258"/>
      <c r="AN365" s="258"/>
      <c r="AO365" s="258"/>
      <c r="AP365" s="258">
        <v>17113</v>
      </c>
      <c r="AQ365" s="258" t="s">
        <v>3540</v>
      </c>
      <c r="AR365" s="283" t="s">
        <v>3541</v>
      </c>
      <c r="AS365" s="283" t="s">
        <v>3542</v>
      </c>
      <c r="AT365" s="283">
        <f>0.2127*2*16478</f>
        <v>7009.7412</v>
      </c>
      <c r="AU365" s="283" t="s">
        <v>2165</v>
      </c>
      <c r="AV365" s="283">
        <f>0.1153*2*45387</f>
        <v>10466.2422</v>
      </c>
      <c r="AW365" s="283">
        <f t="shared" si="46"/>
        <v>11699.7446333333</v>
      </c>
      <c r="AX365" s="399"/>
      <c r="AY365" s="399"/>
      <c r="AZ365" s="400"/>
      <c r="BA365" s="400"/>
      <c r="BB365" s="400"/>
      <c r="BC365" s="400"/>
      <c r="BD365" s="400"/>
      <c r="BE365" s="400"/>
      <c r="BF365" s="400"/>
      <c r="BG365" s="400"/>
      <c r="BH365" s="400"/>
      <c r="BI365" s="400"/>
      <c r="BJ365" s="400"/>
      <c r="BK365" s="400"/>
      <c r="BL365" s="400"/>
      <c r="BM365" s="400"/>
      <c r="BN365" s="400"/>
      <c r="BO365" s="400"/>
      <c r="BP365" s="400"/>
      <c r="BQ365" s="400"/>
      <c r="BR365" s="258"/>
      <c r="BS365" s="258"/>
      <c r="BT365" s="258"/>
      <c r="BU365" s="258"/>
      <c r="BV365" s="258"/>
      <c r="BW365" s="258"/>
      <c r="BX365" s="258"/>
      <c r="BY365" s="258"/>
      <c r="BZ365" s="258"/>
      <c r="CA365" s="258"/>
      <c r="CB365" s="258"/>
      <c r="CC365" s="258"/>
      <c r="CD365" s="258">
        <v>11400</v>
      </c>
      <c r="CE365" s="258">
        <v>4300</v>
      </c>
      <c r="CF365" s="258">
        <v>3591.933644</v>
      </c>
      <c r="CG365" s="258">
        <v>20800</v>
      </c>
      <c r="CH365" s="258">
        <v>5200</v>
      </c>
      <c r="CI365" s="349">
        <v>5910.997736</v>
      </c>
      <c r="CJ365" s="349">
        <v>24242.4</v>
      </c>
      <c r="CK365" s="283">
        <f t="shared" si="47"/>
        <v>14958.1992453333</v>
      </c>
      <c r="CL365" s="398"/>
      <c r="CM365" s="371">
        <f>Summary!$D$25</f>
        <v>163564.626972667</v>
      </c>
      <c r="CN365" s="258">
        <f t="shared" si="51"/>
        <v>1</v>
      </c>
    </row>
    <row r="366" ht="15.6" spans="1:92">
      <c r="A366" s="258" t="s">
        <v>3533</v>
      </c>
      <c r="B366" s="258" t="s">
        <v>812</v>
      </c>
      <c r="C366" s="258" t="s">
        <v>230</v>
      </c>
      <c r="D366" s="258" t="s">
        <v>381</v>
      </c>
      <c r="E366" s="258" t="s">
        <v>233</v>
      </c>
      <c r="F366" s="260" t="s">
        <v>49</v>
      </c>
      <c r="G366" s="260"/>
      <c r="H366" s="283">
        <f t="shared" si="50"/>
        <v>14583.5833333333</v>
      </c>
      <c r="I366" s="361" t="s">
        <v>3314</v>
      </c>
      <c r="J366" s="258"/>
      <c r="K366" s="258"/>
      <c r="L366" s="258"/>
      <c r="M366" s="258"/>
      <c r="N366" s="258"/>
      <c r="O366" s="258"/>
      <c r="P366" s="258"/>
      <c r="Q366" s="258"/>
      <c r="R366" s="258"/>
      <c r="S366" s="258"/>
      <c r="T366" s="258"/>
      <c r="U366" s="258"/>
      <c r="V366" s="258"/>
      <c r="W366" s="258"/>
      <c r="X366" s="258"/>
      <c r="Y366" s="258"/>
      <c r="Z366" s="258"/>
      <c r="AA366" s="258"/>
      <c r="AB366" s="258"/>
      <c r="AC366" s="258"/>
      <c r="AD366" s="258"/>
      <c r="AE366" s="258"/>
      <c r="AF366" s="258"/>
      <c r="AG366" s="258"/>
      <c r="AH366" s="258"/>
      <c r="AI366" s="258"/>
      <c r="AJ366" s="258"/>
      <c r="AK366" s="258"/>
      <c r="AL366" s="258"/>
      <c r="AM366" s="258"/>
      <c r="AN366" s="258"/>
      <c r="AO366" s="258"/>
      <c r="AP366" s="258">
        <v>47965</v>
      </c>
      <c r="AQ366" s="258" t="s">
        <v>3543</v>
      </c>
      <c r="AR366" s="283" t="s">
        <v>3544</v>
      </c>
      <c r="AS366" s="283" t="s">
        <v>3545</v>
      </c>
      <c r="AT366" s="283" t="s">
        <v>3546</v>
      </c>
      <c r="AU366" s="283" t="s">
        <v>3547</v>
      </c>
      <c r="AV366" s="283" t="s">
        <v>3548</v>
      </c>
      <c r="AW366" s="283">
        <f t="shared" si="46"/>
        <v>21850.5</v>
      </c>
      <c r="AX366" s="399"/>
      <c r="AY366" s="399"/>
      <c r="AZ366" s="400"/>
      <c r="BA366" s="400"/>
      <c r="BB366" s="400"/>
      <c r="BC366" s="400"/>
      <c r="BD366" s="400"/>
      <c r="BE366" s="400"/>
      <c r="BF366" s="400"/>
      <c r="BG366" s="400"/>
      <c r="BH366" s="400"/>
      <c r="BI366" s="400"/>
      <c r="BJ366" s="400"/>
      <c r="BK366" s="400"/>
      <c r="BL366" s="400"/>
      <c r="BM366" s="400"/>
      <c r="BN366" s="400"/>
      <c r="BO366" s="400"/>
      <c r="BP366" s="400"/>
      <c r="BQ366" s="400"/>
      <c r="BR366" s="258"/>
      <c r="BS366" s="258"/>
      <c r="BT366" s="258"/>
      <c r="BU366" s="258"/>
      <c r="BV366" s="258"/>
      <c r="BW366" s="258"/>
      <c r="BX366" s="258"/>
      <c r="BY366" s="258"/>
      <c r="BZ366" s="258"/>
      <c r="CA366" s="258"/>
      <c r="CB366" s="258"/>
      <c r="CC366" s="258"/>
      <c r="CD366" s="258">
        <v>6400</v>
      </c>
      <c r="CE366" s="258">
        <v>4300</v>
      </c>
      <c r="CF366" s="258">
        <v>7784.92</v>
      </c>
      <c r="CG366" s="258">
        <v>3200</v>
      </c>
      <c r="CH366" s="258">
        <v>5800</v>
      </c>
      <c r="CI366" s="258">
        <v>3300</v>
      </c>
      <c r="CJ366" s="258">
        <v>10500</v>
      </c>
      <c r="CK366" s="283">
        <f t="shared" si="47"/>
        <v>7316.66666666667</v>
      </c>
      <c r="CL366" s="398"/>
      <c r="CM366" s="371">
        <f>Summary!$D$25</f>
        <v>163564.626972667</v>
      </c>
      <c r="CN366" s="258">
        <f t="shared" si="51"/>
        <v>1</v>
      </c>
    </row>
    <row r="367" ht="15.6" spans="1:92">
      <c r="A367" s="258" t="s">
        <v>3533</v>
      </c>
      <c r="B367" s="258" t="s">
        <v>812</v>
      </c>
      <c r="C367" s="258" t="s">
        <v>230</v>
      </c>
      <c r="D367" s="258" t="s">
        <v>3549</v>
      </c>
      <c r="E367" s="258" t="s">
        <v>233</v>
      </c>
      <c r="F367" s="260" t="s">
        <v>423</v>
      </c>
      <c r="G367" s="260"/>
      <c r="H367" s="283">
        <f t="shared" si="50"/>
        <v>3278.61333333334</v>
      </c>
      <c r="I367" s="361" t="s">
        <v>3314</v>
      </c>
      <c r="J367" s="258"/>
      <c r="K367" s="258"/>
      <c r="L367" s="258"/>
      <c r="M367" s="258"/>
      <c r="N367" s="258"/>
      <c r="O367" s="258"/>
      <c r="P367" s="258"/>
      <c r="Q367" s="258"/>
      <c r="R367" s="258"/>
      <c r="S367" s="258"/>
      <c r="T367" s="258"/>
      <c r="U367" s="258"/>
      <c r="V367" s="258"/>
      <c r="W367" s="258"/>
      <c r="X367" s="258"/>
      <c r="Y367" s="258"/>
      <c r="Z367" s="258"/>
      <c r="AA367" s="258"/>
      <c r="AB367" s="258"/>
      <c r="AC367" s="258"/>
      <c r="AD367" s="258"/>
      <c r="AE367" s="258"/>
      <c r="AF367" s="258"/>
      <c r="AG367" s="258"/>
      <c r="AH367" s="258"/>
      <c r="AI367" s="258"/>
      <c r="AJ367" s="258"/>
      <c r="AK367" s="258"/>
      <c r="AL367" s="258"/>
      <c r="AM367" s="258"/>
      <c r="AN367" s="258"/>
      <c r="AO367" s="258"/>
      <c r="AP367" s="258">
        <v>11123</v>
      </c>
      <c r="AQ367" s="258" t="s">
        <v>3550</v>
      </c>
      <c r="AR367" s="283" t="s">
        <v>3551</v>
      </c>
      <c r="AS367" s="283" t="s">
        <v>3552</v>
      </c>
      <c r="AT367" s="283" t="s">
        <v>3553</v>
      </c>
      <c r="AU367" s="283" t="s">
        <v>793</v>
      </c>
      <c r="AV367" s="283" t="s">
        <v>3554</v>
      </c>
      <c r="AW367" s="283">
        <f t="shared" si="46"/>
        <v>2428</v>
      </c>
      <c r="AX367" s="399"/>
      <c r="AY367" s="399"/>
      <c r="AZ367" s="400"/>
      <c r="BA367" s="400"/>
      <c r="BB367" s="400"/>
      <c r="BC367" s="400"/>
      <c r="BD367" s="400"/>
      <c r="BE367" s="400"/>
      <c r="BF367" s="400"/>
      <c r="BG367" s="400"/>
      <c r="BH367" s="400"/>
      <c r="BI367" s="400"/>
      <c r="BJ367" s="400"/>
      <c r="BK367" s="400"/>
      <c r="BL367" s="400"/>
      <c r="BM367" s="400"/>
      <c r="BN367" s="400"/>
      <c r="BO367" s="400"/>
      <c r="BP367" s="400"/>
      <c r="BQ367" s="400"/>
      <c r="BR367" s="258"/>
      <c r="BS367" s="258"/>
      <c r="BT367" s="258"/>
      <c r="BU367" s="258"/>
      <c r="BV367" s="258"/>
      <c r="BW367" s="258"/>
      <c r="BX367" s="258"/>
      <c r="BY367" s="258"/>
      <c r="BZ367" s="258"/>
      <c r="CA367" s="258"/>
      <c r="CB367" s="258"/>
      <c r="CC367" s="258"/>
      <c r="CD367" s="258">
        <v>5200</v>
      </c>
      <c r="CE367" s="258">
        <v>5800</v>
      </c>
      <c r="CF367" s="258">
        <v>384</v>
      </c>
      <c r="CG367" s="258">
        <v>10975.5</v>
      </c>
      <c r="CH367" s="258">
        <v>3300</v>
      </c>
      <c r="CI367" s="258">
        <f>0.0128*2*237800</f>
        <v>6087.68</v>
      </c>
      <c r="CJ367" s="258">
        <v>3100</v>
      </c>
      <c r="CK367" s="283">
        <f t="shared" si="47"/>
        <v>4129.22666666667</v>
      </c>
      <c r="CL367" s="398"/>
      <c r="CM367" s="371">
        <f>Summary!$D$25</f>
        <v>163564.626972667</v>
      </c>
      <c r="CN367" s="258">
        <f t="shared" si="51"/>
        <v>0</v>
      </c>
    </row>
    <row r="368" ht="15.6" spans="1:92">
      <c r="A368" s="258" t="s">
        <v>3533</v>
      </c>
      <c r="B368" s="258" t="s">
        <v>812</v>
      </c>
      <c r="C368" s="258" t="s">
        <v>230</v>
      </c>
      <c r="D368" s="258" t="s">
        <v>384</v>
      </c>
      <c r="E368" s="258" t="s">
        <v>233</v>
      </c>
      <c r="F368" s="260" t="s">
        <v>49</v>
      </c>
      <c r="G368" s="260"/>
      <c r="H368" s="283">
        <f t="shared" si="50"/>
        <v>6800.48666666667</v>
      </c>
      <c r="I368" s="361" t="s">
        <v>3314</v>
      </c>
      <c r="J368" s="258"/>
      <c r="K368" s="258"/>
      <c r="L368" s="258"/>
      <c r="M368" s="258"/>
      <c r="N368" s="258"/>
      <c r="O368" s="258"/>
      <c r="P368" s="258"/>
      <c r="Q368" s="258"/>
      <c r="R368" s="258"/>
      <c r="S368" s="258"/>
      <c r="T368" s="258"/>
      <c r="U368" s="258"/>
      <c r="V368" s="258"/>
      <c r="W368" s="258"/>
      <c r="X368" s="258"/>
      <c r="Y368" s="258"/>
      <c r="Z368" s="258"/>
      <c r="AA368" s="258"/>
      <c r="AB368" s="258"/>
      <c r="AC368" s="258"/>
      <c r="AD368" s="258"/>
      <c r="AE368" s="258"/>
      <c r="AF368" s="258"/>
      <c r="AG368" s="258"/>
      <c r="AH368" s="258"/>
      <c r="AI368" s="258"/>
      <c r="AJ368" s="258"/>
      <c r="AK368" s="258"/>
      <c r="AL368" s="258"/>
      <c r="AM368" s="258"/>
      <c r="AN368" s="258"/>
      <c r="AO368" s="258"/>
      <c r="AP368" s="258">
        <v>7694</v>
      </c>
      <c r="AQ368" s="258">
        <v>9182</v>
      </c>
      <c r="AR368" s="283" t="s">
        <v>3555</v>
      </c>
      <c r="AS368" s="283" t="s">
        <v>3556</v>
      </c>
      <c r="AT368" s="283" t="s">
        <v>3557</v>
      </c>
      <c r="AU368" s="283" t="s">
        <v>2165</v>
      </c>
      <c r="AV368" s="283" t="s">
        <v>3558</v>
      </c>
      <c r="AW368" s="283">
        <f t="shared" si="46"/>
        <v>9197.66666666667</v>
      </c>
      <c r="AX368" s="399"/>
      <c r="AY368" s="399"/>
      <c r="AZ368" s="400"/>
      <c r="BA368" s="400"/>
      <c r="BB368" s="400"/>
      <c r="BC368" s="400"/>
      <c r="BD368" s="400"/>
      <c r="BE368" s="400"/>
      <c r="BF368" s="400"/>
      <c r="BG368" s="400"/>
      <c r="BH368" s="400"/>
      <c r="BI368" s="400"/>
      <c r="BJ368" s="400"/>
      <c r="BK368" s="400"/>
      <c r="BL368" s="400"/>
      <c r="BM368" s="400"/>
      <c r="BN368" s="400"/>
      <c r="BO368" s="400"/>
      <c r="BP368" s="400"/>
      <c r="BQ368" s="400"/>
      <c r="BR368" s="258"/>
      <c r="BS368" s="258"/>
      <c r="BT368" s="258"/>
      <c r="BU368" s="258"/>
      <c r="BV368" s="258"/>
      <c r="BW368" s="258"/>
      <c r="BX368" s="258"/>
      <c r="BY368" s="258"/>
      <c r="BZ368" s="258"/>
      <c r="CA368" s="258"/>
      <c r="CB368" s="258"/>
      <c r="CC368" s="258"/>
      <c r="CD368" s="258">
        <v>14900</v>
      </c>
      <c r="CE368" s="258">
        <v>2700</v>
      </c>
      <c r="CF368" s="258">
        <v>5714.5</v>
      </c>
      <c r="CG368" s="258">
        <v>5700</v>
      </c>
      <c r="CH368" s="258">
        <v>2200</v>
      </c>
      <c r="CI368" s="258">
        <f>0.3656*2*14100</f>
        <v>10309.92</v>
      </c>
      <c r="CJ368" s="258">
        <v>1200</v>
      </c>
      <c r="CK368" s="283">
        <f t="shared" si="47"/>
        <v>4403.30666666667</v>
      </c>
      <c r="CL368" s="398"/>
      <c r="CM368" s="371">
        <f>Summary!$D$25</f>
        <v>163564.626972667</v>
      </c>
      <c r="CN368" s="258">
        <f t="shared" si="51"/>
        <v>0</v>
      </c>
    </row>
    <row r="369" ht="15.6" spans="1:92">
      <c r="A369" s="258" t="s">
        <v>3533</v>
      </c>
      <c r="B369" s="258" t="s">
        <v>812</v>
      </c>
      <c r="C369" s="258" t="s">
        <v>325</v>
      </c>
      <c r="D369" s="258" t="s">
        <v>383</v>
      </c>
      <c r="E369" s="258" t="s">
        <v>233</v>
      </c>
      <c r="F369" s="260" t="s">
        <v>49</v>
      </c>
      <c r="G369" s="260"/>
      <c r="H369" s="283">
        <f t="shared" si="50"/>
        <v>12766.1367</v>
      </c>
      <c r="I369" s="361" t="s">
        <v>3314</v>
      </c>
      <c r="J369" s="258"/>
      <c r="K369" s="258"/>
      <c r="L369" s="258"/>
      <c r="M369" s="258"/>
      <c r="N369" s="258"/>
      <c r="O369" s="258"/>
      <c r="P369" s="258"/>
      <c r="Q369" s="258"/>
      <c r="R369" s="258"/>
      <c r="S369" s="258"/>
      <c r="T369" s="258"/>
      <c r="U369" s="258"/>
      <c r="V369" s="258"/>
      <c r="W369" s="258"/>
      <c r="X369" s="258"/>
      <c r="Y369" s="258"/>
      <c r="Z369" s="258"/>
      <c r="AA369" s="258"/>
      <c r="AB369" s="258"/>
      <c r="AC369" s="258"/>
      <c r="AD369" s="258"/>
      <c r="AE369" s="258"/>
      <c r="AF369" s="258"/>
      <c r="AG369" s="258"/>
      <c r="AH369" s="258"/>
      <c r="AI369" s="258"/>
      <c r="AJ369" s="258"/>
      <c r="AK369" s="258"/>
      <c r="AL369" s="258"/>
      <c r="AM369" s="258"/>
      <c r="AN369" s="258"/>
      <c r="AO369" s="258"/>
      <c r="AP369" s="258">
        <v>14777</v>
      </c>
      <c r="AQ369" s="258" t="s">
        <v>3559</v>
      </c>
      <c r="AR369" s="283">
        <v>16686</v>
      </c>
      <c r="AS369" s="283">
        <f>0.2048*2*42736</f>
        <v>17504.6656</v>
      </c>
      <c r="AT369" s="283">
        <f>0.1742*2*37981</f>
        <v>13232.5804</v>
      </c>
      <c r="AU369" s="283">
        <v>11827</v>
      </c>
      <c r="AV369" s="283">
        <v>23113</v>
      </c>
      <c r="AW369" s="283">
        <f t="shared" si="46"/>
        <v>17704.2634</v>
      </c>
      <c r="AX369" s="399"/>
      <c r="AY369" s="399"/>
      <c r="AZ369" s="400"/>
      <c r="BA369" s="400"/>
      <c r="BB369" s="400"/>
      <c r="BC369" s="400"/>
      <c r="BD369" s="400"/>
      <c r="BE369" s="400"/>
      <c r="BF369" s="400"/>
      <c r="BG369" s="400"/>
      <c r="BH369" s="400"/>
      <c r="BI369" s="400"/>
      <c r="BJ369" s="400"/>
      <c r="BK369" s="400"/>
      <c r="BL369" s="400"/>
      <c r="BM369" s="400"/>
      <c r="BN369" s="400"/>
      <c r="BO369" s="400"/>
      <c r="BP369" s="400"/>
      <c r="BQ369" s="400"/>
      <c r="BR369" s="258"/>
      <c r="BS369" s="258"/>
      <c r="BT369" s="258"/>
      <c r="BU369" s="258"/>
      <c r="BV369" s="258"/>
      <c r="BW369" s="258"/>
      <c r="BX369" s="258"/>
      <c r="BY369" s="258"/>
      <c r="BZ369" s="258"/>
      <c r="CA369" s="258"/>
      <c r="CB369" s="258"/>
      <c r="CC369" s="258"/>
      <c r="CD369" s="258">
        <v>33536.76</v>
      </c>
      <c r="CE369" s="258">
        <v>29400</v>
      </c>
      <c r="CF369" s="258">
        <v>29700</v>
      </c>
      <c r="CG369" s="258">
        <v>23965.62</v>
      </c>
      <c r="CH369" s="258">
        <v>10868.06</v>
      </c>
      <c r="CI369" s="258">
        <v>8000</v>
      </c>
      <c r="CJ369" s="258">
        <v>6700</v>
      </c>
      <c r="CK369" s="283">
        <f t="shared" si="47"/>
        <v>7828.01</v>
      </c>
      <c r="CL369" s="398"/>
      <c r="CM369" s="371">
        <f>Summary!$D$25</f>
        <v>163564.626972667</v>
      </c>
      <c r="CN369" s="258">
        <f t="shared" si="51"/>
        <v>1</v>
      </c>
    </row>
    <row r="370" ht="15.6" spans="1:92">
      <c r="A370" s="258" t="s">
        <v>3533</v>
      </c>
      <c r="B370" s="258" t="s">
        <v>812</v>
      </c>
      <c r="C370" s="258" t="s">
        <v>230</v>
      </c>
      <c r="D370" s="258" t="s">
        <v>2009</v>
      </c>
      <c r="E370" s="258" t="s">
        <v>233</v>
      </c>
      <c r="F370" s="260"/>
      <c r="G370" s="260"/>
      <c r="H370" s="283">
        <f t="shared" si="50"/>
        <v>1678.66666666667</v>
      </c>
      <c r="I370" s="361" t="s">
        <v>3314</v>
      </c>
      <c r="J370" s="258"/>
      <c r="K370" s="258"/>
      <c r="L370" s="258"/>
      <c r="M370" s="258"/>
      <c r="N370" s="258"/>
      <c r="O370" s="258"/>
      <c r="P370" s="258"/>
      <c r="Q370" s="258"/>
      <c r="R370" s="258"/>
      <c r="S370" s="258"/>
      <c r="T370" s="258"/>
      <c r="U370" s="258"/>
      <c r="V370" s="258"/>
      <c r="W370" s="258"/>
      <c r="X370" s="258"/>
      <c r="Y370" s="258"/>
      <c r="Z370" s="258"/>
      <c r="AA370" s="258"/>
      <c r="AB370" s="258"/>
      <c r="AC370" s="258"/>
      <c r="AD370" s="258"/>
      <c r="AE370" s="258"/>
      <c r="AF370" s="258"/>
      <c r="AG370" s="258"/>
      <c r="AH370" s="258"/>
      <c r="AI370" s="258"/>
      <c r="AJ370" s="258"/>
      <c r="AK370" s="258"/>
      <c r="AL370" s="258"/>
      <c r="AM370" s="258"/>
      <c r="AN370" s="258"/>
      <c r="AO370" s="258"/>
      <c r="AP370" s="258">
        <v>6604</v>
      </c>
      <c r="AQ370" s="258" t="s">
        <v>2013</v>
      </c>
      <c r="AR370" s="283" t="s">
        <v>2014</v>
      </c>
      <c r="AS370" s="283" t="s">
        <v>2015</v>
      </c>
      <c r="AT370" s="283" t="s">
        <v>2016</v>
      </c>
      <c r="AU370" s="283" t="s">
        <v>2017</v>
      </c>
      <c r="AV370" s="283" t="s">
        <v>2018</v>
      </c>
      <c r="AW370" s="283">
        <f t="shared" si="46"/>
        <v>3357.33333333333</v>
      </c>
      <c r="AX370" s="399"/>
      <c r="AY370" s="399"/>
      <c r="AZ370" s="400"/>
      <c r="BA370" s="400"/>
      <c r="BB370" s="400"/>
      <c r="BC370" s="400"/>
      <c r="BD370" s="400"/>
      <c r="BE370" s="400"/>
      <c r="BF370" s="400"/>
      <c r="BG370" s="400"/>
      <c r="BH370" s="400"/>
      <c r="BI370" s="400"/>
      <c r="BJ370" s="400"/>
      <c r="BK370" s="400"/>
      <c r="BL370" s="400"/>
      <c r="BM370" s="400"/>
      <c r="BN370" s="400"/>
      <c r="BO370" s="400"/>
      <c r="BP370" s="400"/>
      <c r="BQ370" s="400"/>
      <c r="BR370" s="258"/>
      <c r="BS370" s="258"/>
      <c r="BT370" s="258"/>
      <c r="BU370" s="258"/>
      <c r="BV370" s="258"/>
      <c r="BW370" s="258"/>
      <c r="BX370" s="258"/>
      <c r="BY370" s="258"/>
      <c r="BZ370" s="258"/>
      <c r="CA370" s="258"/>
      <c r="CB370" s="258"/>
      <c r="CC370" s="258"/>
      <c r="CD370" s="258">
        <v>862</v>
      </c>
      <c r="CE370" s="258">
        <v>1300</v>
      </c>
      <c r="CF370" s="258">
        <v>2500</v>
      </c>
      <c r="CG370" s="258">
        <v>624</v>
      </c>
      <c r="CH370" s="258">
        <v>0</v>
      </c>
      <c r="CI370" s="258">
        <v>0</v>
      </c>
      <c r="CJ370" s="258">
        <v>0</v>
      </c>
      <c r="CK370" s="283">
        <f t="shared" si="47"/>
        <v>0</v>
      </c>
      <c r="CL370" s="398"/>
      <c r="CM370" s="371">
        <f>Summary!$D$25</f>
        <v>163564.626972667</v>
      </c>
      <c r="CN370" s="258">
        <f t="shared" si="51"/>
        <v>0</v>
      </c>
    </row>
    <row r="371" ht="15.6" spans="1:92">
      <c r="A371" s="258" t="s">
        <v>3533</v>
      </c>
      <c r="B371" s="258" t="s">
        <v>812</v>
      </c>
      <c r="C371" s="258" t="s">
        <v>230</v>
      </c>
      <c r="D371" s="258" t="s">
        <v>3560</v>
      </c>
      <c r="E371" s="258" t="s">
        <v>233</v>
      </c>
      <c r="F371" s="260" t="s">
        <v>412</v>
      </c>
      <c r="G371" s="260"/>
      <c r="H371" s="283">
        <f t="shared" si="50"/>
        <v>334</v>
      </c>
      <c r="I371" s="361" t="s">
        <v>3314</v>
      </c>
      <c r="J371" s="258"/>
      <c r="K371" s="258"/>
      <c r="L371" s="258"/>
      <c r="M371" s="258"/>
      <c r="N371" s="258"/>
      <c r="O371" s="258"/>
      <c r="P371" s="258"/>
      <c r="Q371" s="258"/>
      <c r="R371" s="258"/>
      <c r="S371" s="258"/>
      <c r="T371" s="258"/>
      <c r="U371" s="258"/>
      <c r="V371" s="258"/>
      <c r="W371" s="258"/>
      <c r="X371" s="258"/>
      <c r="Y371" s="258"/>
      <c r="Z371" s="258"/>
      <c r="AA371" s="258"/>
      <c r="AB371" s="258"/>
      <c r="AC371" s="258"/>
      <c r="AD371" s="258"/>
      <c r="AE371" s="258"/>
      <c r="AF371" s="258"/>
      <c r="AG371" s="258"/>
      <c r="AH371" s="258"/>
      <c r="AI371" s="258"/>
      <c r="AJ371" s="258"/>
      <c r="AK371" s="258"/>
      <c r="AL371" s="258"/>
      <c r="AM371" s="258"/>
      <c r="AN371" s="258"/>
      <c r="AO371" s="258"/>
      <c r="AP371" s="258">
        <v>1833</v>
      </c>
      <c r="AQ371" s="258" t="s">
        <v>3561</v>
      </c>
      <c r="AR371" s="283" t="s">
        <v>3562</v>
      </c>
      <c r="AS371" s="283" t="s">
        <v>3563</v>
      </c>
      <c r="AT371" s="283" t="s">
        <v>3564</v>
      </c>
      <c r="AU371" s="283" t="s">
        <v>796</v>
      </c>
      <c r="AV371" s="283" t="s">
        <v>3565</v>
      </c>
      <c r="AW371" s="283">
        <f t="shared" si="46"/>
        <v>643.166666666667</v>
      </c>
      <c r="AX371" s="399"/>
      <c r="AY371" s="399"/>
      <c r="AZ371" s="400"/>
      <c r="BA371" s="400"/>
      <c r="BB371" s="400"/>
      <c r="BC371" s="400"/>
      <c r="BD371" s="400"/>
      <c r="BE371" s="400"/>
      <c r="BF371" s="400"/>
      <c r="BG371" s="400"/>
      <c r="BH371" s="400"/>
      <c r="BI371" s="400"/>
      <c r="BJ371" s="400"/>
      <c r="BK371" s="400"/>
      <c r="BL371" s="400"/>
      <c r="BM371" s="400"/>
      <c r="BN371" s="400"/>
      <c r="BO371" s="400"/>
      <c r="BP371" s="400"/>
      <c r="BQ371" s="400"/>
      <c r="BR371" s="258"/>
      <c r="BS371" s="258"/>
      <c r="BT371" s="258"/>
      <c r="BU371" s="258"/>
      <c r="BV371" s="258"/>
      <c r="BW371" s="258"/>
      <c r="BX371" s="258"/>
      <c r="BY371" s="258"/>
      <c r="BZ371" s="258"/>
      <c r="CA371" s="258"/>
      <c r="CB371" s="258"/>
      <c r="CC371" s="258"/>
      <c r="CD371" s="258">
        <v>3900</v>
      </c>
      <c r="CE371" s="258">
        <v>495</v>
      </c>
      <c r="CF371" s="258">
        <v>2200</v>
      </c>
      <c r="CG371" s="258">
        <v>299</v>
      </c>
      <c r="CH371" s="258">
        <v>149</v>
      </c>
      <c r="CI371" s="258">
        <v>0</v>
      </c>
      <c r="CJ371" s="258">
        <v>0</v>
      </c>
      <c r="CK371" s="283">
        <f t="shared" si="47"/>
        <v>24.8333333333333</v>
      </c>
      <c r="CL371" s="398"/>
      <c r="CM371" s="371">
        <f>Summary!$D$25</f>
        <v>163564.626972667</v>
      </c>
      <c r="CN371" s="258">
        <f t="shared" si="51"/>
        <v>0</v>
      </c>
    </row>
    <row r="372" ht="15.6" spans="1:92">
      <c r="A372" s="258" t="s">
        <v>3533</v>
      </c>
      <c r="B372" s="258" t="s">
        <v>812</v>
      </c>
      <c r="C372" s="258" t="s">
        <v>230</v>
      </c>
      <c r="D372" s="258" t="s">
        <v>3566</v>
      </c>
      <c r="E372" s="258" t="s">
        <v>233</v>
      </c>
      <c r="F372" s="260" t="s">
        <v>3567</v>
      </c>
      <c r="G372" s="260"/>
      <c r="H372" s="283">
        <f t="shared" si="50"/>
        <v>1786.5</v>
      </c>
      <c r="I372" s="361" t="s">
        <v>3314</v>
      </c>
      <c r="J372" s="258"/>
      <c r="K372" s="258"/>
      <c r="L372" s="258"/>
      <c r="M372" s="258"/>
      <c r="N372" s="258"/>
      <c r="O372" s="258"/>
      <c r="P372" s="258"/>
      <c r="Q372" s="258"/>
      <c r="R372" s="258"/>
      <c r="S372" s="258"/>
      <c r="T372" s="258"/>
      <c r="U372" s="258"/>
      <c r="V372" s="258"/>
      <c r="W372" s="258"/>
      <c r="X372" s="258"/>
      <c r="Y372" s="258"/>
      <c r="Z372" s="258"/>
      <c r="AA372" s="258"/>
      <c r="AB372" s="258"/>
      <c r="AC372" s="258"/>
      <c r="AD372" s="258"/>
      <c r="AE372" s="258"/>
      <c r="AF372" s="258"/>
      <c r="AG372" s="258"/>
      <c r="AH372" s="258"/>
      <c r="AI372" s="258"/>
      <c r="AJ372" s="258"/>
      <c r="AK372" s="258"/>
      <c r="AL372" s="258"/>
      <c r="AM372" s="258"/>
      <c r="AN372" s="258"/>
      <c r="AO372" s="258"/>
      <c r="AP372" s="258">
        <v>6881</v>
      </c>
      <c r="AQ372" s="258" t="s">
        <v>3568</v>
      </c>
      <c r="AR372" s="283" t="s">
        <v>3569</v>
      </c>
      <c r="AS372" s="283" t="s">
        <v>3570</v>
      </c>
      <c r="AT372" s="283" t="s">
        <v>3571</v>
      </c>
      <c r="AU372" s="283" t="s">
        <v>3572</v>
      </c>
      <c r="AV372" s="283" t="s">
        <v>3573</v>
      </c>
      <c r="AW372" s="283">
        <f t="shared" si="46"/>
        <v>1173</v>
      </c>
      <c r="AX372" s="399"/>
      <c r="AY372" s="399"/>
      <c r="AZ372" s="400"/>
      <c r="BA372" s="400"/>
      <c r="BB372" s="400"/>
      <c r="BC372" s="400"/>
      <c r="BD372" s="400"/>
      <c r="BE372" s="400"/>
      <c r="BF372" s="400"/>
      <c r="BG372" s="400"/>
      <c r="BH372" s="400"/>
      <c r="BI372" s="400"/>
      <c r="BJ372" s="400"/>
      <c r="BK372" s="400"/>
      <c r="BL372" s="400"/>
      <c r="BM372" s="400"/>
      <c r="BN372" s="400"/>
      <c r="BO372" s="400"/>
      <c r="BP372" s="400"/>
      <c r="BQ372" s="400"/>
      <c r="BR372" s="258"/>
      <c r="BS372" s="258"/>
      <c r="BT372" s="258"/>
      <c r="BU372" s="258"/>
      <c r="BV372" s="258"/>
      <c r="BW372" s="258"/>
      <c r="BX372" s="258"/>
      <c r="BY372" s="258"/>
      <c r="BZ372" s="258"/>
      <c r="CA372" s="258"/>
      <c r="CB372" s="258"/>
      <c r="CC372" s="258"/>
      <c r="CD372" s="258">
        <v>1724</v>
      </c>
      <c r="CE372" s="258">
        <v>1200</v>
      </c>
      <c r="CF372" s="258">
        <v>439</v>
      </c>
      <c r="CG372" s="258">
        <v>1600</v>
      </c>
      <c r="CH372" s="258">
        <v>0</v>
      </c>
      <c r="CI372" s="258">
        <v>4500</v>
      </c>
      <c r="CJ372" s="258">
        <v>1800</v>
      </c>
      <c r="CK372" s="283">
        <f t="shared" si="47"/>
        <v>2400</v>
      </c>
      <c r="CL372" s="398"/>
      <c r="CM372" s="371">
        <f>Summary!$D$25</f>
        <v>163564.626972667</v>
      </c>
      <c r="CN372" s="258">
        <f t="shared" si="51"/>
        <v>0</v>
      </c>
    </row>
    <row r="373" ht="15.6" spans="1:92">
      <c r="A373" s="258" t="s">
        <v>3533</v>
      </c>
      <c r="B373" s="258" t="s">
        <v>812</v>
      </c>
      <c r="C373" s="258" t="s">
        <v>230</v>
      </c>
      <c r="D373" s="258" t="s">
        <v>3574</v>
      </c>
      <c r="E373" s="258" t="s">
        <v>233</v>
      </c>
      <c r="F373" s="260" t="s">
        <v>266</v>
      </c>
      <c r="G373" s="260"/>
      <c r="H373" s="283">
        <f t="shared" si="50"/>
        <v>1872.16666666667</v>
      </c>
      <c r="I373" s="361" t="s">
        <v>3314</v>
      </c>
      <c r="J373" s="258"/>
      <c r="K373" s="258"/>
      <c r="L373" s="258"/>
      <c r="M373" s="258"/>
      <c r="N373" s="258"/>
      <c r="O373" s="258"/>
      <c r="P373" s="258"/>
      <c r="Q373" s="258"/>
      <c r="R373" s="258"/>
      <c r="S373" s="258"/>
      <c r="T373" s="258"/>
      <c r="U373" s="258"/>
      <c r="V373" s="258"/>
      <c r="W373" s="258"/>
      <c r="X373" s="258"/>
      <c r="Y373" s="258"/>
      <c r="Z373" s="258"/>
      <c r="AA373" s="258"/>
      <c r="AB373" s="258"/>
      <c r="AC373" s="258"/>
      <c r="AD373" s="258"/>
      <c r="AE373" s="258"/>
      <c r="AF373" s="258"/>
      <c r="AG373" s="258"/>
      <c r="AH373" s="258"/>
      <c r="AI373" s="258"/>
      <c r="AJ373" s="258"/>
      <c r="AK373" s="258"/>
      <c r="AL373" s="258"/>
      <c r="AM373" s="258"/>
      <c r="AN373" s="258"/>
      <c r="AO373" s="258"/>
      <c r="AP373" s="258">
        <v>8012</v>
      </c>
      <c r="AQ373" s="258">
        <v>8593</v>
      </c>
      <c r="AR373" s="283" t="s">
        <v>3541</v>
      </c>
      <c r="AS373" s="283" t="s">
        <v>3575</v>
      </c>
      <c r="AT373" s="283" t="s">
        <v>3576</v>
      </c>
      <c r="AU373" s="283" t="s">
        <v>3577</v>
      </c>
      <c r="AV373" s="283" t="s">
        <v>3037</v>
      </c>
      <c r="AW373" s="283">
        <f t="shared" si="46"/>
        <v>3471.33333333333</v>
      </c>
      <c r="AX373" s="399"/>
      <c r="AY373" s="399"/>
      <c r="AZ373" s="400"/>
      <c r="BA373" s="400"/>
      <c r="BB373" s="400"/>
      <c r="BC373" s="400"/>
      <c r="BD373" s="400"/>
      <c r="BE373" s="400"/>
      <c r="BF373" s="400"/>
      <c r="BG373" s="400"/>
      <c r="BH373" s="400"/>
      <c r="BI373" s="400"/>
      <c r="BJ373" s="400"/>
      <c r="BK373" s="400"/>
      <c r="BL373" s="400"/>
      <c r="BM373" s="400"/>
      <c r="BN373" s="400"/>
      <c r="BO373" s="400"/>
      <c r="BP373" s="400"/>
      <c r="BQ373" s="400"/>
      <c r="BR373" s="258"/>
      <c r="BS373" s="258"/>
      <c r="BT373" s="258"/>
      <c r="BU373" s="258"/>
      <c r="BV373" s="258"/>
      <c r="BW373" s="258"/>
      <c r="BX373" s="258"/>
      <c r="BY373" s="258"/>
      <c r="BZ373" s="258"/>
      <c r="CA373" s="258"/>
      <c r="CB373" s="258"/>
      <c r="CC373" s="258"/>
      <c r="CD373" s="258">
        <v>1724</v>
      </c>
      <c r="CE373" s="258">
        <v>2000</v>
      </c>
      <c r="CF373" s="258">
        <v>2000</v>
      </c>
      <c r="CG373" s="258">
        <v>0</v>
      </c>
      <c r="CH373" s="258">
        <v>0</v>
      </c>
      <c r="CI373" s="258">
        <v>0</v>
      </c>
      <c r="CJ373" s="258">
        <v>546</v>
      </c>
      <c r="CK373" s="283">
        <f t="shared" si="47"/>
        <v>273</v>
      </c>
      <c r="CL373" s="398"/>
      <c r="CM373" s="371">
        <f>Summary!$D$25</f>
        <v>163564.626972667</v>
      </c>
      <c r="CN373" s="258">
        <f t="shared" si="51"/>
        <v>0</v>
      </c>
    </row>
    <row r="374" ht="15.6" spans="1:92">
      <c r="A374" s="258" t="s">
        <v>168</v>
      </c>
      <c r="B374" s="258" t="s">
        <v>694</v>
      </c>
      <c r="C374" s="258" t="s">
        <v>230</v>
      </c>
      <c r="D374" s="258" t="s">
        <v>416</v>
      </c>
      <c r="E374" s="258" t="s">
        <v>233</v>
      </c>
      <c r="F374" s="260" t="s">
        <v>291</v>
      </c>
      <c r="G374" s="260"/>
      <c r="H374" s="283">
        <f>(AW374+CK374)/2*0.2</f>
        <v>3019</v>
      </c>
      <c r="I374" s="260" t="s">
        <v>3578</v>
      </c>
      <c r="J374" s="258"/>
      <c r="K374" s="258"/>
      <c r="L374" s="258"/>
      <c r="M374" s="258"/>
      <c r="N374" s="258"/>
      <c r="O374" s="258"/>
      <c r="P374" s="258"/>
      <c r="Q374" s="258"/>
      <c r="R374" s="258"/>
      <c r="S374" s="258"/>
      <c r="T374" s="258"/>
      <c r="U374" s="258"/>
      <c r="V374" s="258"/>
      <c r="W374" s="258"/>
      <c r="X374" s="258"/>
      <c r="Y374" s="258"/>
      <c r="Z374" s="258"/>
      <c r="AA374" s="258"/>
      <c r="AB374" s="258"/>
      <c r="AC374" s="258"/>
      <c r="AD374" s="258"/>
      <c r="AE374" s="258"/>
      <c r="AF374" s="258"/>
      <c r="AG374" s="258"/>
      <c r="AH374" s="258"/>
      <c r="AI374" s="258"/>
      <c r="AJ374" s="258"/>
      <c r="AK374" s="258"/>
      <c r="AL374" s="258"/>
      <c r="AM374" s="283" t="s">
        <v>2494</v>
      </c>
      <c r="AN374" s="283" t="s">
        <v>2495</v>
      </c>
      <c r="AO374" s="283" t="s">
        <v>2496</v>
      </c>
      <c r="AP374" s="367">
        <v>217981</v>
      </c>
      <c r="AQ374" s="367" t="s">
        <v>2497</v>
      </c>
      <c r="AR374" s="283" t="s">
        <v>2498</v>
      </c>
      <c r="AS374" s="283" t="s">
        <v>1285</v>
      </c>
      <c r="AT374" s="283" t="s">
        <v>2499</v>
      </c>
      <c r="AU374" s="283" t="s">
        <v>2500</v>
      </c>
      <c r="AV374" s="283" t="s">
        <v>2501</v>
      </c>
      <c r="AW374" s="283">
        <f t="shared" si="46"/>
        <v>4240</v>
      </c>
      <c r="AX374" s="399"/>
      <c r="AY374" s="399"/>
      <c r="AZ374" s="400"/>
      <c r="BA374" s="400"/>
      <c r="BB374" s="400"/>
      <c r="BC374" s="400"/>
      <c r="BD374" s="400"/>
      <c r="BE374" s="400"/>
      <c r="BF374" s="400"/>
      <c r="BG374" s="400"/>
      <c r="BH374" s="400"/>
      <c r="BI374" s="400"/>
      <c r="BJ374" s="400"/>
      <c r="BK374" s="400"/>
      <c r="BL374" s="400"/>
      <c r="BM374" s="400"/>
      <c r="BN374" s="400"/>
      <c r="BO374" s="400"/>
      <c r="BP374" s="400"/>
      <c r="BQ374" s="400"/>
      <c r="BR374" s="258"/>
      <c r="BS374" s="258"/>
      <c r="BT374" s="258"/>
      <c r="BU374" s="258"/>
      <c r="BV374" s="258"/>
      <c r="BW374" s="258"/>
      <c r="BX374" s="258"/>
      <c r="BY374" s="258"/>
      <c r="BZ374" s="258"/>
      <c r="CA374" s="258">
        <v>177100</v>
      </c>
      <c r="CB374" s="258">
        <v>162100</v>
      </c>
      <c r="CC374" s="258">
        <v>234393</v>
      </c>
      <c r="CD374" s="258">
        <v>258347.68</v>
      </c>
      <c r="CE374" s="258">
        <v>258347</v>
      </c>
      <c r="CF374" s="258">
        <v>47000</v>
      </c>
      <c r="CG374" s="258">
        <v>0</v>
      </c>
      <c r="CH374" s="258">
        <v>0</v>
      </c>
      <c r="CI374" s="258">
        <v>0</v>
      </c>
      <c r="CJ374" s="258">
        <v>51900</v>
      </c>
      <c r="CK374" s="283">
        <f t="shared" si="47"/>
        <v>25950</v>
      </c>
      <c r="CL374" s="398"/>
      <c r="CM374" s="371">
        <f>Summary!$D$11</f>
        <v>495890.9464</v>
      </c>
      <c r="CN374" s="258">
        <f t="shared" si="51"/>
        <v>0</v>
      </c>
    </row>
    <row r="375" ht="15.6" spans="1:92">
      <c r="A375" s="258" t="s">
        <v>193</v>
      </c>
      <c r="B375" s="258" t="s">
        <v>694</v>
      </c>
      <c r="C375" s="258" t="s">
        <v>230</v>
      </c>
      <c r="D375" s="258" t="s">
        <v>366</v>
      </c>
      <c r="E375" s="258" t="s">
        <v>65</v>
      </c>
      <c r="F375" s="260" t="s">
        <v>49</v>
      </c>
      <c r="G375" s="260"/>
      <c r="H375" s="283">
        <f>(AW375+CK375)/2</f>
        <v>46498.7983333333</v>
      </c>
      <c r="I375" s="260" t="s">
        <v>3314</v>
      </c>
      <c r="J375" s="258"/>
      <c r="K375" s="258"/>
      <c r="L375" s="258"/>
      <c r="M375" s="258"/>
      <c r="N375" s="258"/>
      <c r="O375" s="258"/>
      <c r="P375" s="258"/>
      <c r="Q375" s="258"/>
      <c r="R375" s="258"/>
      <c r="S375" s="258"/>
      <c r="T375" s="258"/>
      <c r="U375" s="258"/>
      <c r="V375" s="258"/>
      <c r="W375" s="258"/>
      <c r="X375" s="258"/>
      <c r="Y375" s="258"/>
      <c r="Z375" s="258"/>
      <c r="AA375" s="258"/>
      <c r="AB375" s="258"/>
      <c r="AC375" s="258"/>
      <c r="AD375" s="258"/>
      <c r="AE375" s="258"/>
      <c r="AF375" s="258"/>
      <c r="AG375" s="258"/>
      <c r="AH375" s="258"/>
      <c r="AI375" s="258"/>
      <c r="AJ375" s="258"/>
      <c r="AK375" s="258"/>
      <c r="AL375" s="258"/>
      <c r="AM375" s="283"/>
      <c r="AN375" s="283"/>
      <c r="AO375" s="283"/>
      <c r="AP375" s="367">
        <v>55737</v>
      </c>
      <c r="AQ375" s="367" t="s">
        <v>3579</v>
      </c>
      <c r="AR375" s="283">
        <f>110493*0.2736*2</f>
        <v>60461.7696</v>
      </c>
      <c r="AS375" s="283" t="s">
        <v>3580</v>
      </c>
      <c r="AT375" s="283" t="s">
        <v>3581</v>
      </c>
      <c r="AU375" s="283" t="s">
        <v>3582</v>
      </c>
      <c r="AV375" s="283" t="s">
        <v>3583</v>
      </c>
      <c r="AW375" s="283">
        <f t="shared" si="46"/>
        <v>65378.8333333333</v>
      </c>
      <c r="AX375" s="399"/>
      <c r="AY375" s="399"/>
      <c r="AZ375" s="400"/>
      <c r="BA375" s="400"/>
      <c r="BB375" s="400"/>
      <c r="BC375" s="400"/>
      <c r="BD375" s="400"/>
      <c r="BE375" s="400"/>
      <c r="BF375" s="400"/>
      <c r="BG375" s="400"/>
      <c r="BH375" s="400"/>
      <c r="BI375" s="400"/>
      <c r="BJ375" s="400"/>
      <c r="BK375" s="400"/>
      <c r="BL375" s="400"/>
      <c r="BM375" s="400"/>
      <c r="BN375" s="400"/>
      <c r="BO375" s="400"/>
      <c r="BP375" s="400"/>
      <c r="BQ375" s="400"/>
      <c r="BR375" s="258"/>
      <c r="BS375" s="258"/>
      <c r="BT375" s="258"/>
      <c r="BU375" s="258"/>
      <c r="BV375" s="258"/>
      <c r="BW375" s="258"/>
      <c r="BX375" s="258"/>
      <c r="BY375" s="258"/>
      <c r="BZ375" s="258"/>
      <c r="CA375" s="258"/>
      <c r="CB375" s="258"/>
      <c r="CC375" s="258"/>
      <c r="CD375" s="258">
        <v>0</v>
      </c>
      <c r="CE375" s="258">
        <v>43800</v>
      </c>
      <c r="CF375" s="258">
        <v>35700</v>
      </c>
      <c r="CG375" s="258">
        <v>22600</v>
      </c>
      <c r="CH375" s="258">
        <v>34112.58</v>
      </c>
      <c r="CI375" s="258">
        <v>25300</v>
      </c>
      <c r="CJ375" s="258">
        <v>27000</v>
      </c>
      <c r="CK375" s="283">
        <f t="shared" si="47"/>
        <v>27618.7633333333</v>
      </c>
      <c r="CL375" s="398"/>
      <c r="CM375" s="371">
        <f>Summary!$D$24</f>
        <v>175626.7701</v>
      </c>
      <c r="CN375" s="258">
        <f t="shared" si="51"/>
        <v>1</v>
      </c>
    </row>
    <row r="376" ht="15.6" spans="1:92">
      <c r="A376" s="258" t="s">
        <v>145</v>
      </c>
      <c r="B376" s="258" t="s">
        <v>694</v>
      </c>
      <c r="C376" s="258" t="s">
        <v>230</v>
      </c>
      <c r="D376" s="258" t="s">
        <v>3584</v>
      </c>
      <c r="E376" s="258" t="s">
        <v>65</v>
      </c>
      <c r="F376" s="260" t="s">
        <v>451</v>
      </c>
      <c r="G376" s="260"/>
      <c r="H376" s="283">
        <f t="shared" ref="H376:H392" si="52">(AW376+CK376)/2</f>
        <v>18070.6233333333</v>
      </c>
      <c r="I376" s="260" t="s">
        <v>3314</v>
      </c>
      <c r="J376" s="258"/>
      <c r="K376" s="258"/>
      <c r="L376" s="258"/>
      <c r="M376" s="258"/>
      <c r="N376" s="258"/>
      <c r="O376" s="258"/>
      <c r="P376" s="258"/>
      <c r="Q376" s="258"/>
      <c r="R376" s="258"/>
      <c r="S376" s="258"/>
      <c r="T376" s="258"/>
      <c r="U376" s="258"/>
      <c r="V376" s="258"/>
      <c r="W376" s="258"/>
      <c r="X376" s="258"/>
      <c r="Y376" s="258"/>
      <c r="Z376" s="258"/>
      <c r="AA376" s="258"/>
      <c r="AB376" s="258"/>
      <c r="AC376" s="258"/>
      <c r="AD376" s="258"/>
      <c r="AE376" s="258"/>
      <c r="AF376" s="258"/>
      <c r="AG376" s="258"/>
      <c r="AH376" s="258"/>
      <c r="AI376" s="258"/>
      <c r="AJ376" s="258"/>
      <c r="AK376" s="258"/>
      <c r="AL376" s="258"/>
      <c r="AM376" s="283"/>
      <c r="AN376" s="283"/>
      <c r="AO376" s="283"/>
      <c r="AP376" s="258">
        <f>7657*0.1214*2</f>
        <v>1859.1196</v>
      </c>
      <c r="AQ376" s="258" t="s">
        <v>3585</v>
      </c>
      <c r="AR376" s="283" t="s">
        <v>3586</v>
      </c>
      <c r="AS376" s="283" t="s">
        <v>3587</v>
      </c>
      <c r="AT376" s="283" t="s">
        <v>3588</v>
      </c>
      <c r="AU376" s="283" t="s">
        <v>3589</v>
      </c>
      <c r="AV376" s="283" t="s">
        <v>3590</v>
      </c>
      <c r="AW376" s="283">
        <f t="shared" si="46"/>
        <v>19226.6666666667</v>
      </c>
      <c r="AX376" s="399"/>
      <c r="AY376" s="399"/>
      <c r="AZ376" s="400"/>
      <c r="BA376" s="400"/>
      <c r="BB376" s="400"/>
      <c r="BC376" s="400"/>
      <c r="BD376" s="400"/>
      <c r="BE376" s="400"/>
      <c r="BF376" s="400"/>
      <c r="BG376" s="400"/>
      <c r="BH376" s="400"/>
      <c r="BI376" s="400"/>
      <c r="BJ376" s="400"/>
      <c r="BK376" s="400"/>
      <c r="BL376" s="400"/>
      <c r="BM376" s="400"/>
      <c r="BN376" s="400"/>
      <c r="BO376" s="400"/>
      <c r="BP376" s="400"/>
      <c r="BQ376" s="400"/>
      <c r="BR376" s="258"/>
      <c r="BS376" s="258"/>
      <c r="BT376" s="258"/>
      <c r="BU376" s="258"/>
      <c r="BV376" s="258"/>
      <c r="BW376" s="258"/>
      <c r="BX376" s="258"/>
      <c r="BY376" s="258"/>
      <c r="BZ376" s="258"/>
      <c r="CA376" s="258"/>
      <c r="CB376" s="258"/>
      <c r="CC376" s="258"/>
      <c r="CD376" s="258">
        <v>0</v>
      </c>
      <c r="CE376" s="258">
        <v>1900</v>
      </c>
      <c r="CF376" s="258">
        <v>1300</v>
      </c>
      <c r="CG376" s="258">
        <v>6572.7</v>
      </c>
      <c r="CH376" s="258">
        <v>15447.96</v>
      </c>
      <c r="CI376" s="258">
        <v>17084.76</v>
      </c>
      <c r="CJ376" s="258">
        <v>17290</v>
      </c>
      <c r="CK376" s="283">
        <f t="shared" si="47"/>
        <v>16914.58</v>
      </c>
      <c r="CL376" s="398"/>
      <c r="CM376" s="371">
        <f>Summary!$D$4</f>
        <v>1816871.23333333</v>
      </c>
      <c r="CN376" s="258">
        <f>IF(_xlfn.IFNA(CM376,0),IF(AND(H376/CM376&gt;=0.05,B376&lt;&gt;"官网",B376&lt;&gt;"自己网站"),1,0),0)</f>
        <v>0</v>
      </c>
    </row>
    <row r="377" ht="15.6" spans="1:92">
      <c r="A377" s="258" t="s">
        <v>3591</v>
      </c>
      <c r="B377" s="258" t="s">
        <v>694</v>
      </c>
      <c r="C377" s="258" t="s">
        <v>243</v>
      </c>
      <c r="D377" s="258" t="s">
        <v>3592</v>
      </c>
      <c r="E377" s="258" t="s">
        <v>65</v>
      </c>
      <c r="F377" s="260" t="s">
        <v>451</v>
      </c>
      <c r="G377" s="260"/>
      <c r="H377" s="283">
        <f t="shared" si="52"/>
        <v>62654.9066666667</v>
      </c>
      <c r="I377" s="260" t="s">
        <v>3314</v>
      </c>
      <c r="J377" s="258"/>
      <c r="K377" s="258"/>
      <c r="L377" s="258"/>
      <c r="M377" s="258"/>
      <c r="N377" s="258"/>
      <c r="O377" s="258"/>
      <c r="P377" s="258"/>
      <c r="Q377" s="258"/>
      <c r="R377" s="258"/>
      <c r="S377" s="258"/>
      <c r="T377" s="258"/>
      <c r="U377" s="258"/>
      <c r="V377" s="258"/>
      <c r="W377" s="258"/>
      <c r="X377" s="258"/>
      <c r="Y377" s="258"/>
      <c r="Z377" s="258"/>
      <c r="AA377" s="258"/>
      <c r="AB377" s="258"/>
      <c r="AC377" s="258"/>
      <c r="AD377" s="258"/>
      <c r="AE377" s="258"/>
      <c r="AF377" s="258"/>
      <c r="AG377" s="258"/>
      <c r="AH377" s="258"/>
      <c r="AI377" s="258"/>
      <c r="AJ377" s="258"/>
      <c r="AK377" s="258"/>
      <c r="AL377" s="258"/>
      <c r="AM377" s="283"/>
      <c r="AN377" s="283"/>
      <c r="AO377" s="283"/>
      <c r="AP377" s="258">
        <f>62900*0.233*2</f>
        <v>29311.4</v>
      </c>
      <c r="AQ377" s="258" t="s">
        <v>3593</v>
      </c>
      <c r="AR377" s="283" t="s">
        <v>3594</v>
      </c>
      <c r="AS377" s="283" t="s">
        <v>3595</v>
      </c>
      <c r="AT377" s="283" t="s">
        <v>3596</v>
      </c>
      <c r="AU377" s="283" t="s">
        <v>3597</v>
      </c>
      <c r="AV377" s="283" t="s">
        <v>3598</v>
      </c>
      <c r="AW377" s="283">
        <f t="shared" si="46"/>
        <v>96483.6666666667</v>
      </c>
      <c r="AX377" s="399"/>
      <c r="AY377" s="399"/>
      <c r="AZ377" s="400"/>
      <c r="BA377" s="400"/>
      <c r="BB377" s="400"/>
      <c r="BC377" s="400"/>
      <c r="BD377" s="400"/>
      <c r="BE377" s="400"/>
      <c r="BF377" s="400"/>
      <c r="BG377" s="400"/>
      <c r="BH377" s="400"/>
      <c r="BI377" s="400"/>
      <c r="BJ377" s="400"/>
      <c r="BK377" s="400"/>
      <c r="BL377" s="400"/>
      <c r="BM377" s="400"/>
      <c r="BN377" s="400"/>
      <c r="BO377" s="400"/>
      <c r="BP377" s="400"/>
      <c r="BQ377" s="400"/>
      <c r="BR377" s="258"/>
      <c r="BS377" s="258"/>
      <c r="BT377" s="258"/>
      <c r="BU377" s="258"/>
      <c r="BV377" s="258"/>
      <c r="BW377" s="258"/>
      <c r="BX377" s="258"/>
      <c r="BY377" s="258"/>
      <c r="BZ377" s="258"/>
      <c r="CA377" s="258"/>
      <c r="CB377" s="258"/>
      <c r="CC377" s="258"/>
      <c r="CD377" s="258">
        <v>0</v>
      </c>
      <c r="CE377" s="258">
        <v>110100</v>
      </c>
      <c r="CF377" s="258">
        <v>56400</v>
      </c>
      <c r="CG377" s="258">
        <v>73100</v>
      </c>
      <c r="CH377" s="258">
        <v>31300</v>
      </c>
      <c r="CI377" s="258">
        <v>41425.56</v>
      </c>
      <c r="CJ377" s="258">
        <v>19601.92</v>
      </c>
      <c r="CK377" s="283">
        <f t="shared" si="47"/>
        <v>28826.1466666667</v>
      </c>
      <c r="CL377" s="398"/>
      <c r="CM377" s="371">
        <f>Summary!$D$4</f>
        <v>1816871.23333333</v>
      </c>
      <c r="CN377" s="258">
        <f>IF(_xlfn.IFNA(CM377,0),IF(AND(H377/CM377&gt;=0.05,B377&lt;&gt;"官网",B377&lt;&gt;"自己网站"),1,0),0)</f>
        <v>0</v>
      </c>
    </row>
    <row r="378" ht="15.6" spans="1:92">
      <c r="A378" s="258" t="s">
        <v>177</v>
      </c>
      <c r="B378" s="258" t="s">
        <v>694</v>
      </c>
      <c r="C378" s="258" t="s">
        <v>243</v>
      </c>
      <c r="D378" s="258" t="s">
        <v>3599</v>
      </c>
      <c r="E378" s="258" t="s">
        <v>3600</v>
      </c>
      <c r="F378" s="260" t="s">
        <v>423</v>
      </c>
      <c r="G378" s="260"/>
      <c r="H378" s="283">
        <f t="shared" si="52"/>
        <v>3248.41666666667</v>
      </c>
      <c r="I378" s="260" t="s">
        <v>3314</v>
      </c>
      <c r="J378" s="258"/>
      <c r="K378" s="258"/>
      <c r="L378" s="258"/>
      <c r="M378" s="258"/>
      <c r="N378" s="258"/>
      <c r="O378" s="258"/>
      <c r="P378" s="258"/>
      <c r="Q378" s="258"/>
      <c r="R378" s="258"/>
      <c r="S378" s="258"/>
      <c r="T378" s="258"/>
      <c r="U378" s="258"/>
      <c r="V378" s="258"/>
      <c r="W378" s="258"/>
      <c r="X378" s="258"/>
      <c r="Y378" s="258"/>
      <c r="Z378" s="258"/>
      <c r="AA378" s="258"/>
      <c r="AB378" s="258"/>
      <c r="AC378" s="258"/>
      <c r="AD378" s="258"/>
      <c r="AE378" s="258"/>
      <c r="AF378" s="258"/>
      <c r="AG378" s="258"/>
      <c r="AH378" s="258"/>
      <c r="AI378" s="258"/>
      <c r="AJ378" s="258"/>
      <c r="AK378" s="258"/>
      <c r="AL378" s="258"/>
      <c r="AM378" s="283"/>
      <c r="AN378" s="283"/>
      <c r="AO378" s="283"/>
      <c r="AP378" s="258">
        <v>0</v>
      </c>
      <c r="AQ378" s="258" t="s">
        <v>3601</v>
      </c>
      <c r="AR378" s="283" t="s">
        <v>3602</v>
      </c>
      <c r="AS378" s="283" t="s">
        <v>3603</v>
      </c>
      <c r="AT378" s="283" t="s">
        <v>3604</v>
      </c>
      <c r="AU378" s="283" t="s">
        <v>2813</v>
      </c>
      <c r="AV378" s="283">
        <v>5000</v>
      </c>
      <c r="AW378" s="283">
        <f t="shared" si="46"/>
        <v>3082.16666666667</v>
      </c>
      <c r="AX378" s="399"/>
      <c r="AY378" s="399"/>
      <c r="AZ378" s="400"/>
      <c r="BA378" s="400"/>
      <c r="BB378" s="400"/>
      <c r="BC378" s="400"/>
      <c r="BD378" s="400"/>
      <c r="BE378" s="400"/>
      <c r="BF378" s="400"/>
      <c r="BG378" s="400"/>
      <c r="BH378" s="400"/>
      <c r="BI378" s="400"/>
      <c r="BJ378" s="400"/>
      <c r="BK378" s="400"/>
      <c r="BL378" s="400"/>
      <c r="BM378" s="400"/>
      <c r="BN378" s="400"/>
      <c r="BO378" s="400"/>
      <c r="BP378" s="400"/>
      <c r="BQ378" s="400"/>
      <c r="BR378" s="258"/>
      <c r="BS378" s="258"/>
      <c r="BT378" s="258"/>
      <c r="BU378" s="258"/>
      <c r="BV378" s="258"/>
      <c r="BW378" s="258"/>
      <c r="BX378" s="258"/>
      <c r="BY378" s="258"/>
      <c r="BZ378" s="258"/>
      <c r="CA378" s="258"/>
      <c r="CB378" s="258"/>
      <c r="CC378" s="258"/>
      <c r="CD378" s="258">
        <v>0</v>
      </c>
      <c r="CE378" s="258">
        <f>8600*0.0218*2</f>
        <v>374.96</v>
      </c>
      <c r="CF378" s="258">
        <v>3400</v>
      </c>
      <c r="CG378" s="258">
        <v>0</v>
      </c>
      <c r="CH378" s="258">
        <v>0</v>
      </c>
      <c r="CI378" s="258">
        <v>194</v>
      </c>
      <c r="CJ378" s="258">
        <v>6700</v>
      </c>
      <c r="CK378" s="283">
        <f t="shared" si="47"/>
        <v>3414.66666666667</v>
      </c>
      <c r="CL378" s="398"/>
      <c r="CM378" s="371">
        <f>Summary!$D$14</f>
        <v>157127.612416667</v>
      </c>
      <c r="CN378" s="258">
        <f t="shared" ref="CN378:CN381" si="53">IF(_xlfn.IFNA(CM378,0),IF(AND(H378/CM378&gt;=0.05,B378&lt;&gt;"官网"),1,0),0)</f>
        <v>0</v>
      </c>
    </row>
    <row r="379" ht="15.6" spans="1:92">
      <c r="A379" s="258" t="s">
        <v>177</v>
      </c>
      <c r="B379" s="258" t="s">
        <v>694</v>
      </c>
      <c r="C379" s="258" t="s">
        <v>243</v>
      </c>
      <c r="D379" s="258" t="s">
        <v>3605</v>
      </c>
      <c r="E379" s="258" t="s">
        <v>3600</v>
      </c>
      <c r="F379" s="260" t="s">
        <v>60</v>
      </c>
      <c r="G379" s="260"/>
      <c r="H379" s="283">
        <f t="shared" si="52"/>
        <v>2624.66666666667</v>
      </c>
      <c r="I379" s="260" t="s">
        <v>3314</v>
      </c>
      <c r="J379" s="258"/>
      <c r="K379" s="258"/>
      <c r="L379" s="258"/>
      <c r="M379" s="258"/>
      <c r="N379" s="258"/>
      <c r="O379" s="258"/>
      <c r="P379" s="258"/>
      <c r="Q379" s="258"/>
      <c r="R379" s="258"/>
      <c r="S379" s="258"/>
      <c r="T379" s="258"/>
      <c r="U379" s="258"/>
      <c r="V379" s="258"/>
      <c r="W379" s="258"/>
      <c r="X379" s="258"/>
      <c r="Y379" s="258"/>
      <c r="Z379" s="258"/>
      <c r="AA379" s="258"/>
      <c r="AB379" s="258"/>
      <c r="AC379" s="258"/>
      <c r="AD379" s="258"/>
      <c r="AE379" s="258"/>
      <c r="AF379" s="258"/>
      <c r="AG379" s="258"/>
      <c r="AH379" s="258"/>
      <c r="AI379" s="258"/>
      <c r="AJ379" s="258"/>
      <c r="AK379" s="258"/>
      <c r="AL379" s="258"/>
      <c r="AM379" s="283"/>
      <c r="AN379" s="283"/>
      <c r="AO379" s="283"/>
      <c r="AP379" s="258">
        <v>5000</v>
      </c>
      <c r="AQ379" s="258" t="s">
        <v>3606</v>
      </c>
      <c r="AR379" s="283" t="s">
        <v>3607</v>
      </c>
      <c r="AS379" s="283" t="s">
        <v>3608</v>
      </c>
      <c r="AT379" s="283" t="s">
        <v>3609</v>
      </c>
      <c r="AU379" s="283" t="s">
        <v>3610</v>
      </c>
      <c r="AV379" s="283">
        <v>5000</v>
      </c>
      <c r="AW379" s="283">
        <f t="shared" si="46"/>
        <v>4199</v>
      </c>
      <c r="AX379" s="399"/>
      <c r="AY379" s="399"/>
      <c r="AZ379" s="400"/>
      <c r="BA379" s="400"/>
      <c r="BB379" s="400"/>
      <c r="BC379" s="400"/>
      <c r="BD379" s="400"/>
      <c r="BE379" s="400"/>
      <c r="BF379" s="400"/>
      <c r="BG379" s="400"/>
      <c r="BH379" s="400"/>
      <c r="BI379" s="400"/>
      <c r="BJ379" s="400"/>
      <c r="BK379" s="400"/>
      <c r="BL379" s="400"/>
      <c r="BM379" s="400"/>
      <c r="BN379" s="400"/>
      <c r="BO379" s="400"/>
      <c r="BP379" s="400"/>
      <c r="BQ379" s="400"/>
      <c r="BR379" s="258"/>
      <c r="BS379" s="258"/>
      <c r="BT379" s="258"/>
      <c r="BU379" s="258"/>
      <c r="BV379" s="258"/>
      <c r="BW379" s="258"/>
      <c r="BX379" s="258"/>
      <c r="BY379" s="258"/>
      <c r="BZ379" s="258"/>
      <c r="CA379" s="258"/>
      <c r="CB379" s="258"/>
      <c r="CC379" s="258"/>
      <c r="CD379" s="258">
        <v>494</v>
      </c>
      <c r="CE379" s="258">
        <v>494</v>
      </c>
      <c r="CF379" s="258">
        <v>1600</v>
      </c>
      <c r="CG379" s="258">
        <v>864</v>
      </c>
      <c r="CH379" s="258">
        <v>4600</v>
      </c>
      <c r="CI379" s="258">
        <v>851</v>
      </c>
      <c r="CJ379" s="258">
        <v>0</v>
      </c>
      <c r="CK379" s="283">
        <f t="shared" si="47"/>
        <v>1050.33333333333</v>
      </c>
      <c r="CL379" s="398"/>
      <c r="CM379" s="371">
        <f>Summary!$D$14</f>
        <v>157127.612416667</v>
      </c>
      <c r="CN379" s="258">
        <f t="shared" si="53"/>
        <v>0</v>
      </c>
    </row>
    <row r="380" ht="15.6" spans="1:92">
      <c r="A380" s="258" t="s">
        <v>177</v>
      </c>
      <c r="B380" s="258" t="s">
        <v>694</v>
      </c>
      <c r="C380" s="258" t="s">
        <v>243</v>
      </c>
      <c r="D380" s="258" t="s">
        <v>3611</v>
      </c>
      <c r="E380" s="258" t="s">
        <v>3600</v>
      </c>
      <c r="F380" s="260" t="s">
        <v>266</v>
      </c>
      <c r="G380" s="260"/>
      <c r="H380" s="283">
        <f t="shared" si="52"/>
        <v>1664</v>
      </c>
      <c r="I380" s="260" t="s">
        <v>3314</v>
      </c>
      <c r="J380" s="258"/>
      <c r="K380" s="258"/>
      <c r="L380" s="258"/>
      <c r="M380" s="258"/>
      <c r="N380" s="258"/>
      <c r="O380" s="258"/>
      <c r="P380" s="258"/>
      <c r="Q380" s="258"/>
      <c r="R380" s="258"/>
      <c r="S380" s="258"/>
      <c r="T380" s="258"/>
      <c r="U380" s="258"/>
      <c r="V380" s="258"/>
      <c r="W380" s="258"/>
      <c r="X380" s="258"/>
      <c r="Y380" s="258"/>
      <c r="Z380" s="258"/>
      <c r="AA380" s="258"/>
      <c r="AB380" s="258"/>
      <c r="AC380" s="258"/>
      <c r="AD380" s="258"/>
      <c r="AE380" s="258"/>
      <c r="AF380" s="258"/>
      <c r="AG380" s="258"/>
      <c r="AH380" s="258"/>
      <c r="AI380" s="258"/>
      <c r="AJ380" s="258"/>
      <c r="AK380" s="258"/>
      <c r="AL380" s="258"/>
      <c r="AM380" s="283"/>
      <c r="AN380" s="283"/>
      <c r="AO380" s="283"/>
      <c r="AP380" s="258">
        <v>0</v>
      </c>
      <c r="AQ380" s="258" t="s">
        <v>3612</v>
      </c>
      <c r="AR380" s="283" t="s">
        <v>3613</v>
      </c>
      <c r="AS380" s="283" t="s">
        <v>796</v>
      </c>
      <c r="AT380" s="283" t="s">
        <v>796</v>
      </c>
      <c r="AU380" s="283" t="s">
        <v>796</v>
      </c>
      <c r="AV380" s="283">
        <v>5000</v>
      </c>
      <c r="AW380" s="283">
        <f t="shared" si="46"/>
        <v>2500</v>
      </c>
      <c r="AX380" s="399"/>
      <c r="AY380" s="399"/>
      <c r="AZ380" s="400"/>
      <c r="BA380" s="400"/>
      <c r="BB380" s="400"/>
      <c r="BC380" s="400"/>
      <c r="BD380" s="400"/>
      <c r="BE380" s="400"/>
      <c r="BF380" s="400"/>
      <c r="BG380" s="400"/>
      <c r="BH380" s="400"/>
      <c r="BI380" s="400"/>
      <c r="BJ380" s="400"/>
      <c r="BK380" s="400"/>
      <c r="BL380" s="400"/>
      <c r="BM380" s="400"/>
      <c r="BN380" s="400"/>
      <c r="BO380" s="400"/>
      <c r="BP380" s="400"/>
      <c r="BQ380" s="400"/>
      <c r="BR380" s="258"/>
      <c r="BS380" s="258"/>
      <c r="BT380" s="258"/>
      <c r="BU380" s="258"/>
      <c r="BV380" s="258"/>
      <c r="BW380" s="258"/>
      <c r="BX380" s="258"/>
      <c r="BY380" s="258"/>
      <c r="BZ380" s="258"/>
      <c r="CA380" s="258"/>
      <c r="CB380" s="258"/>
      <c r="CC380" s="258"/>
      <c r="CD380" s="258">
        <v>494</v>
      </c>
      <c r="CE380" s="258">
        <v>494</v>
      </c>
      <c r="CF380" s="258">
        <v>1200</v>
      </c>
      <c r="CG380" s="258">
        <v>0</v>
      </c>
      <c r="CH380" s="258">
        <v>0</v>
      </c>
      <c r="CI380" s="258">
        <v>684</v>
      </c>
      <c r="CJ380" s="258">
        <v>1200</v>
      </c>
      <c r="CK380" s="283">
        <f t="shared" si="47"/>
        <v>828</v>
      </c>
      <c r="CL380" s="398"/>
      <c r="CM380" s="371">
        <f>Summary!$D$14</f>
        <v>157127.612416667</v>
      </c>
      <c r="CN380" s="258">
        <f t="shared" si="53"/>
        <v>0</v>
      </c>
    </row>
    <row r="381" ht="15.6" spans="1:92">
      <c r="A381" s="258" t="s">
        <v>168</v>
      </c>
      <c r="B381" s="258" t="s">
        <v>694</v>
      </c>
      <c r="C381" s="258" t="s">
        <v>243</v>
      </c>
      <c r="D381" s="258" t="s">
        <v>3264</v>
      </c>
      <c r="E381" s="258" t="s">
        <v>3600</v>
      </c>
      <c r="F381" s="260" t="s">
        <v>60</v>
      </c>
      <c r="G381" s="260"/>
      <c r="H381" s="283">
        <f t="shared" si="52"/>
        <v>15254</v>
      </c>
      <c r="I381" s="260" t="s">
        <v>3314</v>
      </c>
      <c r="J381" s="258"/>
      <c r="K381" s="258"/>
      <c r="L381" s="258"/>
      <c r="M381" s="258"/>
      <c r="N381" s="258"/>
      <c r="O381" s="258"/>
      <c r="P381" s="258"/>
      <c r="Q381" s="258"/>
      <c r="R381" s="258"/>
      <c r="S381" s="258"/>
      <c r="T381" s="258"/>
      <c r="U381" s="258"/>
      <c r="V381" s="258"/>
      <c r="W381" s="258"/>
      <c r="X381" s="258"/>
      <c r="Y381" s="258"/>
      <c r="Z381" s="258"/>
      <c r="AA381" s="258"/>
      <c r="AB381" s="258"/>
      <c r="AC381" s="258"/>
      <c r="AD381" s="258"/>
      <c r="AE381" s="258"/>
      <c r="AF381" s="258"/>
      <c r="AG381" s="258"/>
      <c r="AH381" s="258"/>
      <c r="AI381" s="258"/>
      <c r="AJ381" s="258"/>
      <c r="AK381" s="258"/>
      <c r="AL381" s="258"/>
      <c r="AM381" s="283"/>
      <c r="AN381" s="283"/>
      <c r="AO381" s="283"/>
      <c r="AP381" s="367">
        <v>9118</v>
      </c>
      <c r="AQ381" s="367" t="s">
        <v>3266</v>
      </c>
      <c r="AR381" s="283" t="s">
        <v>3267</v>
      </c>
      <c r="AS381" s="283" t="s">
        <v>3268</v>
      </c>
      <c r="AT381" s="283" t="s">
        <v>3269</v>
      </c>
      <c r="AU381" s="283" t="s">
        <v>3270</v>
      </c>
      <c r="AV381" s="283" t="s">
        <v>3271</v>
      </c>
      <c r="AW381" s="283">
        <f t="shared" si="46"/>
        <v>16274.6666666667</v>
      </c>
      <c r="AX381" s="399"/>
      <c r="AY381" s="399"/>
      <c r="AZ381" s="400"/>
      <c r="BA381" s="400"/>
      <c r="BB381" s="400"/>
      <c r="BC381" s="400"/>
      <c r="BD381" s="400"/>
      <c r="BE381" s="400"/>
      <c r="BF381" s="400"/>
      <c r="BG381" s="400"/>
      <c r="BH381" s="400"/>
      <c r="BI381" s="400"/>
      <c r="BJ381" s="400"/>
      <c r="BK381" s="400"/>
      <c r="BL381" s="400"/>
      <c r="BM381" s="400"/>
      <c r="BN381" s="400"/>
      <c r="BO381" s="400"/>
      <c r="BP381" s="400"/>
      <c r="BQ381" s="400"/>
      <c r="BR381" s="258"/>
      <c r="BS381" s="258"/>
      <c r="BT381" s="258"/>
      <c r="BU381" s="258"/>
      <c r="BV381" s="258"/>
      <c r="BW381" s="258"/>
      <c r="BX381" s="258"/>
      <c r="BY381" s="258"/>
      <c r="BZ381" s="258"/>
      <c r="CA381" s="258"/>
      <c r="CB381" s="258"/>
      <c r="CC381" s="258"/>
      <c r="CD381" s="258">
        <v>8400</v>
      </c>
      <c r="CE381" s="258">
        <v>9100</v>
      </c>
      <c r="CF381" s="258">
        <v>4800</v>
      </c>
      <c r="CG381" s="258">
        <v>8700</v>
      </c>
      <c r="CH381" s="258">
        <v>4600</v>
      </c>
      <c r="CI381" s="258">
        <v>12500</v>
      </c>
      <c r="CJ381" s="258">
        <v>18600</v>
      </c>
      <c r="CK381" s="283">
        <f t="shared" si="47"/>
        <v>14233.3333333333</v>
      </c>
      <c r="CL381" s="398"/>
      <c r="CM381" s="371">
        <f>Summary!$D$11</f>
        <v>495890.9464</v>
      </c>
      <c r="CN381" s="258">
        <f t="shared" si="53"/>
        <v>0</v>
      </c>
    </row>
    <row r="382" ht="15.6" spans="1:92">
      <c r="A382" s="258" t="s">
        <v>159</v>
      </c>
      <c r="B382" s="258" t="s">
        <v>694</v>
      </c>
      <c r="C382" s="258" t="s">
        <v>243</v>
      </c>
      <c r="D382" s="258" t="s">
        <v>3614</v>
      </c>
      <c r="E382" s="258" t="s">
        <v>3600</v>
      </c>
      <c r="F382" s="260" t="s">
        <v>422</v>
      </c>
      <c r="G382" s="260"/>
      <c r="H382" s="283">
        <f t="shared" si="52"/>
        <v>3012.83333333333</v>
      </c>
      <c r="I382" s="260" t="s">
        <v>3314</v>
      </c>
      <c r="J382" s="258"/>
      <c r="K382" s="258"/>
      <c r="L382" s="258"/>
      <c r="M382" s="258"/>
      <c r="N382" s="258"/>
      <c r="O382" s="258"/>
      <c r="P382" s="258"/>
      <c r="Q382" s="258"/>
      <c r="R382" s="258"/>
      <c r="S382" s="258"/>
      <c r="T382" s="258"/>
      <c r="U382" s="258"/>
      <c r="V382" s="258"/>
      <c r="W382" s="258"/>
      <c r="X382" s="258"/>
      <c r="Y382" s="258"/>
      <c r="Z382" s="258"/>
      <c r="AA382" s="258"/>
      <c r="AB382" s="258"/>
      <c r="AC382" s="258"/>
      <c r="AD382" s="258"/>
      <c r="AE382" s="258"/>
      <c r="AF382" s="258"/>
      <c r="AG382" s="258"/>
      <c r="AH382" s="258"/>
      <c r="AI382" s="258"/>
      <c r="AJ382" s="258"/>
      <c r="AK382" s="258"/>
      <c r="AL382" s="258"/>
      <c r="AM382" s="283"/>
      <c r="AN382" s="283"/>
      <c r="AO382" s="283"/>
      <c r="AP382" s="367">
        <v>5000</v>
      </c>
      <c r="AQ382" s="367" t="s">
        <v>3615</v>
      </c>
      <c r="AR382" s="283" t="s">
        <v>3616</v>
      </c>
      <c r="AS382" s="283" t="s">
        <v>3617</v>
      </c>
      <c r="AT382" s="283" t="s">
        <v>3618</v>
      </c>
      <c r="AU382" s="283" t="s">
        <v>3619</v>
      </c>
      <c r="AV382" s="283">
        <v>6563</v>
      </c>
      <c r="AW382" s="283">
        <f t="shared" si="46"/>
        <v>5609.66666666667</v>
      </c>
      <c r="AX382" s="399"/>
      <c r="AY382" s="399"/>
      <c r="AZ382" s="400"/>
      <c r="BA382" s="400"/>
      <c r="BB382" s="400"/>
      <c r="BC382" s="400"/>
      <c r="BD382" s="400"/>
      <c r="BE382" s="400"/>
      <c r="BF382" s="400"/>
      <c r="BG382" s="400"/>
      <c r="BH382" s="400"/>
      <c r="BI382" s="400"/>
      <c r="BJ382" s="400"/>
      <c r="BK382" s="400"/>
      <c r="BL382" s="400"/>
      <c r="BM382" s="400"/>
      <c r="BN382" s="400"/>
      <c r="BO382" s="400"/>
      <c r="BP382" s="400"/>
      <c r="BQ382" s="400"/>
      <c r="BR382" s="258"/>
      <c r="BS382" s="258"/>
      <c r="BT382" s="258"/>
      <c r="BU382" s="258"/>
      <c r="BV382" s="258"/>
      <c r="BW382" s="258"/>
      <c r="BX382" s="258"/>
      <c r="BY382" s="258"/>
      <c r="BZ382" s="258"/>
      <c r="CA382" s="258"/>
      <c r="CB382" s="258"/>
      <c r="CC382" s="258"/>
      <c r="CD382" s="258">
        <v>0</v>
      </c>
      <c r="CE382" s="258">
        <v>494</v>
      </c>
      <c r="CF382" s="258">
        <v>4700</v>
      </c>
      <c r="CG382" s="258">
        <v>432</v>
      </c>
      <c r="CH382" s="258">
        <v>0</v>
      </c>
      <c r="CI382" s="258">
        <v>0</v>
      </c>
      <c r="CJ382" s="258">
        <v>832</v>
      </c>
      <c r="CK382" s="283">
        <f t="shared" si="47"/>
        <v>416</v>
      </c>
      <c r="CL382" s="398"/>
      <c r="CM382" s="371">
        <f>Summary!$D$8</f>
        <v>724303.229333334</v>
      </c>
      <c r="CN382" s="258">
        <f>IF(_xlfn.IFNA(CM382,0),IF(AND(H382/CM382&gt;=0.05,B382&lt;&gt;"官网",B382&lt;&gt;"自己网站"),1,0),0)</f>
        <v>0</v>
      </c>
    </row>
    <row r="383" ht="15.6" spans="1:92">
      <c r="A383" s="258" t="s">
        <v>165</v>
      </c>
      <c r="B383" s="258" t="s">
        <v>694</v>
      </c>
      <c r="C383" s="258" t="s">
        <v>243</v>
      </c>
      <c r="D383" s="258" t="s">
        <v>3620</v>
      </c>
      <c r="E383" s="258" t="s">
        <v>3600</v>
      </c>
      <c r="F383" s="260" t="s">
        <v>422</v>
      </c>
      <c r="G383" s="260"/>
      <c r="H383" s="283">
        <f t="shared" si="52"/>
        <v>13122.5183333333</v>
      </c>
      <c r="I383" s="260" t="s">
        <v>3314</v>
      </c>
      <c r="J383" s="258"/>
      <c r="K383" s="258"/>
      <c r="L383" s="258"/>
      <c r="M383" s="258"/>
      <c r="N383" s="258"/>
      <c r="O383" s="258"/>
      <c r="P383" s="258"/>
      <c r="Q383" s="258"/>
      <c r="R383" s="258"/>
      <c r="S383" s="258"/>
      <c r="T383" s="258"/>
      <c r="U383" s="258"/>
      <c r="V383" s="258"/>
      <c r="W383" s="258"/>
      <c r="X383" s="258"/>
      <c r="Y383" s="258"/>
      <c r="Z383" s="258"/>
      <c r="AA383" s="258"/>
      <c r="AB383" s="258"/>
      <c r="AC383" s="258"/>
      <c r="AD383" s="258"/>
      <c r="AE383" s="258"/>
      <c r="AF383" s="258"/>
      <c r="AG383" s="258"/>
      <c r="AH383" s="258"/>
      <c r="AI383" s="258"/>
      <c r="AJ383" s="258"/>
      <c r="AK383" s="258"/>
      <c r="AL383" s="258"/>
      <c r="AM383" s="283"/>
      <c r="AN383" s="283"/>
      <c r="AO383" s="283"/>
      <c r="AP383" s="367">
        <v>5000</v>
      </c>
      <c r="AQ383" s="367" t="s">
        <v>3621</v>
      </c>
      <c r="AR383" s="283" t="s">
        <v>3622</v>
      </c>
      <c r="AS383" s="283" t="s">
        <v>3623</v>
      </c>
      <c r="AT383" s="283" t="s">
        <v>3624</v>
      </c>
      <c r="AU383" s="283" t="s">
        <v>3625</v>
      </c>
      <c r="AV383" s="283" t="s">
        <v>3626</v>
      </c>
      <c r="AW383" s="283">
        <f t="shared" si="46"/>
        <v>6889.5</v>
      </c>
      <c r="AX383" s="399"/>
      <c r="AY383" s="399"/>
      <c r="AZ383" s="400"/>
      <c r="BA383" s="400"/>
      <c r="BB383" s="400"/>
      <c r="BC383" s="400"/>
      <c r="BD383" s="400"/>
      <c r="BE383" s="400"/>
      <c r="BF383" s="400"/>
      <c r="BG383" s="400"/>
      <c r="BH383" s="400"/>
      <c r="BI383" s="400"/>
      <c r="BJ383" s="400"/>
      <c r="BK383" s="400"/>
      <c r="BL383" s="400"/>
      <c r="BM383" s="400"/>
      <c r="BN383" s="400"/>
      <c r="BO383" s="400"/>
      <c r="BP383" s="400"/>
      <c r="BQ383" s="400"/>
      <c r="BR383" s="258"/>
      <c r="BS383" s="258"/>
      <c r="BT383" s="258"/>
      <c r="BU383" s="258"/>
      <c r="BV383" s="258"/>
      <c r="BW383" s="258"/>
      <c r="BX383" s="258"/>
      <c r="BY383" s="258"/>
      <c r="BZ383" s="258"/>
      <c r="CA383" s="258"/>
      <c r="CB383" s="258"/>
      <c r="CC383" s="258"/>
      <c r="CD383" s="258">
        <v>683</v>
      </c>
      <c r="CE383" s="258">
        <v>683</v>
      </c>
      <c r="CF383" s="258">
        <v>2600</v>
      </c>
      <c r="CG383" s="258">
        <v>6714.4</v>
      </c>
      <c r="CH383" s="258">
        <v>4833.22</v>
      </c>
      <c r="CI383" s="258">
        <v>45900</v>
      </c>
      <c r="CJ383" s="258">
        <v>6500</v>
      </c>
      <c r="CK383" s="283">
        <f t="shared" si="47"/>
        <v>19355.5366666667</v>
      </c>
      <c r="CL383" s="398"/>
      <c r="CM383" s="371">
        <f>Summary!$D$10</f>
        <v>496999.618566666</v>
      </c>
      <c r="CN383" s="258">
        <f t="shared" ref="CN383:CN385" si="54">IF(_xlfn.IFNA(CM383,0),IF(AND(H383/CM383&gt;=0.05,B383&lt;&gt;"官网",B383&lt;&gt;"自己网站"),1,0),0)</f>
        <v>0</v>
      </c>
    </row>
    <row r="384" ht="15.6" spans="1:92">
      <c r="A384" s="258" t="s">
        <v>165</v>
      </c>
      <c r="B384" s="258" t="s">
        <v>694</v>
      </c>
      <c r="C384" s="258" t="s">
        <v>230</v>
      </c>
      <c r="D384" s="258" t="s">
        <v>3627</v>
      </c>
      <c r="E384" s="258" t="s">
        <v>65</v>
      </c>
      <c r="F384" s="260" t="s">
        <v>60</v>
      </c>
      <c r="G384" s="260"/>
      <c r="H384" s="283">
        <f t="shared" si="52"/>
        <v>4761.25</v>
      </c>
      <c r="I384" s="260" t="s">
        <v>3314</v>
      </c>
      <c r="J384" s="258"/>
      <c r="K384" s="258"/>
      <c r="L384" s="258"/>
      <c r="M384" s="258"/>
      <c r="N384" s="258"/>
      <c r="O384" s="258"/>
      <c r="P384" s="258"/>
      <c r="Q384" s="258"/>
      <c r="R384" s="258"/>
      <c r="S384" s="258"/>
      <c r="T384" s="258"/>
      <c r="U384" s="258"/>
      <c r="V384" s="258"/>
      <c r="W384" s="258"/>
      <c r="X384" s="258"/>
      <c r="Y384" s="258"/>
      <c r="Z384" s="258"/>
      <c r="AA384" s="258"/>
      <c r="AB384" s="258"/>
      <c r="AC384" s="258"/>
      <c r="AD384" s="258"/>
      <c r="AE384" s="258"/>
      <c r="AF384" s="258"/>
      <c r="AG384" s="258"/>
      <c r="AH384" s="258"/>
      <c r="AI384" s="258"/>
      <c r="AJ384" s="258"/>
      <c r="AK384" s="258"/>
      <c r="AL384" s="258"/>
      <c r="AM384" s="283"/>
      <c r="AN384" s="283"/>
      <c r="AO384" s="283"/>
      <c r="AP384" s="258">
        <f>6519*0.1038*2</f>
        <v>1353.3444</v>
      </c>
      <c r="AQ384" s="258" t="s">
        <v>3628</v>
      </c>
      <c r="AR384" s="283" t="s">
        <v>3629</v>
      </c>
      <c r="AS384" s="283" t="s">
        <v>3630</v>
      </c>
      <c r="AT384" s="283" t="s">
        <v>3631</v>
      </c>
      <c r="AU384" s="283" t="s">
        <v>3632</v>
      </c>
      <c r="AV384" s="283" t="s">
        <v>3633</v>
      </c>
      <c r="AW384" s="283">
        <f t="shared" si="46"/>
        <v>8927.83333333333</v>
      </c>
      <c r="AX384" s="399"/>
      <c r="AY384" s="399"/>
      <c r="AZ384" s="400"/>
      <c r="BA384" s="400"/>
      <c r="BB384" s="400"/>
      <c r="BC384" s="400"/>
      <c r="BD384" s="400"/>
      <c r="BE384" s="400"/>
      <c r="BF384" s="400"/>
      <c r="BG384" s="400"/>
      <c r="BH384" s="400"/>
      <c r="BI384" s="400"/>
      <c r="BJ384" s="400"/>
      <c r="BK384" s="400"/>
      <c r="BL384" s="400"/>
      <c r="BM384" s="400"/>
      <c r="BN384" s="400"/>
      <c r="BO384" s="400"/>
      <c r="BP384" s="400"/>
      <c r="BQ384" s="400"/>
      <c r="BR384" s="258"/>
      <c r="BS384" s="258"/>
      <c r="BT384" s="258"/>
      <c r="BU384" s="258"/>
      <c r="BV384" s="258"/>
      <c r="BW384" s="258"/>
      <c r="BX384" s="258"/>
      <c r="BY384" s="258"/>
      <c r="BZ384" s="258"/>
      <c r="CA384" s="258"/>
      <c r="CB384" s="258"/>
      <c r="CC384" s="258"/>
      <c r="CD384" s="258">
        <v>802</v>
      </c>
      <c r="CE384" s="258">
        <v>802</v>
      </c>
      <c r="CF384" s="258">
        <v>878</v>
      </c>
      <c r="CG384" s="258">
        <v>432</v>
      </c>
      <c r="CH384" s="258">
        <v>2600</v>
      </c>
      <c r="CI384" s="258">
        <v>484</v>
      </c>
      <c r="CJ384" s="258">
        <v>0</v>
      </c>
      <c r="CK384" s="283">
        <f t="shared" si="47"/>
        <v>594.666666666667</v>
      </c>
      <c r="CL384" s="398"/>
      <c r="CM384" s="371">
        <f>Summary!$D$10</f>
        <v>496999.618566666</v>
      </c>
      <c r="CN384" s="258">
        <f t="shared" si="54"/>
        <v>0</v>
      </c>
    </row>
    <row r="385" ht="15.6" spans="1:92">
      <c r="A385" s="258" t="s">
        <v>165</v>
      </c>
      <c r="B385" s="258" t="s">
        <v>694</v>
      </c>
      <c r="C385" s="258" t="s">
        <v>243</v>
      </c>
      <c r="D385" s="258" t="s">
        <v>3634</v>
      </c>
      <c r="E385" s="258" t="s">
        <v>3600</v>
      </c>
      <c r="F385" s="260" t="s">
        <v>371</v>
      </c>
      <c r="G385" s="260"/>
      <c r="H385" s="283">
        <f t="shared" si="52"/>
        <v>12958.5833333333</v>
      </c>
      <c r="I385" s="260" t="s">
        <v>3314</v>
      </c>
      <c r="J385" s="258"/>
      <c r="K385" s="258"/>
      <c r="L385" s="258"/>
      <c r="M385" s="258"/>
      <c r="N385" s="258"/>
      <c r="O385" s="258"/>
      <c r="P385" s="258"/>
      <c r="Q385" s="258"/>
      <c r="R385" s="258"/>
      <c r="S385" s="258"/>
      <c r="T385" s="258"/>
      <c r="U385" s="258"/>
      <c r="V385" s="258"/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258"/>
      <c r="AL385" s="258"/>
      <c r="AM385" s="283"/>
      <c r="AN385" s="283"/>
      <c r="AO385" s="283"/>
      <c r="AP385" s="258">
        <f>6796*0.0902*2</f>
        <v>1225.9984</v>
      </c>
      <c r="AQ385" s="258" t="s">
        <v>3635</v>
      </c>
      <c r="AR385" s="283" t="s">
        <v>3636</v>
      </c>
      <c r="AS385" s="283" t="s">
        <v>3637</v>
      </c>
      <c r="AT385" s="283" t="s">
        <v>3638</v>
      </c>
      <c r="AU385" s="283" t="s">
        <v>3639</v>
      </c>
      <c r="AV385" s="283" t="s">
        <v>3640</v>
      </c>
      <c r="AW385" s="283">
        <f t="shared" si="46"/>
        <v>3581.66666666667</v>
      </c>
      <c r="AX385" s="399"/>
      <c r="AY385" s="399"/>
      <c r="AZ385" s="400"/>
      <c r="BA385" s="400"/>
      <c r="BB385" s="400"/>
      <c r="BC385" s="400"/>
      <c r="BD385" s="400"/>
      <c r="BE385" s="400"/>
      <c r="BF385" s="400"/>
      <c r="BG385" s="400"/>
      <c r="BH385" s="400"/>
      <c r="BI385" s="400"/>
      <c r="BJ385" s="400"/>
      <c r="BK385" s="400"/>
      <c r="BL385" s="400"/>
      <c r="BM385" s="400"/>
      <c r="BN385" s="400"/>
      <c r="BO385" s="400"/>
      <c r="BP385" s="400"/>
      <c r="BQ385" s="400"/>
      <c r="BR385" s="258"/>
      <c r="BS385" s="258"/>
      <c r="BT385" s="258"/>
      <c r="BU385" s="258"/>
      <c r="BV385" s="258"/>
      <c r="BW385" s="258"/>
      <c r="BX385" s="258"/>
      <c r="BY385" s="258"/>
      <c r="BZ385" s="258"/>
      <c r="CA385" s="258"/>
      <c r="CB385" s="258"/>
      <c r="CC385" s="258"/>
      <c r="CD385" s="258">
        <v>827</v>
      </c>
      <c r="CE385" s="258">
        <v>827</v>
      </c>
      <c r="CF385" s="258">
        <v>0</v>
      </c>
      <c r="CG385" s="258">
        <v>545</v>
      </c>
      <c r="CH385" s="258">
        <v>513</v>
      </c>
      <c r="CI385" s="258">
        <v>0</v>
      </c>
      <c r="CJ385" s="258">
        <v>44500</v>
      </c>
      <c r="CK385" s="283">
        <f t="shared" si="47"/>
        <v>22335.5</v>
      </c>
      <c r="CL385" s="398"/>
      <c r="CM385" s="371">
        <f>Summary!$D$10</f>
        <v>496999.618566666</v>
      </c>
      <c r="CN385" s="258">
        <f t="shared" si="54"/>
        <v>0</v>
      </c>
    </row>
    <row r="386" ht="15.6" spans="1:92">
      <c r="A386" s="258" t="s">
        <v>141</v>
      </c>
      <c r="B386" s="258" t="s">
        <v>694</v>
      </c>
      <c r="C386" s="258" t="s">
        <v>230</v>
      </c>
      <c r="D386" s="258" t="s">
        <v>3641</v>
      </c>
      <c r="E386" s="258" t="s">
        <v>65</v>
      </c>
      <c r="F386" s="260" t="s">
        <v>460</v>
      </c>
      <c r="G386" s="260"/>
      <c r="H386" s="283">
        <f t="shared" si="52"/>
        <v>21144.51</v>
      </c>
      <c r="I386" s="260" t="s">
        <v>3314</v>
      </c>
      <c r="J386" s="258"/>
      <c r="K386" s="258"/>
      <c r="L386" s="258"/>
      <c r="M386" s="258"/>
      <c r="N386" s="258"/>
      <c r="O386" s="258"/>
      <c r="P386" s="258"/>
      <c r="Q386" s="258"/>
      <c r="R386" s="258"/>
      <c r="S386" s="258"/>
      <c r="T386" s="258"/>
      <c r="U386" s="258"/>
      <c r="V386" s="258"/>
      <c r="W386" s="258"/>
      <c r="X386" s="258"/>
      <c r="Y386" s="258"/>
      <c r="Z386" s="258"/>
      <c r="AA386" s="258"/>
      <c r="AB386" s="258"/>
      <c r="AC386" s="258"/>
      <c r="AD386" s="258"/>
      <c r="AE386" s="258"/>
      <c r="AF386" s="258"/>
      <c r="AG386" s="258"/>
      <c r="AH386" s="258"/>
      <c r="AI386" s="258"/>
      <c r="AJ386" s="258"/>
      <c r="AK386" s="258"/>
      <c r="AL386" s="258"/>
      <c r="AM386" s="283"/>
      <c r="AN386" s="283"/>
      <c r="AO386" s="283"/>
      <c r="AP386" s="258">
        <v>5000</v>
      </c>
      <c r="AQ386" s="258" t="s">
        <v>3642</v>
      </c>
      <c r="AR386" s="283" t="s">
        <v>3643</v>
      </c>
      <c r="AS386" s="283" t="s">
        <v>3644</v>
      </c>
      <c r="AT386" s="283" t="s">
        <v>3645</v>
      </c>
      <c r="AU386" s="283" t="s">
        <v>3646</v>
      </c>
      <c r="AV386" s="283" t="s">
        <v>3647</v>
      </c>
      <c r="AW386" s="283">
        <f t="shared" si="46"/>
        <v>24568</v>
      </c>
      <c r="AX386" s="399"/>
      <c r="AY386" s="399"/>
      <c r="AZ386" s="400"/>
      <c r="BA386" s="400"/>
      <c r="BB386" s="400"/>
      <c r="BC386" s="400"/>
      <c r="BD386" s="400"/>
      <c r="BE386" s="400"/>
      <c r="BF386" s="400"/>
      <c r="BG386" s="400"/>
      <c r="BH386" s="400"/>
      <c r="BI386" s="400"/>
      <c r="BJ386" s="400"/>
      <c r="BK386" s="400"/>
      <c r="BL386" s="400"/>
      <c r="BM386" s="400"/>
      <c r="BN386" s="400"/>
      <c r="BO386" s="400"/>
      <c r="BP386" s="400"/>
      <c r="BQ386" s="400"/>
      <c r="BR386" s="258"/>
      <c r="BS386" s="258"/>
      <c r="BT386" s="258"/>
      <c r="BU386" s="258"/>
      <c r="BV386" s="258"/>
      <c r="BW386" s="258"/>
      <c r="BX386" s="258"/>
      <c r="BY386" s="258"/>
      <c r="BZ386" s="258"/>
      <c r="CA386" s="258"/>
      <c r="CB386" s="258"/>
      <c r="CC386" s="258"/>
      <c r="CD386" s="258">
        <v>6700</v>
      </c>
      <c r="CE386" s="258">
        <v>6700</v>
      </c>
      <c r="CF386" s="258">
        <v>23500</v>
      </c>
      <c r="CG386" s="258">
        <v>26800</v>
      </c>
      <c r="CH386" s="258">
        <v>12600</v>
      </c>
      <c r="CI386" s="258">
        <v>33063.06</v>
      </c>
      <c r="CJ386" s="258">
        <v>9200</v>
      </c>
      <c r="CK386" s="283">
        <f t="shared" si="47"/>
        <v>17721.02</v>
      </c>
      <c r="CL386" s="398"/>
      <c r="CM386" s="371">
        <f>Summary!$D$3</f>
        <v>2112033.31166667</v>
      </c>
      <c r="CN386" s="258">
        <f>IF(_xlfn.IFNA(CM386,0),IF(AND(H386/CM386&gt;=0.05,B386&lt;&gt;"官网"),1,0),0)</f>
        <v>0</v>
      </c>
    </row>
    <row r="387" ht="15.6" spans="1:92">
      <c r="A387" s="258" t="s">
        <v>141</v>
      </c>
      <c r="B387" s="258" t="s">
        <v>694</v>
      </c>
      <c r="C387" s="258" t="s">
        <v>230</v>
      </c>
      <c r="D387" s="258" t="s">
        <v>3648</v>
      </c>
      <c r="E387" s="258" t="s">
        <v>65</v>
      </c>
      <c r="F387" s="260" t="s">
        <v>59</v>
      </c>
      <c r="G387" s="260"/>
      <c r="H387" s="283">
        <f t="shared" si="52"/>
        <v>27845.6166666666</v>
      </c>
      <c r="I387" s="260" t="s">
        <v>3314</v>
      </c>
      <c r="J387" s="258"/>
      <c r="K387" s="258"/>
      <c r="L387" s="258"/>
      <c r="M387" s="258"/>
      <c r="N387" s="258"/>
      <c r="O387" s="258"/>
      <c r="P387" s="258"/>
      <c r="Q387" s="258"/>
      <c r="R387" s="258"/>
      <c r="S387" s="258"/>
      <c r="T387" s="258"/>
      <c r="U387" s="258"/>
      <c r="V387" s="258"/>
      <c r="W387" s="258"/>
      <c r="X387" s="258"/>
      <c r="Y387" s="258"/>
      <c r="Z387" s="258"/>
      <c r="AA387" s="258"/>
      <c r="AB387" s="258"/>
      <c r="AC387" s="258"/>
      <c r="AD387" s="258"/>
      <c r="AE387" s="258"/>
      <c r="AF387" s="258"/>
      <c r="AG387" s="258"/>
      <c r="AH387" s="258"/>
      <c r="AI387" s="258"/>
      <c r="AJ387" s="258"/>
      <c r="AK387" s="258"/>
      <c r="AL387" s="258"/>
      <c r="AM387" s="283"/>
      <c r="AN387" s="283"/>
      <c r="AO387" s="283"/>
      <c r="AP387" s="258">
        <f>15854*0.2924*2</f>
        <v>9271.4192</v>
      </c>
      <c r="AQ387" s="258" t="s">
        <v>3649</v>
      </c>
      <c r="AR387" s="283" t="s">
        <v>3650</v>
      </c>
      <c r="AS387" s="283" t="s">
        <v>3651</v>
      </c>
      <c r="AT387" s="283" t="s">
        <v>3652</v>
      </c>
      <c r="AU387" s="283" t="s">
        <v>3653</v>
      </c>
      <c r="AV387" s="283" t="s">
        <v>3654</v>
      </c>
      <c r="AW387" s="283">
        <f t="shared" ref="AW387:AW441" si="55">SUM(AV387*3+AU387*2+AT387*1)/6</f>
        <v>35776.3333333333</v>
      </c>
      <c r="AX387" s="399"/>
      <c r="AY387" s="399"/>
      <c r="AZ387" s="400"/>
      <c r="BA387" s="400"/>
      <c r="BB387" s="400"/>
      <c r="BC387" s="400"/>
      <c r="BD387" s="400"/>
      <c r="BE387" s="400"/>
      <c r="BF387" s="400"/>
      <c r="BG387" s="400"/>
      <c r="BH387" s="400"/>
      <c r="BI387" s="400"/>
      <c r="BJ387" s="400"/>
      <c r="BK387" s="400"/>
      <c r="BL387" s="400"/>
      <c r="BM387" s="400"/>
      <c r="BN387" s="400"/>
      <c r="BO387" s="400"/>
      <c r="BP387" s="400"/>
      <c r="BQ387" s="400"/>
      <c r="BR387" s="258"/>
      <c r="BS387" s="258"/>
      <c r="BT387" s="258"/>
      <c r="BU387" s="258"/>
      <c r="BV387" s="258"/>
      <c r="BW387" s="258"/>
      <c r="BX387" s="258"/>
      <c r="BY387" s="258"/>
      <c r="BZ387" s="258"/>
      <c r="CA387" s="258"/>
      <c r="CB387" s="258"/>
      <c r="CC387" s="258"/>
      <c r="CD387" s="258">
        <v>6800</v>
      </c>
      <c r="CE387" s="258">
        <v>6800</v>
      </c>
      <c r="CF387" s="258">
        <v>20100</v>
      </c>
      <c r="CG387" s="258">
        <v>6300</v>
      </c>
      <c r="CH387" s="258">
        <v>2600</v>
      </c>
      <c r="CI387" s="258">
        <v>17000</v>
      </c>
      <c r="CJ387" s="258">
        <v>27629.8</v>
      </c>
      <c r="CK387" s="283">
        <f t="shared" ref="CK387:CK441" si="56">SUM(CJ387*3+CI387*2+CH387*1)/6</f>
        <v>19914.9</v>
      </c>
      <c r="CL387" s="398"/>
      <c r="CM387" s="371">
        <f>Summary!$D$3</f>
        <v>2112033.31166667</v>
      </c>
      <c r="CN387" s="258">
        <f>IF(_xlfn.IFNA(CM387,0),IF(AND(H387/CM387&gt;=0.05,B387&lt;&gt;"官网"),1,0),0)</f>
        <v>0</v>
      </c>
    </row>
    <row r="388" ht="15.6" spans="1:92">
      <c r="A388" s="258" t="s">
        <v>191</v>
      </c>
      <c r="B388" s="258" t="s">
        <v>694</v>
      </c>
      <c r="C388" s="258" t="s">
        <v>243</v>
      </c>
      <c r="D388" s="258" t="s">
        <v>3655</v>
      </c>
      <c r="E388" s="258" t="s">
        <v>3600</v>
      </c>
      <c r="F388" s="260" t="s">
        <v>420</v>
      </c>
      <c r="G388" s="260"/>
      <c r="H388" s="283">
        <f t="shared" si="52"/>
        <v>4498.07</v>
      </c>
      <c r="I388" s="260" t="s">
        <v>3314</v>
      </c>
      <c r="J388" s="258"/>
      <c r="K388" s="258"/>
      <c r="L388" s="258"/>
      <c r="M388" s="258"/>
      <c r="N388" s="258"/>
      <c r="O388" s="258"/>
      <c r="P388" s="258"/>
      <c r="Q388" s="258"/>
      <c r="R388" s="258"/>
      <c r="S388" s="258"/>
      <c r="T388" s="258"/>
      <c r="U388" s="258"/>
      <c r="V388" s="258"/>
      <c r="W388" s="258"/>
      <c r="X388" s="258"/>
      <c r="Y388" s="258"/>
      <c r="Z388" s="258"/>
      <c r="AA388" s="258"/>
      <c r="AB388" s="258"/>
      <c r="AC388" s="258"/>
      <c r="AD388" s="258"/>
      <c r="AE388" s="258"/>
      <c r="AF388" s="258"/>
      <c r="AG388" s="258"/>
      <c r="AH388" s="258"/>
      <c r="AI388" s="258"/>
      <c r="AJ388" s="258"/>
      <c r="AK388" s="258"/>
      <c r="AL388" s="258"/>
      <c r="AM388" s="283"/>
      <c r="AN388" s="283"/>
      <c r="AO388" s="283"/>
      <c r="AP388" s="258">
        <v>0</v>
      </c>
      <c r="AQ388" s="258" t="s">
        <v>3656</v>
      </c>
      <c r="AR388" s="283" t="s">
        <v>3657</v>
      </c>
      <c r="AS388" s="283" t="s">
        <v>3658</v>
      </c>
      <c r="AT388" s="283" t="s">
        <v>3659</v>
      </c>
      <c r="AU388" s="283" t="s">
        <v>3660</v>
      </c>
      <c r="AV388" s="283" t="s">
        <v>2260</v>
      </c>
      <c r="AW388" s="283">
        <f t="shared" si="55"/>
        <v>8067.5</v>
      </c>
      <c r="AX388" s="399"/>
      <c r="AY388" s="399"/>
      <c r="AZ388" s="400"/>
      <c r="BA388" s="400"/>
      <c r="BB388" s="400"/>
      <c r="BC388" s="400"/>
      <c r="BD388" s="400"/>
      <c r="BE388" s="400"/>
      <c r="BF388" s="400"/>
      <c r="BG388" s="400"/>
      <c r="BH388" s="400"/>
      <c r="BI388" s="400"/>
      <c r="BJ388" s="400"/>
      <c r="BK388" s="400"/>
      <c r="BL388" s="400"/>
      <c r="BM388" s="400"/>
      <c r="BN388" s="400"/>
      <c r="BO388" s="400"/>
      <c r="BP388" s="400"/>
      <c r="BQ388" s="400"/>
      <c r="BR388" s="258"/>
      <c r="BS388" s="258"/>
      <c r="BT388" s="258"/>
      <c r="BU388" s="258"/>
      <c r="BV388" s="258"/>
      <c r="BW388" s="258"/>
      <c r="BX388" s="258"/>
      <c r="BY388" s="258"/>
      <c r="BZ388" s="258"/>
      <c r="CA388" s="258"/>
      <c r="CB388" s="258"/>
      <c r="CC388" s="258"/>
      <c r="CD388" s="258">
        <v>4000</v>
      </c>
      <c r="CE388" s="258">
        <v>4000</v>
      </c>
      <c r="CF388" s="258">
        <f>41100*0.0018*2</f>
        <v>147.96</v>
      </c>
      <c r="CG388" s="258">
        <v>3084.14</v>
      </c>
      <c r="CH388" s="258">
        <v>303.84</v>
      </c>
      <c r="CI388" s="258">
        <v>834</v>
      </c>
      <c r="CJ388" s="258">
        <v>1200</v>
      </c>
      <c r="CK388" s="283">
        <f t="shared" si="56"/>
        <v>928.64</v>
      </c>
      <c r="CL388" s="398"/>
      <c r="CM388" s="371">
        <f>Summary!$D$23</f>
        <v>176176.176666667</v>
      </c>
      <c r="CN388" s="258">
        <f>IF(_xlfn.IFNA(CM388,0),IF(AND(H388/CM388&gt;=0.05,B388&lt;&gt;"官网"),1,0),0)</f>
        <v>0</v>
      </c>
    </row>
    <row r="389" ht="15.6" spans="1:92">
      <c r="A389" s="258" t="s">
        <v>171</v>
      </c>
      <c r="B389" s="258" t="s">
        <v>694</v>
      </c>
      <c r="C389" s="258"/>
      <c r="D389" s="258" t="s">
        <v>3661</v>
      </c>
      <c r="E389" s="258" t="s">
        <v>3477</v>
      </c>
      <c r="F389" s="260" t="s">
        <v>57</v>
      </c>
      <c r="G389" s="260"/>
      <c r="H389" s="283">
        <f t="shared" si="52"/>
        <v>88062.0000000002</v>
      </c>
      <c r="I389" s="260" t="s">
        <v>3662</v>
      </c>
      <c r="J389" s="258"/>
      <c r="K389" s="258"/>
      <c r="L389" s="258"/>
      <c r="M389" s="258"/>
      <c r="N389" s="258"/>
      <c r="O389" s="258"/>
      <c r="P389" s="258"/>
      <c r="Q389" s="258"/>
      <c r="R389" s="258"/>
      <c r="S389" s="258"/>
      <c r="T389" s="258"/>
      <c r="U389" s="258"/>
      <c r="V389" s="258"/>
      <c r="W389" s="258"/>
      <c r="X389" s="258"/>
      <c r="Y389" s="258"/>
      <c r="Z389" s="258"/>
      <c r="AA389" s="258"/>
      <c r="AB389" s="258"/>
      <c r="AC389" s="258"/>
      <c r="AD389" s="258"/>
      <c r="AE389" s="258"/>
      <c r="AF389" s="258"/>
      <c r="AG389" s="258"/>
      <c r="AH389" s="258"/>
      <c r="AI389" s="258"/>
      <c r="AJ389" s="258"/>
      <c r="AK389" s="258"/>
      <c r="AL389" s="258"/>
      <c r="AM389" s="283"/>
      <c r="AN389" s="283"/>
      <c r="AO389" s="283"/>
      <c r="AP389" s="258"/>
      <c r="AQ389" s="258" t="s">
        <v>3663</v>
      </c>
      <c r="AR389" s="283" t="s">
        <v>3664</v>
      </c>
      <c r="AS389" s="283" t="s">
        <v>3665</v>
      </c>
      <c r="AT389" s="283" t="s">
        <v>3666</v>
      </c>
      <c r="AU389" s="283" t="s">
        <v>3667</v>
      </c>
      <c r="AV389" s="283" t="s">
        <v>3668</v>
      </c>
      <c r="AW389" s="283">
        <f t="shared" si="55"/>
        <v>111340.666666667</v>
      </c>
      <c r="AX389" s="399"/>
      <c r="AY389" s="399"/>
      <c r="AZ389" s="400"/>
      <c r="BA389" s="400"/>
      <c r="BB389" s="400"/>
      <c r="BC389" s="400"/>
      <c r="BD389" s="400"/>
      <c r="BE389" s="400"/>
      <c r="BF389" s="400"/>
      <c r="BG389" s="400"/>
      <c r="BH389" s="400"/>
      <c r="BI389" s="400"/>
      <c r="BJ389" s="400"/>
      <c r="BK389" s="400"/>
      <c r="BL389" s="400"/>
      <c r="BM389" s="400"/>
      <c r="BN389" s="400"/>
      <c r="BO389" s="400"/>
      <c r="BP389" s="400"/>
      <c r="BQ389" s="400"/>
      <c r="BR389" s="258"/>
      <c r="BS389" s="258"/>
      <c r="BT389" s="258"/>
      <c r="BU389" s="258"/>
      <c r="BV389" s="258"/>
      <c r="BW389" s="258"/>
      <c r="BX389" s="258"/>
      <c r="BY389" s="258"/>
      <c r="BZ389" s="258"/>
      <c r="CA389" s="258"/>
      <c r="CB389" s="258"/>
      <c r="CC389" s="258"/>
      <c r="CD389" s="258"/>
      <c r="CE389" s="258">
        <v>140800</v>
      </c>
      <c r="CF389" s="258">
        <v>129000</v>
      </c>
      <c r="CG389" s="258">
        <v>28400</v>
      </c>
      <c r="CH389" s="258">
        <v>40800</v>
      </c>
      <c r="CI389" s="258">
        <v>98200</v>
      </c>
      <c r="CJ389" s="258">
        <v>50500</v>
      </c>
      <c r="CK389" s="283">
        <f t="shared" si="56"/>
        <v>64783.3333333333</v>
      </c>
      <c r="CL389" s="398"/>
      <c r="CM389" s="371">
        <f>Summary!$D$12</f>
        <v>489885.37</v>
      </c>
      <c r="CN389" s="258">
        <f>IF(_xlfn.IFNA(CM389,0),IF(AND(H389/CM389&gt;=0.05,B389&lt;&gt;"官网",B389&lt;&gt;"自己网站"),1,0),0)</f>
        <v>1</v>
      </c>
    </row>
    <row r="390" ht="15.6" spans="1:92">
      <c r="A390" s="258" t="s">
        <v>145</v>
      </c>
      <c r="B390" s="258" t="s">
        <v>694</v>
      </c>
      <c r="C390" s="258" t="s">
        <v>230</v>
      </c>
      <c r="D390" s="258" t="s">
        <v>3669</v>
      </c>
      <c r="E390" s="258" t="s">
        <v>65</v>
      </c>
      <c r="F390" s="260" t="s">
        <v>426</v>
      </c>
      <c r="G390" s="260"/>
      <c r="H390" s="283">
        <f t="shared" si="52"/>
        <v>34362.75</v>
      </c>
      <c r="I390" s="260" t="s">
        <v>3662</v>
      </c>
      <c r="J390" s="258"/>
      <c r="K390" s="258"/>
      <c r="L390" s="258"/>
      <c r="M390" s="258"/>
      <c r="N390" s="258"/>
      <c r="O390" s="258"/>
      <c r="P390" s="258"/>
      <c r="Q390" s="258"/>
      <c r="R390" s="258"/>
      <c r="S390" s="258"/>
      <c r="T390" s="258"/>
      <c r="U390" s="258"/>
      <c r="V390" s="258"/>
      <c r="W390" s="258"/>
      <c r="X390" s="258"/>
      <c r="Y390" s="258"/>
      <c r="Z390" s="258"/>
      <c r="AA390" s="258"/>
      <c r="AB390" s="258"/>
      <c r="AC390" s="258"/>
      <c r="AD390" s="258"/>
      <c r="AE390" s="258"/>
      <c r="AF390" s="258"/>
      <c r="AG390" s="258"/>
      <c r="AH390" s="258"/>
      <c r="AI390" s="258"/>
      <c r="AJ390" s="258"/>
      <c r="AK390" s="258"/>
      <c r="AL390" s="258"/>
      <c r="AM390" s="283"/>
      <c r="AN390" s="283"/>
      <c r="AO390" s="283"/>
      <c r="AP390" s="258"/>
      <c r="AQ390" s="258" t="s">
        <v>3670</v>
      </c>
      <c r="AR390" s="283" t="s">
        <v>3671</v>
      </c>
      <c r="AS390" s="283" t="s">
        <v>3672</v>
      </c>
      <c r="AT390" s="283" t="s">
        <v>3673</v>
      </c>
      <c r="AU390" s="283" t="s">
        <v>3674</v>
      </c>
      <c r="AV390" s="283" t="s">
        <v>3675</v>
      </c>
      <c r="AW390" s="283">
        <f t="shared" si="55"/>
        <v>53288.6666666667</v>
      </c>
      <c r="AX390" s="399"/>
      <c r="AY390" s="399"/>
      <c r="AZ390" s="400"/>
      <c r="BA390" s="400"/>
      <c r="BB390" s="400"/>
      <c r="BC390" s="400"/>
      <c r="BD390" s="400"/>
      <c r="BE390" s="400"/>
      <c r="BF390" s="400"/>
      <c r="BG390" s="400"/>
      <c r="BH390" s="400"/>
      <c r="BI390" s="400"/>
      <c r="BJ390" s="400"/>
      <c r="BK390" s="400"/>
      <c r="BL390" s="400"/>
      <c r="BM390" s="400"/>
      <c r="BN390" s="400"/>
      <c r="BO390" s="400"/>
      <c r="BP390" s="400"/>
      <c r="BQ390" s="400"/>
      <c r="BR390" s="258"/>
      <c r="BS390" s="258"/>
      <c r="BT390" s="258"/>
      <c r="BU390" s="258"/>
      <c r="BV390" s="258"/>
      <c r="BW390" s="258"/>
      <c r="BX390" s="258"/>
      <c r="BY390" s="258"/>
      <c r="BZ390" s="258"/>
      <c r="CA390" s="258"/>
      <c r="CB390" s="258"/>
      <c r="CC390" s="258"/>
      <c r="CD390" s="258"/>
      <c r="CE390" s="258">
        <v>31500</v>
      </c>
      <c r="CF390" s="258">
        <v>68100</v>
      </c>
      <c r="CG390" s="258">
        <v>40439.34</v>
      </c>
      <c r="CH390" s="258">
        <v>57121</v>
      </c>
      <c r="CI390" s="258">
        <v>7700</v>
      </c>
      <c r="CJ390" s="258">
        <v>6700</v>
      </c>
      <c r="CK390" s="283">
        <f t="shared" si="56"/>
        <v>15436.8333333333</v>
      </c>
      <c r="CL390" s="398"/>
      <c r="CM390" s="371">
        <f>Summary!$D$4</f>
        <v>1816871.23333333</v>
      </c>
      <c r="CN390" s="258">
        <f>IF(_xlfn.IFNA(CM390,0),IF(AND(H390/CM390&gt;=0.05,B390&lt;&gt;"官网",B390&lt;&gt;"自己网站"),1,0),0)</f>
        <v>0</v>
      </c>
    </row>
    <row r="391" ht="15.6" spans="1:92">
      <c r="A391" s="258" t="s">
        <v>156</v>
      </c>
      <c r="B391" s="258" t="s">
        <v>694</v>
      </c>
      <c r="C391" s="258" t="s">
        <v>230</v>
      </c>
      <c r="D391" s="258" t="s">
        <v>3676</v>
      </c>
      <c r="E391" s="258" t="s">
        <v>65</v>
      </c>
      <c r="F391" s="260" t="s">
        <v>266</v>
      </c>
      <c r="G391" s="260"/>
      <c r="H391" s="283">
        <f t="shared" si="52"/>
        <v>4387.91666666667</v>
      </c>
      <c r="I391" s="260" t="s">
        <v>3662</v>
      </c>
      <c r="J391" s="258"/>
      <c r="K391" s="258"/>
      <c r="L391" s="258"/>
      <c r="M391" s="258"/>
      <c r="N391" s="258"/>
      <c r="O391" s="258"/>
      <c r="P391" s="258"/>
      <c r="Q391" s="258"/>
      <c r="R391" s="258"/>
      <c r="S391" s="258"/>
      <c r="T391" s="258"/>
      <c r="U391" s="258"/>
      <c r="V391" s="258"/>
      <c r="W391" s="258"/>
      <c r="X391" s="258"/>
      <c r="Y391" s="258"/>
      <c r="Z391" s="258"/>
      <c r="AA391" s="258"/>
      <c r="AB391" s="258"/>
      <c r="AC391" s="258"/>
      <c r="AD391" s="258"/>
      <c r="AE391" s="258"/>
      <c r="AF391" s="258"/>
      <c r="AG391" s="258"/>
      <c r="AH391" s="258"/>
      <c r="AI391" s="258"/>
      <c r="AJ391" s="258"/>
      <c r="AK391" s="258"/>
      <c r="AL391" s="258"/>
      <c r="AM391" s="283"/>
      <c r="AN391" s="283"/>
      <c r="AO391" s="283"/>
      <c r="AP391" s="258"/>
      <c r="AQ391" s="258" t="s">
        <v>3677</v>
      </c>
      <c r="AR391" s="283" t="s">
        <v>3678</v>
      </c>
      <c r="AS391" s="283" t="s">
        <v>3679</v>
      </c>
      <c r="AT391" s="283" t="s">
        <v>3680</v>
      </c>
      <c r="AU391" s="283" t="s">
        <v>3681</v>
      </c>
      <c r="AV391" s="283" t="s">
        <v>3682</v>
      </c>
      <c r="AW391" s="283">
        <f t="shared" si="55"/>
        <v>4742.5</v>
      </c>
      <c r="AX391" s="399"/>
      <c r="AY391" s="399"/>
      <c r="AZ391" s="400"/>
      <c r="BA391" s="400"/>
      <c r="BB391" s="400"/>
      <c r="BC391" s="400"/>
      <c r="BD391" s="400"/>
      <c r="BE391" s="400"/>
      <c r="BF391" s="400"/>
      <c r="BG391" s="400"/>
      <c r="BH391" s="400"/>
      <c r="BI391" s="400"/>
      <c r="BJ391" s="400"/>
      <c r="BK391" s="400"/>
      <c r="BL391" s="400"/>
      <c r="BM391" s="400"/>
      <c r="BN391" s="400"/>
      <c r="BO391" s="400"/>
      <c r="BP391" s="400"/>
      <c r="BQ391" s="400"/>
      <c r="BR391" s="258"/>
      <c r="BS391" s="258"/>
      <c r="BT391" s="258"/>
      <c r="BU391" s="258"/>
      <c r="BV391" s="258"/>
      <c r="BW391" s="258"/>
      <c r="BX391" s="258"/>
      <c r="BY391" s="258"/>
      <c r="BZ391" s="258"/>
      <c r="CA391" s="258"/>
      <c r="CB391" s="258"/>
      <c r="CC391" s="258"/>
      <c r="CD391" s="258"/>
      <c r="CE391" s="258">
        <v>3000</v>
      </c>
      <c r="CF391" s="258">
        <v>54500</v>
      </c>
      <c r="CG391" s="258">
        <v>2600</v>
      </c>
      <c r="CH391" s="258">
        <v>12100</v>
      </c>
      <c r="CI391" s="258">
        <v>3200</v>
      </c>
      <c r="CJ391" s="258">
        <v>1900</v>
      </c>
      <c r="CK391" s="283">
        <f t="shared" si="56"/>
        <v>4033.33333333333</v>
      </c>
      <c r="CL391" s="398"/>
      <c r="CM391" s="371">
        <f>Summary!$D$7</f>
        <v>965318.368333333</v>
      </c>
      <c r="CN391" s="258">
        <f>IF(_xlfn.IFNA(CM391,0),IF(AND(H391/CM391&gt;=0.05,B391&lt;&gt;"官网"),1,0),0)</f>
        <v>0</v>
      </c>
    </row>
    <row r="392" ht="15.6" spans="1:92">
      <c r="A392" s="258" t="s">
        <v>159</v>
      </c>
      <c r="B392" s="258" t="s">
        <v>694</v>
      </c>
      <c r="C392" s="258" t="s">
        <v>230</v>
      </c>
      <c r="D392" s="258" t="s">
        <v>3683</v>
      </c>
      <c r="E392" s="258" t="s">
        <v>65</v>
      </c>
      <c r="F392" s="260" t="s">
        <v>60</v>
      </c>
      <c r="G392" s="260"/>
      <c r="H392" s="283">
        <f t="shared" ref="H392:H408" si="57">(AW392+CK392)/2</f>
        <v>15749.5</v>
      </c>
      <c r="I392" s="260" t="s">
        <v>3662</v>
      </c>
      <c r="J392" s="258"/>
      <c r="K392" s="258"/>
      <c r="L392" s="258"/>
      <c r="M392" s="258"/>
      <c r="N392" s="258"/>
      <c r="O392" s="258"/>
      <c r="P392" s="258"/>
      <c r="Q392" s="258"/>
      <c r="R392" s="258"/>
      <c r="S392" s="258"/>
      <c r="T392" s="258"/>
      <c r="U392" s="258"/>
      <c r="V392" s="258"/>
      <c r="W392" s="258"/>
      <c r="X392" s="258"/>
      <c r="Y392" s="258"/>
      <c r="Z392" s="258"/>
      <c r="AA392" s="258"/>
      <c r="AB392" s="258"/>
      <c r="AC392" s="258"/>
      <c r="AD392" s="258"/>
      <c r="AE392" s="258"/>
      <c r="AF392" s="258"/>
      <c r="AG392" s="258"/>
      <c r="AH392" s="258"/>
      <c r="AI392" s="258"/>
      <c r="AJ392" s="258"/>
      <c r="AK392" s="258"/>
      <c r="AL392" s="258"/>
      <c r="AM392" s="283"/>
      <c r="AN392" s="283"/>
      <c r="AO392" s="283"/>
      <c r="AP392" s="258"/>
      <c r="AQ392" s="258" t="s">
        <v>3684</v>
      </c>
      <c r="AR392" s="283" t="s">
        <v>3685</v>
      </c>
      <c r="AS392" s="283" t="s">
        <v>3686</v>
      </c>
      <c r="AT392" s="283" t="s">
        <v>3687</v>
      </c>
      <c r="AU392" s="283" t="s">
        <v>3688</v>
      </c>
      <c r="AV392" s="283" t="s">
        <v>3689</v>
      </c>
      <c r="AW392" s="283">
        <f t="shared" si="55"/>
        <v>22882.3333333333</v>
      </c>
      <c r="AX392" s="399"/>
      <c r="AY392" s="399"/>
      <c r="AZ392" s="400"/>
      <c r="BA392" s="400"/>
      <c r="BB392" s="400"/>
      <c r="BC392" s="400"/>
      <c r="BD392" s="400"/>
      <c r="BE392" s="400"/>
      <c r="BF392" s="400"/>
      <c r="BG392" s="400"/>
      <c r="BH392" s="400"/>
      <c r="BI392" s="400"/>
      <c r="BJ392" s="400"/>
      <c r="BK392" s="400"/>
      <c r="BL392" s="400"/>
      <c r="BM392" s="400"/>
      <c r="BN392" s="400"/>
      <c r="BO392" s="400"/>
      <c r="BP392" s="400"/>
      <c r="BQ392" s="400"/>
      <c r="BR392" s="258"/>
      <c r="BS392" s="258"/>
      <c r="BT392" s="258"/>
      <c r="BU392" s="258"/>
      <c r="BV392" s="258"/>
      <c r="BW392" s="258"/>
      <c r="BX392" s="258"/>
      <c r="BY392" s="258"/>
      <c r="BZ392" s="258"/>
      <c r="CA392" s="258"/>
      <c r="CB392" s="258"/>
      <c r="CC392" s="258"/>
      <c r="CD392" s="258"/>
      <c r="CE392" s="258">
        <v>13400</v>
      </c>
      <c r="CF392" s="258">
        <v>3100</v>
      </c>
      <c r="CG392" s="258">
        <v>7049.32</v>
      </c>
      <c r="CH392" s="258">
        <v>22900</v>
      </c>
      <c r="CI392" s="258">
        <v>1500</v>
      </c>
      <c r="CJ392" s="258">
        <v>8600</v>
      </c>
      <c r="CK392" s="283">
        <f t="shared" si="56"/>
        <v>8616.66666666667</v>
      </c>
      <c r="CL392" s="398"/>
      <c r="CM392" s="371">
        <f>Summary!$D$8</f>
        <v>724303.229333334</v>
      </c>
      <c r="CN392" s="258">
        <f t="shared" ref="CN392:CN394" si="58">IF(_xlfn.IFNA(CM392,0),IF(AND(H392/CM392&gt;=0.05,B392&lt;&gt;"官网",B392&lt;&gt;"自己网站"),1,0),0)</f>
        <v>0</v>
      </c>
    </row>
    <row r="393" ht="15.6" spans="1:92">
      <c r="A393" s="258" t="s">
        <v>159</v>
      </c>
      <c r="B393" s="258" t="s">
        <v>694</v>
      </c>
      <c r="C393" s="258" t="s">
        <v>243</v>
      </c>
      <c r="D393" s="258" t="s">
        <v>3690</v>
      </c>
      <c r="E393" s="258" t="s">
        <v>3600</v>
      </c>
      <c r="F393" s="260" t="s">
        <v>302</v>
      </c>
      <c r="G393" s="260"/>
      <c r="H393" s="283">
        <f t="shared" si="57"/>
        <v>5042.83333333333</v>
      </c>
      <c r="I393" s="260" t="s">
        <v>3662</v>
      </c>
      <c r="J393" s="258"/>
      <c r="K393" s="258"/>
      <c r="L393" s="258"/>
      <c r="M393" s="258"/>
      <c r="N393" s="258"/>
      <c r="O393" s="258"/>
      <c r="P393" s="258"/>
      <c r="Q393" s="258"/>
      <c r="R393" s="258"/>
      <c r="S393" s="258"/>
      <c r="T393" s="258"/>
      <c r="U393" s="258"/>
      <c r="V393" s="258"/>
      <c r="W393" s="258"/>
      <c r="X393" s="258"/>
      <c r="Y393" s="258"/>
      <c r="Z393" s="258"/>
      <c r="AA393" s="258"/>
      <c r="AB393" s="258"/>
      <c r="AC393" s="258"/>
      <c r="AD393" s="258"/>
      <c r="AE393" s="258"/>
      <c r="AF393" s="258"/>
      <c r="AG393" s="258"/>
      <c r="AH393" s="258"/>
      <c r="AI393" s="258"/>
      <c r="AJ393" s="258"/>
      <c r="AK393" s="258"/>
      <c r="AL393" s="258"/>
      <c r="AM393" s="283"/>
      <c r="AN393" s="283"/>
      <c r="AO393" s="283"/>
      <c r="AP393" s="258"/>
      <c r="AQ393" s="258" t="s">
        <v>796</v>
      </c>
      <c r="AR393" s="283" t="s">
        <v>3691</v>
      </c>
      <c r="AS393" s="283" t="s">
        <v>3692</v>
      </c>
      <c r="AT393" s="283" t="s">
        <v>3693</v>
      </c>
      <c r="AU393" s="283" t="s">
        <v>3694</v>
      </c>
      <c r="AV393" s="283" t="s">
        <v>3695</v>
      </c>
      <c r="AW393" s="283">
        <f t="shared" si="55"/>
        <v>9185.66666666667</v>
      </c>
      <c r="AX393" s="399"/>
      <c r="AY393" s="399"/>
      <c r="AZ393" s="400"/>
      <c r="BA393" s="400"/>
      <c r="BB393" s="400"/>
      <c r="BC393" s="400"/>
      <c r="BD393" s="400"/>
      <c r="BE393" s="400"/>
      <c r="BF393" s="400"/>
      <c r="BG393" s="400"/>
      <c r="BH393" s="400"/>
      <c r="BI393" s="400"/>
      <c r="BJ393" s="400"/>
      <c r="BK393" s="400"/>
      <c r="BL393" s="400"/>
      <c r="BM393" s="400"/>
      <c r="BN393" s="400"/>
      <c r="BO393" s="400"/>
      <c r="BP393" s="400"/>
      <c r="BQ393" s="400"/>
      <c r="BR393" s="258"/>
      <c r="BS393" s="258"/>
      <c r="BT393" s="258"/>
      <c r="BU393" s="258"/>
      <c r="BV393" s="258"/>
      <c r="BW393" s="258"/>
      <c r="BX393" s="258"/>
      <c r="BY393" s="258"/>
      <c r="BZ393" s="258"/>
      <c r="CA393" s="258"/>
      <c r="CB393" s="258"/>
      <c r="CC393" s="258"/>
      <c r="CD393" s="258"/>
      <c r="CE393" s="258">
        <v>0</v>
      </c>
      <c r="CF393" s="258">
        <v>9700</v>
      </c>
      <c r="CG393" s="258">
        <v>14054.04</v>
      </c>
      <c r="CH393" s="258">
        <v>0</v>
      </c>
      <c r="CI393" s="258">
        <v>2700</v>
      </c>
      <c r="CJ393" s="258">
        <v>0</v>
      </c>
      <c r="CK393" s="283">
        <f t="shared" si="56"/>
        <v>900</v>
      </c>
      <c r="CL393" s="398"/>
      <c r="CM393" s="371">
        <f>Summary!$D$8</f>
        <v>724303.229333334</v>
      </c>
      <c r="CN393" s="258">
        <f t="shared" si="58"/>
        <v>0</v>
      </c>
    </row>
    <row r="394" ht="15.6" spans="1:92">
      <c r="A394" s="258" t="s">
        <v>159</v>
      </c>
      <c r="B394" s="258" t="s">
        <v>694</v>
      </c>
      <c r="C394" s="258" t="s">
        <v>243</v>
      </c>
      <c r="D394" s="258" t="s">
        <v>3696</v>
      </c>
      <c r="E394" s="258" t="s">
        <v>3600</v>
      </c>
      <c r="F394" s="260" t="s">
        <v>250</v>
      </c>
      <c r="G394" s="260"/>
      <c r="H394" s="283">
        <f t="shared" si="57"/>
        <v>8305.41666666667</v>
      </c>
      <c r="I394" s="260" t="s">
        <v>3662</v>
      </c>
      <c r="J394" s="258"/>
      <c r="K394" s="258"/>
      <c r="L394" s="258"/>
      <c r="M394" s="258"/>
      <c r="N394" s="258"/>
      <c r="O394" s="258"/>
      <c r="P394" s="258"/>
      <c r="Q394" s="258"/>
      <c r="R394" s="258"/>
      <c r="S394" s="258"/>
      <c r="T394" s="258"/>
      <c r="U394" s="258"/>
      <c r="V394" s="258"/>
      <c r="W394" s="258"/>
      <c r="X394" s="258"/>
      <c r="Y394" s="258"/>
      <c r="Z394" s="258"/>
      <c r="AA394" s="258"/>
      <c r="AB394" s="258"/>
      <c r="AC394" s="258"/>
      <c r="AD394" s="258"/>
      <c r="AE394" s="258"/>
      <c r="AF394" s="258"/>
      <c r="AG394" s="258"/>
      <c r="AH394" s="258"/>
      <c r="AI394" s="258"/>
      <c r="AJ394" s="258"/>
      <c r="AK394" s="258"/>
      <c r="AL394" s="258"/>
      <c r="AM394" s="283"/>
      <c r="AN394" s="283"/>
      <c r="AO394" s="283"/>
      <c r="AP394" s="258"/>
      <c r="AQ394" s="258" t="s">
        <v>3697</v>
      </c>
      <c r="AR394" s="283" t="s">
        <v>3698</v>
      </c>
      <c r="AS394" s="283" t="s">
        <v>3699</v>
      </c>
      <c r="AT394" s="283" t="s">
        <v>3700</v>
      </c>
      <c r="AU394" s="283" t="s">
        <v>3701</v>
      </c>
      <c r="AV394" s="283" t="s">
        <v>3702</v>
      </c>
      <c r="AW394" s="283">
        <f t="shared" si="55"/>
        <v>14249.5</v>
      </c>
      <c r="AX394" s="399"/>
      <c r="AY394" s="399"/>
      <c r="AZ394" s="400"/>
      <c r="BA394" s="400"/>
      <c r="BB394" s="400"/>
      <c r="BC394" s="400"/>
      <c r="BD394" s="400"/>
      <c r="BE394" s="400"/>
      <c r="BF394" s="400"/>
      <c r="BG394" s="400"/>
      <c r="BH394" s="400"/>
      <c r="BI394" s="400"/>
      <c r="BJ394" s="400"/>
      <c r="BK394" s="400"/>
      <c r="BL394" s="400"/>
      <c r="BM394" s="400"/>
      <c r="BN394" s="400"/>
      <c r="BO394" s="400"/>
      <c r="BP394" s="400"/>
      <c r="BQ394" s="400"/>
      <c r="BR394" s="258"/>
      <c r="BS394" s="258"/>
      <c r="BT394" s="258"/>
      <c r="BU394" s="258"/>
      <c r="BV394" s="258"/>
      <c r="BW394" s="258"/>
      <c r="BX394" s="258"/>
      <c r="BY394" s="258"/>
      <c r="BZ394" s="258"/>
      <c r="CA394" s="258"/>
      <c r="CB394" s="258"/>
      <c r="CC394" s="258"/>
      <c r="CD394" s="258"/>
      <c r="CE394" s="258">
        <v>3400</v>
      </c>
      <c r="CF394" s="258">
        <v>1800</v>
      </c>
      <c r="CG394" s="258">
        <v>1728</v>
      </c>
      <c r="CH394" s="258">
        <v>3300</v>
      </c>
      <c r="CI394" s="258">
        <v>484</v>
      </c>
      <c r="CJ394" s="258">
        <v>3300</v>
      </c>
      <c r="CK394" s="283">
        <f t="shared" si="56"/>
        <v>2361.33333333333</v>
      </c>
      <c r="CL394" s="398"/>
      <c r="CM394" s="371">
        <f>Summary!$D$8</f>
        <v>724303.229333334</v>
      </c>
      <c r="CN394" s="258">
        <f t="shared" si="58"/>
        <v>0</v>
      </c>
    </row>
    <row r="395" ht="15.6" spans="1:92">
      <c r="A395" s="258" t="s">
        <v>165</v>
      </c>
      <c r="B395" s="258" t="s">
        <v>694</v>
      </c>
      <c r="C395" s="258" t="s">
        <v>230</v>
      </c>
      <c r="D395" s="258" t="s">
        <v>3703</v>
      </c>
      <c r="E395" s="258" t="s">
        <v>65</v>
      </c>
      <c r="F395" s="260" t="s">
        <v>425</v>
      </c>
      <c r="G395" s="260"/>
      <c r="H395" s="283">
        <f t="shared" si="57"/>
        <v>5866.58333333333</v>
      </c>
      <c r="I395" s="260" t="s">
        <v>3662</v>
      </c>
      <c r="J395" s="258"/>
      <c r="K395" s="258"/>
      <c r="L395" s="258"/>
      <c r="M395" s="258"/>
      <c r="N395" s="258"/>
      <c r="O395" s="258"/>
      <c r="P395" s="258"/>
      <c r="Q395" s="258"/>
      <c r="R395" s="258"/>
      <c r="S395" s="258"/>
      <c r="T395" s="258"/>
      <c r="U395" s="258"/>
      <c r="V395" s="258"/>
      <c r="W395" s="258"/>
      <c r="X395" s="258"/>
      <c r="Y395" s="258"/>
      <c r="Z395" s="258"/>
      <c r="AA395" s="258"/>
      <c r="AB395" s="258"/>
      <c r="AC395" s="258"/>
      <c r="AD395" s="258"/>
      <c r="AE395" s="258"/>
      <c r="AF395" s="258"/>
      <c r="AG395" s="258"/>
      <c r="AH395" s="258"/>
      <c r="AI395" s="258"/>
      <c r="AJ395" s="258"/>
      <c r="AK395" s="258"/>
      <c r="AL395" s="258"/>
      <c r="AM395" s="283"/>
      <c r="AN395" s="283"/>
      <c r="AO395" s="283"/>
      <c r="AP395" s="258"/>
      <c r="AQ395" s="258" t="s">
        <v>3704</v>
      </c>
      <c r="AR395" s="283" t="s">
        <v>3705</v>
      </c>
      <c r="AS395" s="283" t="s">
        <v>3706</v>
      </c>
      <c r="AT395" s="283" t="s">
        <v>3707</v>
      </c>
      <c r="AU395" s="283" t="s">
        <v>3708</v>
      </c>
      <c r="AV395" s="283" t="s">
        <v>3709</v>
      </c>
      <c r="AW395" s="283">
        <f t="shared" si="55"/>
        <v>10860.5</v>
      </c>
      <c r="AX395" s="399"/>
      <c r="AY395" s="399"/>
      <c r="AZ395" s="400"/>
      <c r="BA395" s="400"/>
      <c r="BB395" s="400"/>
      <c r="BC395" s="400"/>
      <c r="BD395" s="400"/>
      <c r="BE395" s="400"/>
      <c r="BF395" s="400"/>
      <c r="BG395" s="400"/>
      <c r="BH395" s="400"/>
      <c r="BI395" s="400"/>
      <c r="BJ395" s="400"/>
      <c r="BK395" s="400"/>
      <c r="BL395" s="400"/>
      <c r="BM395" s="400"/>
      <c r="BN395" s="400"/>
      <c r="BO395" s="400"/>
      <c r="BP395" s="400"/>
      <c r="BQ395" s="400"/>
      <c r="BR395" s="258"/>
      <c r="BS395" s="258"/>
      <c r="BT395" s="258"/>
      <c r="BU395" s="258"/>
      <c r="BV395" s="258"/>
      <c r="BW395" s="258"/>
      <c r="BX395" s="258"/>
      <c r="BY395" s="258"/>
      <c r="BZ395" s="258"/>
      <c r="CA395" s="258"/>
      <c r="CB395" s="258"/>
      <c r="CC395" s="258"/>
      <c r="CD395" s="258"/>
      <c r="CE395" s="258">
        <v>1300</v>
      </c>
      <c r="CF395" s="258">
        <v>1500</v>
      </c>
      <c r="CG395" s="258">
        <v>864</v>
      </c>
      <c r="CH395" s="258">
        <v>0</v>
      </c>
      <c r="CI395" s="258">
        <v>968</v>
      </c>
      <c r="CJ395" s="258">
        <v>1100</v>
      </c>
      <c r="CK395" s="283">
        <f t="shared" si="56"/>
        <v>872.666666666667</v>
      </c>
      <c r="CL395" s="398"/>
      <c r="CM395" s="371">
        <f>Summary!D10</f>
        <v>496999.618566666</v>
      </c>
      <c r="CN395" s="258"/>
    </row>
    <row r="396" ht="15.6" spans="1:92">
      <c r="A396" s="258" t="s">
        <v>141</v>
      </c>
      <c r="B396" s="258" t="s">
        <v>694</v>
      </c>
      <c r="C396" s="258" t="s">
        <v>230</v>
      </c>
      <c r="D396" s="258" t="s">
        <v>3710</v>
      </c>
      <c r="E396" s="258" t="s">
        <v>65</v>
      </c>
      <c r="F396" s="260" t="s">
        <v>291</v>
      </c>
      <c r="G396" s="260"/>
      <c r="H396" s="283">
        <f t="shared" si="57"/>
        <v>4102.25</v>
      </c>
      <c r="I396" s="260" t="s">
        <v>3662</v>
      </c>
      <c r="J396" s="258"/>
      <c r="K396" s="258"/>
      <c r="L396" s="258"/>
      <c r="M396" s="258"/>
      <c r="N396" s="258"/>
      <c r="O396" s="258"/>
      <c r="P396" s="258"/>
      <c r="Q396" s="258"/>
      <c r="R396" s="258"/>
      <c r="S396" s="258"/>
      <c r="T396" s="258"/>
      <c r="U396" s="258"/>
      <c r="V396" s="258"/>
      <c r="W396" s="258"/>
      <c r="X396" s="258"/>
      <c r="Y396" s="258"/>
      <c r="Z396" s="258"/>
      <c r="AA396" s="258"/>
      <c r="AB396" s="258"/>
      <c r="AC396" s="258"/>
      <c r="AD396" s="258"/>
      <c r="AE396" s="258"/>
      <c r="AF396" s="258"/>
      <c r="AG396" s="258"/>
      <c r="AH396" s="258"/>
      <c r="AI396" s="258"/>
      <c r="AJ396" s="258"/>
      <c r="AK396" s="258"/>
      <c r="AL396" s="258"/>
      <c r="AM396" s="283"/>
      <c r="AN396" s="283"/>
      <c r="AO396" s="283"/>
      <c r="AP396" s="258"/>
      <c r="AQ396" s="258" t="s">
        <v>796</v>
      </c>
      <c r="AR396" s="283" t="s">
        <v>3711</v>
      </c>
      <c r="AS396" s="283" t="s">
        <v>3712</v>
      </c>
      <c r="AT396" s="283" t="s">
        <v>3713</v>
      </c>
      <c r="AU396" s="283">
        <v>5905</v>
      </c>
      <c r="AV396" s="283" t="s">
        <v>3714</v>
      </c>
      <c r="AW396" s="283">
        <f t="shared" si="55"/>
        <v>6454.5</v>
      </c>
      <c r="AX396" s="399"/>
      <c r="AY396" s="399"/>
      <c r="AZ396" s="400"/>
      <c r="BA396" s="400"/>
      <c r="BB396" s="400"/>
      <c r="BC396" s="400"/>
      <c r="BD396" s="400"/>
      <c r="BE396" s="400"/>
      <c r="BF396" s="400"/>
      <c r="BG396" s="400"/>
      <c r="BH396" s="400"/>
      <c r="BI396" s="400"/>
      <c r="BJ396" s="400"/>
      <c r="BK396" s="400"/>
      <c r="BL396" s="400"/>
      <c r="BM396" s="400"/>
      <c r="BN396" s="400"/>
      <c r="BO396" s="400"/>
      <c r="BP396" s="400"/>
      <c r="BQ396" s="400"/>
      <c r="BR396" s="258"/>
      <c r="BS396" s="258"/>
      <c r="BT396" s="258"/>
      <c r="BU396" s="258"/>
      <c r="BV396" s="258"/>
      <c r="BW396" s="258"/>
      <c r="BX396" s="258"/>
      <c r="BY396" s="258"/>
      <c r="BZ396" s="258"/>
      <c r="CA396" s="258"/>
      <c r="CB396" s="258"/>
      <c r="CC396" s="258"/>
      <c r="CD396" s="258"/>
      <c r="CE396" s="258">
        <v>0</v>
      </c>
      <c r="CF396" s="258">
        <v>54500</v>
      </c>
      <c r="CG396" s="258">
        <v>11158.7</v>
      </c>
      <c r="CH396" s="258">
        <v>2100</v>
      </c>
      <c r="CI396" s="258">
        <v>0</v>
      </c>
      <c r="CJ396" s="258">
        <v>2800</v>
      </c>
      <c r="CK396" s="283">
        <f t="shared" si="56"/>
        <v>1750</v>
      </c>
      <c r="CL396" s="398"/>
      <c r="CM396" s="371">
        <f>Summary!$D$3</f>
        <v>2112033.31166667</v>
      </c>
      <c r="CN396" s="258">
        <f>IF(_xlfn.IFNA(CM396,0),IF(AND(H396/CM396&gt;=0.05,B396&lt;&gt;"官网"),1,0),0)</f>
        <v>0</v>
      </c>
    </row>
    <row r="397" ht="15.6" spans="1:92">
      <c r="A397" s="258" t="s">
        <v>141</v>
      </c>
      <c r="B397" s="258" t="s">
        <v>694</v>
      </c>
      <c r="C397" s="258" t="s">
        <v>230</v>
      </c>
      <c r="D397" s="258" t="s">
        <v>3715</v>
      </c>
      <c r="E397" s="258" t="s">
        <v>65</v>
      </c>
      <c r="F397" s="260" t="s">
        <v>60</v>
      </c>
      <c r="G397" s="260"/>
      <c r="H397" s="283">
        <f t="shared" si="57"/>
        <v>11708.9166666667</v>
      </c>
      <c r="I397" s="260" t="s">
        <v>3662</v>
      </c>
      <c r="J397" s="258"/>
      <c r="K397" s="258"/>
      <c r="L397" s="258"/>
      <c r="M397" s="258"/>
      <c r="N397" s="258"/>
      <c r="O397" s="258"/>
      <c r="P397" s="258"/>
      <c r="Q397" s="258"/>
      <c r="R397" s="258"/>
      <c r="S397" s="258"/>
      <c r="T397" s="258"/>
      <c r="U397" s="258"/>
      <c r="V397" s="258"/>
      <c r="W397" s="258"/>
      <c r="X397" s="258"/>
      <c r="Y397" s="258"/>
      <c r="Z397" s="258"/>
      <c r="AA397" s="258"/>
      <c r="AB397" s="258"/>
      <c r="AC397" s="258"/>
      <c r="AD397" s="258"/>
      <c r="AE397" s="258"/>
      <c r="AF397" s="258"/>
      <c r="AG397" s="258"/>
      <c r="AH397" s="258"/>
      <c r="AI397" s="258"/>
      <c r="AJ397" s="258"/>
      <c r="AK397" s="258"/>
      <c r="AL397" s="258"/>
      <c r="AM397" s="283"/>
      <c r="AN397" s="283"/>
      <c r="AO397" s="283"/>
      <c r="AP397" s="258"/>
      <c r="AQ397" s="258" t="s">
        <v>3716</v>
      </c>
      <c r="AR397" s="283" t="s">
        <v>3717</v>
      </c>
      <c r="AS397" s="283" t="s">
        <v>3718</v>
      </c>
      <c r="AT397" s="283" t="s">
        <v>3719</v>
      </c>
      <c r="AU397" s="283" t="s">
        <v>3720</v>
      </c>
      <c r="AV397" s="283">
        <v>23659</v>
      </c>
      <c r="AW397" s="283">
        <f t="shared" si="55"/>
        <v>18701.1666666667</v>
      </c>
      <c r="AX397" s="399"/>
      <c r="AY397" s="399"/>
      <c r="AZ397" s="400"/>
      <c r="BA397" s="400"/>
      <c r="BB397" s="400"/>
      <c r="BC397" s="400"/>
      <c r="BD397" s="400"/>
      <c r="BE397" s="400"/>
      <c r="BF397" s="400"/>
      <c r="BG397" s="400"/>
      <c r="BH397" s="400"/>
      <c r="BI397" s="400"/>
      <c r="BJ397" s="400"/>
      <c r="BK397" s="400"/>
      <c r="BL397" s="400"/>
      <c r="BM397" s="400"/>
      <c r="BN397" s="400"/>
      <c r="BO397" s="400"/>
      <c r="BP397" s="400"/>
      <c r="BQ397" s="400"/>
      <c r="BR397" s="258"/>
      <c r="BS397" s="258"/>
      <c r="BT397" s="258"/>
      <c r="BU397" s="258"/>
      <c r="BV397" s="258"/>
      <c r="BW397" s="258"/>
      <c r="BX397" s="258"/>
      <c r="BY397" s="258"/>
      <c r="BZ397" s="258"/>
      <c r="CA397" s="258"/>
      <c r="CB397" s="258"/>
      <c r="CC397" s="258"/>
      <c r="CD397" s="258"/>
      <c r="CE397" s="258">
        <v>0</v>
      </c>
      <c r="CF397" s="258">
        <v>3000</v>
      </c>
      <c r="CG397" s="258">
        <v>6100</v>
      </c>
      <c r="CH397" s="258">
        <v>2500</v>
      </c>
      <c r="CI397" s="258">
        <v>0</v>
      </c>
      <c r="CJ397" s="258">
        <v>8600</v>
      </c>
      <c r="CK397" s="283">
        <f t="shared" si="56"/>
        <v>4716.66666666667</v>
      </c>
      <c r="CL397" s="398"/>
      <c r="CM397" s="371">
        <f>Summary!$D$3</f>
        <v>2112033.31166667</v>
      </c>
      <c r="CN397" s="258">
        <f>IF(_xlfn.IFNA(CM397,0),IF(AND(H397/CM397&gt;=0.05,B397&lt;&gt;"官网"),1,0),0)</f>
        <v>0</v>
      </c>
    </row>
    <row r="398" ht="15.6" spans="1:92">
      <c r="A398" s="258" t="s">
        <v>187</v>
      </c>
      <c r="B398" s="258" t="s">
        <v>694</v>
      </c>
      <c r="C398" s="258" t="s">
        <v>230</v>
      </c>
      <c r="D398" s="258" t="s">
        <v>3721</v>
      </c>
      <c r="E398" s="258" t="s">
        <v>65</v>
      </c>
      <c r="F398" s="260" t="s">
        <v>3722</v>
      </c>
      <c r="G398" s="260"/>
      <c r="H398" s="283">
        <f t="shared" si="57"/>
        <v>427.75</v>
      </c>
      <c r="I398" s="260" t="s">
        <v>3662</v>
      </c>
      <c r="J398" s="258"/>
      <c r="K398" s="258"/>
      <c r="L398" s="258"/>
      <c r="M398" s="258"/>
      <c r="N398" s="258"/>
      <c r="O398" s="258"/>
      <c r="P398" s="258"/>
      <c r="Q398" s="258"/>
      <c r="R398" s="258"/>
      <c r="S398" s="258"/>
      <c r="T398" s="258"/>
      <c r="U398" s="258"/>
      <c r="V398" s="258"/>
      <c r="W398" s="258"/>
      <c r="X398" s="258"/>
      <c r="Y398" s="258"/>
      <c r="Z398" s="258"/>
      <c r="AA398" s="258"/>
      <c r="AB398" s="258"/>
      <c r="AC398" s="258"/>
      <c r="AD398" s="258"/>
      <c r="AE398" s="258"/>
      <c r="AF398" s="258"/>
      <c r="AG398" s="258"/>
      <c r="AH398" s="258"/>
      <c r="AI398" s="258"/>
      <c r="AJ398" s="258"/>
      <c r="AK398" s="258"/>
      <c r="AL398" s="258"/>
      <c r="AM398" s="283"/>
      <c r="AN398" s="283"/>
      <c r="AO398" s="283"/>
      <c r="AP398" s="258"/>
      <c r="AQ398" s="258" t="s">
        <v>3723</v>
      </c>
      <c r="AR398" s="283" t="s">
        <v>3724</v>
      </c>
      <c r="AS398" s="283" t="s">
        <v>3725</v>
      </c>
      <c r="AT398" s="283" t="s">
        <v>3726</v>
      </c>
      <c r="AU398" s="283" t="s">
        <v>3727</v>
      </c>
      <c r="AV398" s="283" t="s">
        <v>3728</v>
      </c>
      <c r="AW398" s="283">
        <f t="shared" si="55"/>
        <v>204.5</v>
      </c>
      <c r="AX398" s="399"/>
      <c r="AY398" s="399"/>
      <c r="AZ398" s="400"/>
      <c r="BA398" s="400"/>
      <c r="BB398" s="400"/>
      <c r="BC398" s="400"/>
      <c r="BD398" s="400"/>
      <c r="BE398" s="400"/>
      <c r="BF398" s="400"/>
      <c r="BG398" s="400"/>
      <c r="BH398" s="400"/>
      <c r="BI398" s="400"/>
      <c r="BJ398" s="400"/>
      <c r="BK398" s="400"/>
      <c r="BL398" s="400"/>
      <c r="BM398" s="400"/>
      <c r="BN398" s="400"/>
      <c r="BO398" s="400"/>
      <c r="BP398" s="400"/>
      <c r="BQ398" s="400"/>
      <c r="BR398" s="258"/>
      <c r="BS398" s="258"/>
      <c r="BT398" s="258"/>
      <c r="BU398" s="258"/>
      <c r="BV398" s="258"/>
      <c r="BW398" s="258"/>
      <c r="BX398" s="258"/>
      <c r="BY398" s="258"/>
      <c r="BZ398" s="258"/>
      <c r="CA398" s="258"/>
      <c r="CB398" s="258"/>
      <c r="CC398" s="258"/>
      <c r="CD398" s="258"/>
      <c r="CE398" s="258">
        <v>214</v>
      </c>
      <c r="CF398" s="258">
        <v>3700</v>
      </c>
      <c r="CG398" s="258">
        <v>0</v>
      </c>
      <c r="CH398" s="258">
        <v>1300</v>
      </c>
      <c r="CI398" s="258">
        <v>484</v>
      </c>
      <c r="CJ398" s="258">
        <v>546</v>
      </c>
      <c r="CK398" s="283">
        <f t="shared" si="56"/>
        <v>651</v>
      </c>
      <c r="CL398" s="398"/>
      <c r="CM398" s="371">
        <f>Summary!D21</f>
        <v>254452.454633333</v>
      </c>
      <c r="CN398" s="258"/>
    </row>
    <row r="399" ht="15.6" spans="1:92">
      <c r="A399" s="258" t="s">
        <v>3533</v>
      </c>
      <c r="B399" s="258" t="s">
        <v>694</v>
      </c>
      <c r="C399" s="258" t="s">
        <v>230</v>
      </c>
      <c r="D399" s="258" t="s">
        <v>3566</v>
      </c>
      <c r="E399" s="258" t="s">
        <v>65</v>
      </c>
      <c r="F399" s="260" t="s">
        <v>455</v>
      </c>
      <c r="G399" s="260"/>
      <c r="H399" s="283">
        <f t="shared" si="57"/>
        <v>1786.5</v>
      </c>
      <c r="I399" s="260" t="s">
        <v>3662</v>
      </c>
      <c r="J399" s="258"/>
      <c r="K399" s="258"/>
      <c r="L399" s="258"/>
      <c r="M399" s="258"/>
      <c r="N399" s="258"/>
      <c r="O399" s="258"/>
      <c r="P399" s="258"/>
      <c r="Q399" s="258"/>
      <c r="R399" s="258"/>
      <c r="S399" s="258"/>
      <c r="T399" s="258"/>
      <c r="U399" s="258"/>
      <c r="V399" s="258"/>
      <c r="W399" s="258"/>
      <c r="X399" s="258"/>
      <c r="Y399" s="258"/>
      <c r="Z399" s="258"/>
      <c r="AA399" s="258"/>
      <c r="AB399" s="258"/>
      <c r="AC399" s="258"/>
      <c r="AD399" s="258"/>
      <c r="AE399" s="258"/>
      <c r="AF399" s="258"/>
      <c r="AG399" s="258"/>
      <c r="AH399" s="258"/>
      <c r="AI399" s="258"/>
      <c r="AJ399" s="258"/>
      <c r="AK399" s="258"/>
      <c r="AL399" s="258"/>
      <c r="AM399" s="283"/>
      <c r="AN399" s="283"/>
      <c r="AO399" s="283"/>
      <c r="AP399" s="258"/>
      <c r="AQ399" s="258" t="s">
        <v>3568</v>
      </c>
      <c r="AR399" s="283" t="s">
        <v>3569</v>
      </c>
      <c r="AS399" s="283" t="s">
        <v>3570</v>
      </c>
      <c r="AT399" s="283" t="s">
        <v>3571</v>
      </c>
      <c r="AU399" s="283" t="s">
        <v>3572</v>
      </c>
      <c r="AV399" s="283" t="s">
        <v>3573</v>
      </c>
      <c r="AW399" s="283">
        <f t="shared" si="55"/>
        <v>1173</v>
      </c>
      <c r="AX399" s="399"/>
      <c r="AY399" s="399"/>
      <c r="AZ399" s="400"/>
      <c r="BA399" s="400"/>
      <c r="BB399" s="400"/>
      <c r="BC399" s="400"/>
      <c r="BD399" s="400"/>
      <c r="BE399" s="400"/>
      <c r="BF399" s="400"/>
      <c r="BG399" s="400"/>
      <c r="BH399" s="400"/>
      <c r="BI399" s="400"/>
      <c r="BJ399" s="400"/>
      <c r="BK399" s="400"/>
      <c r="BL399" s="400"/>
      <c r="BM399" s="400"/>
      <c r="BN399" s="400"/>
      <c r="BO399" s="400"/>
      <c r="BP399" s="400"/>
      <c r="BQ399" s="400"/>
      <c r="BR399" s="258"/>
      <c r="BS399" s="258"/>
      <c r="BT399" s="258"/>
      <c r="BU399" s="258"/>
      <c r="BV399" s="258"/>
      <c r="BW399" s="258"/>
      <c r="BX399" s="258"/>
      <c r="BY399" s="258"/>
      <c r="BZ399" s="258"/>
      <c r="CA399" s="258"/>
      <c r="CB399" s="258"/>
      <c r="CC399" s="258"/>
      <c r="CD399" s="258"/>
      <c r="CE399" s="258">
        <v>1200</v>
      </c>
      <c r="CF399" s="258">
        <v>439</v>
      </c>
      <c r="CG399" s="258">
        <v>1600</v>
      </c>
      <c r="CH399" s="258">
        <v>0</v>
      </c>
      <c r="CI399" s="258">
        <v>4500</v>
      </c>
      <c r="CJ399" s="258">
        <v>1800</v>
      </c>
      <c r="CK399" s="283">
        <f t="shared" si="56"/>
        <v>2400</v>
      </c>
      <c r="CL399" s="398"/>
      <c r="CM399" s="371">
        <f>Summary!$D$25</f>
        <v>163564.626972667</v>
      </c>
      <c r="CN399" s="258">
        <f>IF(_xlfn.IFNA(CM399,0),IF(AND(H399/CM399&gt;=0.05,B399&lt;&gt;"官网"),1,0),0)</f>
        <v>0</v>
      </c>
    </row>
    <row r="400" ht="15.6" spans="1:92">
      <c r="A400" s="258" t="s">
        <v>191</v>
      </c>
      <c r="B400" s="258" t="s">
        <v>694</v>
      </c>
      <c r="C400" s="258" t="s">
        <v>243</v>
      </c>
      <c r="D400" s="258" t="s">
        <v>3729</v>
      </c>
      <c r="E400" s="258" t="s">
        <v>3600</v>
      </c>
      <c r="F400" s="260" t="s">
        <v>49</v>
      </c>
      <c r="G400" s="260"/>
      <c r="H400" s="283">
        <f t="shared" si="57"/>
        <v>8806.41666666668</v>
      </c>
      <c r="I400" s="260" t="s">
        <v>3662</v>
      </c>
      <c r="J400" s="258"/>
      <c r="K400" s="258"/>
      <c r="L400" s="258"/>
      <c r="M400" s="258"/>
      <c r="N400" s="258"/>
      <c r="O400" s="258"/>
      <c r="P400" s="258"/>
      <c r="Q400" s="258"/>
      <c r="R400" s="258"/>
      <c r="S400" s="258"/>
      <c r="T400" s="258"/>
      <c r="U400" s="258"/>
      <c r="V400" s="258"/>
      <c r="W400" s="258"/>
      <c r="X400" s="258"/>
      <c r="Y400" s="258"/>
      <c r="Z400" s="258"/>
      <c r="AA400" s="258"/>
      <c r="AB400" s="258"/>
      <c r="AC400" s="258"/>
      <c r="AD400" s="258"/>
      <c r="AE400" s="258"/>
      <c r="AF400" s="258"/>
      <c r="AG400" s="258"/>
      <c r="AH400" s="258"/>
      <c r="AI400" s="258"/>
      <c r="AJ400" s="258"/>
      <c r="AK400" s="258"/>
      <c r="AL400" s="258"/>
      <c r="AM400" s="283"/>
      <c r="AN400" s="283"/>
      <c r="AO400" s="283"/>
      <c r="AP400" s="258"/>
      <c r="AQ400" s="258" t="s">
        <v>3730</v>
      </c>
      <c r="AR400" s="283" t="s">
        <v>3731</v>
      </c>
      <c r="AS400" s="283" t="s">
        <v>3732</v>
      </c>
      <c r="AT400" s="283" t="s">
        <v>3733</v>
      </c>
      <c r="AU400" s="283" t="s">
        <v>3734</v>
      </c>
      <c r="AV400" s="283" t="s">
        <v>3735</v>
      </c>
      <c r="AW400" s="283">
        <f t="shared" si="55"/>
        <v>16560.6666666667</v>
      </c>
      <c r="AX400" s="399"/>
      <c r="AY400" s="399"/>
      <c r="AZ400" s="400"/>
      <c r="BA400" s="400"/>
      <c r="BB400" s="400"/>
      <c r="BC400" s="400"/>
      <c r="BD400" s="400"/>
      <c r="BE400" s="400"/>
      <c r="BF400" s="400"/>
      <c r="BG400" s="400"/>
      <c r="BH400" s="400"/>
      <c r="BI400" s="400"/>
      <c r="BJ400" s="400"/>
      <c r="BK400" s="400"/>
      <c r="BL400" s="400"/>
      <c r="BM400" s="400"/>
      <c r="BN400" s="400"/>
      <c r="BO400" s="400"/>
      <c r="BP400" s="400"/>
      <c r="BQ400" s="400"/>
      <c r="BR400" s="258"/>
      <c r="BS400" s="258"/>
      <c r="BT400" s="258"/>
      <c r="BU400" s="258"/>
      <c r="BV400" s="258"/>
      <c r="BW400" s="258"/>
      <c r="BX400" s="258"/>
      <c r="BY400" s="258"/>
      <c r="BZ400" s="258"/>
      <c r="CA400" s="258"/>
      <c r="CB400" s="258"/>
      <c r="CC400" s="258"/>
      <c r="CD400" s="258"/>
      <c r="CE400" s="258">
        <v>0</v>
      </c>
      <c r="CF400" s="258">
        <v>1300</v>
      </c>
      <c r="CG400" s="258">
        <v>0</v>
      </c>
      <c r="CH400" s="258">
        <v>513</v>
      </c>
      <c r="CI400" s="258">
        <v>1100</v>
      </c>
      <c r="CJ400" s="258">
        <v>1200</v>
      </c>
      <c r="CK400" s="283">
        <f t="shared" si="56"/>
        <v>1052.16666666667</v>
      </c>
      <c r="CL400" s="398"/>
      <c r="CM400" s="371">
        <f>Summary!$D$23</f>
        <v>176176.176666667</v>
      </c>
      <c r="CN400" s="258">
        <f>IF(_xlfn.IFNA(CM400,0),IF(AND(H400/CM400&gt;=0.05,B400&lt;&gt;"官网"),1,0),0)</f>
        <v>0</v>
      </c>
    </row>
    <row r="401" ht="15.6" spans="1:92">
      <c r="A401" s="258" t="s">
        <v>191</v>
      </c>
      <c r="B401" s="258" t="s">
        <v>694</v>
      </c>
      <c r="C401" s="258" t="s">
        <v>243</v>
      </c>
      <c r="D401" s="258" t="s">
        <v>3736</v>
      </c>
      <c r="E401" s="258" t="s">
        <v>3600</v>
      </c>
      <c r="F401" s="260" t="s">
        <v>423</v>
      </c>
      <c r="G401" s="260"/>
      <c r="H401" s="283">
        <f t="shared" si="57"/>
        <v>3882.58333333333</v>
      </c>
      <c r="I401" s="260" t="s">
        <v>3662</v>
      </c>
      <c r="J401" s="258"/>
      <c r="K401" s="258"/>
      <c r="L401" s="258"/>
      <c r="M401" s="258"/>
      <c r="N401" s="258"/>
      <c r="O401" s="258"/>
      <c r="P401" s="258"/>
      <c r="Q401" s="258"/>
      <c r="R401" s="258"/>
      <c r="S401" s="258"/>
      <c r="T401" s="258"/>
      <c r="U401" s="258"/>
      <c r="V401" s="258"/>
      <c r="W401" s="258"/>
      <c r="X401" s="258"/>
      <c r="Y401" s="258"/>
      <c r="Z401" s="258"/>
      <c r="AA401" s="258"/>
      <c r="AB401" s="258"/>
      <c r="AC401" s="258"/>
      <c r="AD401" s="258"/>
      <c r="AE401" s="258"/>
      <c r="AF401" s="258"/>
      <c r="AG401" s="258"/>
      <c r="AH401" s="258"/>
      <c r="AI401" s="258"/>
      <c r="AJ401" s="258"/>
      <c r="AK401" s="258"/>
      <c r="AL401" s="258"/>
      <c r="AM401" s="283"/>
      <c r="AN401" s="283"/>
      <c r="AO401" s="283"/>
      <c r="AP401" s="258"/>
      <c r="AQ401" s="258">
        <v>9532</v>
      </c>
      <c r="AR401" s="283">
        <v>8770</v>
      </c>
      <c r="AS401" s="283">
        <v>5421</v>
      </c>
      <c r="AT401" s="283" t="s">
        <v>3737</v>
      </c>
      <c r="AU401" s="283" t="s">
        <v>3738</v>
      </c>
      <c r="AV401" s="283" t="s">
        <v>3739</v>
      </c>
      <c r="AW401" s="283">
        <f t="shared" si="55"/>
        <v>5665.16666666667</v>
      </c>
      <c r="AX401" s="399"/>
      <c r="AY401" s="399"/>
      <c r="AZ401" s="400"/>
      <c r="BA401" s="400"/>
      <c r="BB401" s="400"/>
      <c r="BC401" s="400"/>
      <c r="BD401" s="400"/>
      <c r="BE401" s="400"/>
      <c r="BF401" s="400"/>
      <c r="BG401" s="400"/>
      <c r="BH401" s="400"/>
      <c r="BI401" s="400"/>
      <c r="BJ401" s="400"/>
      <c r="BK401" s="400"/>
      <c r="BL401" s="400"/>
      <c r="BM401" s="400"/>
      <c r="BN401" s="400"/>
      <c r="BO401" s="400"/>
      <c r="BP401" s="400"/>
      <c r="BQ401" s="400"/>
      <c r="BR401" s="258"/>
      <c r="BS401" s="258"/>
      <c r="BT401" s="258"/>
      <c r="BU401" s="258"/>
      <c r="BV401" s="258"/>
      <c r="BW401" s="258"/>
      <c r="BX401" s="258"/>
      <c r="BY401" s="258"/>
      <c r="BZ401" s="258"/>
      <c r="CA401" s="258"/>
      <c r="CB401" s="258"/>
      <c r="CC401" s="258"/>
      <c r="CD401" s="258"/>
      <c r="CE401" s="258">
        <v>1900</v>
      </c>
      <c r="CF401" s="258"/>
      <c r="CG401" s="258">
        <v>0</v>
      </c>
      <c r="CH401" s="258">
        <v>2100</v>
      </c>
      <c r="CI401" s="258">
        <v>0</v>
      </c>
      <c r="CJ401" s="258">
        <v>3500</v>
      </c>
      <c r="CK401" s="283">
        <f t="shared" si="56"/>
        <v>2100</v>
      </c>
      <c r="CL401" s="398"/>
      <c r="CM401" s="371">
        <f>Summary!$D$23</f>
        <v>176176.176666667</v>
      </c>
      <c r="CN401" s="258">
        <f>IF(_xlfn.IFNA(CM401,0),IF(AND(H401/CM401&gt;=0.05,B401&lt;&gt;"官网"),1,0),0)</f>
        <v>0</v>
      </c>
    </row>
    <row r="402" ht="15.6" spans="1:92">
      <c r="A402" s="258" t="s">
        <v>193</v>
      </c>
      <c r="B402" s="258" t="s">
        <v>694</v>
      </c>
      <c r="C402" s="258" t="s">
        <v>243</v>
      </c>
      <c r="D402" s="258" t="s">
        <v>3740</v>
      </c>
      <c r="E402" s="258" t="s">
        <v>65</v>
      </c>
      <c r="F402" s="260" t="s">
        <v>371</v>
      </c>
      <c r="G402" s="260"/>
      <c r="H402" s="283">
        <f t="shared" si="57"/>
        <v>5412.66666666667</v>
      </c>
      <c r="I402" s="260" t="s">
        <v>3741</v>
      </c>
      <c r="J402" s="258"/>
      <c r="K402" s="258"/>
      <c r="L402" s="258"/>
      <c r="M402" s="258"/>
      <c r="N402" s="258"/>
      <c r="O402" s="258"/>
      <c r="P402" s="258"/>
      <c r="Q402" s="258"/>
      <c r="R402" s="258"/>
      <c r="S402" s="258"/>
      <c r="T402" s="258"/>
      <c r="U402" s="258"/>
      <c r="V402" s="258"/>
      <c r="W402" s="258"/>
      <c r="X402" s="258"/>
      <c r="Y402" s="258"/>
      <c r="Z402" s="258"/>
      <c r="AA402" s="258"/>
      <c r="AB402" s="258"/>
      <c r="AC402" s="258"/>
      <c r="AD402" s="258"/>
      <c r="AE402" s="258"/>
      <c r="AF402" s="258"/>
      <c r="AG402" s="258"/>
      <c r="AH402" s="258"/>
      <c r="AI402" s="258"/>
      <c r="AJ402" s="258"/>
      <c r="AK402" s="258"/>
      <c r="AL402" s="258"/>
      <c r="AM402" s="283"/>
      <c r="AN402" s="283"/>
      <c r="AO402" s="283"/>
      <c r="AP402" s="258"/>
      <c r="AQ402" s="258"/>
      <c r="AR402" s="283">
        <v>7064</v>
      </c>
      <c r="AS402" s="283" t="s">
        <v>3742</v>
      </c>
      <c r="AT402" s="283" t="s">
        <v>3743</v>
      </c>
      <c r="AU402" s="283" t="s">
        <v>3744</v>
      </c>
      <c r="AV402" s="283" t="s">
        <v>3745</v>
      </c>
      <c r="AW402" s="283">
        <f t="shared" si="55"/>
        <v>4225.33333333333</v>
      </c>
      <c r="AX402" s="399"/>
      <c r="AY402" s="399"/>
      <c r="AZ402" s="400"/>
      <c r="BA402" s="400"/>
      <c r="BB402" s="400"/>
      <c r="BC402" s="400"/>
      <c r="BD402" s="400"/>
      <c r="BE402" s="400"/>
      <c r="BF402" s="400"/>
      <c r="BG402" s="400"/>
      <c r="BH402" s="400"/>
      <c r="BI402" s="400"/>
      <c r="BJ402" s="400"/>
      <c r="BK402" s="400"/>
      <c r="BL402" s="400"/>
      <c r="BM402" s="400"/>
      <c r="BN402" s="400"/>
      <c r="BO402" s="400"/>
      <c r="BP402" s="400"/>
      <c r="BQ402" s="400"/>
      <c r="BR402" s="258"/>
      <c r="BS402" s="258"/>
      <c r="BT402" s="258"/>
      <c r="BU402" s="258"/>
      <c r="BV402" s="258"/>
      <c r="BW402" s="258"/>
      <c r="BX402" s="258"/>
      <c r="BY402" s="258"/>
      <c r="BZ402" s="258"/>
      <c r="CA402" s="258"/>
      <c r="CB402" s="258"/>
      <c r="CC402" s="258"/>
      <c r="CD402" s="258"/>
      <c r="CE402" s="258"/>
      <c r="CF402" s="258">
        <v>6500</v>
      </c>
      <c r="CG402" s="258">
        <v>8700</v>
      </c>
      <c r="CH402" s="258">
        <v>4800</v>
      </c>
      <c r="CI402" s="258">
        <v>2700</v>
      </c>
      <c r="CJ402" s="258">
        <v>9800</v>
      </c>
      <c r="CK402" s="283">
        <f t="shared" si="56"/>
        <v>6600</v>
      </c>
      <c r="CL402" s="398"/>
      <c r="CM402" s="371">
        <f>Summary!D24</f>
        <v>175626.7701</v>
      </c>
      <c r="CN402" s="258"/>
    </row>
    <row r="403" ht="15.6" spans="1:92">
      <c r="A403" s="258" t="s">
        <v>171</v>
      </c>
      <c r="B403" s="258" t="s">
        <v>694</v>
      </c>
      <c r="C403" s="258" t="s">
        <v>230</v>
      </c>
      <c r="D403" s="258" t="s">
        <v>3746</v>
      </c>
      <c r="E403" s="258" t="s">
        <v>65</v>
      </c>
      <c r="F403" s="260" t="s">
        <v>427</v>
      </c>
      <c r="G403" s="260"/>
      <c r="H403" s="283">
        <f t="shared" si="57"/>
        <v>2378</v>
      </c>
      <c r="I403" s="260" t="s">
        <v>3741</v>
      </c>
      <c r="J403" s="258"/>
      <c r="K403" s="258"/>
      <c r="L403" s="258"/>
      <c r="M403" s="258"/>
      <c r="N403" s="258"/>
      <c r="O403" s="258"/>
      <c r="P403" s="258"/>
      <c r="Q403" s="258"/>
      <c r="R403" s="258"/>
      <c r="S403" s="258"/>
      <c r="T403" s="258"/>
      <c r="U403" s="258"/>
      <c r="V403" s="258"/>
      <c r="W403" s="258"/>
      <c r="X403" s="258"/>
      <c r="Y403" s="258"/>
      <c r="Z403" s="258"/>
      <c r="AA403" s="258"/>
      <c r="AB403" s="258"/>
      <c r="AC403" s="258"/>
      <c r="AD403" s="258"/>
      <c r="AE403" s="258"/>
      <c r="AF403" s="258"/>
      <c r="AG403" s="258"/>
      <c r="AH403" s="258"/>
      <c r="AI403" s="258"/>
      <c r="AJ403" s="258"/>
      <c r="AK403" s="258"/>
      <c r="AL403" s="258"/>
      <c r="AM403" s="283"/>
      <c r="AN403" s="283"/>
      <c r="AO403" s="283"/>
      <c r="AP403" s="258"/>
      <c r="AQ403" s="258"/>
      <c r="AR403" s="283">
        <v>2330</v>
      </c>
      <c r="AS403" s="283" t="s">
        <v>3747</v>
      </c>
      <c r="AT403" s="283" t="s">
        <v>2339</v>
      </c>
      <c r="AU403" s="283" t="s">
        <v>3748</v>
      </c>
      <c r="AV403" s="283" t="s">
        <v>3749</v>
      </c>
      <c r="AW403" s="283">
        <f t="shared" si="55"/>
        <v>1272.66666666667</v>
      </c>
      <c r="AX403" s="399"/>
      <c r="AY403" s="399"/>
      <c r="AZ403" s="400"/>
      <c r="BA403" s="400"/>
      <c r="BB403" s="400"/>
      <c r="BC403" s="400"/>
      <c r="BD403" s="400"/>
      <c r="BE403" s="400"/>
      <c r="BF403" s="400"/>
      <c r="BG403" s="400"/>
      <c r="BH403" s="400"/>
      <c r="BI403" s="400"/>
      <c r="BJ403" s="400"/>
      <c r="BK403" s="400"/>
      <c r="BL403" s="400"/>
      <c r="BM403" s="400"/>
      <c r="BN403" s="400"/>
      <c r="BO403" s="400"/>
      <c r="BP403" s="400"/>
      <c r="BQ403" s="400"/>
      <c r="BR403" s="258"/>
      <c r="BS403" s="258"/>
      <c r="BT403" s="258"/>
      <c r="BU403" s="258"/>
      <c r="BV403" s="258"/>
      <c r="BW403" s="258"/>
      <c r="BX403" s="258"/>
      <c r="BY403" s="258"/>
      <c r="BZ403" s="258"/>
      <c r="CA403" s="258"/>
      <c r="CB403" s="258"/>
      <c r="CC403" s="258"/>
      <c r="CD403" s="258"/>
      <c r="CE403" s="258"/>
      <c r="CF403" s="258">
        <v>3700</v>
      </c>
      <c r="CG403" s="258">
        <v>2600</v>
      </c>
      <c r="CH403" s="258">
        <v>1500</v>
      </c>
      <c r="CI403" s="258">
        <v>3700</v>
      </c>
      <c r="CJ403" s="258">
        <v>4000</v>
      </c>
      <c r="CK403" s="283">
        <f t="shared" si="56"/>
        <v>3483.33333333333</v>
      </c>
      <c r="CL403" s="398"/>
      <c r="CM403" s="371">
        <f>Summary!D12</f>
        <v>489885.37</v>
      </c>
      <c r="CN403" s="258"/>
    </row>
    <row r="404" ht="15.6" spans="1:92">
      <c r="A404" s="258" t="s">
        <v>152</v>
      </c>
      <c r="B404" s="258" t="s">
        <v>694</v>
      </c>
      <c r="C404" s="258" t="s">
        <v>230</v>
      </c>
      <c r="D404" s="258" t="s">
        <v>3750</v>
      </c>
      <c r="E404" s="258" t="s">
        <v>65</v>
      </c>
      <c r="F404" s="260" t="s">
        <v>411</v>
      </c>
      <c r="G404" s="260"/>
      <c r="H404" s="283">
        <f t="shared" si="57"/>
        <v>21493.8333333333</v>
      </c>
      <c r="I404" s="260" t="s">
        <v>3741</v>
      </c>
      <c r="J404" s="258"/>
      <c r="K404" s="258"/>
      <c r="L404" s="258"/>
      <c r="M404" s="258"/>
      <c r="N404" s="258"/>
      <c r="O404" s="258"/>
      <c r="P404" s="258"/>
      <c r="Q404" s="258"/>
      <c r="R404" s="258"/>
      <c r="S404" s="258"/>
      <c r="T404" s="258"/>
      <c r="U404" s="258"/>
      <c r="V404" s="258"/>
      <c r="W404" s="258"/>
      <c r="X404" s="258"/>
      <c r="Y404" s="258"/>
      <c r="Z404" s="258"/>
      <c r="AA404" s="258"/>
      <c r="AB404" s="258"/>
      <c r="AC404" s="258"/>
      <c r="AD404" s="258"/>
      <c r="AE404" s="258"/>
      <c r="AF404" s="258"/>
      <c r="AG404" s="258"/>
      <c r="AH404" s="258"/>
      <c r="AI404" s="258"/>
      <c r="AJ404" s="258"/>
      <c r="AK404" s="258"/>
      <c r="AL404" s="258"/>
      <c r="AM404" s="283"/>
      <c r="AN404" s="283"/>
      <c r="AO404" s="283"/>
      <c r="AP404" s="258"/>
      <c r="AQ404" s="258"/>
      <c r="AR404" s="283">
        <v>65972</v>
      </c>
      <c r="AS404" s="283" t="s">
        <v>3380</v>
      </c>
      <c r="AT404" s="283" t="s">
        <v>3751</v>
      </c>
      <c r="AU404" s="283" t="s">
        <v>3752</v>
      </c>
      <c r="AV404" s="283" t="s">
        <v>3753</v>
      </c>
      <c r="AW404" s="283">
        <f t="shared" si="55"/>
        <v>27804.3333333333</v>
      </c>
      <c r="AX404" s="399"/>
      <c r="AY404" s="399"/>
      <c r="AZ404" s="400"/>
      <c r="BA404" s="400"/>
      <c r="BB404" s="400"/>
      <c r="BC404" s="400"/>
      <c r="BD404" s="400"/>
      <c r="BE404" s="400"/>
      <c r="BF404" s="400"/>
      <c r="BG404" s="400"/>
      <c r="BH404" s="400"/>
      <c r="BI404" s="400"/>
      <c r="BJ404" s="400"/>
      <c r="BK404" s="400"/>
      <c r="BL404" s="400"/>
      <c r="BM404" s="400"/>
      <c r="BN404" s="400"/>
      <c r="BO404" s="400"/>
      <c r="BP404" s="400"/>
      <c r="BQ404" s="400"/>
      <c r="BR404" s="258"/>
      <c r="BS404" s="258"/>
      <c r="BT404" s="258"/>
      <c r="BU404" s="258"/>
      <c r="BV404" s="258"/>
      <c r="BW404" s="258"/>
      <c r="BX404" s="258"/>
      <c r="BY404" s="258"/>
      <c r="BZ404" s="258"/>
      <c r="CA404" s="258"/>
      <c r="CB404" s="258"/>
      <c r="CC404" s="258"/>
      <c r="CD404" s="258"/>
      <c r="CE404" s="258"/>
      <c r="CF404" s="258">
        <v>42500</v>
      </c>
      <c r="CG404" s="258">
        <v>7800</v>
      </c>
      <c r="CH404" s="258">
        <v>25700</v>
      </c>
      <c r="CI404" s="258">
        <v>15000</v>
      </c>
      <c r="CJ404" s="258">
        <v>11800</v>
      </c>
      <c r="CK404" s="283">
        <f t="shared" si="56"/>
        <v>15183.3333333333</v>
      </c>
      <c r="CL404" s="398"/>
      <c r="CM404" s="371">
        <f>Summary!$D$6</f>
        <v>1473053.7196</v>
      </c>
      <c r="CN404" s="258">
        <f>IF(_xlfn.IFNA(CM404,0),IF(AND(H404/CM404&gt;=0.05,B404&lt;&gt;"官网",B404&lt;&gt;"自己网站"),1,0),0)</f>
        <v>0</v>
      </c>
    </row>
    <row r="405" ht="15.6" spans="1:92">
      <c r="A405" s="258" t="s">
        <v>145</v>
      </c>
      <c r="B405" s="258" t="s">
        <v>694</v>
      </c>
      <c r="C405" s="258" t="s">
        <v>230</v>
      </c>
      <c r="D405" s="258" t="s">
        <v>3754</v>
      </c>
      <c r="E405" s="258" t="s">
        <v>65</v>
      </c>
      <c r="F405" s="260" t="s">
        <v>60</v>
      </c>
      <c r="G405" s="260"/>
      <c r="H405" s="283">
        <f t="shared" si="57"/>
        <v>5653.46666666667</v>
      </c>
      <c r="I405" s="260" t="s">
        <v>3741</v>
      </c>
      <c r="J405" s="258"/>
      <c r="K405" s="258"/>
      <c r="L405" s="258"/>
      <c r="M405" s="258"/>
      <c r="N405" s="258"/>
      <c r="O405" s="258"/>
      <c r="P405" s="258"/>
      <c r="Q405" s="258"/>
      <c r="R405" s="258"/>
      <c r="S405" s="258"/>
      <c r="T405" s="258"/>
      <c r="U405" s="258"/>
      <c r="V405" s="258"/>
      <c r="W405" s="258"/>
      <c r="X405" s="258"/>
      <c r="Y405" s="258"/>
      <c r="Z405" s="258"/>
      <c r="AA405" s="258"/>
      <c r="AB405" s="258"/>
      <c r="AC405" s="258"/>
      <c r="AD405" s="258"/>
      <c r="AE405" s="258"/>
      <c r="AF405" s="258"/>
      <c r="AG405" s="258"/>
      <c r="AH405" s="258"/>
      <c r="AI405" s="258"/>
      <c r="AJ405" s="258"/>
      <c r="AK405" s="258"/>
      <c r="AL405" s="258"/>
      <c r="AM405" s="283"/>
      <c r="AN405" s="283"/>
      <c r="AO405" s="283"/>
      <c r="AP405" s="258"/>
      <c r="AQ405" s="258"/>
      <c r="AR405" s="283">
        <v>15133</v>
      </c>
      <c r="AS405" s="283" t="s">
        <v>3755</v>
      </c>
      <c r="AT405" s="283" t="s">
        <v>3756</v>
      </c>
      <c r="AU405" s="283" t="s">
        <v>3757</v>
      </c>
      <c r="AV405" s="283" t="s">
        <v>3758</v>
      </c>
      <c r="AW405" s="283">
        <f t="shared" si="55"/>
        <v>9070.83333333333</v>
      </c>
      <c r="AX405" s="399"/>
      <c r="AY405" s="399"/>
      <c r="AZ405" s="400"/>
      <c r="BA405" s="400"/>
      <c r="BB405" s="400"/>
      <c r="BC405" s="400"/>
      <c r="BD405" s="400"/>
      <c r="BE405" s="400"/>
      <c r="BF405" s="400"/>
      <c r="BG405" s="400"/>
      <c r="BH405" s="400"/>
      <c r="BI405" s="400"/>
      <c r="BJ405" s="400"/>
      <c r="BK405" s="400"/>
      <c r="BL405" s="400"/>
      <c r="BM405" s="400"/>
      <c r="BN405" s="400"/>
      <c r="BO405" s="400"/>
      <c r="BP405" s="400"/>
      <c r="BQ405" s="400"/>
      <c r="BR405" s="258"/>
      <c r="BS405" s="258"/>
      <c r="BT405" s="258"/>
      <c r="BU405" s="258"/>
      <c r="BV405" s="258"/>
      <c r="BW405" s="258"/>
      <c r="BX405" s="258"/>
      <c r="BY405" s="258"/>
      <c r="BZ405" s="258"/>
      <c r="CA405" s="258"/>
      <c r="CB405" s="258"/>
      <c r="CC405" s="258"/>
      <c r="CD405" s="258"/>
      <c r="CE405" s="258"/>
      <c r="CF405" s="258">
        <v>9800</v>
      </c>
      <c r="CG405" s="258">
        <v>864</v>
      </c>
      <c r="CH405" s="258">
        <v>7900</v>
      </c>
      <c r="CI405" s="407">
        <v>1939.3</v>
      </c>
      <c r="CJ405" s="270">
        <v>546</v>
      </c>
      <c r="CK405" s="283">
        <f t="shared" si="56"/>
        <v>2236.1</v>
      </c>
      <c r="CL405" s="398"/>
      <c r="CM405" s="371">
        <f>Summary!$D$4</f>
        <v>1816871.23333333</v>
      </c>
      <c r="CN405" s="258">
        <f>IF(_xlfn.IFNA(CM405,0),IF(AND(H405/CM405&gt;=0.05,B405&lt;&gt;"官网",B405&lt;&gt;"自己网站"),1,0),0)</f>
        <v>0</v>
      </c>
    </row>
    <row r="406" ht="15.6" spans="1:92">
      <c r="A406" s="258" t="s">
        <v>177</v>
      </c>
      <c r="B406" s="258" t="s">
        <v>694</v>
      </c>
      <c r="C406" s="258" t="s">
        <v>243</v>
      </c>
      <c r="D406" s="258" t="s">
        <v>3759</v>
      </c>
      <c r="E406" s="258" t="s">
        <v>3600</v>
      </c>
      <c r="F406" s="260" t="s">
        <v>49</v>
      </c>
      <c r="G406" s="260"/>
      <c r="H406" s="283">
        <f t="shared" si="57"/>
        <v>2751.83333333333</v>
      </c>
      <c r="I406" s="260" t="s">
        <v>3741</v>
      </c>
      <c r="J406" s="258"/>
      <c r="K406" s="258"/>
      <c r="L406" s="258"/>
      <c r="M406" s="258"/>
      <c r="N406" s="258"/>
      <c r="O406" s="258"/>
      <c r="P406" s="258"/>
      <c r="Q406" s="258"/>
      <c r="R406" s="258"/>
      <c r="S406" s="258"/>
      <c r="T406" s="258"/>
      <c r="U406" s="258"/>
      <c r="V406" s="258"/>
      <c r="W406" s="258"/>
      <c r="X406" s="258"/>
      <c r="Y406" s="258"/>
      <c r="Z406" s="258"/>
      <c r="AA406" s="258"/>
      <c r="AB406" s="258"/>
      <c r="AC406" s="258"/>
      <c r="AD406" s="258"/>
      <c r="AE406" s="258"/>
      <c r="AF406" s="258"/>
      <c r="AG406" s="258"/>
      <c r="AH406" s="258"/>
      <c r="AI406" s="258"/>
      <c r="AJ406" s="258"/>
      <c r="AK406" s="258"/>
      <c r="AL406" s="258"/>
      <c r="AM406" s="283"/>
      <c r="AN406" s="283"/>
      <c r="AO406" s="283"/>
      <c r="AP406" s="258"/>
      <c r="AQ406" s="258"/>
      <c r="AR406" s="283">
        <v>838</v>
      </c>
      <c r="AS406" s="283" t="s">
        <v>3760</v>
      </c>
      <c r="AT406" s="283" t="s">
        <v>3761</v>
      </c>
      <c r="AU406" s="283" t="s">
        <v>3762</v>
      </c>
      <c r="AV406" s="283">
        <v>7963</v>
      </c>
      <c r="AW406" s="283">
        <f t="shared" si="55"/>
        <v>5064</v>
      </c>
      <c r="AX406" s="399"/>
      <c r="AY406" s="399"/>
      <c r="AZ406" s="400"/>
      <c r="BA406" s="400"/>
      <c r="BB406" s="400"/>
      <c r="BC406" s="400"/>
      <c r="BD406" s="400"/>
      <c r="BE406" s="400"/>
      <c r="BF406" s="400"/>
      <c r="BG406" s="400"/>
      <c r="BH406" s="400"/>
      <c r="BI406" s="400"/>
      <c r="BJ406" s="400"/>
      <c r="BK406" s="400"/>
      <c r="BL406" s="400"/>
      <c r="BM406" s="400"/>
      <c r="BN406" s="400"/>
      <c r="BO406" s="400"/>
      <c r="BP406" s="400"/>
      <c r="BQ406" s="400"/>
      <c r="BR406" s="258"/>
      <c r="BS406" s="258"/>
      <c r="BT406" s="258"/>
      <c r="BU406" s="258"/>
      <c r="BV406" s="258"/>
      <c r="BW406" s="258"/>
      <c r="BX406" s="258"/>
      <c r="BY406" s="258"/>
      <c r="BZ406" s="258"/>
      <c r="CA406" s="258"/>
      <c r="CB406" s="258"/>
      <c r="CC406" s="258"/>
      <c r="CD406" s="258"/>
      <c r="CE406" s="258"/>
      <c r="CF406" s="258">
        <v>3900</v>
      </c>
      <c r="CG406" s="258">
        <v>0</v>
      </c>
      <c r="CH406" s="258">
        <v>1000</v>
      </c>
      <c r="CI406" s="258">
        <v>0</v>
      </c>
      <c r="CJ406" s="258">
        <v>546</v>
      </c>
      <c r="CK406" s="283">
        <f t="shared" si="56"/>
        <v>439.666666666667</v>
      </c>
      <c r="CL406" s="398"/>
      <c r="CM406" s="371">
        <f>Summary!$D$14</f>
        <v>157127.612416667</v>
      </c>
      <c r="CN406" s="258">
        <f t="shared" ref="CN406:CN411" si="59">IF(_xlfn.IFNA(CM406,0),IF(AND(H406/CM406&gt;=0.05,B406&lt;&gt;"官网"),1,0),0)</f>
        <v>0</v>
      </c>
    </row>
    <row r="407" ht="15.6" spans="1:92">
      <c r="A407" s="258" t="s">
        <v>177</v>
      </c>
      <c r="B407" s="258" t="s">
        <v>694</v>
      </c>
      <c r="C407" s="258" t="s">
        <v>243</v>
      </c>
      <c r="D407" s="258" t="s">
        <v>3763</v>
      </c>
      <c r="E407" s="258" t="s">
        <v>3600</v>
      </c>
      <c r="F407" s="260" t="s">
        <v>412</v>
      </c>
      <c r="G407" s="260"/>
      <c r="H407" s="283">
        <f t="shared" si="57"/>
        <v>2124.33333333333</v>
      </c>
      <c r="I407" s="260" t="s">
        <v>3741</v>
      </c>
      <c r="J407" s="258"/>
      <c r="K407" s="258"/>
      <c r="L407" s="258"/>
      <c r="M407" s="258"/>
      <c r="N407" s="258"/>
      <c r="O407" s="258"/>
      <c r="P407" s="258"/>
      <c r="Q407" s="258"/>
      <c r="R407" s="258"/>
      <c r="S407" s="258"/>
      <c r="T407" s="258"/>
      <c r="U407" s="258"/>
      <c r="V407" s="258"/>
      <c r="W407" s="258"/>
      <c r="X407" s="258"/>
      <c r="Y407" s="258"/>
      <c r="Z407" s="258"/>
      <c r="AA407" s="258"/>
      <c r="AB407" s="258"/>
      <c r="AC407" s="258"/>
      <c r="AD407" s="258"/>
      <c r="AE407" s="258"/>
      <c r="AF407" s="258"/>
      <c r="AG407" s="258"/>
      <c r="AH407" s="258"/>
      <c r="AI407" s="258"/>
      <c r="AJ407" s="258"/>
      <c r="AK407" s="258"/>
      <c r="AL407" s="258"/>
      <c r="AM407" s="283"/>
      <c r="AN407" s="283"/>
      <c r="AO407" s="283"/>
      <c r="AP407" s="258"/>
      <c r="AQ407" s="258"/>
      <c r="AR407" s="283">
        <v>269</v>
      </c>
      <c r="AS407" s="283" t="s">
        <v>3764</v>
      </c>
      <c r="AT407" s="283" t="s">
        <v>796</v>
      </c>
      <c r="AU407" s="283" t="s">
        <v>3765</v>
      </c>
      <c r="AV407" s="283">
        <v>5000</v>
      </c>
      <c r="AW407" s="283">
        <f t="shared" si="55"/>
        <v>4082</v>
      </c>
      <c r="AX407" s="399"/>
      <c r="AY407" s="399"/>
      <c r="AZ407" s="400"/>
      <c r="BA407" s="400"/>
      <c r="BB407" s="400"/>
      <c r="BC407" s="400"/>
      <c r="BD407" s="400"/>
      <c r="BE407" s="400"/>
      <c r="BF407" s="400"/>
      <c r="BG407" s="400"/>
      <c r="BH407" s="400"/>
      <c r="BI407" s="400"/>
      <c r="BJ407" s="400"/>
      <c r="BK407" s="400"/>
      <c r="BL407" s="400"/>
      <c r="BM407" s="400"/>
      <c r="BN407" s="400"/>
      <c r="BO407" s="400"/>
      <c r="BP407" s="400"/>
      <c r="BQ407" s="400"/>
      <c r="BR407" s="258"/>
      <c r="BS407" s="258"/>
      <c r="BT407" s="258"/>
      <c r="BU407" s="258"/>
      <c r="BV407" s="258"/>
      <c r="BW407" s="258"/>
      <c r="BX407" s="258"/>
      <c r="BY407" s="258"/>
      <c r="BZ407" s="258"/>
      <c r="CA407" s="258"/>
      <c r="CB407" s="258"/>
      <c r="CC407" s="258"/>
      <c r="CD407" s="258"/>
      <c r="CE407" s="258"/>
      <c r="CF407" s="258">
        <v>63</v>
      </c>
      <c r="CG407" s="258">
        <v>1300</v>
      </c>
      <c r="CH407" s="258">
        <v>1000</v>
      </c>
      <c r="CI407" s="258">
        <v>0</v>
      </c>
      <c r="CJ407" s="258">
        <v>0</v>
      </c>
      <c r="CK407" s="283">
        <f t="shared" si="56"/>
        <v>166.666666666667</v>
      </c>
      <c r="CL407" s="398"/>
      <c r="CM407" s="371">
        <f>Summary!$D$14</f>
        <v>157127.612416667</v>
      </c>
      <c r="CN407" s="258">
        <f t="shared" si="59"/>
        <v>0</v>
      </c>
    </row>
    <row r="408" ht="15.6" spans="1:92">
      <c r="A408" s="258" t="s">
        <v>162</v>
      </c>
      <c r="B408" s="258"/>
      <c r="C408" s="258"/>
      <c r="D408" s="258" t="s">
        <v>3766</v>
      </c>
      <c r="E408" s="258"/>
      <c r="F408" s="260" t="s">
        <v>3085</v>
      </c>
      <c r="G408" s="260"/>
      <c r="H408" s="283">
        <f t="shared" si="57"/>
        <v>4037.75</v>
      </c>
      <c r="I408" s="260" t="s">
        <v>3767</v>
      </c>
      <c r="J408" s="258"/>
      <c r="K408" s="258"/>
      <c r="L408" s="258"/>
      <c r="M408" s="258"/>
      <c r="N408" s="258"/>
      <c r="O408" s="258"/>
      <c r="P408" s="258"/>
      <c r="Q408" s="258"/>
      <c r="R408" s="258"/>
      <c r="S408" s="258"/>
      <c r="T408" s="258"/>
      <c r="U408" s="258"/>
      <c r="V408" s="258"/>
      <c r="W408" s="258"/>
      <c r="X408" s="258"/>
      <c r="Y408" s="258"/>
      <c r="Z408" s="258"/>
      <c r="AA408" s="258"/>
      <c r="AB408" s="258"/>
      <c r="AC408" s="258"/>
      <c r="AD408" s="258"/>
      <c r="AE408" s="258"/>
      <c r="AF408" s="258"/>
      <c r="AG408" s="258"/>
      <c r="AH408" s="258"/>
      <c r="AI408" s="258"/>
      <c r="AJ408" s="258"/>
      <c r="AK408" s="258"/>
      <c r="AL408" s="258"/>
      <c r="AM408" s="283"/>
      <c r="AN408" s="283"/>
      <c r="AO408" s="283"/>
      <c r="AP408" s="258"/>
      <c r="AQ408" s="258"/>
      <c r="AR408" s="283">
        <v>965</v>
      </c>
      <c r="AS408" s="283" t="s">
        <v>3768</v>
      </c>
      <c r="AT408" s="283" t="s">
        <v>3769</v>
      </c>
      <c r="AU408" s="283" t="s">
        <v>3501</v>
      </c>
      <c r="AV408" s="283" t="s">
        <v>3770</v>
      </c>
      <c r="AW408" s="283">
        <f t="shared" si="55"/>
        <v>6469.16666666667</v>
      </c>
      <c r="AX408" s="399"/>
      <c r="AY408" s="399"/>
      <c r="AZ408" s="400"/>
      <c r="BA408" s="400"/>
      <c r="BB408" s="400"/>
      <c r="BC408" s="400"/>
      <c r="BD408" s="400"/>
      <c r="BE408" s="400"/>
      <c r="BF408" s="400"/>
      <c r="BG408" s="400"/>
      <c r="BH408" s="400"/>
      <c r="BI408" s="400"/>
      <c r="BJ408" s="400"/>
      <c r="BK408" s="400"/>
      <c r="BL408" s="400"/>
      <c r="BM408" s="400"/>
      <c r="BN408" s="400"/>
      <c r="BO408" s="400"/>
      <c r="BP408" s="400"/>
      <c r="BQ408" s="400"/>
      <c r="BR408" s="258"/>
      <c r="BS408" s="258"/>
      <c r="BT408" s="258"/>
      <c r="BU408" s="258"/>
      <c r="BV408" s="258"/>
      <c r="BW408" s="258"/>
      <c r="BX408" s="258"/>
      <c r="BY408" s="258"/>
      <c r="BZ408" s="258"/>
      <c r="CA408" s="258"/>
      <c r="CB408" s="258"/>
      <c r="CC408" s="258"/>
      <c r="CD408" s="258"/>
      <c r="CE408" s="258"/>
      <c r="CF408" s="258">
        <v>2100</v>
      </c>
      <c r="CG408" s="258">
        <v>1100</v>
      </c>
      <c r="CH408" s="258">
        <v>3600</v>
      </c>
      <c r="CI408" s="258">
        <v>2200</v>
      </c>
      <c r="CJ408" s="258">
        <v>546</v>
      </c>
      <c r="CK408" s="283">
        <f t="shared" si="56"/>
        <v>1606.33333333333</v>
      </c>
      <c r="CL408" s="398"/>
      <c r="CM408" s="371">
        <f>Summary!$D$9</f>
        <v>657757.072666666</v>
      </c>
      <c r="CN408" s="258">
        <f t="shared" si="59"/>
        <v>0</v>
      </c>
    </row>
    <row r="409" ht="62.4" spans="1:92">
      <c r="A409" s="258" t="s">
        <v>141</v>
      </c>
      <c r="B409" s="258" t="s">
        <v>694</v>
      </c>
      <c r="C409" s="258" t="s">
        <v>230</v>
      </c>
      <c r="D409" s="258" t="s">
        <v>248</v>
      </c>
      <c r="E409" s="258" t="s">
        <v>65</v>
      </c>
      <c r="F409" s="260" t="s">
        <v>291</v>
      </c>
      <c r="G409" s="260"/>
      <c r="H409" s="283">
        <f t="shared" ref="H409:H421" si="60">(AW409+CK409)/2</f>
        <v>154191.07</v>
      </c>
      <c r="I409" s="361" t="s">
        <v>3771</v>
      </c>
      <c r="J409" s="258"/>
      <c r="K409" s="258"/>
      <c r="L409" s="258"/>
      <c r="M409" s="258"/>
      <c r="N409" s="258"/>
      <c r="O409" s="258"/>
      <c r="P409" s="258"/>
      <c r="Q409" s="258"/>
      <c r="R409" s="258"/>
      <c r="S409" s="258"/>
      <c r="T409" s="258"/>
      <c r="U409" s="258"/>
      <c r="V409" s="258"/>
      <c r="W409" s="258"/>
      <c r="X409" s="258"/>
      <c r="Y409" s="258"/>
      <c r="Z409" s="258"/>
      <c r="AA409" s="258"/>
      <c r="AB409" s="258"/>
      <c r="AC409" s="258"/>
      <c r="AD409" s="258"/>
      <c r="AE409" s="258"/>
      <c r="AF409" s="258"/>
      <c r="AG409" s="258"/>
      <c r="AH409" s="258"/>
      <c r="AI409" s="258"/>
      <c r="AJ409" s="258"/>
      <c r="AK409" s="258"/>
      <c r="AL409" s="258"/>
      <c r="AM409" s="283"/>
      <c r="AN409" s="283"/>
      <c r="AO409" s="283"/>
      <c r="AP409" s="258"/>
      <c r="AQ409" s="258"/>
      <c r="AR409" s="283">
        <v>92022</v>
      </c>
      <c r="AS409" s="283" t="s">
        <v>3772</v>
      </c>
      <c r="AT409" s="283" t="s">
        <v>3773</v>
      </c>
      <c r="AU409" s="283" t="s">
        <v>3774</v>
      </c>
      <c r="AV409" s="283" t="s">
        <v>3775</v>
      </c>
      <c r="AW409" s="283">
        <f t="shared" si="55"/>
        <v>137034.5</v>
      </c>
      <c r="AX409" s="399"/>
      <c r="AY409" s="399"/>
      <c r="AZ409" s="400"/>
      <c r="BA409" s="400"/>
      <c r="BB409" s="400"/>
      <c r="BC409" s="400"/>
      <c r="BD409" s="400"/>
      <c r="BE409" s="400"/>
      <c r="BF409" s="400"/>
      <c r="BG409" s="400"/>
      <c r="BH409" s="400"/>
      <c r="BI409" s="400"/>
      <c r="BJ409" s="400"/>
      <c r="BK409" s="400"/>
      <c r="BL409" s="400"/>
      <c r="BM409" s="400"/>
      <c r="BN409" s="400"/>
      <c r="BO409" s="400"/>
      <c r="BP409" s="400"/>
      <c r="BQ409" s="400"/>
      <c r="BR409" s="258"/>
      <c r="BS409" s="258"/>
      <c r="BT409" s="258"/>
      <c r="BU409" s="258"/>
      <c r="BV409" s="258"/>
      <c r="BW409" s="258"/>
      <c r="BX409" s="258"/>
      <c r="BY409" s="258"/>
      <c r="BZ409" s="258"/>
      <c r="CA409" s="258"/>
      <c r="CB409" s="258"/>
      <c r="CC409" s="258"/>
      <c r="CD409" s="258"/>
      <c r="CE409" s="258"/>
      <c r="CF409" s="258">
        <v>149800</v>
      </c>
      <c r="CG409" s="258">
        <f>270300*0.2528*2</f>
        <v>136663.68</v>
      </c>
      <c r="CH409" s="258">
        <v>119668.08</v>
      </c>
      <c r="CI409" s="258">
        <f>0.1248*2*415300</f>
        <v>103658.88</v>
      </c>
      <c r="CJ409" s="258">
        <v>233700</v>
      </c>
      <c r="CK409" s="283">
        <f t="shared" si="56"/>
        <v>171347.64</v>
      </c>
      <c r="CL409" s="398"/>
      <c r="CM409" s="371">
        <f>Summary!$D$3</f>
        <v>2112033.31166667</v>
      </c>
      <c r="CN409" s="258">
        <f t="shared" si="59"/>
        <v>1</v>
      </c>
    </row>
    <row r="410" ht="15.6" spans="1:92">
      <c r="A410" s="258" t="s">
        <v>141</v>
      </c>
      <c r="B410" s="258" t="s">
        <v>694</v>
      </c>
      <c r="C410" s="258" t="s">
        <v>230</v>
      </c>
      <c r="D410" s="258" t="s">
        <v>3776</v>
      </c>
      <c r="E410" s="258" t="s">
        <v>65</v>
      </c>
      <c r="F410" s="260" t="s">
        <v>272</v>
      </c>
      <c r="G410" s="260"/>
      <c r="H410" s="283">
        <f t="shared" si="60"/>
        <v>29566.9166666667</v>
      </c>
      <c r="I410" s="260" t="s">
        <v>3741</v>
      </c>
      <c r="J410" s="258"/>
      <c r="K410" s="258"/>
      <c r="L410" s="258"/>
      <c r="M410" s="258"/>
      <c r="N410" s="258"/>
      <c r="O410" s="258"/>
      <c r="P410" s="258"/>
      <c r="Q410" s="258"/>
      <c r="R410" s="258"/>
      <c r="S410" s="258"/>
      <c r="T410" s="258"/>
      <c r="U410" s="258"/>
      <c r="V410" s="258"/>
      <c r="W410" s="258"/>
      <c r="X410" s="258"/>
      <c r="Y410" s="258"/>
      <c r="Z410" s="258"/>
      <c r="AA410" s="258"/>
      <c r="AB410" s="258"/>
      <c r="AC410" s="258"/>
      <c r="AD410" s="258"/>
      <c r="AE410" s="258"/>
      <c r="AF410" s="258"/>
      <c r="AG410" s="258"/>
      <c r="AH410" s="258"/>
      <c r="AI410" s="258"/>
      <c r="AJ410" s="258"/>
      <c r="AK410" s="258"/>
      <c r="AL410" s="258"/>
      <c r="AM410" s="283"/>
      <c r="AN410" s="283"/>
      <c r="AO410" s="283"/>
      <c r="AP410" s="258"/>
      <c r="AQ410" s="258"/>
      <c r="AR410" s="283">
        <v>4235</v>
      </c>
      <c r="AS410" s="283" t="s">
        <v>3777</v>
      </c>
      <c r="AT410" s="283" t="s">
        <v>3778</v>
      </c>
      <c r="AU410" s="283" t="s">
        <v>3779</v>
      </c>
      <c r="AV410" s="283" t="s">
        <v>3780</v>
      </c>
      <c r="AW410" s="283">
        <f t="shared" si="55"/>
        <v>28339.1666666667</v>
      </c>
      <c r="AX410" s="399"/>
      <c r="AY410" s="399"/>
      <c r="AZ410" s="400"/>
      <c r="BA410" s="400"/>
      <c r="BB410" s="400"/>
      <c r="BC410" s="400"/>
      <c r="BD410" s="400"/>
      <c r="BE410" s="400"/>
      <c r="BF410" s="400"/>
      <c r="BG410" s="400"/>
      <c r="BH410" s="400"/>
      <c r="BI410" s="400"/>
      <c r="BJ410" s="400"/>
      <c r="BK410" s="400"/>
      <c r="BL410" s="400"/>
      <c r="BM410" s="400"/>
      <c r="BN410" s="400"/>
      <c r="BO410" s="400"/>
      <c r="BP410" s="400"/>
      <c r="BQ410" s="400"/>
      <c r="BR410" s="258"/>
      <c r="BS410" s="258"/>
      <c r="BT410" s="258"/>
      <c r="BU410" s="258"/>
      <c r="BV410" s="258"/>
      <c r="BW410" s="258"/>
      <c r="BX410" s="258"/>
      <c r="BY410" s="258"/>
      <c r="BZ410" s="258"/>
      <c r="CA410" s="258"/>
      <c r="CB410" s="258"/>
      <c r="CC410" s="258"/>
      <c r="CD410" s="258"/>
      <c r="CE410" s="258"/>
      <c r="CF410" s="258">
        <v>6500</v>
      </c>
      <c r="CG410" s="258">
        <v>44000</v>
      </c>
      <c r="CH410" s="258">
        <v>7800</v>
      </c>
      <c r="CI410" s="258">
        <v>18447.56</v>
      </c>
      <c r="CJ410" s="258">
        <v>46690.96</v>
      </c>
      <c r="CK410" s="283">
        <f t="shared" si="56"/>
        <v>30794.6666666667</v>
      </c>
      <c r="CL410" s="398"/>
      <c r="CM410" s="371">
        <f>Summary!$D$3</f>
        <v>2112033.31166667</v>
      </c>
      <c r="CN410" s="258">
        <f t="shared" si="59"/>
        <v>0</v>
      </c>
    </row>
    <row r="411" ht="15.6" spans="1:92">
      <c r="A411" s="258" t="s">
        <v>141</v>
      </c>
      <c r="B411" s="258" t="s">
        <v>694</v>
      </c>
      <c r="C411" s="258" t="s">
        <v>243</v>
      </c>
      <c r="D411" s="258" t="s">
        <v>3781</v>
      </c>
      <c r="E411" s="258" t="s">
        <v>65</v>
      </c>
      <c r="F411" s="260" t="s">
        <v>420</v>
      </c>
      <c r="G411" s="260"/>
      <c r="H411" s="283">
        <f t="shared" si="60"/>
        <v>25018.5633333333</v>
      </c>
      <c r="I411" s="260" t="s">
        <v>3741</v>
      </c>
      <c r="J411" s="258"/>
      <c r="K411" s="258"/>
      <c r="L411" s="258"/>
      <c r="M411" s="258"/>
      <c r="N411" s="258"/>
      <c r="O411" s="258"/>
      <c r="P411" s="258"/>
      <c r="Q411" s="258"/>
      <c r="R411" s="258"/>
      <c r="S411" s="258"/>
      <c r="T411" s="258"/>
      <c r="U411" s="258"/>
      <c r="V411" s="258"/>
      <c r="W411" s="258"/>
      <c r="X411" s="258"/>
      <c r="Y411" s="258"/>
      <c r="Z411" s="258"/>
      <c r="AA411" s="258"/>
      <c r="AB411" s="258"/>
      <c r="AC411" s="258"/>
      <c r="AD411" s="258"/>
      <c r="AE411" s="258"/>
      <c r="AF411" s="258"/>
      <c r="AG411" s="258"/>
      <c r="AH411" s="258"/>
      <c r="AI411" s="258"/>
      <c r="AJ411" s="258"/>
      <c r="AK411" s="258"/>
      <c r="AL411" s="258"/>
      <c r="AM411" s="283"/>
      <c r="AN411" s="283"/>
      <c r="AO411" s="283"/>
      <c r="AP411" s="258"/>
      <c r="AQ411" s="258"/>
      <c r="AR411" s="283">
        <v>21583</v>
      </c>
      <c r="AS411" s="283" t="s">
        <v>3782</v>
      </c>
      <c r="AT411" s="283" t="s">
        <v>3783</v>
      </c>
      <c r="AU411" s="283" t="s">
        <v>3784</v>
      </c>
      <c r="AV411" s="283" t="s">
        <v>3785</v>
      </c>
      <c r="AW411" s="283">
        <f t="shared" si="55"/>
        <v>39462.8333333333</v>
      </c>
      <c r="AX411" s="399"/>
      <c r="AY411" s="399"/>
      <c r="AZ411" s="400"/>
      <c r="BA411" s="400"/>
      <c r="BB411" s="400"/>
      <c r="BC411" s="400"/>
      <c r="BD411" s="400"/>
      <c r="BE411" s="400"/>
      <c r="BF411" s="400"/>
      <c r="BG411" s="400"/>
      <c r="BH411" s="400"/>
      <c r="BI411" s="400"/>
      <c r="BJ411" s="400"/>
      <c r="BK411" s="400"/>
      <c r="BL411" s="400"/>
      <c r="BM411" s="400"/>
      <c r="BN411" s="400"/>
      <c r="BO411" s="400"/>
      <c r="BP411" s="400"/>
      <c r="BQ411" s="400"/>
      <c r="BR411" s="258"/>
      <c r="BS411" s="258"/>
      <c r="BT411" s="258"/>
      <c r="BU411" s="258"/>
      <c r="BV411" s="258"/>
      <c r="BW411" s="258"/>
      <c r="BX411" s="258"/>
      <c r="BY411" s="258"/>
      <c r="BZ411" s="258"/>
      <c r="CA411" s="258"/>
      <c r="CB411" s="258"/>
      <c r="CC411" s="258"/>
      <c r="CD411" s="258"/>
      <c r="CE411" s="258"/>
      <c r="CF411" s="258">
        <v>14200</v>
      </c>
      <c r="CG411" s="258">
        <v>42600</v>
      </c>
      <c r="CH411" s="258">
        <v>10740</v>
      </c>
      <c r="CI411" s="258">
        <v>14202.88</v>
      </c>
      <c r="CJ411" s="258">
        <v>8100</v>
      </c>
      <c r="CK411" s="283">
        <f t="shared" si="56"/>
        <v>10574.2933333333</v>
      </c>
      <c r="CL411" s="398"/>
      <c r="CM411" s="371">
        <f>Summary!$D$3</f>
        <v>2112033.31166667</v>
      </c>
      <c r="CN411" s="258">
        <f t="shared" si="59"/>
        <v>0</v>
      </c>
    </row>
    <row r="412" ht="15.6" spans="1:92">
      <c r="A412" s="258" t="s">
        <v>191</v>
      </c>
      <c r="B412" s="258" t="s">
        <v>694</v>
      </c>
      <c r="C412" s="258" t="s">
        <v>243</v>
      </c>
      <c r="D412" s="258" t="s">
        <v>3786</v>
      </c>
      <c r="E412" s="258" t="s">
        <v>3600</v>
      </c>
      <c r="F412" s="260" t="s">
        <v>411</v>
      </c>
      <c r="G412" s="260"/>
      <c r="H412" s="283">
        <f t="shared" si="60"/>
        <v>2665.5</v>
      </c>
      <c r="I412" s="260" t="s">
        <v>3741</v>
      </c>
      <c r="J412" s="258"/>
      <c r="K412" s="258"/>
      <c r="L412" s="258"/>
      <c r="M412" s="258"/>
      <c r="N412" s="258"/>
      <c r="O412" s="258"/>
      <c r="P412" s="258"/>
      <c r="Q412" s="258"/>
      <c r="R412" s="258"/>
      <c r="S412" s="258"/>
      <c r="T412" s="258"/>
      <c r="U412" s="258"/>
      <c r="V412" s="258"/>
      <c r="W412" s="258"/>
      <c r="X412" s="258"/>
      <c r="Y412" s="258"/>
      <c r="Z412" s="258"/>
      <c r="AA412" s="258"/>
      <c r="AB412" s="258"/>
      <c r="AC412" s="258"/>
      <c r="AD412" s="258"/>
      <c r="AE412" s="258"/>
      <c r="AF412" s="258"/>
      <c r="AG412" s="258"/>
      <c r="AH412" s="258"/>
      <c r="AI412" s="258"/>
      <c r="AJ412" s="258"/>
      <c r="AK412" s="258"/>
      <c r="AL412" s="258"/>
      <c r="AM412" s="283"/>
      <c r="AN412" s="283"/>
      <c r="AO412" s="283"/>
      <c r="AP412" s="258"/>
      <c r="AQ412" s="258"/>
      <c r="AR412" s="283">
        <v>1233</v>
      </c>
      <c r="AS412" s="283" t="s">
        <v>3787</v>
      </c>
      <c r="AT412" s="283" t="s">
        <v>3788</v>
      </c>
      <c r="AU412" s="283" t="s">
        <v>3789</v>
      </c>
      <c r="AV412" s="283" t="s">
        <v>3790</v>
      </c>
      <c r="AW412" s="283">
        <f t="shared" si="55"/>
        <v>3551.83333333333</v>
      </c>
      <c r="AX412" s="399"/>
      <c r="AY412" s="399"/>
      <c r="AZ412" s="400"/>
      <c r="BA412" s="400"/>
      <c r="BB412" s="400"/>
      <c r="BC412" s="400"/>
      <c r="BD412" s="400"/>
      <c r="BE412" s="400"/>
      <c r="BF412" s="400"/>
      <c r="BG412" s="400"/>
      <c r="BH412" s="400"/>
      <c r="BI412" s="400"/>
      <c r="BJ412" s="400"/>
      <c r="BK412" s="400"/>
      <c r="BL412" s="400"/>
      <c r="BM412" s="400"/>
      <c r="BN412" s="400"/>
      <c r="BO412" s="400"/>
      <c r="BP412" s="400"/>
      <c r="BQ412" s="400"/>
      <c r="BR412" s="258"/>
      <c r="BS412" s="258"/>
      <c r="BT412" s="258"/>
      <c r="BU412" s="258"/>
      <c r="BV412" s="258"/>
      <c r="BW412" s="258"/>
      <c r="BX412" s="258"/>
      <c r="BY412" s="258"/>
      <c r="BZ412" s="258"/>
      <c r="CA412" s="258"/>
      <c r="CB412" s="258"/>
      <c r="CC412" s="258"/>
      <c r="CD412" s="258"/>
      <c r="CE412" s="258"/>
      <c r="CF412" s="258"/>
      <c r="CG412" s="258">
        <v>0</v>
      </c>
      <c r="CH412" s="258">
        <v>720</v>
      </c>
      <c r="CI412" s="258">
        <v>3800</v>
      </c>
      <c r="CJ412" s="258">
        <v>785</v>
      </c>
      <c r="CK412" s="283">
        <f t="shared" si="56"/>
        <v>1779.16666666667</v>
      </c>
      <c r="CL412" s="398"/>
      <c r="CM412" s="371">
        <f>Summary!D23</f>
        <v>176176.176666667</v>
      </c>
      <c r="CN412" s="258">
        <f t="shared" ref="CN412:CN437" si="61">IF(_xlfn.IFNA(CM412,0),IF(AND(H412/CM412&gt;=0.05,B412&lt;&gt;"官网"),1,0),0)</f>
        <v>0</v>
      </c>
    </row>
    <row r="413" ht="15.6" spans="1:92">
      <c r="A413" s="258" t="s">
        <v>191</v>
      </c>
      <c r="B413" s="258" t="s">
        <v>694</v>
      </c>
      <c r="C413" s="258" t="s">
        <v>243</v>
      </c>
      <c r="D413" s="258" t="s">
        <v>3791</v>
      </c>
      <c r="E413" s="258" t="s">
        <v>3600</v>
      </c>
      <c r="F413" s="260" t="s">
        <v>422</v>
      </c>
      <c r="G413" s="260"/>
      <c r="H413" s="283">
        <f t="shared" si="60"/>
        <v>1617</v>
      </c>
      <c r="I413" s="260" t="s">
        <v>3741</v>
      </c>
      <c r="J413" s="258"/>
      <c r="K413" s="258"/>
      <c r="L413" s="258"/>
      <c r="M413" s="258"/>
      <c r="N413" s="258"/>
      <c r="O413" s="258"/>
      <c r="P413" s="258"/>
      <c r="Q413" s="258"/>
      <c r="R413" s="258"/>
      <c r="S413" s="258"/>
      <c r="T413" s="258"/>
      <c r="U413" s="258"/>
      <c r="V413" s="258"/>
      <c r="W413" s="258"/>
      <c r="X413" s="258"/>
      <c r="Y413" s="258"/>
      <c r="Z413" s="258"/>
      <c r="AA413" s="258"/>
      <c r="AB413" s="258"/>
      <c r="AC413" s="258"/>
      <c r="AD413" s="258"/>
      <c r="AE413" s="258"/>
      <c r="AF413" s="258"/>
      <c r="AG413" s="258"/>
      <c r="AH413" s="258"/>
      <c r="AI413" s="258"/>
      <c r="AJ413" s="258"/>
      <c r="AK413" s="258"/>
      <c r="AL413" s="258"/>
      <c r="AM413" s="283"/>
      <c r="AN413" s="283"/>
      <c r="AO413" s="283"/>
      <c r="AP413" s="258"/>
      <c r="AQ413" s="258"/>
      <c r="AR413" s="283">
        <v>10744</v>
      </c>
      <c r="AS413" s="283" t="s">
        <v>3792</v>
      </c>
      <c r="AT413" s="283" t="s">
        <v>3793</v>
      </c>
      <c r="AU413" s="283" t="s">
        <v>3794</v>
      </c>
      <c r="AV413" s="283" t="s">
        <v>3795</v>
      </c>
      <c r="AW413" s="283">
        <f t="shared" si="55"/>
        <v>3234</v>
      </c>
      <c r="AX413" s="399"/>
      <c r="AY413" s="399"/>
      <c r="AZ413" s="400"/>
      <c r="BA413" s="400"/>
      <c r="BB413" s="400"/>
      <c r="BC413" s="400"/>
      <c r="BD413" s="400"/>
      <c r="BE413" s="400"/>
      <c r="BF413" s="400"/>
      <c r="BG413" s="400"/>
      <c r="BH413" s="400"/>
      <c r="BI413" s="400"/>
      <c r="BJ413" s="400"/>
      <c r="BK413" s="400"/>
      <c r="BL413" s="400"/>
      <c r="BM413" s="400"/>
      <c r="BN413" s="400"/>
      <c r="BO413" s="400"/>
      <c r="BP413" s="400"/>
      <c r="BQ413" s="400"/>
      <c r="BR413" s="258"/>
      <c r="BS413" s="258"/>
      <c r="BT413" s="258"/>
      <c r="BU413" s="258"/>
      <c r="BV413" s="258"/>
      <c r="BW413" s="258"/>
      <c r="BX413" s="258"/>
      <c r="BY413" s="258"/>
      <c r="BZ413" s="258"/>
      <c r="CA413" s="258"/>
      <c r="CB413" s="258"/>
      <c r="CC413" s="258"/>
      <c r="CD413" s="258"/>
      <c r="CE413" s="258"/>
      <c r="CF413" s="258">
        <v>950</v>
      </c>
      <c r="CG413" s="258">
        <f>0.1698*2*47200</f>
        <v>16029.12</v>
      </c>
      <c r="CH413" s="258">
        <v>0</v>
      </c>
      <c r="CI413" s="258">
        <v>0</v>
      </c>
      <c r="CJ413" s="258">
        <v>0</v>
      </c>
      <c r="CK413" s="283">
        <f t="shared" si="56"/>
        <v>0</v>
      </c>
      <c r="CL413" s="398"/>
      <c r="CM413" s="371">
        <f>Summary!D23</f>
        <v>176176.176666667</v>
      </c>
      <c r="CN413" s="258">
        <f t="shared" si="61"/>
        <v>0</v>
      </c>
    </row>
    <row r="414" ht="15.6" spans="1:92">
      <c r="A414" s="258" t="s">
        <v>191</v>
      </c>
      <c r="B414" s="258" t="s">
        <v>694</v>
      </c>
      <c r="C414" s="258" t="s">
        <v>243</v>
      </c>
      <c r="D414" s="258" t="s">
        <v>3796</v>
      </c>
      <c r="E414" s="258" t="s">
        <v>3600</v>
      </c>
      <c r="F414" s="260" t="s">
        <v>49</v>
      </c>
      <c r="G414" s="260"/>
      <c r="H414" s="283">
        <f t="shared" si="60"/>
        <v>312.5</v>
      </c>
      <c r="I414" s="260" t="s">
        <v>3741</v>
      </c>
      <c r="J414" s="258"/>
      <c r="K414" s="258"/>
      <c r="L414" s="258"/>
      <c r="M414" s="258"/>
      <c r="N414" s="258"/>
      <c r="O414" s="258"/>
      <c r="P414" s="258"/>
      <c r="Q414" s="258"/>
      <c r="R414" s="258"/>
      <c r="S414" s="258"/>
      <c r="T414" s="258"/>
      <c r="U414" s="258"/>
      <c r="V414" s="258"/>
      <c r="W414" s="258"/>
      <c r="X414" s="258"/>
      <c r="Y414" s="258"/>
      <c r="Z414" s="258"/>
      <c r="AA414" s="258"/>
      <c r="AB414" s="258"/>
      <c r="AC414" s="258"/>
      <c r="AD414" s="258"/>
      <c r="AE414" s="258"/>
      <c r="AF414" s="258"/>
      <c r="AG414" s="258"/>
      <c r="AH414" s="258"/>
      <c r="AI414" s="258"/>
      <c r="AJ414" s="258"/>
      <c r="AK414" s="258"/>
      <c r="AL414" s="258"/>
      <c r="AM414" s="283"/>
      <c r="AN414" s="283"/>
      <c r="AO414" s="283"/>
      <c r="AP414" s="258"/>
      <c r="AQ414" s="258"/>
      <c r="AR414" s="283">
        <v>3724</v>
      </c>
      <c r="AS414" s="283" t="s">
        <v>3797</v>
      </c>
      <c r="AT414" s="283" t="s">
        <v>796</v>
      </c>
      <c r="AU414" s="283" t="s">
        <v>796</v>
      </c>
      <c r="AV414" s="283" t="s">
        <v>3798</v>
      </c>
      <c r="AW414" s="283">
        <f t="shared" si="55"/>
        <v>125</v>
      </c>
      <c r="AX414" s="399"/>
      <c r="AY414" s="399"/>
      <c r="AZ414" s="400"/>
      <c r="BA414" s="400"/>
      <c r="BB414" s="400"/>
      <c r="BC414" s="400"/>
      <c r="BD414" s="400"/>
      <c r="BE414" s="400"/>
      <c r="BF414" s="400"/>
      <c r="BG414" s="400"/>
      <c r="BH414" s="400"/>
      <c r="BI414" s="400"/>
      <c r="BJ414" s="400"/>
      <c r="BK414" s="400"/>
      <c r="BL414" s="400"/>
      <c r="BM414" s="400"/>
      <c r="BN414" s="400"/>
      <c r="BO414" s="400"/>
      <c r="BP414" s="400"/>
      <c r="BQ414" s="400"/>
      <c r="BR414" s="258"/>
      <c r="BS414" s="258"/>
      <c r="BT414" s="258"/>
      <c r="BU414" s="258"/>
      <c r="BV414" s="258"/>
      <c r="BW414" s="258"/>
      <c r="BX414" s="258"/>
      <c r="BY414" s="258"/>
      <c r="BZ414" s="258"/>
      <c r="CA414" s="258"/>
      <c r="CB414" s="258"/>
      <c r="CC414" s="258"/>
      <c r="CD414" s="258"/>
      <c r="CE414" s="258"/>
      <c r="CF414" s="258"/>
      <c r="CG414" s="258">
        <v>0</v>
      </c>
      <c r="CH414" s="258">
        <v>0</v>
      </c>
      <c r="CI414" s="258">
        <v>0</v>
      </c>
      <c r="CJ414" s="258">
        <v>1000</v>
      </c>
      <c r="CK414" s="283">
        <f t="shared" si="56"/>
        <v>500</v>
      </c>
      <c r="CL414" s="398"/>
      <c r="CM414" s="371">
        <f>Summary!D23</f>
        <v>176176.176666667</v>
      </c>
      <c r="CN414" s="258">
        <f t="shared" si="61"/>
        <v>0</v>
      </c>
    </row>
    <row r="415" ht="15.6" spans="1:92">
      <c r="A415" s="258" t="s">
        <v>187</v>
      </c>
      <c r="B415" s="258" t="s">
        <v>694</v>
      </c>
      <c r="C415" s="258" t="s">
        <v>230</v>
      </c>
      <c r="D415" s="258" t="s">
        <v>3799</v>
      </c>
      <c r="E415" s="258" t="s">
        <v>65</v>
      </c>
      <c r="F415" s="260"/>
      <c r="G415" s="260"/>
      <c r="H415" s="283">
        <f t="shared" si="60"/>
        <v>38</v>
      </c>
      <c r="I415" s="260" t="s">
        <v>3741</v>
      </c>
      <c r="J415" s="258"/>
      <c r="K415" s="258"/>
      <c r="L415" s="258"/>
      <c r="M415" s="258"/>
      <c r="N415" s="258"/>
      <c r="O415" s="258"/>
      <c r="P415" s="258"/>
      <c r="Q415" s="258"/>
      <c r="R415" s="258"/>
      <c r="S415" s="258"/>
      <c r="T415" s="258"/>
      <c r="U415" s="258"/>
      <c r="V415" s="258"/>
      <c r="W415" s="258"/>
      <c r="X415" s="258"/>
      <c r="Y415" s="258"/>
      <c r="Z415" s="258"/>
      <c r="AA415" s="258"/>
      <c r="AB415" s="258"/>
      <c r="AC415" s="258"/>
      <c r="AD415" s="258"/>
      <c r="AE415" s="258"/>
      <c r="AF415" s="258"/>
      <c r="AG415" s="258"/>
      <c r="AH415" s="258"/>
      <c r="AI415" s="258"/>
      <c r="AJ415" s="258"/>
      <c r="AK415" s="258"/>
      <c r="AL415" s="258"/>
      <c r="AM415" s="283"/>
      <c r="AN415" s="283"/>
      <c r="AO415" s="283"/>
      <c r="AP415" s="258"/>
      <c r="AQ415" s="258"/>
      <c r="AR415" s="283">
        <v>469</v>
      </c>
      <c r="AS415" s="283" t="s">
        <v>3800</v>
      </c>
      <c r="AT415" s="283" t="s">
        <v>3801</v>
      </c>
      <c r="AU415" s="283" t="s">
        <v>3802</v>
      </c>
      <c r="AV415" s="283" t="s">
        <v>796</v>
      </c>
      <c r="AW415" s="283">
        <f t="shared" si="55"/>
        <v>76</v>
      </c>
      <c r="AX415" s="399"/>
      <c r="AY415" s="399"/>
      <c r="AZ415" s="400"/>
      <c r="BA415" s="400"/>
      <c r="BB415" s="400"/>
      <c r="BC415" s="400"/>
      <c r="BD415" s="400"/>
      <c r="BE415" s="400"/>
      <c r="BF415" s="400"/>
      <c r="BG415" s="400"/>
      <c r="BH415" s="400"/>
      <c r="BI415" s="400"/>
      <c r="BJ415" s="400"/>
      <c r="BK415" s="400"/>
      <c r="BL415" s="400"/>
      <c r="BM415" s="400"/>
      <c r="BN415" s="400"/>
      <c r="BO415" s="400"/>
      <c r="BP415" s="400"/>
      <c r="BQ415" s="400"/>
      <c r="BR415" s="258"/>
      <c r="BS415" s="258"/>
      <c r="BT415" s="258"/>
      <c r="BU415" s="258"/>
      <c r="BV415" s="258"/>
      <c r="BW415" s="258"/>
      <c r="BX415" s="258"/>
      <c r="BY415" s="258"/>
      <c r="BZ415" s="258"/>
      <c r="CA415" s="258"/>
      <c r="CB415" s="258"/>
      <c r="CC415" s="258"/>
      <c r="CD415" s="258"/>
      <c r="CE415" s="258"/>
      <c r="CF415" s="258"/>
      <c r="CG415" s="258">
        <v>0</v>
      </c>
      <c r="CH415" s="258">
        <v>0</v>
      </c>
      <c r="CI415" s="258">
        <v>0</v>
      </c>
      <c r="CJ415" s="258">
        <v>0</v>
      </c>
      <c r="CK415" s="283">
        <f t="shared" si="56"/>
        <v>0</v>
      </c>
      <c r="CL415" s="398"/>
      <c r="CM415" s="371">
        <f>Summary!D21</f>
        <v>254452.454633333</v>
      </c>
      <c r="CN415" s="258">
        <f t="shared" si="61"/>
        <v>0</v>
      </c>
    </row>
    <row r="416" ht="15.6" spans="1:92">
      <c r="A416" s="258" t="s">
        <v>234</v>
      </c>
      <c r="B416" s="258" t="s">
        <v>234</v>
      </c>
      <c r="C416" s="258" t="s">
        <v>234</v>
      </c>
      <c r="D416" s="405" t="s">
        <v>3803</v>
      </c>
      <c r="E416" s="258" t="s">
        <v>234</v>
      </c>
      <c r="F416" s="260"/>
      <c r="G416" s="260"/>
      <c r="H416" s="283">
        <f t="shared" si="60"/>
        <v>211747.38</v>
      </c>
      <c r="I416" s="260" t="s">
        <v>3741</v>
      </c>
      <c r="J416" s="258"/>
      <c r="K416" s="258"/>
      <c r="L416" s="258"/>
      <c r="M416" s="258"/>
      <c r="N416" s="258"/>
      <c r="O416" s="258"/>
      <c r="P416" s="258"/>
      <c r="Q416" s="258"/>
      <c r="R416" s="258"/>
      <c r="S416" s="258"/>
      <c r="T416" s="258"/>
      <c r="U416" s="258"/>
      <c r="V416" s="258"/>
      <c r="W416" s="258"/>
      <c r="X416" s="258"/>
      <c r="Y416" s="258"/>
      <c r="Z416" s="258"/>
      <c r="AA416" s="258"/>
      <c r="AB416" s="258"/>
      <c r="AC416" s="258"/>
      <c r="AD416" s="258"/>
      <c r="AE416" s="258"/>
      <c r="AF416" s="258"/>
      <c r="AG416" s="258"/>
      <c r="AH416" s="258"/>
      <c r="AI416" s="258"/>
      <c r="AJ416" s="258"/>
      <c r="AK416" s="258"/>
      <c r="AL416" s="258"/>
      <c r="AM416" s="283"/>
      <c r="AN416" s="283"/>
      <c r="AO416" s="283"/>
      <c r="AP416" s="258"/>
      <c r="AQ416" s="258"/>
      <c r="AR416" s="283">
        <v>250802</v>
      </c>
      <c r="AS416" s="283">
        <v>234948</v>
      </c>
      <c r="AT416" s="283" t="s">
        <v>3804</v>
      </c>
      <c r="AU416" s="283" t="s">
        <v>3805</v>
      </c>
      <c r="AV416" s="283" t="s">
        <v>3806</v>
      </c>
      <c r="AW416" s="283">
        <f t="shared" si="55"/>
        <v>243050.833333333</v>
      </c>
      <c r="AX416" s="399"/>
      <c r="AY416" s="399"/>
      <c r="AZ416" s="400"/>
      <c r="BA416" s="400"/>
      <c r="BB416" s="400"/>
      <c r="BC416" s="400"/>
      <c r="BD416" s="400"/>
      <c r="BE416" s="400"/>
      <c r="BF416" s="400"/>
      <c r="BG416" s="400"/>
      <c r="BH416" s="400"/>
      <c r="BI416" s="400"/>
      <c r="BJ416" s="400"/>
      <c r="BK416" s="400"/>
      <c r="BL416" s="400"/>
      <c r="BM416" s="400"/>
      <c r="BN416" s="400"/>
      <c r="BO416" s="400"/>
      <c r="BP416" s="400"/>
      <c r="BQ416" s="400"/>
      <c r="BR416" s="258"/>
      <c r="BS416" s="258"/>
      <c r="BT416" s="258"/>
      <c r="BU416" s="258"/>
      <c r="BV416" s="258"/>
      <c r="BW416" s="258"/>
      <c r="BX416" s="258"/>
      <c r="BY416" s="258"/>
      <c r="BZ416" s="258"/>
      <c r="CA416" s="258"/>
      <c r="CB416" s="258"/>
      <c r="CC416" s="258"/>
      <c r="CD416" s="258"/>
      <c r="CE416" s="258"/>
      <c r="CF416" s="258">
        <v>154300</v>
      </c>
      <c r="CG416" s="258">
        <v>109400</v>
      </c>
      <c r="CH416" s="258">
        <v>164800</v>
      </c>
      <c r="CI416" s="258">
        <v>164165.4</v>
      </c>
      <c r="CJ416" s="258">
        <v>196510.92</v>
      </c>
      <c r="CK416" s="283">
        <f t="shared" si="56"/>
        <v>180443.926666667</v>
      </c>
      <c r="CL416" s="398"/>
      <c r="CM416" s="371"/>
      <c r="CN416" s="258">
        <f t="shared" si="61"/>
        <v>0</v>
      </c>
    </row>
    <row r="417" ht="15.6" spans="1:92">
      <c r="A417" s="258" t="s">
        <v>174</v>
      </c>
      <c r="B417" s="258" t="s">
        <v>234</v>
      </c>
      <c r="C417" s="258"/>
      <c r="D417" s="258" t="s">
        <v>3807</v>
      </c>
      <c r="E417" s="258" t="s">
        <v>234</v>
      </c>
      <c r="F417" s="260" t="s">
        <v>52</v>
      </c>
      <c r="G417" s="260"/>
      <c r="H417" s="283">
        <f>(AW417+CK417)/2*0.92</f>
        <v>95343.0736133333</v>
      </c>
      <c r="I417" s="401" t="s">
        <v>3808</v>
      </c>
      <c r="J417" s="258"/>
      <c r="K417" s="258"/>
      <c r="L417" s="258"/>
      <c r="M417" s="258"/>
      <c r="N417" s="258"/>
      <c r="O417" s="258"/>
      <c r="P417" s="258"/>
      <c r="Q417" s="258"/>
      <c r="R417" s="258"/>
      <c r="S417" s="258"/>
      <c r="T417" s="258"/>
      <c r="U417" s="258"/>
      <c r="V417" s="258"/>
      <c r="W417" s="258"/>
      <c r="X417" s="258"/>
      <c r="Y417" s="258"/>
      <c r="Z417" s="258"/>
      <c r="AA417" s="258"/>
      <c r="AB417" s="258"/>
      <c r="AC417" s="258"/>
      <c r="AD417" s="258"/>
      <c r="AE417" s="258"/>
      <c r="AF417" s="258"/>
      <c r="AG417" s="258"/>
      <c r="AH417" s="258"/>
      <c r="AI417" s="258"/>
      <c r="AJ417" s="258"/>
      <c r="AK417" s="258"/>
      <c r="AL417" s="258"/>
      <c r="AM417" s="283"/>
      <c r="AN417" s="283"/>
      <c r="AO417" s="283"/>
      <c r="AP417" s="258"/>
      <c r="AQ417" s="258"/>
      <c r="AR417" s="283"/>
      <c r="AS417" s="283" t="s">
        <v>3809</v>
      </c>
      <c r="AT417" s="283" t="s">
        <v>3810</v>
      </c>
      <c r="AU417" s="283">
        <f>0.1307*2*170210</f>
        <v>44492.894</v>
      </c>
      <c r="AV417" s="283" t="s">
        <v>3811</v>
      </c>
      <c r="AW417" s="283">
        <f t="shared" si="55"/>
        <v>171936.798</v>
      </c>
      <c r="AX417" s="399"/>
      <c r="AY417" s="399"/>
      <c r="AZ417" s="400"/>
      <c r="BA417" s="400"/>
      <c r="BB417" s="400"/>
      <c r="BC417" s="400"/>
      <c r="BD417" s="400"/>
      <c r="BE417" s="400"/>
      <c r="BF417" s="400"/>
      <c r="BG417" s="400"/>
      <c r="BH417" s="400"/>
      <c r="BI417" s="400"/>
      <c r="BJ417" s="400"/>
      <c r="BK417" s="400"/>
      <c r="BL417" s="400"/>
      <c r="BM417" s="400"/>
      <c r="BN417" s="400"/>
      <c r="BO417" s="400"/>
      <c r="BP417" s="400"/>
      <c r="BQ417" s="400"/>
      <c r="BR417" s="258"/>
      <c r="BS417" s="258"/>
      <c r="BT417" s="258"/>
      <c r="BU417" s="258"/>
      <c r="BV417" s="258"/>
      <c r="BW417" s="258"/>
      <c r="BX417" s="258"/>
      <c r="BY417" s="258"/>
      <c r="BZ417" s="258"/>
      <c r="CA417" s="258"/>
      <c r="CB417" s="258"/>
      <c r="CC417" s="258"/>
      <c r="CD417" s="258"/>
      <c r="CE417" s="258"/>
      <c r="CF417" s="258"/>
      <c r="CG417" s="258">
        <v>26100</v>
      </c>
      <c r="CH417" s="258">
        <v>36493.32</v>
      </c>
      <c r="CI417" s="258">
        <v>40945.6</v>
      </c>
      <c r="CJ417" s="258">
        <v>31200</v>
      </c>
      <c r="CK417" s="283">
        <f t="shared" si="56"/>
        <v>35330.7533333333</v>
      </c>
      <c r="CL417" s="398"/>
      <c r="CM417" s="371">
        <f>Summary!D13</f>
        <v>470607.104766667</v>
      </c>
      <c r="CN417" s="258">
        <f t="shared" si="61"/>
        <v>1</v>
      </c>
    </row>
    <row r="418" ht="15.6" spans="1:92">
      <c r="A418" s="258" t="s">
        <v>171</v>
      </c>
      <c r="B418" s="258" t="s">
        <v>234</v>
      </c>
      <c r="C418" s="258"/>
      <c r="D418" s="258" t="s">
        <v>3812</v>
      </c>
      <c r="E418" s="258" t="s">
        <v>234</v>
      </c>
      <c r="F418" s="260" t="s">
        <v>57</v>
      </c>
      <c r="G418" s="260"/>
      <c r="H418" s="283">
        <f t="shared" si="60"/>
        <v>18932.9166666667</v>
      </c>
      <c r="I418" s="401" t="s">
        <v>3813</v>
      </c>
      <c r="J418" s="258"/>
      <c r="K418" s="258"/>
      <c r="L418" s="258"/>
      <c r="M418" s="258"/>
      <c r="N418" s="258"/>
      <c r="O418" s="258"/>
      <c r="P418" s="258"/>
      <c r="Q418" s="258"/>
      <c r="R418" s="258"/>
      <c r="S418" s="258"/>
      <c r="T418" s="258"/>
      <c r="U418" s="258"/>
      <c r="V418" s="258"/>
      <c r="W418" s="258"/>
      <c r="X418" s="258"/>
      <c r="Y418" s="258"/>
      <c r="Z418" s="258"/>
      <c r="AA418" s="258"/>
      <c r="AB418" s="258"/>
      <c r="AC418" s="258"/>
      <c r="AD418" s="258"/>
      <c r="AE418" s="258"/>
      <c r="AF418" s="258"/>
      <c r="AG418" s="258"/>
      <c r="AH418" s="258"/>
      <c r="AI418" s="258"/>
      <c r="AJ418" s="258"/>
      <c r="AK418" s="258"/>
      <c r="AL418" s="258"/>
      <c r="AM418" s="283"/>
      <c r="AN418" s="283"/>
      <c r="AO418" s="283"/>
      <c r="AP418" s="258"/>
      <c r="AQ418" s="258"/>
      <c r="AR418" s="283"/>
      <c r="AS418" s="283" t="s">
        <v>3814</v>
      </c>
      <c r="AT418" s="283" t="s">
        <v>3815</v>
      </c>
      <c r="AU418" s="283" t="s">
        <v>3816</v>
      </c>
      <c r="AV418" s="283" t="s">
        <v>3691</v>
      </c>
      <c r="AW418" s="283">
        <f t="shared" si="55"/>
        <v>22082.5</v>
      </c>
      <c r="AX418" s="399"/>
      <c r="AY418" s="399"/>
      <c r="AZ418" s="400"/>
      <c r="BA418" s="400"/>
      <c r="BB418" s="400"/>
      <c r="BC418" s="400"/>
      <c r="BD418" s="400"/>
      <c r="BE418" s="400"/>
      <c r="BF418" s="400"/>
      <c r="BG418" s="400"/>
      <c r="BH418" s="400"/>
      <c r="BI418" s="400"/>
      <c r="BJ418" s="400"/>
      <c r="BK418" s="400"/>
      <c r="BL418" s="400"/>
      <c r="BM418" s="400"/>
      <c r="BN418" s="400"/>
      <c r="BO418" s="400"/>
      <c r="BP418" s="400"/>
      <c r="BQ418" s="400"/>
      <c r="BR418" s="258"/>
      <c r="BS418" s="258"/>
      <c r="BT418" s="258"/>
      <c r="BU418" s="258"/>
      <c r="BV418" s="258"/>
      <c r="BW418" s="258"/>
      <c r="BX418" s="258"/>
      <c r="BY418" s="258"/>
      <c r="BZ418" s="258"/>
      <c r="CA418" s="258"/>
      <c r="CB418" s="258"/>
      <c r="CC418" s="258"/>
      <c r="CD418" s="258"/>
      <c r="CE418" s="258"/>
      <c r="CF418" s="258"/>
      <c r="CG418" s="258">
        <v>5900</v>
      </c>
      <c r="CH418" s="258">
        <v>4400</v>
      </c>
      <c r="CI418" s="258">
        <v>17700</v>
      </c>
      <c r="CJ418" s="258">
        <v>18300</v>
      </c>
      <c r="CK418" s="283">
        <f t="shared" si="56"/>
        <v>15783.3333333333</v>
      </c>
      <c r="CL418" s="398"/>
      <c r="CM418" s="371">
        <f>Summary!D12</f>
        <v>489885.37</v>
      </c>
      <c r="CN418" s="258">
        <f t="shared" si="61"/>
        <v>0</v>
      </c>
    </row>
    <row r="419" ht="15.6" spans="1:92">
      <c r="A419" s="258" t="s">
        <v>171</v>
      </c>
      <c r="B419" s="258" t="s">
        <v>694</v>
      </c>
      <c r="C419" s="258" t="s">
        <v>243</v>
      </c>
      <c r="D419" s="258" t="s">
        <v>3208</v>
      </c>
      <c r="E419" s="258" t="s">
        <v>441</v>
      </c>
      <c r="F419" s="260" t="s">
        <v>422</v>
      </c>
      <c r="G419" s="260"/>
      <c r="H419" s="283">
        <f t="shared" si="60"/>
        <v>5241.75</v>
      </c>
      <c r="I419" s="401" t="s">
        <v>3813</v>
      </c>
      <c r="J419" s="258"/>
      <c r="K419" s="258"/>
      <c r="L419" s="258"/>
      <c r="M419" s="258"/>
      <c r="N419" s="258"/>
      <c r="O419" s="258"/>
      <c r="P419" s="258"/>
      <c r="Q419" s="258"/>
      <c r="R419" s="258"/>
      <c r="S419" s="258"/>
      <c r="T419" s="258"/>
      <c r="U419" s="258"/>
      <c r="V419" s="258"/>
      <c r="W419" s="258"/>
      <c r="X419" s="258"/>
      <c r="Y419" s="258"/>
      <c r="Z419" s="258"/>
      <c r="AA419" s="258"/>
      <c r="AB419" s="258"/>
      <c r="AC419" s="258"/>
      <c r="AD419" s="258"/>
      <c r="AE419" s="258"/>
      <c r="AF419" s="258"/>
      <c r="AG419" s="258"/>
      <c r="AH419" s="258"/>
      <c r="AI419" s="258"/>
      <c r="AJ419" s="258"/>
      <c r="AK419" s="258"/>
      <c r="AL419" s="258"/>
      <c r="AM419" s="283"/>
      <c r="AN419" s="283"/>
      <c r="AO419" s="283"/>
      <c r="AP419" s="258"/>
      <c r="AQ419" s="258"/>
      <c r="AR419" s="283"/>
      <c r="AS419" s="283" t="s">
        <v>3213</v>
      </c>
      <c r="AT419" s="283" t="s">
        <v>3214</v>
      </c>
      <c r="AU419" s="283" t="s">
        <v>3215</v>
      </c>
      <c r="AV419" s="283" t="s">
        <v>3216</v>
      </c>
      <c r="AW419" s="283">
        <f t="shared" si="55"/>
        <v>5383.5</v>
      </c>
      <c r="AX419" s="399"/>
      <c r="AY419" s="399"/>
      <c r="AZ419" s="400"/>
      <c r="BA419" s="400"/>
      <c r="BB419" s="400"/>
      <c r="BC419" s="400"/>
      <c r="BD419" s="400"/>
      <c r="BE419" s="400"/>
      <c r="BF419" s="400"/>
      <c r="BG419" s="400"/>
      <c r="BH419" s="400"/>
      <c r="BI419" s="400"/>
      <c r="BJ419" s="400"/>
      <c r="BK419" s="400"/>
      <c r="BL419" s="400"/>
      <c r="BM419" s="400"/>
      <c r="BN419" s="400"/>
      <c r="BO419" s="400"/>
      <c r="BP419" s="400"/>
      <c r="BQ419" s="400"/>
      <c r="BR419" s="258"/>
      <c r="BS419" s="258"/>
      <c r="BT419" s="258"/>
      <c r="BU419" s="258"/>
      <c r="BV419" s="258"/>
      <c r="BW419" s="258"/>
      <c r="BX419" s="258"/>
      <c r="BY419" s="258"/>
      <c r="BZ419" s="258"/>
      <c r="CA419" s="258"/>
      <c r="CB419" s="258"/>
      <c r="CC419" s="258"/>
      <c r="CD419" s="258"/>
      <c r="CE419" s="258"/>
      <c r="CF419" s="258"/>
      <c r="CG419" s="258">
        <v>2000</v>
      </c>
      <c r="CH419" s="258">
        <v>2300</v>
      </c>
      <c r="CI419" s="258">
        <v>9200</v>
      </c>
      <c r="CJ419" s="258">
        <v>3300</v>
      </c>
      <c r="CK419" s="283">
        <f t="shared" si="56"/>
        <v>5100</v>
      </c>
      <c r="CL419" s="398"/>
      <c r="CM419" s="371">
        <f>Summary!D12</f>
        <v>489885.37</v>
      </c>
      <c r="CN419" s="258">
        <f t="shared" si="61"/>
        <v>0</v>
      </c>
    </row>
    <row r="420" ht="15.6" spans="1:92">
      <c r="A420" s="258" t="s">
        <v>145</v>
      </c>
      <c r="B420" s="258" t="s">
        <v>694</v>
      </c>
      <c r="C420" s="258" t="s">
        <v>230</v>
      </c>
      <c r="D420" s="258" t="s">
        <v>3817</v>
      </c>
      <c r="E420" s="258" t="s">
        <v>361</v>
      </c>
      <c r="F420" s="260" t="s">
        <v>49</v>
      </c>
      <c r="G420" s="260"/>
      <c r="H420" s="283">
        <f t="shared" si="60"/>
        <v>26018.5066666667</v>
      </c>
      <c r="I420" s="401" t="s">
        <v>3813</v>
      </c>
      <c r="J420" s="258"/>
      <c r="K420" s="258"/>
      <c r="L420" s="258"/>
      <c r="M420" s="258"/>
      <c r="N420" s="258"/>
      <c r="O420" s="258"/>
      <c r="P420" s="258"/>
      <c r="Q420" s="258"/>
      <c r="R420" s="258"/>
      <c r="S420" s="258"/>
      <c r="T420" s="258"/>
      <c r="U420" s="258"/>
      <c r="V420" s="258"/>
      <c r="W420" s="258"/>
      <c r="X420" s="258"/>
      <c r="Y420" s="258"/>
      <c r="Z420" s="258"/>
      <c r="AA420" s="258"/>
      <c r="AB420" s="258"/>
      <c r="AC420" s="258"/>
      <c r="AD420" s="258"/>
      <c r="AE420" s="258"/>
      <c r="AF420" s="258"/>
      <c r="AG420" s="258"/>
      <c r="AH420" s="258"/>
      <c r="AI420" s="258"/>
      <c r="AJ420" s="258"/>
      <c r="AK420" s="258"/>
      <c r="AL420" s="258"/>
      <c r="AM420" s="283"/>
      <c r="AN420" s="283"/>
      <c r="AO420" s="283"/>
      <c r="AP420" s="258"/>
      <c r="AQ420" s="258"/>
      <c r="AR420" s="283"/>
      <c r="AS420" s="283" t="s">
        <v>3818</v>
      </c>
      <c r="AT420" s="283" t="s">
        <v>3819</v>
      </c>
      <c r="AU420" s="283" t="s">
        <v>3820</v>
      </c>
      <c r="AV420" s="283" t="s">
        <v>3821</v>
      </c>
      <c r="AW420" s="283">
        <f t="shared" si="55"/>
        <v>34362.1666666667</v>
      </c>
      <c r="AX420" s="399"/>
      <c r="AY420" s="399"/>
      <c r="AZ420" s="400"/>
      <c r="BA420" s="400"/>
      <c r="BB420" s="400"/>
      <c r="BC420" s="400"/>
      <c r="BD420" s="400"/>
      <c r="BE420" s="400"/>
      <c r="BF420" s="400"/>
      <c r="BG420" s="400"/>
      <c r="BH420" s="400"/>
      <c r="BI420" s="400"/>
      <c r="BJ420" s="400"/>
      <c r="BK420" s="400"/>
      <c r="BL420" s="400"/>
      <c r="BM420" s="400"/>
      <c r="BN420" s="400"/>
      <c r="BO420" s="400"/>
      <c r="BP420" s="400"/>
      <c r="BQ420" s="400"/>
      <c r="BR420" s="258"/>
      <c r="BS420" s="258"/>
      <c r="BT420" s="258"/>
      <c r="BU420" s="258"/>
      <c r="BV420" s="258"/>
      <c r="BW420" s="258"/>
      <c r="BX420" s="258"/>
      <c r="BY420" s="258"/>
      <c r="BZ420" s="258"/>
      <c r="CA420" s="258"/>
      <c r="CB420" s="258"/>
      <c r="CC420" s="258"/>
      <c r="CD420" s="258"/>
      <c r="CE420" s="258"/>
      <c r="CF420" s="258"/>
      <c r="CG420" s="258">
        <v>37500</v>
      </c>
      <c r="CH420" s="258">
        <v>17300</v>
      </c>
      <c r="CI420" s="258">
        <v>38074.54</v>
      </c>
      <c r="CJ420" s="258">
        <v>4200</v>
      </c>
      <c r="CK420" s="283">
        <f t="shared" si="56"/>
        <v>17674.8466666667</v>
      </c>
      <c r="CL420" s="398"/>
      <c r="CM420" s="371">
        <f>Summary!D4</f>
        <v>1816871.23333333</v>
      </c>
      <c r="CN420" s="258">
        <f t="shared" si="61"/>
        <v>0</v>
      </c>
    </row>
    <row r="421" ht="15.6" spans="1:92">
      <c r="A421" s="258" t="s">
        <v>177</v>
      </c>
      <c r="B421" s="258" t="s">
        <v>694</v>
      </c>
      <c r="C421" s="258" t="s">
        <v>243</v>
      </c>
      <c r="D421" s="258" t="s">
        <v>3822</v>
      </c>
      <c r="E421" s="258" t="s">
        <v>441</v>
      </c>
      <c r="F421" s="260" t="s">
        <v>49</v>
      </c>
      <c r="G421" s="260"/>
      <c r="H421" s="283">
        <f t="shared" si="60"/>
        <v>3961.25</v>
      </c>
      <c r="I421" s="401" t="s">
        <v>3813</v>
      </c>
      <c r="J421" s="258"/>
      <c r="K421" s="258"/>
      <c r="L421" s="258"/>
      <c r="M421" s="258"/>
      <c r="N421" s="258"/>
      <c r="O421" s="258"/>
      <c r="P421" s="258"/>
      <c r="Q421" s="258"/>
      <c r="R421" s="258"/>
      <c r="S421" s="258"/>
      <c r="T421" s="258"/>
      <c r="U421" s="258"/>
      <c r="V421" s="258"/>
      <c r="W421" s="258"/>
      <c r="X421" s="258"/>
      <c r="Y421" s="258"/>
      <c r="Z421" s="258"/>
      <c r="AA421" s="258"/>
      <c r="AB421" s="258"/>
      <c r="AC421" s="258"/>
      <c r="AD421" s="258"/>
      <c r="AE421" s="258"/>
      <c r="AF421" s="258"/>
      <c r="AG421" s="258"/>
      <c r="AH421" s="258"/>
      <c r="AI421" s="258"/>
      <c r="AJ421" s="258"/>
      <c r="AK421" s="258"/>
      <c r="AL421" s="258"/>
      <c r="AM421" s="283"/>
      <c r="AN421" s="283"/>
      <c r="AO421" s="283"/>
      <c r="AP421" s="258"/>
      <c r="AQ421" s="258"/>
      <c r="AR421" s="283"/>
      <c r="AS421" s="283" t="s">
        <v>796</v>
      </c>
      <c r="AT421" s="283" t="s">
        <v>3823</v>
      </c>
      <c r="AU421" s="283" t="s">
        <v>3824</v>
      </c>
      <c r="AV421" s="283">
        <v>5000</v>
      </c>
      <c r="AW421" s="283">
        <f t="shared" si="55"/>
        <v>5272.5</v>
      </c>
      <c r="AX421" s="399"/>
      <c r="AY421" s="399"/>
      <c r="AZ421" s="400"/>
      <c r="BA421" s="400"/>
      <c r="BB421" s="400"/>
      <c r="BC421" s="400"/>
      <c r="BD421" s="400"/>
      <c r="BE421" s="400"/>
      <c r="BF421" s="400"/>
      <c r="BG421" s="400"/>
      <c r="BH421" s="400"/>
      <c r="BI421" s="400"/>
      <c r="BJ421" s="400"/>
      <c r="BK421" s="400"/>
      <c r="BL421" s="400"/>
      <c r="BM421" s="400"/>
      <c r="BN421" s="400"/>
      <c r="BO421" s="400"/>
      <c r="BP421" s="400"/>
      <c r="BQ421" s="400"/>
      <c r="BR421" s="258"/>
      <c r="BS421" s="258"/>
      <c r="BT421" s="258"/>
      <c r="BU421" s="258"/>
      <c r="BV421" s="258"/>
      <c r="BW421" s="258"/>
      <c r="BX421" s="258"/>
      <c r="BY421" s="258"/>
      <c r="BZ421" s="258"/>
      <c r="CA421" s="258"/>
      <c r="CB421" s="258"/>
      <c r="CC421" s="258"/>
      <c r="CD421" s="258"/>
      <c r="CE421" s="258"/>
      <c r="CF421" s="258"/>
      <c r="CG421" s="258">
        <v>0</v>
      </c>
      <c r="CH421" s="258">
        <v>2100</v>
      </c>
      <c r="CI421" s="258">
        <v>6900</v>
      </c>
      <c r="CJ421" s="258">
        <v>0</v>
      </c>
      <c r="CK421" s="283">
        <f t="shared" si="56"/>
        <v>2650</v>
      </c>
      <c r="CL421" s="398"/>
      <c r="CM421" s="371">
        <f>Summary!D14</f>
        <v>157127.612416667</v>
      </c>
      <c r="CN421" s="258">
        <f t="shared" si="61"/>
        <v>0</v>
      </c>
    </row>
    <row r="422" ht="15.6" spans="1:92">
      <c r="A422" s="258" t="s">
        <v>159</v>
      </c>
      <c r="B422" s="258" t="s">
        <v>694</v>
      </c>
      <c r="C422" s="258" t="s">
        <v>243</v>
      </c>
      <c r="D422" s="258" t="s">
        <v>3825</v>
      </c>
      <c r="E422" s="258" t="s">
        <v>441</v>
      </c>
      <c r="F422" s="260" t="s">
        <v>49</v>
      </c>
      <c r="G422" s="260"/>
      <c r="H422" s="283">
        <f t="shared" ref="H422:H448" si="62">(AW422+CK422)/2</f>
        <v>5734.91666666665</v>
      </c>
      <c r="I422" s="401" t="s">
        <v>3813</v>
      </c>
      <c r="J422" s="258"/>
      <c r="K422" s="258"/>
      <c r="L422" s="258"/>
      <c r="M422" s="258"/>
      <c r="N422" s="258"/>
      <c r="O422" s="258"/>
      <c r="P422" s="258"/>
      <c r="Q422" s="258"/>
      <c r="R422" s="258"/>
      <c r="S422" s="258"/>
      <c r="T422" s="258"/>
      <c r="U422" s="258"/>
      <c r="V422" s="258"/>
      <c r="W422" s="258"/>
      <c r="X422" s="258"/>
      <c r="Y422" s="258"/>
      <c r="Z422" s="258"/>
      <c r="AA422" s="258"/>
      <c r="AB422" s="258"/>
      <c r="AC422" s="258"/>
      <c r="AD422" s="258"/>
      <c r="AE422" s="258"/>
      <c r="AF422" s="258"/>
      <c r="AG422" s="258"/>
      <c r="AH422" s="258"/>
      <c r="AI422" s="258"/>
      <c r="AJ422" s="258"/>
      <c r="AK422" s="258"/>
      <c r="AL422" s="258"/>
      <c r="AM422" s="283"/>
      <c r="AN422" s="283"/>
      <c r="AO422" s="283"/>
      <c r="AP422" s="258"/>
      <c r="AQ422" s="258"/>
      <c r="AR422" s="283"/>
      <c r="AS422" s="283" t="s">
        <v>3826</v>
      </c>
      <c r="AT422" s="283" t="s">
        <v>3827</v>
      </c>
      <c r="AU422" s="283" t="s">
        <v>3828</v>
      </c>
      <c r="AV422" s="283" t="s">
        <v>3829</v>
      </c>
      <c r="AW422" s="283">
        <f t="shared" si="55"/>
        <v>10421.3333333333</v>
      </c>
      <c r="AX422" s="399"/>
      <c r="AY422" s="399"/>
      <c r="AZ422" s="400"/>
      <c r="BA422" s="400"/>
      <c r="BB422" s="400"/>
      <c r="BC422" s="400"/>
      <c r="BD422" s="400"/>
      <c r="BE422" s="400"/>
      <c r="BF422" s="400"/>
      <c r="BG422" s="400"/>
      <c r="BH422" s="400"/>
      <c r="BI422" s="400"/>
      <c r="BJ422" s="400"/>
      <c r="BK422" s="400"/>
      <c r="BL422" s="400"/>
      <c r="BM422" s="400"/>
      <c r="BN422" s="400"/>
      <c r="BO422" s="400"/>
      <c r="BP422" s="400"/>
      <c r="BQ422" s="400"/>
      <c r="BR422" s="258"/>
      <c r="BS422" s="258"/>
      <c r="BT422" s="258"/>
      <c r="BU422" s="258"/>
      <c r="BV422" s="258"/>
      <c r="BW422" s="258"/>
      <c r="BX422" s="258"/>
      <c r="BY422" s="258"/>
      <c r="BZ422" s="258"/>
      <c r="CA422" s="258"/>
      <c r="CB422" s="258"/>
      <c r="CC422" s="258"/>
      <c r="CD422" s="258"/>
      <c r="CE422" s="258"/>
      <c r="CF422" s="258"/>
      <c r="CG422" s="258">
        <v>0</v>
      </c>
      <c r="CH422" s="258">
        <v>3100</v>
      </c>
      <c r="CI422" s="258">
        <v>484</v>
      </c>
      <c r="CJ422" s="258">
        <v>741</v>
      </c>
      <c r="CK422" s="283">
        <f t="shared" si="56"/>
        <v>1048.5</v>
      </c>
      <c r="CL422" s="398"/>
      <c r="CM422" s="371">
        <f>Summary!D8</f>
        <v>724303.229333334</v>
      </c>
      <c r="CN422" s="258">
        <f t="shared" si="61"/>
        <v>0</v>
      </c>
    </row>
    <row r="423" ht="15.6" spans="1:92">
      <c r="A423" s="258" t="s">
        <v>159</v>
      </c>
      <c r="B423" s="258" t="s">
        <v>694</v>
      </c>
      <c r="C423" s="258" t="s">
        <v>243</v>
      </c>
      <c r="D423" s="258" t="s">
        <v>3830</v>
      </c>
      <c r="E423" s="258" t="s">
        <v>441</v>
      </c>
      <c r="F423" s="260" t="s">
        <v>60</v>
      </c>
      <c r="G423" s="260"/>
      <c r="H423" s="283">
        <f t="shared" si="62"/>
        <v>6908.33333333335</v>
      </c>
      <c r="I423" s="401" t="s">
        <v>3813</v>
      </c>
      <c r="J423" s="258"/>
      <c r="K423" s="258"/>
      <c r="L423" s="258"/>
      <c r="M423" s="258"/>
      <c r="N423" s="258"/>
      <c r="O423" s="258"/>
      <c r="P423" s="258"/>
      <c r="Q423" s="258"/>
      <c r="R423" s="258"/>
      <c r="S423" s="258"/>
      <c r="T423" s="258"/>
      <c r="U423" s="258"/>
      <c r="V423" s="258"/>
      <c r="W423" s="258"/>
      <c r="X423" s="258"/>
      <c r="Y423" s="258"/>
      <c r="Z423" s="258"/>
      <c r="AA423" s="258"/>
      <c r="AB423" s="258"/>
      <c r="AC423" s="258"/>
      <c r="AD423" s="258"/>
      <c r="AE423" s="258"/>
      <c r="AF423" s="258"/>
      <c r="AG423" s="258"/>
      <c r="AH423" s="258"/>
      <c r="AI423" s="258"/>
      <c r="AJ423" s="258"/>
      <c r="AK423" s="258"/>
      <c r="AL423" s="258"/>
      <c r="AM423" s="283"/>
      <c r="AN423" s="283"/>
      <c r="AO423" s="283"/>
      <c r="AP423" s="258"/>
      <c r="AQ423" s="258"/>
      <c r="AR423" s="283"/>
      <c r="AS423" s="283" t="s">
        <v>3831</v>
      </c>
      <c r="AT423" s="283" t="s">
        <v>3832</v>
      </c>
      <c r="AU423" s="283" t="s">
        <v>3833</v>
      </c>
      <c r="AV423" s="283" t="s">
        <v>3834</v>
      </c>
      <c r="AW423" s="283">
        <f t="shared" si="55"/>
        <v>10028.6666666667</v>
      </c>
      <c r="AX423" s="399"/>
      <c r="AY423" s="399"/>
      <c r="AZ423" s="400"/>
      <c r="BA423" s="400"/>
      <c r="BB423" s="400"/>
      <c r="BC423" s="400"/>
      <c r="BD423" s="400"/>
      <c r="BE423" s="400"/>
      <c r="BF423" s="400"/>
      <c r="BG423" s="400"/>
      <c r="BH423" s="400"/>
      <c r="BI423" s="400"/>
      <c r="BJ423" s="400"/>
      <c r="BK423" s="400"/>
      <c r="BL423" s="400"/>
      <c r="BM423" s="400"/>
      <c r="BN423" s="400"/>
      <c r="BO423" s="400"/>
      <c r="BP423" s="400"/>
      <c r="BQ423" s="400"/>
      <c r="BR423" s="258"/>
      <c r="BS423" s="258"/>
      <c r="BT423" s="258"/>
      <c r="BU423" s="258"/>
      <c r="BV423" s="258"/>
      <c r="BW423" s="258"/>
      <c r="BX423" s="258"/>
      <c r="BY423" s="258"/>
      <c r="BZ423" s="258"/>
      <c r="CA423" s="258"/>
      <c r="CB423" s="258"/>
      <c r="CC423" s="258"/>
      <c r="CD423" s="258"/>
      <c r="CE423" s="258"/>
      <c r="CF423" s="258"/>
      <c r="CG423" s="258">
        <v>0</v>
      </c>
      <c r="CH423" s="258">
        <v>13700</v>
      </c>
      <c r="CI423" s="258">
        <v>3200</v>
      </c>
      <c r="CJ423" s="258">
        <v>876</v>
      </c>
      <c r="CK423" s="283">
        <f t="shared" si="56"/>
        <v>3788</v>
      </c>
      <c r="CL423" s="398"/>
      <c r="CM423" s="371">
        <f>Summary!D8</f>
        <v>724303.229333334</v>
      </c>
      <c r="CN423" s="258">
        <f t="shared" si="61"/>
        <v>0</v>
      </c>
    </row>
    <row r="424" ht="15.6" spans="1:92">
      <c r="A424" s="258" t="s">
        <v>159</v>
      </c>
      <c r="B424" s="258" t="s">
        <v>694</v>
      </c>
      <c r="C424" s="258" t="s">
        <v>243</v>
      </c>
      <c r="D424" s="258" t="s">
        <v>3835</v>
      </c>
      <c r="E424" s="258" t="s">
        <v>441</v>
      </c>
      <c r="F424" s="260" t="s">
        <v>421</v>
      </c>
      <c r="G424" s="260"/>
      <c r="H424" s="283">
        <f t="shared" si="62"/>
        <v>2888</v>
      </c>
      <c r="I424" s="401" t="s">
        <v>3813</v>
      </c>
      <c r="J424" s="258"/>
      <c r="K424" s="258"/>
      <c r="L424" s="258"/>
      <c r="M424" s="258"/>
      <c r="N424" s="258"/>
      <c r="O424" s="258"/>
      <c r="P424" s="258"/>
      <c r="Q424" s="258"/>
      <c r="R424" s="258"/>
      <c r="S424" s="258"/>
      <c r="T424" s="258"/>
      <c r="U424" s="258"/>
      <c r="V424" s="258"/>
      <c r="W424" s="258"/>
      <c r="X424" s="258"/>
      <c r="Y424" s="258"/>
      <c r="Z424" s="258"/>
      <c r="AA424" s="258"/>
      <c r="AB424" s="258"/>
      <c r="AC424" s="258"/>
      <c r="AD424" s="258"/>
      <c r="AE424" s="258"/>
      <c r="AF424" s="258"/>
      <c r="AG424" s="258"/>
      <c r="AH424" s="258"/>
      <c r="AI424" s="258"/>
      <c r="AJ424" s="258"/>
      <c r="AK424" s="258"/>
      <c r="AL424" s="258"/>
      <c r="AM424" s="283"/>
      <c r="AN424" s="283"/>
      <c r="AO424" s="283"/>
      <c r="AP424" s="258"/>
      <c r="AQ424" s="258"/>
      <c r="AR424" s="283"/>
      <c r="AS424" s="283" t="s">
        <v>3836</v>
      </c>
      <c r="AT424" s="283" t="s">
        <v>3837</v>
      </c>
      <c r="AU424" s="283" t="s">
        <v>3838</v>
      </c>
      <c r="AV424" s="283" t="s">
        <v>3839</v>
      </c>
      <c r="AW424" s="283">
        <f t="shared" si="55"/>
        <v>4276</v>
      </c>
      <c r="AX424" s="399"/>
      <c r="AY424" s="399"/>
      <c r="AZ424" s="400"/>
      <c r="BA424" s="400"/>
      <c r="BB424" s="400"/>
      <c r="BC424" s="400"/>
      <c r="BD424" s="400"/>
      <c r="BE424" s="400"/>
      <c r="BF424" s="400"/>
      <c r="BG424" s="400"/>
      <c r="BH424" s="400"/>
      <c r="BI424" s="400"/>
      <c r="BJ424" s="400"/>
      <c r="BK424" s="400"/>
      <c r="BL424" s="400"/>
      <c r="BM424" s="400"/>
      <c r="BN424" s="400"/>
      <c r="BO424" s="400"/>
      <c r="BP424" s="400"/>
      <c r="BQ424" s="400"/>
      <c r="BR424" s="258"/>
      <c r="BS424" s="258"/>
      <c r="BT424" s="258"/>
      <c r="BU424" s="258"/>
      <c r="BV424" s="258"/>
      <c r="BW424" s="258"/>
      <c r="BX424" s="258"/>
      <c r="BY424" s="258"/>
      <c r="BZ424" s="258"/>
      <c r="CA424" s="258"/>
      <c r="CB424" s="258"/>
      <c r="CC424" s="258"/>
      <c r="CD424" s="258"/>
      <c r="CE424" s="258"/>
      <c r="CF424" s="258"/>
      <c r="CG424" s="258">
        <v>864</v>
      </c>
      <c r="CH424" s="258">
        <v>2600</v>
      </c>
      <c r="CI424" s="258">
        <v>3200</v>
      </c>
      <c r="CJ424" s="258">
        <v>0</v>
      </c>
      <c r="CK424" s="283">
        <f t="shared" si="56"/>
        <v>1500</v>
      </c>
      <c r="CL424" s="398"/>
      <c r="CM424" s="371">
        <f>Summary!D8</f>
        <v>724303.229333334</v>
      </c>
      <c r="CN424" s="258">
        <f t="shared" si="61"/>
        <v>0</v>
      </c>
    </row>
    <row r="425" ht="15.6" spans="1:92">
      <c r="A425" s="258" t="s">
        <v>159</v>
      </c>
      <c r="B425" s="258" t="s">
        <v>694</v>
      </c>
      <c r="C425" s="258" t="s">
        <v>243</v>
      </c>
      <c r="D425" s="258" t="s">
        <v>3840</v>
      </c>
      <c r="E425" s="258" t="s">
        <v>441</v>
      </c>
      <c r="F425" s="260" t="s">
        <v>2513</v>
      </c>
      <c r="G425" s="260"/>
      <c r="H425" s="283">
        <f t="shared" si="62"/>
        <v>495.833333333333</v>
      </c>
      <c r="I425" s="401" t="s">
        <v>3813</v>
      </c>
      <c r="J425" s="258"/>
      <c r="K425" s="258"/>
      <c r="L425" s="258"/>
      <c r="M425" s="258"/>
      <c r="N425" s="258"/>
      <c r="O425" s="258"/>
      <c r="P425" s="258"/>
      <c r="Q425" s="258"/>
      <c r="R425" s="258"/>
      <c r="S425" s="258"/>
      <c r="T425" s="258"/>
      <c r="U425" s="258"/>
      <c r="V425" s="258"/>
      <c r="W425" s="258"/>
      <c r="X425" s="258"/>
      <c r="Y425" s="258"/>
      <c r="Z425" s="258"/>
      <c r="AA425" s="258"/>
      <c r="AB425" s="258"/>
      <c r="AC425" s="258"/>
      <c r="AD425" s="258"/>
      <c r="AE425" s="258"/>
      <c r="AF425" s="258"/>
      <c r="AG425" s="258"/>
      <c r="AH425" s="258"/>
      <c r="AI425" s="258"/>
      <c r="AJ425" s="258"/>
      <c r="AK425" s="258"/>
      <c r="AL425" s="258"/>
      <c r="AM425" s="283"/>
      <c r="AN425" s="283"/>
      <c r="AO425" s="283"/>
      <c r="AP425" s="258"/>
      <c r="AQ425" s="258"/>
      <c r="AR425" s="283"/>
      <c r="AS425" s="283" t="s">
        <v>3841</v>
      </c>
      <c r="AT425" s="283" t="s">
        <v>3842</v>
      </c>
      <c r="AU425" s="283" t="s">
        <v>3843</v>
      </c>
      <c r="AV425" s="283" t="s">
        <v>796</v>
      </c>
      <c r="AW425" s="283">
        <f t="shared" si="55"/>
        <v>906.166666666667</v>
      </c>
      <c r="AX425" s="399"/>
      <c r="AY425" s="399"/>
      <c r="AZ425" s="400"/>
      <c r="BA425" s="400"/>
      <c r="BB425" s="400"/>
      <c r="BC425" s="400"/>
      <c r="BD425" s="400"/>
      <c r="BE425" s="400"/>
      <c r="BF425" s="400"/>
      <c r="BG425" s="400"/>
      <c r="BH425" s="400"/>
      <c r="BI425" s="400"/>
      <c r="BJ425" s="400"/>
      <c r="BK425" s="400"/>
      <c r="BL425" s="400"/>
      <c r="BM425" s="400"/>
      <c r="BN425" s="400"/>
      <c r="BO425" s="400"/>
      <c r="BP425" s="400"/>
      <c r="BQ425" s="400"/>
      <c r="BR425" s="258"/>
      <c r="BS425" s="258"/>
      <c r="BT425" s="258"/>
      <c r="BU425" s="258"/>
      <c r="BV425" s="258"/>
      <c r="BW425" s="258"/>
      <c r="BX425" s="258"/>
      <c r="BY425" s="258"/>
      <c r="BZ425" s="258"/>
      <c r="CA425" s="258"/>
      <c r="CB425" s="258"/>
      <c r="CC425" s="258"/>
      <c r="CD425" s="258"/>
      <c r="CE425" s="258"/>
      <c r="CF425" s="258"/>
      <c r="CG425" s="258">
        <v>39800</v>
      </c>
      <c r="CH425" s="258">
        <v>513</v>
      </c>
      <c r="CI425" s="258">
        <v>0</v>
      </c>
      <c r="CJ425" s="258">
        <v>0</v>
      </c>
      <c r="CK425" s="283">
        <f t="shared" si="56"/>
        <v>85.5</v>
      </c>
      <c r="CL425" s="398"/>
      <c r="CM425" s="371">
        <f>Summary!D8</f>
        <v>724303.229333334</v>
      </c>
      <c r="CN425" s="258">
        <f t="shared" si="61"/>
        <v>0</v>
      </c>
    </row>
    <row r="426" ht="15.6" spans="1:92">
      <c r="A426" s="258" t="s">
        <v>165</v>
      </c>
      <c r="B426" s="258" t="s">
        <v>694</v>
      </c>
      <c r="C426" s="258" t="s">
        <v>230</v>
      </c>
      <c r="D426" s="258" t="s">
        <v>3844</v>
      </c>
      <c r="E426" s="258" t="s">
        <v>361</v>
      </c>
      <c r="F426" s="260" t="s">
        <v>57</v>
      </c>
      <c r="G426" s="260"/>
      <c r="H426" s="283">
        <f t="shared" si="62"/>
        <v>10081.0833333333</v>
      </c>
      <c r="I426" s="401" t="s">
        <v>3813</v>
      </c>
      <c r="J426" s="258"/>
      <c r="K426" s="258"/>
      <c r="L426" s="258"/>
      <c r="M426" s="258"/>
      <c r="N426" s="258"/>
      <c r="O426" s="258"/>
      <c r="P426" s="258"/>
      <c r="Q426" s="258"/>
      <c r="R426" s="258"/>
      <c r="S426" s="258"/>
      <c r="T426" s="258"/>
      <c r="U426" s="258"/>
      <c r="V426" s="258"/>
      <c r="W426" s="258"/>
      <c r="X426" s="258"/>
      <c r="Y426" s="258"/>
      <c r="Z426" s="258"/>
      <c r="AA426" s="258"/>
      <c r="AB426" s="258"/>
      <c r="AC426" s="258"/>
      <c r="AD426" s="258"/>
      <c r="AE426" s="258"/>
      <c r="AF426" s="258"/>
      <c r="AG426" s="258"/>
      <c r="AH426" s="258"/>
      <c r="AI426" s="258"/>
      <c r="AJ426" s="258"/>
      <c r="AK426" s="258"/>
      <c r="AL426" s="258"/>
      <c r="AM426" s="283"/>
      <c r="AN426" s="283"/>
      <c r="AO426" s="283"/>
      <c r="AP426" s="258"/>
      <c r="AQ426" s="258"/>
      <c r="AR426" s="283"/>
      <c r="AS426" s="283" t="s">
        <v>3845</v>
      </c>
      <c r="AT426" s="283" t="s">
        <v>3410</v>
      </c>
      <c r="AU426" s="283" t="s">
        <v>3846</v>
      </c>
      <c r="AV426" s="283" t="s">
        <v>3847</v>
      </c>
      <c r="AW426" s="283">
        <f t="shared" si="55"/>
        <v>18095.5</v>
      </c>
      <c r="AX426" s="399"/>
      <c r="AY426" s="399"/>
      <c r="AZ426" s="400"/>
      <c r="BA426" s="400"/>
      <c r="BB426" s="400"/>
      <c r="BC426" s="400"/>
      <c r="BD426" s="400"/>
      <c r="BE426" s="400"/>
      <c r="BF426" s="400"/>
      <c r="BG426" s="400"/>
      <c r="BH426" s="400"/>
      <c r="BI426" s="400"/>
      <c r="BJ426" s="400"/>
      <c r="BK426" s="400"/>
      <c r="BL426" s="400"/>
      <c r="BM426" s="400"/>
      <c r="BN426" s="400"/>
      <c r="BO426" s="400"/>
      <c r="BP426" s="400"/>
      <c r="BQ426" s="400"/>
      <c r="BR426" s="258"/>
      <c r="BS426" s="258"/>
      <c r="BT426" s="258"/>
      <c r="BU426" s="258"/>
      <c r="BV426" s="258"/>
      <c r="BW426" s="258"/>
      <c r="BX426" s="258"/>
      <c r="BY426" s="258"/>
      <c r="BZ426" s="258"/>
      <c r="CA426" s="258"/>
      <c r="CB426" s="258"/>
      <c r="CC426" s="258"/>
      <c r="CD426" s="258"/>
      <c r="CE426" s="258"/>
      <c r="CF426" s="258"/>
      <c r="CG426" s="258">
        <v>0</v>
      </c>
      <c r="CH426" s="258">
        <v>1000</v>
      </c>
      <c r="CI426" s="258">
        <v>0</v>
      </c>
      <c r="CJ426" s="258">
        <v>3800</v>
      </c>
      <c r="CK426" s="283">
        <f t="shared" si="56"/>
        <v>2066.66666666667</v>
      </c>
      <c r="CL426" s="398"/>
      <c r="CM426" s="371">
        <f>Summary!D10</f>
        <v>496999.618566666</v>
      </c>
      <c r="CN426" s="258">
        <f t="shared" si="61"/>
        <v>0</v>
      </c>
    </row>
    <row r="427" ht="15.6" spans="1:92">
      <c r="A427" s="258" t="s">
        <v>165</v>
      </c>
      <c r="B427" s="258" t="s">
        <v>694</v>
      </c>
      <c r="C427" s="258" t="s">
        <v>230</v>
      </c>
      <c r="D427" s="258" t="s">
        <v>3848</v>
      </c>
      <c r="E427" s="258" t="s">
        <v>361</v>
      </c>
      <c r="F427" s="260" t="s">
        <v>250</v>
      </c>
      <c r="G427" s="260"/>
      <c r="H427" s="283">
        <f t="shared" si="62"/>
        <v>11443.5833333333</v>
      </c>
      <c r="I427" s="401" t="s">
        <v>3813</v>
      </c>
      <c r="J427" s="258"/>
      <c r="K427" s="258"/>
      <c r="L427" s="258"/>
      <c r="M427" s="258"/>
      <c r="N427" s="258"/>
      <c r="O427" s="258"/>
      <c r="P427" s="258"/>
      <c r="Q427" s="258"/>
      <c r="R427" s="258"/>
      <c r="S427" s="258"/>
      <c r="T427" s="258"/>
      <c r="U427" s="258"/>
      <c r="V427" s="258"/>
      <c r="W427" s="258"/>
      <c r="X427" s="258"/>
      <c r="Y427" s="258"/>
      <c r="Z427" s="258"/>
      <c r="AA427" s="258"/>
      <c r="AB427" s="258"/>
      <c r="AC427" s="258"/>
      <c r="AD427" s="258"/>
      <c r="AE427" s="258"/>
      <c r="AF427" s="258"/>
      <c r="AG427" s="258"/>
      <c r="AH427" s="258"/>
      <c r="AI427" s="258"/>
      <c r="AJ427" s="258"/>
      <c r="AK427" s="258"/>
      <c r="AL427" s="258"/>
      <c r="AM427" s="283"/>
      <c r="AN427" s="283"/>
      <c r="AO427" s="283"/>
      <c r="AP427" s="258"/>
      <c r="AQ427" s="258"/>
      <c r="AR427" s="283"/>
      <c r="AS427" s="283" t="s">
        <v>2552</v>
      </c>
      <c r="AT427" s="283" t="s">
        <v>3849</v>
      </c>
      <c r="AU427" s="283" t="s">
        <v>3850</v>
      </c>
      <c r="AV427" s="283" t="s">
        <v>3851</v>
      </c>
      <c r="AW427" s="283">
        <f t="shared" si="55"/>
        <v>17353.8333333333</v>
      </c>
      <c r="AX427" s="399"/>
      <c r="AY427" s="399"/>
      <c r="AZ427" s="400"/>
      <c r="BA427" s="400"/>
      <c r="BB427" s="400"/>
      <c r="BC427" s="400"/>
      <c r="BD427" s="400"/>
      <c r="BE427" s="400"/>
      <c r="BF427" s="400"/>
      <c r="BG427" s="400"/>
      <c r="BH427" s="400"/>
      <c r="BI427" s="400"/>
      <c r="BJ427" s="400"/>
      <c r="BK427" s="400"/>
      <c r="BL427" s="400"/>
      <c r="BM427" s="400"/>
      <c r="BN427" s="400"/>
      <c r="BO427" s="400"/>
      <c r="BP427" s="400"/>
      <c r="BQ427" s="400"/>
      <c r="BR427" s="258"/>
      <c r="BS427" s="258"/>
      <c r="BT427" s="258"/>
      <c r="BU427" s="258"/>
      <c r="BV427" s="258"/>
      <c r="BW427" s="258"/>
      <c r="BX427" s="258"/>
      <c r="BY427" s="258"/>
      <c r="BZ427" s="258"/>
      <c r="CA427" s="258"/>
      <c r="CB427" s="258"/>
      <c r="CC427" s="258"/>
      <c r="CD427" s="258"/>
      <c r="CE427" s="258"/>
      <c r="CF427" s="258"/>
      <c r="CG427" s="258">
        <v>20500</v>
      </c>
      <c r="CH427" s="258">
        <v>3300</v>
      </c>
      <c r="CI427" s="258">
        <v>4000</v>
      </c>
      <c r="CJ427" s="258">
        <v>7300</v>
      </c>
      <c r="CK427" s="283">
        <f t="shared" si="56"/>
        <v>5533.33333333333</v>
      </c>
      <c r="CL427" s="398"/>
      <c r="CM427" s="371">
        <f>Summary!D10</f>
        <v>496999.618566666</v>
      </c>
      <c r="CN427" s="258">
        <f t="shared" si="61"/>
        <v>0</v>
      </c>
    </row>
    <row r="428" ht="15.6" spans="1:92">
      <c r="A428" s="258" t="s">
        <v>165</v>
      </c>
      <c r="B428" s="258" t="s">
        <v>694</v>
      </c>
      <c r="C428" s="258" t="s">
        <v>243</v>
      </c>
      <c r="D428" s="258" t="s">
        <v>3852</v>
      </c>
      <c r="E428" s="258" t="s">
        <v>441</v>
      </c>
      <c r="F428" s="260" t="s">
        <v>424</v>
      </c>
      <c r="G428" s="260"/>
      <c r="H428" s="283">
        <f t="shared" si="62"/>
        <v>12416.71</v>
      </c>
      <c r="I428" s="401" t="s">
        <v>3813</v>
      </c>
      <c r="J428" s="258"/>
      <c r="K428" s="258"/>
      <c r="L428" s="258"/>
      <c r="M428" s="258"/>
      <c r="N428" s="258"/>
      <c r="O428" s="258"/>
      <c r="P428" s="258"/>
      <c r="Q428" s="258"/>
      <c r="R428" s="258"/>
      <c r="S428" s="258"/>
      <c r="T428" s="258"/>
      <c r="U428" s="258"/>
      <c r="V428" s="258"/>
      <c r="W428" s="258"/>
      <c r="X428" s="258"/>
      <c r="Y428" s="258"/>
      <c r="Z428" s="258"/>
      <c r="AA428" s="258"/>
      <c r="AB428" s="258"/>
      <c r="AC428" s="258"/>
      <c r="AD428" s="258"/>
      <c r="AE428" s="258"/>
      <c r="AF428" s="258"/>
      <c r="AG428" s="258"/>
      <c r="AH428" s="258"/>
      <c r="AI428" s="258"/>
      <c r="AJ428" s="258"/>
      <c r="AK428" s="258"/>
      <c r="AL428" s="258"/>
      <c r="AM428" s="283"/>
      <c r="AN428" s="283"/>
      <c r="AO428" s="283"/>
      <c r="AP428" s="258"/>
      <c r="AQ428" s="258"/>
      <c r="AR428" s="283"/>
      <c r="AS428" s="283" t="s">
        <v>3853</v>
      </c>
      <c r="AT428" s="283" t="s">
        <v>3854</v>
      </c>
      <c r="AU428" s="283" t="s">
        <v>3855</v>
      </c>
      <c r="AV428" s="283" t="s">
        <v>3856</v>
      </c>
      <c r="AW428" s="283">
        <f t="shared" si="55"/>
        <v>8548</v>
      </c>
      <c r="AX428" s="399"/>
      <c r="AY428" s="399"/>
      <c r="AZ428" s="400"/>
      <c r="BA428" s="400"/>
      <c r="BB428" s="400"/>
      <c r="BC428" s="400"/>
      <c r="BD428" s="400"/>
      <c r="BE428" s="400"/>
      <c r="BF428" s="400"/>
      <c r="BG428" s="400"/>
      <c r="BH428" s="400"/>
      <c r="BI428" s="400"/>
      <c r="BJ428" s="400"/>
      <c r="BK428" s="400"/>
      <c r="BL428" s="400"/>
      <c r="BM428" s="400"/>
      <c r="BN428" s="400"/>
      <c r="BO428" s="400"/>
      <c r="BP428" s="400"/>
      <c r="BQ428" s="400"/>
      <c r="BR428" s="258"/>
      <c r="BS428" s="258"/>
      <c r="BT428" s="258"/>
      <c r="BU428" s="258"/>
      <c r="BV428" s="258"/>
      <c r="BW428" s="258"/>
      <c r="BX428" s="258"/>
      <c r="BY428" s="258"/>
      <c r="BZ428" s="258"/>
      <c r="CA428" s="258"/>
      <c r="CB428" s="258"/>
      <c r="CC428" s="258"/>
      <c r="CD428" s="258"/>
      <c r="CE428" s="258"/>
      <c r="CF428" s="258"/>
      <c r="CG428" s="258">
        <v>432</v>
      </c>
      <c r="CH428" s="258">
        <v>4112.52</v>
      </c>
      <c r="CI428" s="258">
        <v>46800</v>
      </c>
      <c r="CJ428" s="258">
        <v>0</v>
      </c>
      <c r="CK428" s="283">
        <f t="shared" si="56"/>
        <v>16285.42</v>
      </c>
      <c r="CL428" s="398"/>
      <c r="CM428" s="371">
        <f>Summary!D10</f>
        <v>496999.618566666</v>
      </c>
      <c r="CN428" s="258">
        <f t="shared" si="61"/>
        <v>0</v>
      </c>
    </row>
    <row r="429" ht="15.6" spans="1:92">
      <c r="A429" s="258" t="s">
        <v>165</v>
      </c>
      <c r="B429" s="258" t="s">
        <v>694</v>
      </c>
      <c r="C429" s="258" t="s">
        <v>243</v>
      </c>
      <c r="D429" s="380" t="s">
        <v>3857</v>
      </c>
      <c r="E429" s="258" t="s">
        <v>441</v>
      </c>
      <c r="F429" s="260" t="s">
        <v>57</v>
      </c>
      <c r="G429" s="260"/>
      <c r="H429" s="283">
        <f t="shared" si="62"/>
        <v>10843.1666666667</v>
      </c>
      <c r="I429" s="401" t="s">
        <v>3813</v>
      </c>
      <c r="J429" s="258"/>
      <c r="K429" s="258"/>
      <c r="L429" s="258"/>
      <c r="M429" s="258"/>
      <c r="N429" s="258"/>
      <c r="O429" s="258"/>
      <c r="P429" s="258"/>
      <c r="Q429" s="258"/>
      <c r="R429" s="258"/>
      <c r="S429" s="258"/>
      <c r="T429" s="258"/>
      <c r="U429" s="258"/>
      <c r="V429" s="258"/>
      <c r="W429" s="258"/>
      <c r="X429" s="258"/>
      <c r="Y429" s="258"/>
      <c r="Z429" s="258"/>
      <c r="AA429" s="258"/>
      <c r="AB429" s="258"/>
      <c r="AC429" s="258"/>
      <c r="AD429" s="258"/>
      <c r="AE429" s="258"/>
      <c r="AF429" s="258"/>
      <c r="AG429" s="258"/>
      <c r="AH429" s="258"/>
      <c r="AI429" s="258"/>
      <c r="AJ429" s="258"/>
      <c r="AK429" s="258"/>
      <c r="AL429" s="258"/>
      <c r="AM429" s="283"/>
      <c r="AN429" s="283"/>
      <c r="AO429" s="283"/>
      <c r="AP429" s="258"/>
      <c r="AQ429" s="258"/>
      <c r="AR429" s="283"/>
      <c r="AS429" s="283">
        <v>1237</v>
      </c>
      <c r="AT429" s="283" t="s">
        <v>3858</v>
      </c>
      <c r="AU429" s="283" t="s">
        <v>3859</v>
      </c>
      <c r="AV429" s="283" t="s">
        <v>3564</v>
      </c>
      <c r="AW429" s="283">
        <f t="shared" si="55"/>
        <v>4234.16666666667</v>
      </c>
      <c r="AX429" s="399"/>
      <c r="AY429" s="399"/>
      <c r="AZ429" s="400"/>
      <c r="BA429" s="400"/>
      <c r="BB429" s="400"/>
      <c r="BC429" s="400"/>
      <c r="BD429" s="400"/>
      <c r="BE429" s="400"/>
      <c r="BF429" s="400"/>
      <c r="BG429" s="400"/>
      <c r="BH429" s="400"/>
      <c r="BI429" s="400"/>
      <c r="BJ429" s="400"/>
      <c r="BK429" s="400"/>
      <c r="BL429" s="400"/>
      <c r="BM429" s="400"/>
      <c r="BN429" s="400"/>
      <c r="BO429" s="400"/>
      <c r="BP429" s="400"/>
      <c r="BQ429" s="400"/>
      <c r="BR429" s="258"/>
      <c r="BS429" s="258"/>
      <c r="BT429" s="258"/>
      <c r="BU429" s="258"/>
      <c r="BV429" s="258"/>
      <c r="BW429" s="258"/>
      <c r="BX429" s="258"/>
      <c r="BY429" s="258"/>
      <c r="BZ429" s="258"/>
      <c r="CA429" s="258"/>
      <c r="CB429" s="258"/>
      <c r="CC429" s="258"/>
      <c r="CD429" s="258"/>
      <c r="CE429" s="258"/>
      <c r="CF429" s="258"/>
      <c r="CG429" s="258">
        <v>0</v>
      </c>
      <c r="CH429" s="258">
        <v>513</v>
      </c>
      <c r="CI429" s="258">
        <v>47300</v>
      </c>
      <c r="CJ429" s="258">
        <v>3200</v>
      </c>
      <c r="CK429" s="283">
        <f t="shared" si="56"/>
        <v>17452.1666666667</v>
      </c>
      <c r="CL429" s="398"/>
      <c r="CM429" s="371">
        <f>Summary!D10</f>
        <v>496999.618566666</v>
      </c>
      <c r="CN429" s="258">
        <f t="shared" si="61"/>
        <v>0</v>
      </c>
    </row>
    <row r="430" ht="15.6" spans="1:92">
      <c r="A430" s="258" t="s">
        <v>165</v>
      </c>
      <c r="B430" s="258" t="s">
        <v>694</v>
      </c>
      <c r="C430" s="258" t="s">
        <v>243</v>
      </c>
      <c r="D430" s="258" t="s">
        <v>3860</v>
      </c>
      <c r="E430" s="258" t="s">
        <v>441</v>
      </c>
      <c r="F430" s="260" t="s">
        <v>421</v>
      </c>
      <c r="G430" s="260"/>
      <c r="H430" s="283">
        <f t="shared" si="62"/>
        <v>1236.33333333334</v>
      </c>
      <c r="I430" s="401" t="s">
        <v>3813</v>
      </c>
      <c r="J430" s="258"/>
      <c r="K430" s="258"/>
      <c r="L430" s="258"/>
      <c r="M430" s="258"/>
      <c r="N430" s="258"/>
      <c r="O430" s="258"/>
      <c r="P430" s="258"/>
      <c r="Q430" s="258"/>
      <c r="R430" s="258"/>
      <c r="S430" s="258"/>
      <c r="T430" s="258"/>
      <c r="U430" s="258"/>
      <c r="V430" s="258"/>
      <c r="W430" s="258"/>
      <c r="X430" s="258"/>
      <c r="Y430" s="258"/>
      <c r="Z430" s="258"/>
      <c r="AA430" s="258"/>
      <c r="AB430" s="258"/>
      <c r="AC430" s="258"/>
      <c r="AD430" s="258"/>
      <c r="AE430" s="258"/>
      <c r="AF430" s="258"/>
      <c r="AG430" s="258"/>
      <c r="AH430" s="258"/>
      <c r="AI430" s="258"/>
      <c r="AJ430" s="258"/>
      <c r="AK430" s="258"/>
      <c r="AL430" s="258"/>
      <c r="AM430" s="283"/>
      <c r="AN430" s="283"/>
      <c r="AO430" s="283"/>
      <c r="AP430" s="258"/>
      <c r="AQ430" s="258"/>
      <c r="AR430" s="283"/>
      <c r="AS430" s="283" t="s">
        <v>3861</v>
      </c>
      <c r="AT430" s="283" t="s">
        <v>3862</v>
      </c>
      <c r="AU430" s="283" t="s">
        <v>3863</v>
      </c>
      <c r="AV430" s="283" t="s">
        <v>3864</v>
      </c>
      <c r="AW430" s="283">
        <f t="shared" si="55"/>
        <v>2175.66666666667</v>
      </c>
      <c r="AX430" s="399"/>
      <c r="AY430" s="399"/>
      <c r="AZ430" s="400"/>
      <c r="BA430" s="400"/>
      <c r="BB430" s="400"/>
      <c r="BC430" s="400"/>
      <c r="BD430" s="400"/>
      <c r="BE430" s="400"/>
      <c r="BF430" s="400"/>
      <c r="BG430" s="400"/>
      <c r="BH430" s="400"/>
      <c r="BI430" s="400"/>
      <c r="BJ430" s="400"/>
      <c r="BK430" s="400"/>
      <c r="BL430" s="400"/>
      <c r="BM430" s="400"/>
      <c r="BN430" s="400"/>
      <c r="BO430" s="400"/>
      <c r="BP430" s="400"/>
      <c r="BQ430" s="400"/>
      <c r="BR430" s="258"/>
      <c r="BS430" s="258"/>
      <c r="BT430" s="258"/>
      <c r="BU430" s="258"/>
      <c r="BV430" s="258"/>
      <c r="BW430" s="258"/>
      <c r="BX430" s="258"/>
      <c r="BY430" s="258"/>
      <c r="BZ430" s="258"/>
      <c r="CA430" s="258"/>
      <c r="CB430" s="258"/>
      <c r="CC430" s="258"/>
      <c r="CD430" s="258"/>
      <c r="CE430" s="258"/>
      <c r="CF430" s="258"/>
      <c r="CG430" s="258">
        <v>3500</v>
      </c>
      <c r="CH430" s="258">
        <v>1200</v>
      </c>
      <c r="CI430" s="258">
        <v>0</v>
      </c>
      <c r="CJ430" s="258">
        <v>194</v>
      </c>
      <c r="CK430" s="283">
        <f t="shared" si="56"/>
        <v>297</v>
      </c>
      <c r="CL430" s="398"/>
      <c r="CM430" s="371">
        <f>Summary!D10</f>
        <v>496999.618566666</v>
      </c>
      <c r="CN430" s="258">
        <f t="shared" si="61"/>
        <v>0</v>
      </c>
    </row>
    <row r="431" ht="15.6" spans="1:92">
      <c r="A431" s="258" t="s">
        <v>141</v>
      </c>
      <c r="B431" s="258" t="s">
        <v>694</v>
      </c>
      <c r="C431" s="258" t="s">
        <v>243</v>
      </c>
      <c r="D431" s="258" t="s">
        <v>3865</v>
      </c>
      <c r="E431" s="258" t="s">
        <v>361</v>
      </c>
      <c r="F431" s="260" t="s">
        <v>49</v>
      </c>
      <c r="G431" s="260"/>
      <c r="H431" s="283">
        <f t="shared" si="62"/>
        <v>16276.2266666666</v>
      </c>
      <c r="I431" s="401" t="s">
        <v>3813</v>
      </c>
      <c r="J431" s="258"/>
      <c r="K431" s="258"/>
      <c r="L431" s="258"/>
      <c r="M431" s="258"/>
      <c r="N431" s="258"/>
      <c r="O431" s="258"/>
      <c r="P431" s="258"/>
      <c r="Q431" s="258"/>
      <c r="R431" s="258"/>
      <c r="S431" s="258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258"/>
      <c r="AL431" s="258"/>
      <c r="AM431" s="283"/>
      <c r="AN431" s="283"/>
      <c r="AO431" s="283"/>
      <c r="AP431" s="258"/>
      <c r="AQ431" s="258"/>
      <c r="AR431" s="283"/>
      <c r="AS431" s="283" t="s">
        <v>3866</v>
      </c>
      <c r="AT431" s="283" t="s">
        <v>3867</v>
      </c>
      <c r="AU431" s="283" t="s">
        <v>2244</v>
      </c>
      <c r="AV431" s="283" t="s">
        <v>3868</v>
      </c>
      <c r="AW431" s="283">
        <f t="shared" si="55"/>
        <v>26354.8333333333</v>
      </c>
      <c r="AX431" s="399"/>
      <c r="AY431" s="399"/>
      <c r="AZ431" s="400"/>
      <c r="BA431" s="400"/>
      <c r="BB431" s="400"/>
      <c r="BC431" s="400"/>
      <c r="BD431" s="400"/>
      <c r="BE431" s="400"/>
      <c r="BF431" s="400"/>
      <c r="BG431" s="400"/>
      <c r="BH431" s="400"/>
      <c r="BI431" s="400"/>
      <c r="BJ431" s="400"/>
      <c r="BK431" s="400"/>
      <c r="BL431" s="400"/>
      <c r="BM431" s="400"/>
      <c r="BN431" s="400"/>
      <c r="BO431" s="400"/>
      <c r="BP431" s="400"/>
      <c r="BQ431" s="400"/>
      <c r="BR431" s="258"/>
      <c r="BS431" s="258"/>
      <c r="BT431" s="258"/>
      <c r="BU431" s="258"/>
      <c r="BV431" s="258"/>
      <c r="BW431" s="258"/>
      <c r="BX431" s="258"/>
      <c r="BY431" s="258"/>
      <c r="BZ431" s="258"/>
      <c r="CA431" s="258"/>
      <c r="CB431" s="258"/>
      <c r="CC431" s="258"/>
      <c r="CD431" s="258"/>
      <c r="CE431" s="258"/>
      <c r="CF431" s="258"/>
      <c r="CG431" s="258">
        <f>197000*0.0058*2</f>
        <v>2285.2</v>
      </c>
      <c r="CH431" s="258">
        <v>10746.84</v>
      </c>
      <c r="CI431" s="258">
        <f>46800*0.0579*2</f>
        <v>5419.44</v>
      </c>
      <c r="CJ431" s="258">
        <v>5200</v>
      </c>
      <c r="CK431" s="283">
        <f t="shared" si="56"/>
        <v>6197.62</v>
      </c>
      <c r="CL431" s="398"/>
      <c r="CM431" s="371">
        <f>Summary!D3</f>
        <v>2112033.31166667</v>
      </c>
      <c r="CN431" s="258">
        <f t="shared" si="61"/>
        <v>0</v>
      </c>
    </row>
    <row r="432" ht="15.6" spans="1:92">
      <c r="A432" s="258" t="s">
        <v>191</v>
      </c>
      <c r="B432" s="258" t="s">
        <v>694</v>
      </c>
      <c r="C432" s="258" t="s">
        <v>230</v>
      </c>
      <c r="D432" s="258" t="s">
        <v>360</v>
      </c>
      <c r="E432" s="258" t="s">
        <v>361</v>
      </c>
      <c r="F432" s="260" t="s">
        <v>60</v>
      </c>
      <c r="G432" s="260"/>
      <c r="H432" s="283">
        <f t="shared" si="62"/>
        <v>14692.5833333333</v>
      </c>
      <c r="I432" s="401" t="s">
        <v>3813</v>
      </c>
      <c r="J432" s="258"/>
      <c r="K432" s="258"/>
      <c r="L432" s="258"/>
      <c r="M432" s="258"/>
      <c r="N432" s="258"/>
      <c r="O432" s="258"/>
      <c r="P432" s="258"/>
      <c r="Q432" s="258"/>
      <c r="R432" s="258"/>
      <c r="S432" s="258"/>
      <c r="T432" s="258"/>
      <c r="U432" s="258"/>
      <c r="V432" s="258"/>
      <c r="W432" s="258"/>
      <c r="X432" s="258"/>
      <c r="Y432" s="258"/>
      <c r="Z432" s="258"/>
      <c r="AA432" s="258"/>
      <c r="AB432" s="258"/>
      <c r="AC432" s="258"/>
      <c r="AD432" s="258"/>
      <c r="AE432" s="258"/>
      <c r="AF432" s="258"/>
      <c r="AG432" s="258"/>
      <c r="AH432" s="258"/>
      <c r="AI432" s="258"/>
      <c r="AJ432" s="258"/>
      <c r="AK432" s="258"/>
      <c r="AL432" s="258"/>
      <c r="AM432" s="283"/>
      <c r="AN432" s="283"/>
      <c r="AO432" s="283"/>
      <c r="AP432" s="258"/>
      <c r="AQ432" s="258"/>
      <c r="AR432" s="283"/>
      <c r="AS432" s="283" t="s">
        <v>3869</v>
      </c>
      <c r="AT432" s="283" t="s">
        <v>3870</v>
      </c>
      <c r="AU432" s="283" t="s">
        <v>3871</v>
      </c>
      <c r="AV432" s="283" t="s">
        <v>3872</v>
      </c>
      <c r="AW432" s="283">
        <f t="shared" si="55"/>
        <v>18301.8333333333</v>
      </c>
      <c r="AX432" s="399"/>
      <c r="AY432" s="399"/>
      <c r="AZ432" s="400"/>
      <c r="BA432" s="400"/>
      <c r="BB432" s="400"/>
      <c r="BC432" s="400"/>
      <c r="BD432" s="400"/>
      <c r="BE432" s="400"/>
      <c r="BF432" s="400"/>
      <c r="BG432" s="400"/>
      <c r="BH432" s="400"/>
      <c r="BI432" s="400"/>
      <c r="BJ432" s="400"/>
      <c r="BK432" s="400"/>
      <c r="BL432" s="400"/>
      <c r="BM432" s="400"/>
      <c r="BN432" s="400"/>
      <c r="BO432" s="400"/>
      <c r="BP432" s="400"/>
      <c r="BQ432" s="400"/>
      <c r="BR432" s="258"/>
      <c r="BS432" s="258"/>
      <c r="BT432" s="258"/>
      <c r="BU432" s="258"/>
      <c r="BV432" s="258"/>
      <c r="BW432" s="258"/>
      <c r="BX432" s="258"/>
      <c r="BY432" s="258"/>
      <c r="BZ432" s="258"/>
      <c r="CA432" s="258"/>
      <c r="CB432" s="258"/>
      <c r="CC432" s="258"/>
      <c r="CD432" s="258"/>
      <c r="CE432" s="258"/>
      <c r="CF432" s="258"/>
      <c r="CG432" s="258">
        <v>0</v>
      </c>
      <c r="CH432" s="258">
        <v>6500</v>
      </c>
      <c r="CI432" s="258">
        <v>14700</v>
      </c>
      <c r="CJ432" s="258">
        <v>10200</v>
      </c>
      <c r="CK432" s="283">
        <f t="shared" si="56"/>
        <v>11083.3333333333</v>
      </c>
      <c r="CL432" s="398"/>
      <c r="CM432" s="371">
        <f>Summary!D23</f>
        <v>176176.176666667</v>
      </c>
      <c r="CN432" s="258">
        <f t="shared" si="61"/>
        <v>1</v>
      </c>
    </row>
    <row r="433" ht="15.6" spans="1:92">
      <c r="A433" s="258" t="s">
        <v>191</v>
      </c>
      <c r="B433" s="258" t="s">
        <v>694</v>
      </c>
      <c r="C433" s="258" t="s">
        <v>243</v>
      </c>
      <c r="D433" s="258" t="s">
        <v>3873</v>
      </c>
      <c r="E433" s="258" t="s">
        <v>441</v>
      </c>
      <c r="F433" s="260" t="s">
        <v>411</v>
      </c>
      <c r="G433" s="260"/>
      <c r="H433" s="283">
        <f t="shared" si="62"/>
        <v>2367.25</v>
      </c>
      <c r="I433" s="401" t="s">
        <v>3813</v>
      </c>
      <c r="J433" s="258"/>
      <c r="K433" s="258"/>
      <c r="L433" s="258"/>
      <c r="M433" s="258"/>
      <c r="N433" s="258"/>
      <c r="O433" s="258"/>
      <c r="P433" s="258"/>
      <c r="Q433" s="258"/>
      <c r="R433" s="258"/>
      <c r="S433" s="258"/>
      <c r="T433" s="258"/>
      <c r="U433" s="258"/>
      <c r="V433" s="258"/>
      <c r="W433" s="258"/>
      <c r="X433" s="258"/>
      <c r="Y433" s="258"/>
      <c r="Z433" s="258"/>
      <c r="AA433" s="258"/>
      <c r="AB433" s="258"/>
      <c r="AC433" s="258"/>
      <c r="AD433" s="258"/>
      <c r="AE433" s="258"/>
      <c r="AF433" s="258"/>
      <c r="AG433" s="258"/>
      <c r="AH433" s="258"/>
      <c r="AI433" s="258"/>
      <c r="AJ433" s="258"/>
      <c r="AK433" s="258"/>
      <c r="AL433" s="258"/>
      <c r="AM433" s="283"/>
      <c r="AN433" s="283"/>
      <c r="AO433" s="283"/>
      <c r="AP433" s="258"/>
      <c r="AQ433" s="258"/>
      <c r="AR433" s="283"/>
      <c r="AS433" s="283" t="s">
        <v>1572</v>
      </c>
      <c r="AT433" s="283" t="s">
        <v>3874</v>
      </c>
      <c r="AU433" s="283" t="s">
        <v>3875</v>
      </c>
      <c r="AV433" s="283" t="s">
        <v>3876</v>
      </c>
      <c r="AW433" s="283">
        <f t="shared" si="55"/>
        <v>4614.5</v>
      </c>
      <c r="AX433" s="399"/>
      <c r="AY433" s="399"/>
      <c r="AZ433" s="400"/>
      <c r="BA433" s="400"/>
      <c r="BB433" s="400"/>
      <c r="BC433" s="400"/>
      <c r="BD433" s="400"/>
      <c r="BE433" s="400"/>
      <c r="BF433" s="400"/>
      <c r="BG433" s="400"/>
      <c r="BH433" s="400"/>
      <c r="BI433" s="400"/>
      <c r="BJ433" s="400"/>
      <c r="BK433" s="400"/>
      <c r="BL433" s="400"/>
      <c r="BM433" s="400"/>
      <c r="BN433" s="400"/>
      <c r="BO433" s="400"/>
      <c r="BP433" s="400"/>
      <c r="BQ433" s="400"/>
      <c r="BR433" s="258"/>
      <c r="BS433" s="258"/>
      <c r="BT433" s="258"/>
      <c r="BU433" s="258"/>
      <c r="BV433" s="258"/>
      <c r="BW433" s="258"/>
      <c r="BX433" s="258"/>
      <c r="BY433" s="258"/>
      <c r="BZ433" s="258"/>
      <c r="CA433" s="258"/>
      <c r="CB433" s="258"/>
      <c r="CC433" s="258"/>
      <c r="CD433" s="258"/>
      <c r="CE433" s="258"/>
      <c r="CF433" s="258"/>
      <c r="CG433" s="258">
        <v>432</v>
      </c>
      <c r="CH433" s="258">
        <v>720</v>
      </c>
      <c r="CI433" s="258">
        <v>0</v>
      </c>
      <c r="CJ433" s="258">
        <v>0</v>
      </c>
      <c r="CK433" s="283">
        <f t="shared" si="56"/>
        <v>120</v>
      </c>
      <c r="CL433" s="398"/>
      <c r="CM433" s="371">
        <f>Summary!D21</f>
        <v>254452.454633333</v>
      </c>
      <c r="CN433" s="258">
        <f t="shared" si="61"/>
        <v>0</v>
      </c>
    </row>
    <row r="434" ht="15.6" spans="1:92">
      <c r="A434" s="258" t="s">
        <v>177</v>
      </c>
      <c r="B434" s="258" t="s">
        <v>694</v>
      </c>
      <c r="C434" s="258" t="s">
        <v>243</v>
      </c>
      <c r="D434" s="258" t="s">
        <v>3877</v>
      </c>
      <c r="E434" s="394" t="s">
        <v>441</v>
      </c>
      <c r="F434" s="258" t="s">
        <v>49</v>
      </c>
      <c r="G434" s="260"/>
      <c r="H434" s="283">
        <f t="shared" si="62"/>
        <v>1751</v>
      </c>
      <c r="I434" s="401" t="s">
        <v>3878</v>
      </c>
      <c r="J434" s="258"/>
      <c r="K434" s="258"/>
      <c r="L434" s="258"/>
      <c r="M434" s="258"/>
      <c r="N434" s="258"/>
      <c r="O434" s="258"/>
      <c r="P434" s="258"/>
      <c r="Q434" s="258"/>
      <c r="R434" s="258"/>
      <c r="S434" s="258"/>
      <c r="T434" s="258"/>
      <c r="U434" s="258"/>
      <c r="V434" s="258"/>
      <c r="W434" s="258"/>
      <c r="X434" s="258"/>
      <c r="Y434" s="258"/>
      <c r="Z434" s="258"/>
      <c r="AA434" s="258"/>
      <c r="AB434" s="258"/>
      <c r="AC434" s="258"/>
      <c r="AD434" s="258"/>
      <c r="AE434" s="258"/>
      <c r="AF434" s="258"/>
      <c r="AG434" s="258"/>
      <c r="AH434" s="258"/>
      <c r="AI434" s="258"/>
      <c r="AJ434" s="258"/>
      <c r="AK434" s="258"/>
      <c r="AL434" s="258"/>
      <c r="AM434" s="283"/>
      <c r="AN434" s="283"/>
      <c r="AO434" s="283"/>
      <c r="AP434" s="258"/>
      <c r="AQ434" s="258"/>
      <c r="AR434" s="283"/>
      <c r="AS434" s="283"/>
      <c r="AT434" s="283">
        <v>5000</v>
      </c>
      <c r="AU434" s="283" t="s">
        <v>3879</v>
      </c>
      <c r="AV434" s="283">
        <v>5000</v>
      </c>
      <c r="AW434" s="283">
        <f t="shared" si="55"/>
        <v>3502</v>
      </c>
      <c r="AX434" s="399"/>
      <c r="AY434" s="399"/>
      <c r="AZ434" s="400"/>
      <c r="BA434" s="400"/>
      <c r="BB434" s="400"/>
      <c r="BC434" s="400"/>
      <c r="BD434" s="400"/>
      <c r="BE434" s="400"/>
      <c r="BF434" s="400"/>
      <c r="BG434" s="400"/>
      <c r="BH434" s="400"/>
      <c r="BI434" s="400"/>
      <c r="BJ434" s="400"/>
      <c r="BK434" s="400"/>
      <c r="BL434" s="400"/>
      <c r="BM434" s="400"/>
      <c r="BN434" s="400"/>
      <c r="BO434" s="400"/>
      <c r="BP434" s="400"/>
      <c r="BQ434" s="400"/>
      <c r="BR434" s="258"/>
      <c r="BS434" s="258"/>
      <c r="BT434" s="258"/>
      <c r="BU434" s="258"/>
      <c r="BV434" s="258"/>
      <c r="BW434" s="258"/>
      <c r="BX434" s="258"/>
      <c r="BY434" s="258"/>
      <c r="BZ434" s="258"/>
      <c r="CA434" s="258"/>
      <c r="CB434" s="258"/>
      <c r="CC434" s="258"/>
      <c r="CD434" s="258"/>
      <c r="CE434" s="258"/>
      <c r="CF434" s="258"/>
      <c r="CG434" s="258"/>
      <c r="CH434" s="258">
        <v>0</v>
      </c>
      <c r="CI434" s="258">
        <v>0</v>
      </c>
      <c r="CJ434" s="258">
        <v>0</v>
      </c>
      <c r="CK434" s="283">
        <f t="shared" si="56"/>
        <v>0</v>
      </c>
      <c r="CL434" s="398"/>
      <c r="CM434" s="371">
        <f>Summary!D14</f>
        <v>157127.612416667</v>
      </c>
      <c r="CN434" s="258">
        <f t="shared" si="61"/>
        <v>0</v>
      </c>
    </row>
    <row r="435" ht="15.6" spans="1:92">
      <c r="A435" s="258" t="s">
        <v>149</v>
      </c>
      <c r="B435" s="258" t="s">
        <v>694</v>
      </c>
      <c r="C435" s="258" t="s">
        <v>230</v>
      </c>
      <c r="D435" s="258" t="s">
        <v>3880</v>
      </c>
      <c r="E435" s="394" t="s">
        <v>441</v>
      </c>
      <c r="F435" s="258" t="s">
        <v>60</v>
      </c>
      <c r="G435" s="260"/>
      <c r="H435" s="283">
        <f t="shared" si="62"/>
        <v>14143.33</v>
      </c>
      <c r="I435" s="401" t="s">
        <v>3878</v>
      </c>
      <c r="J435" s="258"/>
      <c r="K435" s="258"/>
      <c r="L435" s="258"/>
      <c r="M435" s="258"/>
      <c r="N435" s="258"/>
      <c r="O435" s="258"/>
      <c r="P435" s="258"/>
      <c r="Q435" s="258"/>
      <c r="R435" s="258"/>
      <c r="S435" s="258"/>
      <c r="T435" s="258"/>
      <c r="U435" s="258"/>
      <c r="V435" s="258"/>
      <c r="W435" s="258"/>
      <c r="X435" s="258"/>
      <c r="Y435" s="258"/>
      <c r="Z435" s="258"/>
      <c r="AA435" s="258"/>
      <c r="AB435" s="258"/>
      <c r="AC435" s="258"/>
      <c r="AD435" s="258"/>
      <c r="AE435" s="258"/>
      <c r="AF435" s="258"/>
      <c r="AG435" s="258"/>
      <c r="AH435" s="258"/>
      <c r="AI435" s="258"/>
      <c r="AJ435" s="258"/>
      <c r="AK435" s="258"/>
      <c r="AL435" s="258"/>
      <c r="AM435" s="283"/>
      <c r="AN435" s="283"/>
      <c r="AO435" s="283"/>
      <c r="AP435" s="258"/>
      <c r="AQ435" s="258"/>
      <c r="AR435" s="283"/>
      <c r="AS435" s="283"/>
      <c r="AT435" s="283">
        <v>32034</v>
      </c>
      <c r="AU435" s="283" t="s">
        <v>3881</v>
      </c>
      <c r="AV435" s="283" t="s">
        <v>3738</v>
      </c>
      <c r="AW435" s="283">
        <f t="shared" si="55"/>
        <v>16981.8333333333</v>
      </c>
      <c r="AX435" s="399"/>
      <c r="AY435" s="399"/>
      <c r="AZ435" s="400"/>
      <c r="BA435" s="400"/>
      <c r="BB435" s="400"/>
      <c r="BC435" s="400"/>
      <c r="BD435" s="400"/>
      <c r="BE435" s="400"/>
      <c r="BF435" s="400"/>
      <c r="BG435" s="400"/>
      <c r="BH435" s="400"/>
      <c r="BI435" s="400"/>
      <c r="BJ435" s="400"/>
      <c r="BK435" s="400"/>
      <c r="BL435" s="400"/>
      <c r="BM435" s="400"/>
      <c r="BN435" s="400"/>
      <c r="BO435" s="400"/>
      <c r="BP435" s="400"/>
      <c r="BQ435" s="400"/>
      <c r="BR435" s="258"/>
      <c r="BS435" s="258"/>
      <c r="BT435" s="258"/>
      <c r="BU435" s="258"/>
      <c r="BV435" s="258"/>
      <c r="BW435" s="258"/>
      <c r="BX435" s="258"/>
      <c r="BY435" s="258"/>
      <c r="BZ435" s="258"/>
      <c r="CA435" s="258"/>
      <c r="CB435" s="258"/>
      <c r="CC435" s="258"/>
      <c r="CD435" s="258"/>
      <c r="CE435" s="258"/>
      <c r="CF435" s="258"/>
      <c r="CG435" s="258"/>
      <c r="CH435" s="258">
        <v>4000</v>
      </c>
      <c r="CI435" s="258">
        <v>7500</v>
      </c>
      <c r="CJ435" s="258">
        <v>16276.32</v>
      </c>
      <c r="CK435" s="283">
        <f t="shared" si="56"/>
        <v>11304.8266666667</v>
      </c>
      <c r="CL435" s="398"/>
      <c r="CM435" s="371">
        <f>Summary!D5</f>
        <v>1543433.55918333</v>
      </c>
      <c r="CN435" s="258">
        <f t="shared" si="61"/>
        <v>0</v>
      </c>
    </row>
    <row r="436" ht="15.6" spans="1:92">
      <c r="A436" s="258" t="s">
        <v>141</v>
      </c>
      <c r="B436" s="258" t="s">
        <v>694</v>
      </c>
      <c r="C436" s="258" t="s">
        <v>230</v>
      </c>
      <c r="D436" s="258" t="s">
        <v>3882</v>
      </c>
      <c r="E436" s="394" t="s">
        <v>233</v>
      </c>
      <c r="F436" s="258" t="s">
        <v>424</v>
      </c>
      <c r="G436" s="260"/>
      <c r="H436" s="283">
        <f t="shared" si="62"/>
        <v>17334.5</v>
      </c>
      <c r="I436" s="401" t="s">
        <v>3878</v>
      </c>
      <c r="J436" s="258"/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  <c r="AI436" s="258"/>
      <c r="AJ436" s="258"/>
      <c r="AK436" s="258"/>
      <c r="AL436" s="258"/>
      <c r="AM436" s="283"/>
      <c r="AN436" s="283"/>
      <c r="AO436" s="283"/>
      <c r="AP436" s="258"/>
      <c r="AQ436" s="258"/>
      <c r="AR436" s="283"/>
      <c r="AS436" s="283"/>
      <c r="AT436" s="283">
        <v>23272</v>
      </c>
      <c r="AU436" s="283" t="s">
        <v>3883</v>
      </c>
      <c r="AV436" s="283" t="s">
        <v>3884</v>
      </c>
      <c r="AW436" s="283">
        <f t="shared" si="55"/>
        <v>19019</v>
      </c>
      <c r="AX436" s="399"/>
      <c r="AY436" s="399"/>
      <c r="AZ436" s="400"/>
      <c r="BA436" s="400"/>
      <c r="BB436" s="400"/>
      <c r="BC436" s="400"/>
      <c r="BD436" s="400"/>
      <c r="BE436" s="400"/>
      <c r="BF436" s="400"/>
      <c r="BG436" s="400"/>
      <c r="BH436" s="400"/>
      <c r="BI436" s="400"/>
      <c r="BJ436" s="400"/>
      <c r="BK436" s="400"/>
      <c r="BL436" s="400"/>
      <c r="BM436" s="400"/>
      <c r="BN436" s="400"/>
      <c r="BO436" s="400"/>
      <c r="BP436" s="400"/>
      <c r="BQ436" s="400"/>
      <c r="BR436" s="258"/>
      <c r="BS436" s="258"/>
      <c r="BT436" s="258"/>
      <c r="BU436" s="258"/>
      <c r="BV436" s="258"/>
      <c r="BW436" s="258"/>
      <c r="BX436" s="258"/>
      <c r="BY436" s="258"/>
      <c r="BZ436" s="258"/>
      <c r="CA436" s="258"/>
      <c r="CB436" s="258"/>
      <c r="CC436" s="258"/>
      <c r="CD436" s="258"/>
      <c r="CE436" s="258"/>
      <c r="CF436" s="258"/>
      <c r="CG436" s="258"/>
      <c r="CH436" s="258">
        <v>12500</v>
      </c>
      <c r="CI436" s="258">
        <v>19100</v>
      </c>
      <c r="CJ436" s="258">
        <v>14400</v>
      </c>
      <c r="CK436" s="283">
        <f t="shared" si="56"/>
        <v>15650</v>
      </c>
      <c r="CL436" s="398"/>
      <c r="CM436" s="371">
        <f>Summary!D3</f>
        <v>2112033.31166667</v>
      </c>
      <c r="CN436" s="258">
        <f t="shared" si="61"/>
        <v>0</v>
      </c>
    </row>
    <row r="437" ht="53" customHeight="1" spans="1:92">
      <c r="A437" s="258" t="s">
        <v>141</v>
      </c>
      <c r="B437" s="258" t="s">
        <v>694</v>
      </c>
      <c r="C437" s="258" t="s">
        <v>230</v>
      </c>
      <c r="D437" s="258" t="s">
        <v>3885</v>
      </c>
      <c r="E437" s="394" t="s">
        <v>233</v>
      </c>
      <c r="F437" s="258" t="s">
        <v>250</v>
      </c>
      <c r="G437" s="260"/>
      <c r="H437" s="283">
        <f t="shared" si="62"/>
        <v>73123.22</v>
      </c>
      <c r="I437" s="403" t="s">
        <v>3886</v>
      </c>
      <c r="J437" s="258"/>
      <c r="K437" s="258"/>
      <c r="L437" s="258"/>
      <c r="M437" s="258"/>
      <c r="N437" s="258"/>
      <c r="O437" s="258"/>
      <c r="P437" s="258"/>
      <c r="Q437" s="258"/>
      <c r="R437" s="258"/>
      <c r="S437" s="258"/>
      <c r="T437" s="258"/>
      <c r="U437" s="258"/>
      <c r="V437" s="258"/>
      <c r="W437" s="258"/>
      <c r="X437" s="258"/>
      <c r="Y437" s="258"/>
      <c r="Z437" s="258"/>
      <c r="AA437" s="258"/>
      <c r="AB437" s="258"/>
      <c r="AC437" s="258"/>
      <c r="AD437" s="258"/>
      <c r="AE437" s="258"/>
      <c r="AF437" s="258"/>
      <c r="AG437" s="258"/>
      <c r="AH437" s="258"/>
      <c r="AI437" s="258"/>
      <c r="AJ437" s="258"/>
      <c r="AK437" s="258"/>
      <c r="AL437" s="258"/>
      <c r="AM437" s="283"/>
      <c r="AN437" s="283"/>
      <c r="AO437" s="283"/>
      <c r="AP437" s="258"/>
      <c r="AQ437" s="258"/>
      <c r="AR437" s="283"/>
      <c r="AS437" s="283"/>
      <c r="AT437" s="283">
        <v>48023</v>
      </c>
      <c r="AU437" s="283" t="s">
        <v>3887</v>
      </c>
      <c r="AV437" s="283" t="s">
        <v>3888</v>
      </c>
      <c r="AW437" s="283">
        <f t="shared" si="55"/>
        <v>61043</v>
      </c>
      <c r="AX437" s="399"/>
      <c r="AY437" s="399"/>
      <c r="AZ437" s="400"/>
      <c r="BA437" s="400"/>
      <c r="BB437" s="400"/>
      <c r="BC437" s="400"/>
      <c r="BD437" s="400"/>
      <c r="BE437" s="400"/>
      <c r="BF437" s="400"/>
      <c r="BG437" s="400"/>
      <c r="BH437" s="400"/>
      <c r="BI437" s="400"/>
      <c r="BJ437" s="400"/>
      <c r="BK437" s="400"/>
      <c r="BL437" s="400"/>
      <c r="BM437" s="400"/>
      <c r="BN437" s="400"/>
      <c r="BO437" s="400"/>
      <c r="BP437" s="400"/>
      <c r="BQ437" s="400"/>
      <c r="BR437" s="258"/>
      <c r="BS437" s="258"/>
      <c r="BT437" s="258"/>
      <c r="BU437" s="258"/>
      <c r="BV437" s="258"/>
      <c r="BW437" s="258"/>
      <c r="BX437" s="258"/>
      <c r="BY437" s="258"/>
      <c r="BZ437" s="258"/>
      <c r="CA437" s="258"/>
      <c r="CB437" s="258"/>
      <c r="CC437" s="258"/>
      <c r="CD437" s="258"/>
      <c r="CE437" s="258"/>
      <c r="CF437" s="258"/>
      <c r="CG437" s="258"/>
      <c r="CH437" s="258">
        <v>52700</v>
      </c>
      <c r="CI437" s="258">
        <v>41760.32</v>
      </c>
      <c r="CJ437" s="258">
        <v>125000</v>
      </c>
      <c r="CK437" s="283">
        <f t="shared" si="56"/>
        <v>85203.44</v>
      </c>
      <c r="CL437" s="398"/>
      <c r="CM437" s="371">
        <f>Summary!$D$3</f>
        <v>2112033.31166667</v>
      </c>
      <c r="CN437" s="258">
        <f t="shared" si="61"/>
        <v>0</v>
      </c>
    </row>
    <row r="438" ht="53" customHeight="1" spans="1:92">
      <c r="A438" s="258" t="s">
        <v>145</v>
      </c>
      <c r="B438" s="258" t="s">
        <v>694</v>
      </c>
      <c r="C438" s="258" t="s">
        <v>230</v>
      </c>
      <c r="D438" s="258" t="s">
        <v>3889</v>
      </c>
      <c r="E438" s="394" t="s">
        <v>233</v>
      </c>
      <c r="F438" s="258" t="s">
        <v>417</v>
      </c>
      <c r="G438" s="260"/>
      <c r="H438" s="283">
        <f t="shared" si="62"/>
        <v>41187.8</v>
      </c>
      <c r="I438" s="403" t="s">
        <v>3890</v>
      </c>
      <c r="J438" s="258"/>
      <c r="K438" s="258"/>
      <c r="L438" s="258"/>
      <c r="M438" s="258"/>
      <c r="N438" s="258"/>
      <c r="O438" s="258"/>
      <c r="P438" s="258"/>
      <c r="Q438" s="258"/>
      <c r="R438" s="258"/>
      <c r="S438" s="258"/>
      <c r="T438" s="258"/>
      <c r="U438" s="258"/>
      <c r="V438" s="258"/>
      <c r="W438" s="258"/>
      <c r="X438" s="258"/>
      <c r="Y438" s="258"/>
      <c r="Z438" s="258"/>
      <c r="AA438" s="258"/>
      <c r="AB438" s="258"/>
      <c r="AC438" s="258"/>
      <c r="AD438" s="258"/>
      <c r="AE438" s="258"/>
      <c r="AF438" s="258"/>
      <c r="AG438" s="258"/>
      <c r="AH438" s="258"/>
      <c r="AI438" s="258"/>
      <c r="AJ438" s="258"/>
      <c r="AK438" s="258"/>
      <c r="AL438" s="258"/>
      <c r="AM438" s="283"/>
      <c r="AN438" s="283"/>
      <c r="AO438" s="283"/>
      <c r="AP438" s="258"/>
      <c r="AQ438" s="258"/>
      <c r="AR438" s="283"/>
      <c r="AS438" s="283"/>
      <c r="AT438" s="283"/>
      <c r="AU438" s="283" t="s">
        <v>3891</v>
      </c>
      <c r="AV438" s="283" t="s">
        <v>3892</v>
      </c>
      <c r="AW438" s="283">
        <f>SUM(AV438*3+AU438*2+AT438*1)/5</f>
        <v>48215.6</v>
      </c>
      <c r="AX438" s="399"/>
      <c r="AY438" s="399"/>
      <c r="AZ438" s="400"/>
      <c r="BA438" s="400"/>
      <c r="BB438" s="400"/>
      <c r="BC438" s="400"/>
      <c r="BD438" s="400"/>
      <c r="BE438" s="400"/>
      <c r="BF438" s="400"/>
      <c r="BG438" s="400"/>
      <c r="BH438" s="400"/>
      <c r="BI438" s="400"/>
      <c r="BJ438" s="400"/>
      <c r="BK438" s="400"/>
      <c r="BL438" s="400"/>
      <c r="BM438" s="400"/>
      <c r="BN438" s="400"/>
      <c r="BO438" s="400"/>
      <c r="BP438" s="400"/>
      <c r="BQ438" s="400"/>
      <c r="BR438" s="258"/>
      <c r="BS438" s="258"/>
      <c r="BT438" s="258"/>
      <c r="BU438" s="258"/>
      <c r="BV438" s="258"/>
      <c r="BW438" s="258"/>
      <c r="BX438" s="258"/>
      <c r="BY438" s="258"/>
      <c r="BZ438" s="258"/>
      <c r="CA438" s="258"/>
      <c r="CB438" s="258"/>
      <c r="CC438" s="258"/>
      <c r="CD438" s="258"/>
      <c r="CE438" s="258"/>
      <c r="CF438" s="258"/>
      <c r="CG438" s="258"/>
      <c r="CH438" s="258"/>
      <c r="CI438" s="258">
        <v>49100</v>
      </c>
      <c r="CJ438" s="258">
        <v>24200</v>
      </c>
      <c r="CK438" s="283">
        <f>SUM(CJ438*3+CI438*2+CH438*1)/5</f>
        <v>34160</v>
      </c>
      <c r="CL438" s="398"/>
      <c r="CM438" s="371">
        <f>Summary!D4</f>
        <v>1816871.23333333</v>
      </c>
      <c r="CN438" s="258">
        <f t="shared" ref="CN438:CN444" si="63">IF(_xlfn.IFNA(CM438,0),IF(AND(H438/CM438&gt;=0.05,B438&lt;&gt;"官网"),1,0),0)</f>
        <v>0</v>
      </c>
    </row>
    <row r="439" ht="53" customHeight="1" spans="1:92">
      <c r="A439" s="258" t="s">
        <v>149</v>
      </c>
      <c r="B439" s="258" t="s">
        <v>694</v>
      </c>
      <c r="C439" s="258" t="s">
        <v>230</v>
      </c>
      <c r="D439" s="258" t="s">
        <v>3893</v>
      </c>
      <c r="E439" s="394" t="s">
        <v>441</v>
      </c>
      <c r="F439" s="258" t="s">
        <v>417</v>
      </c>
      <c r="G439" s="260"/>
      <c r="H439" s="283">
        <f t="shared" si="62"/>
        <v>25265.1</v>
      </c>
      <c r="I439" s="403" t="s">
        <v>3890</v>
      </c>
      <c r="J439" s="258"/>
      <c r="K439" s="258"/>
      <c r="L439" s="258"/>
      <c r="M439" s="258"/>
      <c r="N439" s="258"/>
      <c r="O439" s="258"/>
      <c r="P439" s="258"/>
      <c r="Q439" s="258"/>
      <c r="R439" s="258"/>
      <c r="S439" s="258"/>
      <c r="T439" s="258"/>
      <c r="U439" s="258"/>
      <c r="V439" s="258"/>
      <c r="W439" s="258"/>
      <c r="X439" s="258"/>
      <c r="Y439" s="258"/>
      <c r="Z439" s="258"/>
      <c r="AA439" s="258"/>
      <c r="AB439" s="258"/>
      <c r="AC439" s="258"/>
      <c r="AD439" s="258"/>
      <c r="AE439" s="258"/>
      <c r="AF439" s="258"/>
      <c r="AG439" s="258"/>
      <c r="AH439" s="258"/>
      <c r="AI439" s="258"/>
      <c r="AJ439" s="258"/>
      <c r="AK439" s="258"/>
      <c r="AL439" s="258"/>
      <c r="AM439" s="283"/>
      <c r="AN439" s="283"/>
      <c r="AO439" s="283"/>
      <c r="AP439" s="258"/>
      <c r="AQ439" s="258"/>
      <c r="AR439" s="283"/>
      <c r="AS439" s="283"/>
      <c r="AT439" s="283"/>
      <c r="AU439" s="283" t="s">
        <v>3894</v>
      </c>
      <c r="AV439" s="283" t="s">
        <v>3895</v>
      </c>
      <c r="AW439" s="283">
        <f>SUM(AV439*3+AU439*2+AT439*1)/5</f>
        <v>19210.2</v>
      </c>
      <c r="AX439" s="399"/>
      <c r="AY439" s="399"/>
      <c r="AZ439" s="400"/>
      <c r="BA439" s="400"/>
      <c r="BB439" s="400"/>
      <c r="BC439" s="400"/>
      <c r="BD439" s="400"/>
      <c r="BE439" s="400"/>
      <c r="BF439" s="400"/>
      <c r="BG439" s="400"/>
      <c r="BH439" s="400"/>
      <c r="BI439" s="400"/>
      <c r="BJ439" s="400"/>
      <c r="BK439" s="400"/>
      <c r="BL439" s="400"/>
      <c r="BM439" s="400"/>
      <c r="BN439" s="400"/>
      <c r="BO439" s="400"/>
      <c r="BP439" s="400"/>
      <c r="BQ439" s="400"/>
      <c r="BR439" s="258"/>
      <c r="BS439" s="258"/>
      <c r="BT439" s="258"/>
      <c r="BU439" s="258"/>
      <c r="BV439" s="258"/>
      <c r="BW439" s="258"/>
      <c r="BX439" s="258"/>
      <c r="BY439" s="258"/>
      <c r="BZ439" s="258"/>
      <c r="CA439" s="258"/>
      <c r="CB439" s="258"/>
      <c r="CC439" s="258"/>
      <c r="CD439" s="258"/>
      <c r="CE439" s="258"/>
      <c r="CF439" s="258"/>
      <c r="CG439" s="258"/>
      <c r="CH439" s="258"/>
      <c r="CI439" s="258">
        <v>73200</v>
      </c>
      <c r="CJ439" s="258">
        <v>3400</v>
      </c>
      <c r="CK439" s="283">
        <f>SUM(CJ439*3+CI439*2+CH439*1)/5</f>
        <v>31320</v>
      </c>
      <c r="CL439" s="398"/>
      <c r="CM439" s="371">
        <f>Summary!D5</f>
        <v>1543433.55918333</v>
      </c>
      <c r="CN439" s="258">
        <f t="shared" si="63"/>
        <v>0</v>
      </c>
    </row>
    <row r="440" ht="53" customHeight="1" spans="1:92">
      <c r="A440" s="258" t="s">
        <v>141</v>
      </c>
      <c r="B440" s="258" t="s">
        <v>694</v>
      </c>
      <c r="C440" s="258" t="s">
        <v>230</v>
      </c>
      <c r="D440" s="258" t="s">
        <v>3896</v>
      </c>
      <c r="E440" s="394" t="s">
        <v>233</v>
      </c>
      <c r="F440" s="258" t="s">
        <v>419</v>
      </c>
      <c r="G440" s="260"/>
      <c r="H440" s="283">
        <f t="shared" si="62"/>
        <v>12151.5</v>
      </c>
      <c r="I440" s="403" t="s">
        <v>3890</v>
      </c>
      <c r="J440" s="258"/>
      <c r="K440" s="258"/>
      <c r="L440" s="258"/>
      <c r="M440" s="258"/>
      <c r="N440" s="258"/>
      <c r="O440" s="258"/>
      <c r="P440" s="258"/>
      <c r="Q440" s="258"/>
      <c r="R440" s="258"/>
      <c r="S440" s="258"/>
      <c r="T440" s="258"/>
      <c r="U440" s="258"/>
      <c r="V440" s="258"/>
      <c r="W440" s="258"/>
      <c r="X440" s="258"/>
      <c r="Y440" s="258"/>
      <c r="Z440" s="258"/>
      <c r="AA440" s="258"/>
      <c r="AB440" s="258"/>
      <c r="AC440" s="258"/>
      <c r="AD440" s="258"/>
      <c r="AE440" s="258"/>
      <c r="AF440" s="258"/>
      <c r="AG440" s="258"/>
      <c r="AH440" s="258"/>
      <c r="AI440" s="258"/>
      <c r="AJ440" s="258"/>
      <c r="AK440" s="258"/>
      <c r="AL440" s="258"/>
      <c r="AM440" s="283"/>
      <c r="AN440" s="283"/>
      <c r="AO440" s="283"/>
      <c r="AP440" s="258"/>
      <c r="AQ440" s="258"/>
      <c r="AR440" s="283"/>
      <c r="AS440" s="283"/>
      <c r="AT440" s="283"/>
      <c r="AU440" s="283" t="s">
        <v>3897</v>
      </c>
      <c r="AV440" s="283" t="s">
        <v>3898</v>
      </c>
      <c r="AW440" s="283">
        <f>SUM(AV440*3+AU440*2+AT440*1)/5</f>
        <v>20523</v>
      </c>
      <c r="AX440" s="399"/>
      <c r="AY440" s="399"/>
      <c r="AZ440" s="400"/>
      <c r="BA440" s="400"/>
      <c r="BB440" s="400"/>
      <c r="BC440" s="400"/>
      <c r="BD440" s="400"/>
      <c r="BE440" s="400"/>
      <c r="BF440" s="400"/>
      <c r="BG440" s="400"/>
      <c r="BH440" s="400"/>
      <c r="BI440" s="400"/>
      <c r="BJ440" s="400"/>
      <c r="BK440" s="400"/>
      <c r="BL440" s="400"/>
      <c r="BM440" s="400"/>
      <c r="BN440" s="400"/>
      <c r="BO440" s="400"/>
      <c r="BP440" s="400"/>
      <c r="BQ440" s="400"/>
      <c r="BR440" s="258"/>
      <c r="BS440" s="258"/>
      <c r="BT440" s="258"/>
      <c r="BU440" s="258"/>
      <c r="BV440" s="258"/>
      <c r="BW440" s="258"/>
      <c r="BX440" s="258"/>
      <c r="BY440" s="258"/>
      <c r="BZ440" s="258"/>
      <c r="CA440" s="258"/>
      <c r="CB440" s="258"/>
      <c r="CC440" s="258"/>
      <c r="CD440" s="258"/>
      <c r="CE440" s="258"/>
      <c r="CF440" s="258"/>
      <c r="CG440" s="258"/>
      <c r="CH440" s="258"/>
      <c r="CI440" s="258">
        <v>4200</v>
      </c>
      <c r="CJ440" s="258">
        <v>3500</v>
      </c>
      <c r="CK440" s="283">
        <f>SUM(CJ440*3+CI440*2+CH440*1)/5</f>
        <v>3780</v>
      </c>
      <c r="CL440" s="398"/>
      <c r="CM440" s="371">
        <f>Summary!D3</f>
        <v>2112033.31166667</v>
      </c>
      <c r="CN440" s="258">
        <f t="shared" si="63"/>
        <v>0</v>
      </c>
    </row>
    <row r="441" ht="53" customHeight="1" spans="1:92">
      <c r="A441" s="258" t="s">
        <v>165</v>
      </c>
      <c r="B441" s="258" t="s">
        <v>694</v>
      </c>
      <c r="C441" s="258" t="s">
        <v>243</v>
      </c>
      <c r="D441" s="258" t="s">
        <v>3899</v>
      </c>
      <c r="E441" s="394" t="s">
        <v>3600</v>
      </c>
      <c r="F441" s="258" t="s">
        <v>420</v>
      </c>
      <c r="G441" s="260"/>
      <c r="H441" s="283">
        <f t="shared" si="62"/>
        <v>534</v>
      </c>
      <c r="I441" s="406" t="s">
        <v>3900</v>
      </c>
      <c r="J441" s="258"/>
      <c r="K441" s="258"/>
      <c r="L441" s="258"/>
      <c r="M441" s="258"/>
      <c r="N441" s="258"/>
      <c r="O441" s="258"/>
      <c r="P441" s="258"/>
      <c r="Q441" s="258"/>
      <c r="R441" s="258"/>
      <c r="S441" s="258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258"/>
      <c r="AL441" s="258"/>
      <c r="AM441" s="283"/>
      <c r="AN441" s="283"/>
      <c r="AO441" s="283"/>
      <c r="AP441" s="258"/>
      <c r="AQ441" s="258"/>
      <c r="AR441" s="283"/>
      <c r="AS441" s="283"/>
      <c r="AT441" s="283"/>
      <c r="AU441" s="283"/>
      <c r="AV441" s="283" t="s">
        <v>3901</v>
      </c>
      <c r="AW441" s="283">
        <f t="shared" ref="AW441:AW447" si="64">SUM(AV441*3+AU441*2+AT441*1)/3</f>
        <v>1068</v>
      </c>
      <c r="AX441" s="399"/>
      <c r="AY441" s="399"/>
      <c r="AZ441" s="400"/>
      <c r="BA441" s="400"/>
      <c r="BB441" s="400"/>
      <c r="BC441" s="400"/>
      <c r="BD441" s="400"/>
      <c r="BE441" s="400"/>
      <c r="BF441" s="400"/>
      <c r="BG441" s="400"/>
      <c r="BH441" s="400"/>
      <c r="BI441" s="400"/>
      <c r="BJ441" s="400"/>
      <c r="BK441" s="400"/>
      <c r="BL441" s="400"/>
      <c r="BM441" s="400"/>
      <c r="BN441" s="400"/>
      <c r="BO441" s="400"/>
      <c r="BP441" s="400"/>
      <c r="BQ441" s="400"/>
      <c r="BR441" s="258"/>
      <c r="BS441" s="258"/>
      <c r="BT441" s="258"/>
      <c r="BU441" s="258"/>
      <c r="BV441" s="258"/>
      <c r="BW441" s="258"/>
      <c r="BX441" s="258"/>
      <c r="BY441" s="258"/>
      <c r="BZ441" s="258"/>
      <c r="CA441" s="258"/>
      <c r="CB441" s="258"/>
      <c r="CC441" s="258"/>
      <c r="CD441" s="258"/>
      <c r="CE441" s="258"/>
      <c r="CF441" s="258"/>
      <c r="CG441" s="258"/>
      <c r="CH441" s="258"/>
      <c r="CI441" s="258"/>
      <c r="CJ441" s="258">
        <v>0</v>
      </c>
      <c r="CK441" s="283">
        <f t="shared" ref="CK441:CK447" si="65">SUM(CJ441*3+CI441*2+CH441*1)/3</f>
        <v>0</v>
      </c>
      <c r="CL441" s="398"/>
      <c r="CM441" s="371">
        <f>Summary!D10</f>
        <v>496999.618566666</v>
      </c>
      <c r="CN441" s="258">
        <f t="shared" si="63"/>
        <v>0</v>
      </c>
    </row>
    <row r="442" ht="53" customHeight="1" spans="1:92">
      <c r="A442" s="258" t="s">
        <v>165</v>
      </c>
      <c r="B442" s="258" t="s">
        <v>694</v>
      </c>
      <c r="C442" s="258" t="s">
        <v>243</v>
      </c>
      <c r="D442" s="258" t="s">
        <v>3902</v>
      </c>
      <c r="E442" s="394" t="s">
        <v>3600</v>
      </c>
      <c r="F442" s="258" t="s">
        <v>455</v>
      </c>
      <c r="G442" s="260"/>
      <c r="H442" s="283">
        <f t="shared" si="62"/>
        <v>321</v>
      </c>
      <c r="I442" s="406" t="s">
        <v>3900</v>
      </c>
      <c r="J442" s="258"/>
      <c r="K442" s="258"/>
      <c r="L442" s="258"/>
      <c r="M442" s="258"/>
      <c r="N442" s="258"/>
      <c r="O442" s="258"/>
      <c r="P442" s="258"/>
      <c r="Q442" s="258"/>
      <c r="R442" s="258"/>
      <c r="S442" s="258"/>
      <c r="T442" s="258"/>
      <c r="U442" s="258"/>
      <c r="V442" s="258"/>
      <c r="W442" s="258"/>
      <c r="X442" s="258"/>
      <c r="Y442" s="258"/>
      <c r="Z442" s="258"/>
      <c r="AA442" s="258"/>
      <c r="AB442" s="258"/>
      <c r="AC442" s="258"/>
      <c r="AD442" s="258"/>
      <c r="AE442" s="258"/>
      <c r="AF442" s="258"/>
      <c r="AG442" s="258"/>
      <c r="AH442" s="258"/>
      <c r="AI442" s="258"/>
      <c r="AJ442" s="258"/>
      <c r="AK442" s="258"/>
      <c r="AL442" s="258"/>
      <c r="AM442" s="283"/>
      <c r="AN442" s="283"/>
      <c r="AO442" s="283"/>
      <c r="AP442" s="258"/>
      <c r="AQ442" s="258"/>
      <c r="AR442" s="283"/>
      <c r="AS442" s="283"/>
      <c r="AT442" s="283"/>
      <c r="AU442" s="283"/>
      <c r="AV442" s="283" t="s">
        <v>3903</v>
      </c>
      <c r="AW442" s="283">
        <f t="shared" si="64"/>
        <v>642</v>
      </c>
      <c r="AX442" s="399"/>
      <c r="AY442" s="399"/>
      <c r="AZ442" s="400"/>
      <c r="BA442" s="400"/>
      <c r="BB442" s="400"/>
      <c r="BC442" s="400"/>
      <c r="BD442" s="400"/>
      <c r="BE442" s="400"/>
      <c r="BF442" s="400"/>
      <c r="BG442" s="400"/>
      <c r="BH442" s="400"/>
      <c r="BI442" s="400"/>
      <c r="BJ442" s="400"/>
      <c r="BK442" s="400"/>
      <c r="BL442" s="400"/>
      <c r="BM442" s="400"/>
      <c r="BN442" s="400"/>
      <c r="BO442" s="400"/>
      <c r="BP442" s="400"/>
      <c r="BQ442" s="400"/>
      <c r="BR442" s="258"/>
      <c r="BS442" s="258"/>
      <c r="BT442" s="258"/>
      <c r="BU442" s="258"/>
      <c r="BV442" s="258"/>
      <c r="BW442" s="258"/>
      <c r="BX442" s="258"/>
      <c r="BY442" s="258"/>
      <c r="BZ442" s="258"/>
      <c r="CA442" s="258"/>
      <c r="CB442" s="258"/>
      <c r="CC442" s="258"/>
      <c r="CD442" s="258"/>
      <c r="CE442" s="258"/>
      <c r="CF442" s="258"/>
      <c r="CG442" s="258"/>
      <c r="CH442" s="258"/>
      <c r="CI442" s="258"/>
      <c r="CJ442" s="258">
        <v>0</v>
      </c>
      <c r="CK442" s="283">
        <f t="shared" si="65"/>
        <v>0</v>
      </c>
      <c r="CL442" s="398"/>
      <c r="CM442" s="371">
        <f>Summary!D10</f>
        <v>496999.618566666</v>
      </c>
      <c r="CN442" s="258">
        <f t="shared" si="63"/>
        <v>0</v>
      </c>
    </row>
    <row r="443" ht="53" customHeight="1" spans="1:92">
      <c r="A443" s="258" t="s">
        <v>165</v>
      </c>
      <c r="B443" s="258" t="s">
        <v>694</v>
      </c>
      <c r="C443" s="258" t="s">
        <v>243</v>
      </c>
      <c r="D443" s="258" t="s">
        <v>3904</v>
      </c>
      <c r="E443" s="394" t="s">
        <v>3600</v>
      </c>
      <c r="F443" s="258" t="s">
        <v>417</v>
      </c>
      <c r="G443" s="260"/>
      <c r="H443" s="283">
        <f t="shared" si="62"/>
        <v>896.5</v>
      </c>
      <c r="I443" s="406" t="s">
        <v>3900</v>
      </c>
      <c r="J443" s="258"/>
      <c r="K443" s="258"/>
      <c r="L443" s="258"/>
      <c r="M443" s="258"/>
      <c r="N443" s="258"/>
      <c r="O443" s="258"/>
      <c r="P443" s="258"/>
      <c r="Q443" s="258"/>
      <c r="R443" s="258"/>
      <c r="S443" s="258"/>
      <c r="T443" s="258"/>
      <c r="U443" s="258"/>
      <c r="V443" s="258"/>
      <c r="W443" s="258"/>
      <c r="X443" s="258"/>
      <c r="Y443" s="258"/>
      <c r="Z443" s="258"/>
      <c r="AA443" s="258"/>
      <c r="AB443" s="258"/>
      <c r="AC443" s="258"/>
      <c r="AD443" s="258"/>
      <c r="AE443" s="258"/>
      <c r="AF443" s="258"/>
      <c r="AG443" s="258"/>
      <c r="AH443" s="258"/>
      <c r="AI443" s="258"/>
      <c r="AJ443" s="258"/>
      <c r="AK443" s="258"/>
      <c r="AL443" s="258"/>
      <c r="AM443" s="283"/>
      <c r="AN443" s="283"/>
      <c r="AO443" s="283"/>
      <c r="AP443" s="258"/>
      <c r="AQ443" s="258"/>
      <c r="AR443" s="283"/>
      <c r="AS443" s="283"/>
      <c r="AT443" s="283"/>
      <c r="AU443" s="283"/>
      <c r="AV443" s="283" t="s">
        <v>3905</v>
      </c>
      <c r="AW443" s="283">
        <f t="shared" si="64"/>
        <v>393</v>
      </c>
      <c r="AX443" s="399"/>
      <c r="AY443" s="399"/>
      <c r="AZ443" s="400"/>
      <c r="BA443" s="400"/>
      <c r="BB443" s="400"/>
      <c r="BC443" s="400"/>
      <c r="BD443" s="400"/>
      <c r="BE443" s="400"/>
      <c r="BF443" s="400"/>
      <c r="BG443" s="400"/>
      <c r="BH443" s="400"/>
      <c r="BI443" s="400"/>
      <c r="BJ443" s="400"/>
      <c r="BK443" s="400"/>
      <c r="BL443" s="400"/>
      <c r="BM443" s="400"/>
      <c r="BN443" s="400"/>
      <c r="BO443" s="400"/>
      <c r="BP443" s="400"/>
      <c r="BQ443" s="400"/>
      <c r="BR443" s="258"/>
      <c r="BS443" s="258"/>
      <c r="BT443" s="258"/>
      <c r="BU443" s="258"/>
      <c r="BV443" s="258"/>
      <c r="BW443" s="258"/>
      <c r="BX443" s="258"/>
      <c r="BY443" s="258"/>
      <c r="BZ443" s="258"/>
      <c r="CA443" s="258"/>
      <c r="CB443" s="258"/>
      <c r="CC443" s="258"/>
      <c r="CD443" s="258"/>
      <c r="CE443" s="258"/>
      <c r="CF443" s="258"/>
      <c r="CG443" s="258"/>
      <c r="CH443" s="258"/>
      <c r="CI443" s="258"/>
      <c r="CJ443" s="258">
        <v>1400</v>
      </c>
      <c r="CK443" s="283">
        <f t="shared" si="65"/>
        <v>1400</v>
      </c>
      <c r="CL443" s="398"/>
      <c r="CM443" s="371">
        <f>Summary!D10</f>
        <v>496999.618566666</v>
      </c>
      <c r="CN443" s="258">
        <f t="shared" si="63"/>
        <v>0</v>
      </c>
    </row>
    <row r="444" ht="53" customHeight="1" spans="1:92">
      <c r="A444" s="258" t="s">
        <v>234</v>
      </c>
      <c r="B444" s="258" t="s">
        <v>694</v>
      </c>
      <c r="C444" s="258" t="s">
        <v>230</v>
      </c>
      <c r="D444" s="258" t="s">
        <v>3906</v>
      </c>
      <c r="E444" s="394" t="s">
        <v>234</v>
      </c>
      <c r="F444" s="258" t="s">
        <v>234</v>
      </c>
      <c r="G444" s="260"/>
      <c r="H444" s="283">
        <f t="shared" si="62"/>
        <v>1798000</v>
      </c>
      <c r="I444" s="406"/>
      <c r="J444" s="258"/>
      <c r="K444" s="258"/>
      <c r="L444" s="258"/>
      <c r="M444" s="258"/>
      <c r="N444" s="258"/>
      <c r="O444" s="258"/>
      <c r="P444" s="258"/>
      <c r="Q444" s="258"/>
      <c r="R444" s="258"/>
      <c r="S444" s="258"/>
      <c r="T444" s="258"/>
      <c r="U444" s="258"/>
      <c r="V444" s="258"/>
      <c r="W444" s="258"/>
      <c r="X444" s="258"/>
      <c r="Y444" s="258"/>
      <c r="Z444" s="258"/>
      <c r="AA444" s="258"/>
      <c r="AB444" s="258"/>
      <c r="AC444" s="258"/>
      <c r="AD444" s="258"/>
      <c r="AE444" s="258"/>
      <c r="AF444" s="258"/>
      <c r="AG444" s="258"/>
      <c r="AH444" s="258"/>
      <c r="AI444" s="258"/>
      <c r="AJ444" s="258"/>
      <c r="AK444" s="258"/>
      <c r="AL444" s="258"/>
      <c r="AM444" s="283"/>
      <c r="AN444" s="283"/>
      <c r="AO444" s="283"/>
      <c r="AP444" s="258"/>
      <c r="AQ444" s="258"/>
      <c r="AR444" s="283"/>
      <c r="AS444" s="283"/>
      <c r="AT444" s="283"/>
      <c r="AU444" s="283"/>
      <c r="AV444" s="283">
        <v>1596000</v>
      </c>
      <c r="AW444" s="283">
        <f t="shared" si="64"/>
        <v>1596000</v>
      </c>
      <c r="AX444" s="399"/>
      <c r="AY444" s="399"/>
      <c r="AZ444" s="400"/>
      <c r="BA444" s="400"/>
      <c r="BB444" s="400"/>
      <c r="BC444" s="400"/>
      <c r="BD444" s="400"/>
      <c r="BE444" s="400"/>
      <c r="BF444" s="400"/>
      <c r="BG444" s="400"/>
      <c r="BH444" s="400"/>
      <c r="BI444" s="400"/>
      <c r="BJ444" s="400"/>
      <c r="BK444" s="400"/>
      <c r="BL444" s="400"/>
      <c r="BM444" s="400"/>
      <c r="BN444" s="400"/>
      <c r="BO444" s="400"/>
      <c r="BP444" s="400"/>
      <c r="BQ444" s="400"/>
      <c r="BR444" s="258"/>
      <c r="BS444" s="258"/>
      <c r="BT444" s="258"/>
      <c r="BU444" s="258"/>
      <c r="BV444" s="258"/>
      <c r="BW444" s="258"/>
      <c r="BX444" s="258"/>
      <c r="BY444" s="258"/>
      <c r="BZ444" s="258"/>
      <c r="CA444" s="258"/>
      <c r="CB444" s="258"/>
      <c r="CC444" s="258"/>
      <c r="CD444" s="258"/>
      <c r="CE444" s="258"/>
      <c r="CF444" s="258"/>
      <c r="CG444" s="258"/>
      <c r="CH444" s="258"/>
      <c r="CI444" s="258"/>
      <c r="CJ444" s="283">
        <v>2000000</v>
      </c>
      <c r="CK444" s="283">
        <f t="shared" si="65"/>
        <v>2000000</v>
      </c>
      <c r="CL444" s="398"/>
      <c r="CM444" s="371"/>
      <c r="CN444" s="258"/>
    </row>
    <row r="445" ht="53" customHeight="1" spans="1:92">
      <c r="A445" s="258" t="s">
        <v>234</v>
      </c>
      <c r="B445" s="258" t="s">
        <v>234</v>
      </c>
      <c r="C445" s="258" t="s">
        <v>234</v>
      </c>
      <c r="D445" s="258" t="s">
        <v>3907</v>
      </c>
      <c r="E445" s="394" t="s">
        <v>234</v>
      </c>
      <c r="F445" s="258" t="s">
        <v>234</v>
      </c>
      <c r="G445" s="260"/>
      <c r="H445" s="283">
        <f t="shared" si="62"/>
        <v>340820.5</v>
      </c>
      <c r="I445" s="406" t="s">
        <v>3908</v>
      </c>
      <c r="J445" s="258"/>
      <c r="K445" s="258"/>
      <c r="L445" s="258"/>
      <c r="M445" s="258"/>
      <c r="N445" s="258"/>
      <c r="O445" s="258"/>
      <c r="P445" s="258"/>
      <c r="Q445" s="258"/>
      <c r="R445" s="258"/>
      <c r="S445" s="258"/>
      <c r="T445" s="258"/>
      <c r="U445" s="258"/>
      <c r="V445" s="258"/>
      <c r="W445" s="258"/>
      <c r="X445" s="258"/>
      <c r="Y445" s="258"/>
      <c r="Z445" s="258"/>
      <c r="AA445" s="258"/>
      <c r="AB445" s="258"/>
      <c r="AC445" s="258"/>
      <c r="AD445" s="258"/>
      <c r="AE445" s="258"/>
      <c r="AF445" s="258"/>
      <c r="AG445" s="258"/>
      <c r="AH445" s="258"/>
      <c r="AI445" s="258"/>
      <c r="AJ445" s="258"/>
      <c r="AK445" s="258"/>
      <c r="AL445" s="258"/>
      <c r="AM445" s="283"/>
      <c r="AN445" s="283"/>
      <c r="AO445" s="283"/>
      <c r="AP445" s="258"/>
      <c r="AQ445" s="258"/>
      <c r="AR445" s="283"/>
      <c r="AS445" s="283"/>
      <c r="AT445" s="283"/>
      <c r="AU445" s="283"/>
      <c r="AV445" s="283">
        <v>235741</v>
      </c>
      <c r="AW445" s="283">
        <f t="shared" si="64"/>
        <v>235741</v>
      </c>
      <c r="AX445" s="399"/>
      <c r="AY445" s="399"/>
      <c r="AZ445" s="400"/>
      <c r="BA445" s="400"/>
      <c r="BB445" s="400"/>
      <c r="BC445" s="400"/>
      <c r="BD445" s="400"/>
      <c r="BE445" s="400"/>
      <c r="BF445" s="400"/>
      <c r="BG445" s="400"/>
      <c r="BH445" s="400"/>
      <c r="BI445" s="400"/>
      <c r="BJ445" s="400"/>
      <c r="BK445" s="400"/>
      <c r="BL445" s="400"/>
      <c r="BM445" s="400"/>
      <c r="BN445" s="400"/>
      <c r="BO445" s="400"/>
      <c r="BP445" s="400"/>
      <c r="BQ445" s="400"/>
      <c r="BR445" s="258"/>
      <c r="BS445" s="258"/>
      <c r="BT445" s="258"/>
      <c r="BU445" s="258"/>
      <c r="BV445" s="258"/>
      <c r="BW445" s="258"/>
      <c r="BX445" s="258"/>
      <c r="BY445" s="258"/>
      <c r="BZ445" s="258"/>
      <c r="CA445" s="258"/>
      <c r="CB445" s="258"/>
      <c r="CC445" s="258"/>
      <c r="CD445" s="258"/>
      <c r="CE445" s="258"/>
      <c r="CF445" s="258"/>
      <c r="CG445" s="258"/>
      <c r="CH445" s="258"/>
      <c r="CI445" s="258"/>
      <c r="CJ445" s="283">
        <v>445900</v>
      </c>
      <c r="CK445" s="283">
        <f t="shared" si="65"/>
        <v>445900</v>
      </c>
      <c r="CL445" s="398"/>
      <c r="CM445" s="371"/>
      <c r="CN445" s="258"/>
    </row>
    <row r="446" ht="53" customHeight="1" spans="1:92">
      <c r="A446" s="258" t="s">
        <v>234</v>
      </c>
      <c r="B446" s="258" t="s">
        <v>234</v>
      </c>
      <c r="C446" s="258" t="s">
        <v>234</v>
      </c>
      <c r="D446" s="258" t="s">
        <v>3909</v>
      </c>
      <c r="E446" s="394" t="s">
        <v>234</v>
      </c>
      <c r="F446" s="258" t="s">
        <v>234</v>
      </c>
      <c r="G446" s="260"/>
      <c r="H446" s="283">
        <f t="shared" si="62"/>
        <v>75952</v>
      </c>
      <c r="I446" s="406" t="s">
        <v>3908</v>
      </c>
      <c r="J446" s="258"/>
      <c r="K446" s="258"/>
      <c r="L446" s="258"/>
      <c r="M446" s="258"/>
      <c r="N446" s="258"/>
      <c r="O446" s="258"/>
      <c r="P446" s="258"/>
      <c r="Q446" s="258"/>
      <c r="R446" s="258"/>
      <c r="S446" s="258"/>
      <c r="T446" s="258"/>
      <c r="U446" s="258"/>
      <c r="V446" s="258"/>
      <c r="W446" s="258"/>
      <c r="X446" s="258"/>
      <c r="Y446" s="258"/>
      <c r="Z446" s="258"/>
      <c r="AA446" s="258"/>
      <c r="AB446" s="258"/>
      <c r="AC446" s="258"/>
      <c r="AD446" s="258"/>
      <c r="AE446" s="258"/>
      <c r="AF446" s="258"/>
      <c r="AG446" s="258"/>
      <c r="AH446" s="258"/>
      <c r="AI446" s="258"/>
      <c r="AJ446" s="258"/>
      <c r="AK446" s="258"/>
      <c r="AL446" s="258"/>
      <c r="AM446" s="283"/>
      <c r="AN446" s="283"/>
      <c r="AO446" s="283"/>
      <c r="AP446" s="258"/>
      <c r="AQ446" s="258"/>
      <c r="AR446" s="283"/>
      <c r="AS446" s="283"/>
      <c r="AT446" s="283"/>
      <c r="AU446" s="283"/>
      <c r="AV446" s="283">
        <v>71804</v>
      </c>
      <c r="AW446" s="283">
        <f t="shared" si="64"/>
        <v>71804</v>
      </c>
      <c r="AX446" s="399"/>
      <c r="AY446" s="399"/>
      <c r="AZ446" s="400"/>
      <c r="BA446" s="400"/>
      <c r="BB446" s="400"/>
      <c r="BC446" s="400"/>
      <c r="BD446" s="400"/>
      <c r="BE446" s="400"/>
      <c r="BF446" s="400"/>
      <c r="BG446" s="400"/>
      <c r="BH446" s="400"/>
      <c r="BI446" s="400"/>
      <c r="BJ446" s="400"/>
      <c r="BK446" s="400"/>
      <c r="BL446" s="400"/>
      <c r="BM446" s="400"/>
      <c r="BN446" s="400"/>
      <c r="BO446" s="400"/>
      <c r="BP446" s="400"/>
      <c r="BQ446" s="400"/>
      <c r="BR446" s="258"/>
      <c r="BS446" s="258"/>
      <c r="BT446" s="258"/>
      <c r="BU446" s="258"/>
      <c r="BV446" s="258"/>
      <c r="BW446" s="258"/>
      <c r="BX446" s="258"/>
      <c r="BY446" s="258"/>
      <c r="BZ446" s="258"/>
      <c r="CA446" s="258"/>
      <c r="CB446" s="258"/>
      <c r="CC446" s="258"/>
      <c r="CD446" s="258"/>
      <c r="CE446" s="258"/>
      <c r="CF446" s="258"/>
      <c r="CG446" s="258"/>
      <c r="CH446" s="258"/>
      <c r="CI446" s="258"/>
      <c r="CJ446" s="283">
        <v>80100</v>
      </c>
      <c r="CK446" s="283">
        <f t="shared" si="65"/>
        <v>80100</v>
      </c>
      <c r="CL446" s="398"/>
      <c r="CM446" s="371"/>
      <c r="CN446" s="258"/>
    </row>
    <row r="447" ht="53" customHeight="1" spans="1:92">
      <c r="A447" s="258" t="s">
        <v>234</v>
      </c>
      <c r="B447" s="258" t="s">
        <v>234</v>
      </c>
      <c r="C447" s="258" t="s">
        <v>234</v>
      </c>
      <c r="D447" s="258" t="s">
        <v>3910</v>
      </c>
      <c r="E447" s="394" t="s">
        <v>234</v>
      </c>
      <c r="F447" s="258" t="s">
        <v>234</v>
      </c>
      <c r="G447" s="260"/>
      <c r="H447" s="283">
        <f t="shared" si="62"/>
        <v>13613</v>
      </c>
      <c r="I447" s="406" t="s">
        <v>3908</v>
      </c>
      <c r="J447" s="258"/>
      <c r="K447" s="258"/>
      <c r="L447" s="258"/>
      <c r="M447" s="258"/>
      <c r="N447" s="258"/>
      <c r="O447" s="258"/>
      <c r="P447" s="258"/>
      <c r="Q447" s="258"/>
      <c r="R447" s="258"/>
      <c r="S447" s="258"/>
      <c r="T447" s="258"/>
      <c r="U447" s="258"/>
      <c r="V447" s="258"/>
      <c r="W447" s="258"/>
      <c r="X447" s="258"/>
      <c r="Y447" s="258"/>
      <c r="Z447" s="258"/>
      <c r="AA447" s="258"/>
      <c r="AB447" s="258"/>
      <c r="AC447" s="258"/>
      <c r="AD447" s="258"/>
      <c r="AE447" s="258"/>
      <c r="AF447" s="258"/>
      <c r="AG447" s="258"/>
      <c r="AH447" s="258"/>
      <c r="AI447" s="258"/>
      <c r="AJ447" s="258"/>
      <c r="AK447" s="258"/>
      <c r="AL447" s="258"/>
      <c r="AM447" s="283"/>
      <c r="AN447" s="283"/>
      <c r="AO447" s="283"/>
      <c r="AP447" s="258"/>
      <c r="AQ447" s="258"/>
      <c r="AR447" s="283"/>
      <c r="AS447" s="283"/>
      <c r="AT447" s="283"/>
      <c r="AU447" s="283"/>
      <c r="AV447" s="283">
        <v>17626</v>
      </c>
      <c r="AW447" s="283">
        <f t="shared" si="64"/>
        <v>17626</v>
      </c>
      <c r="AX447" s="399"/>
      <c r="AY447" s="399"/>
      <c r="AZ447" s="400"/>
      <c r="BA447" s="400"/>
      <c r="BB447" s="400"/>
      <c r="BC447" s="400"/>
      <c r="BD447" s="400"/>
      <c r="BE447" s="400"/>
      <c r="BF447" s="400"/>
      <c r="BG447" s="400"/>
      <c r="BH447" s="400"/>
      <c r="BI447" s="400"/>
      <c r="BJ447" s="400"/>
      <c r="BK447" s="400"/>
      <c r="BL447" s="400"/>
      <c r="BM447" s="400"/>
      <c r="BN447" s="400"/>
      <c r="BO447" s="400"/>
      <c r="BP447" s="400"/>
      <c r="BQ447" s="400"/>
      <c r="BR447" s="258"/>
      <c r="BS447" s="258"/>
      <c r="BT447" s="258"/>
      <c r="BU447" s="258"/>
      <c r="BV447" s="258"/>
      <c r="BW447" s="258"/>
      <c r="BX447" s="258"/>
      <c r="BY447" s="258"/>
      <c r="BZ447" s="258"/>
      <c r="CA447" s="258"/>
      <c r="CB447" s="258"/>
      <c r="CC447" s="258"/>
      <c r="CD447" s="258"/>
      <c r="CE447" s="258"/>
      <c r="CF447" s="258"/>
      <c r="CG447" s="258"/>
      <c r="CH447" s="258"/>
      <c r="CI447" s="258"/>
      <c r="CJ447" s="283">
        <v>9600</v>
      </c>
      <c r="CK447" s="283">
        <f t="shared" si="65"/>
        <v>9600</v>
      </c>
      <c r="CL447" s="398"/>
      <c r="CM447" s="371"/>
      <c r="CN447" s="258"/>
    </row>
    <row r="448" ht="15.6" spans="1:92">
      <c r="A448" s="258" t="s">
        <v>159</v>
      </c>
      <c r="B448" s="258" t="s">
        <v>234</v>
      </c>
      <c r="C448" s="258" t="s">
        <v>234</v>
      </c>
      <c r="D448" s="258" t="s">
        <v>3911</v>
      </c>
      <c r="E448" s="258" t="s">
        <v>234</v>
      </c>
      <c r="F448" s="260" t="s">
        <v>234</v>
      </c>
      <c r="G448" s="260"/>
      <c r="H448" s="283">
        <f t="shared" si="62"/>
        <v>21429.5666666667</v>
      </c>
      <c r="I448" s="260" t="s">
        <v>3103</v>
      </c>
      <c r="J448" s="258"/>
      <c r="K448" s="258"/>
      <c r="L448" s="258"/>
      <c r="M448" s="258"/>
      <c r="N448" s="258"/>
      <c r="O448" s="258"/>
      <c r="P448" s="258"/>
      <c r="Q448" s="258"/>
      <c r="R448" s="258"/>
      <c r="S448" s="258"/>
      <c r="T448" s="258"/>
      <c r="U448" s="258"/>
      <c r="V448" s="258"/>
      <c r="W448" s="258"/>
      <c r="X448" s="258"/>
      <c r="Y448" s="258"/>
      <c r="Z448" s="258"/>
      <c r="AA448" s="258"/>
      <c r="AB448" s="258"/>
      <c r="AC448" s="258"/>
      <c r="AD448" s="258"/>
      <c r="AE448" s="258"/>
      <c r="AF448" s="258"/>
      <c r="AG448" s="258"/>
      <c r="AH448" s="258"/>
      <c r="AI448" s="258"/>
      <c r="AJ448" s="367">
        <v>29287</v>
      </c>
      <c r="AK448" s="283" t="s">
        <v>3912</v>
      </c>
      <c r="AL448" s="283">
        <v>26637</v>
      </c>
      <c r="AM448" s="283" t="s">
        <v>3913</v>
      </c>
      <c r="AN448" s="283" t="s">
        <v>3914</v>
      </c>
      <c r="AO448" s="283" t="s">
        <v>3915</v>
      </c>
      <c r="AP448" s="283">
        <f>37141*0.1872*2</f>
        <v>13905.5904</v>
      </c>
      <c r="AQ448" s="283" t="s">
        <v>3916</v>
      </c>
      <c r="AR448" s="283" t="s">
        <v>3917</v>
      </c>
      <c r="AS448" s="283" t="s">
        <v>3918</v>
      </c>
      <c r="AT448" s="283" t="s">
        <v>3919</v>
      </c>
      <c r="AU448" s="283" t="s">
        <v>3920</v>
      </c>
      <c r="AV448" s="283" t="s">
        <v>3921</v>
      </c>
      <c r="AW448" s="283">
        <f>SUM(AV448*3+AU448*2+AT448*1)/6</f>
        <v>35064</v>
      </c>
      <c r="AX448" s="283"/>
      <c r="AY448" s="283"/>
      <c r="AZ448" s="283"/>
      <c r="BA448" s="283"/>
      <c r="BB448" s="283"/>
      <c r="BC448" s="283"/>
      <c r="BD448" s="283"/>
      <c r="BE448" s="283"/>
      <c r="BF448" s="283"/>
      <c r="BG448" s="283"/>
      <c r="BH448" s="283"/>
      <c r="BI448" s="283"/>
      <c r="BJ448" s="283"/>
      <c r="BK448" s="283"/>
      <c r="BL448" s="283"/>
      <c r="BM448" s="283"/>
      <c r="BN448" s="283"/>
      <c r="BO448" s="283"/>
      <c r="BP448" s="283"/>
      <c r="BQ448" s="283"/>
      <c r="BR448" s="283"/>
      <c r="BS448" s="283"/>
      <c r="BT448" s="283"/>
      <c r="BU448" s="283"/>
      <c r="BV448" s="283"/>
      <c r="BW448" s="283"/>
      <c r="BX448" s="283">
        <v>50600</v>
      </c>
      <c r="BY448" s="283">
        <v>50600</v>
      </c>
      <c r="BZ448" s="283">
        <v>69500</v>
      </c>
      <c r="CA448" s="283">
        <v>44800</v>
      </c>
      <c r="CB448" s="283">
        <v>60300</v>
      </c>
      <c r="CC448" s="283">
        <v>32400</v>
      </c>
      <c r="CD448" s="283">
        <v>16900</v>
      </c>
      <c r="CE448" s="283">
        <v>16900</v>
      </c>
      <c r="CF448" s="283">
        <v>9400</v>
      </c>
      <c r="CG448" s="283">
        <v>22800</v>
      </c>
      <c r="CH448" s="283">
        <v>19570.8</v>
      </c>
      <c r="CI448" s="283">
        <v>3700</v>
      </c>
      <c r="CJ448" s="283">
        <v>6600</v>
      </c>
      <c r="CK448" s="283">
        <f>SUM(CJ448*3+CI448*2+CH448*1)/6</f>
        <v>7795.13333333333</v>
      </c>
      <c r="CL448" s="398"/>
      <c r="CM448" s="371">
        <f>Summary!$D$8</f>
        <v>724303.229333334</v>
      </c>
      <c r="CN448" s="258">
        <f>IF(_xlfn.IFNA(CM448,0),IF(AND(H448/CM448&gt;=0.05,B448&lt;&gt;"官网"),1,0),0)</f>
        <v>0</v>
      </c>
    </row>
    <row r="449" spans="4:6">
      <c r="D449" s="200"/>
      <c r="F449" s="255"/>
    </row>
    <row r="450" spans="4:4">
      <c r="D450" s="200"/>
    </row>
    <row r="451" spans="4:4">
      <c r="D451" s="200"/>
    </row>
    <row r="452" spans="4:4">
      <c r="D452" s="200"/>
    </row>
    <row r="453" spans="4:4">
      <c r="D453" s="200"/>
    </row>
    <row r="454" spans="4:4">
      <c r="D454" s="200"/>
    </row>
    <row r="455" spans="4:4">
      <c r="D455" s="200"/>
    </row>
    <row r="456" spans="4:4">
      <c r="D456" s="200"/>
    </row>
    <row r="457" spans="4:4">
      <c r="D457" s="200"/>
    </row>
    <row r="458" spans="4:4">
      <c r="D458" s="200"/>
    </row>
    <row r="459" spans="4:4">
      <c r="D459" s="200"/>
    </row>
    <row r="460" spans="4:4">
      <c r="D460" s="200"/>
    </row>
    <row r="461" spans="4:4">
      <c r="D461" s="200"/>
    </row>
    <row r="462" spans="4:4">
      <c r="D462" s="200"/>
    </row>
    <row r="463" spans="4:4">
      <c r="D463" s="200"/>
    </row>
    <row r="464" spans="4:4">
      <c r="D464" s="200"/>
    </row>
    <row r="465" spans="4:4">
      <c r="D465" s="200"/>
    </row>
    <row r="466" spans="4:4">
      <c r="D466" s="200"/>
    </row>
  </sheetData>
  <autoFilter ref="A1:CN448">
    <extLst/>
  </autoFilter>
  <sortState ref="A2:CL245">
    <sortCondition ref="V2" descending="1"/>
  </sortState>
  <conditionalFormatting sqref="I56:P56">
    <cfRule type="cellIs" dxfId="3" priority="49" operator="greaterThan">
      <formula>0</formula>
    </cfRule>
    <cfRule type="cellIs" dxfId="4" priority="50" operator="equal">
      <formula>0</formula>
    </cfRule>
  </conditionalFormatting>
  <conditionalFormatting sqref="CI138:CJ138">
    <cfRule type="cellIs" dxfId="3" priority="15" operator="greaterThan">
      <formula>0</formula>
    </cfRule>
    <cfRule type="cellIs" dxfId="4" priority="16" operator="equal">
      <formula>0</formula>
    </cfRule>
  </conditionalFormatting>
  <conditionalFormatting sqref="CI182">
    <cfRule type="cellIs" dxfId="4" priority="12" operator="equal">
      <formula>0</formula>
    </cfRule>
    <cfRule type="cellIs" dxfId="3" priority="11" operator="greaterThan">
      <formula>0</formula>
    </cfRule>
  </conditionalFormatting>
  <conditionalFormatting sqref="CJ182">
    <cfRule type="cellIs" dxfId="4" priority="10" operator="equal">
      <formula>0</formula>
    </cfRule>
    <cfRule type="cellIs" dxfId="3" priority="9" operator="greaterThan">
      <formula>0</formula>
    </cfRule>
  </conditionalFormatting>
  <conditionalFormatting sqref="CI199:CJ199">
    <cfRule type="cellIs" dxfId="3" priority="13" operator="greaterThan">
      <formula>0</formula>
    </cfRule>
    <cfRule type="cellIs" dxfId="4" priority="14" operator="equal">
      <formula>0</formula>
    </cfRule>
  </conditionalFormatting>
  <conditionalFormatting sqref="CJ444">
    <cfRule type="cellIs" dxfId="4" priority="8" operator="equal">
      <formula>0</formula>
    </cfRule>
    <cfRule type="cellIs" dxfId="3" priority="7" operator="greaterThan">
      <formula>0</formula>
    </cfRule>
  </conditionalFormatting>
  <conditionalFormatting sqref="CJ445">
    <cfRule type="cellIs" dxfId="4" priority="6" operator="equal">
      <formula>0</formula>
    </cfRule>
    <cfRule type="cellIs" dxfId="3" priority="5" operator="greaterThan">
      <formula>0</formula>
    </cfRule>
  </conditionalFormatting>
  <conditionalFormatting sqref="CJ446">
    <cfRule type="cellIs" dxfId="4" priority="4" operator="equal">
      <formula>0</formula>
    </cfRule>
    <cfRule type="cellIs" dxfId="3" priority="3" operator="greaterThan">
      <formula>0</formula>
    </cfRule>
  </conditionalFormatting>
  <conditionalFormatting sqref="CJ447">
    <cfRule type="cellIs" dxfId="4" priority="2" operator="equal">
      <formula>0</formula>
    </cfRule>
    <cfRule type="cellIs" dxfId="3" priority="1" operator="greaterThan">
      <formula>0</formula>
    </cfRule>
  </conditionalFormatting>
  <conditionalFormatting sqref="AT1:AT448">
    <cfRule type="cellIs" dxfId="3" priority="17" operator="greaterThan">
      <formula>0</formula>
    </cfRule>
    <cfRule type="cellIs" dxfId="4" priority="18" operator="equal">
      <formula>0</formula>
    </cfRule>
  </conditionalFormatting>
  <conditionalFormatting sqref="AT449:AT1048576">
    <cfRule type="cellIs" dxfId="3" priority="19" operator="greaterThan">
      <formula>0</formula>
    </cfRule>
    <cfRule type="cellIs" dxfId="4" priority="20" operator="equal">
      <formula>0</formula>
    </cfRule>
  </conditionalFormatting>
  <conditionalFormatting sqref="AR1:AS447 AK57:AQ298 CK3:CK447 AD1:AQ55 AW1:CK2 AW3:AW447 AX3:CJ55 AK448:AS448 AW448:CK448">
    <cfRule type="cellIs" dxfId="3" priority="51" operator="greaterThan">
      <formula>0</formula>
    </cfRule>
    <cfRule type="cellIs" dxfId="4" priority="52" operator="equal">
      <formula>0</formula>
    </cfRule>
  </conditionalFormatting>
  <conditionalFormatting sqref="AU1:AV448">
    <cfRule type="cellIs" dxfId="3" priority="21" operator="greaterThan">
      <formula>0</formula>
    </cfRule>
    <cfRule type="cellIs" dxfId="4" priority="22" operator="equal">
      <formula>0</formula>
    </cfRule>
  </conditionalFormatting>
  <conditionalFormatting sqref="R2:AC29 AD3:AD29 R30:AD55 R57:AD243 AD278:AJ291 AW449:CK1048576 AD449:AS1048576">
    <cfRule type="cellIs" dxfId="3" priority="123" operator="greaterThan">
      <formula>0</formula>
    </cfRule>
    <cfRule type="cellIs" dxfId="4" priority="124" operator="equal">
      <formula>0</formula>
    </cfRule>
  </conditionalFormatting>
  <conditionalFormatting sqref="AD57:AJ96">
    <cfRule type="cellIs" dxfId="3" priority="117" operator="greaterThan">
      <formula>0</formula>
    </cfRule>
    <cfRule type="cellIs" dxfId="4" priority="118" operator="equal">
      <formula>0</formula>
    </cfRule>
  </conditionalFormatting>
  <conditionalFormatting sqref="AX57:CJ137 AX200:CJ443 AX444:CI447 AX183:CJ198 AX138:CH138 AX199:CH199 AX139:CJ181 AX182:CH182">
    <cfRule type="cellIs" dxfId="3" priority="25" operator="greaterThan">
      <formula>0</formula>
    </cfRule>
    <cfRule type="cellIs" dxfId="4" priority="26" operator="equal">
      <formula>0</formula>
    </cfRule>
  </conditionalFormatting>
  <conditionalFormatting sqref="AD97:AI97 AD98:AJ100 AD101:AI102 AD103:AJ103 AD104:AI104 AD105:AJ107 AD108:AI108 AD109:AJ109 AD110:AI113 AD114:AJ114 AD115:AI115 AD116:AJ116 AD117:AI117 AD118:AJ122 AD123:AI123 AD124:AJ126 AD127:AI127 AD128:AJ129 AD130:AI134 AD135:AJ140 AD141:AI141 AD142:AJ142 AD143:AI144 AD145:AJ145 AD146:AI146 AD147:AJ147 AD148:AI148 AD149:AJ150 AD151:AI151 AD152:AJ152 AD153:AI158 AD159:AJ159 AD160:AI160 AD161:AJ161 AD162:AI162 AD163:AJ163 AD164:AI170 AD171:AJ173 AD174:AI176 AD177:AJ177 AD178:AI178 AD179:AJ179 AD180:AI180 AD181:AJ182 AD183:AI184 AD185:AJ185 AD186:AI194 AD195:AJ203 AD204:AI209 AD210:AJ214 AD215:AI216 AD217:AJ218 AD219:AI220 AD221:AJ221 AD222:AI228 AD229:AJ229 AD230:AI230 AD231:AJ231 AD232:AI236 AD237:AJ237 AD238:AI238 AD239:AJ239 AD240:AI242 AD243:AJ243 AG244:AJ244 AD245:AI252 AD253:AJ253 AD254:AI256 AD257:AJ257 AD258:AI277 AD292:AI298 AD448:AI448">
    <cfRule type="cellIs" dxfId="3" priority="121" operator="greaterThan">
      <formula>0</formula>
    </cfRule>
    <cfRule type="cellIs" dxfId="4" priority="122" operator="equal">
      <formula>0</formula>
    </cfRule>
  </conditionalFormatting>
  <conditionalFormatting sqref="AD299:AQ447">
    <cfRule type="cellIs" dxfId="3" priority="39" operator="greaterThan">
      <formula>0</formula>
    </cfRule>
    <cfRule type="cellIs" dxfId="4" priority="40" operator="equal">
      <formula>0</formula>
    </cfRule>
  </conditionalFormatting>
  <conditionalFormatting sqref="AU449:AV1048576">
    <cfRule type="cellIs" dxfId="3" priority="23" operator="greaterThan">
      <formula>0</formula>
    </cfRule>
    <cfRule type="cellIs" dxfId="4" priority="24" operator="equal">
      <formula>0</formula>
    </cfRule>
  </conditionalFormatting>
  <pageMargins left="0.7" right="0.7" top="0.75" bottom="0.75" header="0.3" footer="0.3"/>
  <pageSetup paperSize="9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E214"/>
  <sheetViews>
    <sheetView workbookViewId="0">
      <selection activeCell="A1" sqref="A1"/>
    </sheetView>
  </sheetViews>
  <sheetFormatPr defaultColWidth="9" defaultRowHeight="14.4"/>
  <cols>
    <col min="1" max="1" width="19.1111111111111" style="89" customWidth="1"/>
    <col min="2" max="2" width="31.6666666666667" style="89" customWidth="1"/>
    <col min="3" max="3" width="21.4444444444444" style="95" customWidth="1"/>
    <col min="4" max="4" width="23.7777777777778" style="95" customWidth="1"/>
    <col min="5" max="5" width="14.8888888888889" style="194" customWidth="1"/>
    <col min="6" max="6" width="10.7777777777778" style="89" customWidth="1"/>
    <col min="7" max="7" width="11.1111111111111" style="89" customWidth="1"/>
    <col min="8" max="8" width="10.8888888888889" style="89" customWidth="1"/>
    <col min="9" max="9" width="11.1111111111111" style="89" customWidth="1"/>
    <col min="10" max="10" width="21.4444444444444" style="95" customWidth="1"/>
    <col min="11" max="11" width="23.7777777777778" style="95" customWidth="1"/>
    <col min="12" max="12" width="14.8888888888889" style="194" customWidth="1"/>
    <col min="13" max="13" width="10.7777777777778" style="89" customWidth="1"/>
    <col min="14" max="14" width="11.1111111111111" style="89" customWidth="1"/>
    <col min="15" max="15" width="10.8888888888889" style="89" customWidth="1"/>
    <col min="16" max="16" width="11.1111111111111" style="89" customWidth="1"/>
    <col min="17" max="17" width="21.4444444444444" style="95" customWidth="1"/>
    <col min="18" max="18" width="23.7777777777778" style="95" customWidth="1"/>
    <col min="19" max="19" width="14.8888888888889" style="194" customWidth="1"/>
    <col min="20" max="20" width="10.7777777777778" style="89" customWidth="1"/>
    <col min="21" max="21" width="11.1111111111111" style="89" customWidth="1"/>
    <col min="22" max="22" width="10.8888888888889" style="89" customWidth="1"/>
    <col min="23" max="23" width="11.1111111111111" style="89" customWidth="1"/>
    <col min="24" max="24" width="21.4444444444444" style="95" customWidth="1"/>
    <col min="25" max="25" width="23.7777777777778" style="95" customWidth="1"/>
    <col min="26" max="26" width="14.8888888888889" style="194" customWidth="1"/>
    <col min="27" max="27" width="10.7777777777778" style="89" customWidth="1"/>
    <col min="28" max="28" width="11.1111111111111" style="89" customWidth="1"/>
    <col min="29" max="29" width="10.8888888888889" style="89" customWidth="1"/>
    <col min="30" max="30" width="11.1111111111111" style="89" customWidth="1"/>
    <col min="31" max="31" width="21.4444444444444" style="95" customWidth="1"/>
    <col min="32" max="32" width="23.7777777777778" style="95" customWidth="1"/>
    <col min="33" max="33" width="14.8888888888889" style="194" customWidth="1"/>
    <col min="34" max="34" width="10.7777777777778" style="89" customWidth="1"/>
    <col min="35" max="35" width="11.1111111111111" style="89" customWidth="1"/>
    <col min="36" max="36" width="10.8888888888889" style="89" customWidth="1"/>
    <col min="37" max="37" width="11.1111111111111" style="89" customWidth="1"/>
    <col min="38" max="38" width="21.4444444444444" style="95" customWidth="1"/>
    <col min="39" max="39" width="23.7777777777778" style="95" customWidth="1"/>
    <col min="40" max="40" width="14.8888888888889" style="95" customWidth="1"/>
    <col min="41" max="41" width="10.7777777777778" style="89" customWidth="1"/>
    <col min="42" max="42" width="11.1111111111111" style="89" customWidth="1"/>
    <col min="43" max="43" width="10.8888888888889" style="89" customWidth="1"/>
    <col min="44" max="44" width="11.1111111111111" style="89" customWidth="1"/>
    <col min="45" max="45" width="21.4444444444444" style="95" hidden="1" customWidth="1"/>
    <col min="46" max="46" width="23.7777777777778" style="95" hidden="1" customWidth="1"/>
    <col min="47" max="47" width="14.8888888888889" style="95" hidden="1" customWidth="1"/>
    <col min="48" max="48" width="10.7777777777778" style="89" hidden="1" customWidth="1"/>
    <col min="49" max="49" width="11.1111111111111" style="89" hidden="1" customWidth="1"/>
    <col min="50" max="50" width="10.8888888888889" style="89" hidden="1" customWidth="1"/>
    <col min="51" max="51" width="11.1111111111111" style="89" hidden="1" customWidth="1"/>
    <col min="52" max="52" width="21.4444444444444" style="95" hidden="1" customWidth="1"/>
    <col min="53" max="53" width="23.7777777777778" style="95" hidden="1" customWidth="1"/>
    <col min="54" max="54" width="14.8888888888889" style="95" hidden="1" customWidth="1"/>
    <col min="55" max="55" width="10.7777777777778" style="89" hidden="1" customWidth="1"/>
    <col min="56" max="56" width="11.1111111111111" style="89" hidden="1" customWidth="1"/>
    <col min="57" max="57" width="10.8888888888889" style="89" hidden="1" customWidth="1"/>
    <col min="58" max="58" width="11.1111111111111" style="89" hidden="1" customWidth="1"/>
    <col min="59" max="59" width="21.4444444444444" style="95" hidden="1" customWidth="1"/>
    <col min="60" max="60" width="23.7777777777778" style="95" hidden="1" customWidth="1"/>
    <col min="61" max="61" width="14.8888888888889" style="95" hidden="1" customWidth="1"/>
    <col min="62" max="62" width="10.7777777777778" style="89" hidden="1" customWidth="1"/>
    <col min="63" max="63" width="11.1111111111111" style="89" hidden="1" customWidth="1"/>
    <col min="64" max="64" width="10.8888888888889" style="89" hidden="1" customWidth="1"/>
    <col min="65" max="65" width="11.1111111111111" style="89" hidden="1" customWidth="1"/>
    <col min="66" max="66" width="21.4444444444444" style="95" hidden="1" customWidth="1"/>
    <col min="67" max="67" width="23.7777777777778" style="95" hidden="1" customWidth="1"/>
    <col min="68" max="68" width="12.8888888888889" style="95" hidden="1" customWidth="1"/>
    <col min="69" max="69" width="10.7777777777778" style="89" hidden="1" customWidth="1"/>
    <col min="70" max="70" width="11.1111111111111" style="89" hidden="1" customWidth="1"/>
    <col min="71" max="71" width="10.8888888888889" style="89" hidden="1" customWidth="1"/>
    <col min="72" max="72" width="11.1111111111111" style="89" hidden="1" customWidth="1"/>
    <col min="73" max="73" width="21.4444444444444" style="95" hidden="1" customWidth="1"/>
    <col min="74" max="74" width="23.7777777777778" style="95" hidden="1" customWidth="1"/>
    <col min="75" max="75" width="12.8888888888889" style="95" hidden="1" customWidth="1"/>
    <col min="76" max="76" width="10.7777777777778" style="89" hidden="1" customWidth="1"/>
    <col min="77" max="77" width="11.1111111111111" style="89" hidden="1" customWidth="1"/>
    <col min="78" max="78" width="10.8888888888889" style="89" hidden="1" customWidth="1"/>
    <col min="79" max="79" width="11.1111111111111" style="89" hidden="1" customWidth="1"/>
    <col min="80" max="80" width="21.4444444444444" style="95" hidden="1" customWidth="1"/>
    <col min="81" max="81" width="23.7777777777778" style="95" hidden="1" customWidth="1"/>
    <col min="82" max="82" width="12.8888888888889" style="95" hidden="1" customWidth="1"/>
    <col min="83" max="83" width="10.7777777777778" style="89" hidden="1" customWidth="1"/>
    <col min="84" max="84" width="11.1111111111111" style="89" hidden="1" customWidth="1"/>
    <col min="85" max="85" width="10.8888888888889" style="89" hidden="1" customWidth="1"/>
    <col min="86" max="86" width="11.1111111111111" style="89" hidden="1" customWidth="1"/>
    <col min="87" max="87" width="21.4444444444444" style="95" hidden="1" customWidth="1"/>
    <col min="88" max="88" width="23.7777777777778" style="95" hidden="1" customWidth="1"/>
    <col min="89" max="89" width="12.8888888888889" style="95" hidden="1" customWidth="1"/>
    <col min="90" max="90" width="10.7777777777778" style="89" hidden="1" customWidth="1"/>
    <col min="91" max="91" width="11.1111111111111" style="89" hidden="1" customWidth="1"/>
    <col min="92" max="92" width="10.8888888888889" style="89" hidden="1" customWidth="1"/>
    <col min="93" max="93" width="11.1111111111111" style="89" hidden="1" customWidth="1"/>
    <col min="94" max="94" width="21.4444444444444" style="95" hidden="1" customWidth="1"/>
    <col min="95" max="95" width="23.7777777777778" style="95" hidden="1" customWidth="1"/>
    <col min="96" max="96" width="12.8888888888889" style="95" hidden="1" customWidth="1"/>
    <col min="97" max="97" width="10.7777777777778" style="89" hidden="1" customWidth="1"/>
    <col min="98" max="98" width="11.1111111111111" style="89" hidden="1" customWidth="1"/>
    <col min="99" max="99" width="10.8888888888889" style="89" hidden="1" customWidth="1"/>
    <col min="100" max="100" width="11.1111111111111" style="89" hidden="1" customWidth="1"/>
    <col min="101" max="101" width="21.4444444444444" style="95" hidden="1" customWidth="1"/>
    <col min="102" max="102" width="23.7777777777778" style="95" hidden="1" customWidth="1"/>
    <col min="103" max="103" width="12.8888888888889" style="95" hidden="1" customWidth="1"/>
    <col min="104" max="104" width="10.7777777777778" style="89" hidden="1" customWidth="1"/>
    <col min="105" max="105" width="11.1111111111111" style="89" hidden="1" customWidth="1"/>
    <col min="106" max="106" width="10.8888888888889" style="89" hidden="1" customWidth="1"/>
    <col min="107" max="107" width="11.1111111111111" style="89" hidden="1" customWidth="1"/>
    <col min="108" max="108" width="21.4444444444444" style="95" hidden="1" customWidth="1"/>
    <col min="109" max="109" width="23.7777777777778" style="95" hidden="1" customWidth="1"/>
    <col min="110" max="110" width="12.8888888888889" style="95" hidden="1" customWidth="1"/>
    <col min="111" max="111" width="10.7777777777778" style="89" hidden="1" customWidth="1"/>
    <col min="112" max="112" width="11.1111111111111" style="89" hidden="1" customWidth="1"/>
    <col min="113" max="113" width="10.8888888888889" style="89" hidden="1" customWidth="1"/>
    <col min="114" max="114" width="11.1111111111111" style="89" hidden="1" customWidth="1"/>
    <col min="115" max="115" width="21.4444444444444" style="95" hidden="1" customWidth="1"/>
    <col min="116" max="116" width="23.7777777777778" style="95" hidden="1" customWidth="1"/>
    <col min="117" max="117" width="12.8888888888889" style="95" hidden="1" customWidth="1"/>
    <col min="118" max="118" width="10.7777777777778" style="89" hidden="1" customWidth="1"/>
    <col min="119" max="119" width="11.1111111111111" style="89" hidden="1" customWidth="1"/>
    <col min="120" max="120" width="10.8888888888889" style="89" hidden="1" customWidth="1"/>
    <col min="121" max="121" width="11.1111111111111" style="89" hidden="1" customWidth="1"/>
    <col min="122" max="122" width="21.4444444444444" style="194" hidden="1" customWidth="1"/>
    <col min="123" max="123" width="23.7777777777778" style="194" hidden="1" customWidth="1"/>
    <col min="124" max="124" width="12.8888888888889" style="194" hidden="1" customWidth="1"/>
    <col min="125" max="125" width="10.7777777777778" style="188" hidden="1" customWidth="1"/>
    <col min="126" max="126" width="11.1111111111111" style="188" hidden="1" customWidth="1"/>
    <col min="127" max="127" width="10.8888888888889" style="188" hidden="1" customWidth="1"/>
    <col min="128" max="128" width="11.1111111111111" style="188" hidden="1" customWidth="1"/>
    <col min="129" max="129" width="21.4444444444444" style="95" hidden="1" customWidth="1"/>
    <col min="130" max="130" width="23.7777777777778" style="95" hidden="1" customWidth="1"/>
    <col min="131" max="131" width="12.8888888888889" style="95" hidden="1" customWidth="1"/>
    <col min="132" max="132" width="10.7777777777778" style="89" hidden="1" customWidth="1"/>
    <col min="133" max="133" width="11.1111111111111" style="89" hidden="1" customWidth="1"/>
    <col min="134" max="134" width="10.8888888888889" style="89" hidden="1" customWidth="1"/>
    <col min="135" max="135" width="11.1111111111111" style="89" hidden="1" customWidth="1"/>
    <col min="136" max="136" width="21.4444444444444" style="95" hidden="1" customWidth="1"/>
    <col min="137" max="137" width="23.7777777777778" style="95" hidden="1" customWidth="1"/>
    <col min="138" max="138" width="12.8888888888889" style="95" hidden="1" customWidth="1"/>
    <col min="139" max="139" width="10.7777777777778" style="89" hidden="1" customWidth="1"/>
    <col min="140" max="140" width="11.1111111111111" style="89" hidden="1" customWidth="1"/>
    <col min="141" max="141" width="10.8888888888889" style="89" hidden="1" customWidth="1"/>
    <col min="142" max="142" width="11.1111111111111" style="89" hidden="1" customWidth="1"/>
    <col min="143" max="143" width="21.4444444444444" style="95" hidden="1" customWidth="1"/>
    <col min="144" max="144" width="22.6666666666667" style="95" hidden="1" customWidth="1"/>
    <col min="145" max="145" width="12.8888888888889" style="95" hidden="1" customWidth="1"/>
    <col min="146" max="146" width="10.7777777777778" style="89" hidden="1" customWidth="1"/>
    <col min="147" max="147" width="11.1111111111111" style="89" hidden="1" customWidth="1"/>
    <col min="148" max="148" width="10.8888888888889" style="89" hidden="1" customWidth="1"/>
    <col min="149" max="149" width="11.1111111111111" style="89" hidden="1" customWidth="1"/>
    <col min="150" max="150" width="21.4444444444444" style="95" hidden="1" customWidth="1"/>
    <col min="151" max="151" width="23.7777777777778" style="95" hidden="1" customWidth="1"/>
    <col min="152" max="152" width="12.8888888888889" style="95" hidden="1" customWidth="1"/>
    <col min="153" max="153" width="10.7777777777778" style="89" hidden="1" customWidth="1"/>
    <col min="154" max="154" width="11.1111111111111" style="89" hidden="1" customWidth="1"/>
    <col min="155" max="155" width="10.8888888888889" style="89" hidden="1" customWidth="1"/>
    <col min="156" max="156" width="11.1111111111111" style="89" hidden="1" customWidth="1"/>
    <col min="157" max="158" width="20.7777777777778" style="95" hidden="1" customWidth="1"/>
    <col min="159" max="159" width="10.7777777777778" style="89" hidden="1" customWidth="1"/>
    <col min="160" max="160" width="11.1111111111111" style="89" hidden="1" customWidth="1"/>
    <col min="161" max="161" width="10.8888888888889" style="89" hidden="1" customWidth="1"/>
    <col min="162" max="162" width="11.1111111111111" style="89" hidden="1" customWidth="1"/>
    <col min="163" max="164" width="20.7777777777778" style="95" hidden="1" customWidth="1"/>
    <col min="165" max="165" width="10.7777777777778" style="89" hidden="1" customWidth="1"/>
    <col min="166" max="166" width="11.1111111111111" style="89" hidden="1" customWidth="1"/>
    <col min="167" max="167" width="10.8888888888889" style="89" hidden="1" customWidth="1"/>
    <col min="168" max="168" width="11.1111111111111" style="89" hidden="1" customWidth="1"/>
    <col min="169" max="170" width="20.7777777777778" style="95" hidden="1" customWidth="1"/>
    <col min="171" max="171" width="10.7777777777778" style="89" hidden="1" customWidth="1"/>
    <col min="172" max="172" width="11.1111111111111" style="89" hidden="1" customWidth="1"/>
    <col min="173" max="173" width="10.8888888888889" style="89" hidden="1" customWidth="1"/>
    <col min="174" max="174" width="11.1111111111111" style="89" hidden="1" customWidth="1"/>
    <col min="175" max="176" width="20.7777777777778" style="95" hidden="1" customWidth="1"/>
    <col min="177" max="177" width="10.7777777777778" style="89" hidden="1" customWidth="1"/>
    <col min="178" max="178" width="11.1111111111111" style="89" hidden="1" customWidth="1"/>
    <col min="179" max="179" width="10.8888888888889" style="89" hidden="1" customWidth="1"/>
    <col min="180" max="180" width="11.1111111111111" style="89" hidden="1" customWidth="1"/>
    <col min="181" max="182" width="20.7777777777778" style="95" hidden="1" customWidth="1"/>
    <col min="183" max="183" width="10.7777777777778" style="89" hidden="1" customWidth="1"/>
    <col min="184" max="184" width="11.1111111111111" style="89" hidden="1" customWidth="1"/>
    <col min="185" max="185" width="10.8888888888889" style="89" hidden="1" customWidth="1"/>
    <col min="186" max="186" width="11.1111111111111" style="89" hidden="1" customWidth="1"/>
    <col min="187" max="188" width="20.7777777777778" style="95" hidden="1" customWidth="1"/>
    <col min="189" max="189" width="10.7777777777778" style="89" hidden="1" customWidth="1"/>
    <col min="190" max="190" width="11.1111111111111" style="89" hidden="1" customWidth="1"/>
    <col min="191" max="191" width="10.8888888888889" style="89" hidden="1" customWidth="1"/>
    <col min="192" max="192" width="11.1111111111111" style="89" hidden="1" customWidth="1"/>
    <col min="193" max="194" width="20.7777777777778" style="95" hidden="1" customWidth="1"/>
    <col min="195" max="195" width="10.7777777777778" style="89" hidden="1" customWidth="1"/>
    <col min="196" max="196" width="11.1111111111111" style="89" hidden="1" customWidth="1"/>
    <col min="197" max="197" width="10.8888888888889" style="89" hidden="1" customWidth="1"/>
    <col min="198" max="198" width="11.1111111111111" style="89" hidden="1" customWidth="1"/>
    <col min="199" max="200" width="20.7777777777778" style="95" hidden="1" customWidth="1"/>
    <col min="201" max="201" width="10.7777777777778" style="89" hidden="1" customWidth="1"/>
    <col min="202" max="202" width="11.1111111111111" style="89" hidden="1" customWidth="1"/>
    <col min="203" max="203" width="10.8888888888889" style="89" hidden="1" customWidth="1"/>
    <col min="204" max="204" width="11.1111111111111" style="89" hidden="1" customWidth="1"/>
    <col min="205" max="205" width="15" style="95" hidden="1" customWidth="1"/>
    <col min="206" max="206" width="10.7777777777778" style="89" hidden="1" customWidth="1"/>
    <col min="207" max="207" width="11.1111111111111" style="89" hidden="1" customWidth="1"/>
    <col min="208" max="208" width="10.8888888888889" style="89" hidden="1" customWidth="1"/>
    <col min="209" max="209" width="11.1111111111111" style="89" hidden="1" customWidth="1"/>
    <col min="210" max="210" width="10.8888888888889" style="89" hidden="1" customWidth="1"/>
    <col min="211" max="211" width="10.2222222222222" style="89" hidden="1" customWidth="1"/>
    <col min="212" max="212" width="11" style="89" hidden="1" customWidth="1"/>
    <col min="213" max="213" width="10.2222222222222" style="89" hidden="1" customWidth="1"/>
  </cols>
  <sheetData>
    <row r="1" customHeight="1" spans="1:213">
      <c r="A1" s="96" t="s">
        <v>145</v>
      </c>
      <c r="B1" s="97"/>
      <c r="C1" s="116" t="s">
        <v>3922</v>
      </c>
      <c r="D1" s="128"/>
      <c r="E1" s="128"/>
      <c r="F1" s="128"/>
      <c r="G1" s="128"/>
      <c r="H1" s="128"/>
      <c r="I1" s="132"/>
      <c r="J1" s="116" t="s">
        <v>3923</v>
      </c>
      <c r="K1" s="128"/>
      <c r="L1" s="128"/>
      <c r="M1" s="128"/>
      <c r="N1" s="128"/>
      <c r="O1" s="128"/>
      <c r="P1" s="132"/>
      <c r="Q1" s="116" t="s">
        <v>3924</v>
      </c>
      <c r="R1" s="128"/>
      <c r="S1" s="128"/>
      <c r="T1" s="128"/>
      <c r="U1" s="128"/>
      <c r="V1" s="128"/>
      <c r="W1" s="132"/>
      <c r="X1" s="116" t="s">
        <v>3925</v>
      </c>
      <c r="Y1" s="128"/>
      <c r="Z1" s="128"/>
      <c r="AA1" s="128"/>
      <c r="AB1" s="128"/>
      <c r="AC1" s="128"/>
      <c r="AD1" s="132"/>
      <c r="AE1" s="116" t="s">
        <v>3926</v>
      </c>
      <c r="AF1" s="128"/>
      <c r="AG1" s="128"/>
      <c r="AH1" s="128"/>
      <c r="AI1" s="128"/>
      <c r="AJ1" s="128"/>
      <c r="AK1" s="132"/>
      <c r="AL1" s="116" t="s">
        <v>3927</v>
      </c>
      <c r="AM1" s="128"/>
      <c r="AN1" s="128"/>
      <c r="AO1" s="128"/>
      <c r="AP1" s="128"/>
      <c r="AQ1" s="128"/>
      <c r="AR1" s="132"/>
      <c r="AS1" s="116" t="s">
        <v>3928</v>
      </c>
      <c r="AT1" s="128"/>
      <c r="AU1" s="128"/>
      <c r="AV1" s="128"/>
      <c r="AW1" s="128"/>
      <c r="AX1" s="128"/>
      <c r="AY1" s="132"/>
      <c r="AZ1" s="116" t="s">
        <v>3929</v>
      </c>
      <c r="BA1" s="128"/>
      <c r="BB1" s="128"/>
      <c r="BC1" s="128"/>
      <c r="BD1" s="128"/>
      <c r="BE1" s="128"/>
      <c r="BF1" s="132"/>
      <c r="BG1" s="116" t="s">
        <v>3930</v>
      </c>
      <c r="BH1" s="128"/>
      <c r="BI1" s="128"/>
      <c r="BJ1" s="128"/>
      <c r="BK1" s="128"/>
      <c r="BL1" s="128"/>
      <c r="BM1" s="132"/>
      <c r="BN1" s="116" t="s">
        <v>3931</v>
      </c>
      <c r="BO1" s="128"/>
      <c r="BP1" s="128"/>
      <c r="BQ1" s="128"/>
      <c r="BR1" s="128"/>
      <c r="BS1" s="128"/>
      <c r="BT1" s="132"/>
      <c r="BU1" s="116" t="s">
        <v>3932</v>
      </c>
      <c r="BV1" s="128"/>
      <c r="BW1" s="128"/>
      <c r="BX1" s="128"/>
      <c r="BY1" s="128"/>
      <c r="BZ1" s="128"/>
      <c r="CA1" s="132"/>
      <c r="CB1" s="116" t="s">
        <v>3933</v>
      </c>
      <c r="CC1" s="128"/>
      <c r="CD1" s="128"/>
      <c r="CE1" s="128"/>
      <c r="CF1" s="128"/>
      <c r="CG1" s="128"/>
      <c r="CH1" s="132"/>
      <c r="CI1" s="116" t="s">
        <v>3922</v>
      </c>
      <c r="CJ1" s="128"/>
      <c r="CK1" s="128"/>
      <c r="CL1" s="128"/>
      <c r="CM1" s="128"/>
      <c r="CN1" s="128"/>
      <c r="CO1" s="132"/>
      <c r="CP1" s="116" t="s">
        <v>3934</v>
      </c>
      <c r="CQ1" s="128"/>
      <c r="CR1" s="128"/>
      <c r="CS1" s="128"/>
      <c r="CT1" s="128"/>
      <c r="CU1" s="128"/>
      <c r="CV1" s="132"/>
      <c r="CW1" s="116" t="s">
        <v>3924</v>
      </c>
      <c r="CX1" s="128"/>
      <c r="CY1" s="128"/>
      <c r="CZ1" s="128"/>
      <c r="DA1" s="128"/>
      <c r="DB1" s="128"/>
      <c r="DC1" s="132"/>
      <c r="DD1" s="116" t="s">
        <v>3935</v>
      </c>
      <c r="DE1" s="128"/>
      <c r="DF1" s="128"/>
      <c r="DG1" s="128"/>
      <c r="DH1" s="128"/>
      <c r="DI1" s="128"/>
      <c r="DJ1" s="132"/>
      <c r="DK1" s="116" t="s">
        <v>3936</v>
      </c>
      <c r="DL1" s="128"/>
      <c r="DM1" s="128"/>
      <c r="DN1" s="128"/>
      <c r="DO1" s="128"/>
      <c r="DP1" s="128"/>
      <c r="DQ1" s="132"/>
      <c r="DR1" s="325" t="s">
        <v>3937</v>
      </c>
      <c r="DS1" s="326"/>
      <c r="DT1" s="326"/>
      <c r="DU1" s="326"/>
      <c r="DV1" s="326"/>
      <c r="DW1" s="326"/>
      <c r="DX1" s="327"/>
      <c r="DY1" s="116" t="s">
        <v>3928</v>
      </c>
      <c r="DZ1" s="128"/>
      <c r="EA1" s="128"/>
      <c r="EB1" s="128"/>
      <c r="EC1" s="128"/>
      <c r="ED1" s="128"/>
      <c r="EE1" s="132"/>
      <c r="EF1" s="116" t="s">
        <v>3929</v>
      </c>
      <c r="EG1" s="128"/>
      <c r="EH1" s="128"/>
      <c r="EI1" s="128"/>
      <c r="EJ1" s="128"/>
      <c r="EK1" s="128"/>
      <c r="EL1" s="132"/>
      <c r="EM1" s="116" t="s">
        <v>3930</v>
      </c>
      <c r="EN1" s="128"/>
      <c r="EO1" s="128"/>
      <c r="EP1" s="128"/>
      <c r="EQ1" s="128"/>
      <c r="ER1" s="128"/>
      <c r="ES1" s="132"/>
      <c r="ET1" s="116" t="s">
        <v>3931</v>
      </c>
      <c r="EU1" s="128"/>
      <c r="EV1" s="128"/>
      <c r="EW1" s="128"/>
      <c r="EX1" s="128"/>
      <c r="EY1" s="128"/>
      <c r="EZ1" s="132"/>
      <c r="FA1" s="116" t="s">
        <v>3938</v>
      </c>
      <c r="FB1" s="128"/>
      <c r="FC1" s="128"/>
      <c r="FD1" s="128"/>
      <c r="FE1" s="128"/>
      <c r="FF1" s="132"/>
      <c r="FG1" s="116" t="s">
        <v>3939</v>
      </c>
      <c r="FH1" s="128"/>
      <c r="FI1" s="128"/>
      <c r="FJ1" s="128"/>
      <c r="FK1" s="128"/>
      <c r="FL1" s="132"/>
      <c r="FM1" s="116" t="s">
        <v>3940</v>
      </c>
      <c r="FN1" s="128"/>
      <c r="FO1" s="128"/>
      <c r="FP1" s="128"/>
      <c r="FQ1" s="128"/>
      <c r="FR1" s="132"/>
      <c r="FS1" s="116" t="s">
        <v>3923</v>
      </c>
      <c r="FT1" s="128"/>
      <c r="FU1" s="128"/>
      <c r="FV1" s="128"/>
      <c r="FW1" s="128"/>
      <c r="FX1" s="132"/>
      <c r="FY1" s="116" t="s">
        <v>3924</v>
      </c>
      <c r="FZ1" s="128"/>
      <c r="GA1" s="128"/>
      <c r="GB1" s="128"/>
      <c r="GC1" s="128"/>
      <c r="GD1" s="132"/>
      <c r="GE1" s="116" t="s">
        <v>3925</v>
      </c>
      <c r="GF1" s="128"/>
      <c r="GG1" s="128"/>
      <c r="GH1" s="128"/>
      <c r="GI1" s="128"/>
      <c r="GJ1" s="132"/>
      <c r="GK1" s="116" t="s">
        <v>3926</v>
      </c>
      <c r="GL1" s="128"/>
      <c r="GM1" s="128"/>
      <c r="GN1" s="128"/>
      <c r="GO1" s="128"/>
      <c r="GP1" s="132"/>
      <c r="GQ1" s="116" t="s">
        <v>3941</v>
      </c>
      <c r="GR1" s="128"/>
      <c r="GS1" s="128"/>
      <c r="GT1" s="128"/>
      <c r="GU1" s="128"/>
      <c r="GV1" s="132"/>
      <c r="GW1" s="116" t="s">
        <v>3942</v>
      </c>
      <c r="GX1" s="128"/>
      <c r="GY1" s="128"/>
      <c r="GZ1" s="128"/>
      <c r="HA1" s="132"/>
      <c r="HB1" s="116" t="s">
        <v>3943</v>
      </c>
      <c r="HC1" s="128"/>
      <c r="HD1" s="128"/>
      <c r="HE1" s="132"/>
    </row>
    <row r="2" ht="28.2" spans="1:213">
      <c r="A2" s="101" t="s">
        <v>3944</v>
      </c>
      <c r="B2" s="102" t="s">
        <v>207</v>
      </c>
      <c r="C2" s="120" t="s">
        <v>3945</v>
      </c>
      <c r="D2" s="120" t="s">
        <v>3946</v>
      </c>
      <c r="E2" s="313" t="s">
        <v>3947</v>
      </c>
      <c r="F2" s="119" t="s">
        <v>3948</v>
      </c>
      <c r="G2" s="119" t="s">
        <v>3949</v>
      </c>
      <c r="H2" s="119" t="s">
        <v>3950</v>
      </c>
      <c r="I2" s="119" t="s">
        <v>3951</v>
      </c>
      <c r="J2" s="120" t="s">
        <v>3945</v>
      </c>
      <c r="K2" s="120" t="s">
        <v>3946</v>
      </c>
      <c r="L2" s="313" t="s">
        <v>3947</v>
      </c>
      <c r="M2" s="119" t="s">
        <v>3948</v>
      </c>
      <c r="N2" s="119" t="s">
        <v>3949</v>
      </c>
      <c r="O2" s="119" t="s">
        <v>3950</v>
      </c>
      <c r="P2" s="119" t="s">
        <v>3951</v>
      </c>
      <c r="Q2" s="120" t="s">
        <v>3945</v>
      </c>
      <c r="R2" s="120" t="s">
        <v>3946</v>
      </c>
      <c r="S2" s="313" t="s">
        <v>3947</v>
      </c>
      <c r="T2" s="119" t="s">
        <v>3948</v>
      </c>
      <c r="U2" s="119" t="s">
        <v>3949</v>
      </c>
      <c r="V2" s="119" t="s">
        <v>3950</v>
      </c>
      <c r="W2" s="119" t="s">
        <v>3951</v>
      </c>
      <c r="X2" s="120" t="s">
        <v>3952</v>
      </c>
      <c r="Y2" s="120" t="s">
        <v>3953</v>
      </c>
      <c r="Z2" s="313" t="s">
        <v>3947</v>
      </c>
      <c r="AA2" s="119" t="s">
        <v>3948</v>
      </c>
      <c r="AB2" s="119" t="s">
        <v>3949</v>
      </c>
      <c r="AC2" s="119" t="s">
        <v>3950</v>
      </c>
      <c r="AD2" s="119" t="s">
        <v>3951</v>
      </c>
      <c r="AE2" s="120" t="s">
        <v>3954</v>
      </c>
      <c r="AF2" s="120" t="s">
        <v>3955</v>
      </c>
      <c r="AG2" s="313" t="s">
        <v>3947</v>
      </c>
      <c r="AH2" s="119" t="s">
        <v>3948</v>
      </c>
      <c r="AI2" s="119" t="s">
        <v>3949</v>
      </c>
      <c r="AJ2" s="119" t="s">
        <v>3950</v>
      </c>
      <c r="AK2" s="119" t="s">
        <v>3951</v>
      </c>
      <c r="AL2" s="120" t="s">
        <v>3956</v>
      </c>
      <c r="AM2" s="120" t="s">
        <v>3957</v>
      </c>
      <c r="AN2" s="119" t="s">
        <v>3947</v>
      </c>
      <c r="AO2" s="119" t="s">
        <v>3948</v>
      </c>
      <c r="AP2" s="119" t="s">
        <v>3949</v>
      </c>
      <c r="AQ2" s="119" t="s">
        <v>3950</v>
      </c>
      <c r="AR2" s="119" t="s">
        <v>3951</v>
      </c>
      <c r="AS2" s="120" t="s">
        <v>3958</v>
      </c>
      <c r="AT2" s="120" t="s">
        <v>3959</v>
      </c>
      <c r="AU2" s="119" t="s">
        <v>3947</v>
      </c>
      <c r="AV2" s="119" t="s">
        <v>3948</v>
      </c>
      <c r="AW2" s="119" t="s">
        <v>3949</v>
      </c>
      <c r="AX2" s="119" t="s">
        <v>3950</v>
      </c>
      <c r="AY2" s="119" t="s">
        <v>3951</v>
      </c>
      <c r="AZ2" s="120" t="s">
        <v>3960</v>
      </c>
      <c r="BA2" s="120" t="s">
        <v>3961</v>
      </c>
      <c r="BB2" s="119" t="s">
        <v>3947</v>
      </c>
      <c r="BC2" s="119" t="s">
        <v>3948</v>
      </c>
      <c r="BD2" s="119" t="s">
        <v>3949</v>
      </c>
      <c r="BE2" s="119" t="s">
        <v>3950</v>
      </c>
      <c r="BF2" s="119" t="s">
        <v>3951</v>
      </c>
      <c r="BG2" s="120" t="s">
        <v>3962</v>
      </c>
      <c r="BH2" s="120" t="s">
        <v>3963</v>
      </c>
      <c r="BI2" s="119" t="s">
        <v>3947</v>
      </c>
      <c r="BJ2" s="119" t="s">
        <v>3948</v>
      </c>
      <c r="BK2" s="119" t="s">
        <v>3949</v>
      </c>
      <c r="BL2" s="119" t="s">
        <v>3950</v>
      </c>
      <c r="BM2" s="119" t="s">
        <v>3951</v>
      </c>
      <c r="BN2" s="120" t="s">
        <v>3964</v>
      </c>
      <c r="BO2" s="120" t="s">
        <v>3965</v>
      </c>
      <c r="BP2" s="119" t="s">
        <v>3947</v>
      </c>
      <c r="BQ2" s="119" t="s">
        <v>3948</v>
      </c>
      <c r="BR2" s="119" t="s">
        <v>3949</v>
      </c>
      <c r="BS2" s="119" t="s">
        <v>3950</v>
      </c>
      <c r="BT2" s="119" t="s">
        <v>3951</v>
      </c>
      <c r="BU2" s="120" t="s">
        <v>3966</v>
      </c>
      <c r="BV2" s="120" t="s">
        <v>3967</v>
      </c>
      <c r="BW2" s="119" t="s">
        <v>3947</v>
      </c>
      <c r="BX2" s="119" t="s">
        <v>3948</v>
      </c>
      <c r="BY2" s="119" t="s">
        <v>3949</v>
      </c>
      <c r="BZ2" s="119" t="s">
        <v>3950</v>
      </c>
      <c r="CA2" s="119" t="s">
        <v>3951</v>
      </c>
      <c r="CB2" s="120" t="s">
        <v>3968</v>
      </c>
      <c r="CC2" s="120" t="s">
        <v>3969</v>
      </c>
      <c r="CD2" s="119" t="s">
        <v>3947</v>
      </c>
      <c r="CE2" s="119" t="s">
        <v>3948</v>
      </c>
      <c r="CF2" s="119" t="s">
        <v>3949</v>
      </c>
      <c r="CG2" s="119" t="s">
        <v>3950</v>
      </c>
      <c r="CH2" s="119" t="s">
        <v>3951</v>
      </c>
      <c r="CI2" s="120" t="s">
        <v>3970</v>
      </c>
      <c r="CJ2" s="120" t="s">
        <v>3971</v>
      </c>
      <c r="CK2" s="119" t="s">
        <v>3947</v>
      </c>
      <c r="CL2" s="119" t="s">
        <v>3948</v>
      </c>
      <c r="CM2" s="119" t="s">
        <v>3949</v>
      </c>
      <c r="CN2" s="119" t="s">
        <v>3950</v>
      </c>
      <c r="CO2" s="119" t="s">
        <v>3951</v>
      </c>
      <c r="CP2" s="120" t="s">
        <v>3972</v>
      </c>
      <c r="CQ2" s="120" t="s">
        <v>3973</v>
      </c>
      <c r="CR2" s="119" t="s">
        <v>3947</v>
      </c>
      <c r="CS2" s="119" t="s">
        <v>3948</v>
      </c>
      <c r="CT2" s="119" t="s">
        <v>3949</v>
      </c>
      <c r="CU2" s="119" t="s">
        <v>3950</v>
      </c>
      <c r="CV2" s="119" t="s">
        <v>3951</v>
      </c>
      <c r="CW2" s="120" t="s">
        <v>3974</v>
      </c>
      <c r="CX2" s="120" t="s">
        <v>3975</v>
      </c>
      <c r="CY2" s="119" t="s">
        <v>3947</v>
      </c>
      <c r="CZ2" s="119" t="s">
        <v>3948</v>
      </c>
      <c r="DA2" s="119" t="s">
        <v>3949</v>
      </c>
      <c r="DB2" s="119" t="s">
        <v>3950</v>
      </c>
      <c r="DC2" s="119" t="s">
        <v>3951</v>
      </c>
      <c r="DD2" s="120" t="s">
        <v>3974</v>
      </c>
      <c r="DE2" s="120" t="s">
        <v>3975</v>
      </c>
      <c r="DF2" s="119" t="s">
        <v>3947</v>
      </c>
      <c r="DG2" s="119" t="s">
        <v>3948</v>
      </c>
      <c r="DH2" s="119" t="s">
        <v>3949</v>
      </c>
      <c r="DI2" s="119" t="s">
        <v>3950</v>
      </c>
      <c r="DJ2" s="119" t="s">
        <v>3951</v>
      </c>
      <c r="DK2" s="120" t="s">
        <v>3976</v>
      </c>
      <c r="DL2" s="120" t="s">
        <v>3977</v>
      </c>
      <c r="DM2" s="119" t="s">
        <v>3947</v>
      </c>
      <c r="DN2" s="119" t="s">
        <v>3948</v>
      </c>
      <c r="DO2" s="119" t="s">
        <v>3949</v>
      </c>
      <c r="DP2" s="119" t="s">
        <v>3950</v>
      </c>
      <c r="DQ2" s="119" t="s">
        <v>3951</v>
      </c>
      <c r="DR2" s="328" t="s">
        <v>3978</v>
      </c>
      <c r="DS2" s="328" t="s">
        <v>3979</v>
      </c>
      <c r="DT2" s="313" t="s">
        <v>3947</v>
      </c>
      <c r="DU2" s="313" t="s">
        <v>3948</v>
      </c>
      <c r="DV2" s="313" t="s">
        <v>3949</v>
      </c>
      <c r="DW2" s="313" t="s">
        <v>3950</v>
      </c>
      <c r="DX2" s="313" t="s">
        <v>3951</v>
      </c>
      <c r="DY2" s="120" t="s">
        <v>3980</v>
      </c>
      <c r="DZ2" s="120" t="s">
        <v>3981</v>
      </c>
      <c r="EA2" s="119" t="s">
        <v>3947</v>
      </c>
      <c r="EB2" s="119" t="s">
        <v>3948</v>
      </c>
      <c r="EC2" s="119" t="s">
        <v>3949</v>
      </c>
      <c r="ED2" s="119" t="s">
        <v>3950</v>
      </c>
      <c r="EE2" s="119" t="s">
        <v>3951</v>
      </c>
      <c r="EF2" s="120" t="s">
        <v>3982</v>
      </c>
      <c r="EG2" s="120" t="s">
        <v>3983</v>
      </c>
      <c r="EH2" s="119" t="s">
        <v>3947</v>
      </c>
      <c r="EI2" s="119" t="s">
        <v>3948</v>
      </c>
      <c r="EJ2" s="119" t="s">
        <v>3949</v>
      </c>
      <c r="EK2" s="119" t="s">
        <v>3950</v>
      </c>
      <c r="EL2" s="119" t="s">
        <v>3951</v>
      </c>
      <c r="EM2" s="120" t="s">
        <v>3984</v>
      </c>
      <c r="EN2" s="120" t="s">
        <v>3985</v>
      </c>
      <c r="EO2" s="119" t="s">
        <v>3947</v>
      </c>
      <c r="EP2" s="119" t="s">
        <v>3948</v>
      </c>
      <c r="EQ2" s="119" t="s">
        <v>3949</v>
      </c>
      <c r="ER2" s="119" t="s">
        <v>3950</v>
      </c>
      <c r="ES2" s="119" t="s">
        <v>3951</v>
      </c>
      <c r="ET2" s="120" t="s">
        <v>3986</v>
      </c>
      <c r="EU2" s="120" t="s">
        <v>3987</v>
      </c>
      <c r="EV2" s="119" t="s">
        <v>3947</v>
      </c>
      <c r="EW2" s="119" t="s">
        <v>3948</v>
      </c>
      <c r="EX2" s="119" t="s">
        <v>3949</v>
      </c>
      <c r="EY2" s="119" t="s">
        <v>3950</v>
      </c>
      <c r="EZ2" s="119" t="s">
        <v>3951</v>
      </c>
      <c r="FA2" s="120" t="s">
        <v>3988</v>
      </c>
      <c r="FB2" s="120" t="s">
        <v>3989</v>
      </c>
      <c r="FC2" s="119" t="s">
        <v>3948</v>
      </c>
      <c r="FD2" s="119" t="s">
        <v>3949</v>
      </c>
      <c r="FE2" s="119" t="s">
        <v>3950</v>
      </c>
      <c r="FF2" s="119" t="s">
        <v>3951</v>
      </c>
      <c r="FG2" s="120" t="s">
        <v>3990</v>
      </c>
      <c r="FH2" s="120" t="s">
        <v>3991</v>
      </c>
      <c r="FI2" s="119" t="s">
        <v>3948</v>
      </c>
      <c r="FJ2" s="119" t="s">
        <v>3949</v>
      </c>
      <c r="FK2" s="119" t="s">
        <v>3950</v>
      </c>
      <c r="FL2" s="119" t="s">
        <v>3951</v>
      </c>
      <c r="FM2" s="120" t="s">
        <v>3992</v>
      </c>
      <c r="FN2" s="120" t="s">
        <v>3993</v>
      </c>
      <c r="FO2" s="119" t="s">
        <v>3948</v>
      </c>
      <c r="FP2" s="119" t="s">
        <v>3949</v>
      </c>
      <c r="FQ2" s="119" t="s">
        <v>3950</v>
      </c>
      <c r="FR2" s="119" t="s">
        <v>3951</v>
      </c>
      <c r="FS2" s="120" t="s">
        <v>3994</v>
      </c>
      <c r="FT2" s="120" t="s">
        <v>3995</v>
      </c>
      <c r="FU2" s="119" t="s">
        <v>3948</v>
      </c>
      <c r="FV2" s="119" t="s">
        <v>3949</v>
      </c>
      <c r="FW2" s="119" t="s">
        <v>3950</v>
      </c>
      <c r="FX2" s="119" t="s">
        <v>3951</v>
      </c>
      <c r="FY2" s="120" t="s">
        <v>3996</v>
      </c>
      <c r="FZ2" s="120" t="s">
        <v>3997</v>
      </c>
      <c r="GA2" s="119" t="s">
        <v>3948</v>
      </c>
      <c r="GB2" s="119" t="s">
        <v>3949</v>
      </c>
      <c r="GC2" s="119" t="s">
        <v>3950</v>
      </c>
      <c r="GD2" s="119" t="s">
        <v>3951</v>
      </c>
      <c r="GE2" s="120" t="s">
        <v>3998</v>
      </c>
      <c r="GF2" s="120" t="s">
        <v>3999</v>
      </c>
      <c r="GG2" s="119" t="s">
        <v>3948</v>
      </c>
      <c r="GH2" s="119" t="s">
        <v>3949</v>
      </c>
      <c r="GI2" s="119" t="s">
        <v>3950</v>
      </c>
      <c r="GJ2" s="119" t="s">
        <v>3951</v>
      </c>
      <c r="GK2" s="120" t="s">
        <v>4000</v>
      </c>
      <c r="GL2" s="120" t="s">
        <v>4001</v>
      </c>
      <c r="GM2" s="119" t="s">
        <v>3948</v>
      </c>
      <c r="GN2" s="119" t="s">
        <v>3949</v>
      </c>
      <c r="GO2" s="119" t="s">
        <v>3950</v>
      </c>
      <c r="GP2" s="119" t="s">
        <v>3951</v>
      </c>
      <c r="GQ2" s="120" t="s">
        <v>4002</v>
      </c>
      <c r="GR2" s="120" t="s">
        <v>4003</v>
      </c>
      <c r="GS2" s="119" t="s">
        <v>3948</v>
      </c>
      <c r="GT2" s="119" t="s">
        <v>3949</v>
      </c>
      <c r="GU2" s="119" t="s">
        <v>3950</v>
      </c>
      <c r="GV2" s="119" t="s">
        <v>3951</v>
      </c>
      <c r="GW2" s="119" t="s">
        <v>4004</v>
      </c>
      <c r="GX2" s="119" t="s">
        <v>3948</v>
      </c>
      <c r="GY2" s="119" t="s">
        <v>3949</v>
      </c>
      <c r="GZ2" s="119" t="s">
        <v>3950</v>
      </c>
      <c r="HA2" s="119" t="s">
        <v>3951</v>
      </c>
      <c r="HB2" s="119" t="s">
        <v>3948</v>
      </c>
      <c r="HC2" s="119" t="s">
        <v>3949</v>
      </c>
      <c r="HD2" s="119" t="s">
        <v>3950</v>
      </c>
      <c r="HE2" s="119" t="s">
        <v>3951</v>
      </c>
    </row>
    <row r="3" ht="55.2" spans="1:213">
      <c r="A3" s="88" t="s">
        <v>227</v>
      </c>
      <c r="B3" s="105" t="s">
        <v>501</v>
      </c>
      <c r="D3" s="126"/>
      <c r="E3" s="194" t="s">
        <v>4005</v>
      </c>
      <c r="F3" s="95" t="s">
        <v>4006</v>
      </c>
      <c r="G3" s="95" t="s">
        <v>4006</v>
      </c>
      <c r="H3" s="95" t="s">
        <v>4007</v>
      </c>
      <c r="I3" s="95" t="s">
        <v>4006</v>
      </c>
      <c r="K3" s="126"/>
      <c r="L3" s="194" t="s">
        <v>4005</v>
      </c>
      <c r="M3" s="126" t="s">
        <v>4008</v>
      </c>
      <c r="N3" s="95" t="s">
        <v>4006</v>
      </c>
      <c r="O3" s="95" t="s">
        <v>4007</v>
      </c>
      <c r="P3" s="95" t="s">
        <v>4006</v>
      </c>
      <c r="R3" s="126"/>
      <c r="S3" s="194" t="s">
        <v>4005</v>
      </c>
      <c r="T3" s="95" t="s">
        <v>4007</v>
      </c>
      <c r="U3" s="95" t="s">
        <v>4006</v>
      </c>
      <c r="V3" s="95" t="s">
        <v>4007</v>
      </c>
      <c r="W3" s="95" t="s">
        <v>4006</v>
      </c>
      <c r="Y3" s="126"/>
      <c r="Z3" s="194" t="s">
        <v>4005</v>
      </c>
      <c r="AA3" s="95" t="s">
        <v>4007</v>
      </c>
      <c r="AB3" s="95" t="s">
        <v>4006</v>
      </c>
      <c r="AC3" s="95" t="s">
        <v>4007</v>
      </c>
      <c r="AD3" s="95" t="s">
        <v>4006</v>
      </c>
      <c r="AF3" s="126"/>
      <c r="AG3" s="194" t="s">
        <v>4005</v>
      </c>
      <c r="AH3" s="95" t="s">
        <v>4007</v>
      </c>
      <c r="AI3" s="95" t="s">
        <v>4006</v>
      </c>
      <c r="AJ3" s="95" t="s">
        <v>4007</v>
      </c>
      <c r="AK3" s="95" t="s">
        <v>4006</v>
      </c>
      <c r="AM3" s="126" t="s">
        <v>4009</v>
      </c>
      <c r="AN3" s="95" t="s">
        <v>4010</v>
      </c>
      <c r="AO3" s="95" t="s">
        <v>4007</v>
      </c>
      <c r="AP3" s="95" t="s">
        <v>4006</v>
      </c>
      <c r="AQ3" s="95" t="s">
        <v>4007</v>
      </c>
      <c r="AR3" s="126" t="s">
        <v>4008</v>
      </c>
      <c r="AT3" s="95" t="s">
        <v>4011</v>
      </c>
      <c r="AU3" s="95" t="s">
        <v>4012</v>
      </c>
      <c r="AV3" s="95" t="s">
        <v>4007</v>
      </c>
      <c r="AW3" s="95" t="s">
        <v>4006</v>
      </c>
      <c r="AX3" s="95" t="s">
        <v>4007</v>
      </c>
      <c r="AY3" s="95" t="s">
        <v>4007</v>
      </c>
      <c r="BA3" s="95" t="s">
        <v>4011</v>
      </c>
      <c r="BB3" s="95" t="s">
        <v>4012</v>
      </c>
      <c r="BC3" s="95" t="s">
        <v>4007</v>
      </c>
      <c r="BD3" s="95" t="s">
        <v>4006</v>
      </c>
      <c r="BE3" s="95" t="s">
        <v>4007</v>
      </c>
      <c r="BF3" s="95" t="s">
        <v>4007</v>
      </c>
      <c r="BH3" s="126" t="s">
        <v>4013</v>
      </c>
      <c r="BI3" s="95" t="s">
        <v>4014</v>
      </c>
      <c r="BJ3" s="95" t="s">
        <v>4007</v>
      </c>
      <c r="BK3" s="95" t="s">
        <v>4006</v>
      </c>
      <c r="BL3" s="95" t="s">
        <v>4007</v>
      </c>
      <c r="BM3" s="95" t="s">
        <v>4007</v>
      </c>
      <c r="BO3" s="95" t="s">
        <v>4015</v>
      </c>
      <c r="BP3" s="95" t="s">
        <v>4016</v>
      </c>
      <c r="BQ3" s="126" t="s">
        <v>4017</v>
      </c>
      <c r="BR3" s="95" t="s">
        <v>4006</v>
      </c>
      <c r="BS3" s="95" t="s">
        <v>4007</v>
      </c>
      <c r="BT3" s="95" t="s">
        <v>4007</v>
      </c>
      <c r="BV3" s="95" t="s">
        <v>4015</v>
      </c>
      <c r="BW3" s="95" t="s">
        <v>4016</v>
      </c>
      <c r="BX3" s="95" t="s">
        <v>4006</v>
      </c>
      <c r="BY3" s="95" t="s">
        <v>4006</v>
      </c>
      <c r="BZ3" s="95" t="s">
        <v>4007</v>
      </c>
      <c r="CA3" s="95" t="s">
        <v>4007</v>
      </c>
      <c r="CC3" s="95" t="s">
        <v>4015</v>
      </c>
      <c r="CD3" s="95" t="s">
        <v>4016</v>
      </c>
      <c r="CE3" s="95" t="s">
        <v>4006</v>
      </c>
      <c r="CF3" s="95" t="s">
        <v>4006</v>
      </c>
      <c r="CG3" s="95" t="s">
        <v>4007</v>
      </c>
      <c r="CH3" s="95" t="s">
        <v>4007</v>
      </c>
      <c r="CJ3" s="95" t="s">
        <v>4015</v>
      </c>
      <c r="CK3" s="95" t="s">
        <v>4016</v>
      </c>
      <c r="CL3" s="95" t="s">
        <v>4006</v>
      </c>
      <c r="CM3" s="95" t="s">
        <v>4006</v>
      </c>
      <c r="CN3" s="95" t="s">
        <v>4007</v>
      </c>
      <c r="CO3" s="95" t="s">
        <v>4007</v>
      </c>
      <c r="CQ3" s="95" t="s">
        <v>4015</v>
      </c>
      <c r="CR3" s="95" t="s">
        <v>4016</v>
      </c>
      <c r="CS3" s="95" t="s">
        <v>4006</v>
      </c>
      <c r="CT3" s="95" t="s">
        <v>4006</v>
      </c>
      <c r="CU3" s="95" t="s">
        <v>4007</v>
      </c>
      <c r="CV3" s="95" t="s">
        <v>4007</v>
      </c>
      <c r="CW3" s="95" t="s">
        <v>4018</v>
      </c>
      <c r="CX3" s="126" t="s">
        <v>4019</v>
      </c>
      <c r="CY3" s="126" t="s">
        <v>4020</v>
      </c>
      <c r="CZ3" s="95" t="s">
        <v>4006</v>
      </c>
      <c r="DA3" s="95" t="s">
        <v>4006</v>
      </c>
      <c r="DB3" s="95" t="s">
        <v>4007</v>
      </c>
      <c r="DC3" s="95" t="s">
        <v>4007</v>
      </c>
      <c r="DD3" s="95" t="s">
        <v>4018</v>
      </c>
      <c r="DE3" s="95" t="s">
        <v>4021</v>
      </c>
      <c r="DF3" s="95" t="s">
        <v>4022</v>
      </c>
      <c r="DG3" s="95" t="s">
        <v>4006</v>
      </c>
      <c r="DH3" s="95" t="s">
        <v>4006</v>
      </c>
      <c r="DI3" s="95" t="s">
        <v>4007</v>
      </c>
      <c r="DJ3" s="95" t="s">
        <v>4007</v>
      </c>
      <c r="DK3" s="95" t="s">
        <v>4018</v>
      </c>
      <c r="DL3" s="126" t="s">
        <v>4023</v>
      </c>
      <c r="DM3" s="95" t="s">
        <v>4024</v>
      </c>
      <c r="DN3" s="95" t="s">
        <v>4006</v>
      </c>
      <c r="DO3" s="95" t="s">
        <v>4006</v>
      </c>
      <c r="DP3" s="95" t="s">
        <v>4007</v>
      </c>
      <c r="DQ3" s="95" t="s">
        <v>4007</v>
      </c>
      <c r="DR3" s="194" t="s">
        <v>4025</v>
      </c>
      <c r="DT3" s="194" t="s">
        <v>4026</v>
      </c>
      <c r="DU3" s="194" t="s">
        <v>4027</v>
      </c>
      <c r="DV3" s="194" t="s">
        <v>4027</v>
      </c>
      <c r="DW3" s="194" t="s">
        <v>4028</v>
      </c>
      <c r="DX3" s="194" t="s">
        <v>4028</v>
      </c>
      <c r="DY3" s="95" t="s">
        <v>4018</v>
      </c>
      <c r="EA3" s="95" t="s">
        <v>4029</v>
      </c>
      <c r="EB3" s="95" t="s">
        <v>4007</v>
      </c>
      <c r="EC3" s="95" t="s">
        <v>4007</v>
      </c>
      <c r="ED3" s="95" t="s">
        <v>4007</v>
      </c>
      <c r="EE3" s="95" t="s">
        <v>4007</v>
      </c>
      <c r="EF3" s="95" t="s">
        <v>4018</v>
      </c>
      <c r="EH3" s="95" t="s">
        <v>4029</v>
      </c>
      <c r="EI3" s="95" t="s">
        <v>4007</v>
      </c>
      <c r="EJ3" s="95" t="s">
        <v>4007</v>
      </c>
      <c r="EK3" s="95" t="s">
        <v>4007</v>
      </c>
      <c r="EL3" s="95" t="s">
        <v>4007</v>
      </c>
      <c r="EM3" s="95" t="s">
        <v>4018</v>
      </c>
      <c r="EO3" s="95" t="s">
        <v>4029</v>
      </c>
      <c r="EP3" s="95" t="s">
        <v>4007</v>
      </c>
      <c r="EQ3" s="95" t="s">
        <v>4007</v>
      </c>
      <c r="ER3" s="95" t="s">
        <v>4007</v>
      </c>
      <c r="ES3" s="95" t="s">
        <v>4007</v>
      </c>
      <c r="ET3" s="95" t="s">
        <v>4018</v>
      </c>
      <c r="EU3" s="95" t="s">
        <v>4030</v>
      </c>
      <c r="EV3" s="95" t="s">
        <v>4031</v>
      </c>
      <c r="EW3" s="95" t="s">
        <v>4007</v>
      </c>
      <c r="EX3" s="95" t="s">
        <v>4007</v>
      </c>
      <c r="EY3" s="95" t="s">
        <v>4007</v>
      </c>
      <c r="EZ3" s="95" t="s">
        <v>4007</v>
      </c>
      <c r="FA3" s="95" t="s">
        <v>4018</v>
      </c>
      <c r="FB3" s="95" t="s">
        <v>4030</v>
      </c>
      <c r="FC3" s="95" t="s">
        <v>4032</v>
      </c>
      <c r="FD3" s="95" t="s">
        <v>4033</v>
      </c>
      <c r="FE3" s="95" t="s">
        <v>4033</v>
      </c>
      <c r="FF3" s="95" t="s">
        <v>4034</v>
      </c>
      <c r="FG3" s="95" t="s">
        <v>4018</v>
      </c>
      <c r="FH3" s="95" t="s">
        <v>4030</v>
      </c>
      <c r="FI3" s="95" t="s">
        <v>4035</v>
      </c>
      <c r="FJ3" s="95" t="s">
        <v>4036</v>
      </c>
      <c r="FK3" s="95" t="s">
        <v>4036</v>
      </c>
      <c r="FL3" s="95" t="s">
        <v>4035</v>
      </c>
      <c r="FM3" s="95" t="s">
        <v>4018</v>
      </c>
      <c r="FN3" s="95" t="s">
        <v>4030</v>
      </c>
      <c r="FO3" s="95" t="s">
        <v>4035</v>
      </c>
      <c r="FP3" s="95" t="s">
        <v>4036</v>
      </c>
      <c r="FQ3" s="95" t="s">
        <v>4036</v>
      </c>
      <c r="FR3" s="95" t="s">
        <v>4035</v>
      </c>
      <c r="FS3" s="126" t="s">
        <v>4037</v>
      </c>
      <c r="FT3" s="95" t="s">
        <v>4030</v>
      </c>
      <c r="FU3" s="95" t="s">
        <v>4035</v>
      </c>
      <c r="FV3" s="95" t="s">
        <v>4036</v>
      </c>
      <c r="FW3" s="95" t="s">
        <v>4036</v>
      </c>
      <c r="FX3" s="95" t="s">
        <v>4035</v>
      </c>
      <c r="FY3" s="95" t="s">
        <v>4038</v>
      </c>
      <c r="FZ3" s="95" t="s">
        <v>4030</v>
      </c>
      <c r="GA3" s="95" t="s">
        <v>4035</v>
      </c>
      <c r="GB3" s="95" t="s">
        <v>4036</v>
      </c>
      <c r="GC3" s="95" t="s">
        <v>4036</v>
      </c>
      <c r="GD3" s="95" t="s">
        <v>4036</v>
      </c>
      <c r="GE3" s="95" t="s">
        <v>4038</v>
      </c>
      <c r="GF3" s="95" t="s">
        <v>4030</v>
      </c>
      <c r="GG3" s="95" t="s">
        <v>4035</v>
      </c>
      <c r="GH3" s="95" t="s">
        <v>4036</v>
      </c>
      <c r="GI3" s="95" t="s">
        <v>4036</v>
      </c>
      <c r="GJ3" s="95" t="s">
        <v>4036</v>
      </c>
      <c r="GK3" s="95" t="s">
        <v>4038</v>
      </c>
      <c r="GL3" s="126" t="s">
        <v>4030</v>
      </c>
      <c r="GM3" s="95" t="s">
        <v>4039</v>
      </c>
      <c r="GN3" s="95" t="s">
        <v>4040</v>
      </c>
      <c r="GO3" s="95" t="s">
        <v>4040</v>
      </c>
      <c r="GP3" s="95" t="s">
        <v>4040</v>
      </c>
      <c r="GQ3" s="125" t="s">
        <v>4041</v>
      </c>
      <c r="GR3" s="126"/>
      <c r="GS3" s="95" t="s">
        <v>4039</v>
      </c>
      <c r="GT3" s="95" t="s">
        <v>4040</v>
      </c>
      <c r="GU3" s="95" t="s">
        <v>4040</v>
      </c>
      <c r="GV3" s="95" t="s">
        <v>4040</v>
      </c>
      <c r="GX3" s="126" t="s">
        <v>4042</v>
      </c>
      <c r="GY3" s="126" t="s">
        <v>4043</v>
      </c>
      <c r="GZ3" s="126" t="s">
        <v>4043</v>
      </c>
      <c r="HA3" s="126" t="s">
        <v>4043</v>
      </c>
      <c r="HB3" s="95" t="s">
        <v>4044</v>
      </c>
      <c r="HC3" s="95" t="s">
        <v>4044</v>
      </c>
      <c r="HD3" s="95" t="s">
        <v>4044</v>
      </c>
      <c r="HE3" s="95" t="s">
        <v>4044</v>
      </c>
    </row>
    <row r="4" spans="1:213">
      <c r="A4" s="89" t="s">
        <v>230</v>
      </c>
      <c r="B4" s="108" t="s">
        <v>500</v>
      </c>
      <c r="F4" s="89">
        <v>2</v>
      </c>
      <c r="G4" s="89">
        <v>2</v>
      </c>
      <c r="H4" s="89">
        <v>2</v>
      </c>
      <c r="I4" s="89">
        <v>2</v>
      </c>
      <c r="M4" s="88">
        <v>2</v>
      </c>
      <c r="N4" s="88">
        <v>2</v>
      </c>
      <c r="O4" s="88">
        <v>2</v>
      </c>
      <c r="P4" s="88">
        <v>2</v>
      </c>
      <c r="T4" s="89">
        <v>1</v>
      </c>
      <c r="U4" s="89">
        <v>1</v>
      </c>
      <c r="V4" s="89">
        <v>1</v>
      </c>
      <c r="W4" s="89">
        <v>1</v>
      </c>
      <c r="AA4" s="89">
        <v>1</v>
      </c>
      <c r="AB4" s="89">
        <v>1</v>
      </c>
      <c r="AC4" s="89">
        <v>1</v>
      </c>
      <c r="AD4" s="89">
        <v>1</v>
      </c>
      <c r="AH4" s="89">
        <v>1</v>
      </c>
      <c r="AI4" s="89">
        <v>1</v>
      </c>
      <c r="AJ4" s="89">
        <v>1</v>
      </c>
      <c r="AK4" s="89">
        <v>1</v>
      </c>
      <c r="AO4" s="89">
        <v>1</v>
      </c>
      <c r="AP4" s="89">
        <v>1</v>
      </c>
      <c r="AQ4" s="89">
        <v>1</v>
      </c>
      <c r="AR4" s="89">
        <v>1</v>
      </c>
      <c r="AV4" s="89">
        <v>1</v>
      </c>
      <c r="AW4" s="89">
        <v>1</v>
      </c>
      <c r="AX4" s="89">
        <v>1</v>
      </c>
      <c r="AY4" s="89">
        <v>1</v>
      </c>
      <c r="BC4" s="89">
        <v>1</v>
      </c>
      <c r="BD4" s="89">
        <v>1</v>
      </c>
      <c r="BE4" s="89">
        <v>1</v>
      </c>
      <c r="BF4" s="89">
        <v>1</v>
      </c>
      <c r="BJ4" s="89">
        <v>1</v>
      </c>
      <c r="BK4" s="89">
        <v>1</v>
      </c>
      <c r="BL4" s="89">
        <v>1</v>
      </c>
      <c r="BM4" s="89">
        <v>1</v>
      </c>
      <c r="BQ4" s="88">
        <v>1</v>
      </c>
      <c r="BR4" s="88">
        <v>1</v>
      </c>
      <c r="BS4" s="88">
        <v>1</v>
      </c>
      <c r="BT4" s="88">
        <v>1</v>
      </c>
      <c r="BX4" s="89">
        <v>2</v>
      </c>
      <c r="BY4" s="89">
        <v>2</v>
      </c>
      <c r="BZ4" s="89">
        <v>2</v>
      </c>
      <c r="CA4" s="89">
        <v>2</v>
      </c>
      <c r="CE4" s="89">
        <v>2</v>
      </c>
      <c r="CF4" s="89">
        <v>2</v>
      </c>
      <c r="CG4" s="89">
        <v>2</v>
      </c>
      <c r="CH4" s="89">
        <v>2</v>
      </c>
      <c r="CL4" s="89">
        <v>2</v>
      </c>
      <c r="CM4" s="89">
        <v>2</v>
      </c>
      <c r="CN4" s="89">
        <v>2</v>
      </c>
      <c r="CO4" s="89">
        <v>2</v>
      </c>
      <c r="CS4" s="89">
        <v>2</v>
      </c>
      <c r="CT4" s="89">
        <v>2</v>
      </c>
      <c r="CU4" s="89">
        <v>2</v>
      </c>
      <c r="CV4" s="89">
        <v>2</v>
      </c>
      <c r="CW4" s="95" t="s">
        <v>4045</v>
      </c>
      <c r="CZ4" s="89">
        <v>2</v>
      </c>
      <c r="DA4" s="89">
        <v>2</v>
      </c>
      <c r="DB4" s="89">
        <v>2</v>
      </c>
      <c r="DC4" s="89">
        <v>2</v>
      </c>
      <c r="DD4" s="95" t="s">
        <v>4045</v>
      </c>
      <c r="DG4" s="89">
        <v>2</v>
      </c>
      <c r="DH4" s="89">
        <v>2</v>
      </c>
      <c r="DI4" s="89">
        <v>2</v>
      </c>
      <c r="DJ4" s="89">
        <v>2</v>
      </c>
      <c r="DK4" s="95" t="s">
        <v>4045</v>
      </c>
      <c r="DN4" s="89">
        <v>2</v>
      </c>
      <c r="DO4" s="89">
        <v>2</v>
      </c>
      <c r="DP4" s="89">
        <v>2</v>
      </c>
      <c r="DQ4" s="89">
        <v>2</v>
      </c>
      <c r="DR4" s="194" t="s">
        <v>4046</v>
      </c>
      <c r="DU4" s="188">
        <v>2</v>
      </c>
      <c r="DV4" s="188">
        <v>2</v>
      </c>
      <c r="DW4" s="188">
        <v>2</v>
      </c>
      <c r="DX4" s="188">
        <v>2</v>
      </c>
      <c r="DY4" s="95" t="s">
        <v>4045</v>
      </c>
      <c r="EB4" s="88">
        <v>2</v>
      </c>
      <c r="EC4" s="88">
        <v>2</v>
      </c>
      <c r="ED4" s="88">
        <v>2</v>
      </c>
      <c r="EE4" s="88">
        <v>2</v>
      </c>
      <c r="EF4" s="126" t="s">
        <v>4047</v>
      </c>
      <c r="EI4" s="88">
        <v>2</v>
      </c>
      <c r="EJ4" s="88">
        <v>2</v>
      </c>
      <c r="EK4" s="88">
        <v>2</v>
      </c>
      <c r="EL4" s="88">
        <v>2</v>
      </c>
      <c r="EM4" s="126" t="s">
        <v>4048</v>
      </c>
      <c r="EP4" s="88">
        <v>1</v>
      </c>
      <c r="EQ4" s="88">
        <v>1</v>
      </c>
      <c r="ER4" s="88">
        <v>1</v>
      </c>
      <c r="ES4" s="88">
        <v>1</v>
      </c>
      <c r="ET4" s="126" t="s">
        <v>4049</v>
      </c>
      <c r="EW4" s="88">
        <v>2</v>
      </c>
      <c r="EX4" s="88">
        <v>2</v>
      </c>
      <c r="EY4" s="88">
        <v>2</v>
      </c>
      <c r="EZ4" s="88">
        <v>2</v>
      </c>
      <c r="FA4" s="126" t="s">
        <v>4050</v>
      </c>
      <c r="FC4" s="89">
        <v>1</v>
      </c>
      <c r="FD4" s="89">
        <v>1</v>
      </c>
      <c r="FE4" s="89">
        <v>1</v>
      </c>
      <c r="FF4" s="89">
        <v>1</v>
      </c>
      <c r="FG4" s="95" t="s">
        <v>4051</v>
      </c>
      <c r="FI4" s="89">
        <v>1</v>
      </c>
      <c r="FJ4" s="89">
        <v>2</v>
      </c>
      <c r="FK4" s="89">
        <v>2</v>
      </c>
      <c r="FL4" s="89">
        <v>2</v>
      </c>
      <c r="FM4" s="95" t="s">
        <v>4051</v>
      </c>
      <c r="FO4" s="89">
        <v>1</v>
      </c>
      <c r="FP4" s="89">
        <v>2</v>
      </c>
      <c r="FQ4" s="89">
        <v>2</v>
      </c>
      <c r="FR4" s="89">
        <v>2</v>
      </c>
      <c r="FS4" s="95" t="s">
        <v>4051</v>
      </c>
      <c r="FU4" s="89">
        <v>1</v>
      </c>
      <c r="FV4" s="89">
        <v>2</v>
      </c>
      <c r="FW4" s="89">
        <v>2</v>
      </c>
      <c r="FX4" s="89">
        <v>2</v>
      </c>
      <c r="FY4" s="95" t="s">
        <v>4051</v>
      </c>
      <c r="GA4" s="89">
        <v>1</v>
      </c>
      <c r="GB4" s="89">
        <v>2</v>
      </c>
      <c r="GC4" s="89">
        <v>2</v>
      </c>
      <c r="GD4" s="89">
        <v>2</v>
      </c>
      <c r="GE4" s="95" t="s">
        <v>4051</v>
      </c>
      <c r="GG4" s="89">
        <v>1</v>
      </c>
      <c r="GH4" s="89">
        <v>2</v>
      </c>
      <c r="GI4" s="89">
        <v>2</v>
      </c>
      <c r="GJ4" s="89">
        <v>2</v>
      </c>
      <c r="GK4" s="95" t="s">
        <v>4051</v>
      </c>
      <c r="GM4" s="89">
        <v>1</v>
      </c>
      <c r="GN4" s="89">
        <v>2</v>
      </c>
      <c r="GO4" s="89">
        <v>2</v>
      </c>
      <c r="GP4" s="89">
        <v>2</v>
      </c>
      <c r="GS4" s="89">
        <v>1</v>
      </c>
      <c r="GT4" s="89">
        <v>2</v>
      </c>
      <c r="GU4" s="89">
        <v>2</v>
      </c>
      <c r="GV4" s="89">
        <v>2</v>
      </c>
      <c r="GX4" s="89">
        <v>1</v>
      </c>
      <c r="GY4" s="88">
        <v>2</v>
      </c>
      <c r="GZ4" s="88">
        <v>2</v>
      </c>
      <c r="HA4" s="88">
        <v>2</v>
      </c>
      <c r="HB4" s="89">
        <v>1</v>
      </c>
      <c r="HC4" s="89">
        <v>1</v>
      </c>
      <c r="HD4" s="89">
        <v>1</v>
      </c>
      <c r="HE4" s="89">
        <v>1</v>
      </c>
    </row>
    <row r="5" ht="43.2" spans="1:213">
      <c r="A5" s="89" t="s">
        <v>487</v>
      </c>
      <c r="B5" s="108" t="s">
        <v>504</v>
      </c>
      <c r="C5" s="125"/>
      <c r="F5" s="89">
        <v>6</v>
      </c>
      <c r="G5" s="89">
        <v>6</v>
      </c>
      <c r="H5" s="89">
        <v>5</v>
      </c>
      <c r="I5" s="89">
        <v>6</v>
      </c>
      <c r="J5" s="125"/>
      <c r="M5" s="89">
        <v>6</v>
      </c>
      <c r="N5" s="89">
        <v>6</v>
      </c>
      <c r="O5" s="89">
        <v>5</v>
      </c>
      <c r="P5" s="89">
        <v>6</v>
      </c>
      <c r="Q5" s="125"/>
      <c r="T5" s="89">
        <v>6</v>
      </c>
      <c r="U5" s="89">
        <v>6</v>
      </c>
      <c r="V5" s="89">
        <v>5</v>
      </c>
      <c r="W5" s="89">
        <v>6</v>
      </c>
      <c r="X5" s="125"/>
      <c r="AA5" s="89">
        <v>6</v>
      </c>
      <c r="AB5" s="89">
        <v>6</v>
      </c>
      <c r="AC5" s="89">
        <v>5</v>
      </c>
      <c r="AD5" s="89">
        <v>6</v>
      </c>
      <c r="AE5" s="125"/>
      <c r="AH5" s="89">
        <v>6</v>
      </c>
      <c r="AI5" s="89">
        <v>6</v>
      </c>
      <c r="AJ5" s="89">
        <v>5</v>
      </c>
      <c r="AK5" s="89">
        <v>6</v>
      </c>
      <c r="AL5" s="125"/>
      <c r="AO5" s="88">
        <v>6</v>
      </c>
      <c r="AP5" s="89">
        <v>6</v>
      </c>
      <c r="AQ5" s="88">
        <v>5</v>
      </c>
      <c r="AR5" s="89">
        <v>6</v>
      </c>
      <c r="AS5" s="125"/>
      <c r="AV5" s="89">
        <v>5</v>
      </c>
      <c r="AW5" s="89">
        <v>6</v>
      </c>
      <c r="AX5" s="89">
        <v>6</v>
      </c>
      <c r="AY5" s="89">
        <v>6</v>
      </c>
      <c r="AZ5" s="125"/>
      <c r="BC5" s="89">
        <v>5</v>
      </c>
      <c r="BD5" s="89">
        <v>6</v>
      </c>
      <c r="BE5" s="89">
        <v>6</v>
      </c>
      <c r="BF5" s="89">
        <v>6</v>
      </c>
      <c r="BG5" s="125"/>
      <c r="BJ5" s="89">
        <v>5</v>
      </c>
      <c r="BK5" s="89">
        <v>6</v>
      </c>
      <c r="BL5" s="89">
        <v>6</v>
      </c>
      <c r="BM5" s="89">
        <v>6</v>
      </c>
      <c r="BN5" s="125"/>
      <c r="BQ5" s="88">
        <v>5</v>
      </c>
      <c r="BR5" s="89">
        <v>6</v>
      </c>
      <c r="BS5" s="89">
        <v>6</v>
      </c>
      <c r="BT5" s="89">
        <v>6</v>
      </c>
      <c r="BU5" s="125"/>
      <c r="BX5" s="89">
        <v>6</v>
      </c>
      <c r="BY5" s="89">
        <v>6</v>
      </c>
      <c r="BZ5" s="89">
        <v>6</v>
      </c>
      <c r="CA5" s="89">
        <v>6</v>
      </c>
      <c r="CB5" s="125"/>
      <c r="CE5" s="89">
        <v>6</v>
      </c>
      <c r="CF5" s="89">
        <v>6</v>
      </c>
      <c r="CG5" s="89">
        <v>6</v>
      </c>
      <c r="CH5" s="89">
        <v>6</v>
      </c>
      <c r="CI5" s="125"/>
      <c r="CL5" s="89">
        <v>6</v>
      </c>
      <c r="CM5" s="89">
        <v>6</v>
      </c>
      <c r="CN5" s="89">
        <v>6</v>
      </c>
      <c r="CO5" s="89">
        <v>6</v>
      </c>
      <c r="CP5" s="125"/>
      <c r="CS5" s="89">
        <v>6</v>
      </c>
      <c r="CT5" s="89">
        <v>6</v>
      </c>
      <c r="CU5" s="89">
        <v>6</v>
      </c>
      <c r="CV5" s="89">
        <v>6</v>
      </c>
      <c r="CW5" s="125" t="s">
        <v>4052</v>
      </c>
      <c r="CZ5" s="89">
        <v>6</v>
      </c>
      <c r="DA5" s="89">
        <v>6</v>
      </c>
      <c r="DB5" s="89">
        <v>6</v>
      </c>
      <c r="DC5" s="89">
        <v>6</v>
      </c>
      <c r="DD5" s="125" t="s">
        <v>4052</v>
      </c>
      <c r="DG5" s="89">
        <v>6</v>
      </c>
      <c r="DH5" s="89">
        <v>6</v>
      </c>
      <c r="DI5" s="89">
        <v>6</v>
      </c>
      <c r="DJ5" s="89">
        <v>6</v>
      </c>
      <c r="DK5" s="95" t="s">
        <v>4052</v>
      </c>
      <c r="DN5" s="323">
        <v>6</v>
      </c>
      <c r="DO5" s="323">
        <v>6</v>
      </c>
      <c r="DP5" s="323">
        <v>6</v>
      </c>
      <c r="DQ5" s="323">
        <v>6</v>
      </c>
      <c r="DR5" s="194" t="s">
        <v>4052</v>
      </c>
      <c r="DU5" s="88">
        <v>7</v>
      </c>
      <c r="DV5" s="88">
        <v>7</v>
      </c>
      <c r="DW5" s="88">
        <v>7</v>
      </c>
      <c r="DX5" s="88">
        <v>7</v>
      </c>
      <c r="DY5" s="95" t="s">
        <v>4052</v>
      </c>
      <c r="EB5" s="89">
        <v>6</v>
      </c>
      <c r="EC5" s="89">
        <v>6</v>
      </c>
      <c r="ED5" s="89">
        <v>6</v>
      </c>
      <c r="EE5" s="89">
        <v>5</v>
      </c>
      <c r="EF5" s="95" t="s">
        <v>4052</v>
      </c>
      <c r="EI5" s="89">
        <v>6</v>
      </c>
      <c r="EJ5" s="89">
        <v>6</v>
      </c>
      <c r="EK5" s="89">
        <v>6</v>
      </c>
      <c r="EL5" s="89">
        <v>5</v>
      </c>
      <c r="EM5" s="95" t="s">
        <v>4052</v>
      </c>
      <c r="EP5" s="89">
        <v>6</v>
      </c>
      <c r="EQ5" s="89">
        <v>6</v>
      </c>
      <c r="ER5" s="89">
        <v>6</v>
      </c>
      <c r="ES5" s="89">
        <v>5</v>
      </c>
      <c r="ET5" s="95" t="s">
        <v>4052</v>
      </c>
      <c r="EU5" s="95" t="s">
        <v>4053</v>
      </c>
      <c r="EW5" s="89">
        <v>6</v>
      </c>
      <c r="EX5" s="89">
        <v>6</v>
      </c>
      <c r="EY5" s="89">
        <v>6</v>
      </c>
      <c r="EZ5" s="89">
        <v>5</v>
      </c>
      <c r="FA5" s="125" t="s">
        <v>4052</v>
      </c>
      <c r="FB5" s="95" t="s">
        <v>4053</v>
      </c>
      <c r="FC5" s="89">
        <v>5</v>
      </c>
      <c r="FD5" s="89">
        <v>5</v>
      </c>
      <c r="FE5" s="89">
        <v>5</v>
      </c>
      <c r="FF5" s="89">
        <v>4</v>
      </c>
      <c r="FG5" s="125" t="s">
        <v>4052</v>
      </c>
      <c r="FH5" s="95" t="s">
        <v>4053</v>
      </c>
      <c r="FI5" s="89">
        <v>5</v>
      </c>
      <c r="FJ5" s="89">
        <v>5</v>
      </c>
      <c r="FK5" s="89">
        <v>5</v>
      </c>
      <c r="FL5" s="89">
        <v>4</v>
      </c>
      <c r="FM5" s="95" t="s">
        <v>4052</v>
      </c>
      <c r="FN5" s="95" t="s">
        <v>4053</v>
      </c>
      <c r="FO5" s="89">
        <v>5</v>
      </c>
      <c r="FP5" s="89">
        <v>5</v>
      </c>
      <c r="FQ5" s="89">
        <v>5</v>
      </c>
      <c r="FR5" s="89">
        <v>4</v>
      </c>
      <c r="FS5" s="95" t="s">
        <v>4052</v>
      </c>
      <c r="FT5" s="95" t="s">
        <v>4053</v>
      </c>
      <c r="FU5" s="89">
        <v>5</v>
      </c>
      <c r="FV5" s="89">
        <v>5</v>
      </c>
      <c r="FW5" s="89">
        <v>5</v>
      </c>
      <c r="FX5" s="89">
        <v>4</v>
      </c>
      <c r="FY5" s="95" t="s">
        <v>4052</v>
      </c>
      <c r="FZ5" s="95" t="s">
        <v>4053</v>
      </c>
      <c r="GA5" s="89">
        <v>5</v>
      </c>
      <c r="GB5" s="89">
        <v>5</v>
      </c>
      <c r="GC5" s="89">
        <v>5</v>
      </c>
      <c r="GD5" s="89">
        <v>4</v>
      </c>
      <c r="GE5" s="95" t="s">
        <v>4052</v>
      </c>
      <c r="GF5" s="95" t="s">
        <v>4053</v>
      </c>
      <c r="GG5" s="89">
        <v>5</v>
      </c>
      <c r="GH5" s="89">
        <v>5</v>
      </c>
      <c r="GI5" s="89">
        <v>5</v>
      </c>
      <c r="GJ5" s="89">
        <v>4</v>
      </c>
      <c r="GK5" s="95" t="s">
        <v>4052</v>
      </c>
      <c r="GL5" s="126" t="s">
        <v>4054</v>
      </c>
      <c r="GM5" s="89">
        <v>6</v>
      </c>
      <c r="GN5" s="89">
        <v>6</v>
      </c>
      <c r="GO5" s="89">
        <v>6</v>
      </c>
      <c r="GP5" s="89">
        <v>6</v>
      </c>
      <c r="GR5" s="126" t="s">
        <v>4055</v>
      </c>
      <c r="GS5" s="89">
        <v>6</v>
      </c>
      <c r="GT5" s="89">
        <v>6</v>
      </c>
      <c r="GU5" s="89">
        <v>6</v>
      </c>
      <c r="GV5" s="89">
        <v>6</v>
      </c>
      <c r="GX5" s="89">
        <v>6</v>
      </c>
      <c r="GY5" s="89">
        <v>6</v>
      </c>
      <c r="GZ5" s="89">
        <v>6</v>
      </c>
      <c r="HA5" s="89">
        <v>6</v>
      </c>
      <c r="HB5" s="89">
        <v>6</v>
      </c>
      <c r="HC5" s="89">
        <v>6</v>
      </c>
      <c r="HD5" s="89">
        <v>6</v>
      </c>
      <c r="HE5" s="89">
        <v>6</v>
      </c>
    </row>
    <row r="6" ht="28.8" spans="1:213">
      <c r="A6" s="89" t="s">
        <v>230</v>
      </c>
      <c r="B6" s="108" t="s">
        <v>499</v>
      </c>
      <c r="C6" s="125" t="s">
        <v>4056</v>
      </c>
      <c r="E6" s="95"/>
      <c r="F6" s="89">
        <v>1</v>
      </c>
      <c r="G6" s="89">
        <v>1</v>
      </c>
      <c r="H6" s="89">
        <v>1</v>
      </c>
      <c r="I6" s="89">
        <v>1</v>
      </c>
      <c r="J6" s="124" t="s">
        <v>4057</v>
      </c>
      <c r="M6" s="88">
        <v>1</v>
      </c>
      <c r="N6" s="88">
        <v>1</v>
      </c>
      <c r="O6" s="88">
        <v>1</v>
      </c>
      <c r="P6" s="88">
        <v>1</v>
      </c>
      <c r="Q6" s="126"/>
      <c r="T6" s="89">
        <v>4</v>
      </c>
      <c r="U6" s="89">
        <v>2</v>
      </c>
      <c r="V6" s="89">
        <v>2</v>
      </c>
      <c r="W6" s="89">
        <v>3</v>
      </c>
      <c r="X6" s="126" t="s">
        <v>4058</v>
      </c>
      <c r="AA6" s="89">
        <v>4</v>
      </c>
      <c r="AB6" s="89">
        <v>2</v>
      </c>
      <c r="AC6" s="89">
        <v>2</v>
      </c>
      <c r="AD6" s="89">
        <v>3</v>
      </c>
      <c r="AE6" s="126" t="s">
        <v>4058</v>
      </c>
      <c r="AH6" s="89">
        <v>4</v>
      </c>
      <c r="AI6" s="89">
        <v>2</v>
      </c>
      <c r="AJ6" s="89">
        <v>2</v>
      </c>
      <c r="AK6" s="89">
        <v>3</v>
      </c>
      <c r="AL6" s="126" t="s">
        <v>4058</v>
      </c>
      <c r="AO6" s="88">
        <v>4</v>
      </c>
      <c r="AP6" s="89">
        <v>2</v>
      </c>
      <c r="AQ6" s="89">
        <v>2</v>
      </c>
      <c r="AR6" s="88">
        <v>3</v>
      </c>
      <c r="AS6" s="95" t="s">
        <v>4059</v>
      </c>
      <c r="AV6" s="89">
        <v>3</v>
      </c>
      <c r="AW6" s="89">
        <v>2</v>
      </c>
      <c r="AX6" s="89">
        <v>2</v>
      </c>
      <c r="AY6" s="89">
        <v>2</v>
      </c>
      <c r="AZ6" s="95" t="s">
        <v>4059</v>
      </c>
      <c r="BC6" s="89">
        <v>3</v>
      </c>
      <c r="BD6" s="89">
        <v>2</v>
      </c>
      <c r="BE6" s="89">
        <v>2</v>
      </c>
      <c r="BF6" s="89">
        <v>2</v>
      </c>
      <c r="BG6" s="95" t="s">
        <v>4059</v>
      </c>
      <c r="BJ6" s="89">
        <v>3</v>
      </c>
      <c r="BK6" s="89">
        <v>2</v>
      </c>
      <c r="BL6" s="89">
        <v>2</v>
      </c>
      <c r="BM6" s="89">
        <v>2</v>
      </c>
      <c r="BN6" s="126" t="s">
        <v>4060</v>
      </c>
      <c r="BQ6" s="88">
        <v>3</v>
      </c>
      <c r="BR6" s="88">
        <v>2</v>
      </c>
      <c r="BS6" s="88">
        <v>2</v>
      </c>
      <c r="BT6" s="88">
        <v>2</v>
      </c>
      <c r="BX6" s="89">
        <v>1</v>
      </c>
      <c r="BY6" s="89">
        <v>1</v>
      </c>
      <c r="BZ6" s="89">
        <v>1</v>
      </c>
      <c r="CA6" s="89">
        <v>1</v>
      </c>
      <c r="CE6" s="89">
        <v>1</v>
      </c>
      <c r="CF6" s="89">
        <v>1</v>
      </c>
      <c r="CG6" s="89">
        <v>1</v>
      </c>
      <c r="CH6" s="89">
        <v>1</v>
      </c>
      <c r="CL6" s="89">
        <v>1</v>
      </c>
      <c r="CM6" s="89">
        <v>1</v>
      </c>
      <c r="CN6" s="89">
        <v>1</v>
      </c>
      <c r="CO6" s="89">
        <v>1</v>
      </c>
      <c r="CS6" s="89">
        <v>1</v>
      </c>
      <c r="CT6" s="89">
        <v>1</v>
      </c>
      <c r="CU6" s="89">
        <v>1</v>
      </c>
      <c r="CV6" s="89">
        <v>1</v>
      </c>
      <c r="CZ6" s="89">
        <v>1</v>
      </c>
      <c r="DA6" s="89">
        <v>1</v>
      </c>
      <c r="DB6" s="89">
        <v>1</v>
      </c>
      <c r="DC6" s="89">
        <v>1</v>
      </c>
      <c r="DG6" s="89">
        <v>1</v>
      </c>
      <c r="DH6" s="89">
        <v>1</v>
      </c>
      <c r="DI6" s="89">
        <v>1</v>
      </c>
      <c r="DJ6" s="89">
        <v>1</v>
      </c>
      <c r="DN6" s="89">
        <v>1</v>
      </c>
      <c r="DO6" s="89">
        <v>1</v>
      </c>
      <c r="DP6" s="89">
        <v>1</v>
      </c>
      <c r="DQ6" s="89">
        <v>1</v>
      </c>
      <c r="DU6" s="188">
        <v>1</v>
      </c>
      <c r="DV6" s="188">
        <v>1</v>
      </c>
      <c r="DW6" s="188">
        <v>1</v>
      </c>
      <c r="DX6" s="188">
        <v>1</v>
      </c>
      <c r="EB6" s="88">
        <v>1</v>
      </c>
      <c r="EC6" s="88">
        <v>1</v>
      </c>
      <c r="ED6" s="88">
        <v>1</v>
      </c>
      <c r="EE6" s="88">
        <v>1</v>
      </c>
      <c r="EI6" s="88">
        <v>1</v>
      </c>
      <c r="EJ6" s="88">
        <v>1</v>
      </c>
      <c r="EK6" s="88">
        <v>1</v>
      </c>
      <c r="EL6" s="88">
        <v>1</v>
      </c>
      <c r="EP6" s="88">
        <v>2</v>
      </c>
      <c r="EQ6" s="88">
        <v>2</v>
      </c>
      <c r="ER6" s="88">
        <v>2</v>
      </c>
      <c r="ES6" s="88">
        <v>2</v>
      </c>
      <c r="ET6" s="95" t="s">
        <v>4061</v>
      </c>
      <c r="EU6" s="95" t="s">
        <v>4062</v>
      </c>
      <c r="EW6" s="89">
        <v>1</v>
      </c>
      <c r="EX6" s="89">
        <v>1</v>
      </c>
      <c r="EY6" s="89">
        <v>1</v>
      </c>
      <c r="EZ6" s="89">
        <v>1</v>
      </c>
      <c r="FA6" s="95" t="s">
        <v>4063</v>
      </c>
      <c r="FB6" s="95" t="s">
        <v>4062</v>
      </c>
      <c r="FC6" s="89">
        <v>1</v>
      </c>
      <c r="FD6" s="89">
        <v>1</v>
      </c>
      <c r="FE6" s="89">
        <v>1</v>
      </c>
      <c r="FF6" s="89">
        <v>1</v>
      </c>
      <c r="FG6" s="95" t="s">
        <v>4063</v>
      </c>
      <c r="FH6" s="95" t="s">
        <v>4062</v>
      </c>
      <c r="FI6" s="89">
        <v>1</v>
      </c>
      <c r="FJ6" s="89">
        <v>2</v>
      </c>
      <c r="FK6" s="89">
        <v>2</v>
      </c>
      <c r="FL6" s="89">
        <v>2</v>
      </c>
      <c r="FM6" s="95" t="s">
        <v>4063</v>
      </c>
      <c r="FN6" s="95" t="s">
        <v>4062</v>
      </c>
      <c r="FO6" s="89">
        <v>1</v>
      </c>
      <c r="FP6" s="89">
        <v>2</v>
      </c>
      <c r="FQ6" s="89">
        <v>2</v>
      </c>
      <c r="FR6" s="89">
        <v>2</v>
      </c>
      <c r="FS6" s="95" t="s">
        <v>4063</v>
      </c>
      <c r="FT6" s="95" t="s">
        <v>4062</v>
      </c>
      <c r="FU6" s="89">
        <v>1</v>
      </c>
      <c r="FV6" s="89">
        <v>2</v>
      </c>
      <c r="FW6" s="89">
        <v>2</v>
      </c>
      <c r="FX6" s="89">
        <v>2</v>
      </c>
      <c r="FY6" s="95" t="s">
        <v>4063</v>
      </c>
      <c r="FZ6" s="95" t="s">
        <v>4062</v>
      </c>
      <c r="GA6" s="89">
        <v>1</v>
      </c>
      <c r="GB6" s="89">
        <v>2</v>
      </c>
      <c r="GC6" s="89">
        <v>2</v>
      </c>
      <c r="GD6" s="89">
        <v>2</v>
      </c>
      <c r="GE6" s="95" t="s">
        <v>4063</v>
      </c>
      <c r="GF6" s="95" t="s">
        <v>4062</v>
      </c>
      <c r="GG6" s="89">
        <v>1</v>
      </c>
      <c r="GH6" s="89">
        <v>2</v>
      </c>
      <c r="GI6" s="89">
        <v>2</v>
      </c>
      <c r="GJ6" s="89">
        <v>2</v>
      </c>
      <c r="GK6" s="95" t="s">
        <v>4063</v>
      </c>
      <c r="GL6" s="126" t="s">
        <v>4062</v>
      </c>
      <c r="GM6" s="89">
        <v>1</v>
      </c>
      <c r="GN6" s="89">
        <v>2</v>
      </c>
      <c r="GO6" s="89">
        <v>2</v>
      </c>
      <c r="GP6" s="89">
        <v>2</v>
      </c>
      <c r="GQ6" s="125"/>
      <c r="GR6" s="124" t="s">
        <v>4062</v>
      </c>
      <c r="GS6" s="89">
        <v>1</v>
      </c>
      <c r="GT6" s="89">
        <v>2</v>
      </c>
      <c r="GU6" s="89">
        <v>2</v>
      </c>
      <c r="GV6" s="89">
        <v>2</v>
      </c>
      <c r="GW6" s="125" t="s">
        <v>4064</v>
      </c>
      <c r="GX6" s="133">
        <v>1</v>
      </c>
      <c r="GY6" s="133">
        <v>2</v>
      </c>
      <c r="GZ6" s="133">
        <v>2</v>
      </c>
      <c r="HA6" s="133">
        <v>2</v>
      </c>
      <c r="HB6" s="89">
        <v>3</v>
      </c>
      <c r="HC6" s="89">
        <v>3</v>
      </c>
      <c r="HD6" s="89">
        <v>3</v>
      </c>
      <c r="HE6" s="89">
        <v>5</v>
      </c>
    </row>
    <row r="7" ht="57.6" spans="1:213">
      <c r="A7" s="89" t="s">
        <v>230</v>
      </c>
      <c r="B7" s="108" t="s">
        <v>503</v>
      </c>
      <c r="C7" s="126"/>
      <c r="F7" s="89">
        <v>5</v>
      </c>
      <c r="G7" s="89">
        <v>5</v>
      </c>
      <c r="H7" s="89">
        <v>3</v>
      </c>
      <c r="I7" s="89">
        <v>3</v>
      </c>
      <c r="J7" s="126"/>
      <c r="M7" s="89">
        <v>5</v>
      </c>
      <c r="N7" s="89">
        <v>5</v>
      </c>
      <c r="O7" s="89">
        <v>3</v>
      </c>
      <c r="P7" s="88">
        <v>3</v>
      </c>
      <c r="Q7" s="126"/>
      <c r="T7" s="89">
        <v>5</v>
      </c>
      <c r="U7" s="89">
        <v>5</v>
      </c>
      <c r="V7" s="89">
        <v>3</v>
      </c>
      <c r="W7" s="89">
        <v>2</v>
      </c>
      <c r="X7" s="126" t="s">
        <v>4065</v>
      </c>
      <c r="AA7" s="89">
        <v>5</v>
      </c>
      <c r="AB7" s="89">
        <v>5</v>
      </c>
      <c r="AC7" s="89">
        <v>3</v>
      </c>
      <c r="AD7" s="89">
        <v>2</v>
      </c>
      <c r="AE7" s="126" t="s">
        <v>4065</v>
      </c>
      <c r="AH7" s="89">
        <v>5</v>
      </c>
      <c r="AI7" s="89">
        <v>5</v>
      </c>
      <c r="AJ7" s="89">
        <v>3</v>
      </c>
      <c r="AK7" s="89">
        <v>2</v>
      </c>
      <c r="AL7" s="126" t="s">
        <v>4065</v>
      </c>
      <c r="AO7" s="88">
        <v>5</v>
      </c>
      <c r="AP7" s="89">
        <v>5</v>
      </c>
      <c r="AQ7" s="88">
        <v>3</v>
      </c>
      <c r="AR7" s="88">
        <v>2</v>
      </c>
      <c r="AV7" s="89">
        <v>4</v>
      </c>
      <c r="AW7" s="89">
        <v>5</v>
      </c>
      <c r="AX7" s="89">
        <v>5</v>
      </c>
      <c r="AY7" s="89">
        <v>5</v>
      </c>
      <c r="BC7" s="89">
        <v>4</v>
      </c>
      <c r="BD7" s="89">
        <v>5</v>
      </c>
      <c r="BE7" s="89">
        <v>5</v>
      </c>
      <c r="BF7" s="89">
        <v>5</v>
      </c>
      <c r="BJ7" s="89">
        <v>4</v>
      </c>
      <c r="BK7" s="89">
        <v>5</v>
      </c>
      <c r="BL7" s="89">
        <v>5</v>
      </c>
      <c r="BM7" s="89">
        <v>5</v>
      </c>
      <c r="BQ7" s="88">
        <v>4</v>
      </c>
      <c r="BR7" s="89">
        <v>5</v>
      </c>
      <c r="BS7" s="89">
        <v>5</v>
      </c>
      <c r="BT7" s="89">
        <v>5</v>
      </c>
      <c r="BX7" s="89">
        <v>5</v>
      </c>
      <c r="BY7" s="89">
        <v>5</v>
      </c>
      <c r="BZ7" s="89">
        <v>5</v>
      </c>
      <c r="CA7" s="89">
        <v>5</v>
      </c>
      <c r="CE7" s="89">
        <v>5</v>
      </c>
      <c r="CF7" s="89">
        <v>5</v>
      </c>
      <c r="CG7" s="89">
        <v>5</v>
      </c>
      <c r="CH7" s="89">
        <v>5</v>
      </c>
      <c r="CL7" s="89">
        <v>5</v>
      </c>
      <c r="CM7" s="89">
        <v>5</v>
      </c>
      <c r="CN7" s="89">
        <v>5</v>
      </c>
      <c r="CO7" s="89">
        <v>5</v>
      </c>
      <c r="CS7" s="89">
        <v>5</v>
      </c>
      <c r="CT7" s="89">
        <v>5</v>
      </c>
      <c r="CU7" s="89">
        <v>5</v>
      </c>
      <c r="CV7" s="89">
        <v>5</v>
      </c>
      <c r="CW7" s="95" t="s">
        <v>4066</v>
      </c>
      <c r="CZ7" s="89">
        <v>5</v>
      </c>
      <c r="DA7" s="89">
        <v>5</v>
      </c>
      <c r="DB7" s="89">
        <v>5</v>
      </c>
      <c r="DC7" s="89">
        <v>5</v>
      </c>
      <c r="DD7" s="95" t="s">
        <v>4066</v>
      </c>
      <c r="DG7" s="89">
        <v>5</v>
      </c>
      <c r="DH7" s="89">
        <v>5</v>
      </c>
      <c r="DI7" s="89">
        <v>5</v>
      </c>
      <c r="DJ7" s="89">
        <v>5</v>
      </c>
      <c r="DK7" s="95" t="s">
        <v>4066</v>
      </c>
      <c r="DN7" s="323">
        <v>5</v>
      </c>
      <c r="DO7" s="323">
        <v>5</v>
      </c>
      <c r="DP7" s="323">
        <v>5</v>
      </c>
      <c r="DQ7" s="323">
        <v>5</v>
      </c>
      <c r="DR7" s="126" t="s">
        <v>4067</v>
      </c>
      <c r="DU7" s="88">
        <v>6</v>
      </c>
      <c r="DV7" s="88">
        <v>6</v>
      </c>
      <c r="DW7" s="88">
        <v>6</v>
      </c>
      <c r="DX7" s="88">
        <v>6</v>
      </c>
      <c r="DY7" s="95" t="s">
        <v>4068</v>
      </c>
      <c r="EB7" s="89">
        <v>4</v>
      </c>
      <c r="EC7" s="89">
        <v>4</v>
      </c>
      <c r="ED7" s="89">
        <v>4</v>
      </c>
      <c r="EE7" s="89">
        <v>3</v>
      </c>
      <c r="EF7" s="95" t="s">
        <v>4068</v>
      </c>
      <c r="EI7" s="89">
        <v>4</v>
      </c>
      <c r="EJ7" s="89">
        <v>4</v>
      </c>
      <c r="EK7" s="89">
        <v>4</v>
      </c>
      <c r="EL7" s="89">
        <v>3</v>
      </c>
      <c r="EM7" s="95" t="s">
        <v>4068</v>
      </c>
      <c r="EP7" s="89">
        <v>4</v>
      </c>
      <c r="EQ7" s="89">
        <v>4</v>
      </c>
      <c r="ER7" s="89">
        <v>4</v>
      </c>
      <c r="ES7" s="89">
        <v>3</v>
      </c>
      <c r="ET7" s="95" t="s">
        <v>4068</v>
      </c>
      <c r="EW7" s="89">
        <v>4</v>
      </c>
      <c r="EX7" s="89">
        <v>4</v>
      </c>
      <c r="EY7" s="89">
        <v>4</v>
      </c>
      <c r="EZ7" s="89">
        <v>3</v>
      </c>
      <c r="FA7" s="95" t="s">
        <v>4068</v>
      </c>
      <c r="FC7" s="89">
        <v>4</v>
      </c>
      <c r="FD7" s="89">
        <v>4</v>
      </c>
      <c r="FE7" s="89">
        <v>4</v>
      </c>
      <c r="FF7" s="89">
        <v>3</v>
      </c>
      <c r="FG7" s="95" t="s">
        <v>4068</v>
      </c>
      <c r="FI7" s="89">
        <v>4</v>
      </c>
      <c r="FJ7" s="89">
        <v>4</v>
      </c>
      <c r="FK7" s="89">
        <v>4</v>
      </c>
      <c r="FL7" s="89">
        <v>3</v>
      </c>
      <c r="FM7" s="95" t="s">
        <v>4068</v>
      </c>
      <c r="FO7" s="89">
        <v>4</v>
      </c>
      <c r="FP7" s="89">
        <v>4</v>
      </c>
      <c r="FQ7" s="89">
        <v>4</v>
      </c>
      <c r="FR7" s="89">
        <v>3</v>
      </c>
      <c r="FS7" s="95" t="s">
        <v>4068</v>
      </c>
      <c r="FU7" s="89">
        <v>4</v>
      </c>
      <c r="FV7" s="89">
        <v>4</v>
      </c>
      <c r="FW7" s="89">
        <v>4</v>
      </c>
      <c r="FX7" s="89">
        <v>3</v>
      </c>
      <c r="FY7" s="95" t="s">
        <v>4068</v>
      </c>
      <c r="GA7" s="89">
        <v>4</v>
      </c>
      <c r="GB7" s="89">
        <v>4</v>
      </c>
      <c r="GC7" s="89">
        <v>4</v>
      </c>
      <c r="GD7" s="89">
        <v>3</v>
      </c>
      <c r="GE7" s="95" t="s">
        <v>4068</v>
      </c>
      <c r="GG7" s="89">
        <v>4</v>
      </c>
      <c r="GH7" s="89">
        <v>4</v>
      </c>
      <c r="GI7" s="89">
        <v>4</v>
      </c>
      <c r="GJ7" s="89">
        <v>3</v>
      </c>
      <c r="GK7" s="95" t="s">
        <v>4068</v>
      </c>
      <c r="GL7" s="126"/>
      <c r="GM7" s="89">
        <v>5</v>
      </c>
      <c r="GN7" s="89">
        <v>5</v>
      </c>
      <c r="GO7" s="89">
        <v>5</v>
      </c>
      <c r="GP7" s="89">
        <v>4</v>
      </c>
      <c r="GS7" s="89">
        <v>5</v>
      </c>
      <c r="GT7" s="89">
        <v>5</v>
      </c>
      <c r="GU7" s="89">
        <v>5</v>
      </c>
      <c r="GV7" s="89">
        <v>4</v>
      </c>
      <c r="GX7" s="88">
        <v>5</v>
      </c>
      <c r="GY7" s="88">
        <v>5</v>
      </c>
      <c r="GZ7" s="88">
        <v>5</v>
      </c>
      <c r="HA7" s="88">
        <v>4</v>
      </c>
      <c r="HB7" s="89">
        <v>4</v>
      </c>
      <c r="HC7" s="89">
        <v>4</v>
      </c>
      <c r="HD7" s="89">
        <v>4</v>
      </c>
      <c r="HE7" s="89">
        <v>2</v>
      </c>
    </row>
    <row r="8" ht="28.8" spans="1:193">
      <c r="A8" s="89" t="s">
        <v>230</v>
      </c>
      <c r="B8" s="108" t="s">
        <v>505</v>
      </c>
      <c r="CW8" s="95" t="s">
        <v>4069</v>
      </c>
      <c r="DD8" s="95" t="s">
        <v>4069</v>
      </c>
      <c r="DK8" s="95" t="s">
        <v>4069</v>
      </c>
      <c r="DR8" s="194" t="s">
        <v>4070</v>
      </c>
      <c r="DY8" s="95" t="s">
        <v>4069</v>
      </c>
      <c r="EF8" s="126" t="s">
        <v>4071</v>
      </c>
      <c r="EM8" s="95" t="s">
        <v>4072</v>
      </c>
      <c r="ET8" s="95" t="s">
        <v>4072</v>
      </c>
      <c r="FA8" s="95" t="s">
        <v>4072</v>
      </c>
      <c r="FG8" s="95" t="s">
        <v>4072</v>
      </c>
      <c r="FM8" s="95" t="s">
        <v>4072</v>
      </c>
      <c r="FS8" s="95" t="s">
        <v>4072</v>
      </c>
      <c r="FY8" s="95" t="s">
        <v>4072</v>
      </c>
      <c r="GE8" s="95" t="s">
        <v>4072</v>
      </c>
      <c r="GK8" s="95" t="s">
        <v>4072</v>
      </c>
    </row>
    <row r="9" spans="1:2">
      <c r="A9" s="89" t="s">
        <v>230</v>
      </c>
      <c r="B9" s="108" t="s">
        <v>506</v>
      </c>
    </row>
    <row r="10" ht="28.8" hidden="1" spans="122:213">
      <c r="DR10" s="194" t="s">
        <v>4073</v>
      </c>
      <c r="DU10" s="188">
        <v>5</v>
      </c>
      <c r="DV10" s="188">
        <v>5</v>
      </c>
      <c r="DW10" s="188">
        <v>5</v>
      </c>
      <c r="DX10" s="88">
        <v>5</v>
      </c>
      <c r="DY10" s="194" t="s">
        <v>4073</v>
      </c>
      <c r="EB10" s="89">
        <v>5</v>
      </c>
      <c r="EC10" s="188">
        <v>5</v>
      </c>
      <c r="ED10" s="188">
        <v>5</v>
      </c>
      <c r="EE10" s="188">
        <v>4</v>
      </c>
      <c r="EF10" s="194" t="s">
        <v>4073</v>
      </c>
      <c r="EI10" s="89">
        <v>5</v>
      </c>
      <c r="EJ10" s="188">
        <v>5</v>
      </c>
      <c r="EK10" s="188">
        <v>5</v>
      </c>
      <c r="EL10" s="188">
        <v>4</v>
      </c>
      <c r="EM10" s="194" t="s">
        <v>4073</v>
      </c>
      <c r="EP10" s="89">
        <v>5</v>
      </c>
      <c r="EQ10" s="188">
        <v>5</v>
      </c>
      <c r="ER10" s="188">
        <v>5</v>
      </c>
      <c r="ES10" s="188">
        <v>4</v>
      </c>
      <c r="ET10" s="126" t="s">
        <v>4074</v>
      </c>
      <c r="EW10" s="89">
        <v>5</v>
      </c>
      <c r="EX10" s="88">
        <v>5</v>
      </c>
      <c r="EY10" s="88">
        <v>5</v>
      </c>
      <c r="EZ10" s="88">
        <v>4</v>
      </c>
      <c r="FA10" s="95" t="s">
        <v>4075</v>
      </c>
      <c r="FC10" s="89">
        <v>5</v>
      </c>
      <c r="FD10" s="89">
        <v>2</v>
      </c>
      <c r="FE10" s="89">
        <v>2</v>
      </c>
      <c r="FF10" s="89">
        <v>2</v>
      </c>
      <c r="FG10" s="95" t="s">
        <v>4075</v>
      </c>
      <c r="FI10" s="89">
        <v>2</v>
      </c>
      <c r="FJ10" s="89">
        <v>1</v>
      </c>
      <c r="FK10" s="89">
        <v>1</v>
      </c>
      <c r="FL10" s="89">
        <v>1</v>
      </c>
      <c r="FM10" s="95" t="s">
        <v>4075</v>
      </c>
      <c r="FO10" s="89">
        <v>2</v>
      </c>
      <c r="FP10" s="89">
        <v>1</v>
      </c>
      <c r="FQ10" s="89">
        <v>1</v>
      </c>
      <c r="FR10" s="89">
        <v>1</v>
      </c>
      <c r="FS10" s="95" t="s">
        <v>4075</v>
      </c>
      <c r="FU10" s="89">
        <v>2</v>
      </c>
      <c r="FV10" s="89">
        <v>1</v>
      </c>
      <c r="FW10" s="89">
        <v>1</v>
      </c>
      <c r="FX10" s="89">
        <v>1</v>
      </c>
      <c r="FY10" s="95" t="s">
        <v>4075</v>
      </c>
      <c r="GA10" s="89">
        <v>2</v>
      </c>
      <c r="GB10" s="89">
        <v>1</v>
      </c>
      <c r="GC10" s="89">
        <v>1</v>
      </c>
      <c r="GD10" s="89">
        <v>1</v>
      </c>
      <c r="GE10" s="95" t="s">
        <v>4075</v>
      </c>
      <c r="GG10" s="89">
        <v>2</v>
      </c>
      <c r="GH10" s="89">
        <v>1</v>
      </c>
      <c r="GI10" s="89">
        <v>1</v>
      </c>
      <c r="GJ10" s="89">
        <v>1</v>
      </c>
      <c r="GK10" s="95" t="s">
        <v>4075</v>
      </c>
      <c r="GM10" s="89">
        <v>3</v>
      </c>
      <c r="GN10" s="89">
        <v>1</v>
      </c>
      <c r="GO10" s="89">
        <v>1</v>
      </c>
      <c r="GP10" s="89">
        <v>1</v>
      </c>
      <c r="GS10" s="89">
        <v>3</v>
      </c>
      <c r="GT10" s="89">
        <v>1</v>
      </c>
      <c r="GU10" s="89">
        <v>1</v>
      </c>
      <c r="GV10" s="89">
        <v>1</v>
      </c>
      <c r="GW10" s="95" t="s">
        <v>4076</v>
      </c>
      <c r="GX10" s="133">
        <v>3</v>
      </c>
      <c r="GY10" s="133">
        <v>1</v>
      </c>
      <c r="GZ10" s="133">
        <v>1</v>
      </c>
      <c r="HA10" s="133">
        <v>1</v>
      </c>
      <c r="HB10" s="89">
        <v>5</v>
      </c>
      <c r="HC10" s="89">
        <v>5</v>
      </c>
      <c r="HD10" s="89">
        <v>5</v>
      </c>
      <c r="HE10" s="89">
        <v>4</v>
      </c>
    </row>
    <row r="11" ht="28.8" spans="1:213">
      <c r="A11" s="88" t="s">
        <v>227</v>
      </c>
      <c r="B11" s="88" t="s">
        <v>147</v>
      </c>
      <c r="E11" s="194" t="s">
        <v>4077</v>
      </c>
      <c r="F11" s="89">
        <v>3</v>
      </c>
      <c r="G11" s="89">
        <v>3</v>
      </c>
      <c r="H11" s="89">
        <v>4</v>
      </c>
      <c r="I11" s="89">
        <v>5</v>
      </c>
      <c r="L11" s="194" t="s">
        <v>4077</v>
      </c>
      <c r="M11" s="88">
        <v>3</v>
      </c>
      <c r="N11" s="88">
        <v>3</v>
      </c>
      <c r="O11" s="88">
        <v>4</v>
      </c>
      <c r="P11" s="88">
        <v>5</v>
      </c>
      <c r="S11" s="194" t="s">
        <v>4077</v>
      </c>
      <c r="T11" s="89">
        <v>2</v>
      </c>
      <c r="U11" s="89">
        <v>3</v>
      </c>
      <c r="V11" s="89">
        <v>4</v>
      </c>
      <c r="W11" s="89">
        <v>5</v>
      </c>
      <c r="Z11" s="194" t="s">
        <v>4077</v>
      </c>
      <c r="AA11" s="89">
        <v>2</v>
      </c>
      <c r="AB11" s="89">
        <v>3</v>
      </c>
      <c r="AC11" s="89">
        <v>4</v>
      </c>
      <c r="AD11" s="89">
        <v>5</v>
      </c>
      <c r="AG11" s="194" t="s">
        <v>4077</v>
      </c>
      <c r="AH11" s="89">
        <v>2</v>
      </c>
      <c r="AI11" s="89">
        <v>3</v>
      </c>
      <c r="AJ11" s="89">
        <v>4</v>
      </c>
      <c r="AK11" s="89">
        <v>5</v>
      </c>
      <c r="AN11" s="95" t="s">
        <v>4077</v>
      </c>
      <c r="AO11" s="89">
        <v>2</v>
      </c>
      <c r="AP11" s="89">
        <v>3</v>
      </c>
      <c r="AQ11" s="89">
        <v>4</v>
      </c>
      <c r="AR11" s="88">
        <v>5</v>
      </c>
      <c r="AU11" s="95" t="s">
        <v>4077</v>
      </c>
      <c r="AV11" s="89">
        <v>2</v>
      </c>
      <c r="AW11" s="89">
        <v>3</v>
      </c>
      <c r="AX11" s="89">
        <v>4</v>
      </c>
      <c r="AY11" s="89">
        <v>4</v>
      </c>
      <c r="BB11" s="95" t="s">
        <v>4077</v>
      </c>
      <c r="BC11" s="89">
        <v>2</v>
      </c>
      <c r="BD11" s="89">
        <v>3</v>
      </c>
      <c r="BE11" s="89">
        <v>4</v>
      </c>
      <c r="BF11" s="89">
        <v>4</v>
      </c>
      <c r="BI11" s="95" t="s">
        <v>4077</v>
      </c>
      <c r="BJ11" s="89">
        <v>2</v>
      </c>
      <c r="BK11" s="89">
        <v>3</v>
      </c>
      <c r="BL11" s="89">
        <v>4</v>
      </c>
      <c r="BM11" s="89">
        <v>4</v>
      </c>
      <c r="BP11" s="95" t="s">
        <v>4077</v>
      </c>
      <c r="BQ11" s="88">
        <v>2</v>
      </c>
      <c r="BR11" s="89">
        <v>3</v>
      </c>
      <c r="BS11" s="89">
        <v>4</v>
      </c>
      <c r="BT11" s="89">
        <v>4</v>
      </c>
      <c r="BW11" s="95" t="s">
        <v>4077</v>
      </c>
      <c r="BX11" s="89">
        <v>3</v>
      </c>
      <c r="BY11" s="89">
        <v>3</v>
      </c>
      <c r="BZ11" s="89">
        <v>4</v>
      </c>
      <c r="CA11" s="89">
        <v>4</v>
      </c>
      <c r="CD11" s="95" t="s">
        <v>4077</v>
      </c>
      <c r="CE11" s="89">
        <v>3</v>
      </c>
      <c r="CF11" s="89">
        <v>3</v>
      </c>
      <c r="CG11" s="89">
        <v>4</v>
      </c>
      <c r="CH11" s="89">
        <v>4</v>
      </c>
      <c r="CK11" s="95" t="s">
        <v>4077</v>
      </c>
      <c r="CL11" s="89">
        <v>3</v>
      </c>
      <c r="CM11" s="89">
        <v>3</v>
      </c>
      <c r="CN11" s="89">
        <v>4</v>
      </c>
      <c r="CO11" s="89">
        <v>4</v>
      </c>
      <c r="CR11" s="95" t="s">
        <v>4077</v>
      </c>
      <c r="CS11" s="89">
        <v>3</v>
      </c>
      <c r="CT11" s="89">
        <v>3</v>
      </c>
      <c r="CU11" s="89">
        <v>4</v>
      </c>
      <c r="CV11" s="89">
        <v>4</v>
      </c>
      <c r="CW11" s="95" t="s">
        <v>4078</v>
      </c>
      <c r="CX11" s="95" t="s">
        <v>4079</v>
      </c>
      <c r="CY11" s="95" t="s">
        <v>4077</v>
      </c>
      <c r="CZ11" s="89">
        <v>3</v>
      </c>
      <c r="DA11" s="89">
        <v>3</v>
      </c>
      <c r="DB11" s="89">
        <v>4</v>
      </c>
      <c r="DC11" s="89">
        <v>4</v>
      </c>
      <c r="DD11" s="95" t="s">
        <v>4078</v>
      </c>
      <c r="DE11" s="126" t="s">
        <v>4080</v>
      </c>
      <c r="DF11" s="126" t="s">
        <v>4077</v>
      </c>
      <c r="DG11" s="89">
        <v>3</v>
      </c>
      <c r="DH11" s="89">
        <v>3</v>
      </c>
      <c r="DI11" s="89">
        <v>4</v>
      </c>
      <c r="DJ11" s="89">
        <v>4</v>
      </c>
      <c r="DK11" s="95" t="s">
        <v>4078</v>
      </c>
      <c r="DN11" s="323">
        <v>3</v>
      </c>
      <c r="DO11" s="323">
        <v>3</v>
      </c>
      <c r="DP11" s="323">
        <v>4</v>
      </c>
      <c r="DQ11" s="323">
        <v>4</v>
      </c>
      <c r="DR11" s="126" t="s">
        <v>4081</v>
      </c>
      <c r="DU11" s="88">
        <v>3</v>
      </c>
      <c r="DV11" s="88">
        <v>3</v>
      </c>
      <c r="DW11" s="88">
        <v>4</v>
      </c>
      <c r="DX11" s="88">
        <v>4</v>
      </c>
      <c r="FT11" s="126"/>
      <c r="FZ11" s="126"/>
      <c r="GF11" s="126"/>
      <c r="GL11" s="126"/>
      <c r="GR11" s="126"/>
      <c r="HB11" s="88"/>
      <c r="HC11" s="88"/>
      <c r="HD11" s="88"/>
      <c r="HE11" s="88"/>
    </row>
    <row r="14" customHeight="1" spans="1:213">
      <c r="A14" s="96" t="s">
        <v>4082</v>
      </c>
      <c r="B14" s="98"/>
      <c r="C14" s="116" t="s">
        <v>3923</v>
      </c>
      <c r="D14" s="128"/>
      <c r="E14" s="128"/>
      <c r="F14" s="128"/>
      <c r="G14" s="128"/>
      <c r="H14" s="128"/>
      <c r="I14" s="132"/>
      <c r="J14" s="116" t="s">
        <v>3923</v>
      </c>
      <c r="K14" s="128"/>
      <c r="L14" s="128"/>
      <c r="M14" s="128"/>
      <c r="N14" s="128"/>
      <c r="O14" s="128"/>
      <c r="P14" s="132"/>
      <c r="Q14" s="116" t="s">
        <v>4083</v>
      </c>
      <c r="R14" s="128"/>
      <c r="S14" s="128"/>
      <c r="T14" s="128"/>
      <c r="U14" s="128"/>
      <c r="V14" s="128"/>
      <c r="W14" s="132"/>
      <c r="X14" s="116" t="s">
        <v>3925</v>
      </c>
      <c r="Y14" s="128"/>
      <c r="Z14" s="128"/>
      <c r="AA14" s="128"/>
      <c r="AB14" s="128"/>
      <c r="AC14" s="128"/>
      <c r="AD14" s="132"/>
      <c r="AE14" s="116" t="s">
        <v>3926</v>
      </c>
      <c r="AF14" s="128"/>
      <c r="AG14" s="128"/>
      <c r="AH14" s="128"/>
      <c r="AI14" s="128"/>
      <c r="AJ14" s="128"/>
      <c r="AK14" s="132"/>
      <c r="AL14" s="116" t="s">
        <v>3927</v>
      </c>
      <c r="AM14" s="128"/>
      <c r="AN14" s="128"/>
      <c r="AO14" s="128"/>
      <c r="AP14" s="128"/>
      <c r="AQ14" s="128"/>
      <c r="AR14" s="132"/>
      <c r="AS14" s="116" t="s">
        <v>3928</v>
      </c>
      <c r="AT14" s="128"/>
      <c r="AU14" s="128"/>
      <c r="AV14" s="128"/>
      <c r="AW14" s="128"/>
      <c r="AX14" s="128"/>
      <c r="AY14" s="132"/>
      <c r="AZ14" s="116" t="s">
        <v>3929</v>
      </c>
      <c r="BA14" s="128"/>
      <c r="BB14" s="128"/>
      <c r="BC14" s="128"/>
      <c r="BD14" s="128"/>
      <c r="BE14" s="128"/>
      <c r="BF14" s="132"/>
      <c r="BG14" s="116" t="s">
        <v>3930</v>
      </c>
      <c r="BH14" s="128"/>
      <c r="BI14" s="128"/>
      <c r="BJ14" s="128"/>
      <c r="BK14" s="128"/>
      <c r="BL14" s="128"/>
      <c r="BM14" s="132"/>
      <c r="BN14" s="116" t="s">
        <v>3931</v>
      </c>
      <c r="BO14" s="128"/>
      <c r="BP14" s="128"/>
      <c r="BQ14" s="128"/>
      <c r="BR14" s="128"/>
      <c r="BS14" s="128"/>
      <c r="BT14" s="132"/>
      <c r="BU14" s="116" t="s">
        <v>3932</v>
      </c>
      <c r="BV14" s="128"/>
      <c r="BW14" s="128"/>
      <c r="BX14" s="128"/>
      <c r="BY14" s="128"/>
      <c r="BZ14" s="128"/>
      <c r="CA14" s="132"/>
      <c r="CB14" s="116" t="s">
        <v>3933</v>
      </c>
      <c r="CC14" s="128"/>
      <c r="CD14" s="128"/>
      <c r="CE14" s="128"/>
      <c r="CF14" s="128"/>
      <c r="CG14" s="128"/>
      <c r="CH14" s="132"/>
      <c r="CI14" s="116" t="s">
        <v>3922</v>
      </c>
      <c r="CJ14" s="128"/>
      <c r="CK14" s="128"/>
      <c r="CL14" s="128"/>
      <c r="CM14" s="128"/>
      <c r="CN14" s="128"/>
      <c r="CO14" s="132"/>
      <c r="CP14" s="116" t="s">
        <v>3934</v>
      </c>
      <c r="CQ14" s="128"/>
      <c r="CR14" s="128"/>
      <c r="CS14" s="128"/>
      <c r="CT14" s="128"/>
      <c r="CU14" s="128"/>
      <c r="CV14" s="132"/>
      <c r="CW14" s="116" t="s">
        <v>3924</v>
      </c>
      <c r="CX14" s="128"/>
      <c r="CY14" s="128"/>
      <c r="CZ14" s="128"/>
      <c r="DA14" s="128"/>
      <c r="DB14" s="128"/>
      <c r="DC14" s="132"/>
      <c r="DD14" s="116" t="s">
        <v>3935</v>
      </c>
      <c r="DE14" s="128"/>
      <c r="DF14" s="128"/>
      <c r="DG14" s="128"/>
      <c r="DH14" s="128"/>
      <c r="DI14" s="128"/>
      <c r="DJ14" s="132"/>
      <c r="DK14" s="116" t="s">
        <v>3936</v>
      </c>
      <c r="DL14" s="128"/>
      <c r="DM14" s="128"/>
      <c r="DN14" s="128"/>
      <c r="DO14" s="128"/>
      <c r="DP14" s="128"/>
      <c r="DQ14" s="132"/>
      <c r="DR14" s="325" t="s">
        <v>3937</v>
      </c>
      <c r="DS14" s="326"/>
      <c r="DT14" s="326"/>
      <c r="DU14" s="326"/>
      <c r="DV14" s="326"/>
      <c r="DW14" s="326"/>
      <c r="DX14" s="327"/>
      <c r="DY14" s="116" t="s">
        <v>3928</v>
      </c>
      <c r="DZ14" s="128"/>
      <c r="EA14" s="128"/>
      <c r="EB14" s="128"/>
      <c r="EC14" s="128"/>
      <c r="ED14" s="128"/>
      <c r="EE14" s="132"/>
      <c r="EF14" s="116" t="s">
        <v>3929</v>
      </c>
      <c r="EG14" s="128"/>
      <c r="EH14" s="128"/>
      <c r="EI14" s="128"/>
      <c r="EJ14" s="128"/>
      <c r="EK14" s="128"/>
      <c r="EL14" s="132"/>
      <c r="EM14" s="116" t="s">
        <v>4084</v>
      </c>
      <c r="EN14" s="128"/>
      <c r="EO14" s="128"/>
      <c r="EP14" s="128"/>
      <c r="EQ14" s="128"/>
      <c r="ER14" s="128"/>
      <c r="ES14" s="132"/>
      <c r="EU14" s="332"/>
      <c r="EV14" s="332"/>
      <c r="EW14" s="116" t="s">
        <v>4085</v>
      </c>
      <c r="EX14" s="128"/>
      <c r="EY14" s="128"/>
      <c r="EZ14" s="132"/>
      <c r="FB14" s="332"/>
      <c r="FC14" s="116" t="s">
        <v>4086</v>
      </c>
      <c r="FD14" s="128"/>
      <c r="FE14" s="128"/>
      <c r="FF14" s="132"/>
      <c r="FH14" s="332"/>
      <c r="FI14" s="116" t="s">
        <v>4087</v>
      </c>
      <c r="FJ14" s="128"/>
      <c r="FK14" s="128"/>
      <c r="FL14" s="132"/>
      <c r="FN14" s="332"/>
      <c r="FO14" s="116" t="s">
        <v>4088</v>
      </c>
      <c r="FP14" s="128"/>
      <c r="FQ14" s="128"/>
      <c r="FR14" s="132"/>
      <c r="FT14" s="332"/>
      <c r="FU14" s="116" t="s">
        <v>4089</v>
      </c>
      <c r="FV14" s="128"/>
      <c r="FW14" s="128"/>
      <c r="FX14" s="132"/>
      <c r="FZ14" s="332"/>
      <c r="GA14" s="116" t="s">
        <v>4090</v>
      </c>
      <c r="GB14" s="128"/>
      <c r="GC14" s="128"/>
      <c r="GD14" s="132"/>
      <c r="GF14" s="332"/>
      <c r="GG14" s="116" t="s">
        <v>4091</v>
      </c>
      <c r="GH14" s="128"/>
      <c r="GI14" s="128"/>
      <c r="GJ14" s="132"/>
      <c r="GL14" s="332"/>
      <c r="GM14" s="116" t="s">
        <v>3941</v>
      </c>
      <c r="GN14" s="128"/>
      <c r="GO14" s="128"/>
      <c r="GP14" s="132"/>
      <c r="GR14" s="332"/>
      <c r="GS14" s="116" t="s">
        <v>3941</v>
      </c>
      <c r="GT14" s="128"/>
      <c r="GU14" s="128"/>
      <c r="GV14" s="132"/>
      <c r="GW14" s="128"/>
      <c r="GX14" s="116" t="s">
        <v>3942</v>
      </c>
      <c r="GY14" s="128"/>
      <c r="GZ14" s="128"/>
      <c r="HA14" s="132"/>
      <c r="HB14" s="116" t="s">
        <v>3943</v>
      </c>
      <c r="HC14" s="128"/>
      <c r="HD14" s="128"/>
      <c r="HE14" s="132"/>
    </row>
    <row r="15" ht="28.2" spans="1:213">
      <c r="A15" s="101" t="s">
        <v>3944</v>
      </c>
      <c r="B15" s="102" t="s">
        <v>207</v>
      </c>
      <c r="C15" s="120" t="s">
        <v>3945</v>
      </c>
      <c r="D15" s="120" t="s">
        <v>3946</v>
      </c>
      <c r="E15" s="313" t="s">
        <v>3947</v>
      </c>
      <c r="F15" s="119" t="s">
        <v>3948</v>
      </c>
      <c r="G15" s="119" t="s">
        <v>3949</v>
      </c>
      <c r="H15" s="119" t="s">
        <v>3950</v>
      </c>
      <c r="I15" s="119" t="s">
        <v>3951</v>
      </c>
      <c r="J15" s="120" t="s">
        <v>3945</v>
      </c>
      <c r="K15" s="120" t="s">
        <v>3946</v>
      </c>
      <c r="L15" s="313" t="s">
        <v>3947</v>
      </c>
      <c r="M15" s="119" t="s">
        <v>3948</v>
      </c>
      <c r="N15" s="119" t="s">
        <v>3949</v>
      </c>
      <c r="O15" s="119" t="s">
        <v>3950</v>
      </c>
      <c r="P15" s="119" t="s">
        <v>3951</v>
      </c>
      <c r="Q15" s="120" t="s">
        <v>3945</v>
      </c>
      <c r="R15" s="120" t="s">
        <v>3946</v>
      </c>
      <c r="S15" s="313" t="s">
        <v>3947</v>
      </c>
      <c r="T15" s="119" t="s">
        <v>3948</v>
      </c>
      <c r="U15" s="119" t="s">
        <v>3949</v>
      </c>
      <c r="V15" s="119" t="s">
        <v>3950</v>
      </c>
      <c r="W15" s="119" t="s">
        <v>3951</v>
      </c>
      <c r="X15" s="120" t="s">
        <v>3952</v>
      </c>
      <c r="Y15" s="120" t="s">
        <v>3953</v>
      </c>
      <c r="Z15" s="313" t="s">
        <v>3947</v>
      </c>
      <c r="AA15" s="119" t="s">
        <v>3948</v>
      </c>
      <c r="AB15" s="119" t="s">
        <v>3949</v>
      </c>
      <c r="AC15" s="119" t="s">
        <v>3950</v>
      </c>
      <c r="AD15" s="119" t="s">
        <v>3951</v>
      </c>
      <c r="AE15" s="120" t="s">
        <v>3954</v>
      </c>
      <c r="AF15" s="120" t="s">
        <v>3955</v>
      </c>
      <c r="AG15" s="313" t="s">
        <v>3947</v>
      </c>
      <c r="AH15" s="119" t="s">
        <v>3948</v>
      </c>
      <c r="AI15" s="119" t="s">
        <v>3949</v>
      </c>
      <c r="AJ15" s="119" t="s">
        <v>3950</v>
      </c>
      <c r="AK15" s="119" t="s">
        <v>3951</v>
      </c>
      <c r="AL15" s="120" t="s">
        <v>3956</v>
      </c>
      <c r="AM15" s="120" t="s">
        <v>3957</v>
      </c>
      <c r="AN15" s="119" t="s">
        <v>3947</v>
      </c>
      <c r="AO15" s="119" t="s">
        <v>3948</v>
      </c>
      <c r="AP15" s="119" t="s">
        <v>3949</v>
      </c>
      <c r="AQ15" s="119" t="s">
        <v>3950</v>
      </c>
      <c r="AR15" s="119" t="s">
        <v>3951</v>
      </c>
      <c r="AS15" s="120" t="s">
        <v>3958</v>
      </c>
      <c r="AT15" s="120" t="s">
        <v>3959</v>
      </c>
      <c r="AU15" s="119" t="s">
        <v>3947</v>
      </c>
      <c r="AV15" s="119" t="s">
        <v>3948</v>
      </c>
      <c r="AW15" s="119" t="s">
        <v>3949</v>
      </c>
      <c r="AX15" s="119" t="s">
        <v>3950</v>
      </c>
      <c r="AY15" s="119" t="s">
        <v>3951</v>
      </c>
      <c r="AZ15" s="120" t="s">
        <v>3960</v>
      </c>
      <c r="BA15" s="120" t="s">
        <v>3961</v>
      </c>
      <c r="BB15" s="119" t="s">
        <v>3947</v>
      </c>
      <c r="BC15" s="119" t="s">
        <v>3948</v>
      </c>
      <c r="BD15" s="119" t="s">
        <v>3949</v>
      </c>
      <c r="BE15" s="119" t="s">
        <v>3950</v>
      </c>
      <c r="BF15" s="119" t="s">
        <v>3951</v>
      </c>
      <c r="BG15" s="120" t="s">
        <v>3962</v>
      </c>
      <c r="BH15" s="120" t="s">
        <v>3963</v>
      </c>
      <c r="BI15" s="119" t="s">
        <v>3947</v>
      </c>
      <c r="BJ15" s="119" t="s">
        <v>3948</v>
      </c>
      <c r="BK15" s="119" t="s">
        <v>3949</v>
      </c>
      <c r="BL15" s="119" t="s">
        <v>3950</v>
      </c>
      <c r="BM15" s="119" t="s">
        <v>3951</v>
      </c>
      <c r="BN15" s="120" t="s">
        <v>3964</v>
      </c>
      <c r="BO15" s="120" t="s">
        <v>3965</v>
      </c>
      <c r="BP15" s="119" t="s">
        <v>3947</v>
      </c>
      <c r="BQ15" s="119" t="s">
        <v>3948</v>
      </c>
      <c r="BR15" s="119" t="s">
        <v>3949</v>
      </c>
      <c r="BS15" s="119" t="s">
        <v>3950</v>
      </c>
      <c r="BT15" s="119" t="s">
        <v>3951</v>
      </c>
      <c r="BU15" s="120" t="s">
        <v>3966</v>
      </c>
      <c r="BV15" s="120" t="s">
        <v>3967</v>
      </c>
      <c r="BW15" s="119" t="s">
        <v>3947</v>
      </c>
      <c r="BX15" s="119" t="s">
        <v>3948</v>
      </c>
      <c r="BY15" s="119" t="s">
        <v>3949</v>
      </c>
      <c r="BZ15" s="119" t="s">
        <v>3950</v>
      </c>
      <c r="CA15" s="119" t="s">
        <v>3951</v>
      </c>
      <c r="CB15" s="120" t="s">
        <v>3968</v>
      </c>
      <c r="CC15" s="120" t="s">
        <v>3969</v>
      </c>
      <c r="CD15" s="119" t="s">
        <v>3947</v>
      </c>
      <c r="CE15" s="119" t="s">
        <v>3948</v>
      </c>
      <c r="CF15" s="119" t="s">
        <v>3949</v>
      </c>
      <c r="CG15" s="119" t="s">
        <v>3950</v>
      </c>
      <c r="CH15" s="119" t="s">
        <v>3951</v>
      </c>
      <c r="CI15" s="120" t="s">
        <v>3970</v>
      </c>
      <c r="CJ15" s="120" t="s">
        <v>3971</v>
      </c>
      <c r="CK15" s="119" t="s">
        <v>3947</v>
      </c>
      <c r="CL15" s="119" t="s">
        <v>3948</v>
      </c>
      <c r="CM15" s="119" t="s">
        <v>3949</v>
      </c>
      <c r="CN15" s="119" t="s">
        <v>3950</v>
      </c>
      <c r="CO15" s="119" t="s">
        <v>3951</v>
      </c>
      <c r="CP15" s="120" t="s">
        <v>3972</v>
      </c>
      <c r="CQ15" s="120" t="s">
        <v>3973</v>
      </c>
      <c r="CR15" s="119" t="s">
        <v>3947</v>
      </c>
      <c r="CS15" s="119" t="s">
        <v>3948</v>
      </c>
      <c r="CT15" s="119" t="s">
        <v>3949</v>
      </c>
      <c r="CU15" s="119" t="s">
        <v>3950</v>
      </c>
      <c r="CV15" s="119" t="s">
        <v>3951</v>
      </c>
      <c r="CW15" s="120" t="s">
        <v>3974</v>
      </c>
      <c r="CX15" s="120" t="s">
        <v>3975</v>
      </c>
      <c r="CY15" s="119" t="s">
        <v>3947</v>
      </c>
      <c r="CZ15" s="119" t="s">
        <v>3948</v>
      </c>
      <c r="DA15" s="119" t="s">
        <v>3949</v>
      </c>
      <c r="DB15" s="119" t="s">
        <v>3950</v>
      </c>
      <c r="DC15" s="119" t="s">
        <v>3951</v>
      </c>
      <c r="DD15" s="120" t="s">
        <v>3974</v>
      </c>
      <c r="DE15" s="120" t="s">
        <v>3975</v>
      </c>
      <c r="DF15" s="119" t="s">
        <v>3947</v>
      </c>
      <c r="DG15" s="119" t="s">
        <v>3948</v>
      </c>
      <c r="DH15" s="119" t="s">
        <v>3949</v>
      </c>
      <c r="DI15" s="119" t="s">
        <v>3950</v>
      </c>
      <c r="DJ15" s="119" t="s">
        <v>3951</v>
      </c>
      <c r="DK15" s="120" t="s">
        <v>3976</v>
      </c>
      <c r="DL15" s="120" t="s">
        <v>3977</v>
      </c>
      <c r="DM15" s="119" t="s">
        <v>3947</v>
      </c>
      <c r="DN15" s="119" t="s">
        <v>3948</v>
      </c>
      <c r="DO15" s="119" t="s">
        <v>3949</v>
      </c>
      <c r="DP15" s="119" t="s">
        <v>3950</v>
      </c>
      <c r="DQ15" s="119" t="s">
        <v>3951</v>
      </c>
      <c r="DR15" s="328" t="s">
        <v>3978</v>
      </c>
      <c r="DS15" s="328" t="s">
        <v>3979</v>
      </c>
      <c r="DT15" s="313" t="s">
        <v>3947</v>
      </c>
      <c r="DU15" s="313" t="s">
        <v>3948</v>
      </c>
      <c r="DV15" s="313" t="s">
        <v>3949</v>
      </c>
      <c r="DW15" s="313" t="s">
        <v>3950</v>
      </c>
      <c r="DX15" s="313" t="s">
        <v>3951</v>
      </c>
      <c r="DY15" s="120" t="s">
        <v>3980</v>
      </c>
      <c r="DZ15" s="120" t="s">
        <v>3981</v>
      </c>
      <c r="EA15" s="119" t="s">
        <v>3947</v>
      </c>
      <c r="EB15" s="119" t="s">
        <v>3948</v>
      </c>
      <c r="EC15" s="119" t="s">
        <v>3949</v>
      </c>
      <c r="ED15" s="119" t="s">
        <v>3950</v>
      </c>
      <c r="EE15" s="119" t="s">
        <v>3951</v>
      </c>
      <c r="EF15" s="120" t="s">
        <v>3982</v>
      </c>
      <c r="EG15" s="120" t="s">
        <v>3983</v>
      </c>
      <c r="EH15" s="119" t="s">
        <v>3947</v>
      </c>
      <c r="EI15" s="119" t="s">
        <v>3948</v>
      </c>
      <c r="EJ15" s="119" t="s">
        <v>3949</v>
      </c>
      <c r="EK15" s="119" t="s">
        <v>3950</v>
      </c>
      <c r="EL15" s="119" t="s">
        <v>3951</v>
      </c>
      <c r="EM15" s="120" t="s">
        <v>3984</v>
      </c>
      <c r="EN15" s="120" t="s">
        <v>3985</v>
      </c>
      <c r="EO15" s="120"/>
      <c r="EP15" s="119" t="s">
        <v>3948</v>
      </c>
      <c r="EQ15" s="119" t="s">
        <v>3949</v>
      </c>
      <c r="ER15" s="119" t="s">
        <v>3950</v>
      </c>
      <c r="ES15" s="119" t="s">
        <v>3951</v>
      </c>
      <c r="ET15" s="120" t="s">
        <v>3986</v>
      </c>
      <c r="EU15" s="120" t="s">
        <v>3987</v>
      </c>
      <c r="EV15" s="120"/>
      <c r="EW15" s="119" t="s">
        <v>3948</v>
      </c>
      <c r="EX15" s="119" t="s">
        <v>3949</v>
      </c>
      <c r="EY15" s="119" t="s">
        <v>3950</v>
      </c>
      <c r="EZ15" s="119" t="s">
        <v>3951</v>
      </c>
      <c r="FA15" s="120" t="s">
        <v>3988</v>
      </c>
      <c r="FB15" s="120" t="s">
        <v>3989</v>
      </c>
      <c r="FC15" s="119" t="s">
        <v>3948</v>
      </c>
      <c r="FD15" s="119" t="s">
        <v>3949</v>
      </c>
      <c r="FE15" s="119" t="s">
        <v>3950</v>
      </c>
      <c r="FF15" s="119" t="s">
        <v>3951</v>
      </c>
      <c r="FG15" s="120" t="s">
        <v>3990</v>
      </c>
      <c r="FH15" s="120" t="s">
        <v>3991</v>
      </c>
      <c r="FI15" s="119" t="s">
        <v>3948</v>
      </c>
      <c r="FJ15" s="119" t="s">
        <v>3949</v>
      </c>
      <c r="FK15" s="119" t="s">
        <v>3950</v>
      </c>
      <c r="FL15" s="119" t="s">
        <v>3951</v>
      </c>
      <c r="FM15" s="120" t="s">
        <v>3992</v>
      </c>
      <c r="FN15" s="120" t="s">
        <v>3993</v>
      </c>
      <c r="FO15" s="119" t="s">
        <v>3948</v>
      </c>
      <c r="FP15" s="119" t="s">
        <v>3949</v>
      </c>
      <c r="FQ15" s="119" t="s">
        <v>3950</v>
      </c>
      <c r="FR15" s="119" t="s">
        <v>3951</v>
      </c>
      <c r="FS15" s="120" t="s">
        <v>3994</v>
      </c>
      <c r="FT15" s="120" t="s">
        <v>3995</v>
      </c>
      <c r="FU15" s="119" t="s">
        <v>3948</v>
      </c>
      <c r="FV15" s="119" t="s">
        <v>3949</v>
      </c>
      <c r="FW15" s="119" t="s">
        <v>3950</v>
      </c>
      <c r="FX15" s="119" t="s">
        <v>3951</v>
      </c>
      <c r="FY15" s="120" t="s">
        <v>3996</v>
      </c>
      <c r="FZ15" s="120" t="s">
        <v>3997</v>
      </c>
      <c r="GA15" s="119" t="s">
        <v>3948</v>
      </c>
      <c r="GB15" s="119" t="s">
        <v>3949</v>
      </c>
      <c r="GC15" s="119" t="s">
        <v>3950</v>
      </c>
      <c r="GD15" s="119" t="s">
        <v>3951</v>
      </c>
      <c r="GE15" s="120" t="s">
        <v>3998</v>
      </c>
      <c r="GF15" s="120" t="s">
        <v>3999</v>
      </c>
      <c r="GG15" s="119" t="s">
        <v>3948</v>
      </c>
      <c r="GH15" s="119" t="s">
        <v>3949</v>
      </c>
      <c r="GI15" s="119" t="s">
        <v>3950</v>
      </c>
      <c r="GJ15" s="119" t="s">
        <v>3951</v>
      </c>
      <c r="GK15" s="120" t="s">
        <v>4000</v>
      </c>
      <c r="GL15" s="120" t="s">
        <v>4001</v>
      </c>
      <c r="GM15" s="119" t="s">
        <v>3948</v>
      </c>
      <c r="GN15" s="119" t="s">
        <v>3949</v>
      </c>
      <c r="GO15" s="119" t="s">
        <v>3950</v>
      </c>
      <c r="GP15" s="119" t="s">
        <v>3951</v>
      </c>
      <c r="GQ15" s="120" t="s">
        <v>4002</v>
      </c>
      <c r="GR15" s="120" t="s">
        <v>4003</v>
      </c>
      <c r="GS15" s="119" t="s">
        <v>3948</v>
      </c>
      <c r="GT15" s="119" t="s">
        <v>3949</v>
      </c>
      <c r="GU15" s="119" t="s">
        <v>3950</v>
      </c>
      <c r="GV15" s="119" t="s">
        <v>3951</v>
      </c>
      <c r="GW15" s="119"/>
      <c r="GX15" s="119" t="s">
        <v>3948</v>
      </c>
      <c r="GY15" s="119" t="s">
        <v>3949</v>
      </c>
      <c r="GZ15" s="119" t="s">
        <v>3950</v>
      </c>
      <c r="HA15" s="119" t="s">
        <v>3951</v>
      </c>
      <c r="HB15" s="119" t="s">
        <v>3948</v>
      </c>
      <c r="HC15" s="119" t="s">
        <v>3949</v>
      </c>
      <c r="HD15" s="119" t="s">
        <v>3950</v>
      </c>
      <c r="HE15" s="119" t="s">
        <v>3951</v>
      </c>
    </row>
    <row r="16" ht="28.8" spans="1:213">
      <c r="A16" s="89" t="s">
        <v>230</v>
      </c>
      <c r="B16" s="89" t="s">
        <v>242</v>
      </c>
      <c r="C16" s="124"/>
      <c r="F16" s="314">
        <v>6</v>
      </c>
      <c r="G16" s="314">
        <v>6</v>
      </c>
      <c r="H16" s="314">
        <v>6</v>
      </c>
      <c r="I16" s="314">
        <v>3</v>
      </c>
      <c r="J16" s="124"/>
      <c r="M16" s="314">
        <v>6</v>
      </c>
      <c r="N16" s="314">
        <v>6</v>
      </c>
      <c r="O16" s="314">
        <v>6</v>
      </c>
      <c r="P16" s="314">
        <v>3</v>
      </c>
      <c r="Q16" s="124"/>
      <c r="T16" s="314">
        <v>6</v>
      </c>
      <c r="U16" s="314">
        <v>6</v>
      </c>
      <c r="V16" s="314">
        <v>6</v>
      </c>
      <c r="W16" s="314">
        <v>3</v>
      </c>
      <c r="X16" s="124" t="s">
        <v>4092</v>
      </c>
      <c r="AA16" s="321">
        <v>6</v>
      </c>
      <c r="AB16" s="321">
        <v>6</v>
      </c>
      <c r="AC16" s="321">
        <v>6</v>
      </c>
      <c r="AD16" s="321">
        <v>3</v>
      </c>
      <c r="AE16" s="124" t="s">
        <v>4092</v>
      </c>
      <c r="AH16" s="89">
        <v>5</v>
      </c>
      <c r="AI16" s="89">
        <v>5</v>
      </c>
      <c r="AJ16" s="89">
        <v>4</v>
      </c>
      <c r="AK16" s="89">
        <v>2</v>
      </c>
      <c r="AL16" s="124" t="s">
        <v>4092</v>
      </c>
      <c r="AO16" s="89">
        <v>5</v>
      </c>
      <c r="AP16" s="89">
        <v>5</v>
      </c>
      <c r="AQ16" s="89">
        <v>4</v>
      </c>
      <c r="AR16" s="88">
        <v>2</v>
      </c>
      <c r="AS16" s="125" t="s">
        <v>4093</v>
      </c>
      <c r="AV16" s="89">
        <v>5</v>
      </c>
      <c r="AW16" s="89">
        <v>5</v>
      </c>
      <c r="AX16" s="89">
        <v>4</v>
      </c>
      <c r="AY16" s="89">
        <v>5</v>
      </c>
      <c r="AZ16" s="125" t="s">
        <v>4093</v>
      </c>
      <c r="BC16" s="89">
        <v>5</v>
      </c>
      <c r="BD16" s="89">
        <v>5</v>
      </c>
      <c r="BE16" s="89">
        <v>4</v>
      </c>
      <c r="BF16" s="89">
        <v>5</v>
      </c>
      <c r="BG16" s="124" t="s">
        <v>4093</v>
      </c>
      <c r="BJ16" s="89">
        <v>5</v>
      </c>
      <c r="BK16" s="89">
        <v>5</v>
      </c>
      <c r="BL16" s="89">
        <v>4</v>
      </c>
      <c r="BM16" s="89">
        <v>5</v>
      </c>
      <c r="BN16" s="125"/>
      <c r="BQ16" s="89">
        <v>5</v>
      </c>
      <c r="BR16" s="89">
        <v>5</v>
      </c>
      <c r="BS16" s="89">
        <v>4</v>
      </c>
      <c r="BT16" s="89">
        <v>5</v>
      </c>
      <c r="BU16" s="125"/>
      <c r="BX16" s="88">
        <v>5</v>
      </c>
      <c r="BY16" s="89">
        <v>5</v>
      </c>
      <c r="BZ16" s="88">
        <v>4</v>
      </c>
      <c r="CA16" s="89">
        <v>5</v>
      </c>
      <c r="CB16" s="125"/>
      <c r="CE16" s="88">
        <v>4</v>
      </c>
      <c r="CF16" s="89">
        <v>5</v>
      </c>
      <c r="CG16" s="89">
        <v>5</v>
      </c>
      <c r="CH16" s="89">
        <v>5</v>
      </c>
      <c r="CI16" s="125"/>
      <c r="CL16" s="89">
        <v>5</v>
      </c>
      <c r="CM16" s="89">
        <v>5</v>
      </c>
      <c r="CN16" s="89">
        <v>5</v>
      </c>
      <c r="CO16" s="89">
        <v>5</v>
      </c>
      <c r="CP16" s="125"/>
      <c r="CS16" s="89">
        <v>5</v>
      </c>
      <c r="CT16" s="89">
        <v>5</v>
      </c>
      <c r="CU16" s="89">
        <v>5</v>
      </c>
      <c r="CV16" s="89">
        <v>5</v>
      </c>
      <c r="CW16" s="125" t="s">
        <v>4052</v>
      </c>
      <c r="CZ16" s="89">
        <v>5</v>
      </c>
      <c r="DA16" s="89">
        <v>5</v>
      </c>
      <c r="DB16" s="89">
        <v>5</v>
      </c>
      <c r="DC16" s="89">
        <v>5</v>
      </c>
      <c r="DD16" s="125" t="s">
        <v>4052</v>
      </c>
      <c r="DG16" s="89">
        <v>5</v>
      </c>
      <c r="DH16" s="89">
        <v>5</v>
      </c>
      <c r="DI16" s="89">
        <v>5</v>
      </c>
      <c r="DJ16" s="89">
        <v>5</v>
      </c>
      <c r="DK16" s="125" t="s">
        <v>4052</v>
      </c>
      <c r="DN16" s="89">
        <v>5</v>
      </c>
      <c r="DO16" s="88">
        <v>5</v>
      </c>
      <c r="DP16" s="88">
        <v>5</v>
      </c>
      <c r="DQ16" s="89">
        <v>5</v>
      </c>
      <c r="DR16" s="316" t="s">
        <v>4052</v>
      </c>
      <c r="DU16" s="88">
        <v>5</v>
      </c>
      <c r="DV16" s="88">
        <v>6</v>
      </c>
      <c r="DW16" s="88">
        <v>6</v>
      </c>
      <c r="DX16" s="88">
        <v>5</v>
      </c>
      <c r="DY16" s="125" t="s">
        <v>4052</v>
      </c>
      <c r="EB16" s="89">
        <v>4</v>
      </c>
      <c r="EC16" s="89">
        <v>5</v>
      </c>
      <c r="ED16" s="89">
        <v>4</v>
      </c>
      <c r="EE16" s="89">
        <v>5</v>
      </c>
      <c r="EF16" s="125" t="s">
        <v>4052</v>
      </c>
      <c r="EI16" s="89">
        <v>4</v>
      </c>
      <c r="EJ16" s="89">
        <v>5</v>
      </c>
      <c r="EK16" s="89">
        <v>4</v>
      </c>
      <c r="EL16" s="89">
        <v>5</v>
      </c>
      <c r="EM16" s="125" t="s">
        <v>4052</v>
      </c>
      <c r="EP16" s="89">
        <v>4</v>
      </c>
      <c r="EQ16" s="89">
        <v>5</v>
      </c>
      <c r="ER16" s="89">
        <v>4</v>
      </c>
      <c r="ES16" s="89">
        <v>5</v>
      </c>
      <c r="ET16" s="125" t="s">
        <v>4052</v>
      </c>
      <c r="EW16" s="89">
        <v>4</v>
      </c>
      <c r="EX16" s="89">
        <v>5</v>
      </c>
      <c r="EY16" s="89">
        <v>4</v>
      </c>
      <c r="EZ16" s="89">
        <v>5</v>
      </c>
      <c r="FA16" s="125" t="s">
        <v>4052</v>
      </c>
      <c r="FC16" s="89">
        <v>3</v>
      </c>
      <c r="FD16" s="89">
        <v>4</v>
      </c>
      <c r="FE16" s="89">
        <v>4</v>
      </c>
      <c r="FF16" s="89">
        <v>5</v>
      </c>
      <c r="FG16" s="125" t="s">
        <v>4052</v>
      </c>
      <c r="FI16" s="89">
        <v>4</v>
      </c>
      <c r="FJ16" s="89">
        <v>4</v>
      </c>
      <c r="FK16" s="89">
        <v>3</v>
      </c>
      <c r="FL16" s="89">
        <v>5</v>
      </c>
      <c r="FM16" s="125" t="s">
        <v>4052</v>
      </c>
      <c r="FO16" s="89">
        <v>4</v>
      </c>
      <c r="FP16" s="89">
        <v>4</v>
      </c>
      <c r="FQ16" s="89">
        <v>3</v>
      </c>
      <c r="FR16" s="89">
        <v>5</v>
      </c>
      <c r="FS16" s="125" t="s">
        <v>4052</v>
      </c>
      <c r="FU16" s="89">
        <v>4</v>
      </c>
      <c r="FV16" s="89">
        <v>4</v>
      </c>
      <c r="FW16" s="89">
        <v>3</v>
      </c>
      <c r="FX16" s="89">
        <v>5</v>
      </c>
      <c r="FY16" s="125" t="s">
        <v>4052</v>
      </c>
      <c r="GA16" s="89">
        <v>4</v>
      </c>
      <c r="GB16" s="89">
        <v>4</v>
      </c>
      <c r="GC16" s="89">
        <v>3</v>
      </c>
      <c r="GD16" s="89">
        <v>5</v>
      </c>
      <c r="GE16" s="125" t="s">
        <v>4052</v>
      </c>
      <c r="GG16" s="89">
        <v>4</v>
      </c>
      <c r="GH16" s="89">
        <v>4</v>
      </c>
      <c r="GI16" s="89">
        <v>3</v>
      </c>
      <c r="GJ16" s="89">
        <v>5</v>
      </c>
      <c r="GK16" s="95" t="s">
        <v>4052</v>
      </c>
      <c r="GM16" s="89">
        <v>4</v>
      </c>
      <c r="GN16" s="89">
        <v>4</v>
      </c>
      <c r="GO16" s="89">
        <v>3</v>
      </c>
      <c r="GP16" s="89">
        <v>5</v>
      </c>
      <c r="GS16" s="89">
        <v>4</v>
      </c>
      <c r="GT16" s="89">
        <v>5</v>
      </c>
      <c r="GU16" s="89">
        <v>5</v>
      </c>
      <c r="GV16" s="89">
        <v>5</v>
      </c>
      <c r="GX16" s="89">
        <v>4</v>
      </c>
      <c r="GY16" s="89">
        <v>5</v>
      </c>
      <c r="GZ16" s="89">
        <v>5</v>
      </c>
      <c r="HA16" s="89">
        <v>5</v>
      </c>
      <c r="HB16" s="89">
        <v>4</v>
      </c>
      <c r="HC16" s="89">
        <v>5</v>
      </c>
      <c r="HD16" s="89">
        <v>5</v>
      </c>
      <c r="HE16" s="89">
        <v>5</v>
      </c>
    </row>
    <row r="17" spans="1:2">
      <c r="A17" s="89" t="s">
        <v>801</v>
      </c>
      <c r="B17" s="108" t="s">
        <v>534</v>
      </c>
    </row>
    <row r="18" ht="138" spans="1:213">
      <c r="A18" s="88" t="s">
        <v>227</v>
      </c>
      <c r="B18" s="105" t="s">
        <v>528</v>
      </c>
      <c r="E18" s="194" t="s">
        <v>4094</v>
      </c>
      <c r="F18" s="314">
        <v>4</v>
      </c>
      <c r="G18" s="314">
        <v>4</v>
      </c>
      <c r="H18" s="314">
        <v>3</v>
      </c>
      <c r="I18" s="314">
        <v>4</v>
      </c>
      <c r="L18" s="194" t="s">
        <v>4094</v>
      </c>
      <c r="M18" s="314">
        <v>4</v>
      </c>
      <c r="N18" s="314">
        <v>4</v>
      </c>
      <c r="O18" s="314">
        <v>3</v>
      </c>
      <c r="P18" s="314">
        <v>4</v>
      </c>
      <c r="S18" s="194" t="s">
        <v>4094</v>
      </c>
      <c r="T18" s="314">
        <v>4</v>
      </c>
      <c r="U18" s="314">
        <v>4</v>
      </c>
      <c r="V18" s="314">
        <v>3</v>
      </c>
      <c r="W18" s="314">
        <v>4</v>
      </c>
      <c r="X18" s="95" t="s">
        <v>4095</v>
      </c>
      <c r="Y18" s="95" t="s">
        <v>4096</v>
      </c>
      <c r="Z18" s="194" t="s">
        <v>4094</v>
      </c>
      <c r="AA18" s="321">
        <v>4</v>
      </c>
      <c r="AB18" s="321">
        <v>4</v>
      </c>
      <c r="AC18" s="321">
        <v>3</v>
      </c>
      <c r="AD18" s="321">
        <v>4</v>
      </c>
      <c r="AE18" s="95" t="s">
        <v>4095</v>
      </c>
      <c r="AF18" s="95" t="s">
        <v>4096</v>
      </c>
      <c r="AG18" s="194" t="s">
        <v>4094</v>
      </c>
      <c r="AH18" s="89">
        <v>3</v>
      </c>
      <c r="AI18" s="89">
        <v>3</v>
      </c>
      <c r="AJ18" s="89">
        <v>2</v>
      </c>
      <c r="AK18" s="89">
        <v>3</v>
      </c>
      <c r="AL18" s="95" t="s">
        <v>4095</v>
      </c>
      <c r="AM18" s="95" t="s">
        <v>4096</v>
      </c>
      <c r="AN18" s="95" t="s">
        <v>4094</v>
      </c>
      <c r="AO18" s="89">
        <v>3</v>
      </c>
      <c r="AP18" s="89">
        <v>3</v>
      </c>
      <c r="AQ18" s="89">
        <v>2</v>
      </c>
      <c r="AR18" s="88">
        <v>3</v>
      </c>
      <c r="AS18" s="95" t="s">
        <v>4095</v>
      </c>
      <c r="AT18" s="95" t="s">
        <v>4096</v>
      </c>
      <c r="AU18" s="95" t="s">
        <v>4094</v>
      </c>
      <c r="AV18" s="89">
        <v>3</v>
      </c>
      <c r="AW18" s="89">
        <v>3</v>
      </c>
      <c r="AX18" s="89">
        <v>2</v>
      </c>
      <c r="AY18" s="89">
        <v>2</v>
      </c>
      <c r="AZ18" s="95" t="s">
        <v>4095</v>
      </c>
      <c r="BA18" s="95" t="s">
        <v>4096</v>
      </c>
      <c r="BB18" s="95" t="s">
        <v>4094</v>
      </c>
      <c r="BC18" s="89">
        <v>3</v>
      </c>
      <c r="BD18" s="89">
        <v>3</v>
      </c>
      <c r="BE18" s="89">
        <v>2</v>
      </c>
      <c r="BF18" s="89">
        <v>2</v>
      </c>
      <c r="BG18" s="95" t="s">
        <v>4095</v>
      </c>
      <c r="BH18" s="126" t="s">
        <v>4097</v>
      </c>
      <c r="BI18" s="95" t="s">
        <v>4098</v>
      </c>
      <c r="BJ18" s="89">
        <v>3</v>
      </c>
      <c r="BK18" s="89">
        <v>3</v>
      </c>
      <c r="BL18" s="89">
        <v>2</v>
      </c>
      <c r="BM18" s="89">
        <v>2</v>
      </c>
      <c r="BN18" s="95" t="s">
        <v>4095</v>
      </c>
      <c r="BO18" s="95" t="s">
        <v>4099</v>
      </c>
      <c r="BP18" s="95" t="s">
        <v>4100</v>
      </c>
      <c r="BQ18" s="89">
        <v>3</v>
      </c>
      <c r="BR18" s="89">
        <v>3</v>
      </c>
      <c r="BS18" s="89">
        <v>2</v>
      </c>
      <c r="BT18" s="89">
        <v>2</v>
      </c>
      <c r="BU18" s="126" t="s">
        <v>4101</v>
      </c>
      <c r="BV18" s="95" t="s">
        <v>4099</v>
      </c>
      <c r="BW18" s="95" t="s">
        <v>4100</v>
      </c>
      <c r="BX18" s="89">
        <v>3</v>
      </c>
      <c r="BY18" s="88">
        <v>3</v>
      </c>
      <c r="BZ18" s="88">
        <v>2</v>
      </c>
      <c r="CA18" s="89">
        <v>2</v>
      </c>
      <c r="CC18" s="95" t="s">
        <v>4099</v>
      </c>
      <c r="CD18" s="95" t="s">
        <v>4100</v>
      </c>
      <c r="CE18" s="88">
        <v>3</v>
      </c>
      <c r="CF18" s="88">
        <v>4</v>
      </c>
      <c r="CG18" s="88">
        <v>4</v>
      </c>
      <c r="CH18" s="89">
        <v>2</v>
      </c>
      <c r="CJ18" s="95" t="s">
        <v>4099</v>
      </c>
      <c r="CK18" s="95" t="s">
        <v>4100</v>
      </c>
      <c r="CL18" s="89">
        <v>4</v>
      </c>
      <c r="CM18" s="89">
        <v>3</v>
      </c>
      <c r="CN18" s="89">
        <v>3</v>
      </c>
      <c r="CO18" s="89">
        <v>2</v>
      </c>
      <c r="CQ18" s="95" t="s">
        <v>4099</v>
      </c>
      <c r="CR18" s="95" t="s">
        <v>4100</v>
      </c>
      <c r="CS18" s="89">
        <v>4</v>
      </c>
      <c r="CT18" s="89">
        <v>3</v>
      </c>
      <c r="CU18" s="89">
        <v>3</v>
      </c>
      <c r="CV18" s="89">
        <v>2</v>
      </c>
      <c r="CW18" s="95" t="s">
        <v>4102</v>
      </c>
      <c r="CX18" s="126" t="s">
        <v>4103</v>
      </c>
      <c r="CY18" s="95" t="s">
        <v>4104</v>
      </c>
      <c r="CZ18" s="89">
        <v>4</v>
      </c>
      <c r="DA18" s="89">
        <v>3</v>
      </c>
      <c r="DB18" s="89">
        <v>3</v>
      </c>
      <c r="DC18" s="89">
        <v>2</v>
      </c>
      <c r="DD18" s="95" t="s">
        <v>4102</v>
      </c>
      <c r="DE18" s="126" t="s">
        <v>4080</v>
      </c>
      <c r="DF18" s="95" t="s">
        <v>4105</v>
      </c>
      <c r="DG18" s="89">
        <v>4</v>
      </c>
      <c r="DH18" s="89">
        <v>3</v>
      </c>
      <c r="DI18" s="89">
        <v>3</v>
      </c>
      <c r="DJ18" s="89">
        <v>2</v>
      </c>
      <c r="DK18" s="95" t="s">
        <v>4102</v>
      </c>
      <c r="DL18" s="126" t="s">
        <v>4106</v>
      </c>
      <c r="DM18" s="95" t="s">
        <v>4107</v>
      </c>
      <c r="DN18" s="89">
        <v>4</v>
      </c>
      <c r="DO18" s="88">
        <v>3</v>
      </c>
      <c r="DP18" s="88">
        <v>3</v>
      </c>
      <c r="DQ18" s="88">
        <v>2</v>
      </c>
      <c r="DR18" s="194" t="s">
        <v>4108</v>
      </c>
      <c r="DS18" s="194" t="s">
        <v>4109</v>
      </c>
      <c r="DT18" s="194" t="s">
        <v>4110</v>
      </c>
      <c r="DU18" s="88">
        <v>4</v>
      </c>
      <c r="DV18" s="88">
        <v>4</v>
      </c>
      <c r="DW18" s="88">
        <v>4</v>
      </c>
      <c r="DX18" s="88">
        <v>3</v>
      </c>
      <c r="DY18" s="95" t="s">
        <v>4102</v>
      </c>
      <c r="DZ18" s="95" t="s">
        <v>4109</v>
      </c>
      <c r="EA18" s="95" t="s">
        <v>4111</v>
      </c>
      <c r="EB18" s="89">
        <v>3</v>
      </c>
      <c r="EC18" s="89">
        <v>2</v>
      </c>
      <c r="ED18" s="89">
        <v>2</v>
      </c>
      <c r="EE18" s="89">
        <v>2</v>
      </c>
      <c r="EF18" s="95" t="s">
        <v>4102</v>
      </c>
      <c r="EG18" s="95" t="s">
        <v>4109</v>
      </c>
      <c r="EH18" s="95" t="s">
        <v>4111</v>
      </c>
      <c r="EI18" s="89">
        <v>3</v>
      </c>
      <c r="EJ18" s="89">
        <v>2</v>
      </c>
      <c r="EK18" s="89">
        <v>2</v>
      </c>
      <c r="EL18" s="89">
        <v>2</v>
      </c>
      <c r="EM18" s="95" t="s">
        <v>4102</v>
      </c>
      <c r="EN18" s="95" t="s">
        <v>4109</v>
      </c>
      <c r="EO18" s="95" t="s">
        <v>4111</v>
      </c>
      <c r="EP18" s="89">
        <v>3</v>
      </c>
      <c r="EQ18" s="89">
        <v>2</v>
      </c>
      <c r="ER18" s="89">
        <v>2</v>
      </c>
      <c r="ES18" s="89">
        <v>2</v>
      </c>
      <c r="ET18" s="95" t="s">
        <v>4102</v>
      </c>
      <c r="EU18" s="95" t="s">
        <v>4109</v>
      </c>
      <c r="EV18" s="95" t="s">
        <v>4112</v>
      </c>
      <c r="EW18" s="89">
        <v>3</v>
      </c>
      <c r="EX18" s="89">
        <v>2</v>
      </c>
      <c r="EY18" s="89">
        <v>2</v>
      </c>
      <c r="EZ18" s="89">
        <v>2</v>
      </c>
      <c r="FA18" s="95" t="s">
        <v>4113</v>
      </c>
      <c r="FB18" s="95" t="s">
        <v>4109</v>
      </c>
      <c r="FC18" s="89">
        <v>2</v>
      </c>
      <c r="FD18" s="89">
        <v>2</v>
      </c>
      <c r="FE18" s="89">
        <v>3</v>
      </c>
      <c r="FF18" s="89">
        <v>4</v>
      </c>
      <c r="FG18" s="95" t="s">
        <v>4113</v>
      </c>
      <c r="FH18" s="95" t="s">
        <v>4109</v>
      </c>
      <c r="FI18" s="89">
        <v>3</v>
      </c>
      <c r="FJ18" s="89">
        <v>2</v>
      </c>
      <c r="FK18" s="89">
        <v>2</v>
      </c>
      <c r="FL18" s="89">
        <v>2</v>
      </c>
      <c r="FM18" s="95" t="s">
        <v>4113</v>
      </c>
      <c r="FN18" s="95" t="s">
        <v>4109</v>
      </c>
      <c r="FO18" s="89">
        <v>3</v>
      </c>
      <c r="FP18" s="89">
        <v>2</v>
      </c>
      <c r="FQ18" s="89">
        <v>2</v>
      </c>
      <c r="FR18" s="89">
        <v>2</v>
      </c>
      <c r="FS18" s="95" t="s">
        <v>4113</v>
      </c>
      <c r="FT18" s="95" t="s">
        <v>4109</v>
      </c>
      <c r="FU18" s="89">
        <v>3</v>
      </c>
      <c r="FV18" s="89">
        <v>2</v>
      </c>
      <c r="FW18" s="89">
        <v>2</v>
      </c>
      <c r="FX18" s="89">
        <v>2</v>
      </c>
      <c r="FY18" s="95" t="s">
        <v>4113</v>
      </c>
      <c r="FZ18" s="95" t="s">
        <v>4109</v>
      </c>
      <c r="GA18" s="89">
        <v>3</v>
      </c>
      <c r="GB18" s="89">
        <v>2</v>
      </c>
      <c r="GC18" s="89">
        <v>2</v>
      </c>
      <c r="GD18" s="89">
        <v>2</v>
      </c>
      <c r="GE18" s="95" t="s">
        <v>4113</v>
      </c>
      <c r="GF18" s="95" t="s">
        <v>4109</v>
      </c>
      <c r="GG18" s="89">
        <v>3</v>
      </c>
      <c r="GH18" s="89">
        <v>2</v>
      </c>
      <c r="GI18" s="89">
        <v>2</v>
      </c>
      <c r="GJ18" s="89">
        <v>2</v>
      </c>
      <c r="GK18" s="95" t="s">
        <v>4113</v>
      </c>
      <c r="GL18" s="126" t="s">
        <v>4109</v>
      </c>
      <c r="GM18" s="89">
        <v>3</v>
      </c>
      <c r="GN18" s="89">
        <v>2</v>
      </c>
      <c r="GO18" s="89">
        <v>2</v>
      </c>
      <c r="GP18" s="89">
        <v>2</v>
      </c>
      <c r="GR18" s="126"/>
      <c r="GS18" s="89">
        <v>3</v>
      </c>
      <c r="GT18" s="89">
        <v>2</v>
      </c>
      <c r="GU18" s="89">
        <v>2</v>
      </c>
      <c r="GV18" s="89">
        <v>2</v>
      </c>
      <c r="GX18" s="89">
        <v>3</v>
      </c>
      <c r="GY18" s="89">
        <v>2</v>
      </c>
      <c r="GZ18" s="89">
        <v>2</v>
      </c>
      <c r="HA18" s="89">
        <v>2</v>
      </c>
      <c r="HB18" s="89">
        <v>3</v>
      </c>
      <c r="HC18" s="89">
        <v>2</v>
      </c>
      <c r="HD18" s="89">
        <v>2</v>
      </c>
      <c r="HE18" s="89">
        <v>2</v>
      </c>
    </row>
    <row r="19" spans="1:2">
      <c r="A19" s="89" t="s">
        <v>446</v>
      </c>
      <c r="B19" s="108" t="s">
        <v>4114</v>
      </c>
    </row>
    <row r="20" ht="43.2" spans="1:213">
      <c r="A20" s="89" t="s">
        <v>243</v>
      </c>
      <c r="B20" s="89" t="s">
        <v>244</v>
      </c>
      <c r="F20" s="314">
        <v>5</v>
      </c>
      <c r="G20" s="314">
        <v>5</v>
      </c>
      <c r="H20" s="314">
        <v>5</v>
      </c>
      <c r="I20" s="314">
        <v>6</v>
      </c>
      <c r="M20" s="314">
        <v>5</v>
      </c>
      <c r="N20" s="314">
        <v>5</v>
      </c>
      <c r="O20" s="314">
        <v>5</v>
      </c>
      <c r="P20" s="314">
        <v>6</v>
      </c>
      <c r="T20" s="314">
        <v>5</v>
      </c>
      <c r="U20" s="314">
        <v>5</v>
      </c>
      <c r="V20" s="314">
        <v>5</v>
      </c>
      <c r="W20" s="314">
        <v>6</v>
      </c>
      <c r="X20" s="95" t="s">
        <v>4115</v>
      </c>
      <c r="AA20" s="321">
        <v>5</v>
      </c>
      <c r="AB20" s="321">
        <v>5</v>
      </c>
      <c r="AC20" s="321">
        <v>5</v>
      </c>
      <c r="AD20" s="321">
        <v>6</v>
      </c>
      <c r="AE20" s="95" t="s">
        <v>4115</v>
      </c>
      <c r="AH20" s="89">
        <v>4</v>
      </c>
      <c r="AI20" s="89">
        <v>4</v>
      </c>
      <c r="AJ20" s="89">
        <v>5</v>
      </c>
      <c r="AK20" s="89">
        <v>5</v>
      </c>
      <c r="AL20" s="95" t="s">
        <v>4116</v>
      </c>
      <c r="AO20" s="89">
        <v>4</v>
      </c>
      <c r="AP20" s="89">
        <v>4</v>
      </c>
      <c r="AQ20" s="88">
        <v>5</v>
      </c>
      <c r="AR20" s="88">
        <v>5</v>
      </c>
      <c r="AS20" s="95" t="s">
        <v>4116</v>
      </c>
      <c r="AV20" s="89">
        <v>4</v>
      </c>
      <c r="AW20" s="89">
        <v>4</v>
      </c>
      <c r="AX20" s="89">
        <v>3</v>
      </c>
      <c r="AY20" s="89">
        <v>4</v>
      </c>
      <c r="AZ20" s="95" t="s">
        <v>4116</v>
      </c>
      <c r="BC20" s="89">
        <v>4</v>
      </c>
      <c r="BD20" s="89">
        <v>4</v>
      </c>
      <c r="BE20" s="89">
        <v>3</v>
      </c>
      <c r="BF20" s="89">
        <v>4</v>
      </c>
      <c r="BG20" s="95" t="s">
        <v>4116</v>
      </c>
      <c r="BJ20" s="89">
        <v>4</v>
      </c>
      <c r="BK20" s="89">
        <v>4</v>
      </c>
      <c r="BL20" s="89">
        <v>3</v>
      </c>
      <c r="BM20" s="89">
        <v>4</v>
      </c>
      <c r="BN20" s="95" t="s">
        <v>4116</v>
      </c>
      <c r="BQ20" s="89">
        <v>4</v>
      </c>
      <c r="BR20" s="89">
        <v>4</v>
      </c>
      <c r="BS20" s="89">
        <v>3</v>
      </c>
      <c r="BT20" s="89">
        <v>4</v>
      </c>
      <c r="BU20" s="126" t="s">
        <v>4117</v>
      </c>
      <c r="BX20" s="88">
        <v>4</v>
      </c>
      <c r="BY20" s="88">
        <v>4</v>
      </c>
      <c r="BZ20" s="88">
        <v>3</v>
      </c>
      <c r="CA20" s="88">
        <v>4</v>
      </c>
      <c r="CB20" s="126" t="s">
        <v>4118</v>
      </c>
      <c r="CE20" s="89">
        <v>2</v>
      </c>
      <c r="CF20" s="88">
        <v>2</v>
      </c>
      <c r="CG20" s="88">
        <v>2</v>
      </c>
      <c r="CH20" s="88">
        <v>3</v>
      </c>
      <c r="CL20" s="89">
        <v>2</v>
      </c>
      <c r="CM20" s="89">
        <v>4</v>
      </c>
      <c r="CN20" s="89">
        <v>4</v>
      </c>
      <c r="CO20" s="89">
        <v>4</v>
      </c>
      <c r="CS20" s="89">
        <v>2</v>
      </c>
      <c r="CT20" s="89">
        <v>4</v>
      </c>
      <c r="CU20" s="89">
        <v>4</v>
      </c>
      <c r="CV20" s="89">
        <v>4</v>
      </c>
      <c r="CW20" s="95" t="s">
        <v>4119</v>
      </c>
      <c r="CZ20" s="89">
        <v>2</v>
      </c>
      <c r="DA20" s="89">
        <v>4</v>
      </c>
      <c r="DB20" s="89">
        <v>4</v>
      </c>
      <c r="DC20" s="89">
        <v>4</v>
      </c>
      <c r="DD20" s="95" t="s">
        <v>4119</v>
      </c>
      <c r="DG20" s="89">
        <v>2</v>
      </c>
      <c r="DH20" s="89">
        <v>4</v>
      </c>
      <c r="DI20" s="89">
        <v>4</v>
      </c>
      <c r="DJ20" s="89">
        <v>4</v>
      </c>
      <c r="DK20" s="126" t="s">
        <v>4120</v>
      </c>
      <c r="DN20" s="89">
        <v>2</v>
      </c>
      <c r="DO20" s="88">
        <v>4</v>
      </c>
      <c r="DP20" s="88">
        <v>4</v>
      </c>
      <c r="DQ20" s="88">
        <v>4</v>
      </c>
      <c r="DR20" s="126" t="s">
        <v>4121</v>
      </c>
      <c r="DU20" s="188">
        <v>2</v>
      </c>
      <c r="DV20" s="88">
        <v>2</v>
      </c>
      <c r="DW20" s="88">
        <v>2</v>
      </c>
      <c r="DX20" s="88">
        <v>2</v>
      </c>
      <c r="DY20" s="194" t="s">
        <v>4122</v>
      </c>
      <c r="EB20" s="89">
        <v>2</v>
      </c>
      <c r="EC20" s="89">
        <v>3</v>
      </c>
      <c r="ED20" s="89">
        <v>3</v>
      </c>
      <c r="EE20" s="89">
        <v>4</v>
      </c>
      <c r="EF20" s="194" t="s">
        <v>4122</v>
      </c>
      <c r="EI20" s="89">
        <v>2</v>
      </c>
      <c r="EJ20" s="89">
        <v>3</v>
      </c>
      <c r="EK20" s="89">
        <v>3</v>
      </c>
      <c r="EL20" s="89">
        <v>4</v>
      </c>
      <c r="EM20" s="194" t="s">
        <v>4122</v>
      </c>
      <c r="EP20" s="89">
        <v>2</v>
      </c>
      <c r="EQ20" s="89">
        <v>3</v>
      </c>
      <c r="ER20" s="89">
        <v>3</v>
      </c>
      <c r="ES20" s="89">
        <v>4</v>
      </c>
      <c r="ET20" s="194" t="s">
        <v>4122</v>
      </c>
      <c r="EW20" s="89">
        <v>2</v>
      </c>
      <c r="EX20" s="89">
        <v>3</v>
      </c>
      <c r="EY20" s="89">
        <v>3</v>
      </c>
      <c r="EZ20" s="89">
        <v>4</v>
      </c>
      <c r="FA20" s="126" t="s">
        <v>4123</v>
      </c>
      <c r="FC20" s="89">
        <v>4</v>
      </c>
      <c r="FD20" s="89">
        <v>5</v>
      </c>
      <c r="FE20" s="89">
        <v>5</v>
      </c>
      <c r="FF20" s="89">
        <v>2</v>
      </c>
      <c r="FG20" s="95" t="s">
        <v>4124</v>
      </c>
      <c r="FI20" s="89">
        <v>2</v>
      </c>
      <c r="FJ20" s="89">
        <v>2</v>
      </c>
      <c r="FK20" s="89">
        <v>2</v>
      </c>
      <c r="FL20" s="89">
        <v>4</v>
      </c>
      <c r="FM20" s="95" t="s">
        <v>4124</v>
      </c>
      <c r="FO20" s="89">
        <v>2</v>
      </c>
      <c r="FP20" s="89">
        <v>2</v>
      </c>
      <c r="FQ20" s="89">
        <v>2</v>
      </c>
      <c r="FR20" s="89">
        <v>4</v>
      </c>
      <c r="FS20" s="95" t="s">
        <v>4124</v>
      </c>
      <c r="FU20" s="89">
        <v>2</v>
      </c>
      <c r="FV20" s="89">
        <v>2</v>
      </c>
      <c r="FW20" s="89">
        <v>2</v>
      </c>
      <c r="FX20" s="89">
        <v>4</v>
      </c>
      <c r="FY20" s="95" t="s">
        <v>4124</v>
      </c>
      <c r="GA20" s="89">
        <v>2</v>
      </c>
      <c r="GB20" s="89">
        <v>2</v>
      </c>
      <c r="GC20" s="89">
        <v>2</v>
      </c>
      <c r="GD20" s="89">
        <v>4</v>
      </c>
      <c r="GE20" s="95" t="s">
        <v>4124</v>
      </c>
      <c r="GG20" s="89">
        <v>2</v>
      </c>
      <c r="GH20" s="89">
        <v>2</v>
      </c>
      <c r="GI20" s="89">
        <v>2</v>
      </c>
      <c r="GJ20" s="89">
        <v>4</v>
      </c>
      <c r="GK20" s="95" t="s">
        <v>4125</v>
      </c>
      <c r="GM20" s="89">
        <v>2</v>
      </c>
      <c r="GN20" s="89">
        <v>2</v>
      </c>
      <c r="GO20" s="89">
        <v>2</v>
      </c>
      <c r="GP20" s="89">
        <v>4</v>
      </c>
      <c r="GS20" s="89">
        <v>2</v>
      </c>
      <c r="GT20" s="89">
        <v>2</v>
      </c>
      <c r="GU20" s="89">
        <v>2</v>
      </c>
      <c r="GV20" s="89">
        <v>4</v>
      </c>
      <c r="GX20" s="89">
        <v>2</v>
      </c>
      <c r="GY20" s="89">
        <v>2</v>
      </c>
      <c r="GZ20" s="89">
        <v>2</v>
      </c>
      <c r="HA20" s="89">
        <v>4</v>
      </c>
      <c r="HB20" s="89">
        <v>2</v>
      </c>
      <c r="HC20" s="89">
        <v>2</v>
      </c>
      <c r="HD20" s="89">
        <v>2</v>
      </c>
      <c r="HE20" s="89">
        <v>4</v>
      </c>
    </row>
    <row r="21" ht="28.8" spans="1:213">
      <c r="A21" s="89" t="s">
        <v>230</v>
      </c>
      <c r="B21" s="108" t="s">
        <v>416</v>
      </c>
      <c r="F21" s="314">
        <v>2</v>
      </c>
      <c r="G21" s="314">
        <v>2</v>
      </c>
      <c r="H21" s="314">
        <v>2</v>
      </c>
      <c r="I21" s="314">
        <v>2</v>
      </c>
      <c r="M21" s="314">
        <v>2</v>
      </c>
      <c r="N21" s="314">
        <v>2</v>
      </c>
      <c r="O21" s="314">
        <v>2</v>
      </c>
      <c r="P21" s="314">
        <v>2</v>
      </c>
      <c r="T21" s="314">
        <v>2</v>
      </c>
      <c r="U21" s="314">
        <v>2</v>
      </c>
      <c r="V21" s="314">
        <v>2</v>
      </c>
      <c r="W21" s="314">
        <v>2</v>
      </c>
      <c r="X21" s="95" t="s">
        <v>4126</v>
      </c>
      <c r="AA21" s="321">
        <v>2</v>
      </c>
      <c r="AB21" s="321">
        <v>2</v>
      </c>
      <c r="AC21" s="321">
        <v>2</v>
      </c>
      <c r="AD21" s="321">
        <v>2</v>
      </c>
      <c r="AE21" s="95" t="s">
        <v>4126</v>
      </c>
      <c r="AH21" s="89">
        <v>1</v>
      </c>
      <c r="AI21" s="89">
        <v>1</v>
      </c>
      <c r="AJ21" s="89">
        <v>1</v>
      </c>
      <c r="AK21" s="89">
        <v>1</v>
      </c>
      <c r="AL21" s="95" t="s">
        <v>4126</v>
      </c>
      <c r="AO21" s="89">
        <v>1</v>
      </c>
      <c r="AP21" s="89">
        <v>1</v>
      </c>
      <c r="AQ21" s="89">
        <v>1</v>
      </c>
      <c r="AR21" s="89">
        <v>1</v>
      </c>
      <c r="AS21" s="95" t="s">
        <v>4126</v>
      </c>
      <c r="AV21" s="89">
        <v>1</v>
      </c>
      <c r="AW21" s="89">
        <v>1</v>
      </c>
      <c r="AX21" s="89">
        <v>1</v>
      </c>
      <c r="AY21" s="89">
        <v>1</v>
      </c>
      <c r="AZ21" s="95" t="s">
        <v>4126</v>
      </c>
      <c r="BC21" s="89">
        <v>1</v>
      </c>
      <c r="BD21" s="89">
        <v>1</v>
      </c>
      <c r="BE21" s="89">
        <v>1</v>
      </c>
      <c r="BF21" s="89">
        <v>1</v>
      </c>
      <c r="BG21" s="95" t="s">
        <v>4126</v>
      </c>
      <c r="BJ21" s="89">
        <v>1</v>
      </c>
      <c r="BK21" s="89">
        <v>1</v>
      </c>
      <c r="BL21" s="89">
        <v>1</v>
      </c>
      <c r="BM21" s="89">
        <v>1</v>
      </c>
      <c r="BN21" s="95" t="s">
        <v>4126</v>
      </c>
      <c r="BQ21" s="89">
        <v>1</v>
      </c>
      <c r="BR21" s="89">
        <v>1</v>
      </c>
      <c r="BS21" s="89">
        <v>1</v>
      </c>
      <c r="BT21" s="89">
        <v>1</v>
      </c>
      <c r="BU21" s="95" t="s">
        <v>4126</v>
      </c>
      <c r="BX21" s="89">
        <v>1</v>
      </c>
      <c r="BY21" s="89">
        <v>1</v>
      </c>
      <c r="BZ21" s="89">
        <v>1</v>
      </c>
      <c r="CA21" s="89">
        <v>1</v>
      </c>
      <c r="CB21" s="126" t="s">
        <v>4127</v>
      </c>
      <c r="CE21" s="89">
        <v>1</v>
      </c>
      <c r="CF21" s="89">
        <v>1</v>
      </c>
      <c r="CG21" s="89">
        <v>1</v>
      </c>
      <c r="CH21" s="89">
        <v>1</v>
      </c>
      <c r="CL21" s="89">
        <v>1</v>
      </c>
      <c r="CM21" s="89">
        <v>1</v>
      </c>
      <c r="CN21" s="89">
        <v>1</v>
      </c>
      <c r="CO21" s="89">
        <v>1</v>
      </c>
      <c r="CS21" s="89">
        <v>1</v>
      </c>
      <c r="CT21" s="89">
        <v>1</v>
      </c>
      <c r="CU21" s="89">
        <v>1</v>
      </c>
      <c r="CV21" s="89">
        <v>1</v>
      </c>
      <c r="CW21" s="95" t="s">
        <v>4128</v>
      </c>
      <c r="CZ21" s="89">
        <v>1</v>
      </c>
      <c r="DA21" s="89">
        <v>1</v>
      </c>
      <c r="DB21" s="89">
        <v>1</v>
      </c>
      <c r="DC21" s="89">
        <v>1</v>
      </c>
      <c r="DD21" s="95" t="s">
        <v>4128</v>
      </c>
      <c r="DG21" s="89">
        <v>1</v>
      </c>
      <c r="DH21" s="89">
        <v>1</v>
      </c>
      <c r="DI21" s="89">
        <v>1</v>
      </c>
      <c r="DJ21" s="89">
        <v>1</v>
      </c>
      <c r="DK21" s="95" t="s">
        <v>4128</v>
      </c>
      <c r="DN21" s="89">
        <v>1</v>
      </c>
      <c r="DO21" s="89">
        <v>1</v>
      </c>
      <c r="DP21" s="89">
        <v>1</v>
      </c>
      <c r="DQ21" s="89">
        <v>1</v>
      </c>
      <c r="DR21" s="194" t="s">
        <v>4129</v>
      </c>
      <c r="DU21" s="188">
        <v>1</v>
      </c>
      <c r="DV21" s="188">
        <v>1</v>
      </c>
      <c r="DW21" s="188">
        <v>1</v>
      </c>
      <c r="DX21" s="188">
        <v>1</v>
      </c>
      <c r="DY21" s="95" t="s">
        <v>4128</v>
      </c>
      <c r="EB21" s="89">
        <v>1</v>
      </c>
      <c r="EC21" s="89">
        <v>1</v>
      </c>
      <c r="ED21" s="89">
        <v>1</v>
      </c>
      <c r="EE21" s="89">
        <v>1</v>
      </c>
      <c r="EF21" s="95" t="s">
        <v>4128</v>
      </c>
      <c r="EI21" s="89">
        <v>1</v>
      </c>
      <c r="EJ21" s="89">
        <v>1</v>
      </c>
      <c r="EK21" s="89">
        <v>1</v>
      </c>
      <c r="EL21" s="89">
        <v>1</v>
      </c>
      <c r="EM21" s="95" t="s">
        <v>4130</v>
      </c>
      <c r="EP21" s="89">
        <v>1</v>
      </c>
      <c r="EQ21" s="89">
        <v>1</v>
      </c>
      <c r="ER21" s="89">
        <v>1</v>
      </c>
      <c r="ES21" s="89">
        <v>1</v>
      </c>
      <c r="ET21" s="95" t="s">
        <v>4130</v>
      </c>
      <c r="EW21" s="89">
        <v>1</v>
      </c>
      <c r="EX21" s="89">
        <v>1</v>
      </c>
      <c r="EY21" s="89">
        <v>1</v>
      </c>
      <c r="EZ21" s="89">
        <v>1</v>
      </c>
      <c r="FA21" s="95" t="s">
        <v>4130</v>
      </c>
      <c r="FC21" s="89">
        <v>1</v>
      </c>
      <c r="FD21" s="89">
        <v>1</v>
      </c>
      <c r="FE21" s="89">
        <v>1</v>
      </c>
      <c r="FF21" s="89">
        <v>1</v>
      </c>
      <c r="FG21" s="126" t="s">
        <v>4131</v>
      </c>
      <c r="FI21" s="89">
        <v>1</v>
      </c>
      <c r="FJ21" s="89">
        <v>1</v>
      </c>
      <c r="FK21" s="89">
        <v>1</v>
      </c>
      <c r="FL21" s="89">
        <v>1</v>
      </c>
      <c r="FM21" s="95" t="s">
        <v>4132</v>
      </c>
      <c r="FO21" s="89">
        <v>1</v>
      </c>
      <c r="FP21" s="89">
        <v>1</v>
      </c>
      <c r="FQ21" s="89">
        <v>1</v>
      </c>
      <c r="FR21" s="89">
        <v>1</v>
      </c>
      <c r="FS21" s="95" t="s">
        <v>4132</v>
      </c>
      <c r="FU21" s="89">
        <v>1</v>
      </c>
      <c r="FV21" s="89">
        <v>1</v>
      </c>
      <c r="FW21" s="89">
        <v>1</v>
      </c>
      <c r="FX21" s="89">
        <v>1</v>
      </c>
      <c r="FY21" s="95" t="s">
        <v>4132</v>
      </c>
      <c r="GA21" s="89">
        <v>1</v>
      </c>
      <c r="GB21" s="89">
        <v>1</v>
      </c>
      <c r="GC21" s="89">
        <v>1</v>
      </c>
      <c r="GD21" s="89">
        <v>1</v>
      </c>
      <c r="GE21" s="95" t="s">
        <v>4132</v>
      </c>
      <c r="GG21" s="89">
        <v>1</v>
      </c>
      <c r="GH21" s="89">
        <v>1</v>
      </c>
      <c r="GI21" s="89">
        <v>1</v>
      </c>
      <c r="GJ21" s="89">
        <v>1</v>
      </c>
      <c r="GK21" s="95" t="s">
        <v>4133</v>
      </c>
      <c r="GM21" s="89">
        <v>1</v>
      </c>
      <c r="GN21" s="89">
        <v>1</v>
      </c>
      <c r="GO21" s="89">
        <v>1</v>
      </c>
      <c r="GP21" s="89">
        <v>1</v>
      </c>
      <c r="GS21" s="89">
        <v>1</v>
      </c>
      <c r="GT21" s="89">
        <v>1</v>
      </c>
      <c r="GU21" s="89">
        <v>1</v>
      </c>
      <c r="GV21" s="89">
        <v>1</v>
      </c>
      <c r="GX21" s="89">
        <v>1</v>
      </c>
      <c r="GY21" s="89">
        <v>1</v>
      </c>
      <c r="GZ21" s="89">
        <v>1</v>
      </c>
      <c r="HA21" s="89">
        <v>1</v>
      </c>
      <c r="HB21" s="89">
        <v>1</v>
      </c>
      <c r="HC21" s="89">
        <v>1</v>
      </c>
      <c r="HD21" s="89">
        <v>1</v>
      </c>
      <c r="HE21" s="89">
        <v>1</v>
      </c>
    </row>
    <row r="22" spans="1:213">
      <c r="A22" s="89" t="s">
        <v>230</v>
      </c>
      <c r="B22" s="315" t="s">
        <v>510</v>
      </c>
      <c r="F22" s="89">
        <v>1</v>
      </c>
      <c r="G22" s="89">
        <v>1</v>
      </c>
      <c r="H22" s="89">
        <v>1</v>
      </c>
      <c r="I22" s="89">
        <v>1</v>
      </c>
      <c r="M22" s="89">
        <v>1</v>
      </c>
      <c r="N22" s="89">
        <v>1</v>
      </c>
      <c r="O22" s="89">
        <v>1</v>
      </c>
      <c r="P22" s="89">
        <v>1</v>
      </c>
      <c r="T22" s="89">
        <v>1</v>
      </c>
      <c r="U22" s="89">
        <v>1</v>
      </c>
      <c r="V22" s="89">
        <v>1</v>
      </c>
      <c r="W22" s="89">
        <v>1</v>
      </c>
      <c r="X22" s="95" t="s">
        <v>4134</v>
      </c>
      <c r="AA22" s="88">
        <v>1</v>
      </c>
      <c r="AB22" s="88">
        <v>1</v>
      </c>
      <c r="AC22" s="88">
        <v>1</v>
      </c>
      <c r="AD22" s="88">
        <v>1</v>
      </c>
      <c r="DP22" s="88"/>
      <c r="DQ22" s="88"/>
      <c r="DR22" s="194" t="s">
        <v>4052</v>
      </c>
      <c r="DU22" s="88">
        <v>6</v>
      </c>
      <c r="DV22" s="88">
        <v>5</v>
      </c>
      <c r="DW22" s="88">
        <v>5</v>
      </c>
      <c r="DX22" s="88">
        <v>4</v>
      </c>
      <c r="DY22" s="95" t="s">
        <v>4052</v>
      </c>
      <c r="EB22" s="89">
        <v>5</v>
      </c>
      <c r="EC22" s="89">
        <v>4</v>
      </c>
      <c r="ED22" s="89">
        <v>3</v>
      </c>
      <c r="EE22" s="89">
        <v>3</v>
      </c>
      <c r="EF22" s="95" t="s">
        <v>4052</v>
      </c>
      <c r="EI22" s="89">
        <v>5</v>
      </c>
      <c r="EJ22" s="89">
        <v>4</v>
      </c>
      <c r="EK22" s="89">
        <v>3</v>
      </c>
      <c r="EL22" s="89">
        <v>3</v>
      </c>
      <c r="EM22" s="95" t="s">
        <v>4052</v>
      </c>
      <c r="EP22" s="89">
        <v>5</v>
      </c>
      <c r="EQ22" s="89">
        <v>4</v>
      </c>
      <c r="ER22" s="89">
        <v>3</v>
      </c>
      <c r="ES22" s="89">
        <v>3</v>
      </c>
      <c r="ET22" s="95" t="s">
        <v>4052</v>
      </c>
      <c r="EW22" s="89">
        <v>5</v>
      </c>
      <c r="EX22" s="89">
        <v>4</v>
      </c>
      <c r="EY22" s="89">
        <v>3</v>
      </c>
      <c r="EZ22" s="89">
        <v>3</v>
      </c>
      <c r="FA22" s="95" t="s">
        <v>4052</v>
      </c>
      <c r="FC22" s="89">
        <v>5</v>
      </c>
      <c r="FD22" s="89">
        <v>3</v>
      </c>
      <c r="FE22" s="89">
        <v>2</v>
      </c>
      <c r="FF22" s="89">
        <v>3</v>
      </c>
      <c r="FG22" s="95" t="s">
        <v>4052</v>
      </c>
      <c r="FI22" s="89">
        <v>5</v>
      </c>
      <c r="FJ22" s="89">
        <v>3</v>
      </c>
      <c r="FK22" s="89">
        <v>2</v>
      </c>
      <c r="FL22" s="89">
        <v>3</v>
      </c>
      <c r="FM22" s="95" t="s">
        <v>4052</v>
      </c>
      <c r="FO22" s="89">
        <v>5</v>
      </c>
      <c r="FP22" s="89">
        <v>3</v>
      </c>
      <c r="FQ22" s="89">
        <v>2</v>
      </c>
      <c r="FR22" s="89">
        <v>3</v>
      </c>
      <c r="FS22" s="95" t="s">
        <v>4052</v>
      </c>
      <c r="FU22" s="89">
        <v>5</v>
      </c>
      <c r="FV22" s="89">
        <v>3</v>
      </c>
      <c r="FW22" s="89">
        <v>2</v>
      </c>
      <c r="FX22" s="89">
        <v>3</v>
      </c>
      <c r="FY22" s="95" t="s">
        <v>4052</v>
      </c>
      <c r="GA22" s="89">
        <v>5</v>
      </c>
      <c r="GB22" s="89">
        <v>3</v>
      </c>
      <c r="GC22" s="89">
        <v>2</v>
      </c>
      <c r="GD22" s="89">
        <v>3</v>
      </c>
      <c r="GE22" s="95" t="s">
        <v>4052</v>
      </c>
      <c r="GG22" s="89">
        <v>5</v>
      </c>
      <c r="GH22" s="89">
        <v>3</v>
      </c>
      <c r="GI22" s="89">
        <v>2</v>
      </c>
      <c r="GJ22" s="89">
        <v>3</v>
      </c>
      <c r="GK22" s="95" t="s">
        <v>4052</v>
      </c>
      <c r="GM22" s="89">
        <v>5</v>
      </c>
      <c r="GN22" s="89">
        <v>3</v>
      </c>
      <c r="GO22" s="89">
        <v>2</v>
      </c>
      <c r="GP22" s="89">
        <v>3</v>
      </c>
      <c r="GS22" s="89">
        <v>5</v>
      </c>
      <c r="GT22" s="89">
        <v>4</v>
      </c>
      <c r="GU22" s="89">
        <v>2</v>
      </c>
      <c r="GV22" s="89">
        <v>3</v>
      </c>
      <c r="GX22" s="89">
        <v>5</v>
      </c>
      <c r="GY22" s="89">
        <v>4</v>
      </c>
      <c r="GZ22" s="89">
        <v>2</v>
      </c>
      <c r="HA22" s="89">
        <v>3</v>
      </c>
      <c r="HB22" s="89">
        <v>5</v>
      </c>
      <c r="HC22" s="89">
        <v>4</v>
      </c>
      <c r="HD22" s="89">
        <v>2</v>
      </c>
      <c r="HE22" s="89">
        <v>3</v>
      </c>
    </row>
    <row r="23" spans="1:128">
      <c r="A23" s="89" t="s">
        <v>230</v>
      </c>
      <c r="B23" t="s">
        <v>529</v>
      </c>
      <c r="C23" s="95" t="s">
        <v>4135</v>
      </c>
      <c r="AA23" s="88"/>
      <c r="AB23" s="88"/>
      <c r="AC23" s="88"/>
      <c r="AD23" s="88"/>
      <c r="DP23" s="88"/>
      <c r="DQ23" s="88"/>
      <c r="DU23" s="88"/>
      <c r="DV23" s="88"/>
      <c r="DW23" s="88"/>
      <c r="DX23" s="88"/>
    </row>
    <row r="24" ht="57.6" spans="1:213">
      <c r="A24" s="88" t="s">
        <v>227</v>
      </c>
      <c r="B24" s="88" t="s">
        <v>143</v>
      </c>
      <c r="E24" s="194" t="s">
        <v>4077</v>
      </c>
      <c r="F24" s="314">
        <v>3</v>
      </c>
      <c r="G24" s="314">
        <v>3</v>
      </c>
      <c r="H24" s="314">
        <v>4</v>
      </c>
      <c r="I24" s="314">
        <v>5</v>
      </c>
      <c r="L24" s="194" t="s">
        <v>4077</v>
      </c>
      <c r="M24" s="314">
        <v>3</v>
      </c>
      <c r="N24" s="314">
        <v>3</v>
      </c>
      <c r="O24" s="314">
        <v>4</v>
      </c>
      <c r="P24" s="314">
        <v>5</v>
      </c>
      <c r="S24" s="194" t="s">
        <v>4077</v>
      </c>
      <c r="T24" s="314">
        <v>3</v>
      </c>
      <c r="U24" s="314">
        <v>3</v>
      </c>
      <c r="V24" s="314">
        <v>4</v>
      </c>
      <c r="W24" s="314">
        <v>5</v>
      </c>
      <c r="Z24" s="194" t="s">
        <v>4077</v>
      </c>
      <c r="AA24" s="321">
        <v>3</v>
      </c>
      <c r="AB24" s="321">
        <v>3</v>
      </c>
      <c r="AC24" s="321">
        <v>4</v>
      </c>
      <c r="AD24" s="321">
        <v>5</v>
      </c>
      <c r="AG24" s="194" t="s">
        <v>4077</v>
      </c>
      <c r="AH24" s="89">
        <v>2</v>
      </c>
      <c r="AI24" s="89">
        <v>2</v>
      </c>
      <c r="AJ24" s="89">
        <v>3</v>
      </c>
      <c r="AK24" s="89">
        <v>4</v>
      </c>
      <c r="AN24" s="95" t="s">
        <v>4077</v>
      </c>
      <c r="AO24" s="89">
        <v>2</v>
      </c>
      <c r="AP24" s="89">
        <v>2</v>
      </c>
      <c r="AQ24" s="89">
        <v>3</v>
      </c>
      <c r="AR24" s="88">
        <v>4</v>
      </c>
      <c r="AU24" s="95" t="s">
        <v>4077</v>
      </c>
      <c r="AV24" s="89">
        <v>2</v>
      </c>
      <c r="AW24" s="89">
        <v>2</v>
      </c>
      <c r="AX24" s="89">
        <v>3</v>
      </c>
      <c r="AY24" s="89">
        <v>3</v>
      </c>
      <c r="BB24" s="95" t="s">
        <v>4077</v>
      </c>
      <c r="BC24" s="89">
        <v>2</v>
      </c>
      <c r="BD24" s="89">
        <v>2</v>
      </c>
      <c r="BE24" s="89">
        <v>3</v>
      </c>
      <c r="BF24" s="89">
        <v>3</v>
      </c>
      <c r="BI24" s="95" t="s">
        <v>4077</v>
      </c>
      <c r="BJ24" s="89">
        <v>2</v>
      </c>
      <c r="BK24" s="89">
        <v>2</v>
      </c>
      <c r="BL24" s="89">
        <v>3</v>
      </c>
      <c r="BM24" s="89">
        <v>3</v>
      </c>
      <c r="BP24" s="95" t="s">
        <v>4077</v>
      </c>
      <c r="BQ24" s="89">
        <v>2</v>
      </c>
      <c r="BR24" s="89">
        <v>2</v>
      </c>
      <c r="BS24" s="89">
        <v>3</v>
      </c>
      <c r="BT24" s="89">
        <v>3</v>
      </c>
      <c r="BW24" s="95" t="s">
        <v>4077</v>
      </c>
      <c r="BX24" s="89">
        <v>2</v>
      </c>
      <c r="BY24" s="88">
        <v>2</v>
      </c>
      <c r="BZ24" s="89">
        <v>3</v>
      </c>
      <c r="CA24" s="88">
        <v>3</v>
      </c>
      <c r="CD24" s="95" t="s">
        <v>4077</v>
      </c>
      <c r="CE24" s="88">
        <v>2</v>
      </c>
      <c r="CF24" s="88">
        <v>3</v>
      </c>
      <c r="CG24" s="88">
        <v>3</v>
      </c>
      <c r="CH24" s="88">
        <v>4</v>
      </c>
      <c r="CK24" s="95" t="s">
        <v>4077</v>
      </c>
      <c r="CL24" s="89">
        <v>3</v>
      </c>
      <c r="CM24" s="89">
        <v>2</v>
      </c>
      <c r="CN24" s="89">
        <v>2</v>
      </c>
      <c r="CO24" s="89">
        <v>3</v>
      </c>
      <c r="CR24" s="95" t="s">
        <v>4077</v>
      </c>
      <c r="CS24" s="89">
        <v>3</v>
      </c>
      <c r="CT24" s="89">
        <v>2</v>
      </c>
      <c r="CU24" s="89">
        <v>2</v>
      </c>
      <c r="CV24" s="89">
        <v>3</v>
      </c>
      <c r="CW24" s="95" t="s">
        <v>4136</v>
      </c>
      <c r="CX24" s="95" t="s">
        <v>4079</v>
      </c>
      <c r="CY24" s="95" t="s">
        <v>4077</v>
      </c>
      <c r="CZ24" s="89">
        <v>3</v>
      </c>
      <c r="DA24" s="89">
        <v>2</v>
      </c>
      <c r="DB24" s="89">
        <v>2</v>
      </c>
      <c r="DC24" s="89">
        <v>3</v>
      </c>
      <c r="DD24" s="95" t="s">
        <v>4136</v>
      </c>
      <c r="DE24" s="126" t="s">
        <v>4080</v>
      </c>
      <c r="DF24" s="126" t="s">
        <v>4077</v>
      </c>
      <c r="DG24" s="89">
        <v>3</v>
      </c>
      <c r="DH24" s="89">
        <v>2</v>
      </c>
      <c r="DI24" s="89">
        <v>2</v>
      </c>
      <c r="DJ24" s="89">
        <v>3</v>
      </c>
      <c r="DK24" s="95" t="s">
        <v>4136</v>
      </c>
      <c r="DN24" s="89">
        <v>3</v>
      </c>
      <c r="DO24" s="88">
        <v>2</v>
      </c>
      <c r="DP24" s="88">
        <v>2</v>
      </c>
      <c r="DQ24" s="88">
        <v>3</v>
      </c>
      <c r="DR24" s="126" t="s">
        <v>4137</v>
      </c>
      <c r="DU24" s="88">
        <v>3</v>
      </c>
      <c r="DV24" s="88">
        <v>3</v>
      </c>
      <c r="DW24" s="88">
        <v>3</v>
      </c>
      <c r="DX24" s="88">
        <v>4</v>
      </c>
      <c r="FT24" s="126"/>
      <c r="FZ24" s="126"/>
      <c r="GF24" s="126"/>
      <c r="GL24" s="126"/>
      <c r="GR24" s="126"/>
      <c r="HB24" s="88"/>
      <c r="HC24" s="88"/>
      <c r="HD24" s="88"/>
      <c r="HE24" s="88"/>
    </row>
    <row r="27" customHeight="1" spans="1:213">
      <c r="A27" s="96" t="s">
        <v>4138</v>
      </c>
      <c r="B27" s="97"/>
      <c r="C27" s="116" t="s">
        <v>3923</v>
      </c>
      <c r="D27" s="128"/>
      <c r="E27" s="128"/>
      <c r="F27" s="128"/>
      <c r="G27" s="128"/>
      <c r="H27" s="128"/>
      <c r="I27" s="132"/>
      <c r="J27" s="116" t="s">
        <v>3923</v>
      </c>
      <c r="K27" s="128"/>
      <c r="L27" s="128"/>
      <c r="M27" s="128"/>
      <c r="N27" s="128"/>
      <c r="O27" s="128"/>
      <c r="P27" s="132"/>
      <c r="Q27" s="116" t="s">
        <v>4083</v>
      </c>
      <c r="R27" s="128"/>
      <c r="S27" s="128"/>
      <c r="T27" s="128"/>
      <c r="U27" s="128"/>
      <c r="V27" s="128"/>
      <c r="W27" s="132"/>
      <c r="X27" s="116" t="s">
        <v>3925</v>
      </c>
      <c r="Y27" s="128"/>
      <c r="Z27" s="128"/>
      <c r="AA27" s="128"/>
      <c r="AB27" s="128"/>
      <c r="AC27" s="128"/>
      <c r="AD27" s="132"/>
      <c r="AE27" s="116" t="s">
        <v>3926</v>
      </c>
      <c r="AF27" s="128"/>
      <c r="AG27" s="128"/>
      <c r="AH27" s="128"/>
      <c r="AI27" s="128"/>
      <c r="AJ27" s="128"/>
      <c r="AK27" s="132"/>
      <c r="AL27" s="116" t="s">
        <v>3927</v>
      </c>
      <c r="AM27" s="128"/>
      <c r="AN27" s="128"/>
      <c r="AO27" s="128"/>
      <c r="AP27" s="128"/>
      <c r="AQ27" s="128"/>
      <c r="AR27" s="132"/>
      <c r="AS27" s="116" t="s">
        <v>3928</v>
      </c>
      <c r="AT27" s="128"/>
      <c r="AU27" s="128"/>
      <c r="AV27" s="128"/>
      <c r="AW27" s="128"/>
      <c r="AX27" s="128"/>
      <c r="AY27" s="132"/>
      <c r="AZ27" s="116" t="s">
        <v>3929</v>
      </c>
      <c r="BA27" s="128"/>
      <c r="BB27" s="128"/>
      <c r="BC27" s="128"/>
      <c r="BD27" s="128"/>
      <c r="BE27" s="128"/>
      <c r="BF27" s="132"/>
      <c r="BG27" s="116" t="s">
        <v>3930</v>
      </c>
      <c r="BH27" s="128"/>
      <c r="BI27" s="128"/>
      <c r="BJ27" s="128"/>
      <c r="BK27" s="128"/>
      <c r="BL27" s="128"/>
      <c r="BM27" s="132"/>
      <c r="BN27" s="116" t="s">
        <v>3932</v>
      </c>
      <c r="BO27" s="128"/>
      <c r="BP27" s="128"/>
      <c r="BQ27" s="128"/>
      <c r="BR27" s="128"/>
      <c r="BS27" s="128"/>
      <c r="BT27" s="132"/>
      <c r="BU27" s="116" t="s">
        <v>3932</v>
      </c>
      <c r="BV27" s="128"/>
      <c r="BW27" s="128"/>
      <c r="BX27" s="128"/>
      <c r="BY27" s="128"/>
      <c r="BZ27" s="128"/>
      <c r="CA27" s="132"/>
      <c r="CB27" s="116" t="s">
        <v>3933</v>
      </c>
      <c r="CC27" s="128"/>
      <c r="CD27" s="128"/>
      <c r="CE27" s="128"/>
      <c r="CF27" s="128"/>
      <c r="CG27" s="128"/>
      <c r="CH27" s="132"/>
      <c r="CI27" s="116" t="s">
        <v>3922</v>
      </c>
      <c r="CJ27" s="128"/>
      <c r="CK27" s="128"/>
      <c r="CL27" s="128"/>
      <c r="CM27" s="128"/>
      <c r="CN27" s="128"/>
      <c r="CO27" s="132"/>
      <c r="CP27" s="116" t="s">
        <v>3934</v>
      </c>
      <c r="CQ27" s="128"/>
      <c r="CR27" s="128"/>
      <c r="CS27" s="128"/>
      <c r="CT27" s="128"/>
      <c r="CU27" s="128"/>
      <c r="CV27" s="132"/>
      <c r="CW27" s="116" t="s">
        <v>3924</v>
      </c>
      <c r="CX27" s="128"/>
      <c r="CY27" s="128"/>
      <c r="CZ27" s="128"/>
      <c r="DA27" s="128"/>
      <c r="DB27" s="128"/>
      <c r="DC27" s="132"/>
      <c r="DD27" s="116" t="s">
        <v>3935</v>
      </c>
      <c r="DE27" s="128"/>
      <c r="DF27" s="128"/>
      <c r="DG27" s="128"/>
      <c r="DH27" s="128"/>
      <c r="DI27" s="128"/>
      <c r="DJ27" s="132"/>
      <c r="DK27" s="116" t="s">
        <v>3936</v>
      </c>
      <c r="DL27" s="128"/>
      <c r="DM27" s="128"/>
      <c r="DN27" s="128"/>
      <c r="DO27" s="128"/>
      <c r="DP27" s="128"/>
      <c r="DQ27" s="132"/>
      <c r="DR27" s="325" t="s">
        <v>3937</v>
      </c>
      <c r="DS27" s="326"/>
      <c r="DT27" s="326"/>
      <c r="DU27" s="326"/>
      <c r="DV27" s="326"/>
      <c r="DW27" s="326"/>
      <c r="DX27" s="327"/>
      <c r="DY27" s="116" t="s">
        <v>3928</v>
      </c>
      <c r="DZ27" s="128"/>
      <c r="EA27" s="128"/>
      <c r="EB27" s="128"/>
      <c r="EC27" s="128"/>
      <c r="ED27" s="128"/>
      <c r="EE27" s="132"/>
      <c r="EF27" s="116" t="s">
        <v>3929</v>
      </c>
      <c r="EG27" s="128"/>
      <c r="EH27" s="128"/>
      <c r="EI27" s="128"/>
      <c r="EJ27" s="128"/>
      <c r="EK27" s="128"/>
      <c r="EL27" s="132"/>
      <c r="EM27" s="116" t="s">
        <v>4084</v>
      </c>
      <c r="EN27" s="128"/>
      <c r="EO27" s="128"/>
      <c r="EP27" s="128"/>
      <c r="EQ27" s="128"/>
      <c r="ER27" s="128"/>
      <c r="ES27" s="132"/>
      <c r="EU27" s="332"/>
      <c r="EV27" s="332"/>
      <c r="EW27" s="116" t="s">
        <v>4085</v>
      </c>
      <c r="EX27" s="128"/>
      <c r="EY27" s="128"/>
      <c r="EZ27" s="132"/>
      <c r="FB27" s="332"/>
      <c r="FC27" s="116" t="s">
        <v>4086</v>
      </c>
      <c r="FD27" s="128"/>
      <c r="FE27" s="128"/>
      <c r="FF27" s="132"/>
      <c r="FH27" s="332"/>
      <c r="FI27" s="116" t="s">
        <v>4087</v>
      </c>
      <c r="FJ27" s="128"/>
      <c r="FK27" s="128"/>
      <c r="FL27" s="132"/>
      <c r="FN27" s="332"/>
      <c r="FO27" s="116" t="s">
        <v>4088</v>
      </c>
      <c r="FP27" s="128"/>
      <c r="FQ27" s="128"/>
      <c r="FR27" s="132"/>
      <c r="FT27" s="332"/>
      <c r="FU27" s="116" t="s">
        <v>4089</v>
      </c>
      <c r="FV27" s="128"/>
      <c r="FW27" s="128"/>
      <c r="FX27" s="132"/>
      <c r="FZ27" s="332"/>
      <c r="GA27" s="116" t="s">
        <v>4090</v>
      </c>
      <c r="GB27" s="128"/>
      <c r="GC27" s="128"/>
      <c r="GD27" s="132"/>
      <c r="GF27" s="332"/>
      <c r="GG27" s="116" t="s">
        <v>4091</v>
      </c>
      <c r="GH27" s="128"/>
      <c r="GI27" s="128"/>
      <c r="GJ27" s="132"/>
      <c r="GL27" s="332"/>
      <c r="GM27" s="116" t="s">
        <v>3941</v>
      </c>
      <c r="GN27" s="128"/>
      <c r="GO27" s="128"/>
      <c r="GP27" s="132"/>
      <c r="GR27" s="332"/>
      <c r="GS27" s="116" t="s">
        <v>3941</v>
      </c>
      <c r="GT27" s="128"/>
      <c r="GU27" s="128"/>
      <c r="GV27" s="132"/>
      <c r="GW27" s="128"/>
      <c r="GX27" s="116" t="s">
        <v>3942</v>
      </c>
      <c r="GY27" s="128"/>
      <c r="GZ27" s="128"/>
      <c r="HA27" s="132"/>
      <c r="HB27" s="116" t="s">
        <v>3943</v>
      </c>
      <c r="HC27" s="128"/>
      <c r="HD27" s="128"/>
      <c r="HE27" s="132"/>
    </row>
    <row r="28" ht="28.2" spans="1:213">
      <c r="A28" s="101" t="s">
        <v>3944</v>
      </c>
      <c r="B28" s="102" t="s">
        <v>207</v>
      </c>
      <c r="C28" s="120" t="s">
        <v>3945</v>
      </c>
      <c r="D28" s="120" t="s">
        <v>3946</v>
      </c>
      <c r="E28" s="313" t="s">
        <v>3947</v>
      </c>
      <c r="F28" s="119" t="s">
        <v>3948</v>
      </c>
      <c r="G28" s="119" t="s">
        <v>3949</v>
      </c>
      <c r="H28" s="119" t="s">
        <v>3950</v>
      </c>
      <c r="I28" s="119" t="s">
        <v>3951</v>
      </c>
      <c r="J28" s="120" t="s">
        <v>3945</v>
      </c>
      <c r="K28" s="120" t="s">
        <v>3946</v>
      </c>
      <c r="L28" s="313" t="s">
        <v>3947</v>
      </c>
      <c r="M28" s="119" t="s">
        <v>3948</v>
      </c>
      <c r="N28" s="119" t="s">
        <v>3949</v>
      </c>
      <c r="O28" s="119" t="s">
        <v>3950</v>
      </c>
      <c r="P28" s="119" t="s">
        <v>3951</v>
      </c>
      <c r="Q28" s="120" t="s">
        <v>3945</v>
      </c>
      <c r="R28" s="120" t="s">
        <v>3946</v>
      </c>
      <c r="S28" s="313" t="s">
        <v>3947</v>
      </c>
      <c r="T28" s="119" t="s">
        <v>3948</v>
      </c>
      <c r="U28" s="119" t="s">
        <v>3949</v>
      </c>
      <c r="V28" s="119" t="s">
        <v>3950</v>
      </c>
      <c r="W28" s="119" t="s">
        <v>3951</v>
      </c>
      <c r="X28" s="120" t="s">
        <v>3952</v>
      </c>
      <c r="Y28" s="120" t="s">
        <v>3953</v>
      </c>
      <c r="Z28" s="313" t="s">
        <v>3947</v>
      </c>
      <c r="AA28" s="119" t="s">
        <v>3948</v>
      </c>
      <c r="AB28" s="119" t="s">
        <v>3949</v>
      </c>
      <c r="AC28" s="119" t="s">
        <v>3950</v>
      </c>
      <c r="AD28" s="119" t="s">
        <v>3951</v>
      </c>
      <c r="AE28" s="120" t="s">
        <v>3954</v>
      </c>
      <c r="AF28" s="120" t="s">
        <v>3955</v>
      </c>
      <c r="AG28" s="313" t="s">
        <v>3947</v>
      </c>
      <c r="AH28" s="119" t="s">
        <v>3948</v>
      </c>
      <c r="AI28" s="119" t="s">
        <v>3949</v>
      </c>
      <c r="AJ28" s="119" t="s">
        <v>3950</v>
      </c>
      <c r="AK28" s="119" t="s">
        <v>3951</v>
      </c>
      <c r="AL28" s="120" t="s">
        <v>3956</v>
      </c>
      <c r="AM28" s="120" t="s">
        <v>3957</v>
      </c>
      <c r="AN28" s="119" t="s">
        <v>3947</v>
      </c>
      <c r="AO28" s="119" t="s">
        <v>3948</v>
      </c>
      <c r="AP28" s="119" t="s">
        <v>3949</v>
      </c>
      <c r="AQ28" s="119" t="s">
        <v>3950</v>
      </c>
      <c r="AR28" s="119" t="s">
        <v>3951</v>
      </c>
      <c r="AS28" s="120" t="s">
        <v>3958</v>
      </c>
      <c r="AT28" s="120" t="s">
        <v>3959</v>
      </c>
      <c r="AU28" s="119" t="s">
        <v>3947</v>
      </c>
      <c r="AV28" s="119" t="s">
        <v>3948</v>
      </c>
      <c r="AW28" s="119" t="s">
        <v>3949</v>
      </c>
      <c r="AX28" s="119" t="s">
        <v>3950</v>
      </c>
      <c r="AY28" s="119" t="s">
        <v>3951</v>
      </c>
      <c r="AZ28" s="120" t="s">
        <v>3960</v>
      </c>
      <c r="BA28" s="120" t="s">
        <v>3961</v>
      </c>
      <c r="BB28" s="119" t="s">
        <v>3947</v>
      </c>
      <c r="BC28" s="119" t="s">
        <v>3948</v>
      </c>
      <c r="BD28" s="119" t="s">
        <v>3949</v>
      </c>
      <c r="BE28" s="119" t="s">
        <v>3950</v>
      </c>
      <c r="BF28" s="119" t="s">
        <v>3951</v>
      </c>
      <c r="BG28" s="120" t="s">
        <v>3962</v>
      </c>
      <c r="BH28" s="120" t="s">
        <v>3963</v>
      </c>
      <c r="BI28" s="119" t="s">
        <v>3947</v>
      </c>
      <c r="BJ28" s="119" t="s">
        <v>3948</v>
      </c>
      <c r="BK28" s="119" t="s">
        <v>3949</v>
      </c>
      <c r="BL28" s="119" t="s">
        <v>3950</v>
      </c>
      <c r="BM28" s="119" t="s">
        <v>3951</v>
      </c>
      <c r="BN28" s="120" t="s">
        <v>3966</v>
      </c>
      <c r="BO28" s="120" t="s">
        <v>3967</v>
      </c>
      <c r="BP28" s="119" t="s">
        <v>3947</v>
      </c>
      <c r="BQ28" s="119" t="s">
        <v>3948</v>
      </c>
      <c r="BR28" s="119" t="s">
        <v>3949</v>
      </c>
      <c r="BS28" s="119" t="s">
        <v>3950</v>
      </c>
      <c r="BT28" s="119" t="s">
        <v>3951</v>
      </c>
      <c r="BU28" s="120" t="s">
        <v>3966</v>
      </c>
      <c r="BV28" s="120" t="s">
        <v>3967</v>
      </c>
      <c r="BW28" s="119" t="s">
        <v>3947</v>
      </c>
      <c r="BX28" s="119" t="s">
        <v>3948</v>
      </c>
      <c r="BY28" s="119" t="s">
        <v>3949</v>
      </c>
      <c r="BZ28" s="119" t="s">
        <v>3950</v>
      </c>
      <c r="CA28" s="119" t="s">
        <v>3951</v>
      </c>
      <c r="CB28" s="120" t="s">
        <v>3968</v>
      </c>
      <c r="CC28" s="120" t="s">
        <v>3969</v>
      </c>
      <c r="CD28" s="119" t="s">
        <v>3947</v>
      </c>
      <c r="CE28" s="119" t="s">
        <v>3948</v>
      </c>
      <c r="CF28" s="119" t="s">
        <v>3949</v>
      </c>
      <c r="CG28" s="119" t="s">
        <v>3950</v>
      </c>
      <c r="CH28" s="119" t="s">
        <v>3951</v>
      </c>
      <c r="CI28" s="120" t="s">
        <v>3970</v>
      </c>
      <c r="CJ28" s="120" t="s">
        <v>3971</v>
      </c>
      <c r="CK28" s="119" t="s">
        <v>3947</v>
      </c>
      <c r="CL28" s="119" t="s">
        <v>3948</v>
      </c>
      <c r="CM28" s="119" t="s">
        <v>3949</v>
      </c>
      <c r="CN28" s="119" t="s">
        <v>3950</v>
      </c>
      <c r="CO28" s="119" t="s">
        <v>3951</v>
      </c>
      <c r="CP28" s="120" t="s">
        <v>3972</v>
      </c>
      <c r="CQ28" s="120" t="s">
        <v>3973</v>
      </c>
      <c r="CR28" s="119" t="s">
        <v>3947</v>
      </c>
      <c r="CS28" s="119" t="s">
        <v>3948</v>
      </c>
      <c r="CT28" s="119" t="s">
        <v>3949</v>
      </c>
      <c r="CU28" s="119" t="s">
        <v>3950</v>
      </c>
      <c r="CV28" s="119" t="s">
        <v>3951</v>
      </c>
      <c r="CW28" s="120" t="s">
        <v>3974</v>
      </c>
      <c r="CX28" s="120" t="s">
        <v>3975</v>
      </c>
      <c r="CY28" s="119" t="s">
        <v>3947</v>
      </c>
      <c r="CZ28" s="119" t="s">
        <v>3948</v>
      </c>
      <c r="DA28" s="119" t="s">
        <v>3949</v>
      </c>
      <c r="DB28" s="119" t="s">
        <v>3950</v>
      </c>
      <c r="DC28" s="119" t="s">
        <v>3951</v>
      </c>
      <c r="DD28" s="120" t="s">
        <v>3974</v>
      </c>
      <c r="DE28" s="120" t="s">
        <v>3975</v>
      </c>
      <c r="DF28" s="119" t="s">
        <v>3947</v>
      </c>
      <c r="DG28" s="119" t="s">
        <v>3948</v>
      </c>
      <c r="DH28" s="119" t="s">
        <v>3949</v>
      </c>
      <c r="DI28" s="119" t="s">
        <v>3950</v>
      </c>
      <c r="DJ28" s="119" t="s">
        <v>3951</v>
      </c>
      <c r="DK28" s="120" t="s">
        <v>3976</v>
      </c>
      <c r="DL28" s="120" t="s">
        <v>3977</v>
      </c>
      <c r="DM28" s="119" t="s">
        <v>3947</v>
      </c>
      <c r="DN28" s="119" t="s">
        <v>3948</v>
      </c>
      <c r="DO28" s="119" t="s">
        <v>3949</v>
      </c>
      <c r="DP28" s="119" t="s">
        <v>3950</v>
      </c>
      <c r="DQ28" s="119" t="s">
        <v>3951</v>
      </c>
      <c r="DR28" s="328" t="s">
        <v>3978</v>
      </c>
      <c r="DS28" s="328" t="s">
        <v>3979</v>
      </c>
      <c r="DT28" s="313" t="s">
        <v>3947</v>
      </c>
      <c r="DU28" s="313" t="s">
        <v>3948</v>
      </c>
      <c r="DV28" s="313" t="s">
        <v>3949</v>
      </c>
      <c r="DW28" s="313" t="s">
        <v>3950</v>
      </c>
      <c r="DX28" s="313" t="s">
        <v>3951</v>
      </c>
      <c r="DY28" s="120" t="s">
        <v>3980</v>
      </c>
      <c r="DZ28" s="120" t="s">
        <v>3981</v>
      </c>
      <c r="EA28" s="119" t="s">
        <v>3947</v>
      </c>
      <c r="EB28" s="119" t="s">
        <v>3948</v>
      </c>
      <c r="EC28" s="119" t="s">
        <v>3949</v>
      </c>
      <c r="ED28" s="119" t="s">
        <v>3950</v>
      </c>
      <c r="EE28" s="119" t="s">
        <v>3951</v>
      </c>
      <c r="EF28" s="120" t="s">
        <v>3982</v>
      </c>
      <c r="EG28" s="120" t="s">
        <v>3983</v>
      </c>
      <c r="EH28" s="119" t="s">
        <v>3947</v>
      </c>
      <c r="EI28" s="119" t="s">
        <v>3948</v>
      </c>
      <c r="EJ28" s="119" t="s">
        <v>3949</v>
      </c>
      <c r="EK28" s="119" t="s">
        <v>3950</v>
      </c>
      <c r="EL28" s="119" t="s">
        <v>3951</v>
      </c>
      <c r="EM28" s="120" t="s">
        <v>3984</v>
      </c>
      <c r="EN28" s="120" t="s">
        <v>3985</v>
      </c>
      <c r="EO28" s="120"/>
      <c r="EP28" s="119" t="s">
        <v>3948</v>
      </c>
      <c r="EQ28" s="119" t="s">
        <v>3949</v>
      </c>
      <c r="ER28" s="119" t="s">
        <v>3950</v>
      </c>
      <c r="ES28" s="119" t="s">
        <v>3951</v>
      </c>
      <c r="ET28" s="120" t="s">
        <v>3986</v>
      </c>
      <c r="EU28" s="120" t="s">
        <v>3987</v>
      </c>
      <c r="EV28" s="120"/>
      <c r="EW28" s="119" t="s">
        <v>3948</v>
      </c>
      <c r="EX28" s="119" t="s">
        <v>3949</v>
      </c>
      <c r="EY28" s="119" t="s">
        <v>3950</v>
      </c>
      <c r="EZ28" s="119" t="s">
        <v>3951</v>
      </c>
      <c r="FA28" s="120" t="s">
        <v>3988</v>
      </c>
      <c r="FB28" s="120" t="s">
        <v>3989</v>
      </c>
      <c r="FC28" s="119" t="s">
        <v>3948</v>
      </c>
      <c r="FD28" s="119" t="s">
        <v>3949</v>
      </c>
      <c r="FE28" s="119" t="s">
        <v>3950</v>
      </c>
      <c r="FF28" s="119" t="s">
        <v>3951</v>
      </c>
      <c r="FG28" s="120" t="s">
        <v>3990</v>
      </c>
      <c r="FH28" s="120" t="s">
        <v>3991</v>
      </c>
      <c r="FI28" s="119" t="s">
        <v>3948</v>
      </c>
      <c r="FJ28" s="119" t="s">
        <v>3949</v>
      </c>
      <c r="FK28" s="119" t="s">
        <v>3950</v>
      </c>
      <c r="FL28" s="119" t="s">
        <v>3951</v>
      </c>
      <c r="FM28" s="120" t="s">
        <v>3992</v>
      </c>
      <c r="FN28" s="120" t="s">
        <v>3993</v>
      </c>
      <c r="FO28" s="119" t="s">
        <v>3948</v>
      </c>
      <c r="FP28" s="119" t="s">
        <v>3949</v>
      </c>
      <c r="FQ28" s="119" t="s">
        <v>3950</v>
      </c>
      <c r="FR28" s="119" t="s">
        <v>3951</v>
      </c>
      <c r="FS28" s="120" t="s">
        <v>3994</v>
      </c>
      <c r="FT28" s="120" t="s">
        <v>3995</v>
      </c>
      <c r="FU28" s="119" t="s">
        <v>3948</v>
      </c>
      <c r="FV28" s="119" t="s">
        <v>3949</v>
      </c>
      <c r="FW28" s="119" t="s">
        <v>3950</v>
      </c>
      <c r="FX28" s="119" t="s">
        <v>3951</v>
      </c>
      <c r="FY28" s="120" t="s">
        <v>3996</v>
      </c>
      <c r="FZ28" s="120" t="s">
        <v>3997</v>
      </c>
      <c r="GA28" s="119" t="s">
        <v>3948</v>
      </c>
      <c r="GB28" s="119" t="s">
        <v>3949</v>
      </c>
      <c r="GC28" s="119" t="s">
        <v>3950</v>
      </c>
      <c r="GD28" s="119" t="s">
        <v>3951</v>
      </c>
      <c r="GE28" s="120" t="s">
        <v>3998</v>
      </c>
      <c r="GF28" s="120" t="s">
        <v>3999</v>
      </c>
      <c r="GG28" s="119" t="s">
        <v>3948</v>
      </c>
      <c r="GH28" s="119" t="s">
        <v>3949</v>
      </c>
      <c r="GI28" s="119" t="s">
        <v>3950</v>
      </c>
      <c r="GJ28" s="119" t="s">
        <v>3951</v>
      </c>
      <c r="GK28" s="120" t="s">
        <v>4000</v>
      </c>
      <c r="GL28" s="120" t="s">
        <v>4001</v>
      </c>
      <c r="GM28" s="119" t="s">
        <v>3948</v>
      </c>
      <c r="GN28" s="119" t="s">
        <v>3949</v>
      </c>
      <c r="GO28" s="119" t="s">
        <v>3950</v>
      </c>
      <c r="GP28" s="119" t="s">
        <v>3951</v>
      </c>
      <c r="GQ28" s="120" t="s">
        <v>4002</v>
      </c>
      <c r="GR28" s="120" t="s">
        <v>4003</v>
      </c>
      <c r="GS28" s="119" t="s">
        <v>3948</v>
      </c>
      <c r="GT28" s="119" t="s">
        <v>3949</v>
      </c>
      <c r="GU28" s="119" t="s">
        <v>3950</v>
      </c>
      <c r="GV28" s="119" t="s">
        <v>3951</v>
      </c>
      <c r="GW28" s="119"/>
      <c r="GX28" s="119" t="s">
        <v>3948</v>
      </c>
      <c r="GY28" s="119" t="s">
        <v>3949</v>
      </c>
      <c r="GZ28" s="119" t="s">
        <v>3950</v>
      </c>
      <c r="HA28" s="119" t="s">
        <v>3951</v>
      </c>
      <c r="HB28" s="119" t="s">
        <v>3948</v>
      </c>
      <c r="HC28" s="119" t="s">
        <v>3949</v>
      </c>
      <c r="HD28" s="119" t="s">
        <v>3950</v>
      </c>
      <c r="HE28" s="119" t="s">
        <v>3951</v>
      </c>
    </row>
    <row r="29" ht="138" spans="1:213">
      <c r="A29" s="88" t="s">
        <v>227</v>
      </c>
      <c r="B29" s="105" t="s">
        <v>515</v>
      </c>
      <c r="D29" s="126"/>
      <c r="E29" s="194" t="s">
        <v>4139</v>
      </c>
      <c r="F29" s="95" t="s">
        <v>4140</v>
      </c>
      <c r="G29" s="95" t="s">
        <v>4141</v>
      </c>
      <c r="H29" s="95" t="s">
        <v>4142</v>
      </c>
      <c r="I29" s="95" t="s">
        <v>4142</v>
      </c>
      <c r="K29" s="126"/>
      <c r="L29" s="194" t="s">
        <v>4139</v>
      </c>
      <c r="M29" s="126" t="s">
        <v>4143</v>
      </c>
      <c r="N29" s="126" t="s">
        <v>4144</v>
      </c>
      <c r="O29" s="126" t="s">
        <v>4145</v>
      </c>
      <c r="P29" s="126" t="s">
        <v>4145</v>
      </c>
      <c r="R29" s="126"/>
      <c r="S29" s="194" t="s">
        <v>4139</v>
      </c>
      <c r="T29" s="95" t="s">
        <v>4146</v>
      </c>
      <c r="U29" s="95" t="s">
        <v>4147</v>
      </c>
      <c r="V29" s="95" t="s">
        <v>4148</v>
      </c>
      <c r="W29" s="95" t="s">
        <v>4148</v>
      </c>
      <c r="X29" s="95" t="s">
        <v>4149</v>
      </c>
      <c r="Y29" s="126"/>
      <c r="Z29" s="194" t="s">
        <v>4139</v>
      </c>
      <c r="AA29" s="95" t="s">
        <v>4146</v>
      </c>
      <c r="AB29" s="95" t="s">
        <v>4147</v>
      </c>
      <c r="AC29" s="95" t="s">
        <v>4148</v>
      </c>
      <c r="AD29" s="95" t="s">
        <v>4148</v>
      </c>
      <c r="AE29" s="95" t="s">
        <v>4149</v>
      </c>
      <c r="AF29" s="126"/>
      <c r="AG29" s="194" t="s">
        <v>4139</v>
      </c>
      <c r="AH29" s="95" t="s">
        <v>4146</v>
      </c>
      <c r="AI29" s="95" t="s">
        <v>4147</v>
      </c>
      <c r="AJ29" s="95" t="s">
        <v>4148</v>
      </c>
      <c r="AK29" s="95" t="s">
        <v>4148</v>
      </c>
      <c r="AL29" s="95" t="s">
        <v>4149</v>
      </c>
      <c r="AM29" s="126" t="s">
        <v>4009</v>
      </c>
      <c r="AN29" s="95" t="s">
        <v>4150</v>
      </c>
      <c r="AO29" s="95" t="s">
        <v>4146</v>
      </c>
      <c r="AP29" s="95" t="s">
        <v>4147</v>
      </c>
      <c r="AQ29" s="95" t="s">
        <v>4148</v>
      </c>
      <c r="AR29" s="95" t="s">
        <v>4148</v>
      </c>
      <c r="AS29" s="95" t="s">
        <v>4149</v>
      </c>
      <c r="AT29" s="95" t="s">
        <v>4151</v>
      </c>
      <c r="AU29" s="95" t="s">
        <v>4152</v>
      </c>
      <c r="AV29" s="95" t="s">
        <v>4146</v>
      </c>
      <c r="AW29" s="95" t="s">
        <v>4147</v>
      </c>
      <c r="AX29" s="95" t="s">
        <v>4148</v>
      </c>
      <c r="AY29" s="95" t="s">
        <v>4148</v>
      </c>
      <c r="AZ29" s="95" t="s">
        <v>4149</v>
      </c>
      <c r="BA29" s="95" t="s">
        <v>4151</v>
      </c>
      <c r="BB29" s="95" t="s">
        <v>4152</v>
      </c>
      <c r="BC29" s="95" t="s">
        <v>4146</v>
      </c>
      <c r="BD29" s="95" t="s">
        <v>4147</v>
      </c>
      <c r="BE29" s="95" t="s">
        <v>4148</v>
      </c>
      <c r="BF29" s="95" t="s">
        <v>4148</v>
      </c>
      <c r="BG29" s="95" t="s">
        <v>4149</v>
      </c>
      <c r="BH29" s="126" t="s">
        <v>4153</v>
      </c>
      <c r="BI29" s="95" t="s">
        <v>4154</v>
      </c>
      <c r="BJ29" s="95" t="s">
        <v>4146</v>
      </c>
      <c r="BK29" s="95" t="s">
        <v>4147</v>
      </c>
      <c r="BL29" s="95" t="s">
        <v>4148</v>
      </c>
      <c r="BM29" s="95" t="s">
        <v>4148</v>
      </c>
      <c r="BN29" s="95" t="s">
        <v>4149</v>
      </c>
      <c r="BO29" s="95" t="s">
        <v>4099</v>
      </c>
      <c r="BP29" s="95" t="s">
        <v>4100</v>
      </c>
      <c r="BQ29" s="95" t="s">
        <v>4146</v>
      </c>
      <c r="BR29" s="95" t="s">
        <v>4147</v>
      </c>
      <c r="BS29" s="95" t="s">
        <v>4148</v>
      </c>
      <c r="BT29" s="95" t="s">
        <v>4148</v>
      </c>
      <c r="BU29" s="95" t="s">
        <v>4149</v>
      </c>
      <c r="BV29" s="95" t="s">
        <v>4099</v>
      </c>
      <c r="BW29" s="95" t="s">
        <v>4100</v>
      </c>
      <c r="BX29" s="95" t="s">
        <v>4146</v>
      </c>
      <c r="BY29" s="95" t="s">
        <v>4147</v>
      </c>
      <c r="BZ29" s="95" t="s">
        <v>4148</v>
      </c>
      <c r="CA29" s="95" t="s">
        <v>4148</v>
      </c>
      <c r="CB29" s="95" t="s">
        <v>4149</v>
      </c>
      <c r="CC29" s="95" t="s">
        <v>4099</v>
      </c>
      <c r="CD29" s="95" t="s">
        <v>4100</v>
      </c>
      <c r="CE29" s="126" t="s">
        <v>4155</v>
      </c>
      <c r="CF29" s="95" t="s">
        <v>4156</v>
      </c>
      <c r="CG29" s="95" t="s">
        <v>4157</v>
      </c>
      <c r="CH29" s="95" t="s">
        <v>4157</v>
      </c>
      <c r="CI29" s="126" t="s">
        <v>4158</v>
      </c>
      <c r="CJ29" s="95" t="s">
        <v>4099</v>
      </c>
      <c r="CK29" s="95" t="s">
        <v>4100</v>
      </c>
      <c r="CL29" s="126" t="s">
        <v>4155</v>
      </c>
      <c r="CM29" s="95" t="s">
        <v>4156</v>
      </c>
      <c r="CN29" s="95" t="s">
        <v>4157</v>
      </c>
      <c r="CO29" s="95" t="s">
        <v>4157</v>
      </c>
      <c r="CQ29" s="95" t="s">
        <v>4099</v>
      </c>
      <c r="CR29" s="95" t="s">
        <v>4100</v>
      </c>
      <c r="CS29" s="95" t="s">
        <v>4159</v>
      </c>
      <c r="CT29" s="95" t="s">
        <v>4160</v>
      </c>
      <c r="CU29" s="95" t="s">
        <v>4161</v>
      </c>
      <c r="CV29" s="95" t="s">
        <v>4161</v>
      </c>
      <c r="CW29" s="95" t="s">
        <v>4162</v>
      </c>
      <c r="CX29" s="126" t="s">
        <v>4103</v>
      </c>
      <c r="CY29" s="95" t="s">
        <v>4104</v>
      </c>
      <c r="CZ29" s="95" t="s">
        <v>4159</v>
      </c>
      <c r="DA29" s="95" t="s">
        <v>4160</v>
      </c>
      <c r="DB29" s="95" t="s">
        <v>4161</v>
      </c>
      <c r="DC29" s="95" t="s">
        <v>4161</v>
      </c>
      <c r="DD29" s="95" t="s">
        <v>4162</v>
      </c>
      <c r="DE29" s="126" t="s">
        <v>4080</v>
      </c>
      <c r="DF29" s="95" t="s">
        <v>4105</v>
      </c>
      <c r="DG29" s="95" t="s">
        <v>4159</v>
      </c>
      <c r="DH29" s="95" t="s">
        <v>4160</v>
      </c>
      <c r="DI29" s="95" t="s">
        <v>4161</v>
      </c>
      <c r="DJ29" s="95" t="s">
        <v>4161</v>
      </c>
      <c r="DK29" s="95" t="s">
        <v>4162</v>
      </c>
      <c r="DL29" s="126" t="s">
        <v>4106</v>
      </c>
      <c r="DM29" s="95" t="s">
        <v>4107</v>
      </c>
      <c r="DN29" s="95" t="s">
        <v>4159</v>
      </c>
      <c r="DO29" s="95" t="s">
        <v>4160</v>
      </c>
      <c r="DP29" s="95" t="s">
        <v>4161</v>
      </c>
      <c r="DQ29" s="95" t="s">
        <v>4161</v>
      </c>
      <c r="DR29" s="194" t="s">
        <v>4163</v>
      </c>
      <c r="DT29" s="194" t="s">
        <v>4110</v>
      </c>
      <c r="DU29" s="194" t="s">
        <v>4164</v>
      </c>
      <c r="DV29" s="194" t="s">
        <v>4165</v>
      </c>
      <c r="DW29" s="194" t="s">
        <v>4166</v>
      </c>
      <c r="DX29" s="194" t="s">
        <v>4166</v>
      </c>
      <c r="DY29" s="95" t="s">
        <v>4162</v>
      </c>
      <c r="EA29" s="95" t="s">
        <v>4111</v>
      </c>
      <c r="EB29" s="95" t="s">
        <v>4159</v>
      </c>
      <c r="EC29" s="95" t="s">
        <v>4167</v>
      </c>
      <c r="ED29" s="95" t="s">
        <v>4161</v>
      </c>
      <c r="EE29" s="95" t="s">
        <v>4161</v>
      </c>
      <c r="EF29" s="126" t="s">
        <v>4168</v>
      </c>
      <c r="EH29" s="95" t="s">
        <v>4111</v>
      </c>
      <c r="EI29" s="95" t="s">
        <v>4159</v>
      </c>
      <c r="EJ29" s="95" t="s">
        <v>4167</v>
      </c>
      <c r="EK29" s="95" t="s">
        <v>4161</v>
      </c>
      <c r="EL29" s="95" t="s">
        <v>4161</v>
      </c>
      <c r="EM29" s="95" t="s">
        <v>4169</v>
      </c>
      <c r="EO29" s="95" t="s">
        <v>4111</v>
      </c>
      <c r="EP29" s="95" t="s">
        <v>4170</v>
      </c>
      <c r="EQ29" s="95" t="s">
        <v>4161</v>
      </c>
      <c r="ER29" s="95" t="s">
        <v>4161</v>
      </c>
      <c r="ES29" s="95" t="s">
        <v>4161</v>
      </c>
      <c r="ET29" s="95" t="s">
        <v>4169</v>
      </c>
      <c r="EV29" s="95" t="s">
        <v>4112</v>
      </c>
      <c r="EW29" s="95" t="s">
        <v>4159</v>
      </c>
      <c r="EX29" s="95" t="s">
        <v>4161</v>
      </c>
      <c r="EY29" s="95" t="s">
        <v>4161</v>
      </c>
      <c r="EZ29" s="95" t="s">
        <v>4161</v>
      </c>
      <c r="FA29" s="95" t="s">
        <v>4169</v>
      </c>
      <c r="FC29" s="95" t="s">
        <v>4171</v>
      </c>
      <c r="FD29" s="95" t="s">
        <v>4172</v>
      </c>
      <c r="FE29" s="95" t="s">
        <v>4173</v>
      </c>
      <c r="FF29" s="95" t="s">
        <v>4174</v>
      </c>
      <c r="FG29" s="95" t="s">
        <v>4169</v>
      </c>
      <c r="FI29" s="95" t="s">
        <v>4175</v>
      </c>
      <c r="FJ29" s="95" t="s">
        <v>4176</v>
      </c>
      <c r="FK29" s="95" t="s">
        <v>4176</v>
      </c>
      <c r="FL29" s="95" t="s">
        <v>4176</v>
      </c>
      <c r="FM29" s="95" t="s">
        <v>4169</v>
      </c>
      <c r="FO29" s="95" t="s">
        <v>4175</v>
      </c>
      <c r="FP29" s="95" t="s">
        <v>4176</v>
      </c>
      <c r="FQ29" s="95" t="s">
        <v>4176</v>
      </c>
      <c r="FR29" s="95" t="s">
        <v>4176</v>
      </c>
      <c r="FS29" s="95" t="s">
        <v>4169</v>
      </c>
      <c r="FT29" s="126"/>
      <c r="FU29" s="95" t="s">
        <v>4175</v>
      </c>
      <c r="FV29" s="95" t="s">
        <v>4176</v>
      </c>
      <c r="FW29" s="95" t="s">
        <v>4176</v>
      </c>
      <c r="FX29" s="95" t="s">
        <v>4176</v>
      </c>
      <c r="FY29" s="95" t="s">
        <v>4169</v>
      </c>
      <c r="FZ29" s="126"/>
      <c r="GA29" s="95" t="s">
        <v>4175</v>
      </c>
      <c r="GB29" s="95" t="s">
        <v>4176</v>
      </c>
      <c r="GC29" s="95" t="s">
        <v>4176</v>
      </c>
      <c r="GD29" s="95" t="s">
        <v>4176</v>
      </c>
      <c r="GE29" s="95" t="s">
        <v>4169</v>
      </c>
      <c r="GF29" s="126"/>
      <c r="GG29" s="95" t="s">
        <v>4175</v>
      </c>
      <c r="GH29" s="95" t="s">
        <v>4176</v>
      </c>
      <c r="GI29" s="95" t="s">
        <v>4176</v>
      </c>
      <c r="GJ29" s="95" t="s">
        <v>4176</v>
      </c>
      <c r="GK29" s="95" t="s">
        <v>4169</v>
      </c>
      <c r="GL29" s="126"/>
      <c r="GM29" s="95" t="s">
        <v>4175</v>
      </c>
      <c r="GN29" s="95" t="s">
        <v>4176</v>
      </c>
      <c r="GO29" s="95" t="s">
        <v>4176</v>
      </c>
      <c r="GP29" s="95" t="s">
        <v>4176</v>
      </c>
      <c r="GR29" s="126"/>
      <c r="GS29" s="95" t="s">
        <v>4175</v>
      </c>
      <c r="GT29" s="95" t="s">
        <v>4176</v>
      </c>
      <c r="GU29" s="95" t="s">
        <v>4176</v>
      </c>
      <c r="GV29" s="95" t="s">
        <v>4176</v>
      </c>
      <c r="GX29" s="95" t="s">
        <v>4177</v>
      </c>
      <c r="GY29" s="95" t="s">
        <v>4178</v>
      </c>
      <c r="GZ29" s="95" t="s">
        <v>4179</v>
      </c>
      <c r="HA29" s="95" t="s">
        <v>4179</v>
      </c>
      <c r="HB29" s="95" t="s">
        <v>4180</v>
      </c>
      <c r="HC29" s="95" t="s">
        <v>4181</v>
      </c>
      <c r="HD29" s="95" t="s">
        <v>4182</v>
      </c>
      <c r="HE29" s="95" t="s">
        <v>4182</v>
      </c>
    </row>
    <row r="30" spans="1:2">
      <c r="A30" s="89" t="s">
        <v>672</v>
      </c>
      <c r="B30" s="108" t="s">
        <v>526</v>
      </c>
    </row>
    <row r="31" ht="28.8" spans="1:213">
      <c r="A31" s="89" t="s">
        <v>238</v>
      </c>
      <c r="B31" s="89" t="s">
        <v>519</v>
      </c>
      <c r="C31" s="125" t="s">
        <v>4183</v>
      </c>
      <c r="D31" s="125"/>
      <c r="F31" s="88">
        <v>4</v>
      </c>
      <c r="G31" s="89">
        <v>6</v>
      </c>
      <c r="H31" s="89">
        <v>6</v>
      </c>
      <c r="I31" s="89">
        <v>6</v>
      </c>
      <c r="J31" s="125" t="s">
        <v>4183</v>
      </c>
      <c r="K31" s="125"/>
      <c r="M31" s="88">
        <v>5</v>
      </c>
      <c r="N31" s="88">
        <v>6</v>
      </c>
      <c r="O31" s="88">
        <v>6</v>
      </c>
      <c r="P31" s="88">
        <v>6</v>
      </c>
      <c r="Q31" s="125" t="s">
        <v>4183</v>
      </c>
      <c r="R31" s="125"/>
      <c r="T31" s="89">
        <v>4</v>
      </c>
      <c r="U31" s="89">
        <v>5</v>
      </c>
      <c r="V31" s="89">
        <v>5</v>
      </c>
      <c r="W31" s="89">
        <v>5</v>
      </c>
      <c r="X31" s="125" t="s">
        <v>4184</v>
      </c>
      <c r="Y31" s="125"/>
      <c r="AA31" s="89">
        <v>4</v>
      </c>
      <c r="AB31" s="89">
        <v>5</v>
      </c>
      <c r="AC31" s="89">
        <v>5</v>
      </c>
      <c r="AD31" s="89">
        <v>5</v>
      </c>
      <c r="AE31" s="125" t="s">
        <v>4184</v>
      </c>
      <c r="AF31" s="125"/>
      <c r="AH31" s="89">
        <v>4</v>
      </c>
      <c r="AI31" s="89">
        <v>5</v>
      </c>
      <c r="AJ31" s="89">
        <v>5</v>
      </c>
      <c r="AK31" s="89">
        <v>5</v>
      </c>
      <c r="AL31" s="125" t="s">
        <v>4184</v>
      </c>
      <c r="AM31" s="125"/>
      <c r="AO31" s="89">
        <v>4</v>
      </c>
      <c r="AP31" s="89">
        <v>5</v>
      </c>
      <c r="AQ31" s="89">
        <v>5</v>
      </c>
      <c r="AR31" s="89">
        <v>5</v>
      </c>
      <c r="AS31" s="125" t="s">
        <v>4184</v>
      </c>
      <c r="AT31" s="125"/>
      <c r="AV31" s="89">
        <v>4</v>
      </c>
      <c r="AW31" s="89">
        <v>5</v>
      </c>
      <c r="AX31" s="89">
        <v>5</v>
      </c>
      <c r="AY31" s="89">
        <v>5</v>
      </c>
      <c r="AZ31" s="125" t="s">
        <v>4184</v>
      </c>
      <c r="BA31" s="125"/>
      <c r="BC31" s="89">
        <v>4</v>
      </c>
      <c r="BD31" s="89">
        <v>5</v>
      </c>
      <c r="BE31" s="89">
        <v>5</v>
      </c>
      <c r="BF31" s="89">
        <v>5</v>
      </c>
      <c r="BG31" s="124" t="s">
        <v>4184</v>
      </c>
      <c r="BH31" s="125"/>
      <c r="BJ31" s="89">
        <v>4</v>
      </c>
      <c r="BK31" s="89">
        <v>5</v>
      </c>
      <c r="BL31" s="89">
        <v>5</v>
      </c>
      <c r="BM31" s="89">
        <v>5</v>
      </c>
      <c r="BN31" s="125" t="s">
        <v>4185</v>
      </c>
      <c r="BO31" s="125"/>
      <c r="BQ31" s="89">
        <v>4</v>
      </c>
      <c r="BR31" s="89">
        <v>5</v>
      </c>
      <c r="BS31" s="89">
        <v>5</v>
      </c>
      <c r="BT31" s="89">
        <v>5</v>
      </c>
      <c r="BU31" s="125" t="s">
        <v>4185</v>
      </c>
      <c r="BV31" s="125"/>
      <c r="BX31" s="89">
        <v>4</v>
      </c>
      <c r="BY31" s="89">
        <v>5</v>
      </c>
      <c r="BZ31" s="89">
        <v>5</v>
      </c>
      <c r="CA31" s="89">
        <v>5</v>
      </c>
      <c r="CB31" s="125" t="s">
        <v>4185</v>
      </c>
      <c r="CC31" s="125"/>
      <c r="CE31" s="89">
        <v>4</v>
      </c>
      <c r="CF31" s="89">
        <v>5</v>
      </c>
      <c r="CG31" s="89">
        <v>5</v>
      </c>
      <c r="CH31" s="89">
        <v>5</v>
      </c>
      <c r="CI31" s="125" t="s">
        <v>4185</v>
      </c>
      <c r="CJ31" s="125"/>
      <c r="CL31" s="89">
        <v>4</v>
      </c>
      <c r="CM31" s="89">
        <v>5</v>
      </c>
      <c r="CN31" s="89">
        <v>5</v>
      </c>
      <c r="CO31" s="89">
        <v>5</v>
      </c>
      <c r="CP31" s="124" t="s">
        <v>4185</v>
      </c>
      <c r="CQ31" s="125"/>
      <c r="CS31" s="88">
        <v>4</v>
      </c>
      <c r="CT31" s="88">
        <v>5</v>
      </c>
      <c r="CU31" s="88">
        <v>5</v>
      </c>
      <c r="CV31" s="88">
        <v>5</v>
      </c>
      <c r="CW31" s="125" t="s">
        <v>4052</v>
      </c>
      <c r="CX31" s="125" t="s">
        <v>4186</v>
      </c>
      <c r="CZ31" s="89">
        <v>2</v>
      </c>
      <c r="DA31" s="89">
        <v>3</v>
      </c>
      <c r="DB31" s="89">
        <v>3</v>
      </c>
      <c r="DC31" s="89">
        <v>3</v>
      </c>
      <c r="DD31" s="125" t="s">
        <v>4052</v>
      </c>
      <c r="DE31" s="125" t="s">
        <v>4186</v>
      </c>
      <c r="DG31" s="89">
        <v>2</v>
      </c>
      <c r="DH31" s="89">
        <v>3</v>
      </c>
      <c r="DI31" s="89">
        <v>3</v>
      </c>
      <c r="DJ31" s="89">
        <v>3</v>
      </c>
      <c r="DK31" s="95" t="s">
        <v>4052</v>
      </c>
      <c r="DL31" s="95" t="s">
        <v>4186</v>
      </c>
      <c r="DN31" s="323">
        <v>2</v>
      </c>
      <c r="DO31" s="323">
        <v>3</v>
      </c>
      <c r="DP31" s="323">
        <v>3</v>
      </c>
      <c r="DQ31" s="323">
        <v>3</v>
      </c>
      <c r="DR31" s="194" t="s">
        <v>4052</v>
      </c>
      <c r="DS31" s="194" t="s">
        <v>4186</v>
      </c>
      <c r="DU31" s="188">
        <v>3</v>
      </c>
      <c r="DV31" s="188">
        <v>4</v>
      </c>
      <c r="DW31" s="188">
        <v>4</v>
      </c>
      <c r="DX31" s="188">
        <v>4</v>
      </c>
      <c r="DY31" s="95" t="s">
        <v>4052</v>
      </c>
      <c r="DZ31" s="95" t="s">
        <v>4186</v>
      </c>
      <c r="EB31" s="89">
        <v>3</v>
      </c>
      <c r="EC31" s="88">
        <v>4</v>
      </c>
      <c r="ED31" s="89">
        <v>4</v>
      </c>
      <c r="EE31" s="89">
        <v>4</v>
      </c>
      <c r="EF31" s="95" t="s">
        <v>4052</v>
      </c>
      <c r="EG31" s="95" t="s">
        <v>4186</v>
      </c>
      <c r="EI31" s="89">
        <v>3</v>
      </c>
      <c r="EJ31" s="88">
        <v>4</v>
      </c>
      <c r="EK31" s="89">
        <v>4</v>
      </c>
      <c r="EL31" s="89">
        <v>4</v>
      </c>
      <c r="EM31" s="95" t="s">
        <v>4052</v>
      </c>
      <c r="EN31" s="95" t="s">
        <v>4186</v>
      </c>
      <c r="EP31" s="89">
        <v>3</v>
      </c>
      <c r="EQ31" s="89">
        <v>4</v>
      </c>
      <c r="ER31" s="89">
        <v>4</v>
      </c>
      <c r="ES31" s="89">
        <v>4</v>
      </c>
      <c r="ET31" s="95" t="s">
        <v>4052</v>
      </c>
      <c r="EU31" s="95" t="s">
        <v>4186</v>
      </c>
      <c r="EW31" s="89">
        <v>3</v>
      </c>
      <c r="EX31" s="89">
        <v>4</v>
      </c>
      <c r="EY31" s="89">
        <v>4</v>
      </c>
      <c r="EZ31" s="89">
        <v>4</v>
      </c>
      <c r="FA31" s="95" t="s">
        <v>4052</v>
      </c>
      <c r="FB31" s="95" t="s">
        <v>4186</v>
      </c>
      <c r="FC31" s="89">
        <v>3</v>
      </c>
      <c r="FD31" s="89">
        <v>3</v>
      </c>
      <c r="FE31" s="89">
        <v>2</v>
      </c>
      <c r="FF31" s="89">
        <v>2</v>
      </c>
      <c r="FG31" s="95" t="s">
        <v>4052</v>
      </c>
      <c r="FH31" s="95" t="s">
        <v>4186</v>
      </c>
      <c r="FI31" s="89">
        <v>3</v>
      </c>
      <c r="FJ31" s="89">
        <v>4</v>
      </c>
      <c r="FK31" s="89">
        <v>4</v>
      </c>
      <c r="FL31" s="89">
        <v>4</v>
      </c>
      <c r="FM31" s="95" t="s">
        <v>4052</v>
      </c>
      <c r="FN31" s="95" t="s">
        <v>4186</v>
      </c>
      <c r="FO31" s="89">
        <v>3</v>
      </c>
      <c r="FP31" s="89">
        <v>4</v>
      </c>
      <c r="FQ31" s="89">
        <v>4</v>
      </c>
      <c r="FR31" s="89">
        <v>4</v>
      </c>
      <c r="FS31" s="95" t="s">
        <v>4052</v>
      </c>
      <c r="FT31" s="95" t="s">
        <v>4186</v>
      </c>
      <c r="FU31" s="89">
        <v>3</v>
      </c>
      <c r="FV31" s="89">
        <v>4</v>
      </c>
      <c r="FW31" s="89">
        <v>4</v>
      </c>
      <c r="FX31" s="89">
        <v>4</v>
      </c>
      <c r="FY31" s="95" t="s">
        <v>4052</v>
      </c>
      <c r="FZ31" s="95" t="s">
        <v>4186</v>
      </c>
      <c r="GA31" s="89">
        <v>3</v>
      </c>
      <c r="GB31" s="89">
        <v>4</v>
      </c>
      <c r="GC31" s="89">
        <v>4</v>
      </c>
      <c r="GD31" s="89">
        <v>4</v>
      </c>
      <c r="GE31" s="95" t="s">
        <v>4052</v>
      </c>
      <c r="GF31" s="95" t="s">
        <v>4186</v>
      </c>
      <c r="GG31" s="89">
        <v>3</v>
      </c>
      <c r="GH31" s="89">
        <v>4</v>
      </c>
      <c r="GI31" s="89">
        <v>4</v>
      </c>
      <c r="GJ31" s="89">
        <v>4</v>
      </c>
      <c r="GK31" s="95" t="s">
        <v>4052</v>
      </c>
      <c r="GL31" s="95" t="s">
        <v>4186</v>
      </c>
      <c r="GM31" s="89">
        <v>3</v>
      </c>
      <c r="GN31" s="89">
        <v>4</v>
      </c>
      <c r="GO31" s="89">
        <v>4</v>
      </c>
      <c r="GP31" s="89">
        <v>4</v>
      </c>
      <c r="GQ31" s="125" t="s">
        <v>4187</v>
      </c>
      <c r="GR31" s="125" t="s">
        <v>4186</v>
      </c>
      <c r="GS31" s="89">
        <v>3</v>
      </c>
      <c r="GT31" s="89">
        <v>4</v>
      </c>
      <c r="GU31" s="89">
        <v>4</v>
      </c>
      <c r="GV31" s="89">
        <v>4</v>
      </c>
      <c r="GX31" s="89">
        <v>3</v>
      </c>
      <c r="GY31" s="89">
        <v>4</v>
      </c>
      <c r="GZ31" s="89">
        <v>4</v>
      </c>
      <c r="HA31" s="89">
        <v>4</v>
      </c>
      <c r="HB31" s="89">
        <v>3</v>
      </c>
      <c r="HC31" s="89">
        <v>4</v>
      </c>
      <c r="HD31" s="89">
        <v>4</v>
      </c>
      <c r="HE31" s="89">
        <v>4</v>
      </c>
    </row>
    <row r="32" spans="2:121">
      <c r="B32" s="108" t="s">
        <v>527</v>
      </c>
      <c r="DN32" s="323"/>
      <c r="DO32" s="323"/>
      <c r="DP32" s="323"/>
      <c r="DQ32" s="323"/>
    </row>
    <row r="33" spans="1:213">
      <c r="A33" s="89" t="s">
        <v>243</v>
      </c>
      <c r="B33" s="89" t="s">
        <v>525</v>
      </c>
      <c r="C33" s="125"/>
      <c r="D33" s="125"/>
      <c r="E33" s="316"/>
      <c r="F33" s="89">
        <v>6</v>
      </c>
      <c r="G33" s="89">
        <v>5</v>
      </c>
      <c r="H33" s="89">
        <v>4</v>
      </c>
      <c r="I33" s="89">
        <v>4</v>
      </c>
      <c r="J33" s="125"/>
      <c r="K33" s="125"/>
      <c r="L33" s="316"/>
      <c r="M33" s="88">
        <v>6</v>
      </c>
      <c r="N33" s="88">
        <v>5</v>
      </c>
      <c r="O33" s="88">
        <v>4</v>
      </c>
      <c r="P33" s="88">
        <v>4</v>
      </c>
      <c r="Q33" s="125"/>
      <c r="R33" s="125"/>
      <c r="S33" s="316"/>
      <c r="T33" s="89">
        <v>5</v>
      </c>
      <c r="U33" s="89">
        <v>4</v>
      </c>
      <c r="V33" s="89">
        <v>3</v>
      </c>
      <c r="W33" s="89">
        <v>3</v>
      </c>
      <c r="X33" s="125"/>
      <c r="Y33" s="125"/>
      <c r="Z33" s="316"/>
      <c r="AA33" s="89">
        <v>5</v>
      </c>
      <c r="AB33" s="89">
        <v>4</v>
      </c>
      <c r="AC33" s="89">
        <v>3</v>
      </c>
      <c r="AD33" s="89">
        <v>3</v>
      </c>
      <c r="AE33" s="125"/>
      <c r="AF33" s="125"/>
      <c r="AG33" s="316"/>
      <c r="AH33" s="89">
        <v>5</v>
      </c>
      <c r="AI33" s="89">
        <v>4</v>
      </c>
      <c r="AJ33" s="89">
        <v>3</v>
      </c>
      <c r="AK33" s="89">
        <v>3</v>
      </c>
      <c r="AL33" s="125"/>
      <c r="AM33" s="125"/>
      <c r="AN33" s="125"/>
      <c r="AO33" s="89">
        <v>5</v>
      </c>
      <c r="AP33" s="89">
        <v>4</v>
      </c>
      <c r="AQ33" s="89">
        <v>3</v>
      </c>
      <c r="AR33" s="89">
        <v>3</v>
      </c>
      <c r="AS33" s="125"/>
      <c r="AT33" s="125"/>
      <c r="AU33" s="125"/>
      <c r="AV33" s="89">
        <v>5</v>
      </c>
      <c r="AW33" s="89">
        <v>4</v>
      </c>
      <c r="AX33" s="89">
        <v>3</v>
      </c>
      <c r="AY33" s="89">
        <v>3</v>
      </c>
      <c r="AZ33" s="125"/>
      <c r="BA33" s="125"/>
      <c r="BB33" s="125"/>
      <c r="BC33" s="89">
        <v>5</v>
      </c>
      <c r="BD33" s="89">
        <v>4</v>
      </c>
      <c r="BE33" s="89">
        <v>3</v>
      </c>
      <c r="BF33" s="89">
        <v>3</v>
      </c>
      <c r="BG33" s="125"/>
      <c r="BH33" s="125"/>
      <c r="BI33" s="125"/>
      <c r="BJ33" s="89">
        <v>5</v>
      </c>
      <c r="BK33" s="89">
        <v>4</v>
      </c>
      <c r="BL33" s="89">
        <v>3</v>
      </c>
      <c r="BM33" s="89">
        <v>3</v>
      </c>
      <c r="BN33" s="125"/>
      <c r="BO33" s="125"/>
      <c r="BP33" s="125"/>
      <c r="BQ33" s="89">
        <v>5</v>
      </c>
      <c r="BR33" s="89">
        <v>4</v>
      </c>
      <c r="BS33" s="89">
        <v>3</v>
      </c>
      <c r="BT33" s="89">
        <v>3</v>
      </c>
      <c r="BU33" s="125"/>
      <c r="BV33" s="125"/>
      <c r="BW33" s="125"/>
      <c r="BX33" s="89">
        <v>5</v>
      </c>
      <c r="BY33" s="89">
        <v>4</v>
      </c>
      <c r="BZ33" s="89">
        <v>3</v>
      </c>
      <c r="CA33" s="89">
        <v>3</v>
      </c>
      <c r="CB33" s="125"/>
      <c r="CC33" s="125"/>
      <c r="CD33" s="125"/>
      <c r="CE33" s="89">
        <v>5</v>
      </c>
      <c r="CF33" s="89">
        <v>4</v>
      </c>
      <c r="CG33" s="89">
        <v>3</v>
      </c>
      <c r="CH33" s="89">
        <v>3</v>
      </c>
      <c r="CI33" s="125"/>
      <c r="CJ33" s="125"/>
      <c r="CK33" s="125"/>
      <c r="CL33" s="89">
        <v>5</v>
      </c>
      <c r="CM33" s="89">
        <v>4</v>
      </c>
      <c r="CN33" s="89">
        <v>3</v>
      </c>
      <c r="CO33" s="89">
        <v>3</v>
      </c>
      <c r="CP33" s="125"/>
      <c r="CQ33" s="125"/>
      <c r="CR33" s="125"/>
      <c r="CS33" s="88">
        <v>5</v>
      </c>
      <c r="CT33" s="88">
        <v>4</v>
      </c>
      <c r="CU33" s="88">
        <v>3</v>
      </c>
      <c r="CV33" s="88">
        <v>3</v>
      </c>
      <c r="CW33" s="125" t="s">
        <v>4052</v>
      </c>
      <c r="CX33" s="125"/>
      <c r="CY33" s="125"/>
      <c r="CZ33" s="89">
        <v>4</v>
      </c>
      <c r="DA33" s="89">
        <v>5</v>
      </c>
      <c r="DB33" s="89">
        <v>4</v>
      </c>
      <c r="DC33" s="89">
        <v>4</v>
      </c>
      <c r="DD33" s="125" t="s">
        <v>4052</v>
      </c>
      <c r="DE33" s="125"/>
      <c r="DF33" s="125"/>
      <c r="DG33" s="89">
        <v>4</v>
      </c>
      <c r="DH33" s="89">
        <v>5</v>
      </c>
      <c r="DI33" s="89">
        <v>4</v>
      </c>
      <c r="DJ33" s="89">
        <v>4</v>
      </c>
      <c r="DK33" s="95" t="s">
        <v>4052</v>
      </c>
      <c r="DL33" s="125"/>
      <c r="DM33" s="125"/>
      <c r="DN33" s="323">
        <v>4</v>
      </c>
      <c r="DO33" s="323">
        <v>5</v>
      </c>
      <c r="DP33" s="323">
        <v>4</v>
      </c>
      <c r="DQ33" s="323">
        <v>4</v>
      </c>
      <c r="DR33" s="194" t="s">
        <v>4052</v>
      </c>
      <c r="DS33" s="316"/>
      <c r="DT33" s="316"/>
      <c r="DU33" s="188">
        <v>5</v>
      </c>
      <c r="DV33" s="188">
        <v>6</v>
      </c>
      <c r="DW33" s="188">
        <v>5</v>
      </c>
      <c r="DX33" s="188">
        <v>5</v>
      </c>
      <c r="DY33" s="95" t="s">
        <v>4052</v>
      </c>
      <c r="DZ33" s="125"/>
      <c r="EA33" s="125"/>
      <c r="EB33" s="89">
        <v>5</v>
      </c>
      <c r="EC33" s="88">
        <v>6</v>
      </c>
      <c r="ED33" s="89">
        <v>5</v>
      </c>
      <c r="EE33" s="89">
        <v>5</v>
      </c>
      <c r="EF33" s="95" t="s">
        <v>4052</v>
      </c>
      <c r="EG33" s="125"/>
      <c r="EH33" s="125"/>
      <c r="EI33" s="89">
        <v>5</v>
      </c>
      <c r="EJ33" s="88">
        <v>6</v>
      </c>
      <c r="EK33" s="89">
        <v>5</v>
      </c>
      <c r="EL33" s="89">
        <v>5</v>
      </c>
      <c r="EM33" s="95" t="s">
        <v>4052</v>
      </c>
      <c r="EN33" s="125"/>
      <c r="EO33" s="125"/>
      <c r="EP33" s="89">
        <v>5</v>
      </c>
      <c r="EQ33" s="89">
        <v>5</v>
      </c>
      <c r="ER33" s="89">
        <v>6</v>
      </c>
      <c r="ES33" s="89">
        <v>5</v>
      </c>
      <c r="ET33" s="95" t="s">
        <v>4052</v>
      </c>
      <c r="EU33" s="125"/>
      <c r="EV33" s="125"/>
      <c r="EW33" s="89">
        <v>5</v>
      </c>
      <c r="EX33" s="89">
        <v>6</v>
      </c>
      <c r="EY33" s="89">
        <v>5</v>
      </c>
      <c r="EZ33" s="89">
        <v>5</v>
      </c>
      <c r="FA33" s="95" t="s">
        <v>4052</v>
      </c>
      <c r="FB33" s="125"/>
      <c r="FC33" s="89">
        <v>6</v>
      </c>
      <c r="FD33" s="102">
        <v>6</v>
      </c>
      <c r="FE33" s="89">
        <v>4</v>
      </c>
      <c r="FF33" s="89">
        <v>3</v>
      </c>
      <c r="FG33" s="95" t="s">
        <v>4052</v>
      </c>
      <c r="FH33" s="125"/>
      <c r="FI33" s="89">
        <v>5</v>
      </c>
      <c r="FJ33" s="102">
        <v>6</v>
      </c>
      <c r="FK33" s="323">
        <v>5</v>
      </c>
      <c r="FL33" s="89">
        <v>5</v>
      </c>
      <c r="FM33" s="95" t="s">
        <v>4052</v>
      </c>
      <c r="FN33" s="125"/>
      <c r="FO33" s="89">
        <v>5</v>
      </c>
      <c r="FP33" s="102">
        <v>6</v>
      </c>
      <c r="FQ33" s="89">
        <v>6</v>
      </c>
      <c r="FR33" s="89">
        <v>5</v>
      </c>
      <c r="FS33" s="95" t="s">
        <v>4052</v>
      </c>
      <c r="FT33" s="125"/>
      <c r="FU33" s="89">
        <v>5</v>
      </c>
      <c r="FV33" s="102">
        <v>6</v>
      </c>
      <c r="FW33" s="89">
        <v>6</v>
      </c>
      <c r="FX33" s="89">
        <v>5</v>
      </c>
      <c r="FY33" s="95" t="s">
        <v>4052</v>
      </c>
      <c r="FZ33" s="125"/>
      <c r="GA33" s="89">
        <v>5</v>
      </c>
      <c r="GB33" s="102">
        <v>6</v>
      </c>
      <c r="GC33" s="89">
        <v>6</v>
      </c>
      <c r="GD33" s="89">
        <v>5</v>
      </c>
      <c r="GE33" s="95" t="s">
        <v>4052</v>
      </c>
      <c r="GF33" s="125"/>
      <c r="GG33" s="89">
        <v>6</v>
      </c>
      <c r="GH33" s="102">
        <v>6</v>
      </c>
      <c r="GI33" s="89">
        <v>6</v>
      </c>
      <c r="GJ33" s="89">
        <v>5</v>
      </c>
      <c r="GK33" s="95" t="s">
        <v>4052</v>
      </c>
      <c r="GL33" s="125"/>
      <c r="GM33" s="89">
        <v>6</v>
      </c>
      <c r="GN33" s="102">
        <v>6</v>
      </c>
      <c r="GO33" s="89">
        <v>6</v>
      </c>
      <c r="GP33" s="89">
        <v>5</v>
      </c>
      <c r="GQ33" s="125" t="s">
        <v>4187</v>
      </c>
      <c r="GR33" s="125"/>
      <c r="GS33" s="89">
        <v>6</v>
      </c>
      <c r="GT33" s="89">
        <v>6</v>
      </c>
      <c r="GU33" s="89">
        <v>6</v>
      </c>
      <c r="GV33" s="89">
        <v>5</v>
      </c>
      <c r="GX33" s="89">
        <v>6</v>
      </c>
      <c r="GY33" s="89">
        <v>6</v>
      </c>
      <c r="GZ33" s="89">
        <v>6</v>
      </c>
      <c r="HA33" s="89">
        <v>5</v>
      </c>
      <c r="HB33" s="89">
        <v>6</v>
      </c>
      <c r="HC33" s="89">
        <v>6</v>
      </c>
      <c r="HD33" s="89">
        <v>6</v>
      </c>
      <c r="HE33" s="89">
        <v>5</v>
      </c>
    </row>
    <row r="34" spans="1:213">
      <c r="A34" s="89" t="s">
        <v>230</v>
      </c>
      <c r="B34" s="89" t="s">
        <v>517</v>
      </c>
      <c r="F34" s="89">
        <v>2</v>
      </c>
      <c r="G34" s="89">
        <v>2</v>
      </c>
      <c r="H34" s="89">
        <v>2</v>
      </c>
      <c r="I34" s="89">
        <v>2</v>
      </c>
      <c r="M34" s="88">
        <v>2</v>
      </c>
      <c r="N34" s="88">
        <v>2</v>
      </c>
      <c r="O34" s="88">
        <v>2</v>
      </c>
      <c r="P34" s="88">
        <v>2</v>
      </c>
      <c r="T34" s="89">
        <v>1</v>
      </c>
      <c r="U34" s="89">
        <v>1</v>
      </c>
      <c r="V34" s="89">
        <v>1</v>
      </c>
      <c r="W34" s="89">
        <v>1</v>
      </c>
      <c r="AA34" s="89">
        <v>1</v>
      </c>
      <c r="AB34" s="89">
        <v>1</v>
      </c>
      <c r="AC34" s="89">
        <v>1</v>
      </c>
      <c r="AD34" s="89">
        <v>1</v>
      </c>
      <c r="AH34" s="89">
        <v>1</v>
      </c>
      <c r="AI34" s="89">
        <v>1</v>
      </c>
      <c r="AJ34" s="89">
        <v>1</v>
      </c>
      <c r="AK34" s="89">
        <v>1</v>
      </c>
      <c r="AO34" s="89">
        <v>1</v>
      </c>
      <c r="AP34" s="89">
        <v>1</v>
      </c>
      <c r="AQ34" s="89">
        <v>1</v>
      </c>
      <c r="AR34" s="89">
        <v>1</v>
      </c>
      <c r="AV34" s="89">
        <v>1</v>
      </c>
      <c r="AW34" s="89">
        <v>1</v>
      </c>
      <c r="AX34" s="89">
        <v>1</v>
      </c>
      <c r="AY34" s="89">
        <v>1</v>
      </c>
      <c r="BC34" s="89">
        <v>1</v>
      </c>
      <c r="BD34" s="89">
        <v>1</v>
      </c>
      <c r="BE34" s="89">
        <v>1</v>
      </c>
      <c r="BF34" s="89">
        <v>1</v>
      </c>
      <c r="BJ34" s="89">
        <v>1</v>
      </c>
      <c r="BK34" s="89">
        <v>1</v>
      </c>
      <c r="BL34" s="89">
        <v>1</v>
      </c>
      <c r="BM34" s="89">
        <v>1</v>
      </c>
      <c r="BQ34" s="89">
        <v>1</v>
      </c>
      <c r="BR34" s="89">
        <v>1</v>
      </c>
      <c r="BS34" s="89">
        <v>1</v>
      </c>
      <c r="BT34" s="89">
        <v>1</v>
      </c>
      <c r="BX34" s="89">
        <v>1</v>
      </c>
      <c r="BY34" s="89">
        <v>1</v>
      </c>
      <c r="BZ34" s="89">
        <v>1</v>
      </c>
      <c r="CA34" s="89">
        <v>1</v>
      </c>
      <c r="CE34" s="88">
        <v>1</v>
      </c>
      <c r="CF34" s="89">
        <v>1</v>
      </c>
      <c r="CG34" s="89">
        <v>1</v>
      </c>
      <c r="CH34" s="89">
        <v>1</v>
      </c>
      <c r="CL34" s="88">
        <v>1</v>
      </c>
      <c r="CM34" s="89">
        <v>1</v>
      </c>
      <c r="CN34" s="89">
        <v>1</v>
      </c>
      <c r="CO34" s="89">
        <v>1</v>
      </c>
      <c r="CS34" s="89">
        <v>2</v>
      </c>
      <c r="CT34" s="89">
        <v>1</v>
      </c>
      <c r="CU34" s="89">
        <v>1</v>
      </c>
      <c r="CV34" s="89">
        <v>1</v>
      </c>
      <c r="CW34" s="95" t="s">
        <v>4188</v>
      </c>
      <c r="CZ34" s="89">
        <v>2</v>
      </c>
      <c r="DA34" s="89">
        <v>1</v>
      </c>
      <c r="DB34" s="89">
        <v>1</v>
      </c>
      <c r="DC34" s="89">
        <v>1</v>
      </c>
      <c r="DD34" s="95" t="s">
        <v>4188</v>
      </c>
      <c r="DG34" s="89">
        <v>2</v>
      </c>
      <c r="DH34" s="89">
        <v>1</v>
      </c>
      <c r="DI34" s="89">
        <v>1</v>
      </c>
      <c r="DJ34" s="89">
        <v>1</v>
      </c>
      <c r="DK34" s="95" t="s">
        <v>4188</v>
      </c>
      <c r="DN34" s="323">
        <v>2</v>
      </c>
      <c r="DO34" s="323">
        <v>1</v>
      </c>
      <c r="DP34" s="323">
        <v>1</v>
      </c>
      <c r="DQ34" s="323">
        <v>1</v>
      </c>
      <c r="DR34" s="194" t="s">
        <v>4189</v>
      </c>
      <c r="DU34" s="188">
        <v>3</v>
      </c>
      <c r="DV34" s="188">
        <v>1</v>
      </c>
      <c r="DW34" s="188">
        <v>1</v>
      </c>
      <c r="DX34" s="188">
        <v>1</v>
      </c>
      <c r="DY34" s="95" t="s">
        <v>4188</v>
      </c>
      <c r="EB34" s="88">
        <v>3</v>
      </c>
      <c r="EC34" s="88">
        <v>1</v>
      </c>
      <c r="ED34" s="88">
        <v>1</v>
      </c>
      <c r="EE34" s="88">
        <v>1</v>
      </c>
      <c r="EF34" s="95" t="s">
        <v>4188</v>
      </c>
      <c r="EI34" s="88">
        <v>3</v>
      </c>
      <c r="EJ34" s="88">
        <v>1</v>
      </c>
      <c r="EK34" s="88">
        <v>1</v>
      </c>
      <c r="EL34" s="88">
        <v>1</v>
      </c>
      <c r="EM34" s="95" t="s">
        <v>4188</v>
      </c>
      <c r="EP34" s="89">
        <v>3</v>
      </c>
      <c r="EQ34" s="89">
        <v>1</v>
      </c>
      <c r="ER34" s="89">
        <v>1</v>
      </c>
      <c r="ES34" s="89">
        <v>1</v>
      </c>
      <c r="ET34" s="95" t="s">
        <v>4188</v>
      </c>
      <c r="EW34" s="89">
        <v>5</v>
      </c>
      <c r="EX34" s="89">
        <v>4</v>
      </c>
      <c r="EY34" s="89">
        <v>3</v>
      </c>
      <c r="EZ34" s="89">
        <v>2</v>
      </c>
      <c r="FA34" s="95" t="s">
        <v>4188</v>
      </c>
      <c r="FC34" s="89">
        <v>5</v>
      </c>
      <c r="FD34" s="89">
        <v>4</v>
      </c>
      <c r="FE34" s="89">
        <v>3</v>
      </c>
      <c r="FF34" s="89">
        <v>2</v>
      </c>
      <c r="FG34" s="95" t="s">
        <v>4188</v>
      </c>
      <c r="FI34" s="89">
        <v>3</v>
      </c>
      <c r="FJ34" s="89">
        <v>1</v>
      </c>
      <c r="FK34" s="89">
        <v>1</v>
      </c>
      <c r="FL34" s="89">
        <v>1</v>
      </c>
      <c r="FM34" s="95" t="s">
        <v>4188</v>
      </c>
      <c r="FO34" s="89">
        <v>3</v>
      </c>
      <c r="FP34" s="89">
        <v>1</v>
      </c>
      <c r="FQ34" s="89">
        <v>1</v>
      </c>
      <c r="FR34" s="89">
        <v>1</v>
      </c>
      <c r="FS34" s="95" t="s">
        <v>4188</v>
      </c>
      <c r="FU34" s="89">
        <v>3</v>
      </c>
      <c r="FV34" s="89">
        <v>1</v>
      </c>
      <c r="FW34" s="89">
        <v>1</v>
      </c>
      <c r="FX34" s="89">
        <v>1</v>
      </c>
      <c r="FY34" s="126" t="s">
        <v>4190</v>
      </c>
      <c r="GA34" s="133">
        <v>3</v>
      </c>
      <c r="GB34" s="89">
        <v>1</v>
      </c>
      <c r="GC34" s="89">
        <v>1</v>
      </c>
      <c r="GD34" s="89">
        <v>1</v>
      </c>
      <c r="GE34" s="95" t="s">
        <v>4191</v>
      </c>
      <c r="GG34" s="89">
        <v>4</v>
      </c>
      <c r="GH34" s="89">
        <v>1</v>
      </c>
      <c r="GI34" s="89">
        <v>1</v>
      </c>
      <c r="GJ34" s="89">
        <v>1</v>
      </c>
      <c r="GK34" s="95" t="s">
        <v>4191</v>
      </c>
      <c r="GM34" s="89">
        <v>4</v>
      </c>
      <c r="GN34" s="89">
        <v>1</v>
      </c>
      <c r="GO34" s="89">
        <v>1</v>
      </c>
      <c r="GP34" s="89">
        <v>1</v>
      </c>
      <c r="GS34" s="89">
        <v>4</v>
      </c>
      <c r="GT34" s="133">
        <v>1</v>
      </c>
      <c r="GU34" s="89">
        <v>1</v>
      </c>
      <c r="GV34" s="89">
        <v>1</v>
      </c>
      <c r="GX34" s="89">
        <v>4</v>
      </c>
      <c r="GY34" s="133">
        <v>1</v>
      </c>
      <c r="GZ34" s="89">
        <v>1</v>
      </c>
      <c r="HA34" s="89">
        <v>1</v>
      </c>
      <c r="HB34" s="89">
        <v>4</v>
      </c>
      <c r="HC34" s="89">
        <v>2</v>
      </c>
      <c r="HD34" s="89">
        <v>1</v>
      </c>
      <c r="HE34" s="89">
        <v>1</v>
      </c>
    </row>
    <row r="35" spans="1:213">
      <c r="A35" s="89" t="s">
        <v>230</v>
      </c>
      <c r="B35" s="89" t="s">
        <v>516</v>
      </c>
      <c r="F35" s="88">
        <v>3</v>
      </c>
      <c r="G35" s="89">
        <v>4</v>
      </c>
      <c r="H35" s="89">
        <v>5</v>
      </c>
      <c r="I35" s="89">
        <v>5</v>
      </c>
      <c r="M35" s="88">
        <v>4</v>
      </c>
      <c r="N35" s="88">
        <v>4</v>
      </c>
      <c r="O35" s="88">
        <v>5</v>
      </c>
      <c r="P35" s="88">
        <v>5</v>
      </c>
      <c r="T35" s="89">
        <v>3</v>
      </c>
      <c r="U35" s="89">
        <v>3</v>
      </c>
      <c r="V35" s="89">
        <v>4</v>
      </c>
      <c r="W35" s="89">
        <v>4</v>
      </c>
      <c r="AA35" s="89">
        <v>3</v>
      </c>
      <c r="AB35" s="89">
        <v>3</v>
      </c>
      <c r="AC35" s="89">
        <v>4</v>
      </c>
      <c r="AD35" s="89">
        <v>4</v>
      </c>
      <c r="AH35" s="89">
        <v>3</v>
      </c>
      <c r="AI35" s="89">
        <v>3</v>
      </c>
      <c r="AJ35" s="89">
        <v>4</v>
      </c>
      <c r="AK35" s="89">
        <v>4</v>
      </c>
      <c r="AO35" s="89">
        <v>3</v>
      </c>
      <c r="AP35" s="89">
        <v>3</v>
      </c>
      <c r="AQ35" s="89">
        <v>4</v>
      </c>
      <c r="AR35" s="89">
        <v>4</v>
      </c>
      <c r="AV35" s="89">
        <v>3</v>
      </c>
      <c r="AW35" s="89">
        <v>3</v>
      </c>
      <c r="AX35" s="89">
        <v>4</v>
      </c>
      <c r="AY35" s="89">
        <v>4</v>
      </c>
      <c r="BC35" s="89">
        <v>3</v>
      </c>
      <c r="BD35" s="89">
        <v>3</v>
      </c>
      <c r="BE35" s="89">
        <v>4</v>
      </c>
      <c r="BF35" s="89">
        <v>4</v>
      </c>
      <c r="BJ35" s="89">
        <v>3</v>
      </c>
      <c r="BK35" s="89">
        <v>3</v>
      </c>
      <c r="BL35" s="89">
        <v>4</v>
      </c>
      <c r="BM35" s="89">
        <v>4</v>
      </c>
      <c r="BQ35" s="89">
        <v>3</v>
      </c>
      <c r="BR35" s="89">
        <v>3</v>
      </c>
      <c r="BS35" s="89">
        <v>4</v>
      </c>
      <c r="BT35" s="89">
        <v>4</v>
      </c>
      <c r="BX35" s="89">
        <v>3</v>
      </c>
      <c r="BY35" s="89">
        <v>3</v>
      </c>
      <c r="BZ35" s="89">
        <v>4</v>
      </c>
      <c r="CA35" s="89">
        <v>4</v>
      </c>
      <c r="CE35" s="89">
        <v>3</v>
      </c>
      <c r="CF35" s="89">
        <v>3</v>
      </c>
      <c r="CG35" s="89">
        <v>4</v>
      </c>
      <c r="CH35" s="89">
        <v>4</v>
      </c>
      <c r="CL35" s="89">
        <v>3</v>
      </c>
      <c r="CM35" s="89">
        <v>3</v>
      </c>
      <c r="CN35" s="89">
        <v>4</v>
      </c>
      <c r="CO35" s="89">
        <v>4</v>
      </c>
      <c r="CS35" s="88">
        <v>3</v>
      </c>
      <c r="CT35" s="88">
        <v>3</v>
      </c>
      <c r="CU35" s="88">
        <v>4</v>
      </c>
      <c r="CV35" s="88">
        <v>4</v>
      </c>
      <c r="CW35" s="95" t="s">
        <v>4192</v>
      </c>
      <c r="CZ35" s="89">
        <v>3</v>
      </c>
      <c r="DA35" s="89">
        <v>4</v>
      </c>
      <c r="DB35" s="89">
        <v>5</v>
      </c>
      <c r="DC35" s="89">
        <v>5</v>
      </c>
      <c r="DD35" s="95" t="s">
        <v>4192</v>
      </c>
      <c r="DG35" s="89">
        <v>3</v>
      </c>
      <c r="DH35" s="89">
        <v>4</v>
      </c>
      <c r="DI35" s="89">
        <v>5</v>
      </c>
      <c r="DJ35" s="89">
        <v>5</v>
      </c>
      <c r="DK35" s="95" t="s">
        <v>4192</v>
      </c>
      <c r="DN35" s="323">
        <v>3</v>
      </c>
      <c r="DO35" s="323">
        <v>4</v>
      </c>
      <c r="DP35" s="323">
        <v>5</v>
      </c>
      <c r="DQ35" s="323">
        <v>5</v>
      </c>
      <c r="DR35" s="194" t="s">
        <v>4193</v>
      </c>
      <c r="DU35" s="188">
        <v>4</v>
      </c>
      <c r="DV35" s="188">
        <v>5</v>
      </c>
      <c r="DW35" s="188">
        <v>6</v>
      </c>
      <c r="DX35" s="188">
        <v>6</v>
      </c>
      <c r="DY35" s="95" t="s">
        <v>4192</v>
      </c>
      <c r="EB35" s="89">
        <v>4</v>
      </c>
      <c r="EC35" s="88">
        <v>5</v>
      </c>
      <c r="ED35" s="89">
        <v>6</v>
      </c>
      <c r="EE35" s="89">
        <v>6</v>
      </c>
      <c r="EF35" s="95" t="s">
        <v>4192</v>
      </c>
      <c r="EI35" s="89">
        <v>4</v>
      </c>
      <c r="EJ35" s="88">
        <v>5</v>
      </c>
      <c r="EK35" s="89">
        <v>6</v>
      </c>
      <c r="EL35" s="89">
        <v>6</v>
      </c>
      <c r="EM35" s="95" t="s">
        <v>4192</v>
      </c>
      <c r="EP35" s="89">
        <v>4</v>
      </c>
      <c r="EQ35" s="89">
        <v>5</v>
      </c>
      <c r="ER35" s="89">
        <v>6</v>
      </c>
      <c r="ES35" s="89">
        <v>6</v>
      </c>
      <c r="ET35" s="95" t="s">
        <v>4192</v>
      </c>
      <c r="EW35" s="89">
        <v>4</v>
      </c>
      <c r="EX35" s="89">
        <v>5</v>
      </c>
      <c r="EY35" s="89">
        <v>6</v>
      </c>
      <c r="EZ35" s="89">
        <v>6</v>
      </c>
      <c r="FA35" s="95" t="s">
        <v>4192</v>
      </c>
      <c r="FC35" s="89">
        <v>4</v>
      </c>
      <c r="FD35" s="89">
        <v>5</v>
      </c>
      <c r="FE35" s="89">
        <v>5</v>
      </c>
      <c r="FF35" s="89">
        <v>4</v>
      </c>
      <c r="FG35" s="126" t="s">
        <v>4194</v>
      </c>
      <c r="FI35" s="89">
        <v>4</v>
      </c>
      <c r="FJ35" s="89">
        <v>5</v>
      </c>
      <c r="FK35" s="88">
        <v>6</v>
      </c>
      <c r="FL35" s="89">
        <v>6</v>
      </c>
      <c r="FM35" s="95" t="s">
        <v>4195</v>
      </c>
      <c r="FO35" s="89">
        <v>4</v>
      </c>
      <c r="FP35" s="89">
        <v>5</v>
      </c>
      <c r="FQ35" s="89">
        <v>5</v>
      </c>
      <c r="FR35" s="89">
        <v>6</v>
      </c>
      <c r="FS35" s="95" t="s">
        <v>4195</v>
      </c>
      <c r="FU35" s="89">
        <v>4</v>
      </c>
      <c r="FV35" s="89">
        <v>5</v>
      </c>
      <c r="FW35" s="89">
        <v>5</v>
      </c>
      <c r="FX35" s="89">
        <v>6</v>
      </c>
      <c r="FY35" s="95" t="s">
        <v>4195</v>
      </c>
      <c r="GA35" s="89">
        <v>4</v>
      </c>
      <c r="GB35" s="89">
        <v>5</v>
      </c>
      <c r="GC35" s="89">
        <v>5</v>
      </c>
      <c r="GD35" s="89">
        <v>6</v>
      </c>
      <c r="GE35" s="95" t="s">
        <v>4195</v>
      </c>
      <c r="GG35" s="89">
        <v>5</v>
      </c>
      <c r="GH35" s="89">
        <v>5</v>
      </c>
      <c r="GI35" s="89">
        <v>5</v>
      </c>
      <c r="GJ35" s="89">
        <v>6</v>
      </c>
      <c r="GK35" s="95" t="s">
        <v>4195</v>
      </c>
      <c r="GM35" s="89">
        <v>5</v>
      </c>
      <c r="GN35" s="89">
        <v>5</v>
      </c>
      <c r="GO35" s="89">
        <v>5</v>
      </c>
      <c r="GP35" s="89">
        <v>6</v>
      </c>
      <c r="GS35" s="89">
        <v>5</v>
      </c>
      <c r="GT35" s="89">
        <v>5</v>
      </c>
      <c r="GU35" s="89">
        <v>5</v>
      </c>
      <c r="GV35" s="89">
        <v>6</v>
      </c>
      <c r="GX35" s="89">
        <v>5</v>
      </c>
      <c r="GY35" s="89">
        <v>5</v>
      </c>
      <c r="GZ35" s="89">
        <v>5</v>
      </c>
      <c r="HA35" s="89">
        <v>6</v>
      </c>
      <c r="HB35" s="89">
        <v>5</v>
      </c>
      <c r="HC35" s="89">
        <v>5</v>
      </c>
      <c r="HD35" s="89">
        <v>5</v>
      </c>
      <c r="HE35" s="89">
        <v>6</v>
      </c>
    </row>
    <row r="36" spans="2:2">
      <c r="B36" s="108" t="s">
        <v>4196</v>
      </c>
    </row>
    <row r="37" hidden="1" spans="122:213">
      <c r="DR37" s="194" t="s">
        <v>4052</v>
      </c>
      <c r="DU37" s="188">
        <v>2</v>
      </c>
      <c r="DV37" s="188">
        <v>3</v>
      </c>
      <c r="DW37" s="188">
        <v>3</v>
      </c>
      <c r="DX37" s="188">
        <v>3</v>
      </c>
      <c r="DY37" s="95" t="s">
        <v>4052</v>
      </c>
      <c r="EB37" s="89">
        <v>2</v>
      </c>
      <c r="EC37" s="88">
        <v>3</v>
      </c>
      <c r="ED37" s="89">
        <v>3</v>
      </c>
      <c r="EE37" s="89">
        <v>3</v>
      </c>
      <c r="EF37" s="95" t="s">
        <v>4052</v>
      </c>
      <c r="EI37" s="89">
        <v>2</v>
      </c>
      <c r="EJ37" s="88">
        <v>3</v>
      </c>
      <c r="EK37" s="89">
        <v>3</v>
      </c>
      <c r="EL37" s="89">
        <v>3</v>
      </c>
      <c r="EM37" s="95" t="s">
        <v>4052</v>
      </c>
      <c r="EP37" s="89">
        <v>2</v>
      </c>
      <c r="EQ37" s="89">
        <v>3</v>
      </c>
      <c r="ER37" s="89">
        <v>3</v>
      </c>
      <c r="ES37" s="89">
        <v>3</v>
      </c>
      <c r="ET37" s="95" t="s">
        <v>4052</v>
      </c>
      <c r="EW37" s="89">
        <v>2</v>
      </c>
      <c r="EX37" s="89">
        <v>3</v>
      </c>
      <c r="EY37" s="89">
        <v>3</v>
      </c>
      <c r="EZ37" s="89">
        <v>3</v>
      </c>
      <c r="FA37" s="95" t="s">
        <v>4052</v>
      </c>
      <c r="FC37" s="89">
        <v>2</v>
      </c>
      <c r="FD37" s="89">
        <v>3</v>
      </c>
      <c r="FE37" s="89">
        <v>3</v>
      </c>
      <c r="FF37" s="89">
        <v>3</v>
      </c>
      <c r="FG37" s="95" t="s">
        <v>4052</v>
      </c>
      <c r="FI37" s="89">
        <v>2</v>
      </c>
      <c r="FJ37" s="89">
        <v>3</v>
      </c>
      <c r="FK37" s="89">
        <v>3</v>
      </c>
      <c r="FL37" s="89">
        <v>3</v>
      </c>
      <c r="FM37" s="95" t="s">
        <v>4052</v>
      </c>
      <c r="FO37" s="89">
        <v>2</v>
      </c>
      <c r="FP37" s="89">
        <v>3</v>
      </c>
      <c r="FQ37" s="89">
        <v>3</v>
      </c>
      <c r="FR37" s="89">
        <v>3</v>
      </c>
      <c r="FS37" s="95" t="s">
        <v>4052</v>
      </c>
      <c r="FU37" s="89">
        <v>2</v>
      </c>
      <c r="FV37" s="89">
        <v>3</v>
      </c>
      <c r="FW37" s="89">
        <v>3</v>
      </c>
      <c r="FX37" s="89">
        <v>3</v>
      </c>
      <c r="FY37" s="95" t="s">
        <v>4052</v>
      </c>
      <c r="GA37" s="89">
        <v>2</v>
      </c>
      <c r="GB37" s="89">
        <v>3</v>
      </c>
      <c r="GC37" s="89">
        <v>3</v>
      </c>
      <c r="GD37" s="89">
        <v>3</v>
      </c>
      <c r="GE37" s="95" t="s">
        <v>4052</v>
      </c>
      <c r="GG37" s="89">
        <v>2</v>
      </c>
      <c r="GH37" s="89">
        <v>3</v>
      </c>
      <c r="GI37" s="89">
        <v>3</v>
      </c>
      <c r="GJ37" s="89">
        <v>3</v>
      </c>
      <c r="GK37" s="95" t="s">
        <v>4052</v>
      </c>
      <c r="GM37" s="89">
        <v>2</v>
      </c>
      <c r="GN37" s="89">
        <v>3</v>
      </c>
      <c r="GO37" s="89">
        <v>3</v>
      </c>
      <c r="GP37" s="89">
        <v>3</v>
      </c>
      <c r="GS37" s="89">
        <v>2</v>
      </c>
      <c r="GT37" s="89">
        <v>3</v>
      </c>
      <c r="GU37" s="89">
        <v>3</v>
      </c>
      <c r="GV37" s="89">
        <v>3</v>
      </c>
      <c r="GX37" s="89">
        <v>2</v>
      </c>
      <c r="GY37" s="89">
        <v>3</v>
      </c>
      <c r="GZ37" s="89">
        <v>3</v>
      </c>
      <c r="HA37" s="89">
        <v>3</v>
      </c>
      <c r="HB37" s="89">
        <v>2</v>
      </c>
      <c r="HC37" s="89">
        <v>3</v>
      </c>
      <c r="HD37" s="89">
        <v>3</v>
      </c>
      <c r="HE37" s="89">
        <v>3</v>
      </c>
    </row>
    <row r="38" ht="15.6" spans="1:213">
      <c r="A38" s="317" t="s">
        <v>227</v>
      </c>
      <c r="B38" s="88" t="s">
        <v>4197</v>
      </c>
      <c r="FT38" s="126"/>
      <c r="FZ38" s="126"/>
      <c r="GF38" s="126"/>
      <c r="GL38" s="126"/>
      <c r="GR38" s="126"/>
      <c r="HB38" s="88"/>
      <c r="HC38" s="88"/>
      <c r="HD38" s="88"/>
      <c r="HE38" s="88"/>
    </row>
    <row r="39" ht="28.8" spans="1:16">
      <c r="A39" s="89" t="s">
        <v>230</v>
      </c>
      <c r="B39" s="318" t="s">
        <v>510</v>
      </c>
      <c r="C39" s="95" t="s">
        <v>4198</v>
      </c>
      <c r="F39" s="89">
        <v>1</v>
      </c>
      <c r="G39" s="89">
        <v>1</v>
      </c>
      <c r="H39" s="89">
        <v>1</v>
      </c>
      <c r="I39" s="89">
        <v>1</v>
      </c>
      <c r="J39" s="126" t="s">
        <v>4199</v>
      </c>
      <c r="M39" s="88">
        <v>1</v>
      </c>
      <c r="N39" s="88">
        <v>1</v>
      </c>
      <c r="O39" s="88">
        <v>1</v>
      </c>
      <c r="P39" s="88">
        <v>1</v>
      </c>
    </row>
    <row r="41" customHeight="1" spans="1:213">
      <c r="A41" s="96" t="s">
        <v>149</v>
      </c>
      <c r="B41" s="97"/>
      <c r="C41" s="116" t="s">
        <v>3923</v>
      </c>
      <c r="D41" s="128"/>
      <c r="E41" s="128"/>
      <c r="F41" s="128"/>
      <c r="G41" s="128"/>
      <c r="H41" s="128"/>
      <c r="I41" s="132"/>
      <c r="J41" s="116" t="s">
        <v>3923</v>
      </c>
      <c r="K41" s="128"/>
      <c r="L41" s="128"/>
      <c r="M41" s="128"/>
      <c r="N41" s="128"/>
      <c r="O41" s="128"/>
      <c r="P41" s="132"/>
      <c r="Q41" s="116" t="s">
        <v>4083</v>
      </c>
      <c r="R41" s="128"/>
      <c r="S41" s="128"/>
      <c r="T41" s="128"/>
      <c r="U41" s="128"/>
      <c r="V41" s="128"/>
      <c r="W41" s="132"/>
      <c r="X41" s="116" t="s">
        <v>3925</v>
      </c>
      <c r="Y41" s="128"/>
      <c r="Z41" s="128"/>
      <c r="AA41" s="128"/>
      <c r="AB41" s="128"/>
      <c r="AC41" s="128"/>
      <c r="AD41" s="132"/>
      <c r="AE41" s="116" t="s">
        <v>3926</v>
      </c>
      <c r="AF41" s="128"/>
      <c r="AG41" s="128"/>
      <c r="AH41" s="128"/>
      <c r="AI41" s="128"/>
      <c r="AJ41" s="128"/>
      <c r="AK41" s="132"/>
      <c r="AL41" s="116" t="s">
        <v>3927</v>
      </c>
      <c r="AM41" s="128"/>
      <c r="AN41" s="128"/>
      <c r="AO41" s="128"/>
      <c r="AP41" s="128"/>
      <c r="AQ41" s="128"/>
      <c r="AR41" s="132"/>
      <c r="AS41" s="116" t="s">
        <v>3928</v>
      </c>
      <c r="AT41" s="128"/>
      <c r="AU41" s="128"/>
      <c r="AV41" s="128"/>
      <c r="AW41" s="128"/>
      <c r="AX41" s="128"/>
      <c r="AY41" s="132"/>
      <c r="AZ41" s="116" t="s">
        <v>3929</v>
      </c>
      <c r="BA41" s="128"/>
      <c r="BB41" s="128"/>
      <c r="BC41" s="128"/>
      <c r="BD41" s="128"/>
      <c r="BE41" s="128"/>
      <c r="BF41" s="132"/>
      <c r="BG41" s="116" t="s">
        <v>3930</v>
      </c>
      <c r="BH41" s="128"/>
      <c r="BI41" s="128"/>
      <c r="BJ41" s="128"/>
      <c r="BK41" s="128"/>
      <c r="BL41" s="128"/>
      <c r="BM41" s="132"/>
      <c r="BN41" s="116" t="s">
        <v>3931</v>
      </c>
      <c r="BO41" s="128"/>
      <c r="BP41" s="128"/>
      <c r="BQ41" s="128"/>
      <c r="BR41" s="128"/>
      <c r="BS41" s="128"/>
      <c r="BT41" s="132"/>
      <c r="BU41" s="116" t="s">
        <v>3932</v>
      </c>
      <c r="BV41" s="128"/>
      <c r="BW41" s="128"/>
      <c r="BX41" s="128"/>
      <c r="BY41" s="128"/>
      <c r="BZ41" s="128"/>
      <c r="CA41" s="132"/>
      <c r="CB41" s="116" t="s">
        <v>3933</v>
      </c>
      <c r="CC41" s="128"/>
      <c r="CD41" s="128"/>
      <c r="CE41" s="128"/>
      <c r="CF41" s="128"/>
      <c r="CG41" s="128"/>
      <c r="CH41" s="132"/>
      <c r="CI41" s="116" t="s">
        <v>3922</v>
      </c>
      <c r="CJ41" s="128"/>
      <c r="CK41" s="128"/>
      <c r="CL41" s="128"/>
      <c r="CM41" s="128"/>
      <c r="CN41" s="128"/>
      <c r="CO41" s="132"/>
      <c r="CP41" s="116" t="s">
        <v>3934</v>
      </c>
      <c r="CQ41" s="128"/>
      <c r="CR41" s="128"/>
      <c r="CS41" s="128"/>
      <c r="CT41" s="128"/>
      <c r="CU41" s="128"/>
      <c r="CV41" s="132"/>
      <c r="CW41" s="116" t="s">
        <v>3924</v>
      </c>
      <c r="CX41" s="128"/>
      <c r="CY41" s="128"/>
      <c r="CZ41" s="128"/>
      <c r="DA41" s="128"/>
      <c r="DB41" s="128"/>
      <c r="DC41" s="132"/>
      <c r="DD41" s="116" t="s">
        <v>3935</v>
      </c>
      <c r="DE41" s="128"/>
      <c r="DF41" s="128"/>
      <c r="DG41" s="128"/>
      <c r="DH41" s="128"/>
      <c r="DI41" s="128"/>
      <c r="DJ41" s="132"/>
      <c r="DK41" s="116" t="s">
        <v>3936</v>
      </c>
      <c r="DL41" s="128"/>
      <c r="DM41" s="128"/>
      <c r="DN41" s="128"/>
      <c r="DO41" s="128"/>
      <c r="DP41" s="128"/>
      <c r="DQ41" s="132"/>
      <c r="DR41" s="325" t="s">
        <v>3937</v>
      </c>
      <c r="DS41" s="326"/>
      <c r="DT41" s="326"/>
      <c r="DU41" s="326"/>
      <c r="DV41" s="326"/>
      <c r="DW41" s="326"/>
      <c r="DX41" s="327"/>
      <c r="DY41" s="116" t="s">
        <v>3928</v>
      </c>
      <c r="DZ41" s="128"/>
      <c r="EA41" s="128"/>
      <c r="EB41" s="128"/>
      <c r="EC41" s="128"/>
      <c r="ED41" s="128"/>
      <c r="EE41" s="132"/>
      <c r="EF41" s="116" t="s">
        <v>3929</v>
      </c>
      <c r="EG41" s="128"/>
      <c r="EH41" s="128"/>
      <c r="EI41" s="128"/>
      <c r="EJ41" s="128"/>
      <c r="EK41" s="128"/>
      <c r="EL41" s="132"/>
      <c r="EM41" s="116" t="s">
        <v>4084</v>
      </c>
      <c r="EN41" s="128"/>
      <c r="EO41" s="128"/>
      <c r="EP41" s="128"/>
      <c r="EQ41" s="128"/>
      <c r="ER41" s="128"/>
      <c r="ES41" s="132"/>
      <c r="EU41" s="332"/>
      <c r="EV41" s="332"/>
      <c r="EW41" s="116" t="s">
        <v>4085</v>
      </c>
      <c r="EX41" s="128"/>
      <c r="EY41" s="128"/>
      <c r="EZ41" s="132"/>
      <c r="FB41" s="332"/>
      <c r="FC41" s="116" t="s">
        <v>4086</v>
      </c>
      <c r="FD41" s="128"/>
      <c r="FE41" s="128"/>
      <c r="FF41" s="132"/>
      <c r="FH41" s="332"/>
      <c r="FI41" s="116" t="s">
        <v>4087</v>
      </c>
      <c r="FJ41" s="128"/>
      <c r="FK41" s="128"/>
      <c r="FL41" s="132"/>
      <c r="FN41" s="332"/>
      <c r="FO41" s="116" t="s">
        <v>4088</v>
      </c>
      <c r="FP41" s="128"/>
      <c r="FQ41" s="128"/>
      <c r="FR41" s="132"/>
      <c r="FT41" s="332"/>
      <c r="FU41" s="116" t="s">
        <v>4089</v>
      </c>
      <c r="FV41" s="128"/>
      <c r="FW41" s="128"/>
      <c r="FX41" s="132"/>
      <c r="FZ41" s="332"/>
      <c r="GA41" s="116" t="s">
        <v>4090</v>
      </c>
      <c r="GB41" s="128"/>
      <c r="GC41" s="128"/>
      <c r="GD41" s="132"/>
      <c r="GF41" s="332"/>
      <c r="GG41" s="116" t="s">
        <v>4091</v>
      </c>
      <c r="GH41" s="128"/>
      <c r="GI41" s="128"/>
      <c r="GJ41" s="132"/>
      <c r="GL41" s="332"/>
      <c r="GM41" s="116" t="s">
        <v>3941</v>
      </c>
      <c r="GN41" s="128"/>
      <c r="GO41" s="128"/>
      <c r="GP41" s="132"/>
      <c r="GR41" s="332"/>
      <c r="GS41" s="116" t="s">
        <v>3941</v>
      </c>
      <c r="GT41" s="128"/>
      <c r="GU41" s="128"/>
      <c r="GV41" s="132"/>
      <c r="GW41" s="128"/>
      <c r="GX41" s="116" t="s">
        <v>3942</v>
      </c>
      <c r="GY41" s="128"/>
      <c r="GZ41" s="128"/>
      <c r="HA41" s="132"/>
      <c r="HB41" s="116" t="s">
        <v>3943</v>
      </c>
      <c r="HC41" s="128"/>
      <c r="HD41" s="128"/>
      <c r="HE41" s="132"/>
    </row>
    <row r="42" ht="28.2" spans="1:213">
      <c r="A42" s="101" t="s">
        <v>3944</v>
      </c>
      <c r="B42" s="102" t="s">
        <v>207</v>
      </c>
      <c r="C42" s="120" t="s">
        <v>3945</v>
      </c>
      <c r="D42" s="120" t="s">
        <v>3946</v>
      </c>
      <c r="E42" s="313" t="s">
        <v>3947</v>
      </c>
      <c r="F42" s="119" t="s">
        <v>3948</v>
      </c>
      <c r="G42" s="119" t="s">
        <v>3949</v>
      </c>
      <c r="H42" s="119" t="s">
        <v>3950</v>
      </c>
      <c r="I42" s="119" t="s">
        <v>3951</v>
      </c>
      <c r="J42" s="120" t="s">
        <v>3945</v>
      </c>
      <c r="K42" s="120" t="s">
        <v>3946</v>
      </c>
      <c r="L42" s="313" t="s">
        <v>3947</v>
      </c>
      <c r="M42" s="119" t="s">
        <v>3948</v>
      </c>
      <c r="N42" s="119" t="s">
        <v>3949</v>
      </c>
      <c r="O42" s="119" t="s">
        <v>3950</v>
      </c>
      <c r="P42" s="119" t="s">
        <v>3951</v>
      </c>
      <c r="Q42" s="120" t="s">
        <v>3945</v>
      </c>
      <c r="R42" s="120" t="s">
        <v>3946</v>
      </c>
      <c r="S42" s="313" t="s">
        <v>3947</v>
      </c>
      <c r="T42" s="119" t="s">
        <v>3948</v>
      </c>
      <c r="U42" s="119" t="s">
        <v>3949</v>
      </c>
      <c r="V42" s="119" t="s">
        <v>3950</v>
      </c>
      <c r="W42" s="119" t="s">
        <v>3951</v>
      </c>
      <c r="X42" s="120" t="s">
        <v>3952</v>
      </c>
      <c r="Y42" s="120" t="s">
        <v>3953</v>
      </c>
      <c r="Z42" s="313" t="s">
        <v>3947</v>
      </c>
      <c r="AA42" s="119" t="s">
        <v>3948</v>
      </c>
      <c r="AB42" s="119" t="s">
        <v>3949</v>
      </c>
      <c r="AC42" s="119" t="s">
        <v>3950</v>
      </c>
      <c r="AD42" s="119" t="s">
        <v>3951</v>
      </c>
      <c r="AE42" s="120" t="s">
        <v>3954</v>
      </c>
      <c r="AF42" s="120" t="s">
        <v>3955</v>
      </c>
      <c r="AG42" s="313" t="s">
        <v>3947</v>
      </c>
      <c r="AH42" s="119" t="s">
        <v>3948</v>
      </c>
      <c r="AI42" s="119" t="s">
        <v>3949</v>
      </c>
      <c r="AJ42" s="119" t="s">
        <v>3950</v>
      </c>
      <c r="AK42" s="119" t="s">
        <v>3951</v>
      </c>
      <c r="AL42" s="120" t="s">
        <v>3956</v>
      </c>
      <c r="AM42" s="120" t="s">
        <v>3957</v>
      </c>
      <c r="AN42" s="119" t="s">
        <v>3947</v>
      </c>
      <c r="AO42" s="119" t="s">
        <v>3948</v>
      </c>
      <c r="AP42" s="119" t="s">
        <v>3949</v>
      </c>
      <c r="AQ42" s="119" t="s">
        <v>3950</v>
      </c>
      <c r="AR42" s="119" t="s">
        <v>3951</v>
      </c>
      <c r="AS42" s="120" t="s">
        <v>3958</v>
      </c>
      <c r="AT42" s="120" t="s">
        <v>3959</v>
      </c>
      <c r="AU42" s="119" t="s">
        <v>3947</v>
      </c>
      <c r="AV42" s="119" t="s">
        <v>3948</v>
      </c>
      <c r="AW42" s="119" t="s">
        <v>3949</v>
      </c>
      <c r="AX42" s="119" t="s">
        <v>3950</v>
      </c>
      <c r="AY42" s="119" t="s">
        <v>3951</v>
      </c>
      <c r="AZ42" s="120" t="s">
        <v>3960</v>
      </c>
      <c r="BA42" s="120" t="s">
        <v>3961</v>
      </c>
      <c r="BB42" s="119" t="s">
        <v>3947</v>
      </c>
      <c r="BC42" s="119" t="s">
        <v>3948</v>
      </c>
      <c r="BD42" s="119" t="s">
        <v>3949</v>
      </c>
      <c r="BE42" s="119" t="s">
        <v>3950</v>
      </c>
      <c r="BF42" s="119" t="s">
        <v>3951</v>
      </c>
      <c r="BG42" s="120" t="s">
        <v>3962</v>
      </c>
      <c r="BH42" s="120" t="s">
        <v>3963</v>
      </c>
      <c r="BI42" s="119" t="s">
        <v>3947</v>
      </c>
      <c r="BJ42" s="119" t="s">
        <v>3948</v>
      </c>
      <c r="BK42" s="119" t="s">
        <v>3949</v>
      </c>
      <c r="BL42" s="119" t="s">
        <v>3950</v>
      </c>
      <c r="BM42" s="119" t="s">
        <v>3951</v>
      </c>
      <c r="BN42" s="120" t="s">
        <v>3964</v>
      </c>
      <c r="BO42" s="120" t="s">
        <v>3965</v>
      </c>
      <c r="BP42" s="119" t="s">
        <v>3947</v>
      </c>
      <c r="BQ42" s="119" t="s">
        <v>3948</v>
      </c>
      <c r="BR42" s="119" t="s">
        <v>3949</v>
      </c>
      <c r="BS42" s="119" t="s">
        <v>3950</v>
      </c>
      <c r="BT42" s="119" t="s">
        <v>3951</v>
      </c>
      <c r="BU42" s="120" t="s">
        <v>3966</v>
      </c>
      <c r="BV42" s="120" t="s">
        <v>3967</v>
      </c>
      <c r="BW42" s="119" t="s">
        <v>3947</v>
      </c>
      <c r="BX42" s="119" t="s">
        <v>3948</v>
      </c>
      <c r="BY42" s="119" t="s">
        <v>3949</v>
      </c>
      <c r="BZ42" s="119" t="s">
        <v>3950</v>
      </c>
      <c r="CA42" s="119" t="s">
        <v>3951</v>
      </c>
      <c r="CB42" s="120" t="s">
        <v>3968</v>
      </c>
      <c r="CC42" s="120" t="s">
        <v>3969</v>
      </c>
      <c r="CD42" s="119" t="s">
        <v>3947</v>
      </c>
      <c r="CE42" s="119" t="s">
        <v>3948</v>
      </c>
      <c r="CF42" s="119" t="s">
        <v>3949</v>
      </c>
      <c r="CG42" s="119" t="s">
        <v>3950</v>
      </c>
      <c r="CH42" s="119" t="s">
        <v>3951</v>
      </c>
      <c r="CI42" s="120" t="s">
        <v>3970</v>
      </c>
      <c r="CJ42" s="120" t="s">
        <v>3971</v>
      </c>
      <c r="CK42" s="119" t="s">
        <v>3947</v>
      </c>
      <c r="CL42" s="119" t="s">
        <v>3948</v>
      </c>
      <c r="CM42" s="119" t="s">
        <v>3949</v>
      </c>
      <c r="CN42" s="119" t="s">
        <v>3950</v>
      </c>
      <c r="CO42" s="119" t="s">
        <v>3951</v>
      </c>
      <c r="CP42" s="120" t="s">
        <v>3972</v>
      </c>
      <c r="CQ42" s="120" t="s">
        <v>3973</v>
      </c>
      <c r="CR42" s="119" t="s">
        <v>3947</v>
      </c>
      <c r="CS42" s="119" t="s">
        <v>3948</v>
      </c>
      <c r="CT42" s="119" t="s">
        <v>3949</v>
      </c>
      <c r="CU42" s="119" t="s">
        <v>3950</v>
      </c>
      <c r="CV42" s="119" t="s">
        <v>3951</v>
      </c>
      <c r="CW42" s="120" t="s">
        <v>3974</v>
      </c>
      <c r="CX42" s="120" t="s">
        <v>3975</v>
      </c>
      <c r="CY42" s="119" t="s">
        <v>3947</v>
      </c>
      <c r="CZ42" s="119" t="s">
        <v>3948</v>
      </c>
      <c r="DA42" s="119" t="s">
        <v>3949</v>
      </c>
      <c r="DB42" s="119" t="s">
        <v>3950</v>
      </c>
      <c r="DC42" s="119" t="s">
        <v>3951</v>
      </c>
      <c r="DD42" s="120" t="s">
        <v>3974</v>
      </c>
      <c r="DE42" s="120" t="s">
        <v>3975</v>
      </c>
      <c r="DF42" s="119" t="s">
        <v>3947</v>
      </c>
      <c r="DG42" s="119" t="s">
        <v>3948</v>
      </c>
      <c r="DH42" s="119" t="s">
        <v>3949</v>
      </c>
      <c r="DI42" s="119" t="s">
        <v>3950</v>
      </c>
      <c r="DJ42" s="119" t="s">
        <v>3951</v>
      </c>
      <c r="DK42" s="120" t="s">
        <v>3976</v>
      </c>
      <c r="DL42" s="120" t="s">
        <v>3977</v>
      </c>
      <c r="DM42" s="119" t="s">
        <v>3947</v>
      </c>
      <c r="DN42" s="119" t="s">
        <v>3948</v>
      </c>
      <c r="DO42" s="119" t="s">
        <v>3949</v>
      </c>
      <c r="DP42" s="119" t="s">
        <v>3950</v>
      </c>
      <c r="DQ42" s="119" t="s">
        <v>3951</v>
      </c>
      <c r="DR42" s="328" t="s">
        <v>3978</v>
      </c>
      <c r="DS42" s="328" t="s">
        <v>3979</v>
      </c>
      <c r="DT42" s="313" t="s">
        <v>3947</v>
      </c>
      <c r="DU42" s="313" t="s">
        <v>3948</v>
      </c>
      <c r="DV42" s="313" t="s">
        <v>3949</v>
      </c>
      <c r="DW42" s="313" t="s">
        <v>3950</v>
      </c>
      <c r="DX42" s="313" t="s">
        <v>3951</v>
      </c>
      <c r="DY42" s="120" t="s">
        <v>3980</v>
      </c>
      <c r="DZ42" s="120" t="s">
        <v>3981</v>
      </c>
      <c r="EA42" s="119" t="s">
        <v>3947</v>
      </c>
      <c r="EB42" s="119" t="s">
        <v>3948</v>
      </c>
      <c r="EC42" s="119" t="s">
        <v>3949</v>
      </c>
      <c r="ED42" s="119" t="s">
        <v>3950</v>
      </c>
      <c r="EE42" s="119" t="s">
        <v>3951</v>
      </c>
      <c r="EF42" s="120" t="s">
        <v>3982</v>
      </c>
      <c r="EG42" s="120" t="s">
        <v>3983</v>
      </c>
      <c r="EH42" s="119" t="s">
        <v>3947</v>
      </c>
      <c r="EI42" s="119" t="s">
        <v>3948</v>
      </c>
      <c r="EJ42" s="119" t="s">
        <v>3949</v>
      </c>
      <c r="EK42" s="119" t="s">
        <v>3950</v>
      </c>
      <c r="EL42" s="119" t="s">
        <v>3951</v>
      </c>
      <c r="EM42" s="120" t="s">
        <v>3984</v>
      </c>
      <c r="EN42" s="120" t="s">
        <v>3985</v>
      </c>
      <c r="EO42" s="120"/>
      <c r="EP42" s="119" t="s">
        <v>3948</v>
      </c>
      <c r="EQ42" s="119" t="s">
        <v>3949</v>
      </c>
      <c r="ER42" s="119" t="s">
        <v>3950</v>
      </c>
      <c r="ES42" s="119" t="s">
        <v>3951</v>
      </c>
      <c r="ET42" s="120" t="s">
        <v>3986</v>
      </c>
      <c r="EU42" s="120" t="s">
        <v>3987</v>
      </c>
      <c r="EV42" s="120"/>
      <c r="EW42" s="119" t="s">
        <v>3948</v>
      </c>
      <c r="EX42" s="119" t="s">
        <v>3949</v>
      </c>
      <c r="EY42" s="119" t="s">
        <v>3950</v>
      </c>
      <c r="EZ42" s="119" t="s">
        <v>3951</v>
      </c>
      <c r="FA42" s="120" t="s">
        <v>3988</v>
      </c>
      <c r="FB42" s="120" t="s">
        <v>3989</v>
      </c>
      <c r="FC42" s="119" t="s">
        <v>3948</v>
      </c>
      <c r="FD42" s="119" t="s">
        <v>3949</v>
      </c>
      <c r="FE42" s="119" t="s">
        <v>3950</v>
      </c>
      <c r="FF42" s="119" t="s">
        <v>3951</v>
      </c>
      <c r="FG42" s="120" t="s">
        <v>3990</v>
      </c>
      <c r="FH42" s="120" t="s">
        <v>3991</v>
      </c>
      <c r="FI42" s="119" t="s">
        <v>3948</v>
      </c>
      <c r="FJ42" s="119" t="s">
        <v>3949</v>
      </c>
      <c r="FK42" s="119" t="s">
        <v>3950</v>
      </c>
      <c r="FL42" s="119" t="s">
        <v>3951</v>
      </c>
      <c r="FM42" s="120" t="s">
        <v>3992</v>
      </c>
      <c r="FN42" s="120" t="s">
        <v>3993</v>
      </c>
      <c r="FO42" s="119" t="s">
        <v>3948</v>
      </c>
      <c r="FP42" s="119" t="s">
        <v>3949</v>
      </c>
      <c r="FQ42" s="119" t="s">
        <v>3950</v>
      </c>
      <c r="FR42" s="119" t="s">
        <v>3951</v>
      </c>
      <c r="FS42" s="120" t="s">
        <v>3994</v>
      </c>
      <c r="FT42" s="120" t="s">
        <v>3995</v>
      </c>
      <c r="FU42" s="119" t="s">
        <v>3948</v>
      </c>
      <c r="FV42" s="119" t="s">
        <v>3949</v>
      </c>
      <c r="FW42" s="119" t="s">
        <v>3950</v>
      </c>
      <c r="FX42" s="119" t="s">
        <v>3951</v>
      </c>
      <c r="FY42" s="120" t="s">
        <v>3996</v>
      </c>
      <c r="FZ42" s="120" t="s">
        <v>3997</v>
      </c>
      <c r="GA42" s="119" t="s">
        <v>3948</v>
      </c>
      <c r="GB42" s="119" t="s">
        <v>3949</v>
      </c>
      <c r="GC42" s="119" t="s">
        <v>3950</v>
      </c>
      <c r="GD42" s="119" t="s">
        <v>3951</v>
      </c>
      <c r="GE42" s="120" t="s">
        <v>3998</v>
      </c>
      <c r="GF42" s="120" t="s">
        <v>3999</v>
      </c>
      <c r="GG42" s="119" t="s">
        <v>3948</v>
      </c>
      <c r="GH42" s="119" t="s">
        <v>3949</v>
      </c>
      <c r="GI42" s="119" t="s">
        <v>3950</v>
      </c>
      <c r="GJ42" s="119" t="s">
        <v>3951</v>
      </c>
      <c r="GK42" s="120" t="s">
        <v>4000</v>
      </c>
      <c r="GL42" s="120" t="s">
        <v>4001</v>
      </c>
      <c r="GM42" s="119" t="s">
        <v>3948</v>
      </c>
      <c r="GN42" s="119" t="s">
        <v>3949</v>
      </c>
      <c r="GO42" s="119" t="s">
        <v>3950</v>
      </c>
      <c r="GP42" s="119" t="s">
        <v>3951</v>
      </c>
      <c r="GQ42" s="120" t="s">
        <v>4002</v>
      </c>
      <c r="GR42" s="120" t="s">
        <v>4003</v>
      </c>
      <c r="GS42" s="119" t="s">
        <v>3948</v>
      </c>
      <c r="GT42" s="119" t="s">
        <v>3949</v>
      </c>
      <c r="GU42" s="119" t="s">
        <v>3950</v>
      </c>
      <c r="GV42" s="119" t="s">
        <v>3951</v>
      </c>
      <c r="GW42" s="119"/>
      <c r="GX42" s="119" t="s">
        <v>3948</v>
      </c>
      <c r="GY42" s="119" t="s">
        <v>3949</v>
      </c>
      <c r="GZ42" s="119" t="s">
        <v>3950</v>
      </c>
      <c r="HA42" s="119" t="s">
        <v>3951</v>
      </c>
      <c r="HB42" s="119" t="s">
        <v>3948</v>
      </c>
      <c r="HC42" s="119" t="s">
        <v>3949</v>
      </c>
      <c r="HD42" s="119" t="s">
        <v>3950</v>
      </c>
      <c r="HE42" s="119" t="s">
        <v>3951</v>
      </c>
    </row>
    <row r="43" ht="55.2" spans="1:213">
      <c r="A43" s="89" t="s">
        <v>243</v>
      </c>
      <c r="B43" s="108" t="s">
        <v>537</v>
      </c>
      <c r="C43" s="319"/>
      <c r="F43" s="89">
        <v>1</v>
      </c>
      <c r="G43" s="89">
        <v>1</v>
      </c>
      <c r="H43" s="95">
        <v>1</v>
      </c>
      <c r="I43" s="126">
        <v>1</v>
      </c>
      <c r="J43" s="319"/>
      <c r="M43" s="89">
        <v>1</v>
      </c>
      <c r="N43" s="89">
        <v>1</v>
      </c>
      <c r="O43" s="126">
        <v>1</v>
      </c>
      <c r="P43" s="89">
        <v>2</v>
      </c>
      <c r="Q43" s="319"/>
      <c r="T43" s="89">
        <v>1</v>
      </c>
      <c r="U43" s="89">
        <v>1</v>
      </c>
      <c r="V43" s="95">
        <v>2</v>
      </c>
      <c r="W43" s="89">
        <v>2</v>
      </c>
      <c r="X43" s="319" t="s">
        <v>4200</v>
      </c>
      <c r="AA43" s="89">
        <v>1</v>
      </c>
      <c r="AB43" s="88">
        <v>1</v>
      </c>
      <c r="AC43" s="126">
        <v>2</v>
      </c>
      <c r="AD43" s="89">
        <v>2</v>
      </c>
      <c r="AE43" s="319" t="s">
        <v>4200</v>
      </c>
      <c r="AH43" s="89">
        <v>1</v>
      </c>
      <c r="AI43" s="88">
        <v>1</v>
      </c>
      <c r="AJ43" s="126">
        <v>2</v>
      </c>
      <c r="AK43" s="89">
        <v>2</v>
      </c>
      <c r="AL43" s="319" t="s">
        <v>4200</v>
      </c>
      <c r="AO43" s="89">
        <v>1</v>
      </c>
      <c r="AP43" s="89">
        <v>2</v>
      </c>
      <c r="AQ43" s="89">
        <v>2</v>
      </c>
      <c r="AR43" s="89">
        <v>2</v>
      </c>
      <c r="AS43" s="319" t="s">
        <v>4200</v>
      </c>
      <c r="AV43" s="88">
        <v>1</v>
      </c>
      <c r="AW43" s="88">
        <v>2</v>
      </c>
      <c r="AX43" s="88">
        <v>2</v>
      </c>
      <c r="AY43" s="88">
        <v>2</v>
      </c>
      <c r="AZ43" s="319" t="s">
        <v>4200</v>
      </c>
      <c r="BC43" s="89">
        <v>2</v>
      </c>
      <c r="BD43" s="89">
        <v>3</v>
      </c>
      <c r="BE43" s="89">
        <v>3</v>
      </c>
      <c r="BF43" s="89">
        <v>3</v>
      </c>
      <c r="BG43" s="319" t="s">
        <v>4200</v>
      </c>
      <c r="BJ43" s="89">
        <v>2</v>
      </c>
      <c r="BK43" s="89">
        <v>3</v>
      </c>
      <c r="BL43" s="89">
        <v>3</v>
      </c>
      <c r="BM43" s="89">
        <v>3</v>
      </c>
      <c r="BN43" s="131" t="s">
        <v>4200</v>
      </c>
      <c r="BQ43" s="88">
        <v>2</v>
      </c>
      <c r="BR43" s="88">
        <v>3</v>
      </c>
      <c r="BS43" s="88">
        <v>3</v>
      </c>
      <c r="BT43" s="88">
        <v>3</v>
      </c>
      <c r="BU43" s="319" t="s">
        <v>4201</v>
      </c>
      <c r="BX43" s="89">
        <v>1</v>
      </c>
      <c r="BY43" s="88">
        <v>1</v>
      </c>
      <c r="BZ43" s="89">
        <v>2</v>
      </c>
      <c r="CA43" s="89">
        <v>1</v>
      </c>
      <c r="CB43" s="319" t="s">
        <v>4201</v>
      </c>
      <c r="CE43" s="89">
        <v>1</v>
      </c>
      <c r="CF43" s="89">
        <v>2</v>
      </c>
      <c r="CG43" s="89">
        <v>2</v>
      </c>
      <c r="CH43" s="89">
        <v>1</v>
      </c>
      <c r="CI43" s="319" t="s">
        <v>4201</v>
      </c>
      <c r="CL43" s="89">
        <v>1</v>
      </c>
      <c r="CM43" s="89">
        <v>2</v>
      </c>
      <c r="CN43" s="89">
        <v>2</v>
      </c>
      <c r="CO43" s="89">
        <v>1</v>
      </c>
      <c r="CP43" s="319" t="s">
        <v>4201</v>
      </c>
      <c r="CS43" s="89">
        <v>1</v>
      </c>
      <c r="CT43" s="89">
        <v>2</v>
      </c>
      <c r="CU43" s="89">
        <v>2</v>
      </c>
      <c r="CV43" s="89">
        <v>1</v>
      </c>
      <c r="CW43" s="131" t="s">
        <v>4201</v>
      </c>
      <c r="CZ43" s="88">
        <v>1</v>
      </c>
      <c r="DA43" s="88">
        <v>2</v>
      </c>
      <c r="DB43" s="88">
        <v>2</v>
      </c>
      <c r="DC43" s="88">
        <v>1</v>
      </c>
      <c r="DD43" s="319" t="s">
        <v>4202</v>
      </c>
      <c r="DG43" s="102">
        <v>5</v>
      </c>
      <c r="DH43" s="102">
        <v>4</v>
      </c>
      <c r="DI43" s="102">
        <v>4</v>
      </c>
      <c r="DJ43" s="102">
        <v>3</v>
      </c>
      <c r="DK43" s="319" t="s">
        <v>4202</v>
      </c>
      <c r="DN43" s="324">
        <v>5</v>
      </c>
      <c r="DO43" s="324">
        <v>4</v>
      </c>
      <c r="DP43" s="324">
        <v>4</v>
      </c>
      <c r="DQ43" s="324">
        <v>3</v>
      </c>
      <c r="DR43" s="329" t="s">
        <v>4202</v>
      </c>
      <c r="DS43" s="194" t="s">
        <v>4203</v>
      </c>
      <c r="DT43" s="194" t="s">
        <v>4204</v>
      </c>
      <c r="DU43" s="324">
        <v>4</v>
      </c>
      <c r="DV43" s="324">
        <v>2</v>
      </c>
      <c r="DW43" s="324">
        <v>2</v>
      </c>
      <c r="DX43" s="330">
        <v>2</v>
      </c>
      <c r="DY43" s="319" t="s">
        <v>4202</v>
      </c>
      <c r="DZ43" s="95" t="s">
        <v>4203</v>
      </c>
      <c r="EA43" s="95" t="s">
        <v>4204</v>
      </c>
      <c r="EB43" s="331">
        <v>3</v>
      </c>
      <c r="EC43" s="331">
        <v>1</v>
      </c>
      <c r="ED43" s="331">
        <v>1</v>
      </c>
      <c r="EE43" s="331">
        <v>2</v>
      </c>
      <c r="EF43" s="131" t="s">
        <v>4202</v>
      </c>
      <c r="EG43" s="95" t="s">
        <v>4203</v>
      </c>
      <c r="EH43" s="95" t="s">
        <v>4204</v>
      </c>
      <c r="EI43" s="331">
        <v>3</v>
      </c>
      <c r="EJ43" s="331">
        <v>1</v>
      </c>
      <c r="EK43" s="331">
        <v>1</v>
      </c>
      <c r="EL43" s="331">
        <v>2</v>
      </c>
      <c r="EM43" s="131" t="s">
        <v>4205</v>
      </c>
      <c r="EN43" s="95" t="s">
        <v>4203</v>
      </c>
      <c r="EO43" s="95" t="s">
        <v>4204</v>
      </c>
      <c r="EP43" s="331">
        <v>3</v>
      </c>
      <c r="EQ43" s="331">
        <v>1</v>
      </c>
      <c r="ER43" s="331">
        <v>1</v>
      </c>
      <c r="ES43" s="331">
        <v>2</v>
      </c>
      <c r="ET43" s="131" t="s">
        <v>4206</v>
      </c>
      <c r="EU43" s="95" t="s">
        <v>4203</v>
      </c>
      <c r="EV43" s="95" t="s">
        <v>4207</v>
      </c>
      <c r="EW43" s="331">
        <v>3</v>
      </c>
      <c r="EX43" s="331">
        <v>3</v>
      </c>
      <c r="EY43" s="331">
        <v>3</v>
      </c>
      <c r="EZ43" s="331">
        <v>2</v>
      </c>
      <c r="FA43" s="319" t="s">
        <v>4208</v>
      </c>
      <c r="FB43" s="95" t="s">
        <v>4203</v>
      </c>
      <c r="FC43" s="89">
        <v>4</v>
      </c>
      <c r="FD43" s="89">
        <v>3</v>
      </c>
      <c r="FE43" s="89">
        <v>3</v>
      </c>
      <c r="FF43" s="89">
        <v>4</v>
      </c>
      <c r="FG43" s="131" t="s">
        <v>4208</v>
      </c>
      <c r="FH43" s="95" t="s">
        <v>4203</v>
      </c>
      <c r="FI43" s="89">
        <v>4</v>
      </c>
      <c r="FJ43" s="89">
        <v>3</v>
      </c>
      <c r="FK43" s="89">
        <v>3</v>
      </c>
      <c r="FL43" s="89">
        <v>4</v>
      </c>
      <c r="FM43" s="125" t="s">
        <v>4209</v>
      </c>
      <c r="FN43" s="95" t="s">
        <v>4203</v>
      </c>
      <c r="FO43" s="89">
        <v>4</v>
      </c>
      <c r="FP43" s="89">
        <v>3</v>
      </c>
      <c r="FQ43" s="89">
        <v>3</v>
      </c>
      <c r="FR43" s="89">
        <v>4</v>
      </c>
      <c r="FS43" s="125" t="s">
        <v>4209</v>
      </c>
      <c r="FT43" s="95" t="s">
        <v>4203</v>
      </c>
      <c r="FU43" s="89">
        <v>4</v>
      </c>
      <c r="FV43" s="89">
        <v>3</v>
      </c>
      <c r="FW43" s="89">
        <v>3</v>
      </c>
      <c r="FX43" s="89">
        <v>4</v>
      </c>
      <c r="FY43" s="125" t="s">
        <v>4209</v>
      </c>
      <c r="FZ43" s="95" t="s">
        <v>4203</v>
      </c>
      <c r="GA43" s="89">
        <v>4</v>
      </c>
      <c r="GB43" s="88">
        <v>3</v>
      </c>
      <c r="GC43" s="89">
        <v>3</v>
      </c>
      <c r="GD43" s="89">
        <v>4</v>
      </c>
      <c r="GE43" s="124" t="s">
        <v>4209</v>
      </c>
      <c r="GF43" s="95" t="s">
        <v>4203</v>
      </c>
      <c r="GG43" s="89">
        <v>2</v>
      </c>
      <c r="GH43" s="88">
        <v>1</v>
      </c>
      <c r="GI43" s="89">
        <v>3</v>
      </c>
      <c r="GJ43" s="89">
        <v>3</v>
      </c>
      <c r="GK43" s="95" t="s">
        <v>4210</v>
      </c>
      <c r="GL43" s="95" t="s">
        <v>4203</v>
      </c>
      <c r="GM43" s="89">
        <v>2</v>
      </c>
      <c r="GN43" s="89">
        <v>3</v>
      </c>
      <c r="GO43" s="89">
        <v>3</v>
      </c>
      <c r="GP43" s="89">
        <v>3</v>
      </c>
      <c r="GQ43" s="124" t="s">
        <v>4210</v>
      </c>
      <c r="GR43" s="125" t="s">
        <v>4203</v>
      </c>
      <c r="GS43" s="89">
        <v>3</v>
      </c>
      <c r="GT43" s="89">
        <v>4</v>
      </c>
      <c r="GU43" s="89">
        <v>4</v>
      </c>
      <c r="GV43" s="89">
        <v>4</v>
      </c>
      <c r="GX43" s="89">
        <v>4</v>
      </c>
      <c r="GY43" s="89">
        <v>4</v>
      </c>
      <c r="GZ43" s="89">
        <v>4</v>
      </c>
      <c r="HA43" s="89">
        <v>4</v>
      </c>
      <c r="HB43" s="89">
        <v>4</v>
      </c>
      <c r="HC43" s="89">
        <v>4</v>
      </c>
      <c r="HD43" s="89">
        <v>4</v>
      </c>
      <c r="HE43" s="89">
        <v>4</v>
      </c>
    </row>
    <row r="44" ht="138" spans="1:213">
      <c r="A44" s="88" t="s">
        <v>227</v>
      </c>
      <c r="B44" s="105" t="s">
        <v>535</v>
      </c>
      <c r="C44" s="131"/>
      <c r="D44" s="126"/>
      <c r="E44" s="194" t="s">
        <v>4139</v>
      </c>
      <c r="F44" s="95" t="s">
        <v>4211</v>
      </c>
      <c r="G44" s="95" t="s">
        <v>4044</v>
      </c>
      <c r="H44" s="95" t="s">
        <v>4212</v>
      </c>
      <c r="I44" s="126" t="s">
        <v>4213</v>
      </c>
      <c r="J44" s="131"/>
      <c r="K44" s="126"/>
      <c r="L44" s="194" t="s">
        <v>4139</v>
      </c>
      <c r="M44" s="126" t="s">
        <v>4214</v>
      </c>
      <c r="N44" s="95" t="s">
        <v>4044</v>
      </c>
      <c r="O44" s="126" t="s">
        <v>4215</v>
      </c>
      <c r="P44" s="95" t="s">
        <v>4216</v>
      </c>
      <c r="Q44" s="131"/>
      <c r="R44" s="126"/>
      <c r="S44" s="194" t="s">
        <v>4139</v>
      </c>
      <c r="T44" s="95" t="s">
        <v>4044</v>
      </c>
      <c r="U44" s="95" t="s">
        <v>4044</v>
      </c>
      <c r="V44" s="95" t="s">
        <v>4217</v>
      </c>
      <c r="W44" s="95" t="s">
        <v>4216</v>
      </c>
      <c r="X44" s="131" t="s">
        <v>4218</v>
      </c>
      <c r="Y44" s="126"/>
      <c r="Z44" s="194" t="s">
        <v>4139</v>
      </c>
      <c r="AA44" s="95" t="s">
        <v>4044</v>
      </c>
      <c r="AB44" s="126" t="s">
        <v>4044</v>
      </c>
      <c r="AC44" s="126" t="s">
        <v>4217</v>
      </c>
      <c r="AD44" s="95" t="s">
        <v>4216</v>
      </c>
      <c r="AE44" s="131" t="s">
        <v>4218</v>
      </c>
      <c r="AF44" s="126"/>
      <c r="AG44" s="194" t="s">
        <v>4139</v>
      </c>
      <c r="AH44" s="95" t="s">
        <v>4044</v>
      </c>
      <c r="AI44" s="126" t="s">
        <v>4044</v>
      </c>
      <c r="AJ44" s="126" t="s">
        <v>4217</v>
      </c>
      <c r="AK44" s="95" t="s">
        <v>4216</v>
      </c>
      <c r="AL44" s="319" t="s">
        <v>4219</v>
      </c>
      <c r="AM44" s="126" t="s">
        <v>4009</v>
      </c>
      <c r="AN44" s="95" t="s">
        <v>4220</v>
      </c>
      <c r="AO44" s="95" t="s">
        <v>4044</v>
      </c>
      <c r="AP44" s="95" t="s">
        <v>4217</v>
      </c>
      <c r="AQ44" s="95" t="s">
        <v>4217</v>
      </c>
      <c r="AR44" s="95" t="s">
        <v>4221</v>
      </c>
      <c r="AS44" s="319" t="s">
        <v>4219</v>
      </c>
      <c r="AT44" s="95" t="s">
        <v>4222</v>
      </c>
      <c r="AU44" s="95" t="s">
        <v>4152</v>
      </c>
      <c r="AV44" s="126" t="s">
        <v>4044</v>
      </c>
      <c r="AW44" s="126" t="s">
        <v>4217</v>
      </c>
      <c r="AX44" s="126" t="s">
        <v>4217</v>
      </c>
      <c r="AY44" s="126" t="s">
        <v>4221</v>
      </c>
      <c r="AZ44" s="319" t="s">
        <v>4219</v>
      </c>
      <c r="BA44" s="95" t="s">
        <v>4222</v>
      </c>
      <c r="BB44" s="95" t="s">
        <v>4152</v>
      </c>
      <c r="BC44" s="95" t="s">
        <v>4223</v>
      </c>
      <c r="BD44" s="95" t="s">
        <v>4224</v>
      </c>
      <c r="BE44" s="95" t="s">
        <v>4225</v>
      </c>
      <c r="BF44" s="95" t="s">
        <v>4226</v>
      </c>
      <c r="BG44" s="131" t="s">
        <v>4219</v>
      </c>
      <c r="BH44" s="126" t="s">
        <v>4227</v>
      </c>
      <c r="BI44" s="95" t="s">
        <v>4228</v>
      </c>
      <c r="BJ44" s="95" t="s">
        <v>4223</v>
      </c>
      <c r="BK44" s="95" t="s">
        <v>4224</v>
      </c>
      <c r="BL44" s="95" t="s">
        <v>4225</v>
      </c>
      <c r="BM44" s="95" t="s">
        <v>4226</v>
      </c>
      <c r="BN44" s="319"/>
      <c r="BO44" s="95" t="s">
        <v>4229</v>
      </c>
      <c r="BP44" s="95" t="s">
        <v>4230</v>
      </c>
      <c r="BQ44" s="95" t="s">
        <v>4223</v>
      </c>
      <c r="BR44" s="95" t="s">
        <v>4224</v>
      </c>
      <c r="BS44" s="126" t="s">
        <v>4231</v>
      </c>
      <c r="BT44" s="95" t="s">
        <v>4226</v>
      </c>
      <c r="BU44" s="319"/>
      <c r="BV44" s="95" t="s">
        <v>4229</v>
      </c>
      <c r="BW44" s="95" t="s">
        <v>4230</v>
      </c>
      <c r="BX44" s="126" t="s">
        <v>4223</v>
      </c>
      <c r="BY44" s="126" t="s">
        <v>4224</v>
      </c>
      <c r="BZ44" s="126" t="s">
        <v>4223</v>
      </c>
      <c r="CA44" s="126" t="s">
        <v>4226</v>
      </c>
      <c r="CB44" s="319"/>
      <c r="CC44" s="95" t="s">
        <v>4229</v>
      </c>
      <c r="CD44" s="95" t="s">
        <v>4230</v>
      </c>
      <c r="CE44" s="95" t="s">
        <v>4226</v>
      </c>
      <c r="CF44" s="95" t="s">
        <v>4226</v>
      </c>
      <c r="CG44" s="95" t="s">
        <v>4226</v>
      </c>
      <c r="CH44" s="95" t="s">
        <v>4232</v>
      </c>
      <c r="CI44" s="319"/>
      <c r="CJ44" s="95" t="s">
        <v>4229</v>
      </c>
      <c r="CK44" s="95" t="s">
        <v>4230</v>
      </c>
      <c r="CL44" s="95" t="s">
        <v>4226</v>
      </c>
      <c r="CM44" s="95" t="s">
        <v>4226</v>
      </c>
      <c r="CN44" s="95" t="s">
        <v>4226</v>
      </c>
      <c r="CO44" s="95" t="s">
        <v>4233</v>
      </c>
      <c r="CP44" s="319"/>
      <c r="CQ44" s="95" t="s">
        <v>4229</v>
      </c>
      <c r="CR44" s="95" t="s">
        <v>4230</v>
      </c>
      <c r="CS44" s="95" t="s">
        <v>4226</v>
      </c>
      <c r="CT44" s="95" t="s">
        <v>4226</v>
      </c>
      <c r="CU44" s="95" t="s">
        <v>4226</v>
      </c>
      <c r="CV44" s="95" t="s">
        <v>4233</v>
      </c>
      <c r="CW44" s="319" t="s">
        <v>4234</v>
      </c>
      <c r="CX44" s="126" t="s">
        <v>4235</v>
      </c>
      <c r="CY44" s="95" t="s">
        <v>4236</v>
      </c>
      <c r="CZ44" s="126" t="s">
        <v>4226</v>
      </c>
      <c r="DA44" s="126" t="s">
        <v>4226</v>
      </c>
      <c r="DB44" s="126" t="s">
        <v>4226</v>
      </c>
      <c r="DC44" s="126" t="s">
        <v>4233</v>
      </c>
      <c r="DD44" s="319" t="s">
        <v>4234</v>
      </c>
      <c r="DE44" s="95" t="s">
        <v>4237</v>
      </c>
      <c r="DF44" s="95" t="s">
        <v>4238</v>
      </c>
      <c r="DG44" s="95" t="s">
        <v>4223</v>
      </c>
      <c r="DH44" s="95" t="s">
        <v>4223</v>
      </c>
      <c r="DI44" s="95" t="s">
        <v>4223</v>
      </c>
      <c r="DJ44" s="95" t="s">
        <v>4239</v>
      </c>
      <c r="DK44" s="131" t="s">
        <v>4234</v>
      </c>
      <c r="DL44" s="126" t="s">
        <v>4240</v>
      </c>
      <c r="DM44" s="95" t="s">
        <v>4241</v>
      </c>
      <c r="DN44" s="95" t="s">
        <v>4242</v>
      </c>
      <c r="DO44" s="126" t="s">
        <v>4223</v>
      </c>
      <c r="DP44" s="126" t="s">
        <v>4223</v>
      </c>
      <c r="DQ44" s="126" t="s">
        <v>4243</v>
      </c>
      <c r="DR44" s="329" t="s">
        <v>4244</v>
      </c>
      <c r="DS44" s="194" t="s">
        <v>4245</v>
      </c>
      <c r="DU44" s="194" t="s">
        <v>4246</v>
      </c>
      <c r="DV44" s="194" t="s">
        <v>4247</v>
      </c>
      <c r="DW44" s="194" t="s">
        <v>4247</v>
      </c>
      <c r="DX44" s="194" t="s">
        <v>4248</v>
      </c>
      <c r="DY44" s="319" t="s">
        <v>4244</v>
      </c>
      <c r="DZ44" s="95" t="s">
        <v>4249</v>
      </c>
      <c r="EB44" s="95" t="s">
        <v>4250</v>
      </c>
      <c r="EC44" s="95" t="s">
        <v>4224</v>
      </c>
      <c r="ED44" s="95" t="s">
        <v>4224</v>
      </c>
      <c r="EE44" s="95" t="s">
        <v>4251</v>
      </c>
      <c r="EF44" s="131" t="s">
        <v>4244</v>
      </c>
      <c r="EG44" s="95" t="s">
        <v>4249</v>
      </c>
      <c r="EI44" s="95" t="s">
        <v>4250</v>
      </c>
      <c r="EJ44" s="95" t="s">
        <v>4224</v>
      </c>
      <c r="EK44" s="95" t="s">
        <v>4224</v>
      </c>
      <c r="EL44" s="95" t="s">
        <v>4251</v>
      </c>
      <c r="EM44" s="95" t="s">
        <v>4252</v>
      </c>
      <c r="EN44" s="95" t="s">
        <v>4249</v>
      </c>
      <c r="EP44" s="95" t="s">
        <v>4253</v>
      </c>
      <c r="EQ44" s="95" t="s">
        <v>4254</v>
      </c>
      <c r="ER44" s="95" t="s">
        <v>4254</v>
      </c>
      <c r="ES44" s="95" t="s">
        <v>4255</v>
      </c>
      <c r="ET44" s="95" t="s">
        <v>4252</v>
      </c>
      <c r="EU44" s="95" t="s">
        <v>4249</v>
      </c>
      <c r="EW44" s="95" t="s">
        <v>4217</v>
      </c>
      <c r="EX44" s="95" t="s">
        <v>4217</v>
      </c>
      <c r="EY44" s="95" t="s">
        <v>4217</v>
      </c>
      <c r="EZ44" s="95" t="s">
        <v>4256</v>
      </c>
      <c r="FA44" s="95" t="s">
        <v>4252</v>
      </c>
      <c r="FB44" s="95" t="s">
        <v>4249</v>
      </c>
      <c r="FC44" s="95" t="s">
        <v>4254</v>
      </c>
      <c r="FD44" s="95" t="s">
        <v>4257</v>
      </c>
      <c r="FE44" s="95" t="s">
        <v>4257</v>
      </c>
      <c r="FF44" s="95" t="s">
        <v>4221</v>
      </c>
      <c r="FG44" s="95" t="s">
        <v>4252</v>
      </c>
      <c r="FH44" s="95" t="s">
        <v>4249</v>
      </c>
      <c r="FI44" s="95" t="s">
        <v>4254</v>
      </c>
      <c r="FJ44" s="95" t="s">
        <v>4257</v>
      </c>
      <c r="FK44" s="95" t="s">
        <v>4257</v>
      </c>
      <c r="FL44" s="95" t="s">
        <v>4221</v>
      </c>
      <c r="FM44" s="95" t="s">
        <v>4252</v>
      </c>
      <c r="FN44" s="95" t="s">
        <v>4249</v>
      </c>
      <c r="FO44" s="95" t="s">
        <v>4254</v>
      </c>
      <c r="FP44" s="95" t="s">
        <v>4257</v>
      </c>
      <c r="FQ44" s="95" t="s">
        <v>4257</v>
      </c>
      <c r="FR44" s="95" t="s">
        <v>4221</v>
      </c>
      <c r="FS44" s="95" t="s">
        <v>4252</v>
      </c>
      <c r="FT44" s="126" t="s">
        <v>4258</v>
      </c>
      <c r="FU44" s="95" t="s">
        <v>4254</v>
      </c>
      <c r="FV44" s="95" t="s">
        <v>4257</v>
      </c>
      <c r="FW44" s="95" t="s">
        <v>4257</v>
      </c>
      <c r="FX44" s="95" t="s">
        <v>4221</v>
      </c>
      <c r="FY44" s="95" t="s">
        <v>4252</v>
      </c>
      <c r="FZ44" s="95" t="s">
        <v>4259</v>
      </c>
      <c r="GA44" s="95" t="s">
        <v>4260</v>
      </c>
      <c r="GB44" s="95" t="s">
        <v>4261</v>
      </c>
      <c r="GC44" s="95" t="s">
        <v>4257</v>
      </c>
      <c r="GD44" s="95" t="s">
        <v>4221</v>
      </c>
      <c r="GE44" s="95" t="s">
        <v>4252</v>
      </c>
      <c r="GF44" s="95" t="s">
        <v>4259</v>
      </c>
      <c r="GG44" s="95" t="s">
        <v>4257</v>
      </c>
      <c r="GH44" s="95" t="s">
        <v>4262</v>
      </c>
      <c r="GI44" s="95" t="s">
        <v>4257</v>
      </c>
      <c r="GJ44" s="95" t="s">
        <v>4212</v>
      </c>
      <c r="GK44" s="95" t="s">
        <v>4252</v>
      </c>
      <c r="GL44" s="95" t="s">
        <v>4259</v>
      </c>
      <c r="GM44" s="95" t="s">
        <v>4257</v>
      </c>
      <c r="GN44" s="95" t="s">
        <v>4257</v>
      </c>
      <c r="GO44" s="95" t="s">
        <v>4257</v>
      </c>
      <c r="GP44" s="95" t="s">
        <v>4212</v>
      </c>
      <c r="GR44" s="126"/>
      <c r="GS44" s="95" t="s">
        <v>4257</v>
      </c>
      <c r="GT44" s="95" t="s">
        <v>4257</v>
      </c>
      <c r="GU44" s="95" t="s">
        <v>4257</v>
      </c>
      <c r="GV44" s="95" t="s">
        <v>4212</v>
      </c>
      <c r="GX44" s="95" t="s">
        <v>4257</v>
      </c>
      <c r="GY44" s="95" t="s">
        <v>4257</v>
      </c>
      <c r="GZ44" s="95" t="s">
        <v>4257</v>
      </c>
      <c r="HA44" s="95" t="s">
        <v>4263</v>
      </c>
      <c r="HB44" s="95" t="s">
        <v>4257</v>
      </c>
      <c r="HC44" s="95" t="s">
        <v>4257</v>
      </c>
      <c r="HD44" s="95" t="s">
        <v>4257</v>
      </c>
      <c r="HE44" s="95" t="s">
        <v>4264</v>
      </c>
    </row>
    <row r="45" ht="43.2" spans="1:213">
      <c r="A45" s="89" t="s">
        <v>243</v>
      </c>
      <c r="B45" s="108" t="s">
        <v>539</v>
      </c>
      <c r="C45" s="126"/>
      <c r="D45" s="125"/>
      <c r="E45" s="316"/>
      <c r="F45" s="89">
        <v>6</v>
      </c>
      <c r="G45" s="89">
        <v>4</v>
      </c>
      <c r="H45" s="89">
        <v>4</v>
      </c>
      <c r="I45" s="89">
        <v>4</v>
      </c>
      <c r="J45" s="126"/>
      <c r="K45" s="125"/>
      <c r="L45" s="316"/>
      <c r="M45" s="88">
        <v>6</v>
      </c>
      <c r="N45" s="89">
        <v>4</v>
      </c>
      <c r="O45" s="89">
        <v>4</v>
      </c>
      <c r="P45" s="89">
        <v>4</v>
      </c>
      <c r="Q45" s="126"/>
      <c r="R45" s="125"/>
      <c r="S45" s="316"/>
      <c r="T45" s="89">
        <v>5</v>
      </c>
      <c r="U45" s="89">
        <v>4</v>
      </c>
      <c r="V45" s="89">
        <v>4</v>
      </c>
      <c r="W45" s="89">
        <v>4</v>
      </c>
      <c r="X45" s="126" t="s">
        <v>4265</v>
      </c>
      <c r="Y45" s="125"/>
      <c r="Z45" s="316"/>
      <c r="AA45" s="89">
        <v>5</v>
      </c>
      <c r="AB45" s="89">
        <v>4</v>
      </c>
      <c r="AC45" s="89">
        <v>4</v>
      </c>
      <c r="AD45" s="89">
        <v>4</v>
      </c>
      <c r="AE45" s="126" t="s">
        <v>4265</v>
      </c>
      <c r="AF45" s="125"/>
      <c r="AG45" s="316"/>
      <c r="AH45" s="89">
        <v>5</v>
      </c>
      <c r="AI45" s="89">
        <v>4</v>
      </c>
      <c r="AJ45" s="89">
        <v>4</v>
      </c>
      <c r="AK45" s="89">
        <v>4</v>
      </c>
      <c r="AL45" s="126" t="s">
        <v>4265</v>
      </c>
      <c r="AM45" s="125"/>
      <c r="AN45" s="125"/>
      <c r="AO45" s="88">
        <v>5</v>
      </c>
      <c r="AP45" s="89">
        <v>4</v>
      </c>
      <c r="AQ45" s="88">
        <v>4</v>
      </c>
      <c r="AR45" s="89">
        <v>4</v>
      </c>
      <c r="AS45" s="95" t="s">
        <v>4266</v>
      </c>
      <c r="AT45" s="125"/>
      <c r="AU45" s="125"/>
      <c r="AV45" s="88">
        <v>4</v>
      </c>
      <c r="AW45" s="88">
        <v>4</v>
      </c>
      <c r="AX45" s="88">
        <v>2</v>
      </c>
      <c r="AY45" s="88">
        <v>4</v>
      </c>
      <c r="AZ45" s="95" t="s">
        <v>4266</v>
      </c>
      <c r="BA45" s="125"/>
      <c r="BB45" s="125"/>
      <c r="BC45" s="89">
        <v>5</v>
      </c>
      <c r="BD45" s="89">
        <v>4</v>
      </c>
      <c r="BE45" s="89">
        <v>3</v>
      </c>
      <c r="BF45" s="89">
        <v>5</v>
      </c>
      <c r="BG45" s="95" t="s">
        <v>4266</v>
      </c>
      <c r="BH45" s="125"/>
      <c r="BI45" s="125"/>
      <c r="BJ45" s="89">
        <v>5</v>
      </c>
      <c r="BK45" s="89">
        <v>4</v>
      </c>
      <c r="BL45" s="89">
        <v>3</v>
      </c>
      <c r="BM45" s="89">
        <v>5</v>
      </c>
      <c r="BN45" s="95" t="s">
        <v>4266</v>
      </c>
      <c r="BO45" s="125"/>
      <c r="BP45" s="125"/>
      <c r="BQ45" s="89">
        <v>5</v>
      </c>
      <c r="BR45" s="89">
        <v>4</v>
      </c>
      <c r="BS45" s="88">
        <v>3</v>
      </c>
      <c r="BT45" s="89">
        <v>5</v>
      </c>
      <c r="BU45" s="126" t="s">
        <v>4267</v>
      </c>
      <c r="BV45" s="125"/>
      <c r="BW45" s="125"/>
      <c r="BX45" s="88">
        <v>5</v>
      </c>
      <c r="BY45" s="88">
        <v>4</v>
      </c>
      <c r="BZ45" s="88">
        <v>4</v>
      </c>
      <c r="CA45" s="89">
        <v>5</v>
      </c>
      <c r="CC45" s="125"/>
      <c r="CD45" s="125"/>
      <c r="CE45" s="89">
        <v>3</v>
      </c>
      <c r="CF45" s="89">
        <v>3</v>
      </c>
      <c r="CG45" s="89">
        <v>3</v>
      </c>
      <c r="CH45" s="89">
        <v>5</v>
      </c>
      <c r="CJ45" s="125"/>
      <c r="CK45" s="125"/>
      <c r="CL45" s="89">
        <v>3</v>
      </c>
      <c r="CM45" s="89">
        <v>3</v>
      </c>
      <c r="CN45" s="89">
        <v>3</v>
      </c>
      <c r="CO45" s="89">
        <v>5</v>
      </c>
      <c r="CQ45" s="125"/>
      <c r="CR45" s="125"/>
      <c r="CS45" s="89">
        <v>3</v>
      </c>
      <c r="CT45" s="89">
        <v>3</v>
      </c>
      <c r="CU45" s="89">
        <v>3</v>
      </c>
      <c r="CV45" s="89">
        <v>5</v>
      </c>
      <c r="CW45" s="95" t="s">
        <v>4268</v>
      </c>
      <c r="CX45" s="125"/>
      <c r="CY45" s="125"/>
      <c r="CZ45" s="88">
        <v>3</v>
      </c>
      <c r="DA45" s="88">
        <v>3</v>
      </c>
      <c r="DB45" s="88">
        <v>3</v>
      </c>
      <c r="DC45" s="88">
        <v>5</v>
      </c>
      <c r="DD45" s="95" t="s">
        <v>4268</v>
      </c>
      <c r="DE45" s="125"/>
      <c r="DF45" s="125"/>
      <c r="DG45" s="89">
        <v>2</v>
      </c>
      <c r="DH45" s="89">
        <v>2</v>
      </c>
      <c r="DI45" s="89">
        <v>2</v>
      </c>
      <c r="DJ45" s="89">
        <v>3</v>
      </c>
      <c r="DK45" s="95" t="s">
        <v>4268</v>
      </c>
      <c r="DL45" s="125"/>
      <c r="DM45" s="125"/>
      <c r="DN45" s="88">
        <v>2</v>
      </c>
      <c r="DO45" s="88">
        <v>2</v>
      </c>
      <c r="DP45" s="88">
        <v>2</v>
      </c>
      <c r="DQ45" s="88">
        <v>3</v>
      </c>
      <c r="DR45" s="126" t="s">
        <v>4121</v>
      </c>
      <c r="DS45" s="316"/>
      <c r="DT45" s="316"/>
      <c r="DU45" s="88">
        <v>1</v>
      </c>
      <c r="DV45" s="88">
        <v>1</v>
      </c>
      <c r="DW45" s="88">
        <v>1</v>
      </c>
      <c r="DX45" s="88">
        <v>2</v>
      </c>
      <c r="DY45" s="95" t="s">
        <v>4269</v>
      </c>
      <c r="DZ45" s="125"/>
      <c r="EA45" s="125"/>
      <c r="EB45" s="89">
        <v>4</v>
      </c>
      <c r="EC45" s="89">
        <v>4</v>
      </c>
      <c r="ED45" s="89">
        <v>4</v>
      </c>
      <c r="EE45" s="89">
        <v>3</v>
      </c>
      <c r="EF45" s="95" t="s">
        <v>4269</v>
      </c>
      <c r="EG45" s="125"/>
      <c r="EH45" s="125"/>
      <c r="EI45" s="89">
        <v>4</v>
      </c>
      <c r="EJ45" s="89">
        <v>4</v>
      </c>
      <c r="EK45" s="89">
        <v>4</v>
      </c>
      <c r="EL45" s="89">
        <v>3</v>
      </c>
      <c r="EM45" s="95" t="s">
        <v>4269</v>
      </c>
      <c r="EN45" s="125"/>
      <c r="EO45" s="125"/>
      <c r="EP45" s="89">
        <v>4</v>
      </c>
      <c r="EQ45" s="89">
        <v>4</v>
      </c>
      <c r="ER45" s="89">
        <v>4</v>
      </c>
      <c r="ES45" s="89">
        <v>3</v>
      </c>
      <c r="ET45" s="95" t="s">
        <v>4269</v>
      </c>
      <c r="EU45" s="125"/>
      <c r="EV45" s="125"/>
      <c r="EW45" s="89">
        <v>4</v>
      </c>
      <c r="EX45" s="89">
        <v>3</v>
      </c>
      <c r="EY45" s="89">
        <v>4</v>
      </c>
      <c r="EZ45" s="89">
        <v>3</v>
      </c>
      <c r="FA45" s="95" t="s">
        <v>4269</v>
      </c>
      <c r="FB45" s="125"/>
      <c r="FC45" s="89">
        <v>3</v>
      </c>
      <c r="FD45" s="89">
        <v>2</v>
      </c>
      <c r="FE45" s="89">
        <v>2</v>
      </c>
      <c r="FF45" s="89">
        <v>2</v>
      </c>
      <c r="FG45" s="95" t="s">
        <v>4269</v>
      </c>
      <c r="FH45" s="125"/>
      <c r="FI45" s="89">
        <v>3</v>
      </c>
      <c r="FJ45" s="89">
        <v>2</v>
      </c>
      <c r="FK45" s="89">
        <v>2</v>
      </c>
      <c r="FL45" s="89">
        <v>2</v>
      </c>
      <c r="FM45" s="95" t="s">
        <v>4269</v>
      </c>
      <c r="FN45" s="125"/>
      <c r="FO45" s="89">
        <v>3</v>
      </c>
      <c r="FP45" s="89">
        <v>2</v>
      </c>
      <c r="FQ45" s="89">
        <v>2</v>
      </c>
      <c r="FR45" s="89">
        <v>2</v>
      </c>
      <c r="FS45" s="95" t="s">
        <v>4269</v>
      </c>
      <c r="FT45" s="125"/>
      <c r="FU45" s="89">
        <v>3</v>
      </c>
      <c r="FV45" s="89">
        <v>2</v>
      </c>
      <c r="FW45" s="89">
        <v>2</v>
      </c>
      <c r="FX45" s="89">
        <v>2</v>
      </c>
      <c r="FY45" s="95" t="s">
        <v>4269</v>
      </c>
      <c r="FZ45" s="125"/>
      <c r="GA45" s="89">
        <v>3</v>
      </c>
      <c r="GB45" s="89">
        <v>2</v>
      </c>
      <c r="GC45" s="89">
        <v>2</v>
      </c>
      <c r="GD45" s="89">
        <v>2</v>
      </c>
      <c r="GE45" s="95" t="s">
        <v>4269</v>
      </c>
      <c r="GF45" s="125"/>
      <c r="GG45" s="89">
        <v>3</v>
      </c>
      <c r="GH45" s="89">
        <v>3</v>
      </c>
      <c r="GI45" s="89">
        <v>2</v>
      </c>
      <c r="GJ45" s="89">
        <v>2</v>
      </c>
      <c r="GK45" s="95" t="s">
        <v>4269</v>
      </c>
      <c r="GL45" s="125"/>
      <c r="GM45" s="89">
        <v>3</v>
      </c>
      <c r="GN45" s="89">
        <v>2</v>
      </c>
      <c r="GO45" s="89">
        <v>2</v>
      </c>
      <c r="GP45" s="89">
        <v>2</v>
      </c>
      <c r="GQ45" s="125" t="s">
        <v>4187</v>
      </c>
      <c r="GR45" s="125" t="s">
        <v>4186</v>
      </c>
      <c r="GS45" s="88">
        <v>4</v>
      </c>
      <c r="GT45" s="89">
        <v>3</v>
      </c>
      <c r="GU45" s="89">
        <v>3</v>
      </c>
      <c r="GV45" s="89">
        <v>2</v>
      </c>
      <c r="GW45" s="95" t="s">
        <v>4270</v>
      </c>
      <c r="GX45" s="89">
        <v>3</v>
      </c>
      <c r="GY45" s="89">
        <v>3</v>
      </c>
      <c r="GZ45" s="89">
        <v>3</v>
      </c>
      <c r="HA45" s="89">
        <v>2</v>
      </c>
      <c r="HB45" s="89">
        <v>3</v>
      </c>
      <c r="HC45" s="89">
        <v>3</v>
      </c>
      <c r="HD45" s="89">
        <v>3</v>
      </c>
      <c r="HE45" s="89">
        <v>2</v>
      </c>
    </row>
    <row r="46" spans="1:121">
      <c r="A46" s="89" t="s">
        <v>2019</v>
      </c>
      <c r="B46" s="113" t="s">
        <v>4271</v>
      </c>
      <c r="DN46" s="88"/>
      <c r="DO46" s="88"/>
      <c r="DP46" s="88"/>
      <c r="DQ46" s="88"/>
    </row>
    <row r="47" ht="28.8" spans="1:213">
      <c r="A47" s="89" t="s">
        <v>230</v>
      </c>
      <c r="B47" s="108" t="s">
        <v>541</v>
      </c>
      <c r="F47" s="89">
        <v>4</v>
      </c>
      <c r="G47" s="89">
        <v>3</v>
      </c>
      <c r="H47" s="89">
        <v>3</v>
      </c>
      <c r="I47" s="88">
        <v>3</v>
      </c>
      <c r="M47" s="88">
        <v>4</v>
      </c>
      <c r="N47" s="89">
        <v>3</v>
      </c>
      <c r="O47" s="89">
        <v>3</v>
      </c>
      <c r="P47" s="89">
        <v>1</v>
      </c>
      <c r="T47" s="89">
        <v>3</v>
      </c>
      <c r="U47" s="89">
        <v>3</v>
      </c>
      <c r="V47" s="89">
        <v>3</v>
      </c>
      <c r="W47" s="89">
        <v>1</v>
      </c>
      <c r="X47" s="95" t="s">
        <v>4272</v>
      </c>
      <c r="AA47" s="89">
        <v>3</v>
      </c>
      <c r="AB47" s="89">
        <v>3</v>
      </c>
      <c r="AC47" s="89">
        <v>3</v>
      </c>
      <c r="AD47" s="89">
        <v>1</v>
      </c>
      <c r="AE47" s="95" t="s">
        <v>4272</v>
      </c>
      <c r="AH47" s="89">
        <v>3</v>
      </c>
      <c r="AI47" s="89">
        <v>3</v>
      </c>
      <c r="AJ47" s="89">
        <v>3</v>
      </c>
      <c r="AK47" s="89">
        <v>1</v>
      </c>
      <c r="AL47" s="95" t="s">
        <v>4272</v>
      </c>
      <c r="AO47" s="89">
        <v>3</v>
      </c>
      <c r="AP47" s="89">
        <v>3</v>
      </c>
      <c r="AQ47" s="89">
        <v>3</v>
      </c>
      <c r="AR47" s="89">
        <v>1</v>
      </c>
      <c r="AS47" s="126" t="s">
        <v>4273</v>
      </c>
      <c r="AV47" s="88">
        <v>3</v>
      </c>
      <c r="AW47" s="89">
        <v>3</v>
      </c>
      <c r="AX47" s="89">
        <v>3</v>
      </c>
      <c r="AY47" s="88">
        <v>1</v>
      </c>
      <c r="AZ47" s="95" t="s">
        <v>4274</v>
      </c>
      <c r="BC47" s="89">
        <v>4</v>
      </c>
      <c r="BD47" s="89">
        <v>3</v>
      </c>
      <c r="BE47" s="89">
        <v>3</v>
      </c>
      <c r="BF47" s="89">
        <v>2</v>
      </c>
      <c r="BG47" s="95" t="s">
        <v>4274</v>
      </c>
      <c r="BJ47" s="89">
        <v>4</v>
      </c>
      <c r="BK47" s="89">
        <v>3</v>
      </c>
      <c r="BL47" s="89">
        <v>3</v>
      </c>
      <c r="BM47" s="89">
        <v>2</v>
      </c>
      <c r="BN47" s="95" t="s">
        <v>4274</v>
      </c>
      <c r="BQ47" s="89">
        <v>4</v>
      </c>
      <c r="BR47" s="89">
        <v>3</v>
      </c>
      <c r="BS47" s="88">
        <v>3</v>
      </c>
      <c r="BT47" s="88">
        <v>2</v>
      </c>
      <c r="BU47" s="95" t="s">
        <v>4274</v>
      </c>
      <c r="BX47" s="88">
        <v>4</v>
      </c>
      <c r="BY47" s="88">
        <v>3</v>
      </c>
      <c r="BZ47" s="88">
        <v>4</v>
      </c>
      <c r="CA47" s="89">
        <v>3</v>
      </c>
      <c r="CB47" s="126" t="s">
        <v>4275</v>
      </c>
      <c r="CE47" s="89">
        <v>5</v>
      </c>
      <c r="CF47" s="89">
        <v>5</v>
      </c>
      <c r="CG47" s="89">
        <v>5</v>
      </c>
      <c r="CH47" s="88">
        <v>3</v>
      </c>
      <c r="CL47" s="89">
        <v>5</v>
      </c>
      <c r="CM47" s="89">
        <v>5</v>
      </c>
      <c r="CN47" s="89">
        <v>5</v>
      </c>
      <c r="CO47" s="89">
        <v>4</v>
      </c>
      <c r="CS47" s="89">
        <v>5</v>
      </c>
      <c r="CT47" s="89">
        <v>5</v>
      </c>
      <c r="CU47" s="89">
        <v>5</v>
      </c>
      <c r="CV47" s="89">
        <v>4</v>
      </c>
      <c r="CW47" s="95" t="s">
        <v>4276</v>
      </c>
      <c r="CZ47" s="88">
        <v>5</v>
      </c>
      <c r="DA47" s="89">
        <v>5</v>
      </c>
      <c r="DB47" s="89">
        <v>5</v>
      </c>
      <c r="DC47" s="88">
        <v>4</v>
      </c>
      <c r="DD47" s="95" t="s">
        <v>4276</v>
      </c>
      <c r="DG47" s="89">
        <v>4</v>
      </c>
      <c r="DH47" s="89">
        <v>5</v>
      </c>
      <c r="DI47" s="89">
        <v>5</v>
      </c>
      <c r="DJ47" s="89">
        <v>2</v>
      </c>
      <c r="DK47" s="95" t="s">
        <v>4276</v>
      </c>
      <c r="DN47" s="88">
        <v>4</v>
      </c>
      <c r="DO47" s="88">
        <v>5</v>
      </c>
      <c r="DP47" s="88">
        <v>5</v>
      </c>
      <c r="DQ47" s="88">
        <v>2</v>
      </c>
      <c r="DR47" s="194" t="s">
        <v>4277</v>
      </c>
      <c r="DU47" s="88">
        <v>3</v>
      </c>
      <c r="DV47" s="88">
        <v>4</v>
      </c>
      <c r="DW47" s="88">
        <v>4</v>
      </c>
      <c r="DX47" s="188">
        <v>1</v>
      </c>
      <c r="DY47" s="95" t="s">
        <v>4276</v>
      </c>
      <c r="EB47" s="89">
        <v>2</v>
      </c>
      <c r="EC47" s="89">
        <v>3</v>
      </c>
      <c r="ED47" s="89">
        <v>3</v>
      </c>
      <c r="EE47" s="89">
        <v>1</v>
      </c>
      <c r="EF47" s="95" t="s">
        <v>4276</v>
      </c>
      <c r="EI47" s="89">
        <v>2</v>
      </c>
      <c r="EJ47" s="89">
        <v>3</v>
      </c>
      <c r="EK47" s="89">
        <v>3</v>
      </c>
      <c r="EL47" s="89">
        <v>1</v>
      </c>
      <c r="EM47" s="95" t="s">
        <v>4276</v>
      </c>
      <c r="EP47" s="89">
        <v>2</v>
      </c>
      <c r="EQ47" s="89">
        <v>3</v>
      </c>
      <c r="ER47" s="89">
        <v>3</v>
      </c>
      <c r="ES47" s="89">
        <v>1</v>
      </c>
      <c r="ET47" s="95" t="s">
        <v>4276</v>
      </c>
      <c r="EW47" s="89">
        <v>2</v>
      </c>
      <c r="EX47" s="89">
        <v>2</v>
      </c>
      <c r="EY47" s="89">
        <v>2</v>
      </c>
      <c r="EZ47" s="89">
        <v>1</v>
      </c>
      <c r="FA47" s="95" t="s">
        <v>4276</v>
      </c>
      <c r="FC47" s="89">
        <v>1</v>
      </c>
      <c r="FD47" s="89">
        <v>1</v>
      </c>
      <c r="FE47" s="89">
        <v>1</v>
      </c>
      <c r="FF47" s="89">
        <v>1</v>
      </c>
      <c r="FG47" s="95" t="s">
        <v>4276</v>
      </c>
      <c r="FI47" s="89">
        <v>1</v>
      </c>
      <c r="FJ47" s="89">
        <v>1</v>
      </c>
      <c r="FK47" s="89">
        <v>1</v>
      </c>
      <c r="FL47" s="89">
        <v>1</v>
      </c>
      <c r="FM47" s="95" t="s">
        <v>4276</v>
      </c>
      <c r="FO47" s="89">
        <v>1</v>
      </c>
      <c r="FP47" s="89">
        <v>1</v>
      </c>
      <c r="FQ47" s="89">
        <v>1</v>
      </c>
      <c r="FR47" s="89">
        <v>1</v>
      </c>
      <c r="FS47" s="95" t="s">
        <v>4276</v>
      </c>
      <c r="FU47" s="89">
        <v>1</v>
      </c>
      <c r="FV47" s="89">
        <v>1</v>
      </c>
      <c r="FW47" s="89">
        <v>1</v>
      </c>
      <c r="FX47" s="89">
        <v>1</v>
      </c>
      <c r="FY47" s="126" t="s">
        <v>4278</v>
      </c>
      <c r="GA47" s="89">
        <v>1</v>
      </c>
      <c r="GB47" s="89">
        <v>1</v>
      </c>
      <c r="GC47" s="89">
        <v>1</v>
      </c>
      <c r="GD47" s="89">
        <v>1</v>
      </c>
      <c r="GE47" s="95" t="s">
        <v>4052</v>
      </c>
      <c r="GG47" s="89">
        <v>1</v>
      </c>
      <c r="GH47" s="89">
        <v>2</v>
      </c>
      <c r="GI47" s="89">
        <v>1</v>
      </c>
      <c r="GJ47" s="89">
        <v>1</v>
      </c>
      <c r="GK47" s="95" t="s">
        <v>4052</v>
      </c>
      <c r="GM47" s="89">
        <v>1</v>
      </c>
      <c r="GN47" s="89">
        <v>1</v>
      </c>
      <c r="GO47" s="89">
        <v>1</v>
      </c>
      <c r="GP47" s="89">
        <v>1</v>
      </c>
      <c r="GS47" s="89">
        <v>1</v>
      </c>
      <c r="GT47" s="89">
        <v>1</v>
      </c>
      <c r="GU47" s="89">
        <v>1</v>
      </c>
      <c r="GV47" s="89">
        <v>1</v>
      </c>
      <c r="GX47" s="89">
        <v>1</v>
      </c>
      <c r="GY47" s="89">
        <v>1</v>
      </c>
      <c r="GZ47" s="89">
        <v>1</v>
      </c>
      <c r="HA47" s="89">
        <v>1</v>
      </c>
      <c r="HB47" s="89">
        <v>1</v>
      </c>
      <c r="HC47" s="89">
        <v>1</v>
      </c>
      <c r="HD47" s="89">
        <v>1</v>
      </c>
      <c r="HE47" s="89">
        <v>1</v>
      </c>
    </row>
    <row r="48" spans="1:121">
      <c r="A48" s="89" t="s">
        <v>230</v>
      </c>
      <c r="B48" s="108" t="s">
        <v>4279</v>
      </c>
      <c r="C48" s="126"/>
      <c r="F48" s="89">
        <v>2</v>
      </c>
      <c r="G48" s="89">
        <v>1</v>
      </c>
      <c r="H48" s="89">
        <v>6</v>
      </c>
      <c r="I48" s="89">
        <v>5</v>
      </c>
      <c r="J48" s="126" t="s">
        <v>4280</v>
      </c>
      <c r="M48" s="88">
        <v>2</v>
      </c>
      <c r="N48" s="88">
        <v>1</v>
      </c>
      <c r="O48" s="89">
        <v>6</v>
      </c>
      <c r="P48" s="88">
        <v>5</v>
      </c>
      <c r="T48" s="89">
        <v>6</v>
      </c>
      <c r="U48" s="89">
        <v>5</v>
      </c>
      <c r="V48" s="89">
        <v>6</v>
      </c>
      <c r="W48" s="89">
        <v>6</v>
      </c>
      <c r="X48" s="95" t="s">
        <v>4281</v>
      </c>
      <c r="AA48" s="89">
        <v>6</v>
      </c>
      <c r="AB48" s="89">
        <v>5</v>
      </c>
      <c r="AC48" s="89">
        <v>6</v>
      </c>
      <c r="AD48" s="89">
        <v>6</v>
      </c>
      <c r="AE48" s="95" t="s">
        <v>4281</v>
      </c>
      <c r="AH48" s="89">
        <v>6</v>
      </c>
      <c r="AI48" s="89">
        <v>5</v>
      </c>
      <c r="AJ48" s="89">
        <v>6</v>
      </c>
      <c r="AK48" s="89">
        <v>6</v>
      </c>
      <c r="AL48" s="95" t="s">
        <v>4281</v>
      </c>
      <c r="AO48" s="89">
        <v>6</v>
      </c>
      <c r="AP48" s="88">
        <v>5</v>
      </c>
      <c r="AQ48" s="88">
        <v>6</v>
      </c>
      <c r="AR48" s="89">
        <v>6</v>
      </c>
      <c r="AS48" s="126" t="s">
        <v>4282</v>
      </c>
      <c r="AV48" s="88">
        <v>6</v>
      </c>
      <c r="AW48" s="88">
        <v>6</v>
      </c>
      <c r="AX48" s="88">
        <v>5</v>
      </c>
      <c r="AY48" s="88">
        <v>6</v>
      </c>
      <c r="BC48" s="89">
        <v>1</v>
      </c>
      <c r="BD48" s="89">
        <v>1</v>
      </c>
      <c r="BE48" s="89">
        <v>1</v>
      </c>
      <c r="BF48" s="89">
        <v>1</v>
      </c>
      <c r="BJ48" s="89">
        <v>1</v>
      </c>
      <c r="BK48" s="89">
        <v>1</v>
      </c>
      <c r="BL48" s="89">
        <v>1</v>
      </c>
      <c r="BM48" s="89">
        <v>1</v>
      </c>
      <c r="BQ48" s="88">
        <v>1</v>
      </c>
      <c r="BR48" s="89">
        <v>1</v>
      </c>
      <c r="BS48" s="89">
        <v>1</v>
      </c>
      <c r="BT48" s="88">
        <v>1</v>
      </c>
      <c r="BX48" s="89">
        <v>2</v>
      </c>
      <c r="BY48" s="89">
        <v>1</v>
      </c>
      <c r="BZ48" s="89">
        <v>1</v>
      </c>
      <c r="CA48" s="89">
        <v>2</v>
      </c>
      <c r="CE48" s="89">
        <v>2</v>
      </c>
      <c r="CF48" s="89">
        <v>1</v>
      </c>
      <c r="CG48" s="89">
        <v>1</v>
      </c>
      <c r="CH48" s="89">
        <v>2</v>
      </c>
      <c r="CL48" s="89">
        <v>2</v>
      </c>
      <c r="CM48" s="89">
        <v>1</v>
      </c>
      <c r="CN48" s="89">
        <v>1</v>
      </c>
      <c r="CO48" s="89">
        <v>2</v>
      </c>
      <c r="CS48" s="89">
        <v>2</v>
      </c>
      <c r="CT48" s="89">
        <v>1</v>
      </c>
      <c r="CU48" s="89">
        <v>1</v>
      </c>
      <c r="CV48" s="89">
        <v>2</v>
      </c>
      <c r="CW48" s="95" t="s">
        <v>4283</v>
      </c>
      <c r="CZ48" s="88">
        <v>2</v>
      </c>
      <c r="DA48" s="89">
        <v>1</v>
      </c>
      <c r="DB48" s="89">
        <v>1</v>
      </c>
      <c r="DC48" s="88">
        <v>2</v>
      </c>
      <c r="DD48" s="95" t="s">
        <v>4283</v>
      </c>
      <c r="DG48" s="89">
        <v>1</v>
      </c>
      <c r="DH48" s="89">
        <v>1</v>
      </c>
      <c r="DI48" s="89">
        <v>1</v>
      </c>
      <c r="DJ48" s="89">
        <v>1</v>
      </c>
      <c r="DK48" s="126" t="s">
        <v>4284</v>
      </c>
      <c r="DN48" s="88">
        <v>1</v>
      </c>
      <c r="DO48" s="88">
        <v>1</v>
      </c>
      <c r="DP48" s="88">
        <v>1</v>
      </c>
      <c r="DQ48" s="88">
        <v>1</v>
      </c>
    </row>
    <row r="49" spans="1:121">
      <c r="A49" s="89" t="s">
        <v>230</v>
      </c>
      <c r="B49" s="108" t="s">
        <v>536</v>
      </c>
      <c r="F49" s="89">
        <v>5</v>
      </c>
      <c r="G49" s="89">
        <v>4</v>
      </c>
      <c r="H49" s="89">
        <v>5</v>
      </c>
      <c r="I49" s="89">
        <v>6</v>
      </c>
      <c r="M49" s="88">
        <v>5</v>
      </c>
      <c r="N49" s="89">
        <v>4</v>
      </c>
      <c r="O49" s="89">
        <v>5</v>
      </c>
      <c r="P49" s="88">
        <v>6</v>
      </c>
      <c r="T49" s="89">
        <v>4</v>
      </c>
      <c r="U49" s="89">
        <v>4</v>
      </c>
      <c r="V49" s="89">
        <v>5</v>
      </c>
      <c r="W49" s="89">
        <v>5</v>
      </c>
      <c r="X49" s="95" t="s">
        <v>4285</v>
      </c>
      <c r="AA49" s="89">
        <v>4</v>
      </c>
      <c r="AB49" s="89">
        <v>4</v>
      </c>
      <c r="AC49" s="89">
        <v>5</v>
      </c>
      <c r="AD49" s="89">
        <v>5</v>
      </c>
      <c r="AE49" s="95" t="s">
        <v>4285</v>
      </c>
      <c r="AH49" s="89">
        <v>4</v>
      </c>
      <c r="AI49" s="89">
        <v>4</v>
      </c>
      <c r="AJ49" s="89">
        <v>5</v>
      </c>
      <c r="AK49" s="89">
        <v>5</v>
      </c>
      <c r="AL49" s="95" t="s">
        <v>4285</v>
      </c>
      <c r="AO49" s="88">
        <v>4</v>
      </c>
      <c r="AP49" s="88">
        <v>4</v>
      </c>
      <c r="AQ49" s="88">
        <v>5</v>
      </c>
      <c r="AR49" s="89">
        <v>5</v>
      </c>
      <c r="AS49" s="95" t="s">
        <v>4285</v>
      </c>
      <c r="AV49" s="88">
        <v>5</v>
      </c>
      <c r="AW49" s="89">
        <v>5</v>
      </c>
      <c r="AX49" s="89">
        <v>4</v>
      </c>
      <c r="AY49" s="88">
        <v>5</v>
      </c>
      <c r="AZ49" s="95" t="s">
        <v>4285</v>
      </c>
      <c r="BC49" s="89">
        <v>6</v>
      </c>
      <c r="BD49" s="89">
        <v>5</v>
      </c>
      <c r="BE49" s="89">
        <v>4</v>
      </c>
      <c r="BF49" s="89">
        <v>6</v>
      </c>
      <c r="BG49" s="95" t="s">
        <v>4285</v>
      </c>
      <c r="BJ49" s="89">
        <v>6</v>
      </c>
      <c r="BK49" s="89">
        <v>5</v>
      </c>
      <c r="BL49" s="89">
        <v>4</v>
      </c>
      <c r="BM49" s="89">
        <v>6</v>
      </c>
      <c r="BN49" s="95" t="s">
        <v>4285</v>
      </c>
      <c r="BQ49" s="89">
        <v>6</v>
      </c>
      <c r="BR49" s="89">
        <v>5</v>
      </c>
      <c r="BS49" s="88">
        <v>4</v>
      </c>
      <c r="BT49" s="89">
        <v>6</v>
      </c>
      <c r="BU49" s="95" t="s">
        <v>4285</v>
      </c>
      <c r="BX49" s="89">
        <v>6</v>
      </c>
      <c r="BY49" s="88">
        <v>5</v>
      </c>
      <c r="BZ49" s="88">
        <v>5</v>
      </c>
      <c r="CA49" s="89">
        <v>6</v>
      </c>
      <c r="CB49" s="126" t="s">
        <v>4286</v>
      </c>
      <c r="CE49" s="88">
        <v>6</v>
      </c>
      <c r="CF49" s="88">
        <v>6</v>
      </c>
      <c r="CG49" s="88">
        <v>6</v>
      </c>
      <c r="CH49" s="88">
        <v>6</v>
      </c>
      <c r="CZ49" s="88"/>
      <c r="DC49" s="88"/>
      <c r="DK49" s="126"/>
      <c r="DN49" s="88"/>
      <c r="DO49" s="88"/>
      <c r="DP49" s="88"/>
      <c r="DQ49" s="88"/>
    </row>
    <row r="50" spans="1:213">
      <c r="A50" s="88" t="s">
        <v>227</v>
      </c>
      <c r="B50" s="105" t="s">
        <v>4287</v>
      </c>
      <c r="DN50" s="88"/>
      <c r="DO50" s="88"/>
      <c r="DP50" s="88"/>
      <c r="DQ50" s="88"/>
      <c r="FT50" s="126"/>
      <c r="FZ50" s="126"/>
      <c r="GF50" s="126"/>
      <c r="GL50" s="126"/>
      <c r="GR50" s="126"/>
      <c r="HB50" s="88"/>
      <c r="HC50" s="88"/>
      <c r="HD50" s="88"/>
      <c r="HE50" s="88"/>
    </row>
    <row r="53" customHeight="1" spans="1:213">
      <c r="A53" s="96" t="s">
        <v>152</v>
      </c>
      <c r="B53" s="97"/>
      <c r="C53" s="116" t="s">
        <v>3923</v>
      </c>
      <c r="D53" s="128"/>
      <c r="E53" s="128"/>
      <c r="F53" s="128"/>
      <c r="G53" s="128"/>
      <c r="H53" s="128"/>
      <c r="I53" s="132"/>
      <c r="J53" s="116" t="s">
        <v>3923</v>
      </c>
      <c r="K53" s="128"/>
      <c r="L53" s="128"/>
      <c r="M53" s="128"/>
      <c r="N53" s="128"/>
      <c r="O53" s="128"/>
      <c r="P53" s="132"/>
      <c r="Q53" s="116" t="s">
        <v>4083</v>
      </c>
      <c r="R53" s="128"/>
      <c r="S53" s="128"/>
      <c r="T53" s="128"/>
      <c r="U53" s="128"/>
      <c r="V53" s="128"/>
      <c r="W53" s="132"/>
      <c r="X53" s="116" t="s">
        <v>3925</v>
      </c>
      <c r="Y53" s="128"/>
      <c r="Z53" s="128"/>
      <c r="AA53" s="128"/>
      <c r="AB53" s="128"/>
      <c r="AC53" s="128"/>
      <c r="AD53" s="132"/>
      <c r="AE53" s="116" t="s">
        <v>3926</v>
      </c>
      <c r="AF53" s="128"/>
      <c r="AG53" s="128"/>
      <c r="AH53" s="128"/>
      <c r="AI53" s="128"/>
      <c r="AJ53" s="128"/>
      <c r="AK53" s="132"/>
      <c r="AL53" s="116" t="s">
        <v>3927</v>
      </c>
      <c r="AM53" s="128"/>
      <c r="AN53" s="128"/>
      <c r="AO53" s="128"/>
      <c r="AP53" s="128"/>
      <c r="AQ53" s="128"/>
      <c r="AR53" s="132"/>
      <c r="AS53" s="116" t="s">
        <v>3928</v>
      </c>
      <c r="AT53" s="128"/>
      <c r="AU53" s="128"/>
      <c r="AV53" s="128"/>
      <c r="AW53" s="128"/>
      <c r="AX53" s="128"/>
      <c r="AY53" s="132"/>
      <c r="AZ53" s="116" t="s">
        <v>3929</v>
      </c>
      <c r="BA53" s="128"/>
      <c r="BB53" s="128"/>
      <c r="BC53" s="128"/>
      <c r="BD53" s="128"/>
      <c r="BE53" s="128"/>
      <c r="BF53" s="132"/>
      <c r="BG53" s="116" t="s">
        <v>3930</v>
      </c>
      <c r="BH53" s="128"/>
      <c r="BI53" s="128"/>
      <c r="BJ53" s="128"/>
      <c r="BK53" s="128"/>
      <c r="BL53" s="128"/>
      <c r="BM53" s="132"/>
      <c r="BN53" s="116" t="s">
        <v>3931</v>
      </c>
      <c r="BO53" s="128"/>
      <c r="BP53" s="128"/>
      <c r="BQ53" s="128"/>
      <c r="BR53" s="128"/>
      <c r="BS53" s="128"/>
      <c r="BT53" s="132"/>
      <c r="BU53" s="116" t="s">
        <v>3932</v>
      </c>
      <c r="BV53" s="128"/>
      <c r="BW53" s="128"/>
      <c r="BX53" s="128"/>
      <c r="BY53" s="128"/>
      <c r="BZ53" s="128"/>
      <c r="CA53" s="132"/>
      <c r="CB53" s="116" t="s">
        <v>3933</v>
      </c>
      <c r="CC53" s="128"/>
      <c r="CD53" s="128"/>
      <c r="CE53" s="128"/>
      <c r="CF53" s="128"/>
      <c r="CG53" s="128"/>
      <c r="CH53" s="132"/>
      <c r="CI53" s="116" t="s">
        <v>3922</v>
      </c>
      <c r="CJ53" s="128"/>
      <c r="CK53" s="128"/>
      <c r="CL53" s="128"/>
      <c r="CM53" s="128"/>
      <c r="CN53" s="128"/>
      <c r="CO53" s="132"/>
      <c r="CP53" s="116" t="s">
        <v>3934</v>
      </c>
      <c r="CQ53" s="128"/>
      <c r="CR53" s="128"/>
      <c r="CS53" s="128"/>
      <c r="CT53" s="128"/>
      <c r="CU53" s="128"/>
      <c r="CV53" s="132"/>
      <c r="CW53" s="116" t="s">
        <v>3924</v>
      </c>
      <c r="CX53" s="128"/>
      <c r="CY53" s="128"/>
      <c r="CZ53" s="128"/>
      <c r="DA53" s="128"/>
      <c r="DB53" s="128"/>
      <c r="DC53" s="132"/>
      <c r="DD53" s="116" t="s">
        <v>3935</v>
      </c>
      <c r="DE53" s="128"/>
      <c r="DF53" s="128"/>
      <c r="DG53" s="128"/>
      <c r="DH53" s="128"/>
      <c r="DI53" s="128"/>
      <c r="DJ53" s="132"/>
      <c r="DK53" s="116" t="s">
        <v>3936</v>
      </c>
      <c r="DL53" s="128"/>
      <c r="DM53" s="128"/>
      <c r="DN53" s="128"/>
      <c r="DO53" s="128"/>
      <c r="DP53" s="128"/>
      <c r="DQ53" s="132"/>
      <c r="DR53" s="325" t="s">
        <v>3937</v>
      </c>
      <c r="DS53" s="326"/>
      <c r="DT53" s="326"/>
      <c r="DU53" s="326"/>
      <c r="DV53" s="326"/>
      <c r="DW53" s="326"/>
      <c r="DX53" s="327"/>
      <c r="DY53" s="116" t="s">
        <v>3928</v>
      </c>
      <c r="DZ53" s="128"/>
      <c r="EA53" s="128"/>
      <c r="EB53" s="128"/>
      <c r="EC53" s="128"/>
      <c r="ED53" s="128"/>
      <c r="EE53" s="132"/>
      <c r="EF53" s="116" t="s">
        <v>3929</v>
      </c>
      <c r="EG53" s="128"/>
      <c r="EH53" s="128"/>
      <c r="EI53" s="128"/>
      <c r="EJ53" s="128"/>
      <c r="EK53" s="128"/>
      <c r="EL53" s="132"/>
      <c r="EM53" s="116" t="s">
        <v>4084</v>
      </c>
      <c r="EN53" s="128"/>
      <c r="EO53" s="128"/>
      <c r="EP53" s="128"/>
      <c r="EQ53" s="128"/>
      <c r="ER53" s="128"/>
      <c r="ES53" s="132"/>
      <c r="EU53" s="332"/>
      <c r="EV53" s="332"/>
      <c r="EW53" s="116" t="s">
        <v>4085</v>
      </c>
      <c r="EX53" s="128"/>
      <c r="EY53" s="128"/>
      <c r="EZ53" s="132"/>
      <c r="FB53" s="332"/>
      <c r="FC53" s="116" t="s">
        <v>4086</v>
      </c>
      <c r="FD53" s="128"/>
      <c r="FE53" s="128"/>
      <c r="FF53" s="132"/>
      <c r="FH53" s="332"/>
      <c r="FI53" s="116" t="s">
        <v>4087</v>
      </c>
      <c r="FJ53" s="128"/>
      <c r="FK53" s="128"/>
      <c r="FL53" s="132"/>
      <c r="FN53" s="332"/>
      <c r="FO53" s="116" t="s">
        <v>4088</v>
      </c>
      <c r="FP53" s="128"/>
      <c r="FQ53" s="128"/>
      <c r="FR53" s="132"/>
      <c r="FT53" s="332"/>
      <c r="FU53" s="116" t="s">
        <v>4089</v>
      </c>
      <c r="FV53" s="128"/>
      <c r="FW53" s="128"/>
      <c r="FX53" s="132"/>
      <c r="FZ53" s="332"/>
      <c r="GA53" s="116" t="s">
        <v>4090</v>
      </c>
      <c r="GB53" s="128"/>
      <c r="GC53" s="128"/>
      <c r="GD53" s="132"/>
      <c r="GF53" s="332"/>
      <c r="GG53" s="116" t="s">
        <v>4091</v>
      </c>
      <c r="GH53" s="128"/>
      <c r="GI53" s="128"/>
      <c r="GJ53" s="132"/>
      <c r="GL53" s="332"/>
      <c r="GM53" s="116" t="s">
        <v>3941</v>
      </c>
      <c r="GN53" s="128"/>
      <c r="GO53" s="128"/>
      <c r="GP53" s="132"/>
      <c r="GR53" s="332"/>
      <c r="GS53" s="116" t="s">
        <v>3941</v>
      </c>
      <c r="GT53" s="128"/>
      <c r="GU53" s="128"/>
      <c r="GV53" s="132"/>
      <c r="GW53" s="128"/>
      <c r="GX53" s="116" t="s">
        <v>3942</v>
      </c>
      <c r="GY53" s="128"/>
      <c r="GZ53" s="128"/>
      <c r="HA53" s="132"/>
      <c r="HB53" s="116" t="s">
        <v>3943</v>
      </c>
      <c r="HC53" s="128"/>
      <c r="HD53" s="128"/>
      <c r="HE53" s="132"/>
    </row>
    <row r="54" ht="28.2" spans="1:213">
      <c r="A54" s="101" t="s">
        <v>3944</v>
      </c>
      <c r="B54" s="102" t="s">
        <v>207</v>
      </c>
      <c r="C54" s="120" t="s">
        <v>3945</v>
      </c>
      <c r="D54" s="120" t="s">
        <v>3946</v>
      </c>
      <c r="E54" s="313" t="s">
        <v>3947</v>
      </c>
      <c r="F54" s="119" t="s">
        <v>3948</v>
      </c>
      <c r="G54" s="119" t="s">
        <v>3949</v>
      </c>
      <c r="H54" s="119" t="s">
        <v>3950</v>
      </c>
      <c r="I54" s="119" t="s">
        <v>3951</v>
      </c>
      <c r="J54" s="120" t="s">
        <v>3945</v>
      </c>
      <c r="K54" s="120" t="s">
        <v>3946</v>
      </c>
      <c r="L54" s="313" t="s">
        <v>3947</v>
      </c>
      <c r="M54" s="119" t="s">
        <v>3948</v>
      </c>
      <c r="N54" s="119" t="s">
        <v>3949</v>
      </c>
      <c r="O54" s="119" t="s">
        <v>3950</v>
      </c>
      <c r="P54" s="119" t="s">
        <v>3951</v>
      </c>
      <c r="Q54" s="120" t="s">
        <v>3945</v>
      </c>
      <c r="R54" s="120" t="s">
        <v>3946</v>
      </c>
      <c r="S54" s="313" t="s">
        <v>3947</v>
      </c>
      <c r="T54" s="119" t="s">
        <v>3948</v>
      </c>
      <c r="U54" s="119" t="s">
        <v>3949</v>
      </c>
      <c r="V54" s="119" t="s">
        <v>3950</v>
      </c>
      <c r="W54" s="119" t="s">
        <v>3951</v>
      </c>
      <c r="X54" s="120" t="s">
        <v>3952</v>
      </c>
      <c r="Y54" s="120" t="s">
        <v>3953</v>
      </c>
      <c r="Z54" s="313" t="s">
        <v>3947</v>
      </c>
      <c r="AA54" s="119" t="s">
        <v>3948</v>
      </c>
      <c r="AB54" s="119" t="s">
        <v>3949</v>
      </c>
      <c r="AC54" s="119" t="s">
        <v>3950</v>
      </c>
      <c r="AD54" s="119" t="s">
        <v>3951</v>
      </c>
      <c r="AE54" s="120" t="s">
        <v>3954</v>
      </c>
      <c r="AF54" s="120" t="s">
        <v>3955</v>
      </c>
      <c r="AG54" s="313" t="s">
        <v>3947</v>
      </c>
      <c r="AH54" s="119" t="s">
        <v>3948</v>
      </c>
      <c r="AI54" s="119" t="s">
        <v>3949</v>
      </c>
      <c r="AJ54" s="119" t="s">
        <v>3950</v>
      </c>
      <c r="AK54" s="119" t="s">
        <v>3951</v>
      </c>
      <c r="AL54" s="120" t="s">
        <v>3956</v>
      </c>
      <c r="AM54" s="120" t="s">
        <v>3957</v>
      </c>
      <c r="AN54" s="119" t="s">
        <v>3947</v>
      </c>
      <c r="AO54" s="119" t="s">
        <v>3948</v>
      </c>
      <c r="AP54" s="119" t="s">
        <v>3949</v>
      </c>
      <c r="AQ54" s="119" t="s">
        <v>3950</v>
      </c>
      <c r="AR54" s="119" t="s">
        <v>3951</v>
      </c>
      <c r="AS54" s="120" t="s">
        <v>3958</v>
      </c>
      <c r="AT54" s="120" t="s">
        <v>3959</v>
      </c>
      <c r="AU54" s="119" t="s">
        <v>3947</v>
      </c>
      <c r="AV54" s="119" t="s">
        <v>3948</v>
      </c>
      <c r="AW54" s="119" t="s">
        <v>3949</v>
      </c>
      <c r="AX54" s="119" t="s">
        <v>3950</v>
      </c>
      <c r="AY54" s="119" t="s">
        <v>3951</v>
      </c>
      <c r="AZ54" s="120" t="s">
        <v>3960</v>
      </c>
      <c r="BA54" s="120" t="s">
        <v>3961</v>
      </c>
      <c r="BB54" s="119" t="s">
        <v>3947</v>
      </c>
      <c r="BC54" s="119" t="s">
        <v>3948</v>
      </c>
      <c r="BD54" s="119" t="s">
        <v>3949</v>
      </c>
      <c r="BE54" s="119" t="s">
        <v>3950</v>
      </c>
      <c r="BF54" s="119" t="s">
        <v>3951</v>
      </c>
      <c r="BG54" s="120" t="s">
        <v>3962</v>
      </c>
      <c r="BH54" s="120" t="s">
        <v>3963</v>
      </c>
      <c r="BI54" s="119" t="s">
        <v>3947</v>
      </c>
      <c r="BJ54" s="119" t="s">
        <v>3948</v>
      </c>
      <c r="BK54" s="119" t="s">
        <v>3949</v>
      </c>
      <c r="BL54" s="119" t="s">
        <v>3950</v>
      </c>
      <c r="BM54" s="119" t="s">
        <v>3951</v>
      </c>
      <c r="BN54" s="120" t="s">
        <v>3964</v>
      </c>
      <c r="BO54" s="120" t="s">
        <v>3965</v>
      </c>
      <c r="BP54" s="119" t="s">
        <v>3947</v>
      </c>
      <c r="BQ54" s="119" t="s">
        <v>3948</v>
      </c>
      <c r="BR54" s="119" t="s">
        <v>3949</v>
      </c>
      <c r="BS54" s="119" t="s">
        <v>3950</v>
      </c>
      <c r="BT54" s="119" t="s">
        <v>3951</v>
      </c>
      <c r="BU54" s="120" t="s">
        <v>3966</v>
      </c>
      <c r="BV54" s="120" t="s">
        <v>3967</v>
      </c>
      <c r="BW54" s="119" t="s">
        <v>3947</v>
      </c>
      <c r="BX54" s="119" t="s">
        <v>3948</v>
      </c>
      <c r="BY54" s="119" t="s">
        <v>3949</v>
      </c>
      <c r="BZ54" s="119" t="s">
        <v>3950</v>
      </c>
      <c r="CA54" s="119" t="s">
        <v>3951</v>
      </c>
      <c r="CB54" s="120" t="s">
        <v>3968</v>
      </c>
      <c r="CC54" s="120" t="s">
        <v>3969</v>
      </c>
      <c r="CD54" s="119" t="s">
        <v>3947</v>
      </c>
      <c r="CE54" s="119" t="s">
        <v>3948</v>
      </c>
      <c r="CF54" s="119" t="s">
        <v>3949</v>
      </c>
      <c r="CG54" s="119" t="s">
        <v>3950</v>
      </c>
      <c r="CH54" s="119" t="s">
        <v>3951</v>
      </c>
      <c r="CI54" s="120" t="s">
        <v>3970</v>
      </c>
      <c r="CJ54" s="120" t="s">
        <v>3971</v>
      </c>
      <c r="CK54" s="119" t="s">
        <v>3947</v>
      </c>
      <c r="CL54" s="119" t="s">
        <v>3948</v>
      </c>
      <c r="CM54" s="119" t="s">
        <v>3949</v>
      </c>
      <c r="CN54" s="119" t="s">
        <v>3950</v>
      </c>
      <c r="CO54" s="119" t="s">
        <v>3951</v>
      </c>
      <c r="CP54" s="120" t="s">
        <v>3972</v>
      </c>
      <c r="CQ54" s="120" t="s">
        <v>3973</v>
      </c>
      <c r="CR54" s="119" t="s">
        <v>3947</v>
      </c>
      <c r="CS54" s="119" t="s">
        <v>3948</v>
      </c>
      <c r="CT54" s="119" t="s">
        <v>3949</v>
      </c>
      <c r="CU54" s="119" t="s">
        <v>3950</v>
      </c>
      <c r="CV54" s="119" t="s">
        <v>3951</v>
      </c>
      <c r="CW54" s="120" t="s">
        <v>3974</v>
      </c>
      <c r="CX54" s="120" t="s">
        <v>3975</v>
      </c>
      <c r="CY54" s="119" t="s">
        <v>3947</v>
      </c>
      <c r="CZ54" s="119" t="s">
        <v>3948</v>
      </c>
      <c r="DA54" s="119" t="s">
        <v>3949</v>
      </c>
      <c r="DB54" s="119" t="s">
        <v>3950</v>
      </c>
      <c r="DC54" s="119" t="s">
        <v>3951</v>
      </c>
      <c r="DD54" s="120" t="s">
        <v>3974</v>
      </c>
      <c r="DE54" s="120" t="s">
        <v>3975</v>
      </c>
      <c r="DF54" s="119" t="s">
        <v>3947</v>
      </c>
      <c r="DG54" s="119" t="s">
        <v>3948</v>
      </c>
      <c r="DH54" s="119" t="s">
        <v>3949</v>
      </c>
      <c r="DI54" s="119" t="s">
        <v>3950</v>
      </c>
      <c r="DJ54" s="119" t="s">
        <v>3951</v>
      </c>
      <c r="DK54" s="120" t="s">
        <v>3976</v>
      </c>
      <c r="DL54" s="120" t="s">
        <v>3977</v>
      </c>
      <c r="DM54" s="119" t="s">
        <v>3947</v>
      </c>
      <c r="DN54" s="119" t="s">
        <v>3948</v>
      </c>
      <c r="DO54" s="119" t="s">
        <v>3949</v>
      </c>
      <c r="DP54" s="119" t="s">
        <v>3950</v>
      </c>
      <c r="DQ54" s="119" t="s">
        <v>3951</v>
      </c>
      <c r="DR54" s="328" t="s">
        <v>3978</v>
      </c>
      <c r="DS54" s="328" t="s">
        <v>3979</v>
      </c>
      <c r="DT54" s="313" t="s">
        <v>3947</v>
      </c>
      <c r="DU54" s="313" t="s">
        <v>3948</v>
      </c>
      <c r="DV54" s="313" t="s">
        <v>3949</v>
      </c>
      <c r="DW54" s="313" t="s">
        <v>3950</v>
      </c>
      <c r="DX54" s="313" t="s">
        <v>3951</v>
      </c>
      <c r="DY54" s="120" t="s">
        <v>3980</v>
      </c>
      <c r="DZ54" s="120" t="s">
        <v>3981</v>
      </c>
      <c r="EA54" s="119" t="s">
        <v>3947</v>
      </c>
      <c r="EB54" s="119" t="s">
        <v>3948</v>
      </c>
      <c r="EC54" s="119" t="s">
        <v>3949</v>
      </c>
      <c r="ED54" s="119" t="s">
        <v>3950</v>
      </c>
      <c r="EE54" s="119" t="s">
        <v>3951</v>
      </c>
      <c r="EF54" s="120" t="s">
        <v>3982</v>
      </c>
      <c r="EG54" s="120" t="s">
        <v>3983</v>
      </c>
      <c r="EH54" s="119" t="s">
        <v>3947</v>
      </c>
      <c r="EI54" s="119" t="s">
        <v>3948</v>
      </c>
      <c r="EJ54" s="119" t="s">
        <v>3949</v>
      </c>
      <c r="EK54" s="119" t="s">
        <v>3950</v>
      </c>
      <c r="EL54" s="119" t="s">
        <v>3951</v>
      </c>
      <c r="EM54" s="120" t="s">
        <v>3984</v>
      </c>
      <c r="EN54" s="120" t="s">
        <v>3985</v>
      </c>
      <c r="EO54" s="120"/>
      <c r="EP54" s="119" t="s">
        <v>3948</v>
      </c>
      <c r="EQ54" s="119" t="s">
        <v>3949</v>
      </c>
      <c r="ER54" s="119" t="s">
        <v>3950</v>
      </c>
      <c r="ES54" s="119" t="s">
        <v>3951</v>
      </c>
      <c r="ET54" s="120" t="s">
        <v>3986</v>
      </c>
      <c r="EU54" s="120" t="s">
        <v>3987</v>
      </c>
      <c r="EV54" s="120"/>
      <c r="EW54" s="119" t="s">
        <v>3948</v>
      </c>
      <c r="EX54" s="119" t="s">
        <v>3949</v>
      </c>
      <c r="EY54" s="119" t="s">
        <v>3950</v>
      </c>
      <c r="EZ54" s="119" t="s">
        <v>3951</v>
      </c>
      <c r="FA54" s="120" t="s">
        <v>3988</v>
      </c>
      <c r="FB54" s="120" t="s">
        <v>3989</v>
      </c>
      <c r="FC54" s="119" t="s">
        <v>3948</v>
      </c>
      <c r="FD54" s="119" t="s">
        <v>3949</v>
      </c>
      <c r="FE54" s="119" t="s">
        <v>3950</v>
      </c>
      <c r="FF54" s="119" t="s">
        <v>3951</v>
      </c>
      <c r="FG54" s="120" t="s">
        <v>3990</v>
      </c>
      <c r="FH54" s="120" t="s">
        <v>3991</v>
      </c>
      <c r="FI54" s="119" t="s">
        <v>3948</v>
      </c>
      <c r="FJ54" s="119" t="s">
        <v>3949</v>
      </c>
      <c r="FK54" s="119" t="s">
        <v>3950</v>
      </c>
      <c r="FL54" s="119" t="s">
        <v>3951</v>
      </c>
      <c r="FM54" s="120" t="s">
        <v>3992</v>
      </c>
      <c r="FN54" s="120" t="s">
        <v>3993</v>
      </c>
      <c r="FO54" s="119" t="s">
        <v>3948</v>
      </c>
      <c r="FP54" s="119" t="s">
        <v>3949</v>
      </c>
      <c r="FQ54" s="119" t="s">
        <v>3950</v>
      </c>
      <c r="FR54" s="119" t="s">
        <v>3951</v>
      </c>
      <c r="FS54" s="120" t="s">
        <v>3994</v>
      </c>
      <c r="FT54" s="120" t="s">
        <v>3995</v>
      </c>
      <c r="FU54" s="119" t="s">
        <v>3948</v>
      </c>
      <c r="FV54" s="119" t="s">
        <v>3949</v>
      </c>
      <c r="FW54" s="119" t="s">
        <v>3950</v>
      </c>
      <c r="FX54" s="119" t="s">
        <v>3951</v>
      </c>
      <c r="FY54" s="120" t="s">
        <v>3996</v>
      </c>
      <c r="FZ54" s="120" t="s">
        <v>3997</v>
      </c>
      <c r="GA54" s="119" t="s">
        <v>3948</v>
      </c>
      <c r="GB54" s="119" t="s">
        <v>3949</v>
      </c>
      <c r="GC54" s="119" t="s">
        <v>3950</v>
      </c>
      <c r="GD54" s="119" t="s">
        <v>3951</v>
      </c>
      <c r="GE54" s="120" t="s">
        <v>3998</v>
      </c>
      <c r="GF54" s="120" t="s">
        <v>3999</v>
      </c>
      <c r="GG54" s="119" t="s">
        <v>3948</v>
      </c>
      <c r="GH54" s="119" t="s">
        <v>3949</v>
      </c>
      <c r="GI54" s="119" t="s">
        <v>3950</v>
      </c>
      <c r="GJ54" s="119" t="s">
        <v>3951</v>
      </c>
      <c r="GK54" s="120" t="s">
        <v>4000</v>
      </c>
      <c r="GL54" s="120" t="s">
        <v>4001</v>
      </c>
      <c r="GM54" s="119" t="s">
        <v>3948</v>
      </c>
      <c r="GN54" s="119" t="s">
        <v>3949</v>
      </c>
      <c r="GO54" s="119" t="s">
        <v>3950</v>
      </c>
      <c r="GP54" s="119" t="s">
        <v>3951</v>
      </c>
      <c r="GQ54" s="120" t="s">
        <v>4002</v>
      </c>
      <c r="GR54" s="120" t="s">
        <v>4003</v>
      </c>
      <c r="GS54" s="119" t="s">
        <v>3948</v>
      </c>
      <c r="GT54" s="119" t="s">
        <v>3949</v>
      </c>
      <c r="GU54" s="119" t="s">
        <v>3950</v>
      </c>
      <c r="GV54" s="119" t="s">
        <v>3951</v>
      </c>
      <c r="GW54" s="119"/>
      <c r="GX54" s="119" t="s">
        <v>3948</v>
      </c>
      <c r="GY54" s="119" t="s">
        <v>3949</v>
      </c>
      <c r="GZ54" s="119" t="s">
        <v>3950</v>
      </c>
      <c r="HA54" s="119" t="s">
        <v>3951</v>
      </c>
      <c r="HB54" s="119" t="s">
        <v>3948</v>
      </c>
      <c r="HC54" s="119" t="s">
        <v>3949</v>
      </c>
      <c r="HD54" s="119" t="s">
        <v>3950</v>
      </c>
      <c r="HE54" s="119" t="s">
        <v>3951</v>
      </c>
    </row>
    <row r="55" spans="1:2">
      <c r="A55" s="89" t="s">
        <v>672</v>
      </c>
      <c r="B55" s="108" t="s">
        <v>554</v>
      </c>
    </row>
    <row r="56" ht="56.4" spans="1:213">
      <c r="A56" s="88" t="s">
        <v>227</v>
      </c>
      <c r="B56" s="105" t="s">
        <v>546</v>
      </c>
      <c r="D56" s="126"/>
      <c r="E56" s="194" t="s">
        <v>4288</v>
      </c>
      <c r="F56" s="95" t="s">
        <v>4289</v>
      </c>
      <c r="G56" s="95" t="s">
        <v>4290</v>
      </c>
      <c r="H56" s="95" t="s">
        <v>4291</v>
      </c>
      <c r="I56" s="95" t="s">
        <v>4292</v>
      </c>
      <c r="K56" s="126"/>
      <c r="L56" s="194" t="s">
        <v>4288</v>
      </c>
      <c r="M56" s="95" t="s">
        <v>4289</v>
      </c>
      <c r="N56" s="95" t="s">
        <v>4290</v>
      </c>
      <c r="O56" s="95" t="s">
        <v>4291</v>
      </c>
      <c r="P56" s="126" t="s">
        <v>4293</v>
      </c>
      <c r="R56" s="126"/>
      <c r="S56" s="194" t="s">
        <v>4288</v>
      </c>
      <c r="T56" s="95" t="s">
        <v>4289</v>
      </c>
      <c r="U56" s="95" t="s">
        <v>4290</v>
      </c>
      <c r="V56" s="95" t="s">
        <v>4291</v>
      </c>
      <c r="W56" s="95" t="s">
        <v>4294</v>
      </c>
      <c r="Y56" s="126"/>
      <c r="Z56" s="194" t="s">
        <v>4288</v>
      </c>
      <c r="AA56" s="95" t="s">
        <v>4289</v>
      </c>
      <c r="AB56" s="95" t="s">
        <v>4290</v>
      </c>
      <c r="AC56" s="95" t="s">
        <v>4291</v>
      </c>
      <c r="AD56" s="95" t="s">
        <v>4294</v>
      </c>
      <c r="AF56" s="126"/>
      <c r="AG56" s="194" t="s">
        <v>4288</v>
      </c>
      <c r="AH56" s="95" t="s">
        <v>4289</v>
      </c>
      <c r="AI56" s="95" t="s">
        <v>4290</v>
      </c>
      <c r="AJ56" s="95" t="s">
        <v>4291</v>
      </c>
      <c r="AK56" s="95" t="s">
        <v>4294</v>
      </c>
      <c r="AM56" s="126" t="s">
        <v>4009</v>
      </c>
      <c r="AN56" s="95" t="s">
        <v>4295</v>
      </c>
      <c r="AO56" s="126" t="s">
        <v>4296</v>
      </c>
      <c r="AP56" s="126" t="s">
        <v>4297</v>
      </c>
      <c r="AQ56" s="126" t="s">
        <v>4298</v>
      </c>
      <c r="AR56" s="95" t="s">
        <v>4294</v>
      </c>
      <c r="AT56" s="95" t="s">
        <v>4299</v>
      </c>
      <c r="AU56" s="95" t="s">
        <v>4300</v>
      </c>
      <c r="AV56" s="95" t="s">
        <v>4301</v>
      </c>
      <c r="AW56" s="95" t="s">
        <v>4289</v>
      </c>
      <c r="AX56" s="95" t="s">
        <v>4292</v>
      </c>
      <c r="AY56" s="95" t="s">
        <v>4302</v>
      </c>
      <c r="BA56" s="95" t="s">
        <v>4299</v>
      </c>
      <c r="BB56" s="95" t="s">
        <v>4300</v>
      </c>
      <c r="BC56" s="95" t="s">
        <v>4301</v>
      </c>
      <c r="BD56" s="95" t="s">
        <v>4289</v>
      </c>
      <c r="BE56" s="95" t="s">
        <v>4292</v>
      </c>
      <c r="BF56" s="95" t="s">
        <v>4302</v>
      </c>
      <c r="BH56" s="126" t="s">
        <v>4303</v>
      </c>
      <c r="BI56" s="95" t="s">
        <v>4304</v>
      </c>
      <c r="BJ56" s="95" t="s">
        <v>4301</v>
      </c>
      <c r="BK56" s="95" t="s">
        <v>4289</v>
      </c>
      <c r="BL56" s="95" t="s">
        <v>4292</v>
      </c>
      <c r="BM56" s="95" t="s">
        <v>4302</v>
      </c>
      <c r="BO56" s="95" t="s">
        <v>4305</v>
      </c>
      <c r="BP56" s="95" t="s">
        <v>4306</v>
      </c>
      <c r="BQ56" s="95" t="s">
        <v>4301</v>
      </c>
      <c r="BR56" s="95" t="s">
        <v>4289</v>
      </c>
      <c r="BS56" s="95" t="s">
        <v>4292</v>
      </c>
      <c r="BT56" s="95" t="s">
        <v>4302</v>
      </c>
      <c r="BV56" s="95" t="s">
        <v>4305</v>
      </c>
      <c r="BW56" s="95" t="s">
        <v>4306</v>
      </c>
      <c r="BX56" s="95" t="s">
        <v>4301</v>
      </c>
      <c r="BY56" s="95" t="s">
        <v>4289</v>
      </c>
      <c r="BZ56" s="95" t="s">
        <v>4292</v>
      </c>
      <c r="CA56" s="95" t="s">
        <v>4302</v>
      </c>
      <c r="CC56" s="95" t="s">
        <v>4305</v>
      </c>
      <c r="CD56" s="95" t="s">
        <v>4306</v>
      </c>
      <c r="CE56" s="126" t="s">
        <v>4301</v>
      </c>
      <c r="CF56" s="126" t="s">
        <v>4289</v>
      </c>
      <c r="CG56" s="95" t="s">
        <v>4292</v>
      </c>
      <c r="CH56" s="126" t="s">
        <v>4302</v>
      </c>
      <c r="CJ56" s="95" t="s">
        <v>4305</v>
      </c>
      <c r="CK56" s="95" t="s">
        <v>4306</v>
      </c>
      <c r="CL56" s="95" t="s">
        <v>4301</v>
      </c>
      <c r="CM56" s="95" t="s">
        <v>4301</v>
      </c>
      <c r="CN56" s="95" t="s">
        <v>4292</v>
      </c>
      <c r="CO56" s="95" t="s">
        <v>4307</v>
      </c>
      <c r="CQ56" s="95" t="s">
        <v>4305</v>
      </c>
      <c r="CR56" s="95" t="s">
        <v>4306</v>
      </c>
      <c r="CS56" s="95" t="s">
        <v>4301</v>
      </c>
      <c r="CT56" s="95" t="s">
        <v>4301</v>
      </c>
      <c r="CU56" s="95" t="s">
        <v>4292</v>
      </c>
      <c r="CV56" s="95" t="s">
        <v>4307</v>
      </c>
      <c r="CW56" s="95" t="s">
        <v>4308</v>
      </c>
      <c r="CX56" s="126" t="s">
        <v>4309</v>
      </c>
      <c r="CY56" s="95" t="s">
        <v>4310</v>
      </c>
      <c r="CZ56" s="95" t="s">
        <v>4301</v>
      </c>
      <c r="DA56" s="95" t="s">
        <v>4301</v>
      </c>
      <c r="DB56" s="95" t="s">
        <v>4292</v>
      </c>
      <c r="DC56" s="95" t="s">
        <v>4307</v>
      </c>
      <c r="DD56" s="95" t="s">
        <v>4308</v>
      </c>
      <c r="DE56" s="95" t="s">
        <v>4311</v>
      </c>
      <c r="DF56" s="95" t="s">
        <v>4312</v>
      </c>
      <c r="DG56" s="95" t="s">
        <v>4301</v>
      </c>
      <c r="DH56" s="95" t="s">
        <v>4301</v>
      </c>
      <c r="DI56" s="95" t="s">
        <v>4292</v>
      </c>
      <c r="DJ56" s="95" t="s">
        <v>4307</v>
      </c>
      <c r="DK56" s="95" t="s">
        <v>4169</v>
      </c>
      <c r="DL56" s="126" t="s">
        <v>4313</v>
      </c>
      <c r="DM56" s="95" t="s">
        <v>4314</v>
      </c>
      <c r="DN56" s="95" t="s">
        <v>4301</v>
      </c>
      <c r="DO56" s="95" t="s">
        <v>4315</v>
      </c>
      <c r="DP56" s="95" t="s">
        <v>4316</v>
      </c>
      <c r="DQ56" s="95" t="s">
        <v>4317</v>
      </c>
      <c r="DR56" s="194" t="s">
        <v>4169</v>
      </c>
      <c r="DT56" s="194" t="s">
        <v>4318</v>
      </c>
      <c r="DU56" s="194" t="s">
        <v>4319</v>
      </c>
      <c r="DV56" s="194" t="s">
        <v>4320</v>
      </c>
      <c r="DW56" s="194" t="s">
        <v>4301</v>
      </c>
      <c r="DX56" s="194" t="s">
        <v>4320</v>
      </c>
      <c r="DY56" s="95" t="s">
        <v>4169</v>
      </c>
      <c r="EA56" s="95" t="s">
        <v>4204</v>
      </c>
      <c r="EB56" s="95" t="s">
        <v>4321</v>
      </c>
      <c r="EC56" s="95" t="s">
        <v>4322</v>
      </c>
      <c r="ED56" s="95" t="s">
        <v>4323</v>
      </c>
      <c r="EE56" s="95" t="s">
        <v>4324</v>
      </c>
      <c r="EF56" s="95" t="s">
        <v>4169</v>
      </c>
      <c r="EH56" s="95" t="s">
        <v>4204</v>
      </c>
      <c r="EI56" s="95" t="s">
        <v>4321</v>
      </c>
      <c r="EJ56" s="95" t="s">
        <v>4322</v>
      </c>
      <c r="EK56" s="95" t="s">
        <v>4323</v>
      </c>
      <c r="EL56" s="95" t="s">
        <v>4325</v>
      </c>
      <c r="EM56" s="95" t="s">
        <v>4169</v>
      </c>
      <c r="EO56" s="95" t="s">
        <v>4204</v>
      </c>
      <c r="EP56" s="95" t="s">
        <v>4326</v>
      </c>
      <c r="EQ56" s="95" t="s">
        <v>4327</v>
      </c>
      <c r="ER56" s="95" t="s">
        <v>4325</v>
      </c>
      <c r="ES56" s="95" t="s">
        <v>4328</v>
      </c>
      <c r="ET56" s="95" t="s">
        <v>4169</v>
      </c>
      <c r="EV56" s="95" t="s">
        <v>4207</v>
      </c>
      <c r="EW56" s="95" t="s">
        <v>4329</v>
      </c>
      <c r="EX56" s="95" t="s">
        <v>4294</v>
      </c>
      <c r="EY56" s="95" t="s">
        <v>4292</v>
      </c>
      <c r="EZ56" s="95" t="s">
        <v>4292</v>
      </c>
      <c r="FA56" s="95" t="s">
        <v>4169</v>
      </c>
      <c r="FC56" s="95" t="s">
        <v>4329</v>
      </c>
      <c r="FD56" s="95" t="s">
        <v>4294</v>
      </c>
      <c r="FE56" s="95" t="s">
        <v>4292</v>
      </c>
      <c r="FF56" s="95" t="s">
        <v>4292</v>
      </c>
      <c r="FG56" s="95" t="s">
        <v>4169</v>
      </c>
      <c r="FI56" s="95" t="s">
        <v>4329</v>
      </c>
      <c r="FJ56" s="95" t="s">
        <v>4294</v>
      </c>
      <c r="FK56" s="95" t="s">
        <v>4292</v>
      </c>
      <c r="FL56" s="95" t="s">
        <v>4330</v>
      </c>
      <c r="FM56" s="95" t="s">
        <v>4169</v>
      </c>
      <c r="FO56" s="95" t="s">
        <v>4329</v>
      </c>
      <c r="FP56" s="95" t="s">
        <v>4294</v>
      </c>
      <c r="FQ56" s="95" t="s">
        <v>4292</v>
      </c>
      <c r="FR56" s="95" t="s">
        <v>4291</v>
      </c>
      <c r="FS56" s="95" t="s">
        <v>4169</v>
      </c>
      <c r="FT56" s="126"/>
      <c r="FU56" s="95" t="s">
        <v>4329</v>
      </c>
      <c r="FV56" s="95" t="s">
        <v>4294</v>
      </c>
      <c r="FW56" s="95" t="s">
        <v>4292</v>
      </c>
      <c r="FX56" s="95" t="s">
        <v>4291</v>
      </c>
      <c r="FY56" s="95" t="s">
        <v>4169</v>
      </c>
      <c r="FZ56" s="126"/>
      <c r="GA56" s="95" t="s">
        <v>4329</v>
      </c>
      <c r="GB56" s="95" t="s">
        <v>4294</v>
      </c>
      <c r="GC56" s="95" t="s">
        <v>4292</v>
      </c>
      <c r="GD56" s="95" t="s">
        <v>4291</v>
      </c>
      <c r="GE56" s="95" t="s">
        <v>4169</v>
      </c>
      <c r="GF56" s="126"/>
      <c r="GG56" s="95" t="s">
        <v>4329</v>
      </c>
      <c r="GH56" s="95" t="s">
        <v>4294</v>
      </c>
      <c r="GI56" s="95" t="s">
        <v>4292</v>
      </c>
      <c r="GJ56" s="95" t="s">
        <v>4292</v>
      </c>
      <c r="GK56" s="95" t="s">
        <v>4169</v>
      </c>
      <c r="GL56" s="126"/>
      <c r="GM56" s="95" t="s">
        <v>4329</v>
      </c>
      <c r="GN56" s="95" t="s">
        <v>4294</v>
      </c>
      <c r="GO56" s="95" t="s">
        <v>4292</v>
      </c>
      <c r="GP56" s="95" t="s">
        <v>4291</v>
      </c>
      <c r="GR56" s="126"/>
      <c r="GS56" s="95" t="s">
        <v>4329</v>
      </c>
      <c r="GT56" s="95" t="s">
        <v>4294</v>
      </c>
      <c r="GU56" s="95" t="s">
        <v>4292</v>
      </c>
      <c r="GV56" s="95" t="s">
        <v>4291</v>
      </c>
      <c r="GX56" s="95" t="s">
        <v>4329</v>
      </c>
      <c r="GY56" s="95" t="s">
        <v>4294</v>
      </c>
      <c r="GZ56" s="95" t="s">
        <v>4292</v>
      </c>
      <c r="HA56" s="95" t="s">
        <v>4291</v>
      </c>
      <c r="HB56" s="95" t="s">
        <v>4329</v>
      </c>
      <c r="HC56" s="95" t="s">
        <v>4294</v>
      </c>
      <c r="HD56" s="95" t="s">
        <v>4292</v>
      </c>
      <c r="HE56" s="95" t="s">
        <v>4291</v>
      </c>
    </row>
    <row r="57" ht="43.2" spans="1:213">
      <c r="A57" s="89" t="s">
        <v>230</v>
      </c>
      <c r="B57" s="114" t="s">
        <v>507</v>
      </c>
      <c r="C57" s="126"/>
      <c r="D57" s="125"/>
      <c r="E57" s="316"/>
      <c r="F57" s="89">
        <v>5</v>
      </c>
      <c r="G57" s="89">
        <v>3</v>
      </c>
      <c r="H57" s="89">
        <v>3</v>
      </c>
      <c r="I57" s="89">
        <v>2</v>
      </c>
      <c r="J57" s="126"/>
      <c r="K57" s="125"/>
      <c r="L57" s="316"/>
      <c r="M57" s="89">
        <v>5</v>
      </c>
      <c r="N57" s="88">
        <v>3</v>
      </c>
      <c r="O57" s="88">
        <v>3</v>
      </c>
      <c r="P57" s="88">
        <v>2</v>
      </c>
      <c r="Q57" s="126"/>
      <c r="R57" s="125"/>
      <c r="S57" s="316"/>
      <c r="T57" s="89">
        <v>5</v>
      </c>
      <c r="U57" s="89">
        <v>2</v>
      </c>
      <c r="V57" s="89">
        <v>2</v>
      </c>
      <c r="W57" s="89">
        <v>1</v>
      </c>
      <c r="X57" s="126" t="s">
        <v>4331</v>
      </c>
      <c r="Y57" s="125"/>
      <c r="Z57" s="316"/>
      <c r="AA57" s="89">
        <v>5</v>
      </c>
      <c r="AB57" s="89">
        <v>2</v>
      </c>
      <c r="AC57" s="89">
        <v>2</v>
      </c>
      <c r="AD57" s="89">
        <v>1</v>
      </c>
      <c r="AE57" s="126" t="s">
        <v>4331</v>
      </c>
      <c r="AF57" s="125"/>
      <c r="AG57" s="316"/>
      <c r="AH57" s="89">
        <v>5</v>
      </c>
      <c r="AI57" s="89">
        <v>2</v>
      </c>
      <c r="AJ57" s="89">
        <v>2</v>
      </c>
      <c r="AK57" s="89">
        <v>1</v>
      </c>
      <c r="AL57" s="126" t="s">
        <v>4331</v>
      </c>
      <c r="AM57" s="125"/>
      <c r="AN57" s="125"/>
      <c r="AO57" s="88">
        <v>5</v>
      </c>
      <c r="AP57" s="89">
        <v>2</v>
      </c>
      <c r="AQ57" s="89">
        <v>2</v>
      </c>
      <c r="AR57" s="89">
        <v>1</v>
      </c>
      <c r="AT57" s="125"/>
      <c r="AU57" s="125"/>
      <c r="AV57" s="89">
        <v>4</v>
      </c>
      <c r="AW57" s="89">
        <v>2</v>
      </c>
      <c r="AX57" s="89">
        <v>2</v>
      </c>
      <c r="AY57" s="89">
        <v>1</v>
      </c>
      <c r="BA57" s="125"/>
      <c r="BB57" s="125"/>
      <c r="BC57" s="89">
        <v>4</v>
      </c>
      <c r="BD57" s="89">
        <v>2</v>
      </c>
      <c r="BE57" s="89">
        <v>2</v>
      </c>
      <c r="BF57" s="89">
        <v>1</v>
      </c>
      <c r="BH57" s="125"/>
      <c r="BI57" s="125"/>
      <c r="BJ57" s="89">
        <v>4</v>
      </c>
      <c r="BK57" s="89">
        <v>2</v>
      </c>
      <c r="BL57" s="89">
        <v>2</v>
      </c>
      <c r="BM57" s="89">
        <v>1</v>
      </c>
      <c r="BO57" s="125"/>
      <c r="BP57" s="125"/>
      <c r="BQ57" s="89">
        <v>4</v>
      </c>
      <c r="BR57" s="89">
        <v>2</v>
      </c>
      <c r="BS57" s="89">
        <v>2</v>
      </c>
      <c r="BT57" s="89">
        <v>1</v>
      </c>
      <c r="BV57" s="125"/>
      <c r="BW57" s="125"/>
      <c r="BX57" s="89">
        <v>4</v>
      </c>
      <c r="BY57" s="89">
        <v>2</v>
      </c>
      <c r="BZ57" s="89">
        <v>2</v>
      </c>
      <c r="CA57" s="89">
        <v>1</v>
      </c>
      <c r="CC57" s="125"/>
      <c r="CD57" s="125"/>
      <c r="CE57" s="88">
        <v>4</v>
      </c>
      <c r="CF57" s="89">
        <v>2</v>
      </c>
      <c r="CG57" s="89">
        <v>2</v>
      </c>
      <c r="CH57" s="89">
        <v>1</v>
      </c>
      <c r="CJ57" s="125"/>
      <c r="CK57" s="125"/>
      <c r="CL57" s="89">
        <v>4</v>
      </c>
      <c r="CM57" s="89">
        <v>2</v>
      </c>
      <c r="CN57" s="89">
        <v>2</v>
      </c>
      <c r="CO57" s="89">
        <v>1</v>
      </c>
      <c r="CQ57" s="125"/>
      <c r="CR57" s="125"/>
      <c r="CS57" s="89">
        <v>4</v>
      </c>
      <c r="CT57" s="89">
        <v>2</v>
      </c>
      <c r="CU57" s="89">
        <v>2</v>
      </c>
      <c r="CV57" s="89">
        <v>1</v>
      </c>
      <c r="CW57" s="95" t="s">
        <v>4332</v>
      </c>
      <c r="CX57" s="125" t="s">
        <v>4186</v>
      </c>
      <c r="CY57" s="125"/>
      <c r="CZ57" s="89">
        <v>4</v>
      </c>
      <c r="DA57" s="89">
        <v>2</v>
      </c>
      <c r="DB57" s="89">
        <v>2</v>
      </c>
      <c r="DC57" s="89">
        <v>1</v>
      </c>
      <c r="DD57" s="95" t="s">
        <v>4332</v>
      </c>
      <c r="DE57" s="125" t="s">
        <v>4186</v>
      </c>
      <c r="DF57" s="125"/>
      <c r="DG57" s="89">
        <v>4</v>
      </c>
      <c r="DH57" s="89">
        <v>2</v>
      </c>
      <c r="DI57" s="89">
        <v>2</v>
      </c>
      <c r="DJ57" s="89">
        <v>1</v>
      </c>
      <c r="DK57" s="95" t="s">
        <v>4333</v>
      </c>
      <c r="DL57" s="125" t="s">
        <v>4186</v>
      </c>
      <c r="DM57" s="125"/>
      <c r="DN57" s="89">
        <v>4</v>
      </c>
      <c r="DO57" s="89">
        <v>2</v>
      </c>
      <c r="DP57" s="89">
        <v>2</v>
      </c>
      <c r="DQ57" s="88">
        <v>1</v>
      </c>
      <c r="DR57" s="194" t="s">
        <v>4333</v>
      </c>
      <c r="DS57" s="316" t="s">
        <v>4186</v>
      </c>
      <c r="DT57" s="316"/>
      <c r="DU57" s="88">
        <v>4</v>
      </c>
      <c r="DV57" s="188">
        <v>2</v>
      </c>
      <c r="DW57" s="188">
        <v>2</v>
      </c>
      <c r="DX57" s="188">
        <v>2</v>
      </c>
      <c r="DY57" s="95" t="s">
        <v>4333</v>
      </c>
      <c r="DZ57" s="125" t="s">
        <v>4186</v>
      </c>
      <c r="EA57" s="125"/>
      <c r="EB57" s="89">
        <v>3</v>
      </c>
      <c r="EC57" s="89">
        <v>2</v>
      </c>
      <c r="ED57" s="89">
        <v>2</v>
      </c>
      <c r="EE57" s="89">
        <v>2</v>
      </c>
      <c r="EF57" s="95" t="s">
        <v>4333</v>
      </c>
      <c r="EG57" s="125" t="s">
        <v>4186</v>
      </c>
      <c r="EH57" s="125"/>
      <c r="EI57" s="89">
        <v>3</v>
      </c>
      <c r="EJ57" s="89">
        <v>2</v>
      </c>
      <c r="EK57" s="89">
        <v>2</v>
      </c>
      <c r="EL57" s="89">
        <v>2</v>
      </c>
      <c r="EM57" s="95" t="s">
        <v>4333</v>
      </c>
      <c r="EN57" s="125" t="s">
        <v>4186</v>
      </c>
      <c r="EO57" s="125"/>
      <c r="EP57" s="89">
        <v>3</v>
      </c>
      <c r="EQ57" s="89">
        <v>2</v>
      </c>
      <c r="ER57" s="89">
        <v>2</v>
      </c>
      <c r="ES57" s="89">
        <v>2</v>
      </c>
      <c r="ET57" s="95" t="s">
        <v>4333</v>
      </c>
      <c r="EU57" s="125" t="s">
        <v>4186</v>
      </c>
      <c r="EV57" s="125"/>
      <c r="EW57" s="89">
        <v>1</v>
      </c>
      <c r="EX57" s="89">
        <v>1</v>
      </c>
      <c r="EY57" s="89">
        <v>1</v>
      </c>
      <c r="EZ57" s="89">
        <v>1</v>
      </c>
      <c r="FA57" s="95" t="s">
        <v>4333</v>
      </c>
      <c r="FB57" s="125" t="s">
        <v>4186</v>
      </c>
      <c r="FC57" s="89">
        <v>2</v>
      </c>
      <c r="FD57" s="89">
        <v>1</v>
      </c>
      <c r="FE57" s="89">
        <v>1</v>
      </c>
      <c r="FF57" s="89">
        <v>1</v>
      </c>
      <c r="FG57" s="95" t="s">
        <v>4333</v>
      </c>
      <c r="FH57" s="125" t="s">
        <v>4186</v>
      </c>
      <c r="FI57" s="89">
        <v>1</v>
      </c>
      <c r="FJ57" s="89">
        <v>1</v>
      </c>
      <c r="FK57" s="89">
        <v>1</v>
      </c>
      <c r="FL57" s="89">
        <v>1</v>
      </c>
      <c r="FM57" s="95" t="s">
        <v>4333</v>
      </c>
      <c r="FN57" s="125" t="s">
        <v>4186</v>
      </c>
      <c r="FO57" s="89">
        <v>1</v>
      </c>
      <c r="FP57" s="89">
        <v>1</v>
      </c>
      <c r="FQ57" s="89">
        <v>1</v>
      </c>
      <c r="FR57" s="89">
        <v>1</v>
      </c>
      <c r="FS57" s="95" t="s">
        <v>4333</v>
      </c>
      <c r="FT57" s="125" t="s">
        <v>4186</v>
      </c>
      <c r="FU57" s="89">
        <v>1</v>
      </c>
      <c r="FV57" s="89">
        <v>1</v>
      </c>
      <c r="FW57" s="89">
        <v>1</v>
      </c>
      <c r="FX57" s="89">
        <v>1</v>
      </c>
      <c r="FY57" s="95" t="s">
        <v>4333</v>
      </c>
      <c r="FZ57" s="125" t="s">
        <v>4186</v>
      </c>
      <c r="GA57" s="89">
        <v>1</v>
      </c>
      <c r="GB57" s="89">
        <v>1</v>
      </c>
      <c r="GC57" s="89">
        <v>1</v>
      </c>
      <c r="GD57" s="89">
        <v>1</v>
      </c>
      <c r="GE57" s="95" t="s">
        <v>4333</v>
      </c>
      <c r="GF57" s="125" t="s">
        <v>4186</v>
      </c>
      <c r="GG57" s="89">
        <v>1</v>
      </c>
      <c r="GH57" s="89">
        <v>1</v>
      </c>
      <c r="GI57" s="89">
        <v>1</v>
      </c>
      <c r="GJ57" s="89">
        <v>1</v>
      </c>
      <c r="GK57" s="95" t="s">
        <v>4333</v>
      </c>
      <c r="GM57" s="89">
        <v>1</v>
      </c>
      <c r="GN57" s="89">
        <v>1</v>
      </c>
      <c r="GO57" s="89">
        <v>1</v>
      </c>
      <c r="GP57" s="89">
        <v>1</v>
      </c>
      <c r="GS57" s="89">
        <v>1</v>
      </c>
      <c r="GT57" s="89">
        <v>1</v>
      </c>
      <c r="GU57" s="89">
        <v>1</v>
      </c>
      <c r="GV57" s="89">
        <v>1</v>
      </c>
      <c r="GX57" s="89">
        <v>1</v>
      </c>
      <c r="GY57" s="89">
        <v>1</v>
      </c>
      <c r="GZ57" s="89">
        <v>1</v>
      </c>
      <c r="HA57" s="89">
        <v>1</v>
      </c>
      <c r="HB57" s="89">
        <v>1</v>
      </c>
      <c r="HC57" s="89">
        <v>1</v>
      </c>
      <c r="HD57" s="89">
        <v>1</v>
      </c>
      <c r="HE57" s="89">
        <v>1</v>
      </c>
    </row>
    <row r="58" spans="1:2">
      <c r="A58" s="89" t="s">
        <v>672</v>
      </c>
      <c r="B58" s="108" t="s">
        <v>555</v>
      </c>
    </row>
    <row r="59" spans="1:2">
      <c r="A59" s="89" t="s">
        <v>672</v>
      </c>
      <c r="B59" s="108" t="s">
        <v>556</v>
      </c>
    </row>
    <row r="60" ht="28.8" spans="1:213">
      <c r="A60" s="213" t="s">
        <v>243</v>
      </c>
      <c r="B60" s="108" t="s">
        <v>270</v>
      </c>
      <c r="F60" s="89">
        <v>6</v>
      </c>
      <c r="G60" s="89">
        <v>6</v>
      </c>
      <c r="H60" s="89">
        <v>6</v>
      </c>
      <c r="I60" s="89">
        <v>4</v>
      </c>
      <c r="M60" s="89">
        <v>6</v>
      </c>
      <c r="N60" s="89">
        <v>6</v>
      </c>
      <c r="O60" s="89">
        <v>6</v>
      </c>
      <c r="P60" s="88">
        <v>4</v>
      </c>
      <c r="T60" s="89">
        <v>6</v>
      </c>
      <c r="U60" s="89">
        <v>6</v>
      </c>
      <c r="V60" s="89">
        <v>6</v>
      </c>
      <c r="W60" s="89">
        <v>3</v>
      </c>
      <c r="AA60" s="89">
        <v>6</v>
      </c>
      <c r="AB60" s="89">
        <v>6</v>
      </c>
      <c r="AC60" s="89">
        <v>6</v>
      </c>
      <c r="AD60" s="89">
        <v>3</v>
      </c>
      <c r="AH60" s="89">
        <v>6</v>
      </c>
      <c r="AI60" s="89">
        <v>6</v>
      </c>
      <c r="AJ60" s="89">
        <v>6</v>
      </c>
      <c r="AK60" s="89">
        <v>3</v>
      </c>
      <c r="AO60" s="88">
        <v>6</v>
      </c>
      <c r="AP60" s="88">
        <v>6</v>
      </c>
      <c r="AQ60" s="88">
        <v>6</v>
      </c>
      <c r="AR60" s="89">
        <v>3</v>
      </c>
      <c r="AV60" s="89">
        <v>5</v>
      </c>
      <c r="AW60" s="89">
        <v>5</v>
      </c>
      <c r="AX60" s="89">
        <v>5</v>
      </c>
      <c r="AY60" s="89">
        <v>3</v>
      </c>
      <c r="BC60" s="89">
        <v>5</v>
      </c>
      <c r="BD60" s="89">
        <v>5</v>
      </c>
      <c r="BE60" s="89">
        <v>5</v>
      </c>
      <c r="BF60" s="89">
        <v>3</v>
      </c>
      <c r="BJ60" s="89">
        <v>5</v>
      </c>
      <c r="BK60" s="89">
        <v>5</v>
      </c>
      <c r="BL60" s="89">
        <v>5</v>
      </c>
      <c r="BM60" s="89">
        <v>3</v>
      </c>
      <c r="BQ60" s="89">
        <v>5</v>
      </c>
      <c r="BR60" s="89">
        <v>5</v>
      </c>
      <c r="BS60" s="89">
        <v>5</v>
      </c>
      <c r="BT60" s="89">
        <v>3</v>
      </c>
      <c r="BX60" s="89">
        <v>5</v>
      </c>
      <c r="BY60" s="89">
        <v>5</v>
      </c>
      <c r="BZ60" s="89">
        <v>5</v>
      </c>
      <c r="CA60" s="89">
        <v>3</v>
      </c>
      <c r="CE60" s="88">
        <v>5</v>
      </c>
      <c r="CF60" s="88">
        <v>5</v>
      </c>
      <c r="CG60" s="89">
        <v>5</v>
      </c>
      <c r="CH60" s="88">
        <v>3</v>
      </c>
      <c r="CL60" s="89">
        <v>5</v>
      </c>
      <c r="CM60" s="89">
        <v>5</v>
      </c>
      <c r="CN60" s="89">
        <v>5</v>
      </c>
      <c r="CO60" s="89">
        <v>4</v>
      </c>
      <c r="CS60" s="89">
        <v>5</v>
      </c>
      <c r="CT60" s="89">
        <v>5</v>
      </c>
      <c r="CU60" s="89">
        <v>5</v>
      </c>
      <c r="CV60" s="89">
        <v>4</v>
      </c>
      <c r="CW60" s="95" t="s">
        <v>4334</v>
      </c>
      <c r="CZ60" s="89">
        <v>5</v>
      </c>
      <c r="DA60" s="89">
        <v>5</v>
      </c>
      <c r="DB60" s="89">
        <v>5</v>
      </c>
      <c r="DC60" s="89">
        <v>4</v>
      </c>
      <c r="DD60" s="95" t="s">
        <v>4334</v>
      </c>
      <c r="DG60" s="89">
        <v>5</v>
      </c>
      <c r="DH60" s="89">
        <v>5</v>
      </c>
      <c r="DI60" s="89">
        <v>5</v>
      </c>
      <c r="DJ60" s="89">
        <v>4</v>
      </c>
      <c r="DK60" s="126" t="s">
        <v>4335</v>
      </c>
      <c r="DN60" s="88">
        <v>5</v>
      </c>
      <c r="DO60" s="89">
        <v>5</v>
      </c>
      <c r="DP60" s="89">
        <v>5</v>
      </c>
      <c r="DQ60" s="88">
        <v>4</v>
      </c>
      <c r="DR60" s="194" t="s">
        <v>4052</v>
      </c>
      <c r="DU60" s="88">
        <v>6</v>
      </c>
      <c r="DV60" s="88">
        <v>5</v>
      </c>
      <c r="DW60" s="88">
        <v>5</v>
      </c>
      <c r="DX60" s="88">
        <v>6</v>
      </c>
      <c r="DY60" s="95" t="s">
        <v>4052</v>
      </c>
      <c r="EB60" s="89">
        <v>5</v>
      </c>
      <c r="EC60" s="89">
        <v>4</v>
      </c>
      <c r="ED60" s="89">
        <v>4</v>
      </c>
      <c r="EE60" s="88">
        <v>4</v>
      </c>
      <c r="EF60" s="95" t="s">
        <v>4052</v>
      </c>
      <c r="EI60" s="89">
        <v>5</v>
      </c>
      <c r="EJ60" s="89">
        <v>4</v>
      </c>
      <c r="EK60" s="89">
        <v>4</v>
      </c>
      <c r="EL60" s="88">
        <v>4</v>
      </c>
      <c r="EM60" s="95" t="s">
        <v>4052</v>
      </c>
      <c r="EP60" s="89">
        <v>5</v>
      </c>
      <c r="EQ60" s="89">
        <v>4</v>
      </c>
      <c r="ER60" s="89">
        <v>4</v>
      </c>
      <c r="ES60" s="89">
        <v>5</v>
      </c>
      <c r="ET60" s="95" t="s">
        <v>4052</v>
      </c>
      <c r="EW60" s="89">
        <v>4</v>
      </c>
      <c r="EX60" s="89">
        <v>3</v>
      </c>
      <c r="EY60" s="89">
        <v>4</v>
      </c>
      <c r="EZ60" s="89">
        <v>4</v>
      </c>
      <c r="FA60" s="95" t="s">
        <v>4052</v>
      </c>
      <c r="FC60" s="89">
        <v>4</v>
      </c>
      <c r="FD60" s="89">
        <v>3</v>
      </c>
      <c r="FE60" s="89">
        <v>3</v>
      </c>
      <c r="FF60" s="89">
        <v>4</v>
      </c>
      <c r="FG60" s="95" t="s">
        <v>4052</v>
      </c>
      <c r="FI60" s="89">
        <v>4</v>
      </c>
      <c r="FJ60" s="89">
        <v>3</v>
      </c>
      <c r="FK60" s="89">
        <v>4</v>
      </c>
      <c r="FL60" s="323">
        <v>4</v>
      </c>
      <c r="FM60" s="95" t="s">
        <v>4052</v>
      </c>
      <c r="FO60" s="89">
        <v>4</v>
      </c>
      <c r="FP60" s="89">
        <v>3</v>
      </c>
      <c r="FQ60" s="89">
        <v>4</v>
      </c>
      <c r="FR60" s="89">
        <v>5</v>
      </c>
      <c r="FS60" s="95" t="s">
        <v>4052</v>
      </c>
      <c r="FU60" s="89">
        <v>4</v>
      </c>
      <c r="FV60" s="89">
        <v>3</v>
      </c>
      <c r="FW60" s="89">
        <v>4</v>
      </c>
      <c r="FX60" s="89">
        <v>5</v>
      </c>
      <c r="FY60" s="95" t="s">
        <v>4052</v>
      </c>
      <c r="GA60" s="89">
        <v>4</v>
      </c>
      <c r="GB60" s="89">
        <v>3</v>
      </c>
      <c r="GC60" s="89">
        <v>4</v>
      </c>
      <c r="GD60" s="88">
        <v>5</v>
      </c>
      <c r="GE60" s="95" t="s">
        <v>4052</v>
      </c>
      <c r="GG60" s="89">
        <v>4</v>
      </c>
      <c r="GH60" s="89">
        <v>3</v>
      </c>
      <c r="GI60" s="89">
        <v>4</v>
      </c>
      <c r="GJ60" s="89">
        <v>4</v>
      </c>
      <c r="GK60" s="95" t="s">
        <v>4052</v>
      </c>
      <c r="GM60" s="89">
        <v>4</v>
      </c>
      <c r="GN60" s="89">
        <v>3</v>
      </c>
      <c r="GO60" s="89">
        <v>4</v>
      </c>
      <c r="GP60" s="89">
        <v>5</v>
      </c>
      <c r="GS60" s="89">
        <v>6</v>
      </c>
      <c r="GT60" s="89">
        <v>5</v>
      </c>
      <c r="GU60" s="89">
        <v>5</v>
      </c>
      <c r="GV60" s="89">
        <v>6</v>
      </c>
      <c r="GX60" s="89">
        <v>6</v>
      </c>
      <c r="GY60" s="88">
        <v>5</v>
      </c>
      <c r="GZ60" s="89">
        <v>5</v>
      </c>
      <c r="HA60" s="89">
        <v>6</v>
      </c>
      <c r="HB60" s="89">
        <v>6</v>
      </c>
      <c r="HC60" s="89">
        <v>2</v>
      </c>
      <c r="HD60" s="89">
        <v>5</v>
      </c>
      <c r="HE60" s="89">
        <v>6</v>
      </c>
    </row>
    <row r="61" ht="43.2" spans="1:213">
      <c r="A61" s="89" t="s">
        <v>230</v>
      </c>
      <c r="B61" s="108" t="s">
        <v>548</v>
      </c>
      <c r="C61" s="320"/>
      <c r="F61" s="89">
        <v>8</v>
      </c>
      <c r="G61" s="89">
        <v>8</v>
      </c>
      <c r="H61" s="89">
        <v>8</v>
      </c>
      <c r="I61" s="88">
        <v>6</v>
      </c>
      <c r="J61" s="320"/>
      <c r="M61" s="89">
        <v>8</v>
      </c>
      <c r="N61" s="89">
        <v>8</v>
      </c>
      <c r="O61" s="89">
        <v>8</v>
      </c>
      <c r="P61" s="89">
        <v>5</v>
      </c>
      <c r="Q61" s="320"/>
      <c r="T61" s="89">
        <v>8</v>
      </c>
      <c r="U61" s="89">
        <v>8</v>
      </c>
      <c r="V61" s="89">
        <v>8</v>
      </c>
      <c r="W61" s="89">
        <v>5</v>
      </c>
      <c r="X61" s="320" t="s">
        <v>4336</v>
      </c>
      <c r="AA61" s="89">
        <v>8</v>
      </c>
      <c r="AB61" s="89">
        <v>8</v>
      </c>
      <c r="AC61" s="89">
        <v>8</v>
      </c>
      <c r="AD61" s="89">
        <v>5</v>
      </c>
      <c r="AE61" s="320" t="s">
        <v>4336</v>
      </c>
      <c r="AH61" s="89">
        <v>8</v>
      </c>
      <c r="AI61" s="89">
        <v>8</v>
      </c>
      <c r="AJ61" s="89">
        <v>8</v>
      </c>
      <c r="AK61" s="89">
        <v>5</v>
      </c>
      <c r="AL61" s="320" t="s">
        <v>4336</v>
      </c>
      <c r="AO61" s="89">
        <v>8</v>
      </c>
      <c r="AP61" s="89">
        <v>8</v>
      </c>
      <c r="AQ61" s="89">
        <v>8</v>
      </c>
      <c r="AR61" s="88">
        <v>5</v>
      </c>
      <c r="AS61" s="320" t="s">
        <v>4336</v>
      </c>
      <c r="AV61" s="89">
        <v>8</v>
      </c>
      <c r="AW61" s="89">
        <v>8</v>
      </c>
      <c r="AX61" s="89">
        <v>8</v>
      </c>
      <c r="AY61" s="89">
        <v>6</v>
      </c>
      <c r="AZ61" s="320" t="s">
        <v>4336</v>
      </c>
      <c r="BC61" s="89">
        <v>8</v>
      </c>
      <c r="BD61" s="89">
        <v>8</v>
      </c>
      <c r="BE61" s="89">
        <v>8</v>
      </c>
      <c r="BF61" s="89">
        <v>6</v>
      </c>
      <c r="BG61" s="320" t="s">
        <v>4336</v>
      </c>
      <c r="BJ61" s="89">
        <v>8</v>
      </c>
      <c r="BK61" s="89">
        <v>8</v>
      </c>
      <c r="BL61" s="89">
        <v>8</v>
      </c>
      <c r="BM61" s="89">
        <v>6</v>
      </c>
      <c r="BN61" s="320" t="s">
        <v>4336</v>
      </c>
      <c r="BQ61" s="89">
        <v>8</v>
      </c>
      <c r="BR61" s="89">
        <v>8</v>
      </c>
      <c r="BS61" s="89">
        <v>8</v>
      </c>
      <c r="BT61" s="89">
        <v>6</v>
      </c>
      <c r="BU61" s="320" t="s">
        <v>4336</v>
      </c>
      <c r="BX61" s="89">
        <v>8</v>
      </c>
      <c r="BY61" s="89">
        <v>8</v>
      </c>
      <c r="BZ61" s="89">
        <v>8</v>
      </c>
      <c r="CA61" s="89">
        <v>6</v>
      </c>
      <c r="CB61" s="322" t="s">
        <v>4337</v>
      </c>
      <c r="CE61" s="88">
        <v>8</v>
      </c>
      <c r="CF61" s="88">
        <v>8</v>
      </c>
      <c r="CG61" s="89">
        <v>8</v>
      </c>
      <c r="CH61" s="88">
        <v>6</v>
      </c>
      <c r="CI61" s="320"/>
      <c r="CL61" s="89">
        <v>7</v>
      </c>
      <c r="CM61" s="89">
        <v>7</v>
      </c>
      <c r="CN61" s="89">
        <v>7</v>
      </c>
      <c r="CO61" s="89">
        <v>2</v>
      </c>
      <c r="CP61" s="320"/>
      <c r="CS61" s="89">
        <v>7</v>
      </c>
      <c r="CT61" s="89">
        <v>7</v>
      </c>
      <c r="CU61" s="89">
        <v>7</v>
      </c>
      <c r="CV61" s="89">
        <v>2</v>
      </c>
      <c r="CW61" s="320" t="s">
        <v>4338</v>
      </c>
      <c r="CZ61" s="89">
        <v>7</v>
      </c>
      <c r="DA61" s="89">
        <v>7</v>
      </c>
      <c r="DB61" s="89">
        <v>7</v>
      </c>
      <c r="DC61" s="89">
        <v>2</v>
      </c>
      <c r="DD61" s="320" t="s">
        <v>4338</v>
      </c>
      <c r="DG61" s="89">
        <v>7</v>
      </c>
      <c r="DH61" s="89">
        <v>7</v>
      </c>
      <c r="DI61" s="89">
        <v>7</v>
      </c>
      <c r="DJ61" s="89">
        <v>2</v>
      </c>
      <c r="DK61" s="322" t="s">
        <v>4339</v>
      </c>
      <c r="DN61" s="89">
        <v>7</v>
      </c>
      <c r="DO61" s="89">
        <v>7</v>
      </c>
      <c r="DP61" s="89">
        <v>7</v>
      </c>
      <c r="DQ61" s="88">
        <v>2</v>
      </c>
      <c r="DR61" s="322" t="s">
        <v>4340</v>
      </c>
      <c r="DU61" s="88">
        <v>7</v>
      </c>
      <c r="DV61" s="88">
        <v>7</v>
      </c>
      <c r="DW61" s="88">
        <v>7</v>
      </c>
      <c r="DX61" s="188">
        <v>3</v>
      </c>
      <c r="DY61" s="320" t="s">
        <v>4341</v>
      </c>
      <c r="EB61" s="89">
        <v>6</v>
      </c>
      <c r="EC61" s="89">
        <v>6</v>
      </c>
      <c r="ED61" s="89">
        <v>6</v>
      </c>
      <c r="EE61" s="188">
        <v>3</v>
      </c>
      <c r="EF61" s="320" t="s">
        <v>4341</v>
      </c>
      <c r="EI61" s="89">
        <v>6</v>
      </c>
      <c r="EJ61" s="89">
        <v>6</v>
      </c>
      <c r="EK61" s="89">
        <v>6</v>
      </c>
      <c r="EL61" s="188">
        <v>3</v>
      </c>
      <c r="EM61" s="320" t="s">
        <v>4341</v>
      </c>
      <c r="EP61" s="89">
        <v>6</v>
      </c>
      <c r="EQ61" s="89">
        <v>6</v>
      </c>
      <c r="ER61" s="89">
        <v>5</v>
      </c>
      <c r="ES61" s="188">
        <v>3</v>
      </c>
      <c r="ET61" s="320" t="s">
        <v>4341</v>
      </c>
      <c r="EW61" s="89">
        <v>5</v>
      </c>
      <c r="EX61" s="89">
        <v>5</v>
      </c>
      <c r="EY61" s="89">
        <v>5</v>
      </c>
      <c r="EZ61" s="323">
        <v>3</v>
      </c>
      <c r="FA61" s="320" t="s">
        <v>4342</v>
      </c>
      <c r="FC61" s="89">
        <v>5</v>
      </c>
      <c r="FD61" s="89">
        <v>5</v>
      </c>
      <c r="FE61" s="89">
        <v>4</v>
      </c>
      <c r="FF61" s="89">
        <v>3</v>
      </c>
      <c r="FG61" s="322" t="s">
        <v>4343</v>
      </c>
      <c r="FI61" s="89">
        <v>5</v>
      </c>
      <c r="FJ61" s="89">
        <v>5</v>
      </c>
      <c r="FK61" s="323">
        <v>5</v>
      </c>
      <c r="FL61" s="89">
        <v>3</v>
      </c>
      <c r="FM61" s="320" t="s">
        <v>4344</v>
      </c>
      <c r="FO61" s="89">
        <v>5</v>
      </c>
      <c r="FP61" s="89">
        <v>5</v>
      </c>
      <c r="FQ61" s="89">
        <v>6</v>
      </c>
      <c r="FR61" s="89">
        <v>3</v>
      </c>
      <c r="FS61" s="322" t="s">
        <v>4345</v>
      </c>
      <c r="FU61" s="89">
        <v>5</v>
      </c>
      <c r="FV61" s="89">
        <v>5</v>
      </c>
      <c r="FW61" s="89">
        <v>6</v>
      </c>
      <c r="FX61" s="88">
        <v>3</v>
      </c>
      <c r="FY61" s="322" t="s">
        <v>4346</v>
      </c>
      <c r="GA61" s="89">
        <v>5</v>
      </c>
      <c r="GB61" s="89">
        <v>5</v>
      </c>
      <c r="GC61" s="89">
        <v>6</v>
      </c>
      <c r="GD61" s="133">
        <v>2</v>
      </c>
      <c r="GE61" s="322" t="s">
        <v>4347</v>
      </c>
      <c r="GG61" s="89">
        <v>5</v>
      </c>
      <c r="GH61" s="89">
        <v>5</v>
      </c>
      <c r="GI61" s="89">
        <v>6</v>
      </c>
      <c r="GJ61" s="89">
        <v>6</v>
      </c>
      <c r="GK61" s="95" t="s">
        <v>4052</v>
      </c>
      <c r="GM61" s="89">
        <v>5</v>
      </c>
      <c r="GN61" s="89">
        <v>5</v>
      </c>
      <c r="GO61" s="89">
        <v>6</v>
      </c>
      <c r="GP61" s="89">
        <v>3</v>
      </c>
      <c r="GS61" s="89">
        <v>7</v>
      </c>
      <c r="GT61" s="89">
        <v>7</v>
      </c>
      <c r="GU61" s="89">
        <v>7</v>
      </c>
      <c r="GV61" s="89">
        <v>3</v>
      </c>
      <c r="GX61" s="89">
        <v>7</v>
      </c>
      <c r="GY61" s="89">
        <v>7</v>
      </c>
      <c r="GZ61" s="89">
        <v>7</v>
      </c>
      <c r="HA61" s="89">
        <v>3</v>
      </c>
      <c r="HB61" s="89">
        <v>7</v>
      </c>
      <c r="HC61" s="89">
        <v>7</v>
      </c>
      <c r="HD61" s="89">
        <v>7</v>
      </c>
      <c r="HE61" s="89">
        <v>3</v>
      </c>
    </row>
    <row r="62" spans="1:213">
      <c r="A62" s="89" t="s">
        <v>230</v>
      </c>
      <c r="B62" s="108" t="s">
        <v>547</v>
      </c>
      <c r="C62" s="125"/>
      <c r="F62" s="89">
        <v>7</v>
      </c>
      <c r="G62" s="89">
        <v>7</v>
      </c>
      <c r="H62" s="89">
        <v>7</v>
      </c>
      <c r="I62" s="88">
        <v>5</v>
      </c>
      <c r="J62" s="125"/>
      <c r="M62" s="89">
        <v>7</v>
      </c>
      <c r="N62" s="89">
        <v>7</v>
      </c>
      <c r="O62" s="89">
        <v>7</v>
      </c>
      <c r="P62" s="89">
        <v>4</v>
      </c>
      <c r="Q62" s="125"/>
      <c r="T62" s="89">
        <v>7</v>
      </c>
      <c r="U62" s="89">
        <v>7</v>
      </c>
      <c r="V62" s="89">
        <v>7</v>
      </c>
      <c r="W62" s="89">
        <v>4</v>
      </c>
      <c r="X62" s="125"/>
      <c r="AA62" s="89">
        <v>7</v>
      </c>
      <c r="AB62" s="89">
        <v>7</v>
      </c>
      <c r="AC62" s="89">
        <v>7</v>
      </c>
      <c r="AD62" s="89">
        <v>4</v>
      </c>
      <c r="AE62" s="125"/>
      <c r="AH62" s="89">
        <v>7</v>
      </c>
      <c r="AI62" s="89">
        <v>7</v>
      </c>
      <c r="AJ62" s="89">
        <v>7</v>
      </c>
      <c r="AK62" s="89">
        <v>4</v>
      </c>
      <c r="AL62" s="125"/>
      <c r="AO62" s="89">
        <v>7</v>
      </c>
      <c r="AP62" s="89">
        <v>7</v>
      </c>
      <c r="AQ62" s="89">
        <v>7</v>
      </c>
      <c r="AR62" s="88">
        <v>4</v>
      </c>
      <c r="AS62" s="125"/>
      <c r="AV62" s="89">
        <v>7</v>
      </c>
      <c r="AW62" s="89">
        <v>7</v>
      </c>
      <c r="AX62" s="89">
        <v>7</v>
      </c>
      <c r="AY62" s="89">
        <v>5</v>
      </c>
      <c r="AZ62" s="125"/>
      <c r="BC62" s="89">
        <v>7</v>
      </c>
      <c r="BD62" s="89">
        <v>7</v>
      </c>
      <c r="BE62" s="89">
        <v>7</v>
      </c>
      <c r="BF62" s="89">
        <v>5</v>
      </c>
      <c r="BG62" s="125"/>
      <c r="BJ62" s="89">
        <v>7</v>
      </c>
      <c r="BK62" s="89">
        <v>7</v>
      </c>
      <c r="BL62" s="89">
        <v>7</v>
      </c>
      <c r="BM62" s="89">
        <v>5</v>
      </c>
      <c r="BN62" s="125"/>
      <c r="BQ62" s="89">
        <v>7</v>
      </c>
      <c r="BR62" s="89">
        <v>7</v>
      </c>
      <c r="BS62" s="89">
        <v>7</v>
      </c>
      <c r="BT62" s="89">
        <v>5</v>
      </c>
      <c r="BU62" s="125"/>
      <c r="BX62" s="89">
        <v>7</v>
      </c>
      <c r="BY62" s="89">
        <v>7</v>
      </c>
      <c r="BZ62" s="89">
        <v>7</v>
      </c>
      <c r="CA62" s="89">
        <v>5</v>
      </c>
      <c r="CB62" s="125"/>
      <c r="CE62" s="88">
        <v>7</v>
      </c>
      <c r="CF62" s="88">
        <v>7</v>
      </c>
      <c r="CG62" s="89">
        <v>7</v>
      </c>
      <c r="CH62" s="88">
        <v>5</v>
      </c>
      <c r="CI62" s="125"/>
      <c r="CL62" s="89">
        <v>6</v>
      </c>
      <c r="CM62" s="89">
        <v>6</v>
      </c>
      <c r="CN62" s="89">
        <v>6</v>
      </c>
      <c r="CO62" s="89">
        <v>5</v>
      </c>
      <c r="CP62" s="125"/>
      <c r="CS62" s="89">
        <v>6</v>
      </c>
      <c r="CT62" s="89">
        <v>6</v>
      </c>
      <c r="CU62" s="89">
        <v>6</v>
      </c>
      <c r="CV62" s="89">
        <v>5</v>
      </c>
      <c r="CW62" s="125" t="s">
        <v>4052</v>
      </c>
      <c r="CZ62" s="89">
        <v>6</v>
      </c>
      <c r="DA62" s="89">
        <v>6</v>
      </c>
      <c r="DB62" s="89">
        <v>6</v>
      </c>
      <c r="DC62" s="89">
        <v>5</v>
      </c>
      <c r="DD62" s="125" t="s">
        <v>4052</v>
      </c>
      <c r="DG62" s="89">
        <v>6</v>
      </c>
      <c r="DH62" s="89">
        <v>6</v>
      </c>
      <c r="DI62" s="89">
        <v>6</v>
      </c>
      <c r="DJ62" s="89">
        <v>5</v>
      </c>
      <c r="DK62" s="95" t="s">
        <v>4052</v>
      </c>
      <c r="DN62" s="88">
        <v>6</v>
      </c>
      <c r="DO62" s="89">
        <v>6</v>
      </c>
      <c r="DP62" s="89">
        <v>6</v>
      </c>
      <c r="DQ62" s="88">
        <v>5</v>
      </c>
      <c r="DR62" s="194" t="s">
        <v>4052</v>
      </c>
      <c r="DU62" s="88">
        <v>5</v>
      </c>
      <c r="DV62" s="88">
        <v>6</v>
      </c>
      <c r="DW62" s="88">
        <v>6</v>
      </c>
      <c r="DX62" s="88">
        <v>7</v>
      </c>
      <c r="DY62" s="95" t="s">
        <v>4052</v>
      </c>
      <c r="EB62" s="89">
        <v>4</v>
      </c>
      <c r="EC62" s="89">
        <v>5</v>
      </c>
      <c r="ED62" s="89">
        <v>5</v>
      </c>
      <c r="EE62" s="88">
        <v>5</v>
      </c>
      <c r="EF62" s="95" t="s">
        <v>4052</v>
      </c>
      <c r="EI62" s="89">
        <v>4</v>
      </c>
      <c r="EJ62" s="89">
        <v>5</v>
      </c>
      <c r="EK62" s="89">
        <v>5</v>
      </c>
      <c r="EL62" s="88">
        <v>5</v>
      </c>
      <c r="EM62" s="95" t="s">
        <v>4052</v>
      </c>
      <c r="EP62" s="89">
        <v>4</v>
      </c>
      <c r="EQ62" s="89">
        <v>5</v>
      </c>
      <c r="ER62" s="89">
        <v>6</v>
      </c>
      <c r="ES62" s="89">
        <v>6</v>
      </c>
      <c r="ET62" s="95" t="s">
        <v>4052</v>
      </c>
      <c r="EW62" s="89">
        <v>3</v>
      </c>
      <c r="EX62" s="89">
        <v>4</v>
      </c>
      <c r="EY62" s="89">
        <v>6</v>
      </c>
      <c r="EZ62" s="89">
        <v>5</v>
      </c>
      <c r="FA62" s="95" t="s">
        <v>4052</v>
      </c>
      <c r="FC62" s="89">
        <v>3</v>
      </c>
      <c r="FD62" s="89">
        <v>4</v>
      </c>
      <c r="FE62" s="89">
        <v>5</v>
      </c>
      <c r="FF62" s="89">
        <v>5</v>
      </c>
      <c r="FG62" s="95" t="s">
        <v>4052</v>
      </c>
      <c r="FI62" s="89">
        <v>3</v>
      </c>
      <c r="FJ62" s="89">
        <v>4</v>
      </c>
      <c r="FK62" s="88">
        <v>6</v>
      </c>
      <c r="FL62" s="323">
        <v>5</v>
      </c>
      <c r="FM62" s="95" t="s">
        <v>4052</v>
      </c>
      <c r="FO62" s="89">
        <v>3</v>
      </c>
      <c r="FP62" s="89">
        <v>4</v>
      </c>
      <c r="FQ62" s="89">
        <v>5</v>
      </c>
      <c r="FR62" s="89">
        <v>6</v>
      </c>
      <c r="FS62" s="95" t="s">
        <v>4052</v>
      </c>
      <c r="FU62" s="89">
        <v>3</v>
      </c>
      <c r="FV62" s="89">
        <v>4</v>
      </c>
      <c r="FW62" s="89">
        <v>5</v>
      </c>
      <c r="FX62" s="89">
        <v>6</v>
      </c>
      <c r="FY62" s="95" t="s">
        <v>4052</v>
      </c>
      <c r="GA62" s="89">
        <v>3</v>
      </c>
      <c r="GB62" s="89">
        <v>4</v>
      </c>
      <c r="GC62" s="89">
        <v>5</v>
      </c>
      <c r="GD62" s="88">
        <v>6</v>
      </c>
      <c r="GE62" s="95" t="s">
        <v>4052</v>
      </c>
      <c r="GG62" s="89">
        <v>3</v>
      </c>
      <c r="GH62" s="89">
        <v>4</v>
      </c>
      <c r="GI62" s="89">
        <v>5</v>
      </c>
      <c r="GJ62" s="89">
        <v>5</v>
      </c>
      <c r="GK62" s="95" t="s">
        <v>4052</v>
      </c>
      <c r="GM62" s="89">
        <v>3</v>
      </c>
      <c r="GN62" s="89">
        <v>4</v>
      </c>
      <c r="GO62" s="89">
        <v>5</v>
      </c>
      <c r="GP62" s="89">
        <v>6</v>
      </c>
      <c r="GS62" s="89">
        <v>5</v>
      </c>
      <c r="GT62" s="89">
        <v>6</v>
      </c>
      <c r="GU62" s="89">
        <v>6</v>
      </c>
      <c r="GV62" s="89">
        <v>7</v>
      </c>
      <c r="GX62" s="89">
        <v>5</v>
      </c>
      <c r="GY62" s="89">
        <v>6</v>
      </c>
      <c r="GZ62" s="89">
        <v>6</v>
      </c>
      <c r="HA62" s="89">
        <v>7</v>
      </c>
      <c r="HB62" s="89">
        <v>5</v>
      </c>
      <c r="HC62" s="89">
        <v>6</v>
      </c>
      <c r="HD62" s="89">
        <v>6</v>
      </c>
      <c r="HE62" s="89">
        <v>7</v>
      </c>
    </row>
    <row r="63" ht="43.2" spans="1:213">
      <c r="A63" s="142" t="s">
        <v>230</v>
      </c>
      <c r="B63" s="156" t="s">
        <v>549</v>
      </c>
      <c r="F63" s="89">
        <v>1</v>
      </c>
      <c r="G63" s="89">
        <v>1</v>
      </c>
      <c r="H63" s="88">
        <v>1</v>
      </c>
      <c r="I63" s="88">
        <v>7</v>
      </c>
      <c r="M63" s="89">
        <v>1</v>
      </c>
      <c r="N63" s="89">
        <v>1</v>
      </c>
      <c r="O63" s="88">
        <v>2</v>
      </c>
      <c r="P63" s="89">
        <v>6</v>
      </c>
      <c r="T63" s="89">
        <v>1</v>
      </c>
      <c r="U63" s="89">
        <v>1</v>
      </c>
      <c r="V63" s="89">
        <v>1</v>
      </c>
      <c r="W63" s="89">
        <v>6</v>
      </c>
      <c r="AA63" s="89">
        <v>1</v>
      </c>
      <c r="AB63" s="89">
        <v>1</v>
      </c>
      <c r="AC63" s="89">
        <v>1</v>
      </c>
      <c r="AD63" s="89">
        <v>6</v>
      </c>
      <c r="AH63" s="89">
        <v>1</v>
      </c>
      <c r="AI63" s="89">
        <v>1</v>
      </c>
      <c r="AJ63" s="89">
        <v>1</v>
      </c>
      <c r="AK63" s="89">
        <v>6</v>
      </c>
      <c r="AO63" s="89">
        <v>1</v>
      </c>
      <c r="AP63" s="89">
        <v>1</v>
      </c>
      <c r="AQ63" s="89">
        <v>1</v>
      </c>
      <c r="AR63" s="88">
        <v>6</v>
      </c>
      <c r="AV63" s="89">
        <v>1</v>
      </c>
      <c r="AW63" s="89">
        <v>1</v>
      </c>
      <c r="AX63" s="89">
        <v>1</v>
      </c>
      <c r="AY63" s="89">
        <v>7</v>
      </c>
      <c r="BC63" s="89">
        <v>1</v>
      </c>
      <c r="BD63" s="89">
        <v>1</v>
      </c>
      <c r="BE63" s="89">
        <v>1</v>
      </c>
      <c r="BF63" s="89">
        <v>7</v>
      </c>
      <c r="BJ63" s="89">
        <v>1</v>
      </c>
      <c r="BK63" s="89">
        <v>1</v>
      </c>
      <c r="BL63" s="89">
        <v>1</v>
      </c>
      <c r="BM63" s="89">
        <v>7</v>
      </c>
      <c r="BQ63" s="89">
        <v>1</v>
      </c>
      <c r="BR63" s="89">
        <v>1</v>
      </c>
      <c r="BS63" s="89">
        <v>1</v>
      </c>
      <c r="BT63" s="89">
        <v>7</v>
      </c>
      <c r="BX63" s="89">
        <v>1</v>
      </c>
      <c r="BY63" s="89">
        <v>1</v>
      </c>
      <c r="BZ63" s="89">
        <v>1</v>
      </c>
      <c r="CA63" s="89">
        <v>7</v>
      </c>
      <c r="CE63" s="89">
        <v>1</v>
      </c>
      <c r="CF63" s="89">
        <v>1</v>
      </c>
      <c r="CG63" s="89">
        <v>1</v>
      </c>
      <c r="CH63" s="89">
        <v>7</v>
      </c>
      <c r="CL63" s="89">
        <v>1</v>
      </c>
      <c r="CM63" s="89">
        <v>1</v>
      </c>
      <c r="CN63" s="89">
        <v>1</v>
      </c>
      <c r="CO63" s="89">
        <v>6</v>
      </c>
      <c r="CS63" s="89">
        <v>1</v>
      </c>
      <c r="CT63" s="89">
        <v>1</v>
      </c>
      <c r="CU63" s="89">
        <v>1</v>
      </c>
      <c r="CV63" s="89">
        <v>6</v>
      </c>
      <c r="CW63" s="95" t="s">
        <v>4348</v>
      </c>
      <c r="CZ63" s="89">
        <v>1</v>
      </c>
      <c r="DA63" s="89">
        <v>1</v>
      </c>
      <c r="DB63" s="89">
        <v>1</v>
      </c>
      <c r="DC63" s="89">
        <v>6</v>
      </c>
      <c r="DD63" s="95" t="s">
        <v>4348</v>
      </c>
      <c r="DG63" s="89">
        <v>1</v>
      </c>
      <c r="DH63" s="89">
        <v>1</v>
      </c>
      <c r="DI63" s="89">
        <v>1</v>
      </c>
      <c r="DJ63" s="89">
        <v>6</v>
      </c>
      <c r="DK63" s="126" t="s">
        <v>4349</v>
      </c>
      <c r="DN63" s="89">
        <v>1</v>
      </c>
      <c r="DO63" s="89">
        <v>1</v>
      </c>
      <c r="DP63" s="89">
        <v>1</v>
      </c>
      <c r="DQ63" s="88">
        <v>6</v>
      </c>
      <c r="DR63" s="126" t="s">
        <v>4350</v>
      </c>
      <c r="DU63" s="188">
        <v>1</v>
      </c>
      <c r="DV63" s="188">
        <v>1</v>
      </c>
      <c r="DW63" s="188">
        <v>1</v>
      </c>
      <c r="DX63" s="188">
        <v>1</v>
      </c>
      <c r="DY63" s="95" t="s">
        <v>4351</v>
      </c>
      <c r="EB63" s="88">
        <v>1</v>
      </c>
      <c r="EC63" s="88">
        <v>1</v>
      </c>
      <c r="ED63" s="88">
        <v>1</v>
      </c>
      <c r="EE63" s="88">
        <v>1</v>
      </c>
      <c r="EF63" s="126" t="s">
        <v>4352</v>
      </c>
      <c r="EI63" s="88">
        <v>1</v>
      </c>
      <c r="EJ63" s="88">
        <v>1</v>
      </c>
      <c r="EK63" s="88">
        <v>1</v>
      </c>
      <c r="EL63" s="88">
        <v>1</v>
      </c>
      <c r="EM63" s="126" t="s">
        <v>4353</v>
      </c>
      <c r="EP63" s="88">
        <v>1</v>
      </c>
      <c r="EQ63" s="88">
        <v>1</v>
      </c>
      <c r="ER63" s="88">
        <v>1</v>
      </c>
      <c r="ES63" s="88">
        <v>1</v>
      </c>
      <c r="ET63" s="194" t="s">
        <v>4354</v>
      </c>
      <c r="EW63" s="89">
        <v>2</v>
      </c>
      <c r="EX63" s="89">
        <v>2</v>
      </c>
      <c r="EY63" s="89">
        <v>2</v>
      </c>
      <c r="EZ63" s="89">
        <v>2</v>
      </c>
      <c r="FA63" s="126" t="s">
        <v>4355</v>
      </c>
      <c r="FC63" s="89">
        <v>2</v>
      </c>
      <c r="FD63" s="89">
        <v>2</v>
      </c>
      <c r="FE63" s="89">
        <v>2</v>
      </c>
      <c r="FF63" s="89">
        <v>2</v>
      </c>
      <c r="FG63" s="95" t="s">
        <v>4356</v>
      </c>
      <c r="FI63" s="89">
        <v>2</v>
      </c>
      <c r="FJ63" s="89">
        <v>2</v>
      </c>
      <c r="FK63" s="89">
        <v>2</v>
      </c>
      <c r="FL63" s="89">
        <v>2</v>
      </c>
      <c r="FM63" s="95" t="s">
        <v>4356</v>
      </c>
      <c r="FO63" s="89">
        <v>2</v>
      </c>
      <c r="FP63" s="89">
        <v>2</v>
      </c>
      <c r="FQ63" s="89">
        <v>2</v>
      </c>
      <c r="FR63" s="89">
        <v>2</v>
      </c>
      <c r="FS63" s="95" t="s">
        <v>4356</v>
      </c>
      <c r="FU63" s="89">
        <v>2</v>
      </c>
      <c r="FV63" s="89">
        <v>2</v>
      </c>
      <c r="FW63" s="89">
        <v>2</v>
      </c>
      <c r="FX63" s="133">
        <v>2</v>
      </c>
      <c r="FY63" s="95" t="s">
        <v>4356</v>
      </c>
      <c r="GA63" s="89">
        <v>2</v>
      </c>
      <c r="GB63" s="89">
        <v>2</v>
      </c>
      <c r="GC63" s="89">
        <v>2</v>
      </c>
      <c r="GD63" s="88">
        <v>3</v>
      </c>
      <c r="GE63" s="95" t="s">
        <v>4356</v>
      </c>
      <c r="GG63" s="89">
        <v>2</v>
      </c>
      <c r="GH63" s="89">
        <v>2</v>
      </c>
      <c r="GI63" s="89">
        <v>2</v>
      </c>
      <c r="GJ63" s="89">
        <v>2</v>
      </c>
      <c r="GK63" s="95" t="s">
        <v>4356</v>
      </c>
      <c r="GM63" s="89">
        <v>2</v>
      </c>
      <c r="GN63" s="89">
        <v>2</v>
      </c>
      <c r="GO63" s="89">
        <v>2</v>
      </c>
      <c r="GP63" s="89">
        <v>2</v>
      </c>
      <c r="GS63" s="89">
        <v>4</v>
      </c>
      <c r="GT63" s="89">
        <v>2</v>
      </c>
      <c r="GU63" s="89">
        <v>2</v>
      </c>
      <c r="GV63" s="89">
        <v>2</v>
      </c>
      <c r="GX63" s="89">
        <v>4</v>
      </c>
      <c r="GY63" s="89">
        <v>2</v>
      </c>
      <c r="GZ63" s="89">
        <v>2</v>
      </c>
      <c r="HA63" s="89">
        <v>2</v>
      </c>
      <c r="HB63" s="89">
        <v>4</v>
      </c>
      <c r="HC63" s="89">
        <v>2</v>
      </c>
      <c r="HD63" s="89">
        <v>2</v>
      </c>
      <c r="HE63" s="89">
        <v>2</v>
      </c>
    </row>
    <row r="64" ht="43.2" spans="1:186">
      <c r="A64" s="89" t="s">
        <v>230</v>
      </c>
      <c r="B64" s="108" t="s">
        <v>4357</v>
      </c>
      <c r="C64" s="126"/>
      <c r="F64" s="89">
        <v>2</v>
      </c>
      <c r="G64" s="89">
        <v>3</v>
      </c>
      <c r="H64" s="89">
        <v>3</v>
      </c>
      <c r="I64" s="89">
        <v>1</v>
      </c>
      <c r="J64" s="126"/>
      <c r="M64" s="89">
        <v>2</v>
      </c>
      <c r="N64" s="89">
        <v>3</v>
      </c>
      <c r="O64" s="89">
        <v>3</v>
      </c>
      <c r="P64" s="89">
        <v>1</v>
      </c>
      <c r="Q64" s="126"/>
      <c r="T64" s="89">
        <v>2</v>
      </c>
      <c r="U64" s="89">
        <v>3</v>
      </c>
      <c r="V64" s="89">
        <v>3</v>
      </c>
      <c r="W64" s="89">
        <v>1</v>
      </c>
      <c r="X64" s="126" t="s">
        <v>4358</v>
      </c>
      <c r="AA64" s="89">
        <v>2</v>
      </c>
      <c r="AB64" s="89">
        <v>3</v>
      </c>
      <c r="AC64" s="89">
        <v>3</v>
      </c>
      <c r="AD64" s="89">
        <v>1</v>
      </c>
      <c r="AE64" s="126" t="s">
        <v>4358</v>
      </c>
      <c r="AH64" s="89">
        <v>2</v>
      </c>
      <c r="AI64" s="89">
        <v>3</v>
      </c>
      <c r="AJ64" s="89">
        <v>3</v>
      </c>
      <c r="AK64" s="89">
        <v>1</v>
      </c>
      <c r="AL64" s="126" t="s">
        <v>4358</v>
      </c>
      <c r="AO64" s="88">
        <v>2</v>
      </c>
      <c r="AP64" s="88">
        <v>3</v>
      </c>
      <c r="AQ64" s="88">
        <v>3</v>
      </c>
      <c r="AR64" s="88">
        <v>1</v>
      </c>
      <c r="AS64" s="95" t="s">
        <v>4359</v>
      </c>
      <c r="AV64" s="89">
        <v>6</v>
      </c>
      <c r="AW64" s="89">
        <v>6</v>
      </c>
      <c r="AX64" s="89">
        <v>6</v>
      </c>
      <c r="AY64" s="89">
        <v>4</v>
      </c>
      <c r="AZ64" s="95" t="s">
        <v>4359</v>
      </c>
      <c r="BC64" s="89">
        <v>6</v>
      </c>
      <c r="BD64" s="89">
        <v>6</v>
      </c>
      <c r="BE64" s="89">
        <v>6</v>
      </c>
      <c r="BF64" s="89">
        <v>4</v>
      </c>
      <c r="BG64" s="126" t="s">
        <v>4360</v>
      </c>
      <c r="BJ64" s="89">
        <v>6</v>
      </c>
      <c r="BK64" s="89">
        <v>6</v>
      </c>
      <c r="BL64" s="89">
        <v>6</v>
      </c>
      <c r="BM64" s="89">
        <v>4</v>
      </c>
      <c r="BN64" s="95" t="s">
        <v>4285</v>
      </c>
      <c r="BQ64" s="89">
        <v>6</v>
      </c>
      <c r="BR64" s="89">
        <v>6</v>
      </c>
      <c r="BS64" s="89">
        <v>6</v>
      </c>
      <c r="BT64" s="89">
        <v>4</v>
      </c>
      <c r="BU64" s="95" t="s">
        <v>4285</v>
      </c>
      <c r="BX64" s="89">
        <v>6</v>
      </c>
      <c r="BY64" s="89">
        <v>6</v>
      </c>
      <c r="BZ64" s="89">
        <v>6</v>
      </c>
      <c r="CA64" s="89">
        <v>4</v>
      </c>
      <c r="CB64" s="126" t="s">
        <v>4286</v>
      </c>
      <c r="CE64" s="88">
        <v>6</v>
      </c>
      <c r="CF64" s="88">
        <v>6</v>
      </c>
      <c r="CG64" s="88">
        <v>6</v>
      </c>
      <c r="CH64" s="88">
        <v>4</v>
      </c>
      <c r="DK64" s="126"/>
      <c r="DQ64" s="88"/>
      <c r="DR64" s="126"/>
      <c r="EB64" s="88"/>
      <c r="EC64" s="88"/>
      <c r="ED64" s="88"/>
      <c r="EE64" s="88"/>
      <c r="EF64" s="126"/>
      <c r="EI64" s="88"/>
      <c r="EJ64" s="88"/>
      <c r="EK64" s="88"/>
      <c r="EL64" s="88"/>
      <c r="EM64" s="126"/>
      <c r="EP64" s="88"/>
      <c r="EQ64" s="88"/>
      <c r="ER64" s="88"/>
      <c r="ES64" s="88"/>
      <c r="ET64" s="194"/>
      <c r="FA64" s="126"/>
      <c r="FX64" s="133"/>
      <c r="GD64" s="88"/>
    </row>
    <row r="65" ht="57.6" spans="1:213">
      <c r="A65" s="88" t="s">
        <v>227</v>
      </c>
      <c r="B65" s="88" t="s">
        <v>154</v>
      </c>
      <c r="E65" s="194" t="s">
        <v>4077</v>
      </c>
      <c r="F65" s="89">
        <v>3</v>
      </c>
      <c r="G65" s="89">
        <v>4</v>
      </c>
      <c r="H65" s="89">
        <v>5</v>
      </c>
      <c r="I65" s="89">
        <v>4</v>
      </c>
      <c r="L65" s="194" t="s">
        <v>4077</v>
      </c>
      <c r="M65" s="89">
        <v>3</v>
      </c>
      <c r="N65" s="89">
        <v>4</v>
      </c>
      <c r="O65" s="89">
        <v>5</v>
      </c>
      <c r="P65" s="88">
        <v>4</v>
      </c>
      <c r="S65" s="194" t="s">
        <v>4077</v>
      </c>
      <c r="T65" s="89">
        <v>3</v>
      </c>
      <c r="U65" s="89">
        <v>4</v>
      </c>
      <c r="V65" s="89">
        <v>5</v>
      </c>
      <c r="W65" s="89">
        <v>3</v>
      </c>
      <c r="Z65" s="194" t="s">
        <v>4077</v>
      </c>
      <c r="AA65" s="89">
        <v>3</v>
      </c>
      <c r="AB65" s="89">
        <v>4</v>
      </c>
      <c r="AC65" s="89">
        <v>5</v>
      </c>
      <c r="AD65" s="89">
        <v>3</v>
      </c>
      <c r="AG65" s="194" t="s">
        <v>4077</v>
      </c>
      <c r="AH65" s="89">
        <v>3</v>
      </c>
      <c r="AI65" s="89">
        <v>4</v>
      </c>
      <c r="AJ65" s="89">
        <v>5</v>
      </c>
      <c r="AK65" s="89">
        <v>3</v>
      </c>
      <c r="AN65" s="95" t="s">
        <v>4077</v>
      </c>
      <c r="AO65" s="88">
        <v>3</v>
      </c>
      <c r="AP65" s="88">
        <v>4</v>
      </c>
      <c r="AQ65" s="88">
        <v>5</v>
      </c>
      <c r="AR65" s="89">
        <v>3</v>
      </c>
      <c r="AU65" s="95" t="s">
        <v>4077</v>
      </c>
      <c r="AV65" s="89">
        <v>2</v>
      </c>
      <c r="AW65" s="89">
        <v>3</v>
      </c>
      <c r="AX65" s="89">
        <v>4</v>
      </c>
      <c r="AY65" s="89">
        <v>3</v>
      </c>
      <c r="BB65" s="95" t="s">
        <v>4077</v>
      </c>
      <c r="BC65" s="89">
        <v>2</v>
      </c>
      <c r="BD65" s="89">
        <v>3</v>
      </c>
      <c r="BE65" s="89">
        <v>4</v>
      </c>
      <c r="BF65" s="89">
        <v>3</v>
      </c>
      <c r="BI65" s="95" t="s">
        <v>4077</v>
      </c>
      <c r="BJ65" s="89">
        <v>2</v>
      </c>
      <c r="BK65" s="89">
        <v>3</v>
      </c>
      <c r="BL65" s="89">
        <v>4</v>
      </c>
      <c r="BM65" s="89">
        <v>3</v>
      </c>
      <c r="BP65" s="95" t="s">
        <v>4077</v>
      </c>
      <c r="BQ65" s="89">
        <v>2</v>
      </c>
      <c r="BR65" s="89">
        <v>3</v>
      </c>
      <c r="BS65" s="89">
        <v>4</v>
      </c>
      <c r="BT65" s="89">
        <v>3</v>
      </c>
      <c r="BW65" s="95" t="s">
        <v>4077</v>
      </c>
      <c r="BX65" s="89">
        <v>2</v>
      </c>
      <c r="BY65" s="89">
        <v>3</v>
      </c>
      <c r="BZ65" s="89">
        <v>4</v>
      </c>
      <c r="CA65" s="89">
        <v>3</v>
      </c>
      <c r="CD65" s="95" t="s">
        <v>4077</v>
      </c>
      <c r="CE65" s="89">
        <v>2</v>
      </c>
      <c r="CF65" s="89">
        <v>3</v>
      </c>
      <c r="CG65" s="89">
        <v>4</v>
      </c>
      <c r="CH65" s="88">
        <v>3</v>
      </c>
      <c r="CK65" s="95" t="s">
        <v>4077</v>
      </c>
      <c r="CL65" s="89">
        <v>2</v>
      </c>
      <c r="CM65" s="89">
        <v>3</v>
      </c>
      <c r="CN65" s="89">
        <v>4</v>
      </c>
      <c r="CO65" s="89">
        <v>5</v>
      </c>
      <c r="CR65" s="95" t="s">
        <v>4077</v>
      </c>
      <c r="CS65" s="89">
        <v>2</v>
      </c>
      <c r="CT65" s="89">
        <v>3</v>
      </c>
      <c r="CU65" s="89">
        <v>4</v>
      </c>
      <c r="CV65" s="89">
        <v>5</v>
      </c>
      <c r="CW65" s="95" t="s">
        <v>4361</v>
      </c>
      <c r="CX65" s="95" t="s">
        <v>4079</v>
      </c>
      <c r="CY65" s="95" t="s">
        <v>4077</v>
      </c>
      <c r="CZ65" s="89">
        <v>2</v>
      </c>
      <c r="DA65" s="89">
        <v>3</v>
      </c>
      <c r="DB65" s="89">
        <v>4</v>
      </c>
      <c r="DC65" s="89">
        <v>5</v>
      </c>
      <c r="DD65" s="95" t="s">
        <v>4361</v>
      </c>
      <c r="DE65" s="126" t="s">
        <v>4080</v>
      </c>
      <c r="DF65" s="126" t="s">
        <v>4077</v>
      </c>
      <c r="DG65" s="89">
        <v>2</v>
      </c>
      <c r="DH65" s="89">
        <v>3</v>
      </c>
      <c r="DI65" s="89">
        <v>4</v>
      </c>
      <c r="DJ65" s="89">
        <v>5</v>
      </c>
      <c r="DK65" s="95" t="s">
        <v>4361</v>
      </c>
      <c r="DN65" s="89">
        <v>2</v>
      </c>
      <c r="DO65" s="89">
        <v>3</v>
      </c>
      <c r="DP65" s="89">
        <v>4</v>
      </c>
      <c r="DQ65" s="89">
        <v>5</v>
      </c>
      <c r="DR65" s="126" t="s">
        <v>4362</v>
      </c>
      <c r="DU65" s="188">
        <v>2</v>
      </c>
      <c r="DV65" s="188">
        <v>3</v>
      </c>
      <c r="DW65" s="88">
        <v>4</v>
      </c>
      <c r="DX65" s="88">
        <v>5</v>
      </c>
      <c r="EB65" s="89">
        <v>2</v>
      </c>
      <c r="EC65" s="89">
        <v>3</v>
      </c>
      <c r="ED65" s="89">
        <v>3</v>
      </c>
      <c r="EE65" s="89">
        <v>4</v>
      </c>
      <c r="EI65" s="89">
        <v>2</v>
      </c>
      <c r="EJ65" s="89">
        <v>3</v>
      </c>
      <c r="EK65" s="89">
        <v>3</v>
      </c>
      <c r="EL65" s="89">
        <v>4</v>
      </c>
      <c r="EP65" s="89">
        <v>2</v>
      </c>
      <c r="EQ65" s="89">
        <v>3</v>
      </c>
      <c r="ER65" s="89">
        <v>3</v>
      </c>
      <c r="ES65" s="89">
        <v>4</v>
      </c>
      <c r="EW65" s="89">
        <v>1</v>
      </c>
      <c r="EX65" s="89">
        <v>2</v>
      </c>
      <c r="EY65" s="89">
        <v>3</v>
      </c>
      <c r="EZ65" s="89">
        <v>3</v>
      </c>
      <c r="FC65" s="89">
        <v>1</v>
      </c>
      <c r="FD65" s="89">
        <v>2</v>
      </c>
      <c r="FE65" s="89">
        <v>3</v>
      </c>
      <c r="FF65" s="89">
        <v>3</v>
      </c>
      <c r="FI65" s="89">
        <v>1</v>
      </c>
      <c r="FJ65" s="89">
        <v>2</v>
      </c>
      <c r="FK65" s="89">
        <v>3</v>
      </c>
      <c r="FL65" s="323">
        <v>3</v>
      </c>
      <c r="FO65" s="89">
        <v>1</v>
      </c>
      <c r="FP65" s="89">
        <v>2</v>
      </c>
      <c r="FQ65" s="89">
        <v>3</v>
      </c>
      <c r="FR65" s="89">
        <v>3</v>
      </c>
      <c r="FT65" s="126"/>
      <c r="FU65" s="89">
        <v>1</v>
      </c>
      <c r="FV65" s="89">
        <v>2</v>
      </c>
      <c r="FW65" s="89">
        <v>3</v>
      </c>
      <c r="FX65" s="89">
        <v>3</v>
      </c>
      <c r="FZ65" s="126"/>
      <c r="GA65" s="89">
        <v>1</v>
      </c>
      <c r="GB65" s="89">
        <v>2</v>
      </c>
      <c r="GC65" s="89">
        <v>3</v>
      </c>
      <c r="GD65" s="89">
        <v>3</v>
      </c>
      <c r="GF65" s="126"/>
      <c r="GG65" s="89">
        <v>1</v>
      </c>
      <c r="GH65" s="89">
        <v>2</v>
      </c>
      <c r="GI65" s="89">
        <v>3</v>
      </c>
      <c r="GJ65" s="89">
        <v>3</v>
      </c>
      <c r="GL65" s="126"/>
      <c r="GM65" s="89">
        <v>1</v>
      </c>
      <c r="GN65" s="89">
        <v>2</v>
      </c>
      <c r="GO65" s="89">
        <v>3</v>
      </c>
      <c r="GP65" s="89">
        <v>4</v>
      </c>
      <c r="GR65" s="126"/>
      <c r="GS65" s="89">
        <v>1</v>
      </c>
      <c r="GT65" s="89">
        <v>2</v>
      </c>
      <c r="GU65" s="89">
        <v>3</v>
      </c>
      <c r="GV65" s="89">
        <v>4</v>
      </c>
      <c r="GX65" s="89">
        <v>1</v>
      </c>
      <c r="GY65" s="89">
        <v>2</v>
      </c>
      <c r="GZ65" s="89">
        <v>3</v>
      </c>
      <c r="HA65" s="89">
        <v>4</v>
      </c>
      <c r="HB65" s="89">
        <v>1</v>
      </c>
      <c r="HC65" s="89">
        <v>2</v>
      </c>
      <c r="HD65" s="89">
        <v>3</v>
      </c>
      <c r="HE65" s="89">
        <v>4</v>
      </c>
    </row>
    <row r="70" customHeight="1" spans="1:213">
      <c r="A70" s="96" t="s">
        <v>159</v>
      </c>
      <c r="B70" s="97"/>
      <c r="C70" s="116" t="s">
        <v>3923</v>
      </c>
      <c r="D70" s="128"/>
      <c r="E70" s="128"/>
      <c r="F70" s="128"/>
      <c r="G70" s="128"/>
      <c r="H70" s="128"/>
      <c r="I70" s="132"/>
      <c r="J70" s="116" t="s">
        <v>3923</v>
      </c>
      <c r="K70" s="128"/>
      <c r="L70" s="128"/>
      <c r="M70" s="128"/>
      <c r="N70" s="128"/>
      <c r="O70" s="128"/>
      <c r="P70" s="132"/>
      <c r="Q70" s="116" t="s">
        <v>4083</v>
      </c>
      <c r="R70" s="128"/>
      <c r="S70" s="128"/>
      <c r="T70" s="128"/>
      <c r="U70" s="128"/>
      <c r="V70" s="128"/>
      <c r="W70" s="132"/>
      <c r="X70" s="116" t="s">
        <v>3925</v>
      </c>
      <c r="Y70" s="128"/>
      <c r="Z70" s="128"/>
      <c r="AA70" s="128"/>
      <c r="AB70" s="128"/>
      <c r="AC70" s="128"/>
      <c r="AD70" s="132"/>
      <c r="AE70" s="116" t="s">
        <v>3926</v>
      </c>
      <c r="AF70" s="128"/>
      <c r="AG70" s="128"/>
      <c r="AH70" s="128"/>
      <c r="AI70" s="128"/>
      <c r="AJ70" s="128"/>
      <c r="AK70" s="132"/>
      <c r="AL70" s="116" t="s">
        <v>3927</v>
      </c>
      <c r="AM70" s="128"/>
      <c r="AN70" s="128"/>
      <c r="AO70" s="128"/>
      <c r="AP70" s="128"/>
      <c r="AQ70" s="128"/>
      <c r="AR70" s="132"/>
      <c r="AS70" s="116" t="s">
        <v>3928</v>
      </c>
      <c r="AT70" s="128"/>
      <c r="AU70" s="128"/>
      <c r="AV70" s="128"/>
      <c r="AW70" s="128"/>
      <c r="AX70" s="128"/>
      <c r="AY70" s="132"/>
      <c r="AZ70" s="116" t="s">
        <v>3929</v>
      </c>
      <c r="BA70" s="128"/>
      <c r="BB70" s="128"/>
      <c r="BC70" s="128"/>
      <c r="BD70" s="128"/>
      <c r="BE70" s="128"/>
      <c r="BF70" s="132"/>
      <c r="BG70" s="116" t="s">
        <v>3930</v>
      </c>
      <c r="BH70" s="128"/>
      <c r="BI70" s="128"/>
      <c r="BJ70" s="128"/>
      <c r="BK70" s="128"/>
      <c r="BL70" s="128"/>
      <c r="BM70" s="132"/>
      <c r="BN70" s="116" t="s">
        <v>3931</v>
      </c>
      <c r="BO70" s="128"/>
      <c r="BP70" s="128"/>
      <c r="BQ70" s="128"/>
      <c r="BR70" s="128"/>
      <c r="BS70" s="128"/>
      <c r="BT70" s="132"/>
      <c r="BU70" s="116" t="s">
        <v>3932</v>
      </c>
      <c r="BV70" s="128"/>
      <c r="BW70" s="128"/>
      <c r="BX70" s="128"/>
      <c r="BY70" s="128"/>
      <c r="BZ70" s="128"/>
      <c r="CA70" s="132"/>
      <c r="CB70" s="116" t="s">
        <v>3933</v>
      </c>
      <c r="CC70" s="128"/>
      <c r="CD70" s="128"/>
      <c r="CE70" s="128"/>
      <c r="CF70" s="128"/>
      <c r="CG70" s="128"/>
      <c r="CH70" s="132"/>
      <c r="CI70" s="116" t="s">
        <v>3922</v>
      </c>
      <c r="CJ70" s="128"/>
      <c r="CK70" s="128"/>
      <c r="CL70" s="128"/>
      <c r="CM70" s="128"/>
      <c r="CN70" s="128"/>
      <c r="CO70" s="132"/>
      <c r="CP70" s="116" t="s">
        <v>3934</v>
      </c>
      <c r="CQ70" s="128"/>
      <c r="CR70" s="128"/>
      <c r="CS70" s="128"/>
      <c r="CT70" s="128"/>
      <c r="CU70" s="128"/>
      <c r="CV70" s="132"/>
      <c r="CW70" s="116" t="s">
        <v>3924</v>
      </c>
      <c r="CX70" s="128"/>
      <c r="CY70" s="128"/>
      <c r="CZ70" s="128"/>
      <c r="DA70" s="128"/>
      <c r="DB70" s="128"/>
      <c r="DC70" s="132"/>
      <c r="DD70" s="116" t="s">
        <v>3935</v>
      </c>
      <c r="DE70" s="128"/>
      <c r="DF70" s="128"/>
      <c r="DG70" s="128"/>
      <c r="DH70" s="128"/>
      <c r="DI70" s="128"/>
      <c r="DJ70" s="132"/>
      <c r="DK70" s="116" t="s">
        <v>3936</v>
      </c>
      <c r="DL70" s="128"/>
      <c r="DM70" s="128"/>
      <c r="DN70" s="128"/>
      <c r="DO70" s="128"/>
      <c r="DP70" s="128"/>
      <c r="DQ70" s="132"/>
      <c r="DR70" s="325" t="s">
        <v>3937</v>
      </c>
      <c r="DS70" s="326"/>
      <c r="DT70" s="326"/>
      <c r="DU70" s="326"/>
      <c r="DV70" s="326"/>
      <c r="DW70" s="326"/>
      <c r="DX70" s="327"/>
      <c r="DY70" s="116" t="s">
        <v>3928</v>
      </c>
      <c r="DZ70" s="128"/>
      <c r="EA70" s="128"/>
      <c r="EB70" s="128"/>
      <c r="EC70" s="128"/>
      <c r="ED70" s="128"/>
      <c r="EE70" s="132"/>
      <c r="EF70" s="116" t="s">
        <v>3929</v>
      </c>
      <c r="EG70" s="128"/>
      <c r="EH70" s="128"/>
      <c r="EI70" s="128"/>
      <c r="EJ70" s="128"/>
      <c r="EK70" s="128"/>
      <c r="EL70" s="132"/>
      <c r="EM70" s="116" t="s">
        <v>4084</v>
      </c>
      <c r="EN70" s="128"/>
      <c r="EO70" s="128"/>
      <c r="EP70" s="128"/>
      <c r="EQ70" s="128"/>
      <c r="ER70" s="128"/>
      <c r="ES70" s="132"/>
      <c r="EU70" s="332"/>
      <c r="EV70" s="332"/>
      <c r="EW70" s="116" t="s">
        <v>4085</v>
      </c>
      <c r="EX70" s="128"/>
      <c r="EY70" s="128"/>
      <c r="EZ70" s="132"/>
      <c r="FB70" s="332"/>
      <c r="FC70" s="116" t="s">
        <v>4086</v>
      </c>
      <c r="FD70" s="128"/>
      <c r="FE70" s="128"/>
      <c r="FF70" s="132"/>
      <c r="FH70" s="332"/>
      <c r="FI70" s="116" t="s">
        <v>4087</v>
      </c>
      <c r="FJ70" s="128"/>
      <c r="FK70" s="128"/>
      <c r="FL70" s="132"/>
      <c r="FN70" s="332"/>
      <c r="FO70" s="116" t="s">
        <v>4088</v>
      </c>
      <c r="FP70" s="128"/>
      <c r="FQ70" s="128"/>
      <c r="FR70" s="132"/>
      <c r="FT70" s="332"/>
      <c r="FU70" s="116" t="s">
        <v>4089</v>
      </c>
      <c r="FV70" s="128"/>
      <c r="FW70" s="128"/>
      <c r="FX70" s="132"/>
      <c r="FZ70" s="332"/>
      <c r="GA70" s="116" t="s">
        <v>4090</v>
      </c>
      <c r="GB70" s="128"/>
      <c r="GC70" s="128"/>
      <c r="GD70" s="132"/>
      <c r="GF70" s="332"/>
      <c r="GG70" s="116" t="s">
        <v>4091</v>
      </c>
      <c r="GH70" s="128"/>
      <c r="GI70" s="128"/>
      <c r="GJ70" s="132"/>
      <c r="GL70" s="332"/>
      <c r="GM70" s="116" t="s">
        <v>3941</v>
      </c>
      <c r="GN70" s="128"/>
      <c r="GO70" s="128"/>
      <c r="GP70" s="132"/>
      <c r="GR70" s="332"/>
      <c r="GS70" s="116" t="s">
        <v>3941</v>
      </c>
      <c r="GT70" s="128"/>
      <c r="GU70" s="128"/>
      <c r="GV70" s="132"/>
      <c r="GW70" s="128"/>
      <c r="GX70" s="116" t="s">
        <v>3942</v>
      </c>
      <c r="GY70" s="128"/>
      <c r="GZ70" s="128"/>
      <c r="HA70" s="132"/>
      <c r="HB70" s="116" t="s">
        <v>3943</v>
      </c>
      <c r="HC70" s="128"/>
      <c r="HD70" s="128"/>
      <c r="HE70" s="132"/>
    </row>
    <row r="71" ht="28.2" spans="1:213">
      <c r="A71" s="101" t="s">
        <v>3944</v>
      </c>
      <c r="B71" s="102" t="s">
        <v>207</v>
      </c>
      <c r="C71" s="120" t="s">
        <v>3945</v>
      </c>
      <c r="D71" s="120" t="s">
        <v>3946</v>
      </c>
      <c r="E71" s="313" t="s">
        <v>3947</v>
      </c>
      <c r="F71" s="119" t="s">
        <v>3948</v>
      </c>
      <c r="G71" s="119" t="s">
        <v>3949</v>
      </c>
      <c r="H71" s="119" t="s">
        <v>3950</v>
      </c>
      <c r="I71" s="119" t="s">
        <v>3951</v>
      </c>
      <c r="J71" s="120" t="s">
        <v>3945</v>
      </c>
      <c r="K71" s="120" t="s">
        <v>3946</v>
      </c>
      <c r="L71" s="313" t="s">
        <v>3947</v>
      </c>
      <c r="M71" s="119" t="s">
        <v>3948</v>
      </c>
      <c r="N71" s="119" t="s">
        <v>3949</v>
      </c>
      <c r="O71" s="119" t="s">
        <v>3950</v>
      </c>
      <c r="P71" s="119" t="s">
        <v>3951</v>
      </c>
      <c r="Q71" s="120" t="s">
        <v>3945</v>
      </c>
      <c r="R71" s="120" t="s">
        <v>3946</v>
      </c>
      <c r="S71" s="313" t="s">
        <v>3947</v>
      </c>
      <c r="T71" s="119" t="s">
        <v>3948</v>
      </c>
      <c r="U71" s="119" t="s">
        <v>3949</v>
      </c>
      <c r="V71" s="119" t="s">
        <v>3950</v>
      </c>
      <c r="W71" s="119" t="s">
        <v>3951</v>
      </c>
      <c r="X71" s="120" t="s">
        <v>3952</v>
      </c>
      <c r="Y71" s="120" t="s">
        <v>3953</v>
      </c>
      <c r="Z71" s="313" t="s">
        <v>3947</v>
      </c>
      <c r="AA71" s="119" t="s">
        <v>3948</v>
      </c>
      <c r="AB71" s="119" t="s">
        <v>3949</v>
      </c>
      <c r="AC71" s="119" t="s">
        <v>3950</v>
      </c>
      <c r="AD71" s="119" t="s">
        <v>3951</v>
      </c>
      <c r="AE71" s="120" t="s">
        <v>3954</v>
      </c>
      <c r="AF71" s="120" t="s">
        <v>3955</v>
      </c>
      <c r="AG71" s="313" t="s">
        <v>3947</v>
      </c>
      <c r="AH71" s="119" t="s">
        <v>3948</v>
      </c>
      <c r="AI71" s="119" t="s">
        <v>3949</v>
      </c>
      <c r="AJ71" s="119" t="s">
        <v>3950</v>
      </c>
      <c r="AK71" s="119" t="s">
        <v>3951</v>
      </c>
      <c r="AL71" s="120" t="s">
        <v>3956</v>
      </c>
      <c r="AM71" s="120" t="s">
        <v>3957</v>
      </c>
      <c r="AN71" s="119" t="s">
        <v>3947</v>
      </c>
      <c r="AO71" s="119" t="s">
        <v>3948</v>
      </c>
      <c r="AP71" s="119" t="s">
        <v>3949</v>
      </c>
      <c r="AQ71" s="119" t="s">
        <v>3950</v>
      </c>
      <c r="AR71" s="119" t="s">
        <v>3951</v>
      </c>
      <c r="AS71" s="120" t="s">
        <v>3958</v>
      </c>
      <c r="AT71" s="120" t="s">
        <v>3959</v>
      </c>
      <c r="AU71" s="119" t="s">
        <v>3947</v>
      </c>
      <c r="AV71" s="119" t="s">
        <v>3948</v>
      </c>
      <c r="AW71" s="119" t="s">
        <v>3949</v>
      </c>
      <c r="AX71" s="119" t="s">
        <v>3950</v>
      </c>
      <c r="AY71" s="119" t="s">
        <v>3951</v>
      </c>
      <c r="AZ71" s="120" t="s">
        <v>3960</v>
      </c>
      <c r="BA71" s="120" t="s">
        <v>3961</v>
      </c>
      <c r="BB71" s="119" t="s">
        <v>3947</v>
      </c>
      <c r="BC71" s="119" t="s">
        <v>3948</v>
      </c>
      <c r="BD71" s="119" t="s">
        <v>3949</v>
      </c>
      <c r="BE71" s="119" t="s">
        <v>3950</v>
      </c>
      <c r="BF71" s="119" t="s">
        <v>3951</v>
      </c>
      <c r="BG71" s="120" t="s">
        <v>3962</v>
      </c>
      <c r="BH71" s="120" t="s">
        <v>3963</v>
      </c>
      <c r="BI71" s="119" t="s">
        <v>3947</v>
      </c>
      <c r="BJ71" s="119" t="s">
        <v>3948</v>
      </c>
      <c r="BK71" s="119" t="s">
        <v>3949</v>
      </c>
      <c r="BL71" s="119" t="s">
        <v>3950</v>
      </c>
      <c r="BM71" s="119" t="s">
        <v>3951</v>
      </c>
      <c r="BN71" s="120" t="s">
        <v>3964</v>
      </c>
      <c r="BO71" s="120" t="s">
        <v>3965</v>
      </c>
      <c r="BP71" s="119" t="s">
        <v>3947</v>
      </c>
      <c r="BQ71" s="119" t="s">
        <v>3948</v>
      </c>
      <c r="BR71" s="119" t="s">
        <v>3949</v>
      </c>
      <c r="BS71" s="119" t="s">
        <v>3950</v>
      </c>
      <c r="BT71" s="119" t="s">
        <v>3951</v>
      </c>
      <c r="BU71" s="120" t="s">
        <v>3966</v>
      </c>
      <c r="BV71" s="120" t="s">
        <v>3967</v>
      </c>
      <c r="BW71" s="119" t="s">
        <v>3947</v>
      </c>
      <c r="BX71" s="119" t="s">
        <v>3948</v>
      </c>
      <c r="BY71" s="119" t="s">
        <v>3949</v>
      </c>
      <c r="BZ71" s="119" t="s">
        <v>3950</v>
      </c>
      <c r="CA71" s="119" t="s">
        <v>3951</v>
      </c>
      <c r="CB71" s="120" t="s">
        <v>3968</v>
      </c>
      <c r="CC71" s="120" t="s">
        <v>3969</v>
      </c>
      <c r="CD71" s="119" t="s">
        <v>3947</v>
      </c>
      <c r="CE71" s="119" t="s">
        <v>3948</v>
      </c>
      <c r="CF71" s="119" t="s">
        <v>3949</v>
      </c>
      <c r="CG71" s="119" t="s">
        <v>3950</v>
      </c>
      <c r="CH71" s="119" t="s">
        <v>3951</v>
      </c>
      <c r="CI71" s="120" t="s">
        <v>3970</v>
      </c>
      <c r="CJ71" s="120" t="s">
        <v>3971</v>
      </c>
      <c r="CK71" s="119" t="s">
        <v>3947</v>
      </c>
      <c r="CL71" s="119" t="s">
        <v>3948</v>
      </c>
      <c r="CM71" s="119" t="s">
        <v>3949</v>
      </c>
      <c r="CN71" s="119" t="s">
        <v>3950</v>
      </c>
      <c r="CO71" s="119" t="s">
        <v>3951</v>
      </c>
      <c r="CP71" s="120" t="s">
        <v>3972</v>
      </c>
      <c r="CQ71" s="120" t="s">
        <v>3973</v>
      </c>
      <c r="CR71" s="119" t="s">
        <v>3947</v>
      </c>
      <c r="CS71" s="119" t="s">
        <v>3948</v>
      </c>
      <c r="CT71" s="119" t="s">
        <v>3949</v>
      </c>
      <c r="CU71" s="119" t="s">
        <v>3950</v>
      </c>
      <c r="CV71" s="119" t="s">
        <v>3951</v>
      </c>
      <c r="CW71" s="120" t="s">
        <v>3974</v>
      </c>
      <c r="CX71" s="120" t="s">
        <v>3975</v>
      </c>
      <c r="CY71" s="119" t="s">
        <v>3947</v>
      </c>
      <c r="CZ71" s="119" t="s">
        <v>3948</v>
      </c>
      <c r="DA71" s="119" t="s">
        <v>3949</v>
      </c>
      <c r="DB71" s="119" t="s">
        <v>3950</v>
      </c>
      <c r="DC71" s="119" t="s">
        <v>3951</v>
      </c>
      <c r="DD71" s="120" t="s">
        <v>3974</v>
      </c>
      <c r="DE71" s="120" t="s">
        <v>3975</v>
      </c>
      <c r="DF71" s="119" t="s">
        <v>3947</v>
      </c>
      <c r="DG71" s="119" t="s">
        <v>3948</v>
      </c>
      <c r="DH71" s="119" t="s">
        <v>3949</v>
      </c>
      <c r="DI71" s="119" t="s">
        <v>3950</v>
      </c>
      <c r="DJ71" s="119" t="s">
        <v>3951</v>
      </c>
      <c r="DK71" s="120" t="s">
        <v>3976</v>
      </c>
      <c r="DL71" s="120" t="s">
        <v>3977</v>
      </c>
      <c r="DM71" s="119" t="s">
        <v>3947</v>
      </c>
      <c r="DN71" s="119" t="s">
        <v>3948</v>
      </c>
      <c r="DO71" s="119" t="s">
        <v>3949</v>
      </c>
      <c r="DP71" s="119" t="s">
        <v>3950</v>
      </c>
      <c r="DQ71" s="119" t="s">
        <v>3951</v>
      </c>
      <c r="DR71" s="328" t="s">
        <v>3978</v>
      </c>
      <c r="DS71" s="328" t="s">
        <v>3979</v>
      </c>
      <c r="DT71" s="313" t="s">
        <v>3947</v>
      </c>
      <c r="DU71" s="313" t="s">
        <v>3948</v>
      </c>
      <c r="DV71" s="313" t="s">
        <v>3949</v>
      </c>
      <c r="DW71" s="313" t="s">
        <v>3950</v>
      </c>
      <c r="DX71" s="313" t="s">
        <v>3951</v>
      </c>
      <c r="DY71" s="120" t="s">
        <v>3980</v>
      </c>
      <c r="DZ71" s="120" t="s">
        <v>3981</v>
      </c>
      <c r="EA71" s="119" t="s">
        <v>3947</v>
      </c>
      <c r="EB71" s="119" t="s">
        <v>3948</v>
      </c>
      <c r="EC71" s="119" t="s">
        <v>3949</v>
      </c>
      <c r="ED71" s="119" t="s">
        <v>3950</v>
      </c>
      <c r="EE71" s="119" t="s">
        <v>3951</v>
      </c>
      <c r="EF71" s="120" t="s">
        <v>3982</v>
      </c>
      <c r="EG71" s="120" t="s">
        <v>3983</v>
      </c>
      <c r="EH71" s="119" t="s">
        <v>3947</v>
      </c>
      <c r="EI71" s="119" t="s">
        <v>3948</v>
      </c>
      <c r="EJ71" s="119" t="s">
        <v>3949</v>
      </c>
      <c r="EK71" s="119" t="s">
        <v>3950</v>
      </c>
      <c r="EL71" s="119" t="s">
        <v>3951</v>
      </c>
      <c r="EM71" s="120" t="s">
        <v>3984</v>
      </c>
      <c r="EN71" s="120" t="s">
        <v>3985</v>
      </c>
      <c r="EO71" s="120"/>
      <c r="EP71" s="119" t="s">
        <v>3948</v>
      </c>
      <c r="EQ71" s="119" t="s">
        <v>3949</v>
      </c>
      <c r="ER71" s="119" t="s">
        <v>3950</v>
      </c>
      <c r="ES71" s="119" t="s">
        <v>3951</v>
      </c>
      <c r="ET71" s="120" t="s">
        <v>3986</v>
      </c>
      <c r="EU71" s="120" t="s">
        <v>3987</v>
      </c>
      <c r="EV71" s="120"/>
      <c r="EW71" s="119" t="s">
        <v>3948</v>
      </c>
      <c r="EX71" s="119" t="s">
        <v>3949</v>
      </c>
      <c r="EY71" s="119" t="s">
        <v>3950</v>
      </c>
      <c r="EZ71" s="119" t="s">
        <v>3951</v>
      </c>
      <c r="FA71" s="120" t="s">
        <v>3988</v>
      </c>
      <c r="FB71" s="120" t="s">
        <v>3989</v>
      </c>
      <c r="FC71" s="119" t="s">
        <v>3948</v>
      </c>
      <c r="FD71" s="119" t="s">
        <v>3949</v>
      </c>
      <c r="FE71" s="119" t="s">
        <v>3950</v>
      </c>
      <c r="FF71" s="119" t="s">
        <v>3951</v>
      </c>
      <c r="FG71" s="120" t="s">
        <v>3990</v>
      </c>
      <c r="FH71" s="120" t="s">
        <v>3991</v>
      </c>
      <c r="FI71" s="119" t="s">
        <v>3948</v>
      </c>
      <c r="FJ71" s="119" t="s">
        <v>3949</v>
      </c>
      <c r="FK71" s="119" t="s">
        <v>3950</v>
      </c>
      <c r="FL71" s="119" t="s">
        <v>3951</v>
      </c>
      <c r="FM71" s="120" t="s">
        <v>3992</v>
      </c>
      <c r="FN71" s="120" t="s">
        <v>3993</v>
      </c>
      <c r="FO71" s="119" t="s">
        <v>3948</v>
      </c>
      <c r="FP71" s="119" t="s">
        <v>3949</v>
      </c>
      <c r="FQ71" s="119" t="s">
        <v>3950</v>
      </c>
      <c r="FR71" s="119" t="s">
        <v>3951</v>
      </c>
      <c r="FS71" s="120" t="s">
        <v>3994</v>
      </c>
      <c r="FT71" s="120" t="s">
        <v>3995</v>
      </c>
      <c r="FU71" s="119" t="s">
        <v>3948</v>
      </c>
      <c r="FV71" s="119" t="s">
        <v>3949</v>
      </c>
      <c r="FW71" s="119" t="s">
        <v>3950</v>
      </c>
      <c r="FX71" s="119" t="s">
        <v>3951</v>
      </c>
      <c r="FY71" s="120" t="s">
        <v>3996</v>
      </c>
      <c r="FZ71" s="120" t="s">
        <v>3997</v>
      </c>
      <c r="GA71" s="119" t="s">
        <v>3948</v>
      </c>
      <c r="GB71" s="119" t="s">
        <v>3949</v>
      </c>
      <c r="GC71" s="119" t="s">
        <v>3950</v>
      </c>
      <c r="GD71" s="119" t="s">
        <v>3951</v>
      </c>
      <c r="GE71" s="120" t="s">
        <v>3998</v>
      </c>
      <c r="GF71" s="120" t="s">
        <v>3999</v>
      </c>
      <c r="GG71" s="119" t="s">
        <v>3948</v>
      </c>
      <c r="GH71" s="119" t="s">
        <v>3949</v>
      </c>
      <c r="GI71" s="119" t="s">
        <v>3950</v>
      </c>
      <c r="GJ71" s="119" t="s">
        <v>3951</v>
      </c>
      <c r="GK71" s="120" t="s">
        <v>4000</v>
      </c>
      <c r="GL71" s="120" t="s">
        <v>4001</v>
      </c>
      <c r="GM71" s="119" t="s">
        <v>3948</v>
      </c>
      <c r="GN71" s="119" t="s">
        <v>3949</v>
      </c>
      <c r="GO71" s="119" t="s">
        <v>3950</v>
      </c>
      <c r="GP71" s="119" t="s">
        <v>3951</v>
      </c>
      <c r="GQ71" s="120" t="s">
        <v>4002</v>
      </c>
      <c r="GR71" s="120" t="s">
        <v>4003</v>
      </c>
      <c r="GS71" s="119" t="s">
        <v>3948</v>
      </c>
      <c r="GT71" s="119" t="s">
        <v>3949</v>
      </c>
      <c r="GU71" s="119" t="s">
        <v>3950</v>
      </c>
      <c r="GV71" s="119" t="s">
        <v>3951</v>
      </c>
      <c r="GW71" s="119"/>
      <c r="GX71" s="119" t="s">
        <v>3948</v>
      </c>
      <c r="GY71" s="119" t="s">
        <v>3949</v>
      </c>
      <c r="GZ71" s="119" t="s">
        <v>3950</v>
      </c>
      <c r="HA71" s="119" t="s">
        <v>3951</v>
      </c>
      <c r="HB71" s="119" t="s">
        <v>3948</v>
      </c>
      <c r="HC71" s="119" t="s">
        <v>3949</v>
      </c>
      <c r="HD71" s="119" t="s">
        <v>3950</v>
      </c>
      <c r="HE71" s="119" t="s">
        <v>3951</v>
      </c>
    </row>
    <row r="72" spans="1:2">
      <c r="A72" s="89" t="s">
        <v>4363</v>
      </c>
      <c r="B72" s="89" t="s">
        <v>562</v>
      </c>
    </row>
    <row r="73" ht="124.8" spans="1:213">
      <c r="A73" s="88" t="s">
        <v>227</v>
      </c>
      <c r="B73" s="134" t="s">
        <v>557</v>
      </c>
      <c r="D73" s="126"/>
      <c r="E73" s="194" t="s">
        <v>4364</v>
      </c>
      <c r="F73" s="89">
        <v>2</v>
      </c>
      <c r="G73" s="89">
        <v>2</v>
      </c>
      <c r="H73" s="89">
        <v>2</v>
      </c>
      <c r="I73" s="89">
        <v>2</v>
      </c>
      <c r="K73" s="126"/>
      <c r="L73" s="194" t="s">
        <v>4364</v>
      </c>
      <c r="M73" s="89">
        <v>2</v>
      </c>
      <c r="N73" s="89">
        <v>2</v>
      </c>
      <c r="O73" s="89">
        <v>2</v>
      </c>
      <c r="P73" s="89">
        <v>2</v>
      </c>
      <c r="R73" s="126"/>
      <c r="S73" s="194" t="s">
        <v>4364</v>
      </c>
      <c r="T73" s="89">
        <v>2</v>
      </c>
      <c r="U73" s="89">
        <v>2</v>
      </c>
      <c r="V73" s="89">
        <v>2</v>
      </c>
      <c r="W73" s="89">
        <v>2</v>
      </c>
      <c r="X73" s="95" t="s">
        <v>4365</v>
      </c>
      <c r="Y73" s="126"/>
      <c r="Z73" s="194" t="s">
        <v>4364</v>
      </c>
      <c r="AA73" s="89">
        <v>2</v>
      </c>
      <c r="AB73" s="89">
        <v>2</v>
      </c>
      <c r="AC73" s="89">
        <v>2</v>
      </c>
      <c r="AD73" s="89">
        <v>2</v>
      </c>
      <c r="AE73" s="95" t="s">
        <v>4365</v>
      </c>
      <c r="AF73" s="126"/>
      <c r="AG73" s="194" t="s">
        <v>4364</v>
      </c>
      <c r="AH73" s="88">
        <v>2</v>
      </c>
      <c r="AI73" s="88">
        <v>2</v>
      </c>
      <c r="AJ73" s="88">
        <v>2</v>
      </c>
      <c r="AK73" s="88">
        <v>2</v>
      </c>
      <c r="AL73" s="95" t="s">
        <v>4365</v>
      </c>
      <c r="AM73" s="126" t="s">
        <v>4009</v>
      </c>
      <c r="AN73" s="95" t="s">
        <v>4366</v>
      </c>
      <c r="AO73" s="89">
        <v>1</v>
      </c>
      <c r="AP73" s="89">
        <v>1</v>
      </c>
      <c r="AQ73" s="89">
        <v>1</v>
      </c>
      <c r="AR73" s="89">
        <v>1</v>
      </c>
      <c r="AS73" s="95" t="s">
        <v>4365</v>
      </c>
      <c r="AT73" s="95" t="s">
        <v>4367</v>
      </c>
      <c r="AU73" s="95" t="s">
        <v>4368</v>
      </c>
      <c r="AV73" s="89">
        <v>1</v>
      </c>
      <c r="AW73" s="89">
        <v>1</v>
      </c>
      <c r="AX73" s="89">
        <v>1</v>
      </c>
      <c r="AY73" s="89">
        <v>1</v>
      </c>
      <c r="AZ73" s="95" t="s">
        <v>4365</v>
      </c>
      <c r="BA73" s="95" t="s">
        <v>4367</v>
      </c>
      <c r="BB73" s="95" t="s">
        <v>4368</v>
      </c>
      <c r="BC73" s="89">
        <v>1</v>
      </c>
      <c r="BD73" s="89">
        <v>1</v>
      </c>
      <c r="BE73" s="89">
        <v>1</v>
      </c>
      <c r="BF73" s="89">
        <v>1</v>
      </c>
      <c r="BG73" s="126" t="s">
        <v>4369</v>
      </c>
      <c r="BH73" s="126" t="s">
        <v>4370</v>
      </c>
      <c r="BI73" s="95" t="s">
        <v>4371</v>
      </c>
      <c r="BJ73" s="89">
        <v>1</v>
      </c>
      <c r="BK73" s="89">
        <v>1</v>
      </c>
      <c r="BL73" s="89">
        <v>1</v>
      </c>
      <c r="BM73" s="88">
        <v>1</v>
      </c>
      <c r="BO73" s="95" t="s">
        <v>4372</v>
      </c>
      <c r="BP73" s="95" t="s">
        <v>4373</v>
      </c>
      <c r="BQ73" s="89">
        <v>1</v>
      </c>
      <c r="BR73" s="89">
        <v>1</v>
      </c>
      <c r="BS73" s="89">
        <v>1</v>
      </c>
      <c r="BT73" s="89">
        <v>1</v>
      </c>
      <c r="BV73" s="95" t="s">
        <v>4372</v>
      </c>
      <c r="BW73" s="95" t="s">
        <v>4373</v>
      </c>
      <c r="BX73" s="89">
        <v>1</v>
      </c>
      <c r="BY73" s="89">
        <v>1</v>
      </c>
      <c r="BZ73" s="89">
        <v>1</v>
      </c>
      <c r="CA73" s="89">
        <v>1</v>
      </c>
      <c r="CC73" s="95" t="s">
        <v>4372</v>
      </c>
      <c r="CD73" s="95" t="s">
        <v>4373</v>
      </c>
      <c r="CE73" s="89">
        <v>1</v>
      </c>
      <c r="CF73" s="89">
        <v>1</v>
      </c>
      <c r="CG73" s="89">
        <v>1</v>
      </c>
      <c r="CH73" s="89">
        <v>1</v>
      </c>
      <c r="CJ73" s="95" t="s">
        <v>4372</v>
      </c>
      <c r="CK73" s="95" t="s">
        <v>4373</v>
      </c>
      <c r="CL73" s="89">
        <v>1</v>
      </c>
      <c r="CM73" s="89">
        <v>1</v>
      </c>
      <c r="CN73" s="89">
        <v>1</v>
      </c>
      <c r="CO73" s="89">
        <v>1</v>
      </c>
      <c r="CQ73" s="126" t="s">
        <v>4374</v>
      </c>
      <c r="CR73" s="95" t="s">
        <v>4375</v>
      </c>
      <c r="CS73" s="89">
        <v>1</v>
      </c>
      <c r="CT73" s="89">
        <v>1</v>
      </c>
      <c r="CU73" s="89">
        <v>1</v>
      </c>
      <c r="CV73" s="89">
        <v>1</v>
      </c>
      <c r="CW73" s="95" t="s">
        <v>4376</v>
      </c>
      <c r="CX73" s="126" t="s">
        <v>4377</v>
      </c>
      <c r="CY73" s="95" t="s">
        <v>4236</v>
      </c>
      <c r="CZ73" s="89">
        <v>1</v>
      </c>
      <c r="DA73" s="89">
        <v>1</v>
      </c>
      <c r="DB73" s="89">
        <v>1</v>
      </c>
      <c r="DC73" s="89">
        <v>1</v>
      </c>
      <c r="DD73" s="95" t="s">
        <v>4376</v>
      </c>
      <c r="DE73" s="95" t="s">
        <v>4378</v>
      </c>
      <c r="DF73" s="95" t="s">
        <v>4238</v>
      </c>
      <c r="DG73" s="89">
        <v>1</v>
      </c>
      <c r="DH73" s="89">
        <v>1</v>
      </c>
      <c r="DI73" s="89">
        <v>1</v>
      </c>
      <c r="DJ73" s="89">
        <v>1</v>
      </c>
      <c r="DK73" s="95" t="s">
        <v>4376</v>
      </c>
      <c r="DL73" s="126" t="s">
        <v>4379</v>
      </c>
      <c r="DM73" s="95" t="s">
        <v>4380</v>
      </c>
      <c r="DN73" s="89">
        <v>1</v>
      </c>
      <c r="DO73" s="89">
        <v>2</v>
      </c>
      <c r="DP73" s="89">
        <v>2</v>
      </c>
      <c r="DQ73" s="88">
        <v>2</v>
      </c>
      <c r="DR73" s="194" t="s">
        <v>4381</v>
      </c>
      <c r="DT73" s="194" t="s">
        <v>4382</v>
      </c>
      <c r="DU73" s="88">
        <v>1</v>
      </c>
      <c r="DV73" s="188">
        <v>2</v>
      </c>
      <c r="DW73" s="188">
        <v>2</v>
      </c>
      <c r="DX73" s="88">
        <v>1</v>
      </c>
      <c r="DY73" s="95" t="s">
        <v>4376</v>
      </c>
      <c r="EA73" s="95" t="s">
        <v>4382</v>
      </c>
      <c r="EB73" s="188">
        <v>2</v>
      </c>
      <c r="EC73" s="188">
        <v>2</v>
      </c>
      <c r="ED73" s="188">
        <v>2</v>
      </c>
      <c r="EE73" s="188">
        <v>2</v>
      </c>
      <c r="EF73" s="126" t="s">
        <v>4383</v>
      </c>
      <c r="EH73" s="95" t="s">
        <v>4382</v>
      </c>
      <c r="EI73" s="188">
        <v>2</v>
      </c>
      <c r="EJ73" s="188">
        <v>2</v>
      </c>
      <c r="EK73" s="188">
        <v>2</v>
      </c>
      <c r="EL73" s="188">
        <v>2</v>
      </c>
      <c r="EM73" s="95" t="s">
        <v>4384</v>
      </c>
      <c r="EO73" s="95" t="s">
        <v>4382</v>
      </c>
      <c r="EP73" s="188">
        <v>2</v>
      </c>
      <c r="EQ73" s="188">
        <v>2</v>
      </c>
      <c r="ER73" s="188">
        <v>2</v>
      </c>
      <c r="ES73" s="188">
        <v>2</v>
      </c>
      <c r="ET73" s="95" t="s">
        <v>4384</v>
      </c>
      <c r="EV73" s="95" t="s">
        <v>4385</v>
      </c>
      <c r="EW73" s="88">
        <v>2</v>
      </c>
      <c r="EX73" s="88">
        <v>2</v>
      </c>
      <c r="EY73" s="88">
        <v>2</v>
      </c>
      <c r="EZ73" s="88">
        <v>2</v>
      </c>
      <c r="FA73" s="95" t="s">
        <v>4384</v>
      </c>
      <c r="FC73" s="89">
        <v>1</v>
      </c>
      <c r="FD73" s="89">
        <v>1</v>
      </c>
      <c r="FE73" s="89">
        <v>1</v>
      </c>
      <c r="FF73" s="89">
        <v>1</v>
      </c>
      <c r="FG73" s="95" t="s">
        <v>4384</v>
      </c>
      <c r="FI73" s="89">
        <v>1</v>
      </c>
      <c r="FJ73" s="89">
        <v>1</v>
      </c>
      <c r="FK73" s="89">
        <v>1</v>
      </c>
      <c r="FL73" s="89">
        <v>1</v>
      </c>
      <c r="FM73" s="95" t="s">
        <v>4384</v>
      </c>
      <c r="FO73" s="89">
        <v>1</v>
      </c>
      <c r="FP73" s="89">
        <v>1</v>
      </c>
      <c r="FQ73" s="89">
        <v>1</v>
      </c>
      <c r="FR73" s="89">
        <v>1</v>
      </c>
      <c r="FS73" s="95" t="s">
        <v>4384</v>
      </c>
      <c r="FT73" s="126"/>
      <c r="FU73" s="89">
        <v>1</v>
      </c>
      <c r="FV73" s="89">
        <v>1</v>
      </c>
      <c r="FW73" s="89">
        <v>1</v>
      </c>
      <c r="FX73" s="89">
        <v>1</v>
      </c>
      <c r="FY73" s="95" t="s">
        <v>4384</v>
      </c>
      <c r="FZ73" s="126"/>
      <c r="GA73" s="89">
        <v>1</v>
      </c>
      <c r="GB73" s="89">
        <v>1</v>
      </c>
      <c r="GC73" s="89">
        <v>1</v>
      </c>
      <c r="GD73" s="89">
        <v>1</v>
      </c>
      <c r="GE73" s="95" t="s">
        <v>4384</v>
      </c>
      <c r="GF73" s="126"/>
      <c r="GG73" s="89">
        <v>1</v>
      </c>
      <c r="GH73" s="89">
        <v>1</v>
      </c>
      <c r="GI73" s="89">
        <v>1</v>
      </c>
      <c r="GJ73" s="89">
        <v>1</v>
      </c>
      <c r="GK73" s="95" t="s">
        <v>4384</v>
      </c>
      <c r="GL73" s="126"/>
      <c r="GM73" s="89">
        <v>1</v>
      </c>
      <c r="GN73" s="89">
        <v>1</v>
      </c>
      <c r="GO73" s="89">
        <v>1</v>
      </c>
      <c r="GP73" s="89">
        <v>1</v>
      </c>
      <c r="GR73" s="126"/>
      <c r="GS73" s="89">
        <v>1</v>
      </c>
      <c r="GT73" s="89">
        <v>1</v>
      </c>
      <c r="GU73" s="89">
        <v>1</v>
      </c>
      <c r="GV73" s="133">
        <v>1</v>
      </c>
      <c r="GW73" s="138"/>
      <c r="GX73" s="89">
        <v>1</v>
      </c>
      <c r="GY73" s="89">
        <v>1</v>
      </c>
      <c r="GZ73" s="89">
        <v>2</v>
      </c>
      <c r="HA73" s="133">
        <v>2</v>
      </c>
      <c r="HB73" s="89">
        <v>1</v>
      </c>
      <c r="HC73" s="89">
        <v>1</v>
      </c>
      <c r="HD73" s="89">
        <v>2</v>
      </c>
      <c r="HE73" s="89">
        <v>3</v>
      </c>
    </row>
    <row r="74" ht="28.8" spans="1:213">
      <c r="A74" s="89" t="s">
        <v>230</v>
      </c>
      <c r="B74" s="135" t="s">
        <v>560</v>
      </c>
      <c r="C74" s="124"/>
      <c r="F74" s="89">
        <v>1</v>
      </c>
      <c r="G74" s="89">
        <v>1</v>
      </c>
      <c r="H74" s="89">
        <v>1</v>
      </c>
      <c r="I74" s="89">
        <v>1</v>
      </c>
      <c r="J74" s="124"/>
      <c r="M74" s="89">
        <v>1</v>
      </c>
      <c r="N74" s="89">
        <v>1</v>
      </c>
      <c r="O74" s="89">
        <v>1</v>
      </c>
      <c r="P74" s="89">
        <v>1</v>
      </c>
      <c r="Q74" s="124" t="s">
        <v>4386</v>
      </c>
      <c r="T74" s="89">
        <v>1</v>
      </c>
      <c r="U74" s="89">
        <v>1</v>
      </c>
      <c r="V74" s="89">
        <v>1</v>
      </c>
      <c r="W74" s="89">
        <v>1</v>
      </c>
      <c r="X74" s="124" t="s">
        <v>4387</v>
      </c>
      <c r="Y74" s="124"/>
      <c r="AA74" s="89">
        <v>1</v>
      </c>
      <c r="AB74" s="89">
        <v>1</v>
      </c>
      <c r="AC74" s="89">
        <v>1</v>
      </c>
      <c r="AD74" s="89">
        <v>1</v>
      </c>
      <c r="AE74" s="124" t="s">
        <v>4388</v>
      </c>
      <c r="AH74" s="89">
        <v>1</v>
      </c>
      <c r="AI74" s="89">
        <v>1</v>
      </c>
      <c r="AJ74" s="89">
        <v>1</v>
      </c>
      <c r="AK74" s="89">
        <v>1</v>
      </c>
      <c r="AL74" s="124" t="s">
        <v>4389</v>
      </c>
      <c r="AO74" s="88">
        <v>2</v>
      </c>
      <c r="AP74" s="88">
        <v>2</v>
      </c>
      <c r="AQ74" s="88">
        <v>2</v>
      </c>
      <c r="AR74" s="89">
        <v>2</v>
      </c>
      <c r="AS74" s="125" t="s">
        <v>4390</v>
      </c>
      <c r="AV74" s="89">
        <v>3</v>
      </c>
      <c r="AW74" s="89">
        <v>3</v>
      </c>
      <c r="AX74" s="89">
        <v>3</v>
      </c>
      <c r="AY74" s="89">
        <v>2</v>
      </c>
      <c r="AZ74" s="125" t="s">
        <v>4390</v>
      </c>
      <c r="BC74" s="89">
        <v>3</v>
      </c>
      <c r="BD74" s="89">
        <v>3</v>
      </c>
      <c r="BE74" s="89">
        <v>3</v>
      </c>
      <c r="BF74" s="89">
        <v>2</v>
      </c>
      <c r="BG74" s="124" t="s">
        <v>4390</v>
      </c>
      <c r="BJ74" s="88">
        <v>3</v>
      </c>
      <c r="BK74" s="88">
        <v>3</v>
      </c>
      <c r="BL74" s="88">
        <v>3</v>
      </c>
      <c r="BM74" s="89">
        <v>2</v>
      </c>
      <c r="BN74" s="125"/>
      <c r="BQ74" s="89">
        <v>2</v>
      </c>
      <c r="BR74" s="89">
        <v>2</v>
      </c>
      <c r="BS74" s="89">
        <v>2</v>
      </c>
      <c r="BT74" s="89">
        <v>1</v>
      </c>
      <c r="BU74" s="125"/>
      <c r="BX74" s="89">
        <v>3</v>
      </c>
      <c r="BY74" s="89">
        <v>2</v>
      </c>
      <c r="BZ74" s="89">
        <v>2</v>
      </c>
      <c r="CA74" s="89">
        <v>1</v>
      </c>
      <c r="CB74" s="125"/>
      <c r="CE74" s="89">
        <v>3</v>
      </c>
      <c r="CF74" s="89">
        <v>2</v>
      </c>
      <c r="CG74" s="89">
        <v>2</v>
      </c>
      <c r="CH74" s="89">
        <v>1</v>
      </c>
      <c r="CI74" s="125"/>
      <c r="CL74" s="89">
        <v>3</v>
      </c>
      <c r="CM74" s="89">
        <v>2</v>
      </c>
      <c r="CN74" s="89">
        <v>2</v>
      </c>
      <c r="CO74" s="89">
        <v>1</v>
      </c>
      <c r="CP74" s="125"/>
      <c r="CS74" s="89">
        <v>3</v>
      </c>
      <c r="CT74" s="89">
        <v>2</v>
      </c>
      <c r="CU74" s="89">
        <v>2</v>
      </c>
      <c r="CV74" s="89">
        <v>1</v>
      </c>
      <c r="CW74" s="125" t="s">
        <v>4052</v>
      </c>
      <c r="CZ74" s="89">
        <v>3</v>
      </c>
      <c r="DA74" s="89">
        <v>2</v>
      </c>
      <c r="DB74" s="89">
        <v>2</v>
      </c>
      <c r="DC74" s="89">
        <v>1</v>
      </c>
      <c r="DD74" s="125" t="s">
        <v>4052</v>
      </c>
      <c r="DG74" s="89">
        <v>3</v>
      </c>
      <c r="DH74" s="89">
        <v>2</v>
      </c>
      <c r="DI74" s="89">
        <v>2</v>
      </c>
      <c r="DJ74" s="89">
        <v>1</v>
      </c>
      <c r="DK74" s="95" t="s">
        <v>4052</v>
      </c>
      <c r="DN74" s="89">
        <v>3</v>
      </c>
      <c r="DO74" s="89">
        <v>3</v>
      </c>
      <c r="DP74" s="89">
        <v>3</v>
      </c>
      <c r="DQ74" s="88">
        <v>4</v>
      </c>
      <c r="DR74" s="194" t="s">
        <v>4052</v>
      </c>
      <c r="DU74" s="188">
        <v>3</v>
      </c>
      <c r="DV74" s="188">
        <v>3</v>
      </c>
      <c r="DW74" s="188">
        <v>3</v>
      </c>
      <c r="DX74" s="188">
        <v>3</v>
      </c>
      <c r="DY74" s="95" t="s">
        <v>4052</v>
      </c>
      <c r="EB74" s="188">
        <v>3</v>
      </c>
      <c r="EC74" s="188">
        <v>3</v>
      </c>
      <c r="ED74" s="188">
        <v>3</v>
      </c>
      <c r="EE74" s="188">
        <v>3</v>
      </c>
      <c r="EF74" s="95" t="s">
        <v>4052</v>
      </c>
      <c r="EI74" s="188">
        <v>3</v>
      </c>
      <c r="EJ74" s="188">
        <v>3</v>
      </c>
      <c r="EK74" s="188">
        <v>3</v>
      </c>
      <c r="EL74" s="188">
        <v>3</v>
      </c>
      <c r="EM74" s="95" t="s">
        <v>4052</v>
      </c>
      <c r="EP74" s="188">
        <v>3</v>
      </c>
      <c r="EQ74" s="188">
        <v>3</v>
      </c>
      <c r="ER74" s="188">
        <v>3</v>
      </c>
      <c r="ES74" s="188">
        <v>3</v>
      </c>
      <c r="ET74" s="95" t="s">
        <v>4052</v>
      </c>
      <c r="EW74" s="89">
        <v>3</v>
      </c>
      <c r="EX74" s="89">
        <v>3</v>
      </c>
      <c r="EY74" s="89">
        <v>3</v>
      </c>
      <c r="EZ74" s="89">
        <v>3</v>
      </c>
      <c r="FA74" s="95" t="s">
        <v>4052</v>
      </c>
      <c r="FC74" s="89">
        <v>3</v>
      </c>
      <c r="FD74" s="89">
        <v>3</v>
      </c>
      <c r="FE74" s="89">
        <v>3</v>
      </c>
      <c r="FF74" s="89">
        <v>2</v>
      </c>
      <c r="FG74" s="95" t="s">
        <v>4052</v>
      </c>
      <c r="FI74" s="89">
        <v>3</v>
      </c>
      <c r="FJ74" s="89">
        <v>3</v>
      </c>
      <c r="FK74" s="89">
        <v>3</v>
      </c>
      <c r="FL74" s="89">
        <v>2</v>
      </c>
      <c r="FM74" s="95" t="s">
        <v>4052</v>
      </c>
      <c r="FO74" s="89">
        <v>3</v>
      </c>
      <c r="FP74" s="89">
        <v>3</v>
      </c>
      <c r="FQ74" s="89">
        <v>3</v>
      </c>
      <c r="FR74" s="89">
        <v>2</v>
      </c>
      <c r="FS74" s="95" t="s">
        <v>4052</v>
      </c>
      <c r="FU74" s="89">
        <v>3</v>
      </c>
      <c r="FV74" s="89">
        <v>3</v>
      </c>
      <c r="FW74" s="89">
        <v>3</v>
      </c>
      <c r="FX74" s="89">
        <v>2</v>
      </c>
      <c r="FY74" s="95" t="s">
        <v>4052</v>
      </c>
      <c r="GA74" s="89">
        <v>3</v>
      </c>
      <c r="GB74" s="89">
        <v>3</v>
      </c>
      <c r="GC74" s="89">
        <v>3</v>
      </c>
      <c r="GD74" s="89">
        <v>2</v>
      </c>
      <c r="GE74" s="95" t="s">
        <v>4052</v>
      </c>
      <c r="GG74" s="89">
        <v>3</v>
      </c>
      <c r="GH74" s="89">
        <v>3</v>
      </c>
      <c r="GI74" s="89">
        <v>3</v>
      </c>
      <c r="GJ74" s="89">
        <v>2</v>
      </c>
      <c r="GK74" s="95" t="s">
        <v>4052</v>
      </c>
      <c r="GM74" s="89">
        <v>3</v>
      </c>
      <c r="GN74" s="89">
        <v>3</v>
      </c>
      <c r="GO74" s="89">
        <v>3</v>
      </c>
      <c r="GP74" s="89">
        <v>2</v>
      </c>
      <c r="GS74" s="89">
        <v>3</v>
      </c>
      <c r="GT74" s="89">
        <v>3</v>
      </c>
      <c r="GU74" s="89">
        <v>3</v>
      </c>
      <c r="GV74" s="133">
        <v>2</v>
      </c>
      <c r="GW74" s="138"/>
      <c r="GX74" s="89">
        <v>2</v>
      </c>
      <c r="GY74" s="89">
        <v>3</v>
      </c>
      <c r="GZ74" s="89">
        <v>3</v>
      </c>
      <c r="HA74" s="88">
        <v>3</v>
      </c>
      <c r="HB74" s="89">
        <v>2</v>
      </c>
      <c r="HC74" s="89">
        <v>3</v>
      </c>
      <c r="HD74" s="89">
        <v>3</v>
      </c>
      <c r="HE74" s="89">
        <v>2</v>
      </c>
    </row>
    <row r="75" ht="43.2" spans="1:213">
      <c r="A75" s="89" t="s">
        <v>243</v>
      </c>
      <c r="B75" s="135" t="s">
        <v>4391</v>
      </c>
      <c r="C75" s="125" t="s">
        <v>4392</v>
      </c>
      <c r="J75" s="125" t="s">
        <v>4392</v>
      </c>
      <c r="Q75" s="125" t="s">
        <v>4392</v>
      </c>
      <c r="X75" s="125" t="s">
        <v>4392</v>
      </c>
      <c r="AE75" s="125" t="s">
        <v>4392</v>
      </c>
      <c r="AL75" s="125" t="s">
        <v>4392</v>
      </c>
      <c r="AS75" s="125" t="s">
        <v>4392</v>
      </c>
      <c r="AZ75" s="125" t="s">
        <v>4392</v>
      </c>
      <c r="BG75" s="125" t="s">
        <v>4392</v>
      </c>
      <c r="BN75" s="125" t="s">
        <v>4392</v>
      </c>
      <c r="BU75" s="125" t="s">
        <v>4392</v>
      </c>
      <c r="CB75" s="125" t="s">
        <v>4392</v>
      </c>
      <c r="CI75" s="125" t="s">
        <v>4392</v>
      </c>
      <c r="CP75" s="125" t="s">
        <v>4392</v>
      </c>
      <c r="CW75" s="125" t="s">
        <v>4392</v>
      </c>
      <c r="DD75" s="95" t="s">
        <v>4393</v>
      </c>
      <c r="DK75" s="95" t="s">
        <v>4393</v>
      </c>
      <c r="DN75" s="102">
        <v>2</v>
      </c>
      <c r="DO75" s="102">
        <v>1</v>
      </c>
      <c r="DP75" s="102">
        <v>1</v>
      </c>
      <c r="DQ75" s="324">
        <v>3</v>
      </c>
      <c r="DR75" s="126" t="s">
        <v>4394</v>
      </c>
      <c r="DU75" s="324">
        <v>2</v>
      </c>
      <c r="DV75" s="330">
        <v>1</v>
      </c>
      <c r="DW75" s="330">
        <v>1</v>
      </c>
      <c r="DX75" s="324">
        <v>2</v>
      </c>
      <c r="DY75" s="194" t="s">
        <v>4395</v>
      </c>
      <c r="EB75" s="330">
        <v>1</v>
      </c>
      <c r="EC75" s="330">
        <v>1</v>
      </c>
      <c r="ED75" s="330">
        <v>1</v>
      </c>
      <c r="EE75" s="330">
        <v>1</v>
      </c>
      <c r="EF75" s="194" t="s">
        <v>4395</v>
      </c>
      <c r="EI75" s="330">
        <v>1</v>
      </c>
      <c r="EJ75" s="330">
        <v>1</v>
      </c>
      <c r="EK75" s="330">
        <v>1</v>
      </c>
      <c r="EL75" s="330">
        <v>1</v>
      </c>
      <c r="EM75" s="194" t="s">
        <v>4395</v>
      </c>
      <c r="EP75" s="330">
        <v>1</v>
      </c>
      <c r="EQ75" s="330">
        <v>1</v>
      </c>
      <c r="ER75" s="330">
        <v>1</v>
      </c>
      <c r="ES75" s="330">
        <v>1</v>
      </c>
      <c r="ET75" s="126" t="s">
        <v>4396</v>
      </c>
      <c r="EW75" s="331">
        <v>1</v>
      </c>
      <c r="EX75" s="331">
        <v>1</v>
      </c>
      <c r="EY75" s="331">
        <v>1</v>
      </c>
      <c r="EZ75" s="331">
        <v>1</v>
      </c>
      <c r="FA75" s="95" t="s">
        <v>4397</v>
      </c>
      <c r="FC75" s="89">
        <v>2</v>
      </c>
      <c r="FD75" s="89">
        <v>2</v>
      </c>
      <c r="FE75" s="89">
        <v>2</v>
      </c>
      <c r="FF75" s="89">
        <v>3</v>
      </c>
      <c r="FG75" s="95" t="s">
        <v>4397</v>
      </c>
      <c r="FI75" s="89">
        <v>2</v>
      </c>
      <c r="FJ75" s="89">
        <v>2</v>
      </c>
      <c r="FK75" s="89">
        <v>2</v>
      </c>
      <c r="FL75" s="89">
        <v>3</v>
      </c>
      <c r="FM75" s="95" t="s">
        <v>4397</v>
      </c>
      <c r="FO75" s="89">
        <v>2</v>
      </c>
      <c r="FP75" s="89">
        <v>2</v>
      </c>
      <c r="FQ75" s="89">
        <v>2</v>
      </c>
      <c r="FR75" s="89">
        <v>3</v>
      </c>
      <c r="FS75" s="95" t="s">
        <v>4397</v>
      </c>
      <c r="FU75" s="89">
        <v>2</v>
      </c>
      <c r="FV75" s="89">
        <v>2</v>
      </c>
      <c r="FW75" s="89">
        <v>2</v>
      </c>
      <c r="FX75" s="89">
        <v>3</v>
      </c>
      <c r="FY75" s="95" t="s">
        <v>4397</v>
      </c>
      <c r="GA75" s="89">
        <v>2</v>
      </c>
      <c r="GB75" s="89">
        <v>2</v>
      </c>
      <c r="GC75" s="89">
        <v>2</v>
      </c>
      <c r="GD75" s="89">
        <v>3</v>
      </c>
      <c r="GE75" s="126" t="s">
        <v>4397</v>
      </c>
      <c r="GG75" s="89">
        <v>2</v>
      </c>
      <c r="GH75" s="89">
        <v>2</v>
      </c>
      <c r="GI75" s="89">
        <v>2</v>
      </c>
      <c r="GJ75" s="89">
        <v>3</v>
      </c>
      <c r="GK75" s="126" t="s">
        <v>4397</v>
      </c>
      <c r="GM75" s="89">
        <v>2</v>
      </c>
      <c r="GN75" s="89">
        <v>2</v>
      </c>
      <c r="GO75" s="89">
        <v>2</v>
      </c>
      <c r="GP75" s="89">
        <v>3</v>
      </c>
      <c r="GQ75" s="126" t="s">
        <v>4398</v>
      </c>
      <c r="GS75" s="133">
        <v>2</v>
      </c>
      <c r="GT75" s="88">
        <v>2</v>
      </c>
      <c r="GU75" s="88">
        <v>2</v>
      </c>
      <c r="GV75" s="88">
        <v>3</v>
      </c>
      <c r="GW75" s="126"/>
      <c r="GX75" s="89">
        <v>3</v>
      </c>
      <c r="GY75" s="89">
        <v>1</v>
      </c>
      <c r="GZ75" s="89">
        <v>1</v>
      </c>
      <c r="HA75" s="89">
        <v>1</v>
      </c>
      <c r="HB75" s="89">
        <v>3</v>
      </c>
      <c r="HC75" s="89">
        <v>1</v>
      </c>
      <c r="HD75" s="89">
        <v>1</v>
      </c>
      <c r="HE75" s="89">
        <v>1</v>
      </c>
    </row>
    <row r="76" spans="2:101">
      <c r="B76" s="89" t="s">
        <v>4399</v>
      </c>
      <c r="C76" s="125"/>
      <c r="J76" s="125"/>
      <c r="Q76" s="125"/>
      <c r="X76" s="125"/>
      <c r="AE76" s="125"/>
      <c r="AL76" s="125"/>
      <c r="AS76" s="125"/>
      <c r="AZ76" s="125"/>
      <c r="BG76" s="125"/>
      <c r="BN76" s="125"/>
      <c r="BU76" s="125"/>
      <c r="CB76" s="125"/>
      <c r="CI76" s="125"/>
      <c r="CP76" s="125"/>
      <c r="CW76" s="125"/>
    </row>
    <row r="77" spans="1:121">
      <c r="A77" s="88" t="s">
        <v>227</v>
      </c>
      <c r="B77" s="134" t="s">
        <v>4400</v>
      </c>
      <c r="DN77" s="88"/>
      <c r="DO77" s="88"/>
      <c r="DP77" s="88"/>
      <c r="DQ77" s="88"/>
    </row>
    <row r="78" spans="1:121">
      <c r="A78" s="89" t="s">
        <v>230</v>
      </c>
      <c r="B78" s="191" t="s">
        <v>4401</v>
      </c>
      <c r="C78" s="125" t="s">
        <v>4392</v>
      </c>
      <c r="J78" s="125" t="s">
        <v>4392</v>
      </c>
      <c r="Q78" s="125" t="s">
        <v>4392</v>
      </c>
      <c r="X78" s="125" t="s">
        <v>4392</v>
      </c>
      <c r="AE78" s="125" t="s">
        <v>4392</v>
      </c>
      <c r="AL78" s="125" t="s">
        <v>4392</v>
      </c>
      <c r="AS78" s="125" t="s">
        <v>4392</v>
      </c>
      <c r="AZ78" s="125" t="s">
        <v>4392</v>
      </c>
      <c r="BG78" s="125"/>
      <c r="BN78" s="125" t="s">
        <v>4392</v>
      </c>
      <c r="BU78" s="125" t="s">
        <v>4392</v>
      </c>
      <c r="CB78" s="125" t="s">
        <v>4392</v>
      </c>
      <c r="CI78" s="125" t="s">
        <v>4392</v>
      </c>
      <c r="CP78" s="125" t="s">
        <v>4392</v>
      </c>
      <c r="CW78" s="125" t="s">
        <v>4392</v>
      </c>
      <c r="DD78" s="95" t="s">
        <v>4283</v>
      </c>
      <c r="DK78" s="126" t="s">
        <v>4284</v>
      </c>
      <c r="DN78" s="88">
        <v>5</v>
      </c>
      <c r="DO78" s="88">
        <v>4</v>
      </c>
      <c r="DP78" s="88">
        <v>4</v>
      </c>
      <c r="DQ78" s="88">
        <v>1</v>
      </c>
    </row>
    <row r="79" spans="1:121">
      <c r="A79" s="89" t="s">
        <v>230</v>
      </c>
      <c r="B79" s="191" t="s">
        <v>559</v>
      </c>
      <c r="C79" s="125"/>
      <c r="F79" s="89">
        <v>3</v>
      </c>
      <c r="G79" s="89">
        <v>3</v>
      </c>
      <c r="H79" s="89">
        <v>3</v>
      </c>
      <c r="I79" s="89">
        <v>3</v>
      </c>
      <c r="J79" s="125"/>
      <c r="M79" s="89">
        <v>3</v>
      </c>
      <c r="N79" s="89">
        <v>3</v>
      </c>
      <c r="O79" s="89">
        <v>3</v>
      </c>
      <c r="P79" s="89">
        <v>3</v>
      </c>
      <c r="Q79" s="125"/>
      <c r="T79" s="89">
        <v>3</v>
      </c>
      <c r="U79" s="89">
        <v>3</v>
      </c>
      <c r="V79" s="89">
        <v>3</v>
      </c>
      <c r="W79" s="89">
        <v>3</v>
      </c>
      <c r="X79" s="125"/>
      <c r="AA79" s="89">
        <v>3</v>
      </c>
      <c r="AB79" s="89">
        <v>3</v>
      </c>
      <c r="AC79" s="89">
        <v>3</v>
      </c>
      <c r="AD79" s="89">
        <v>3</v>
      </c>
      <c r="AE79" s="125"/>
      <c r="AH79" s="88">
        <v>3</v>
      </c>
      <c r="AI79" s="88">
        <v>3</v>
      </c>
      <c r="AJ79" s="88">
        <v>3</v>
      </c>
      <c r="AK79" s="88">
        <v>3</v>
      </c>
      <c r="AL79" s="125"/>
      <c r="AO79" s="88">
        <v>3</v>
      </c>
      <c r="AP79" s="88">
        <v>3</v>
      </c>
      <c r="AQ79" s="88">
        <v>3</v>
      </c>
      <c r="AR79" s="88">
        <v>3</v>
      </c>
      <c r="AS79" s="125"/>
      <c r="AV79" s="89">
        <v>2</v>
      </c>
      <c r="AW79" s="89">
        <v>2</v>
      </c>
      <c r="AX79" s="89">
        <v>2</v>
      </c>
      <c r="AY79" s="89">
        <v>3</v>
      </c>
      <c r="AZ79" s="125"/>
      <c r="BC79" s="89">
        <v>2</v>
      </c>
      <c r="BD79" s="89">
        <v>2</v>
      </c>
      <c r="BE79" s="89">
        <v>2</v>
      </c>
      <c r="BF79" s="89">
        <v>3</v>
      </c>
      <c r="BG79" s="125" t="s">
        <v>4392</v>
      </c>
      <c r="BJ79" s="89">
        <v>2</v>
      </c>
      <c r="BK79" s="89">
        <v>2</v>
      </c>
      <c r="BL79" s="89">
        <v>2</v>
      </c>
      <c r="BM79" s="89">
        <v>3</v>
      </c>
      <c r="BN79" s="125"/>
      <c r="BQ79" s="89">
        <v>3</v>
      </c>
      <c r="BR79" s="89">
        <v>3</v>
      </c>
      <c r="BS79" s="89">
        <v>3</v>
      </c>
      <c r="BT79" s="89">
        <v>2</v>
      </c>
      <c r="BU79" s="125" t="s">
        <v>4392</v>
      </c>
      <c r="BX79" s="89">
        <v>2</v>
      </c>
      <c r="BY79" s="89">
        <v>3</v>
      </c>
      <c r="BZ79" s="89">
        <v>3</v>
      </c>
      <c r="CA79" s="89">
        <v>2</v>
      </c>
      <c r="CB79" s="125"/>
      <c r="CE79" s="89">
        <v>2</v>
      </c>
      <c r="CF79" s="89">
        <v>3</v>
      </c>
      <c r="CG79" s="89">
        <v>3</v>
      </c>
      <c r="CH79" s="89">
        <v>2</v>
      </c>
      <c r="CI79" s="125"/>
      <c r="CL79" s="89">
        <v>2</v>
      </c>
      <c r="CM79" s="89">
        <v>3</v>
      </c>
      <c r="CN79" s="89">
        <v>3</v>
      </c>
      <c r="CO79" s="89">
        <v>2</v>
      </c>
      <c r="CP79" s="125" t="s">
        <v>4392</v>
      </c>
      <c r="CS79" s="89">
        <v>2</v>
      </c>
      <c r="CT79" s="89">
        <v>3</v>
      </c>
      <c r="CU79" s="89">
        <v>3</v>
      </c>
      <c r="CV79" s="89">
        <v>2</v>
      </c>
      <c r="CW79" s="125" t="s">
        <v>4392</v>
      </c>
      <c r="CZ79" s="89">
        <v>2</v>
      </c>
      <c r="DA79" s="89">
        <v>3</v>
      </c>
      <c r="DB79" s="89">
        <v>3</v>
      </c>
      <c r="DC79" s="89">
        <v>2</v>
      </c>
      <c r="DD79" s="95" t="s">
        <v>4283</v>
      </c>
      <c r="DG79" s="89">
        <v>2</v>
      </c>
      <c r="DH79" s="89">
        <v>3</v>
      </c>
      <c r="DI79" s="89">
        <v>3</v>
      </c>
      <c r="DJ79" s="89">
        <v>2</v>
      </c>
      <c r="DK79" s="126" t="s">
        <v>4284</v>
      </c>
      <c r="DN79" s="88">
        <v>4</v>
      </c>
      <c r="DO79" s="88">
        <v>5</v>
      </c>
      <c r="DP79" s="88">
        <v>5</v>
      </c>
      <c r="DQ79" s="88">
        <v>5</v>
      </c>
    </row>
    <row r="82" customHeight="1" spans="1:213">
      <c r="A82" s="96" t="s">
        <v>274</v>
      </c>
      <c r="B82" s="97"/>
      <c r="C82" s="116" t="s">
        <v>3923</v>
      </c>
      <c r="D82" s="128"/>
      <c r="E82" s="128"/>
      <c r="F82" s="128"/>
      <c r="G82" s="128"/>
      <c r="H82" s="128"/>
      <c r="I82" s="132"/>
      <c r="J82" s="116" t="s">
        <v>3923</v>
      </c>
      <c r="K82" s="128"/>
      <c r="L82" s="128"/>
      <c r="M82" s="128"/>
      <c r="N82" s="128"/>
      <c r="O82" s="128"/>
      <c r="P82" s="132"/>
      <c r="Q82" s="116" t="s">
        <v>4083</v>
      </c>
      <c r="R82" s="128"/>
      <c r="S82" s="128"/>
      <c r="T82" s="128"/>
      <c r="U82" s="128"/>
      <c r="V82" s="128"/>
      <c r="W82" s="132"/>
      <c r="X82" s="116" t="s">
        <v>3925</v>
      </c>
      <c r="Y82" s="128"/>
      <c r="Z82" s="128"/>
      <c r="AA82" s="128"/>
      <c r="AB82" s="128"/>
      <c r="AC82" s="128"/>
      <c r="AD82" s="132"/>
      <c r="AE82" s="116" t="s">
        <v>3926</v>
      </c>
      <c r="AF82" s="128"/>
      <c r="AG82" s="128"/>
      <c r="AH82" s="128"/>
      <c r="AI82" s="128"/>
      <c r="AJ82" s="128"/>
      <c r="AK82" s="132"/>
      <c r="AL82" s="116" t="s">
        <v>3927</v>
      </c>
      <c r="AM82" s="128"/>
      <c r="AN82" s="128"/>
      <c r="AO82" s="128"/>
      <c r="AP82" s="128"/>
      <c r="AQ82" s="128"/>
      <c r="AR82" s="132"/>
      <c r="AS82" s="116" t="s">
        <v>3928</v>
      </c>
      <c r="AT82" s="128"/>
      <c r="AU82" s="128"/>
      <c r="AV82" s="128"/>
      <c r="AW82" s="128"/>
      <c r="AX82" s="128"/>
      <c r="AY82" s="132"/>
      <c r="AZ82" s="116" t="s">
        <v>3929</v>
      </c>
      <c r="BA82" s="128"/>
      <c r="BB82" s="128"/>
      <c r="BC82" s="128"/>
      <c r="BD82" s="128"/>
      <c r="BE82" s="128"/>
      <c r="BF82" s="132"/>
      <c r="BG82" s="116" t="s">
        <v>3930</v>
      </c>
      <c r="BH82" s="128"/>
      <c r="BI82" s="128"/>
      <c r="BJ82" s="128"/>
      <c r="BK82" s="128"/>
      <c r="BL82" s="128"/>
      <c r="BM82" s="132"/>
      <c r="BN82" s="116" t="s">
        <v>3931</v>
      </c>
      <c r="BO82" s="128"/>
      <c r="BP82" s="128"/>
      <c r="BQ82" s="128"/>
      <c r="BR82" s="128"/>
      <c r="BS82" s="128"/>
      <c r="BT82" s="132"/>
      <c r="BU82" s="116" t="s">
        <v>3932</v>
      </c>
      <c r="BV82" s="128"/>
      <c r="BW82" s="128"/>
      <c r="BX82" s="128"/>
      <c r="BY82" s="128"/>
      <c r="BZ82" s="128"/>
      <c r="CA82" s="132"/>
      <c r="CB82" s="116" t="s">
        <v>3933</v>
      </c>
      <c r="CC82" s="128"/>
      <c r="CD82" s="128"/>
      <c r="CE82" s="128"/>
      <c r="CF82" s="128"/>
      <c r="CG82" s="128"/>
      <c r="CH82" s="132"/>
      <c r="CI82" s="116" t="s">
        <v>3922</v>
      </c>
      <c r="CJ82" s="128"/>
      <c r="CK82" s="128"/>
      <c r="CL82" s="128"/>
      <c r="CM82" s="128"/>
      <c r="CN82" s="128"/>
      <c r="CO82" s="132"/>
      <c r="CP82" s="116" t="s">
        <v>3934</v>
      </c>
      <c r="CQ82" s="128"/>
      <c r="CR82" s="128"/>
      <c r="CS82" s="128"/>
      <c r="CT82" s="128"/>
      <c r="CU82" s="128"/>
      <c r="CV82" s="132"/>
      <c r="CW82" s="116" t="s">
        <v>3924</v>
      </c>
      <c r="CX82" s="128"/>
      <c r="CY82" s="128"/>
      <c r="CZ82" s="128"/>
      <c r="DA82" s="128"/>
      <c r="DB82" s="128"/>
      <c r="DC82" s="132"/>
      <c r="DD82" s="116" t="s">
        <v>3935</v>
      </c>
      <c r="DE82" s="128"/>
      <c r="DF82" s="128"/>
      <c r="DG82" s="128"/>
      <c r="DH82" s="128"/>
      <c r="DI82" s="128"/>
      <c r="DJ82" s="132"/>
      <c r="DK82" s="116" t="s">
        <v>3936</v>
      </c>
      <c r="DL82" s="128"/>
      <c r="DM82" s="128"/>
      <c r="DN82" s="128"/>
      <c r="DO82" s="128"/>
      <c r="DP82" s="128"/>
      <c r="DQ82" s="132"/>
      <c r="DR82" s="325" t="s">
        <v>3937</v>
      </c>
      <c r="DS82" s="326"/>
      <c r="DT82" s="326"/>
      <c r="DU82" s="326"/>
      <c r="DV82" s="326"/>
      <c r="DW82" s="326"/>
      <c r="DX82" s="327"/>
      <c r="DY82" s="116" t="s">
        <v>3928</v>
      </c>
      <c r="DZ82" s="128"/>
      <c r="EA82" s="128"/>
      <c r="EB82" s="128"/>
      <c r="EC82" s="128"/>
      <c r="ED82" s="128"/>
      <c r="EE82" s="132"/>
      <c r="EF82" s="116" t="s">
        <v>3929</v>
      </c>
      <c r="EG82" s="128"/>
      <c r="EH82" s="128"/>
      <c r="EI82" s="128"/>
      <c r="EJ82" s="128"/>
      <c r="EK82" s="128"/>
      <c r="EL82" s="132"/>
      <c r="EM82" s="116" t="s">
        <v>4084</v>
      </c>
      <c r="EN82" s="128"/>
      <c r="EO82" s="128"/>
      <c r="EP82" s="128"/>
      <c r="EQ82" s="128"/>
      <c r="ER82" s="128"/>
      <c r="ES82" s="132"/>
      <c r="EU82" s="332"/>
      <c r="EV82" s="332"/>
      <c r="EW82" s="116" t="s">
        <v>4085</v>
      </c>
      <c r="EX82" s="128"/>
      <c r="EY82" s="128"/>
      <c r="EZ82" s="132"/>
      <c r="FB82" s="332"/>
      <c r="FC82" s="116" t="s">
        <v>4086</v>
      </c>
      <c r="FD82" s="128"/>
      <c r="FE82" s="128"/>
      <c r="FF82" s="132"/>
      <c r="FH82" s="332"/>
      <c r="FI82" s="116" t="s">
        <v>4087</v>
      </c>
      <c r="FJ82" s="128"/>
      <c r="FK82" s="128"/>
      <c r="FL82" s="132"/>
      <c r="FN82" s="332"/>
      <c r="FO82" s="116" t="s">
        <v>4088</v>
      </c>
      <c r="FP82" s="128"/>
      <c r="FQ82" s="128"/>
      <c r="FR82" s="132"/>
      <c r="FT82" s="332"/>
      <c r="FU82" s="116" t="s">
        <v>4089</v>
      </c>
      <c r="FV82" s="128"/>
      <c r="FW82" s="128"/>
      <c r="FX82" s="132"/>
      <c r="FZ82" s="332"/>
      <c r="GA82" s="116" t="s">
        <v>4090</v>
      </c>
      <c r="GB82" s="128"/>
      <c r="GC82" s="128"/>
      <c r="GD82" s="132"/>
      <c r="GF82" s="332"/>
      <c r="GG82" s="116" t="s">
        <v>4091</v>
      </c>
      <c r="GH82" s="128"/>
      <c r="GI82" s="128"/>
      <c r="GJ82" s="132"/>
      <c r="GL82" s="332"/>
      <c r="GM82" s="116" t="s">
        <v>3941</v>
      </c>
      <c r="GN82" s="128"/>
      <c r="GO82" s="128"/>
      <c r="GP82" s="132"/>
      <c r="GR82" s="332"/>
      <c r="GS82" s="116" t="s">
        <v>3941</v>
      </c>
      <c r="GT82" s="128"/>
      <c r="GU82" s="128"/>
      <c r="GV82" s="132"/>
      <c r="GW82" s="128"/>
      <c r="GX82" s="116" t="s">
        <v>3942</v>
      </c>
      <c r="GY82" s="128"/>
      <c r="GZ82" s="128"/>
      <c r="HA82" s="132"/>
      <c r="HB82" s="116" t="s">
        <v>3943</v>
      </c>
      <c r="HC82" s="128"/>
      <c r="HD82" s="128"/>
      <c r="HE82" s="132"/>
    </row>
    <row r="83" ht="28.2" spans="1:213">
      <c r="A83" s="101" t="s">
        <v>3944</v>
      </c>
      <c r="B83" s="102" t="s">
        <v>207</v>
      </c>
      <c r="C83" s="120" t="s">
        <v>3945</v>
      </c>
      <c r="D83" s="120" t="s">
        <v>3946</v>
      </c>
      <c r="E83" s="313" t="s">
        <v>3947</v>
      </c>
      <c r="F83" s="119" t="s">
        <v>3948</v>
      </c>
      <c r="G83" s="119" t="s">
        <v>3949</v>
      </c>
      <c r="H83" s="119" t="s">
        <v>3950</v>
      </c>
      <c r="I83" s="119" t="s">
        <v>3951</v>
      </c>
      <c r="J83" s="120" t="s">
        <v>3945</v>
      </c>
      <c r="K83" s="120" t="s">
        <v>3946</v>
      </c>
      <c r="L83" s="313" t="s">
        <v>3947</v>
      </c>
      <c r="M83" s="119" t="s">
        <v>3948</v>
      </c>
      <c r="N83" s="119" t="s">
        <v>3949</v>
      </c>
      <c r="O83" s="119" t="s">
        <v>3950</v>
      </c>
      <c r="P83" s="119" t="s">
        <v>3951</v>
      </c>
      <c r="Q83" s="120" t="s">
        <v>3945</v>
      </c>
      <c r="R83" s="120" t="s">
        <v>3946</v>
      </c>
      <c r="S83" s="313" t="s">
        <v>3947</v>
      </c>
      <c r="T83" s="119" t="s">
        <v>3948</v>
      </c>
      <c r="U83" s="119" t="s">
        <v>3949</v>
      </c>
      <c r="V83" s="119" t="s">
        <v>3950</v>
      </c>
      <c r="W83" s="119" t="s">
        <v>3951</v>
      </c>
      <c r="X83" s="120" t="s">
        <v>3952</v>
      </c>
      <c r="Y83" s="120" t="s">
        <v>3953</v>
      </c>
      <c r="Z83" s="313" t="s">
        <v>3947</v>
      </c>
      <c r="AA83" s="119" t="s">
        <v>3948</v>
      </c>
      <c r="AB83" s="119" t="s">
        <v>3949</v>
      </c>
      <c r="AC83" s="119" t="s">
        <v>3950</v>
      </c>
      <c r="AD83" s="119" t="s">
        <v>3951</v>
      </c>
      <c r="AE83" s="120" t="s">
        <v>3954</v>
      </c>
      <c r="AF83" s="120" t="s">
        <v>3955</v>
      </c>
      <c r="AG83" s="313" t="s">
        <v>3947</v>
      </c>
      <c r="AH83" s="119" t="s">
        <v>3948</v>
      </c>
      <c r="AI83" s="119" t="s">
        <v>3949</v>
      </c>
      <c r="AJ83" s="119" t="s">
        <v>3950</v>
      </c>
      <c r="AK83" s="119" t="s">
        <v>3951</v>
      </c>
      <c r="AL83" s="120" t="s">
        <v>3956</v>
      </c>
      <c r="AM83" s="120" t="s">
        <v>3957</v>
      </c>
      <c r="AN83" s="119" t="s">
        <v>3947</v>
      </c>
      <c r="AO83" s="119" t="s">
        <v>3948</v>
      </c>
      <c r="AP83" s="119" t="s">
        <v>3949</v>
      </c>
      <c r="AQ83" s="119" t="s">
        <v>3950</v>
      </c>
      <c r="AR83" s="119" t="s">
        <v>3951</v>
      </c>
      <c r="AS83" s="120" t="s">
        <v>3958</v>
      </c>
      <c r="AT83" s="120" t="s">
        <v>3959</v>
      </c>
      <c r="AU83" s="119" t="s">
        <v>3947</v>
      </c>
      <c r="AV83" s="119" t="s">
        <v>3948</v>
      </c>
      <c r="AW83" s="119" t="s">
        <v>3949</v>
      </c>
      <c r="AX83" s="119" t="s">
        <v>3950</v>
      </c>
      <c r="AY83" s="119" t="s">
        <v>3951</v>
      </c>
      <c r="AZ83" s="120" t="s">
        <v>3960</v>
      </c>
      <c r="BA83" s="120" t="s">
        <v>3961</v>
      </c>
      <c r="BB83" s="119" t="s">
        <v>3947</v>
      </c>
      <c r="BC83" s="119" t="s">
        <v>3948</v>
      </c>
      <c r="BD83" s="119" t="s">
        <v>3949</v>
      </c>
      <c r="BE83" s="119" t="s">
        <v>3950</v>
      </c>
      <c r="BF83" s="119" t="s">
        <v>3951</v>
      </c>
      <c r="BG83" s="120" t="s">
        <v>3962</v>
      </c>
      <c r="BH83" s="120" t="s">
        <v>3963</v>
      </c>
      <c r="BI83" s="119" t="s">
        <v>3947</v>
      </c>
      <c r="BJ83" s="119" t="s">
        <v>3948</v>
      </c>
      <c r="BK83" s="119" t="s">
        <v>3949</v>
      </c>
      <c r="BL83" s="119" t="s">
        <v>3950</v>
      </c>
      <c r="BM83" s="119" t="s">
        <v>3951</v>
      </c>
      <c r="BN83" s="120" t="s">
        <v>3964</v>
      </c>
      <c r="BO83" s="120" t="s">
        <v>3965</v>
      </c>
      <c r="BP83" s="119" t="s">
        <v>3947</v>
      </c>
      <c r="BQ83" s="119" t="s">
        <v>3948</v>
      </c>
      <c r="BR83" s="119" t="s">
        <v>3949</v>
      </c>
      <c r="BS83" s="119" t="s">
        <v>3950</v>
      </c>
      <c r="BT83" s="119" t="s">
        <v>3951</v>
      </c>
      <c r="BU83" s="120" t="s">
        <v>3966</v>
      </c>
      <c r="BV83" s="120" t="s">
        <v>3967</v>
      </c>
      <c r="BW83" s="119" t="s">
        <v>3947</v>
      </c>
      <c r="BX83" s="119" t="s">
        <v>3948</v>
      </c>
      <c r="BY83" s="119" t="s">
        <v>3949</v>
      </c>
      <c r="BZ83" s="119" t="s">
        <v>3950</v>
      </c>
      <c r="CA83" s="119" t="s">
        <v>3951</v>
      </c>
      <c r="CB83" s="120" t="s">
        <v>3968</v>
      </c>
      <c r="CC83" s="120" t="s">
        <v>3969</v>
      </c>
      <c r="CD83" s="119" t="s">
        <v>3947</v>
      </c>
      <c r="CE83" s="119" t="s">
        <v>3948</v>
      </c>
      <c r="CF83" s="119" t="s">
        <v>3949</v>
      </c>
      <c r="CG83" s="119" t="s">
        <v>3950</v>
      </c>
      <c r="CH83" s="119" t="s">
        <v>3951</v>
      </c>
      <c r="CI83" s="120" t="s">
        <v>3970</v>
      </c>
      <c r="CJ83" s="120" t="s">
        <v>3971</v>
      </c>
      <c r="CK83" s="119" t="s">
        <v>3947</v>
      </c>
      <c r="CL83" s="119" t="s">
        <v>3948</v>
      </c>
      <c r="CM83" s="119" t="s">
        <v>3949</v>
      </c>
      <c r="CN83" s="119" t="s">
        <v>3950</v>
      </c>
      <c r="CO83" s="119" t="s">
        <v>3951</v>
      </c>
      <c r="CP83" s="120" t="s">
        <v>3972</v>
      </c>
      <c r="CQ83" s="120" t="s">
        <v>3973</v>
      </c>
      <c r="CR83" s="119" t="s">
        <v>3947</v>
      </c>
      <c r="CS83" s="119" t="s">
        <v>3948</v>
      </c>
      <c r="CT83" s="119" t="s">
        <v>3949</v>
      </c>
      <c r="CU83" s="119" t="s">
        <v>3950</v>
      </c>
      <c r="CV83" s="119" t="s">
        <v>3951</v>
      </c>
      <c r="CW83" s="120" t="s">
        <v>3974</v>
      </c>
      <c r="CX83" s="120" t="s">
        <v>3975</v>
      </c>
      <c r="CY83" s="119" t="s">
        <v>3947</v>
      </c>
      <c r="CZ83" s="119" t="s">
        <v>3948</v>
      </c>
      <c r="DA83" s="119" t="s">
        <v>3949</v>
      </c>
      <c r="DB83" s="119" t="s">
        <v>3950</v>
      </c>
      <c r="DC83" s="119" t="s">
        <v>3951</v>
      </c>
      <c r="DD83" s="120" t="s">
        <v>3974</v>
      </c>
      <c r="DE83" s="120" t="s">
        <v>3975</v>
      </c>
      <c r="DF83" s="119" t="s">
        <v>3947</v>
      </c>
      <c r="DG83" s="119" t="s">
        <v>3948</v>
      </c>
      <c r="DH83" s="119" t="s">
        <v>3949</v>
      </c>
      <c r="DI83" s="119" t="s">
        <v>3950</v>
      </c>
      <c r="DJ83" s="119" t="s">
        <v>3951</v>
      </c>
      <c r="DK83" s="120" t="s">
        <v>3976</v>
      </c>
      <c r="DL83" s="120" t="s">
        <v>3977</v>
      </c>
      <c r="DM83" s="119" t="s">
        <v>3947</v>
      </c>
      <c r="DN83" s="119" t="s">
        <v>3948</v>
      </c>
      <c r="DO83" s="119" t="s">
        <v>3949</v>
      </c>
      <c r="DP83" s="119" t="s">
        <v>3950</v>
      </c>
      <c r="DQ83" s="119" t="s">
        <v>3951</v>
      </c>
      <c r="DR83" s="328" t="s">
        <v>3978</v>
      </c>
      <c r="DS83" s="328" t="s">
        <v>3979</v>
      </c>
      <c r="DT83" s="313" t="s">
        <v>3947</v>
      </c>
      <c r="DU83" s="313" t="s">
        <v>3948</v>
      </c>
      <c r="DV83" s="313" t="s">
        <v>3949</v>
      </c>
      <c r="DW83" s="313" t="s">
        <v>3950</v>
      </c>
      <c r="DX83" s="313" t="s">
        <v>3951</v>
      </c>
      <c r="DY83" s="120" t="s">
        <v>3980</v>
      </c>
      <c r="DZ83" s="120" t="s">
        <v>3981</v>
      </c>
      <c r="EA83" s="119" t="s">
        <v>3947</v>
      </c>
      <c r="EB83" s="119" t="s">
        <v>3948</v>
      </c>
      <c r="EC83" s="119" t="s">
        <v>3949</v>
      </c>
      <c r="ED83" s="119" t="s">
        <v>3950</v>
      </c>
      <c r="EE83" s="119" t="s">
        <v>3951</v>
      </c>
      <c r="EF83" s="120" t="s">
        <v>3982</v>
      </c>
      <c r="EG83" s="120" t="s">
        <v>3983</v>
      </c>
      <c r="EH83" s="119" t="s">
        <v>3947</v>
      </c>
      <c r="EI83" s="119" t="s">
        <v>3948</v>
      </c>
      <c r="EJ83" s="119" t="s">
        <v>3949</v>
      </c>
      <c r="EK83" s="119" t="s">
        <v>3950</v>
      </c>
      <c r="EL83" s="119" t="s">
        <v>3951</v>
      </c>
      <c r="EM83" s="120" t="s">
        <v>3984</v>
      </c>
      <c r="EN83" s="120" t="s">
        <v>3985</v>
      </c>
      <c r="EO83" s="120"/>
      <c r="EP83" s="119" t="s">
        <v>3948</v>
      </c>
      <c r="EQ83" s="119" t="s">
        <v>3949</v>
      </c>
      <c r="ER83" s="119" t="s">
        <v>3950</v>
      </c>
      <c r="ES83" s="119" t="s">
        <v>3951</v>
      </c>
      <c r="ET83" s="120" t="s">
        <v>3986</v>
      </c>
      <c r="EU83" s="120" t="s">
        <v>3987</v>
      </c>
      <c r="EV83" s="120"/>
      <c r="EW83" s="119" t="s">
        <v>3948</v>
      </c>
      <c r="EX83" s="119" t="s">
        <v>3949</v>
      </c>
      <c r="EY83" s="119" t="s">
        <v>3950</v>
      </c>
      <c r="EZ83" s="119" t="s">
        <v>3951</v>
      </c>
      <c r="FA83" s="120" t="s">
        <v>3988</v>
      </c>
      <c r="FB83" s="120" t="s">
        <v>3989</v>
      </c>
      <c r="FC83" s="119" t="s">
        <v>3948</v>
      </c>
      <c r="FD83" s="119" t="s">
        <v>3949</v>
      </c>
      <c r="FE83" s="119" t="s">
        <v>3950</v>
      </c>
      <c r="FF83" s="119" t="s">
        <v>3951</v>
      </c>
      <c r="FG83" s="120" t="s">
        <v>3990</v>
      </c>
      <c r="FH83" s="120" t="s">
        <v>3991</v>
      </c>
      <c r="FI83" s="119" t="s">
        <v>3948</v>
      </c>
      <c r="FJ83" s="119" t="s">
        <v>3949</v>
      </c>
      <c r="FK83" s="119" t="s">
        <v>3950</v>
      </c>
      <c r="FL83" s="119" t="s">
        <v>3951</v>
      </c>
      <c r="FM83" s="120" t="s">
        <v>3992</v>
      </c>
      <c r="FN83" s="120" t="s">
        <v>3993</v>
      </c>
      <c r="FO83" s="119" t="s">
        <v>3948</v>
      </c>
      <c r="FP83" s="119" t="s">
        <v>3949</v>
      </c>
      <c r="FQ83" s="119" t="s">
        <v>3950</v>
      </c>
      <c r="FR83" s="119" t="s">
        <v>3951</v>
      </c>
      <c r="FS83" s="120" t="s">
        <v>3994</v>
      </c>
      <c r="FT83" s="120" t="s">
        <v>3995</v>
      </c>
      <c r="FU83" s="119" t="s">
        <v>3948</v>
      </c>
      <c r="FV83" s="119" t="s">
        <v>3949</v>
      </c>
      <c r="FW83" s="119" t="s">
        <v>3950</v>
      </c>
      <c r="FX83" s="119" t="s">
        <v>3951</v>
      </c>
      <c r="FY83" s="120" t="s">
        <v>3996</v>
      </c>
      <c r="FZ83" s="120" t="s">
        <v>3997</v>
      </c>
      <c r="GA83" s="119" t="s">
        <v>3948</v>
      </c>
      <c r="GB83" s="119" t="s">
        <v>3949</v>
      </c>
      <c r="GC83" s="119" t="s">
        <v>3950</v>
      </c>
      <c r="GD83" s="119" t="s">
        <v>3951</v>
      </c>
      <c r="GE83" s="120" t="s">
        <v>3998</v>
      </c>
      <c r="GF83" s="120" t="s">
        <v>3999</v>
      </c>
      <c r="GG83" s="119" t="s">
        <v>3948</v>
      </c>
      <c r="GH83" s="119" t="s">
        <v>3949</v>
      </c>
      <c r="GI83" s="119" t="s">
        <v>3950</v>
      </c>
      <c r="GJ83" s="119" t="s">
        <v>3951</v>
      </c>
      <c r="GK83" s="120" t="s">
        <v>4000</v>
      </c>
      <c r="GL83" s="120" t="s">
        <v>4001</v>
      </c>
      <c r="GM83" s="119" t="s">
        <v>3948</v>
      </c>
      <c r="GN83" s="119" t="s">
        <v>3949</v>
      </c>
      <c r="GO83" s="119" t="s">
        <v>3950</v>
      </c>
      <c r="GP83" s="119" t="s">
        <v>3951</v>
      </c>
      <c r="GQ83" s="120" t="s">
        <v>4002</v>
      </c>
      <c r="GR83" s="120" t="s">
        <v>4003</v>
      </c>
      <c r="GS83" s="119" t="s">
        <v>3948</v>
      </c>
      <c r="GT83" s="119" t="s">
        <v>3949</v>
      </c>
      <c r="GU83" s="119" t="s">
        <v>3950</v>
      </c>
      <c r="GV83" s="119" t="s">
        <v>3951</v>
      </c>
      <c r="GW83" s="119"/>
      <c r="GX83" s="119" t="s">
        <v>3948</v>
      </c>
      <c r="GY83" s="119" t="s">
        <v>3949</v>
      </c>
      <c r="GZ83" s="119" t="s">
        <v>3950</v>
      </c>
      <c r="HA83" s="119" t="s">
        <v>3951</v>
      </c>
      <c r="HB83" s="119" t="s">
        <v>3948</v>
      </c>
      <c r="HC83" s="119" t="s">
        <v>3949</v>
      </c>
      <c r="HD83" s="119" t="s">
        <v>3950</v>
      </c>
      <c r="HE83" s="119" t="s">
        <v>3951</v>
      </c>
    </row>
    <row r="84" ht="111" spans="1:213">
      <c r="A84" s="88" t="s">
        <v>227</v>
      </c>
      <c r="B84" s="105" t="s">
        <v>564</v>
      </c>
      <c r="C84" s="124"/>
      <c r="D84" s="126"/>
      <c r="E84" s="194" t="s">
        <v>4402</v>
      </c>
      <c r="F84" s="95">
        <v>1</v>
      </c>
      <c r="G84" s="95">
        <v>1</v>
      </c>
      <c r="H84" s="95">
        <v>1</v>
      </c>
      <c r="I84" s="95">
        <v>2</v>
      </c>
      <c r="J84" s="124"/>
      <c r="K84" s="126"/>
      <c r="L84" s="194" t="s">
        <v>4402</v>
      </c>
      <c r="M84" s="126">
        <v>1</v>
      </c>
      <c r="N84" s="126">
        <v>1</v>
      </c>
      <c r="O84" s="95">
        <v>1</v>
      </c>
      <c r="P84" s="95">
        <v>2</v>
      </c>
      <c r="Q84" s="124" t="s">
        <v>4403</v>
      </c>
      <c r="R84" s="126"/>
      <c r="S84" s="194" t="s">
        <v>4402</v>
      </c>
      <c r="T84" s="95">
        <v>2</v>
      </c>
      <c r="U84" s="95">
        <v>2</v>
      </c>
      <c r="V84" s="95">
        <v>1</v>
      </c>
      <c r="W84" s="95">
        <v>2</v>
      </c>
      <c r="Y84" s="126"/>
      <c r="Z84" s="194" t="s">
        <v>4402</v>
      </c>
      <c r="AA84" s="126">
        <v>2</v>
      </c>
      <c r="AB84" s="126">
        <v>2</v>
      </c>
      <c r="AC84" s="95">
        <v>1</v>
      </c>
      <c r="AD84" s="95">
        <v>2</v>
      </c>
      <c r="AF84" s="126"/>
      <c r="AG84" s="194" t="s">
        <v>4402</v>
      </c>
      <c r="AH84" s="89">
        <v>1</v>
      </c>
      <c r="AI84" s="89">
        <v>1</v>
      </c>
      <c r="AJ84" s="89">
        <v>1</v>
      </c>
      <c r="AK84" s="89">
        <v>2</v>
      </c>
      <c r="AM84" s="126" t="s">
        <v>4009</v>
      </c>
      <c r="AN84" s="95" t="s">
        <v>4404</v>
      </c>
      <c r="AO84" s="89">
        <v>1</v>
      </c>
      <c r="AP84" s="89">
        <v>1</v>
      </c>
      <c r="AQ84" s="89">
        <v>1</v>
      </c>
      <c r="AR84" s="89">
        <v>2</v>
      </c>
      <c r="AT84" s="95" t="s">
        <v>4405</v>
      </c>
      <c r="AU84" s="95" t="s">
        <v>4368</v>
      </c>
      <c r="AV84" s="89">
        <v>1</v>
      </c>
      <c r="AW84" s="89">
        <v>1</v>
      </c>
      <c r="AX84" s="89">
        <v>1</v>
      </c>
      <c r="AY84" s="89">
        <v>2</v>
      </c>
      <c r="BA84" s="126" t="s">
        <v>4406</v>
      </c>
      <c r="BB84" s="95" t="s">
        <v>4407</v>
      </c>
      <c r="BC84" s="89">
        <v>1</v>
      </c>
      <c r="BD84" s="89">
        <v>1</v>
      </c>
      <c r="BE84" s="89">
        <v>1</v>
      </c>
      <c r="BF84" s="89">
        <v>2</v>
      </c>
      <c r="BH84" s="126" t="s">
        <v>4408</v>
      </c>
      <c r="BI84" s="126" t="s">
        <v>4409</v>
      </c>
      <c r="BJ84" s="89">
        <v>1</v>
      </c>
      <c r="BK84" s="89">
        <v>1</v>
      </c>
      <c r="BL84" s="89">
        <v>1</v>
      </c>
      <c r="BM84" s="89">
        <v>2</v>
      </c>
      <c r="BP84" s="95" t="s">
        <v>4077</v>
      </c>
      <c r="BQ84" s="89">
        <v>1</v>
      </c>
      <c r="BR84" s="89">
        <v>1</v>
      </c>
      <c r="BS84" s="89">
        <v>1</v>
      </c>
      <c r="BT84" s="89">
        <v>2</v>
      </c>
      <c r="BW84" s="95" t="s">
        <v>4077</v>
      </c>
      <c r="BX84" s="89">
        <v>1</v>
      </c>
      <c r="BY84" s="89">
        <v>1</v>
      </c>
      <c r="BZ84" s="89">
        <v>1</v>
      </c>
      <c r="CA84" s="89">
        <v>2</v>
      </c>
      <c r="CD84" s="95" t="s">
        <v>4077</v>
      </c>
      <c r="CE84" s="89">
        <v>1</v>
      </c>
      <c r="CF84" s="89">
        <v>1</v>
      </c>
      <c r="CG84" s="89">
        <v>1</v>
      </c>
      <c r="CH84" s="89">
        <v>2</v>
      </c>
      <c r="CK84" s="95" t="s">
        <v>4077</v>
      </c>
      <c r="CL84" s="89">
        <v>1</v>
      </c>
      <c r="CM84" s="89">
        <v>1</v>
      </c>
      <c r="CN84" s="89">
        <v>1</v>
      </c>
      <c r="CO84" s="89">
        <v>2</v>
      </c>
      <c r="CR84" s="95" t="s">
        <v>4077</v>
      </c>
      <c r="CS84" s="89">
        <v>1</v>
      </c>
      <c r="CT84" s="89">
        <v>1</v>
      </c>
      <c r="CU84" s="89">
        <v>1</v>
      </c>
      <c r="CV84" s="89">
        <v>2</v>
      </c>
      <c r="CW84" s="95" t="s">
        <v>4410</v>
      </c>
      <c r="CX84" s="95" t="s">
        <v>4079</v>
      </c>
      <c r="CY84" s="95" t="s">
        <v>4077</v>
      </c>
      <c r="CZ84" s="89">
        <v>1</v>
      </c>
      <c r="DA84" s="89">
        <v>1</v>
      </c>
      <c r="DB84" s="89">
        <v>1</v>
      </c>
      <c r="DC84" s="89">
        <v>2</v>
      </c>
      <c r="DD84" s="95" t="s">
        <v>4410</v>
      </c>
      <c r="DE84" s="126" t="s">
        <v>4080</v>
      </c>
      <c r="DF84" s="126" t="s">
        <v>4077</v>
      </c>
      <c r="DG84" s="89">
        <v>1</v>
      </c>
      <c r="DH84" s="89">
        <v>1</v>
      </c>
      <c r="DI84" s="89">
        <v>1</v>
      </c>
      <c r="DJ84" s="89">
        <v>2</v>
      </c>
      <c r="DK84" s="95" t="s">
        <v>4411</v>
      </c>
      <c r="DL84" s="126" t="s">
        <v>4412</v>
      </c>
      <c r="DM84" s="126" t="s">
        <v>4413</v>
      </c>
      <c r="DN84" s="89">
        <v>1</v>
      </c>
      <c r="DO84" s="89">
        <v>1</v>
      </c>
      <c r="DP84" s="89">
        <v>1</v>
      </c>
      <c r="DQ84" s="89">
        <v>2</v>
      </c>
      <c r="DR84" s="194" t="s">
        <v>4411</v>
      </c>
      <c r="DT84" s="194" t="s">
        <v>4414</v>
      </c>
      <c r="DU84" s="188">
        <v>1</v>
      </c>
      <c r="DV84" s="188">
        <v>1</v>
      </c>
      <c r="DW84" s="188">
        <v>1</v>
      </c>
      <c r="DX84" s="188">
        <v>2</v>
      </c>
      <c r="DY84" s="95" t="s">
        <v>4411</v>
      </c>
      <c r="EA84" s="95" t="s">
        <v>4414</v>
      </c>
      <c r="EB84" s="89">
        <v>1</v>
      </c>
      <c r="EC84" s="89">
        <v>1</v>
      </c>
      <c r="ED84" s="89">
        <v>1</v>
      </c>
      <c r="EE84" s="89">
        <v>2</v>
      </c>
      <c r="EF84" s="95" t="s">
        <v>4411</v>
      </c>
      <c r="EH84" s="95" t="s">
        <v>4414</v>
      </c>
      <c r="EI84" s="89">
        <v>1</v>
      </c>
      <c r="EJ84" s="89">
        <v>1</v>
      </c>
      <c r="EK84" s="89">
        <v>1</v>
      </c>
      <c r="EL84" s="89">
        <v>2</v>
      </c>
      <c r="EM84" s="95" t="s">
        <v>4411</v>
      </c>
      <c r="EO84" s="95" t="s">
        <v>4414</v>
      </c>
      <c r="EP84" s="89">
        <v>1</v>
      </c>
      <c r="EQ84" s="89">
        <v>1</v>
      </c>
      <c r="ER84" s="89">
        <v>1</v>
      </c>
      <c r="ES84" s="89">
        <v>2</v>
      </c>
      <c r="ET84" s="95" t="s">
        <v>4411</v>
      </c>
      <c r="EV84" s="95" t="s">
        <v>4415</v>
      </c>
      <c r="EW84" s="89">
        <v>1</v>
      </c>
      <c r="EX84" s="89">
        <v>1</v>
      </c>
      <c r="EY84" s="89">
        <v>1</v>
      </c>
      <c r="EZ84" s="89">
        <v>2</v>
      </c>
      <c r="FA84" s="95" t="s">
        <v>4411</v>
      </c>
      <c r="FC84" s="89">
        <v>1</v>
      </c>
      <c r="FD84" s="89">
        <v>1</v>
      </c>
      <c r="FE84" s="89">
        <v>1</v>
      </c>
      <c r="FF84" s="89">
        <v>2</v>
      </c>
      <c r="FG84" s="95" t="s">
        <v>4411</v>
      </c>
      <c r="FI84" s="89">
        <v>1</v>
      </c>
      <c r="FJ84" s="89">
        <v>1</v>
      </c>
      <c r="FK84" s="89">
        <v>1</v>
      </c>
      <c r="FL84" s="89">
        <v>2</v>
      </c>
      <c r="FM84" s="95" t="s">
        <v>4411</v>
      </c>
      <c r="FO84" s="89">
        <v>1</v>
      </c>
      <c r="FP84" s="89">
        <v>1</v>
      </c>
      <c r="FQ84" s="89">
        <v>1</v>
      </c>
      <c r="FR84" s="89">
        <v>2</v>
      </c>
      <c r="FS84" s="95" t="s">
        <v>4411</v>
      </c>
      <c r="FT84" s="126"/>
      <c r="FU84" s="89">
        <v>1</v>
      </c>
      <c r="FV84" s="89">
        <v>1</v>
      </c>
      <c r="FW84" s="89">
        <v>1</v>
      </c>
      <c r="FX84" s="89">
        <v>2</v>
      </c>
      <c r="FY84" s="95" t="s">
        <v>4411</v>
      </c>
      <c r="FZ84" s="126"/>
      <c r="GA84" s="89">
        <v>1</v>
      </c>
      <c r="GB84" s="89">
        <v>1</v>
      </c>
      <c r="GC84" s="89">
        <v>1</v>
      </c>
      <c r="GD84" s="89">
        <v>2</v>
      </c>
      <c r="GE84" s="95" t="s">
        <v>4411</v>
      </c>
      <c r="GF84" s="126"/>
      <c r="GG84" s="89">
        <v>1</v>
      </c>
      <c r="GH84" s="89">
        <v>1</v>
      </c>
      <c r="GI84" s="89">
        <v>1</v>
      </c>
      <c r="GJ84" s="89">
        <v>2</v>
      </c>
      <c r="GK84" s="95" t="s">
        <v>4411</v>
      </c>
      <c r="GL84" s="126"/>
      <c r="GM84" s="89">
        <v>1</v>
      </c>
      <c r="GN84" s="89">
        <v>1</v>
      </c>
      <c r="GO84" s="89">
        <v>1</v>
      </c>
      <c r="GP84" s="89">
        <v>2</v>
      </c>
      <c r="GR84" s="126"/>
      <c r="GS84" s="89">
        <v>1</v>
      </c>
      <c r="GT84" s="89">
        <v>1</v>
      </c>
      <c r="GU84" s="89">
        <v>1</v>
      </c>
      <c r="GV84" s="89">
        <v>2</v>
      </c>
      <c r="GX84" s="89">
        <v>1</v>
      </c>
      <c r="GY84" s="89">
        <v>1</v>
      </c>
      <c r="GZ84" s="89">
        <v>1</v>
      </c>
      <c r="HA84" s="89">
        <v>2</v>
      </c>
      <c r="HB84" s="89">
        <v>1</v>
      </c>
      <c r="HC84" s="89">
        <v>1</v>
      </c>
      <c r="HD84" s="89">
        <v>1</v>
      </c>
      <c r="HE84" s="89">
        <v>2</v>
      </c>
    </row>
    <row r="85" ht="28.2" spans="1:213">
      <c r="A85" s="89" t="s">
        <v>230</v>
      </c>
      <c r="B85" s="108" t="s">
        <v>568</v>
      </c>
      <c r="F85" s="95">
        <v>3</v>
      </c>
      <c r="G85" s="95">
        <v>3</v>
      </c>
      <c r="H85" s="95">
        <v>2</v>
      </c>
      <c r="I85" s="95">
        <v>1</v>
      </c>
      <c r="M85" s="95">
        <v>3</v>
      </c>
      <c r="N85" s="95">
        <v>3</v>
      </c>
      <c r="O85" s="95">
        <v>2</v>
      </c>
      <c r="P85" s="95">
        <v>1</v>
      </c>
      <c r="T85" s="95">
        <v>3</v>
      </c>
      <c r="U85" s="95">
        <v>3</v>
      </c>
      <c r="V85" s="95">
        <v>2</v>
      </c>
      <c r="W85" s="95">
        <v>1</v>
      </c>
      <c r="AA85" s="95">
        <v>3</v>
      </c>
      <c r="AB85" s="95">
        <v>3</v>
      </c>
      <c r="AC85" s="95">
        <v>2</v>
      </c>
      <c r="AD85" s="95">
        <v>1</v>
      </c>
      <c r="AH85" s="89">
        <v>2</v>
      </c>
      <c r="AI85" s="89">
        <v>2</v>
      </c>
      <c r="AJ85" s="89">
        <v>2</v>
      </c>
      <c r="AK85" s="89">
        <v>1</v>
      </c>
      <c r="AO85" s="89">
        <v>2</v>
      </c>
      <c r="AP85" s="89">
        <v>2</v>
      </c>
      <c r="AQ85" s="89">
        <v>2</v>
      </c>
      <c r="AR85" s="89">
        <v>1</v>
      </c>
      <c r="AV85" s="89">
        <v>2</v>
      </c>
      <c r="AW85" s="89">
        <v>2</v>
      </c>
      <c r="AX85" s="89">
        <v>2</v>
      </c>
      <c r="AY85" s="89">
        <v>1</v>
      </c>
      <c r="BC85" s="89">
        <v>2</v>
      </c>
      <c r="BD85" s="89">
        <v>2</v>
      </c>
      <c r="BE85" s="89">
        <v>2</v>
      </c>
      <c r="BF85" s="89">
        <v>1</v>
      </c>
      <c r="BJ85" s="89">
        <v>2</v>
      </c>
      <c r="BK85" s="89">
        <v>2</v>
      </c>
      <c r="BL85" s="89">
        <v>2</v>
      </c>
      <c r="BM85" s="89">
        <v>1</v>
      </c>
      <c r="BQ85" s="89">
        <v>2</v>
      </c>
      <c r="BR85" s="89">
        <v>2</v>
      </c>
      <c r="BS85" s="89">
        <v>2</v>
      </c>
      <c r="BT85" s="89">
        <v>1</v>
      </c>
      <c r="BX85" s="89">
        <v>2</v>
      </c>
      <c r="BY85" s="89">
        <v>2</v>
      </c>
      <c r="BZ85" s="89">
        <v>2</v>
      </c>
      <c r="CA85" s="89">
        <v>1</v>
      </c>
      <c r="CE85" s="89">
        <v>1</v>
      </c>
      <c r="CF85" s="89">
        <v>1</v>
      </c>
      <c r="CG85" s="89">
        <v>2</v>
      </c>
      <c r="CH85" s="89">
        <v>1</v>
      </c>
      <c r="CL85" s="89">
        <v>1</v>
      </c>
      <c r="CM85" s="89">
        <v>1</v>
      </c>
      <c r="CN85" s="89">
        <v>2</v>
      </c>
      <c r="CO85" s="89">
        <v>1</v>
      </c>
      <c r="CS85" s="89">
        <v>1</v>
      </c>
      <c r="CT85" s="89">
        <v>1</v>
      </c>
      <c r="CU85" s="89">
        <v>2</v>
      </c>
      <c r="CV85" s="89">
        <v>1</v>
      </c>
      <c r="CW85" s="95" t="s">
        <v>4416</v>
      </c>
      <c r="CZ85" s="89">
        <v>1</v>
      </c>
      <c r="DA85" s="89">
        <v>1</v>
      </c>
      <c r="DB85" s="89">
        <v>2</v>
      </c>
      <c r="DC85" s="89">
        <v>1</v>
      </c>
      <c r="DD85" s="95" t="s">
        <v>4416</v>
      </c>
      <c r="DG85" s="89">
        <v>1</v>
      </c>
      <c r="DH85" s="89">
        <v>1</v>
      </c>
      <c r="DI85" s="89">
        <v>2</v>
      </c>
      <c r="DJ85" s="89">
        <v>1</v>
      </c>
      <c r="DK85" s="95" t="s">
        <v>4417</v>
      </c>
      <c r="DN85" s="89">
        <v>1</v>
      </c>
      <c r="DO85" s="89">
        <v>1</v>
      </c>
      <c r="DP85" s="89">
        <v>2</v>
      </c>
      <c r="DQ85" s="89">
        <v>1</v>
      </c>
      <c r="DR85" s="194" t="s">
        <v>4417</v>
      </c>
      <c r="DU85" s="188">
        <v>1</v>
      </c>
      <c r="DV85" s="188">
        <v>1</v>
      </c>
      <c r="DW85" s="188">
        <v>2</v>
      </c>
      <c r="DX85" s="188">
        <v>1</v>
      </c>
      <c r="DY85" s="95" t="s">
        <v>4417</v>
      </c>
      <c r="EB85" s="89">
        <v>1</v>
      </c>
      <c r="EC85" s="89">
        <v>1</v>
      </c>
      <c r="ED85" s="89">
        <v>2</v>
      </c>
      <c r="EE85" s="89">
        <v>1</v>
      </c>
      <c r="EF85" s="95" t="s">
        <v>4417</v>
      </c>
      <c r="EI85" s="89">
        <v>1</v>
      </c>
      <c r="EJ85" s="89">
        <v>1</v>
      </c>
      <c r="EK85" s="89">
        <v>2</v>
      </c>
      <c r="EL85" s="89">
        <v>1</v>
      </c>
      <c r="EM85" s="95" t="s">
        <v>4417</v>
      </c>
      <c r="EP85" s="89">
        <v>1</v>
      </c>
      <c r="EQ85" s="89">
        <v>1</v>
      </c>
      <c r="ER85" s="89">
        <v>2</v>
      </c>
      <c r="ES85" s="89">
        <v>1</v>
      </c>
      <c r="ET85" s="95" t="s">
        <v>4417</v>
      </c>
      <c r="EW85" s="89">
        <v>1</v>
      </c>
      <c r="EX85" s="89">
        <v>1</v>
      </c>
      <c r="EY85" s="89">
        <v>2</v>
      </c>
      <c r="EZ85" s="89">
        <v>1</v>
      </c>
      <c r="FA85" s="95" t="s">
        <v>4417</v>
      </c>
      <c r="FC85" s="89">
        <v>1</v>
      </c>
      <c r="FD85" s="89">
        <v>1</v>
      </c>
      <c r="FE85" s="89">
        <v>2</v>
      </c>
      <c r="FF85" s="89">
        <v>1</v>
      </c>
      <c r="FG85" s="95" t="s">
        <v>4417</v>
      </c>
      <c r="FI85" s="89">
        <v>1</v>
      </c>
      <c r="FJ85" s="89">
        <v>1</v>
      </c>
      <c r="FK85" s="89">
        <v>2</v>
      </c>
      <c r="FL85" s="89">
        <v>1</v>
      </c>
      <c r="FM85" s="95" t="s">
        <v>4417</v>
      </c>
      <c r="FO85" s="89">
        <v>1</v>
      </c>
      <c r="FP85" s="89">
        <v>1</v>
      </c>
      <c r="FQ85" s="89">
        <v>2</v>
      </c>
      <c r="FR85" s="89">
        <v>1</v>
      </c>
      <c r="FS85" s="95" t="s">
        <v>4417</v>
      </c>
      <c r="FU85" s="89">
        <v>1</v>
      </c>
      <c r="FV85" s="89">
        <v>1</v>
      </c>
      <c r="FW85" s="89">
        <v>2</v>
      </c>
      <c r="FX85" s="89">
        <v>1</v>
      </c>
      <c r="FY85" s="95" t="s">
        <v>4417</v>
      </c>
      <c r="GA85" s="89">
        <v>1</v>
      </c>
      <c r="GB85" s="89">
        <v>1</v>
      </c>
      <c r="GC85" s="89">
        <v>2</v>
      </c>
      <c r="GD85" s="89">
        <v>1</v>
      </c>
      <c r="GE85" s="95" t="s">
        <v>4417</v>
      </c>
      <c r="GG85" s="89">
        <v>1</v>
      </c>
      <c r="GH85" s="89">
        <v>1</v>
      </c>
      <c r="GI85" s="89">
        <v>2</v>
      </c>
      <c r="GJ85" s="89">
        <v>1</v>
      </c>
      <c r="GK85" s="95" t="s">
        <v>4417</v>
      </c>
      <c r="GM85" s="89">
        <v>1</v>
      </c>
      <c r="GN85" s="89">
        <v>1</v>
      </c>
      <c r="GO85" s="89">
        <v>2</v>
      </c>
      <c r="GP85" s="89">
        <v>1</v>
      </c>
      <c r="GS85" s="89">
        <v>1</v>
      </c>
      <c r="GT85" s="89">
        <v>1</v>
      </c>
      <c r="GU85" s="89">
        <v>2</v>
      </c>
      <c r="GV85" s="89">
        <v>1</v>
      </c>
      <c r="GX85" s="89">
        <v>1</v>
      </c>
      <c r="GY85" s="89">
        <v>1</v>
      </c>
      <c r="GZ85" s="89">
        <v>2</v>
      </c>
      <c r="HA85" s="89">
        <v>1</v>
      </c>
      <c r="HB85" s="89">
        <v>1</v>
      </c>
      <c r="HC85" s="89">
        <v>1</v>
      </c>
      <c r="HD85" s="89">
        <v>2</v>
      </c>
      <c r="HE85" s="89">
        <v>1</v>
      </c>
    </row>
    <row r="86" ht="43.2" spans="1:213">
      <c r="A86" s="89" t="s">
        <v>391</v>
      </c>
      <c r="B86" s="108" t="s">
        <v>565</v>
      </c>
      <c r="F86" s="95">
        <v>6</v>
      </c>
      <c r="G86" s="95">
        <v>6</v>
      </c>
      <c r="H86" s="95">
        <v>6</v>
      </c>
      <c r="I86" s="95">
        <v>6</v>
      </c>
      <c r="M86" s="95">
        <v>6</v>
      </c>
      <c r="N86" s="95">
        <v>6</v>
      </c>
      <c r="O86" s="95">
        <v>6</v>
      </c>
      <c r="P86" s="95">
        <v>6</v>
      </c>
      <c r="T86" s="95">
        <v>6</v>
      </c>
      <c r="U86" s="95">
        <v>6</v>
      </c>
      <c r="V86" s="95">
        <v>6</v>
      </c>
      <c r="W86" s="95">
        <v>6</v>
      </c>
      <c r="AA86" s="95">
        <v>6</v>
      </c>
      <c r="AB86" s="95">
        <v>6</v>
      </c>
      <c r="AC86" s="95">
        <v>6</v>
      </c>
      <c r="AD86" s="95">
        <v>6</v>
      </c>
      <c r="AH86" s="89">
        <v>3</v>
      </c>
      <c r="AI86" s="89">
        <v>3</v>
      </c>
      <c r="AJ86" s="89">
        <v>3</v>
      </c>
      <c r="AK86" s="89">
        <v>3</v>
      </c>
      <c r="AO86" s="89">
        <v>3</v>
      </c>
      <c r="AP86" s="89">
        <v>3</v>
      </c>
      <c r="AQ86" s="89">
        <v>3</v>
      </c>
      <c r="AR86" s="89">
        <v>3</v>
      </c>
      <c r="AV86" s="89">
        <v>3</v>
      </c>
      <c r="AW86" s="89">
        <v>3</v>
      </c>
      <c r="AX86" s="89">
        <v>3</v>
      </c>
      <c r="AY86" s="89">
        <v>3</v>
      </c>
      <c r="BC86" s="89">
        <v>3</v>
      </c>
      <c r="BD86" s="89">
        <v>3</v>
      </c>
      <c r="BE86" s="89">
        <v>3</v>
      </c>
      <c r="BF86" s="89">
        <v>3</v>
      </c>
      <c r="BJ86" s="89">
        <v>3</v>
      </c>
      <c r="BK86" s="89">
        <v>3</v>
      </c>
      <c r="BL86" s="89">
        <v>3</v>
      </c>
      <c r="BM86" s="89">
        <v>3</v>
      </c>
      <c r="BQ86" s="89">
        <v>3</v>
      </c>
      <c r="BR86" s="89">
        <v>3</v>
      </c>
      <c r="BS86" s="89">
        <v>3</v>
      </c>
      <c r="BT86" s="89">
        <v>3</v>
      </c>
      <c r="BX86" s="89">
        <v>3</v>
      </c>
      <c r="BY86" s="89">
        <v>3</v>
      </c>
      <c r="BZ86" s="89">
        <v>3</v>
      </c>
      <c r="CA86" s="89">
        <v>3</v>
      </c>
      <c r="CE86" s="89">
        <v>2</v>
      </c>
      <c r="CF86" s="89">
        <v>2</v>
      </c>
      <c r="CG86" s="89">
        <v>3</v>
      </c>
      <c r="CH86" s="89">
        <v>3</v>
      </c>
      <c r="CL86" s="89">
        <v>2</v>
      </c>
      <c r="CM86" s="89">
        <v>2</v>
      </c>
      <c r="CN86" s="89">
        <v>3</v>
      </c>
      <c r="CO86" s="89">
        <v>3</v>
      </c>
      <c r="CS86" s="89">
        <v>2</v>
      </c>
      <c r="CT86" s="89">
        <v>2</v>
      </c>
      <c r="CU86" s="89">
        <v>3</v>
      </c>
      <c r="CV86" s="89">
        <v>3</v>
      </c>
      <c r="CW86" s="95" t="s">
        <v>4418</v>
      </c>
      <c r="CZ86" s="89">
        <v>2</v>
      </c>
      <c r="DA86" s="89">
        <v>2</v>
      </c>
      <c r="DB86" s="89">
        <v>3</v>
      </c>
      <c r="DC86" s="89">
        <v>3</v>
      </c>
      <c r="DD86" s="95" t="s">
        <v>4418</v>
      </c>
      <c r="DG86" s="89">
        <v>2</v>
      </c>
      <c r="DH86" s="89">
        <v>2</v>
      </c>
      <c r="DI86" s="89">
        <v>3</v>
      </c>
      <c r="DJ86" s="89">
        <v>3</v>
      </c>
      <c r="DK86" s="95" t="s">
        <v>4418</v>
      </c>
      <c r="DN86" s="89">
        <v>2</v>
      </c>
      <c r="DO86" s="89">
        <v>2</v>
      </c>
      <c r="DP86" s="89">
        <v>3</v>
      </c>
      <c r="DQ86" s="89">
        <v>3</v>
      </c>
      <c r="DR86" s="194" t="s">
        <v>4419</v>
      </c>
      <c r="DU86" s="188">
        <v>2</v>
      </c>
      <c r="DV86" s="188">
        <v>2</v>
      </c>
      <c r="DW86" s="188">
        <v>3</v>
      </c>
      <c r="DX86" s="188">
        <v>3</v>
      </c>
      <c r="DY86" s="95" t="s">
        <v>4418</v>
      </c>
      <c r="EB86" s="89">
        <v>2</v>
      </c>
      <c r="EC86" s="89">
        <v>2</v>
      </c>
      <c r="ED86" s="89">
        <v>3</v>
      </c>
      <c r="EE86" s="89">
        <v>3</v>
      </c>
      <c r="EF86" s="95" t="s">
        <v>4418</v>
      </c>
      <c r="EI86" s="89">
        <v>2</v>
      </c>
      <c r="EJ86" s="89">
        <v>2</v>
      </c>
      <c r="EK86" s="89">
        <v>3</v>
      </c>
      <c r="EL86" s="89">
        <v>3</v>
      </c>
      <c r="EM86" s="95" t="s">
        <v>4418</v>
      </c>
      <c r="EP86" s="89">
        <v>2</v>
      </c>
      <c r="EQ86" s="89">
        <v>2</v>
      </c>
      <c r="ER86" s="89">
        <v>3</v>
      </c>
      <c r="ES86" s="89">
        <v>3</v>
      </c>
      <c r="ET86" s="95" t="s">
        <v>4418</v>
      </c>
      <c r="EW86" s="89">
        <v>2</v>
      </c>
      <c r="EX86" s="89">
        <v>2</v>
      </c>
      <c r="EY86" s="89">
        <v>3</v>
      </c>
      <c r="EZ86" s="89">
        <v>3</v>
      </c>
      <c r="FA86" s="95" t="s">
        <v>4418</v>
      </c>
      <c r="FC86" s="89">
        <v>2</v>
      </c>
      <c r="FD86" s="89">
        <v>2</v>
      </c>
      <c r="FE86" s="89">
        <v>3</v>
      </c>
      <c r="FF86" s="89">
        <v>3</v>
      </c>
      <c r="FG86" s="95" t="s">
        <v>4418</v>
      </c>
      <c r="FI86" s="89">
        <v>2</v>
      </c>
      <c r="FJ86" s="89">
        <v>2</v>
      </c>
      <c r="FK86" s="89">
        <v>3</v>
      </c>
      <c r="FL86" s="89">
        <v>3</v>
      </c>
      <c r="FM86" s="95" t="s">
        <v>4418</v>
      </c>
      <c r="FO86" s="89">
        <v>2</v>
      </c>
      <c r="FP86" s="89">
        <v>2</v>
      </c>
      <c r="FQ86" s="89">
        <v>3</v>
      </c>
      <c r="FR86" s="89">
        <v>3</v>
      </c>
      <c r="FS86" s="95" t="s">
        <v>4418</v>
      </c>
      <c r="FU86" s="89">
        <v>2</v>
      </c>
      <c r="FV86" s="89">
        <v>2</v>
      </c>
      <c r="FW86" s="89">
        <v>3</v>
      </c>
      <c r="FX86" s="89">
        <v>3</v>
      </c>
      <c r="FY86" s="95" t="s">
        <v>4418</v>
      </c>
      <c r="GA86" s="89">
        <v>2</v>
      </c>
      <c r="GB86" s="89">
        <v>2</v>
      </c>
      <c r="GC86" s="89">
        <v>3</v>
      </c>
      <c r="GD86" s="89">
        <v>3</v>
      </c>
      <c r="GE86" s="95" t="s">
        <v>4418</v>
      </c>
      <c r="GG86" s="89">
        <v>2</v>
      </c>
      <c r="GH86" s="89">
        <v>2</v>
      </c>
      <c r="GI86" s="89">
        <v>3</v>
      </c>
      <c r="GJ86" s="89">
        <v>3</v>
      </c>
      <c r="GK86" s="95" t="s">
        <v>4420</v>
      </c>
      <c r="GM86" s="89">
        <v>2</v>
      </c>
      <c r="GN86" s="89">
        <v>2</v>
      </c>
      <c r="GO86" s="89">
        <v>3</v>
      </c>
      <c r="GP86" s="89">
        <v>3</v>
      </c>
      <c r="GS86" s="89">
        <v>3</v>
      </c>
      <c r="GT86" s="89">
        <v>3</v>
      </c>
      <c r="GU86" s="89">
        <v>3</v>
      </c>
      <c r="GV86" s="89">
        <v>3</v>
      </c>
      <c r="GW86" s="95" t="s">
        <v>4421</v>
      </c>
      <c r="GX86" s="133">
        <v>3</v>
      </c>
      <c r="GY86" s="133">
        <v>3</v>
      </c>
      <c r="GZ86" s="133">
        <v>3</v>
      </c>
      <c r="HA86" s="133">
        <v>3</v>
      </c>
      <c r="HB86" s="89">
        <v>4</v>
      </c>
      <c r="HC86" s="89">
        <v>5</v>
      </c>
      <c r="HD86" s="89">
        <v>4</v>
      </c>
      <c r="HE86" s="89">
        <v>4</v>
      </c>
    </row>
    <row r="87" ht="43.2" spans="1:213">
      <c r="A87" s="89" t="s">
        <v>391</v>
      </c>
      <c r="B87" s="108" t="s">
        <v>567</v>
      </c>
      <c r="F87" s="95">
        <v>5</v>
      </c>
      <c r="G87" s="95">
        <v>5</v>
      </c>
      <c r="H87" s="95">
        <v>5</v>
      </c>
      <c r="I87" s="95">
        <v>5</v>
      </c>
      <c r="M87" s="95">
        <v>5</v>
      </c>
      <c r="N87" s="95">
        <v>5</v>
      </c>
      <c r="O87" s="95">
        <v>5</v>
      </c>
      <c r="P87" s="95">
        <v>5</v>
      </c>
      <c r="T87" s="95">
        <v>5</v>
      </c>
      <c r="U87" s="95">
        <v>5</v>
      </c>
      <c r="V87" s="95">
        <v>5</v>
      </c>
      <c r="W87" s="95">
        <v>5</v>
      </c>
      <c r="AA87" s="95">
        <v>5</v>
      </c>
      <c r="AB87" s="95">
        <v>5</v>
      </c>
      <c r="AC87" s="95">
        <v>5</v>
      </c>
      <c r="AD87" s="95">
        <v>5</v>
      </c>
      <c r="AH87" s="89">
        <v>4</v>
      </c>
      <c r="AI87" s="89">
        <v>4</v>
      </c>
      <c r="AJ87" s="89">
        <v>4</v>
      </c>
      <c r="AK87" s="89">
        <v>4</v>
      </c>
      <c r="AO87" s="89">
        <v>4</v>
      </c>
      <c r="AP87" s="89">
        <v>4</v>
      </c>
      <c r="AQ87" s="89">
        <v>4</v>
      </c>
      <c r="AR87" s="89">
        <v>4</v>
      </c>
      <c r="AV87" s="89">
        <v>4</v>
      </c>
      <c r="AW87" s="89">
        <v>4</v>
      </c>
      <c r="AX87" s="89">
        <v>4</v>
      </c>
      <c r="AY87" s="89">
        <v>4</v>
      </c>
      <c r="BC87" s="89">
        <v>4</v>
      </c>
      <c r="BD87" s="89">
        <v>4</v>
      </c>
      <c r="BE87" s="89">
        <v>4</v>
      </c>
      <c r="BF87" s="89">
        <v>4</v>
      </c>
      <c r="BJ87" s="89">
        <v>4</v>
      </c>
      <c r="BK87" s="89">
        <v>4</v>
      </c>
      <c r="BL87" s="89">
        <v>4</v>
      </c>
      <c r="BM87" s="89">
        <v>4</v>
      </c>
      <c r="BQ87" s="89">
        <v>4</v>
      </c>
      <c r="BR87" s="89">
        <v>4</v>
      </c>
      <c r="BS87" s="89">
        <v>4</v>
      </c>
      <c r="BT87" s="89">
        <v>4</v>
      </c>
      <c r="BX87" s="89">
        <v>4</v>
      </c>
      <c r="BY87" s="89">
        <v>4</v>
      </c>
      <c r="BZ87" s="89">
        <v>4</v>
      </c>
      <c r="CA87" s="89">
        <v>4</v>
      </c>
      <c r="CE87" s="89">
        <v>3</v>
      </c>
      <c r="CF87" s="89">
        <v>3</v>
      </c>
      <c r="CG87" s="89">
        <v>4</v>
      </c>
      <c r="CH87" s="89">
        <v>4</v>
      </c>
      <c r="CL87" s="89">
        <v>3</v>
      </c>
      <c r="CM87" s="89">
        <v>3</v>
      </c>
      <c r="CN87" s="89">
        <v>4</v>
      </c>
      <c r="CO87" s="89">
        <v>4</v>
      </c>
      <c r="CS87" s="89">
        <v>3</v>
      </c>
      <c r="CT87" s="89">
        <v>3</v>
      </c>
      <c r="CU87" s="89">
        <v>4</v>
      </c>
      <c r="CV87" s="89">
        <v>4</v>
      </c>
      <c r="CW87" s="95" t="s">
        <v>4422</v>
      </c>
      <c r="CZ87" s="89">
        <v>3</v>
      </c>
      <c r="DA87" s="89">
        <v>3</v>
      </c>
      <c r="DB87" s="89">
        <v>4</v>
      </c>
      <c r="DC87" s="89">
        <v>4</v>
      </c>
      <c r="DD87" s="95" t="s">
        <v>4422</v>
      </c>
      <c r="DG87" s="89">
        <v>3</v>
      </c>
      <c r="DH87" s="89">
        <v>3</v>
      </c>
      <c r="DI87" s="89">
        <v>4</v>
      </c>
      <c r="DJ87" s="89">
        <v>4</v>
      </c>
      <c r="DK87" s="95" t="s">
        <v>4422</v>
      </c>
      <c r="DN87" s="89">
        <v>3</v>
      </c>
      <c r="DO87" s="89">
        <v>3</v>
      </c>
      <c r="DP87" s="89">
        <v>4</v>
      </c>
      <c r="DQ87" s="89">
        <v>4</v>
      </c>
      <c r="DR87" s="194" t="s">
        <v>4423</v>
      </c>
      <c r="DU87" s="188">
        <v>3</v>
      </c>
      <c r="DV87" s="188">
        <v>3</v>
      </c>
      <c r="DW87" s="188">
        <v>4</v>
      </c>
      <c r="DX87" s="188">
        <v>4</v>
      </c>
      <c r="DY87" s="95" t="s">
        <v>4422</v>
      </c>
      <c r="EB87" s="89">
        <v>3</v>
      </c>
      <c r="EC87" s="89">
        <v>3</v>
      </c>
      <c r="ED87" s="89">
        <v>4</v>
      </c>
      <c r="EE87" s="89">
        <v>4</v>
      </c>
      <c r="EF87" s="95" t="s">
        <v>4422</v>
      </c>
      <c r="EI87" s="89">
        <v>3</v>
      </c>
      <c r="EJ87" s="89">
        <v>3</v>
      </c>
      <c r="EK87" s="89">
        <v>4</v>
      </c>
      <c r="EL87" s="89">
        <v>4</v>
      </c>
      <c r="EM87" s="95" t="s">
        <v>4422</v>
      </c>
      <c r="EP87" s="89">
        <v>3</v>
      </c>
      <c r="EQ87" s="89">
        <v>3</v>
      </c>
      <c r="ER87" s="89">
        <v>4</v>
      </c>
      <c r="ES87" s="89">
        <v>4</v>
      </c>
      <c r="ET87" s="95" t="s">
        <v>4422</v>
      </c>
      <c r="EW87" s="89">
        <v>3</v>
      </c>
      <c r="EX87" s="89">
        <v>3</v>
      </c>
      <c r="EY87" s="89">
        <v>4</v>
      </c>
      <c r="EZ87" s="89">
        <v>4</v>
      </c>
      <c r="FA87" s="95" t="s">
        <v>4422</v>
      </c>
      <c r="FC87" s="89">
        <v>3</v>
      </c>
      <c r="FD87" s="89">
        <v>3</v>
      </c>
      <c r="FE87" s="89">
        <v>4</v>
      </c>
      <c r="FF87" s="89">
        <v>4</v>
      </c>
      <c r="FG87" s="95" t="s">
        <v>4422</v>
      </c>
      <c r="FI87" s="89">
        <v>3</v>
      </c>
      <c r="FJ87" s="89">
        <v>3</v>
      </c>
      <c r="FK87" s="89">
        <v>4</v>
      </c>
      <c r="FL87" s="89">
        <v>4</v>
      </c>
      <c r="FM87" s="95" t="s">
        <v>4422</v>
      </c>
      <c r="FO87" s="89">
        <v>3</v>
      </c>
      <c r="FP87" s="89">
        <v>3</v>
      </c>
      <c r="FQ87" s="89">
        <v>4</v>
      </c>
      <c r="FR87" s="89">
        <v>4</v>
      </c>
      <c r="FS87" s="95" t="s">
        <v>4422</v>
      </c>
      <c r="FU87" s="89">
        <v>3</v>
      </c>
      <c r="FV87" s="89">
        <v>3</v>
      </c>
      <c r="FW87" s="89">
        <v>4</v>
      </c>
      <c r="FX87" s="89">
        <v>4</v>
      </c>
      <c r="FY87" s="95" t="s">
        <v>4422</v>
      </c>
      <c r="GA87" s="89">
        <v>3</v>
      </c>
      <c r="GB87" s="89">
        <v>3</v>
      </c>
      <c r="GC87" s="89">
        <v>4</v>
      </c>
      <c r="GD87" s="89">
        <v>4</v>
      </c>
      <c r="GE87" s="126" t="s">
        <v>4424</v>
      </c>
      <c r="GG87" s="89">
        <v>3</v>
      </c>
      <c r="GH87" s="89">
        <v>3</v>
      </c>
      <c r="GI87" s="89">
        <v>4</v>
      </c>
      <c r="GJ87" s="89">
        <v>4</v>
      </c>
      <c r="GK87" s="95" t="s">
        <v>4052</v>
      </c>
      <c r="GM87" s="89">
        <v>3</v>
      </c>
      <c r="GN87" s="89">
        <v>3</v>
      </c>
      <c r="GO87" s="89">
        <v>4</v>
      </c>
      <c r="GP87" s="89">
        <v>4</v>
      </c>
      <c r="GS87" s="89">
        <v>4</v>
      </c>
      <c r="GT87" s="89">
        <v>4</v>
      </c>
      <c r="GU87" s="89">
        <v>4</v>
      </c>
      <c r="GV87" s="89">
        <v>4</v>
      </c>
      <c r="GX87" s="133">
        <v>4</v>
      </c>
      <c r="GY87" s="88">
        <v>4</v>
      </c>
      <c r="GZ87" s="88">
        <v>4</v>
      </c>
      <c r="HA87" s="88">
        <v>4</v>
      </c>
      <c r="HB87" s="89">
        <v>5</v>
      </c>
      <c r="HC87" s="89">
        <v>3</v>
      </c>
      <c r="HD87" s="89">
        <v>3</v>
      </c>
      <c r="HE87" s="89">
        <v>3</v>
      </c>
    </row>
    <row r="88" spans="1:213">
      <c r="A88" s="89" t="s">
        <v>367</v>
      </c>
      <c r="B88" s="89" t="s">
        <v>4425</v>
      </c>
      <c r="F88" s="95">
        <v>4</v>
      </c>
      <c r="G88" s="95">
        <v>4</v>
      </c>
      <c r="H88" s="95">
        <v>4</v>
      </c>
      <c r="I88" s="95">
        <v>3</v>
      </c>
      <c r="M88" s="95">
        <v>4</v>
      </c>
      <c r="N88" s="95">
        <v>4</v>
      </c>
      <c r="O88" s="95">
        <v>4</v>
      </c>
      <c r="P88" s="95">
        <v>3</v>
      </c>
      <c r="T88" s="95">
        <v>4</v>
      </c>
      <c r="U88" s="95">
        <v>4</v>
      </c>
      <c r="V88" s="95">
        <v>4</v>
      </c>
      <c r="W88" s="95">
        <v>3</v>
      </c>
      <c r="AA88" s="95">
        <v>4</v>
      </c>
      <c r="AB88" s="95">
        <v>4</v>
      </c>
      <c r="AC88" s="95">
        <v>4</v>
      </c>
      <c r="AD88" s="95">
        <v>3</v>
      </c>
      <c r="AH88" s="89">
        <v>5</v>
      </c>
      <c r="AI88" s="89">
        <v>5</v>
      </c>
      <c r="AJ88" s="89">
        <v>5</v>
      </c>
      <c r="AK88" s="89">
        <v>5</v>
      </c>
      <c r="AO88" s="89">
        <v>5</v>
      </c>
      <c r="AP88" s="89">
        <v>5</v>
      </c>
      <c r="AQ88" s="89">
        <v>5</v>
      </c>
      <c r="AR88" s="89">
        <v>5</v>
      </c>
      <c r="AV88" s="89">
        <v>5</v>
      </c>
      <c r="AW88" s="89">
        <v>5</v>
      </c>
      <c r="AX88" s="89">
        <v>5</v>
      </c>
      <c r="AY88" s="89">
        <v>5</v>
      </c>
      <c r="BC88" s="89">
        <v>5</v>
      </c>
      <c r="BD88" s="89">
        <v>5</v>
      </c>
      <c r="BE88" s="89">
        <v>5</v>
      </c>
      <c r="BF88" s="89">
        <v>5</v>
      </c>
      <c r="BJ88" s="89">
        <v>5</v>
      </c>
      <c r="BK88" s="89">
        <v>5</v>
      </c>
      <c r="BL88" s="89">
        <v>5</v>
      </c>
      <c r="BM88" s="89">
        <v>5</v>
      </c>
      <c r="BQ88" s="89">
        <v>5</v>
      </c>
      <c r="BR88" s="89">
        <v>5</v>
      </c>
      <c r="BS88" s="89">
        <v>5</v>
      </c>
      <c r="BT88" s="89">
        <v>5</v>
      </c>
      <c r="BX88" s="89">
        <v>5</v>
      </c>
      <c r="BY88" s="89">
        <v>5</v>
      </c>
      <c r="BZ88" s="89">
        <v>5</v>
      </c>
      <c r="CA88" s="89">
        <v>5</v>
      </c>
      <c r="CE88" s="89">
        <v>4</v>
      </c>
      <c r="CF88" s="89">
        <v>4</v>
      </c>
      <c r="CG88" s="89">
        <v>5</v>
      </c>
      <c r="CH88" s="89">
        <v>5</v>
      </c>
      <c r="CL88" s="89">
        <v>4</v>
      </c>
      <c r="CM88" s="89">
        <v>4</v>
      </c>
      <c r="CN88" s="89">
        <v>5</v>
      </c>
      <c r="CO88" s="89">
        <v>5</v>
      </c>
      <c r="CS88" s="89">
        <v>4</v>
      </c>
      <c r="CT88" s="89">
        <v>4</v>
      </c>
      <c r="CU88" s="89">
        <v>5</v>
      </c>
      <c r="CV88" s="89">
        <v>5</v>
      </c>
      <c r="CW88" s="95" t="s">
        <v>4426</v>
      </c>
      <c r="CZ88" s="89">
        <v>4</v>
      </c>
      <c r="DA88" s="89">
        <v>4</v>
      </c>
      <c r="DB88" s="89">
        <v>5</v>
      </c>
      <c r="DC88" s="89">
        <v>5</v>
      </c>
      <c r="DD88" s="95" t="s">
        <v>4426</v>
      </c>
      <c r="DG88" s="89">
        <v>4</v>
      </c>
      <c r="DH88" s="89">
        <v>4</v>
      </c>
      <c r="DI88" s="89">
        <v>5</v>
      </c>
      <c r="DJ88" s="89">
        <v>5</v>
      </c>
      <c r="DK88" s="95" t="s">
        <v>4427</v>
      </c>
      <c r="DN88" s="89">
        <v>4</v>
      </c>
      <c r="DO88" s="89">
        <v>4</v>
      </c>
      <c r="DP88" s="89">
        <v>5</v>
      </c>
      <c r="DQ88" s="89">
        <v>5</v>
      </c>
      <c r="DR88" s="194" t="s">
        <v>4427</v>
      </c>
      <c r="DU88" s="188">
        <v>4</v>
      </c>
      <c r="DV88" s="188">
        <v>4</v>
      </c>
      <c r="DW88" s="188">
        <v>5</v>
      </c>
      <c r="DX88" s="188">
        <v>5</v>
      </c>
      <c r="DY88" s="95" t="s">
        <v>4427</v>
      </c>
      <c r="EB88" s="89">
        <v>4</v>
      </c>
      <c r="EC88" s="89">
        <v>4</v>
      </c>
      <c r="ED88" s="89">
        <v>5</v>
      </c>
      <c r="EE88" s="89">
        <v>5</v>
      </c>
      <c r="EF88" s="95" t="s">
        <v>4427</v>
      </c>
      <c r="EI88" s="89">
        <v>4</v>
      </c>
      <c r="EJ88" s="89">
        <v>4</v>
      </c>
      <c r="EK88" s="89">
        <v>5</v>
      </c>
      <c r="EL88" s="89">
        <v>5</v>
      </c>
      <c r="EM88" s="95" t="s">
        <v>4427</v>
      </c>
      <c r="EP88" s="89">
        <v>4</v>
      </c>
      <c r="EQ88" s="89">
        <v>4</v>
      </c>
      <c r="ER88" s="89">
        <v>5</v>
      </c>
      <c r="ES88" s="89">
        <v>5</v>
      </c>
      <c r="ET88" s="95" t="s">
        <v>4427</v>
      </c>
      <c r="EW88" s="89">
        <v>4</v>
      </c>
      <c r="EX88" s="89">
        <v>4</v>
      </c>
      <c r="EY88" s="89">
        <v>5</v>
      </c>
      <c r="EZ88" s="89">
        <v>5</v>
      </c>
      <c r="FA88" s="95" t="s">
        <v>4427</v>
      </c>
      <c r="FC88" s="89">
        <v>4</v>
      </c>
      <c r="FD88" s="89">
        <v>4</v>
      </c>
      <c r="FE88" s="89">
        <v>5</v>
      </c>
      <c r="FF88" s="89">
        <v>5</v>
      </c>
      <c r="FG88" s="95" t="s">
        <v>4427</v>
      </c>
      <c r="FI88" s="89">
        <v>4</v>
      </c>
      <c r="FJ88" s="89">
        <v>4</v>
      </c>
      <c r="FK88" s="89">
        <v>5</v>
      </c>
      <c r="FL88" s="89">
        <v>5</v>
      </c>
      <c r="FM88" s="95" t="s">
        <v>4427</v>
      </c>
      <c r="FO88" s="89">
        <v>4</v>
      </c>
      <c r="FP88" s="89">
        <v>4</v>
      </c>
      <c r="FQ88" s="89">
        <v>5</v>
      </c>
      <c r="FR88" s="89">
        <v>5</v>
      </c>
      <c r="FS88" s="95" t="s">
        <v>4427</v>
      </c>
      <c r="FU88" s="89">
        <v>4</v>
      </c>
      <c r="FV88" s="89">
        <v>4</v>
      </c>
      <c r="FW88" s="89">
        <v>5</v>
      </c>
      <c r="FX88" s="89">
        <v>5</v>
      </c>
      <c r="FY88" s="95" t="s">
        <v>4427</v>
      </c>
      <c r="GA88" s="89">
        <v>4</v>
      </c>
      <c r="GB88" s="89">
        <v>4</v>
      </c>
      <c r="GC88" s="89">
        <v>5</v>
      </c>
      <c r="GD88" s="89">
        <v>5</v>
      </c>
      <c r="GE88" s="95" t="s">
        <v>4427</v>
      </c>
      <c r="GG88" s="89">
        <v>4</v>
      </c>
      <c r="GH88" s="89">
        <v>4</v>
      </c>
      <c r="GI88" s="89">
        <v>5</v>
      </c>
      <c r="GJ88" s="89">
        <v>5</v>
      </c>
      <c r="GK88" s="95" t="s">
        <v>4427</v>
      </c>
      <c r="GM88" s="89">
        <v>4</v>
      </c>
      <c r="GN88" s="89">
        <v>4</v>
      </c>
      <c r="GO88" s="89">
        <v>5</v>
      </c>
      <c r="GP88" s="89">
        <v>5</v>
      </c>
      <c r="GS88" s="89">
        <v>5</v>
      </c>
      <c r="GT88" s="89">
        <v>5</v>
      </c>
      <c r="GU88" s="89">
        <v>5</v>
      </c>
      <c r="GV88" s="89">
        <v>5</v>
      </c>
      <c r="GW88" s="125" t="s">
        <v>4428</v>
      </c>
      <c r="GX88" s="88">
        <v>5</v>
      </c>
      <c r="GY88" s="88">
        <v>5</v>
      </c>
      <c r="GZ88" s="89">
        <v>5</v>
      </c>
      <c r="HA88" s="89">
        <v>5</v>
      </c>
      <c r="HB88" s="89">
        <v>3</v>
      </c>
      <c r="HC88" s="89">
        <v>4</v>
      </c>
      <c r="HD88" s="89">
        <v>5</v>
      </c>
      <c r="HE88" s="89">
        <v>5</v>
      </c>
    </row>
    <row r="89" spans="2:30">
      <c r="B89" s="108" t="s">
        <v>4429</v>
      </c>
      <c r="F89" s="95">
        <v>6</v>
      </c>
      <c r="G89" s="95">
        <v>6</v>
      </c>
      <c r="H89" s="95">
        <v>6</v>
      </c>
      <c r="I89" s="95">
        <v>6</v>
      </c>
      <c r="M89" s="95">
        <v>6</v>
      </c>
      <c r="N89" s="95">
        <v>6</v>
      </c>
      <c r="O89" s="95">
        <v>6</v>
      </c>
      <c r="P89" s="95">
        <v>6</v>
      </c>
      <c r="T89" s="95">
        <v>6</v>
      </c>
      <c r="U89" s="95">
        <v>6</v>
      </c>
      <c r="V89" s="95">
        <v>6</v>
      </c>
      <c r="W89" s="95">
        <v>6</v>
      </c>
      <c r="AA89" s="95">
        <v>6</v>
      </c>
      <c r="AB89" s="95">
        <v>6</v>
      </c>
      <c r="AC89" s="95">
        <v>6</v>
      </c>
      <c r="AD89" s="95">
        <v>6</v>
      </c>
    </row>
    <row r="90" spans="1:213">
      <c r="A90" s="89" t="s">
        <v>391</v>
      </c>
      <c r="B90" s="89" t="s">
        <v>569</v>
      </c>
      <c r="F90" s="95"/>
      <c r="G90" s="95"/>
      <c r="H90" s="95"/>
      <c r="I90" s="95"/>
      <c r="M90" s="95"/>
      <c r="N90" s="95"/>
      <c r="O90" s="95"/>
      <c r="P90" s="95"/>
      <c r="T90" s="95"/>
      <c r="U90" s="95"/>
      <c r="V90" s="95"/>
      <c r="W90" s="95"/>
      <c r="AA90" s="126"/>
      <c r="AB90" s="126"/>
      <c r="AC90" s="95"/>
      <c r="AD90" s="95"/>
      <c r="AH90" s="89">
        <v>6</v>
      </c>
      <c r="AI90" s="89">
        <v>6</v>
      </c>
      <c r="AJ90" s="89">
        <v>6</v>
      </c>
      <c r="AK90" s="89">
        <v>6</v>
      </c>
      <c r="AO90" s="89">
        <v>6</v>
      </c>
      <c r="AP90" s="89">
        <v>6</v>
      </c>
      <c r="AQ90" s="89">
        <v>6</v>
      </c>
      <c r="AR90" s="89">
        <v>6</v>
      </c>
      <c r="AV90" s="89">
        <v>6</v>
      </c>
      <c r="AW90" s="89">
        <v>6</v>
      </c>
      <c r="AX90" s="89">
        <v>6</v>
      </c>
      <c r="AY90" s="89">
        <v>6</v>
      </c>
      <c r="BC90" s="89">
        <v>6</v>
      </c>
      <c r="BD90" s="89">
        <v>6</v>
      </c>
      <c r="BE90" s="89">
        <v>6</v>
      </c>
      <c r="BF90" s="89">
        <v>6</v>
      </c>
      <c r="BJ90" s="89">
        <v>6</v>
      </c>
      <c r="BK90" s="89">
        <v>6</v>
      </c>
      <c r="BL90" s="89">
        <v>6</v>
      </c>
      <c r="BM90" s="89">
        <v>6</v>
      </c>
      <c r="BQ90" s="89">
        <v>6</v>
      </c>
      <c r="BR90" s="89">
        <v>6</v>
      </c>
      <c r="BS90" s="89">
        <v>6</v>
      </c>
      <c r="BT90" s="89">
        <v>6</v>
      </c>
      <c r="BX90" s="89">
        <v>6</v>
      </c>
      <c r="BY90" s="89">
        <v>6</v>
      </c>
      <c r="BZ90" s="89">
        <v>6</v>
      </c>
      <c r="CA90" s="89">
        <v>6</v>
      </c>
      <c r="CE90" s="89">
        <v>5</v>
      </c>
      <c r="CF90" s="89">
        <v>5</v>
      </c>
      <c r="CG90" s="89">
        <v>6</v>
      </c>
      <c r="CH90" s="89">
        <v>6</v>
      </c>
      <c r="CL90" s="89">
        <v>5</v>
      </c>
      <c r="CM90" s="89">
        <v>5</v>
      </c>
      <c r="CN90" s="89">
        <v>6</v>
      </c>
      <c r="CO90" s="89">
        <v>6</v>
      </c>
      <c r="CS90" s="89">
        <v>5</v>
      </c>
      <c r="CT90" s="89">
        <v>5</v>
      </c>
      <c r="CU90" s="89">
        <v>6</v>
      </c>
      <c r="CV90" s="89">
        <v>6</v>
      </c>
      <c r="CW90" s="95" t="s">
        <v>4430</v>
      </c>
      <c r="CZ90" s="89">
        <v>5</v>
      </c>
      <c r="DA90" s="89">
        <v>5</v>
      </c>
      <c r="DB90" s="89">
        <v>6</v>
      </c>
      <c r="DC90" s="89">
        <v>6</v>
      </c>
      <c r="DD90" s="95" t="s">
        <v>4430</v>
      </c>
      <c r="DG90" s="89">
        <v>5</v>
      </c>
      <c r="DH90" s="89">
        <v>5</v>
      </c>
      <c r="DI90" s="89">
        <v>6</v>
      </c>
      <c r="DJ90" s="89">
        <v>6</v>
      </c>
      <c r="DK90" s="95" t="s">
        <v>4430</v>
      </c>
      <c r="DN90" s="89">
        <v>5</v>
      </c>
      <c r="DO90" s="89">
        <v>5</v>
      </c>
      <c r="DP90" s="89">
        <v>6</v>
      </c>
      <c r="DQ90" s="89">
        <v>6</v>
      </c>
      <c r="DR90" s="194" t="s">
        <v>4431</v>
      </c>
      <c r="DU90" s="188">
        <v>5</v>
      </c>
      <c r="DV90" s="188">
        <v>5</v>
      </c>
      <c r="DW90" s="188">
        <v>6</v>
      </c>
      <c r="DX90" s="188">
        <v>6</v>
      </c>
      <c r="DY90" s="194" t="s">
        <v>4431</v>
      </c>
      <c r="EB90" s="188">
        <v>5</v>
      </c>
      <c r="EC90" s="188">
        <v>5</v>
      </c>
      <c r="ED90" s="188">
        <v>6</v>
      </c>
      <c r="EE90" s="188">
        <v>6</v>
      </c>
      <c r="EF90" s="194" t="s">
        <v>4431</v>
      </c>
      <c r="EI90" s="188">
        <v>5</v>
      </c>
      <c r="EJ90" s="188">
        <v>5</v>
      </c>
      <c r="EK90" s="188">
        <v>6</v>
      </c>
      <c r="EL90" s="188">
        <v>6</v>
      </c>
      <c r="EM90" s="194" t="s">
        <v>4431</v>
      </c>
      <c r="EP90" s="188">
        <v>5</v>
      </c>
      <c r="EQ90" s="188">
        <v>5</v>
      </c>
      <c r="ER90" s="188">
        <v>6</v>
      </c>
      <c r="ES90" s="188">
        <v>6</v>
      </c>
      <c r="ET90" s="126" t="s">
        <v>4432</v>
      </c>
      <c r="EW90" s="88">
        <v>5</v>
      </c>
      <c r="EX90" s="88">
        <v>5</v>
      </c>
      <c r="EY90" s="88">
        <v>6</v>
      </c>
      <c r="EZ90" s="88">
        <v>6</v>
      </c>
      <c r="FA90" s="95" t="s">
        <v>4052</v>
      </c>
      <c r="FC90" s="89">
        <v>4</v>
      </c>
      <c r="FD90" s="89">
        <v>4</v>
      </c>
      <c r="FE90" s="89">
        <v>5</v>
      </c>
      <c r="FF90" s="89">
        <v>5</v>
      </c>
      <c r="FG90" s="95" t="s">
        <v>4052</v>
      </c>
      <c r="FI90" s="89">
        <v>4</v>
      </c>
      <c r="FJ90" s="89">
        <v>4</v>
      </c>
      <c r="FK90" s="89">
        <v>5</v>
      </c>
      <c r="FL90" s="89">
        <v>5</v>
      </c>
      <c r="FM90" s="95" t="s">
        <v>4052</v>
      </c>
      <c r="FO90" s="89">
        <v>4</v>
      </c>
      <c r="FP90" s="89">
        <v>4</v>
      </c>
      <c r="FQ90" s="89">
        <v>5</v>
      </c>
      <c r="FR90" s="89">
        <v>5</v>
      </c>
      <c r="FS90" s="95" t="s">
        <v>4052</v>
      </c>
      <c r="FU90" s="89">
        <v>4</v>
      </c>
      <c r="FV90" s="89">
        <v>4</v>
      </c>
      <c r="FW90" s="89">
        <v>5</v>
      </c>
      <c r="FX90" s="89">
        <v>5</v>
      </c>
      <c r="FY90" s="95" t="s">
        <v>4052</v>
      </c>
      <c r="GA90" s="89">
        <v>4</v>
      </c>
      <c r="GB90" s="89">
        <v>4</v>
      </c>
      <c r="GC90" s="89">
        <v>5</v>
      </c>
      <c r="GD90" s="89">
        <v>5</v>
      </c>
      <c r="GE90" s="95" t="s">
        <v>4052</v>
      </c>
      <c r="GG90" s="89">
        <v>4</v>
      </c>
      <c r="GH90" s="89">
        <v>4</v>
      </c>
      <c r="GI90" s="89">
        <v>5</v>
      </c>
      <c r="GJ90" s="89">
        <v>5</v>
      </c>
      <c r="GK90" s="95" t="s">
        <v>4052</v>
      </c>
      <c r="GM90" s="89">
        <v>4</v>
      </c>
      <c r="GN90" s="89">
        <v>4</v>
      </c>
      <c r="GO90" s="89">
        <v>5</v>
      </c>
      <c r="GP90" s="89">
        <v>5</v>
      </c>
      <c r="GS90" s="89">
        <v>5</v>
      </c>
      <c r="GT90" s="89">
        <v>5</v>
      </c>
      <c r="GU90" s="89">
        <v>5</v>
      </c>
      <c r="GV90" s="89">
        <v>5</v>
      </c>
      <c r="GX90" s="89">
        <v>5</v>
      </c>
      <c r="GY90" s="89">
        <v>5</v>
      </c>
      <c r="GZ90" s="89">
        <v>5</v>
      </c>
      <c r="HA90" s="89">
        <v>5</v>
      </c>
      <c r="HB90" s="89">
        <v>6</v>
      </c>
      <c r="HC90" s="89">
        <v>6</v>
      </c>
      <c r="HD90" s="89">
        <v>6</v>
      </c>
      <c r="HE90" s="89">
        <v>6</v>
      </c>
    </row>
    <row r="91" spans="1:30">
      <c r="A91" s="89" t="s">
        <v>230</v>
      </c>
      <c r="B91" s="108" t="s">
        <v>566</v>
      </c>
      <c r="C91" s="95" t="s">
        <v>4433</v>
      </c>
      <c r="F91" s="95">
        <v>2</v>
      </c>
      <c r="G91" s="95">
        <v>2</v>
      </c>
      <c r="H91" s="95">
        <v>3</v>
      </c>
      <c r="I91" s="95">
        <v>4</v>
      </c>
      <c r="J91" s="95" t="s">
        <v>4433</v>
      </c>
      <c r="M91" s="126">
        <v>2</v>
      </c>
      <c r="N91" s="126">
        <v>2</v>
      </c>
      <c r="O91" s="95">
        <v>3</v>
      </c>
      <c r="P91" s="95">
        <v>4</v>
      </c>
      <c r="Q91" s="95" t="s">
        <v>4433</v>
      </c>
      <c r="T91" s="95">
        <v>1</v>
      </c>
      <c r="U91" s="95">
        <v>1</v>
      </c>
      <c r="V91" s="95">
        <v>3</v>
      </c>
      <c r="W91" s="95">
        <v>4</v>
      </c>
      <c r="X91" s="95" t="s">
        <v>4434</v>
      </c>
      <c r="AA91" s="126">
        <v>1</v>
      </c>
      <c r="AB91" s="126">
        <v>1</v>
      </c>
      <c r="AC91" s="126">
        <v>3</v>
      </c>
      <c r="AD91" s="126">
        <v>4</v>
      </c>
    </row>
    <row r="93" customHeight="1" spans="1:213">
      <c r="A93" s="96" t="s">
        <v>165</v>
      </c>
      <c r="B93" s="97"/>
      <c r="C93" s="116" t="s">
        <v>3923</v>
      </c>
      <c r="D93" s="128"/>
      <c r="E93" s="128"/>
      <c r="F93" s="128"/>
      <c r="G93" s="128"/>
      <c r="H93" s="128"/>
      <c r="I93" s="132"/>
      <c r="J93" s="116" t="s">
        <v>3923</v>
      </c>
      <c r="K93" s="128"/>
      <c r="L93" s="128"/>
      <c r="M93" s="128"/>
      <c r="N93" s="128"/>
      <c r="O93" s="128"/>
      <c r="P93" s="132"/>
      <c r="Q93" s="116" t="s">
        <v>4083</v>
      </c>
      <c r="R93" s="128"/>
      <c r="S93" s="128"/>
      <c r="T93" s="128"/>
      <c r="U93" s="128"/>
      <c r="V93" s="128"/>
      <c r="W93" s="132"/>
      <c r="X93" s="116" t="s">
        <v>3925</v>
      </c>
      <c r="Y93" s="128"/>
      <c r="Z93" s="128"/>
      <c r="AA93" s="128"/>
      <c r="AB93" s="128"/>
      <c r="AC93" s="128"/>
      <c r="AD93" s="132"/>
      <c r="AE93" s="116" t="s">
        <v>3926</v>
      </c>
      <c r="AF93" s="128"/>
      <c r="AG93" s="128"/>
      <c r="AH93" s="128"/>
      <c r="AI93" s="128"/>
      <c r="AJ93" s="128"/>
      <c r="AK93" s="132"/>
      <c r="AL93" s="116" t="s">
        <v>3927</v>
      </c>
      <c r="AM93" s="128"/>
      <c r="AN93" s="128"/>
      <c r="AO93" s="128"/>
      <c r="AP93" s="128"/>
      <c r="AQ93" s="128"/>
      <c r="AR93" s="132"/>
      <c r="AS93" s="116" t="s">
        <v>3928</v>
      </c>
      <c r="AT93" s="128"/>
      <c r="AU93" s="128"/>
      <c r="AV93" s="128"/>
      <c r="AW93" s="128"/>
      <c r="AX93" s="128"/>
      <c r="AY93" s="132"/>
      <c r="AZ93" s="116" t="s">
        <v>3929</v>
      </c>
      <c r="BA93" s="128"/>
      <c r="BB93" s="128"/>
      <c r="BC93" s="128"/>
      <c r="BD93" s="128"/>
      <c r="BE93" s="128"/>
      <c r="BF93" s="132"/>
      <c r="BG93" s="116" t="s">
        <v>3930</v>
      </c>
      <c r="BH93" s="128"/>
      <c r="BI93" s="128"/>
      <c r="BJ93" s="128"/>
      <c r="BK93" s="128"/>
      <c r="BL93" s="128"/>
      <c r="BM93" s="132"/>
      <c r="BN93" s="116" t="s">
        <v>3931</v>
      </c>
      <c r="BO93" s="128"/>
      <c r="BP93" s="128"/>
      <c r="BQ93" s="128"/>
      <c r="BR93" s="128"/>
      <c r="BS93" s="128"/>
      <c r="BT93" s="132"/>
      <c r="BU93" s="116" t="s">
        <v>3932</v>
      </c>
      <c r="BV93" s="128"/>
      <c r="BW93" s="128"/>
      <c r="BX93" s="128"/>
      <c r="BY93" s="128"/>
      <c r="BZ93" s="128"/>
      <c r="CA93" s="132"/>
      <c r="CB93" s="116" t="s">
        <v>3933</v>
      </c>
      <c r="CC93" s="128"/>
      <c r="CD93" s="128"/>
      <c r="CE93" s="128"/>
      <c r="CF93" s="128"/>
      <c r="CG93" s="128"/>
      <c r="CH93" s="132"/>
      <c r="CI93" s="116" t="s">
        <v>3922</v>
      </c>
      <c r="CJ93" s="128"/>
      <c r="CK93" s="128"/>
      <c r="CL93" s="128"/>
      <c r="CM93" s="128"/>
      <c r="CN93" s="128"/>
      <c r="CO93" s="132"/>
      <c r="CP93" s="116" t="s">
        <v>3934</v>
      </c>
      <c r="CQ93" s="128"/>
      <c r="CR93" s="128"/>
      <c r="CS93" s="128"/>
      <c r="CT93" s="128"/>
      <c r="CU93" s="128"/>
      <c r="CV93" s="132"/>
      <c r="CW93" s="116" t="s">
        <v>3924</v>
      </c>
      <c r="CX93" s="128"/>
      <c r="CY93" s="128"/>
      <c r="CZ93" s="128"/>
      <c r="DA93" s="128"/>
      <c r="DB93" s="128"/>
      <c r="DC93" s="132"/>
      <c r="DD93" s="116" t="s">
        <v>3935</v>
      </c>
      <c r="DE93" s="128"/>
      <c r="DF93" s="128"/>
      <c r="DG93" s="128"/>
      <c r="DH93" s="128"/>
      <c r="DI93" s="128"/>
      <c r="DJ93" s="132"/>
      <c r="DK93" s="116" t="s">
        <v>3936</v>
      </c>
      <c r="DL93" s="128"/>
      <c r="DM93" s="128"/>
      <c r="DN93" s="128"/>
      <c r="DO93" s="128"/>
      <c r="DP93" s="128"/>
      <c r="DQ93" s="132"/>
      <c r="DR93" s="325" t="s">
        <v>3937</v>
      </c>
      <c r="DS93" s="326"/>
      <c r="DT93" s="326"/>
      <c r="DU93" s="326"/>
      <c r="DV93" s="326"/>
      <c r="DW93" s="326"/>
      <c r="DX93" s="327"/>
      <c r="DY93" s="116" t="s">
        <v>3928</v>
      </c>
      <c r="DZ93" s="128"/>
      <c r="EA93" s="128"/>
      <c r="EB93" s="128"/>
      <c r="EC93" s="128"/>
      <c r="ED93" s="128"/>
      <c r="EE93" s="132"/>
      <c r="EF93" s="116" t="s">
        <v>3929</v>
      </c>
      <c r="EG93" s="128"/>
      <c r="EH93" s="128"/>
      <c r="EI93" s="128"/>
      <c r="EJ93" s="128"/>
      <c r="EK93" s="128"/>
      <c r="EL93" s="132"/>
      <c r="EM93" s="116" t="s">
        <v>4084</v>
      </c>
      <c r="EN93" s="128"/>
      <c r="EO93" s="128"/>
      <c r="EP93" s="128"/>
      <c r="EQ93" s="128"/>
      <c r="ER93" s="128"/>
      <c r="ES93" s="132"/>
      <c r="EU93" s="332"/>
      <c r="EV93" s="332"/>
      <c r="EW93" s="116" t="s">
        <v>4085</v>
      </c>
      <c r="EX93" s="128"/>
      <c r="EY93" s="128"/>
      <c r="EZ93" s="132"/>
      <c r="FB93" s="332"/>
      <c r="FC93" s="116" t="s">
        <v>4086</v>
      </c>
      <c r="FD93" s="128"/>
      <c r="FE93" s="128"/>
      <c r="FF93" s="132"/>
      <c r="FH93" s="332"/>
      <c r="FI93" s="116" t="s">
        <v>4087</v>
      </c>
      <c r="FJ93" s="128"/>
      <c r="FK93" s="128"/>
      <c r="FL93" s="132"/>
      <c r="FN93" s="332"/>
      <c r="FO93" s="116" t="s">
        <v>4088</v>
      </c>
      <c r="FP93" s="128"/>
      <c r="FQ93" s="128"/>
      <c r="FR93" s="132"/>
      <c r="FT93" s="332"/>
      <c r="FU93" s="116" t="s">
        <v>4089</v>
      </c>
      <c r="FV93" s="128"/>
      <c r="FW93" s="128"/>
      <c r="FX93" s="132"/>
      <c r="FZ93" s="332"/>
      <c r="GA93" s="116" t="s">
        <v>4090</v>
      </c>
      <c r="GB93" s="128"/>
      <c r="GC93" s="128"/>
      <c r="GD93" s="132"/>
      <c r="GF93" s="332"/>
      <c r="GG93" s="116" t="s">
        <v>4091</v>
      </c>
      <c r="GH93" s="128"/>
      <c r="GI93" s="128"/>
      <c r="GJ93" s="132"/>
      <c r="GL93" s="332"/>
      <c r="GM93" s="116" t="s">
        <v>3941</v>
      </c>
      <c r="GN93" s="128"/>
      <c r="GO93" s="128"/>
      <c r="GP93" s="132"/>
      <c r="GR93" s="332"/>
      <c r="GS93" s="116" t="s">
        <v>3941</v>
      </c>
      <c r="GT93" s="128"/>
      <c r="GU93" s="128"/>
      <c r="GV93" s="132"/>
      <c r="GW93" s="128"/>
      <c r="GX93" s="116" t="s">
        <v>3942</v>
      </c>
      <c r="GY93" s="128"/>
      <c r="GZ93" s="128"/>
      <c r="HA93" s="132"/>
      <c r="HB93" s="116" t="s">
        <v>3943</v>
      </c>
      <c r="HC93" s="128"/>
      <c r="HD93" s="128"/>
      <c r="HE93" s="132"/>
    </row>
    <row r="94" ht="28.2" spans="1:213">
      <c r="A94" s="101" t="s">
        <v>3944</v>
      </c>
      <c r="B94" s="102" t="s">
        <v>207</v>
      </c>
      <c r="C94" s="120" t="s">
        <v>3945</v>
      </c>
      <c r="D94" s="120" t="s">
        <v>3946</v>
      </c>
      <c r="E94" s="313" t="s">
        <v>3947</v>
      </c>
      <c r="F94" s="119" t="s">
        <v>3948</v>
      </c>
      <c r="G94" s="119" t="s">
        <v>3949</v>
      </c>
      <c r="H94" s="119" t="s">
        <v>3950</v>
      </c>
      <c r="I94" s="119" t="s">
        <v>3951</v>
      </c>
      <c r="J94" s="120" t="s">
        <v>3945</v>
      </c>
      <c r="K94" s="120" t="s">
        <v>3946</v>
      </c>
      <c r="L94" s="313" t="s">
        <v>3947</v>
      </c>
      <c r="M94" s="119" t="s">
        <v>3948</v>
      </c>
      <c r="N94" s="119" t="s">
        <v>3949</v>
      </c>
      <c r="O94" s="119" t="s">
        <v>3950</v>
      </c>
      <c r="P94" s="119" t="s">
        <v>3951</v>
      </c>
      <c r="Q94" s="120" t="s">
        <v>3945</v>
      </c>
      <c r="R94" s="120" t="s">
        <v>3946</v>
      </c>
      <c r="S94" s="313" t="s">
        <v>3947</v>
      </c>
      <c r="T94" s="119" t="s">
        <v>3948</v>
      </c>
      <c r="U94" s="119" t="s">
        <v>3949</v>
      </c>
      <c r="V94" s="119" t="s">
        <v>3950</v>
      </c>
      <c r="W94" s="119" t="s">
        <v>3951</v>
      </c>
      <c r="X94" s="120" t="s">
        <v>3952</v>
      </c>
      <c r="Y94" s="120" t="s">
        <v>3953</v>
      </c>
      <c r="Z94" s="313" t="s">
        <v>3947</v>
      </c>
      <c r="AA94" s="119" t="s">
        <v>3948</v>
      </c>
      <c r="AB94" s="119" t="s">
        <v>3949</v>
      </c>
      <c r="AC94" s="119" t="s">
        <v>3950</v>
      </c>
      <c r="AD94" s="119" t="s">
        <v>3951</v>
      </c>
      <c r="AE94" s="120" t="s">
        <v>3954</v>
      </c>
      <c r="AF94" s="120" t="s">
        <v>3955</v>
      </c>
      <c r="AG94" s="313" t="s">
        <v>3947</v>
      </c>
      <c r="AH94" s="119" t="s">
        <v>3948</v>
      </c>
      <c r="AI94" s="119" t="s">
        <v>3949</v>
      </c>
      <c r="AJ94" s="119" t="s">
        <v>3950</v>
      </c>
      <c r="AK94" s="119" t="s">
        <v>3951</v>
      </c>
      <c r="AL94" s="120" t="s">
        <v>3956</v>
      </c>
      <c r="AM94" s="120" t="s">
        <v>3957</v>
      </c>
      <c r="AN94" s="119" t="s">
        <v>3947</v>
      </c>
      <c r="AO94" s="119" t="s">
        <v>3948</v>
      </c>
      <c r="AP94" s="119" t="s">
        <v>3949</v>
      </c>
      <c r="AQ94" s="119" t="s">
        <v>3950</v>
      </c>
      <c r="AR94" s="119" t="s">
        <v>3951</v>
      </c>
      <c r="AS94" s="120" t="s">
        <v>3958</v>
      </c>
      <c r="AT94" s="120" t="s">
        <v>3959</v>
      </c>
      <c r="AU94" s="119" t="s">
        <v>3947</v>
      </c>
      <c r="AV94" s="119" t="s">
        <v>3948</v>
      </c>
      <c r="AW94" s="119" t="s">
        <v>3949</v>
      </c>
      <c r="AX94" s="119" t="s">
        <v>3950</v>
      </c>
      <c r="AY94" s="119" t="s">
        <v>3951</v>
      </c>
      <c r="AZ94" s="120" t="s">
        <v>3960</v>
      </c>
      <c r="BA94" s="120" t="s">
        <v>3961</v>
      </c>
      <c r="BB94" s="119" t="s">
        <v>3947</v>
      </c>
      <c r="BC94" s="119" t="s">
        <v>3948</v>
      </c>
      <c r="BD94" s="119" t="s">
        <v>3949</v>
      </c>
      <c r="BE94" s="119" t="s">
        <v>3950</v>
      </c>
      <c r="BF94" s="119" t="s">
        <v>3951</v>
      </c>
      <c r="BG94" s="120" t="s">
        <v>3962</v>
      </c>
      <c r="BH94" s="120" t="s">
        <v>3963</v>
      </c>
      <c r="BI94" s="119" t="s">
        <v>3947</v>
      </c>
      <c r="BJ94" s="119" t="s">
        <v>3948</v>
      </c>
      <c r="BK94" s="119" t="s">
        <v>3949</v>
      </c>
      <c r="BL94" s="119" t="s">
        <v>3950</v>
      </c>
      <c r="BM94" s="119" t="s">
        <v>3951</v>
      </c>
      <c r="BN94" s="120" t="s">
        <v>3964</v>
      </c>
      <c r="BO94" s="120" t="s">
        <v>3965</v>
      </c>
      <c r="BP94" s="119" t="s">
        <v>3947</v>
      </c>
      <c r="BQ94" s="119" t="s">
        <v>3948</v>
      </c>
      <c r="BR94" s="119" t="s">
        <v>3949</v>
      </c>
      <c r="BS94" s="119" t="s">
        <v>3950</v>
      </c>
      <c r="BT94" s="119" t="s">
        <v>3951</v>
      </c>
      <c r="BU94" s="120" t="s">
        <v>3966</v>
      </c>
      <c r="BV94" s="120" t="s">
        <v>3967</v>
      </c>
      <c r="BW94" s="119" t="s">
        <v>3947</v>
      </c>
      <c r="BX94" s="119" t="s">
        <v>3948</v>
      </c>
      <c r="BY94" s="119" t="s">
        <v>3949</v>
      </c>
      <c r="BZ94" s="119" t="s">
        <v>3950</v>
      </c>
      <c r="CA94" s="119" t="s">
        <v>3951</v>
      </c>
      <c r="CB94" s="120" t="s">
        <v>3968</v>
      </c>
      <c r="CC94" s="120" t="s">
        <v>3969</v>
      </c>
      <c r="CD94" s="119" t="s">
        <v>3947</v>
      </c>
      <c r="CE94" s="119" t="s">
        <v>3948</v>
      </c>
      <c r="CF94" s="119" t="s">
        <v>3949</v>
      </c>
      <c r="CG94" s="119" t="s">
        <v>3950</v>
      </c>
      <c r="CH94" s="119" t="s">
        <v>3951</v>
      </c>
      <c r="CI94" s="120" t="s">
        <v>3970</v>
      </c>
      <c r="CJ94" s="120" t="s">
        <v>3971</v>
      </c>
      <c r="CK94" s="119" t="s">
        <v>3947</v>
      </c>
      <c r="CL94" s="119" t="s">
        <v>3948</v>
      </c>
      <c r="CM94" s="119" t="s">
        <v>3949</v>
      </c>
      <c r="CN94" s="119" t="s">
        <v>3950</v>
      </c>
      <c r="CO94" s="119" t="s">
        <v>3951</v>
      </c>
      <c r="CP94" s="120" t="s">
        <v>3972</v>
      </c>
      <c r="CQ94" s="120" t="s">
        <v>3973</v>
      </c>
      <c r="CR94" s="119" t="s">
        <v>3947</v>
      </c>
      <c r="CS94" s="119" t="s">
        <v>3948</v>
      </c>
      <c r="CT94" s="119" t="s">
        <v>3949</v>
      </c>
      <c r="CU94" s="119" t="s">
        <v>3950</v>
      </c>
      <c r="CV94" s="119" t="s">
        <v>3951</v>
      </c>
      <c r="CW94" s="120" t="s">
        <v>3974</v>
      </c>
      <c r="CX94" s="120" t="s">
        <v>3975</v>
      </c>
      <c r="CY94" s="119" t="s">
        <v>3947</v>
      </c>
      <c r="CZ94" s="119" t="s">
        <v>3948</v>
      </c>
      <c r="DA94" s="119" t="s">
        <v>3949</v>
      </c>
      <c r="DB94" s="119" t="s">
        <v>3950</v>
      </c>
      <c r="DC94" s="119" t="s">
        <v>3951</v>
      </c>
      <c r="DD94" s="120" t="s">
        <v>3974</v>
      </c>
      <c r="DE94" s="120" t="s">
        <v>3975</v>
      </c>
      <c r="DF94" s="119" t="s">
        <v>3947</v>
      </c>
      <c r="DG94" s="119" t="s">
        <v>3948</v>
      </c>
      <c r="DH94" s="119" t="s">
        <v>3949</v>
      </c>
      <c r="DI94" s="119" t="s">
        <v>3950</v>
      </c>
      <c r="DJ94" s="119" t="s">
        <v>3951</v>
      </c>
      <c r="DK94" s="120" t="s">
        <v>3976</v>
      </c>
      <c r="DL94" s="120" t="s">
        <v>3977</v>
      </c>
      <c r="DM94" s="119" t="s">
        <v>3947</v>
      </c>
      <c r="DN94" s="119" t="s">
        <v>3948</v>
      </c>
      <c r="DO94" s="119" t="s">
        <v>3949</v>
      </c>
      <c r="DP94" s="119" t="s">
        <v>3950</v>
      </c>
      <c r="DQ94" s="119" t="s">
        <v>3951</v>
      </c>
      <c r="DR94" s="328" t="s">
        <v>3978</v>
      </c>
      <c r="DS94" s="328" t="s">
        <v>3979</v>
      </c>
      <c r="DT94" s="313" t="s">
        <v>3947</v>
      </c>
      <c r="DU94" s="313" t="s">
        <v>3948</v>
      </c>
      <c r="DV94" s="313" t="s">
        <v>3949</v>
      </c>
      <c r="DW94" s="313" t="s">
        <v>3950</v>
      </c>
      <c r="DX94" s="313" t="s">
        <v>3951</v>
      </c>
      <c r="DY94" s="120" t="s">
        <v>3980</v>
      </c>
      <c r="DZ94" s="120" t="s">
        <v>3981</v>
      </c>
      <c r="EA94" s="119" t="s">
        <v>3947</v>
      </c>
      <c r="EB94" s="119" t="s">
        <v>3948</v>
      </c>
      <c r="EC94" s="119" t="s">
        <v>3949</v>
      </c>
      <c r="ED94" s="119" t="s">
        <v>3950</v>
      </c>
      <c r="EE94" s="119" t="s">
        <v>3951</v>
      </c>
      <c r="EF94" s="120" t="s">
        <v>3982</v>
      </c>
      <c r="EG94" s="120" t="s">
        <v>3983</v>
      </c>
      <c r="EH94" s="119" t="s">
        <v>3947</v>
      </c>
      <c r="EI94" s="119" t="s">
        <v>3948</v>
      </c>
      <c r="EJ94" s="119" t="s">
        <v>3949</v>
      </c>
      <c r="EK94" s="119" t="s">
        <v>3950</v>
      </c>
      <c r="EL94" s="119" t="s">
        <v>3951</v>
      </c>
      <c r="EM94" s="120" t="s">
        <v>3984</v>
      </c>
      <c r="EN94" s="120" t="s">
        <v>3985</v>
      </c>
      <c r="EO94" s="120"/>
      <c r="EP94" s="119" t="s">
        <v>3948</v>
      </c>
      <c r="EQ94" s="119" t="s">
        <v>3949</v>
      </c>
      <c r="ER94" s="119" t="s">
        <v>3950</v>
      </c>
      <c r="ES94" s="119" t="s">
        <v>3951</v>
      </c>
      <c r="ET94" s="120" t="s">
        <v>3986</v>
      </c>
      <c r="EU94" s="120" t="s">
        <v>3987</v>
      </c>
      <c r="EV94" s="120"/>
      <c r="EW94" s="119" t="s">
        <v>3948</v>
      </c>
      <c r="EX94" s="119" t="s">
        <v>3949</v>
      </c>
      <c r="EY94" s="119" t="s">
        <v>3950</v>
      </c>
      <c r="EZ94" s="119" t="s">
        <v>3951</v>
      </c>
      <c r="FA94" s="120" t="s">
        <v>3988</v>
      </c>
      <c r="FB94" s="120" t="s">
        <v>3989</v>
      </c>
      <c r="FC94" s="119" t="s">
        <v>3948</v>
      </c>
      <c r="FD94" s="119" t="s">
        <v>3949</v>
      </c>
      <c r="FE94" s="119" t="s">
        <v>3950</v>
      </c>
      <c r="FF94" s="119" t="s">
        <v>3951</v>
      </c>
      <c r="FG94" s="120" t="s">
        <v>3990</v>
      </c>
      <c r="FH94" s="120" t="s">
        <v>3991</v>
      </c>
      <c r="FI94" s="119" t="s">
        <v>3948</v>
      </c>
      <c r="FJ94" s="119" t="s">
        <v>3949</v>
      </c>
      <c r="FK94" s="119" t="s">
        <v>3950</v>
      </c>
      <c r="FL94" s="119" t="s">
        <v>3951</v>
      </c>
      <c r="FM94" s="120" t="s">
        <v>3992</v>
      </c>
      <c r="FN94" s="120" t="s">
        <v>3993</v>
      </c>
      <c r="FO94" s="119" t="s">
        <v>3948</v>
      </c>
      <c r="FP94" s="119" t="s">
        <v>3949</v>
      </c>
      <c r="FQ94" s="119" t="s">
        <v>3950</v>
      </c>
      <c r="FR94" s="119" t="s">
        <v>3951</v>
      </c>
      <c r="FS94" s="120" t="s">
        <v>3994</v>
      </c>
      <c r="FT94" s="120" t="s">
        <v>3995</v>
      </c>
      <c r="FU94" s="119" t="s">
        <v>3948</v>
      </c>
      <c r="FV94" s="119" t="s">
        <v>3949</v>
      </c>
      <c r="FW94" s="119" t="s">
        <v>3950</v>
      </c>
      <c r="FX94" s="119" t="s">
        <v>3951</v>
      </c>
      <c r="FY94" s="120" t="s">
        <v>3996</v>
      </c>
      <c r="FZ94" s="120" t="s">
        <v>3997</v>
      </c>
      <c r="GA94" s="119" t="s">
        <v>3948</v>
      </c>
      <c r="GB94" s="119" t="s">
        <v>3949</v>
      </c>
      <c r="GC94" s="119" t="s">
        <v>3950</v>
      </c>
      <c r="GD94" s="119" t="s">
        <v>3951</v>
      </c>
      <c r="GE94" s="120" t="s">
        <v>3998</v>
      </c>
      <c r="GF94" s="120" t="s">
        <v>3999</v>
      </c>
      <c r="GG94" s="119" t="s">
        <v>3948</v>
      </c>
      <c r="GH94" s="119" t="s">
        <v>3949</v>
      </c>
      <c r="GI94" s="119" t="s">
        <v>3950</v>
      </c>
      <c r="GJ94" s="119" t="s">
        <v>3951</v>
      </c>
      <c r="GK94" s="120" t="s">
        <v>4000</v>
      </c>
      <c r="GL94" s="120" t="s">
        <v>4001</v>
      </c>
      <c r="GM94" s="119" t="s">
        <v>3948</v>
      </c>
      <c r="GN94" s="119" t="s">
        <v>3949</v>
      </c>
      <c r="GO94" s="119" t="s">
        <v>3950</v>
      </c>
      <c r="GP94" s="119" t="s">
        <v>3951</v>
      </c>
      <c r="GQ94" s="120" t="s">
        <v>4002</v>
      </c>
      <c r="GR94" s="120" t="s">
        <v>4003</v>
      </c>
      <c r="GS94" s="119" t="s">
        <v>3948</v>
      </c>
      <c r="GT94" s="119" t="s">
        <v>3949</v>
      </c>
      <c r="GU94" s="119" t="s">
        <v>3950</v>
      </c>
      <c r="GV94" s="119" t="s">
        <v>3951</v>
      </c>
      <c r="GW94" s="119"/>
      <c r="GX94" s="119" t="s">
        <v>3948</v>
      </c>
      <c r="GY94" s="119" t="s">
        <v>3949</v>
      </c>
      <c r="GZ94" s="119" t="s">
        <v>3950</v>
      </c>
      <c r="HA94" s="119" t="s">
        <v>3951</v>
      </c>
      <c r="HB94" s="119" t="s">
        <v>3948</v>
      </c>
      <c r="HC94" s="119" t="s">
        <v>3949</v>
      </c>
      <c r="HD94" s="119" t="s">
        <v>3950</v>
      </c>
      <c r="HE94" s="119" t="s">
        <v>3951</v>
      </c>
    </row>
    <row r="95" spans="1:138">
      <c r="A95" s="89" t="s">
        <v>4435</v>
      </c>
      <c r="B95" s="108" t="s">
        <v>577</v>
      </c>
      <c r="E95" s="194" t="s">
        <v>49</v>
      </c>
      <c r="L95" s="194" t="s">
        <v>49</v>
      </c>
      <c r="S95" s="194" t="s">
        <v>49</v>
      </c>
      <c r="Z95" s="194" t="s">
        <v>49</v>
      </c>
      <c r="AG95" s="194" t="s">
        <v>49</v>
      </c>
      <c r="AN95" s="95" t="s">
        <v>49</v>
      </c>
      <c r="AU95" s="95" t="s">
        <v>49</v>
      </c>
      <c r="BB95" s="95" t="s">
        <v>49</v>
      </c>
      <c r="BI95" s="95" t="s">
        <v>49</v>
      </c>
      <c r="BP95" s="95" t="s">
        <v>49</v>
      </c>
      <c r="BW95" s="95" t="s">
        <v>49</v>
      </c>
      <c r="CD95" s="95" t="s">
        <v>49</v>
      </c>
      <c r="CK95" s="95" t="s">
        <v>49</v>
      </c>
      <c r="CR95" s="95" t="s">
        <v>49</v>
      </c>
      <c r="CY95" s="95" t="s">
        <v>49</v>
      </c>
      <c r="DF95" s="95" t="s">
        <v>49</v>
      </c>
      <c r="DM95" s="95" t="s">
        <v>49</v>
      </c>
      <c r="DT95" s="194" t="s">
        <v>49</v>
      </c>
      <c r="EA95" s="126" t="s">
        <v>49</v>
      </c>
      <c r="EH95" s="126" t="s">
        <v>49</v>
      </c>
    </row>
    <row r="96" spans="1:213">
      <c r="A96" s="89" t="s">
        <v>230</v>
      </c>
      <c r="B96" s="108" t="s">
        <v>570</v>
      </c>
      <c r="C96" s="319"/>
      <c r="F96" s="89">
        <v>6</v>
      </c>
      <c r="G96" s="89">
        <v>6</v>
      </c>
      <c r="H96" s="89">
        <v>6</v>
      </c>
      <c r="I96" s="89">
        <v>5</v>
      </c>
      <c r="J96" s="319"/>
      <c r="M96" s="89">
        <v>6</v>
      </c>
      <c r="N96" s="89">
        <v>6</v>
      </c>
      <c r="O96" s="89">
        <v>6</v>
      </c>
      <c r="P96" s="89">
        <v>5</v>
      </c>
      <c r="Q96" s="319"/>
      <c r="T96" s="89">
        <v>6</v>
      </c>
      <c r="U96" s="89">
        <v>6</v>
      </c>
      <c r="V96" s="89">
        <v>6</v>
      </c>
      <c r="W96" s="89">
        <v>5</v>
      </c>
      <c r="X96" s="319"/>
      <c r="AA96" s="89">
        <v>6</v>
      </c>
      <c r="AB96" s="89">
        <v>6</v>
      </c>
      <c r="AC96" s="89">
        <v>6</v>
      </c>
      <c r="AD96" s="89">
        <v>5</v>
      </c>
      <c r="AE96" s="319"/>
      <c r="AH96" s="89">
        <v>6</v>
      </c>
      <c r="AI96" s="89">
        <v>6</v>
      </c>
      <c r="AJ96" s="89">
        <v>6</v>
      </c>
      <c r="AK96" s="89">
        <v>5</v>
      </c>
      <c r="AL96" s="319"/>
      <c r="AO96" s="89">
        <v>6</v>
      </c>
      <c r="AP96" s="89">
        <v>6</v>
      </c>
      <c r="AQ96" s="89">
        <v>6</v>
      </c>
      <c r="AR96" s="89">
        <v>5</v>
      </c>
      <c r="AS96" s="319"/>
      <c r="AV96" s="89">
        <v>6</v>
      </c>
      <c r="AW96" s="89">
        <v>6</v>
      </c>
      <c r="AX96" s="89">
        <v>6</v>
      </c>
      <c r="AY96" s="89">
        <v>5</v>
      </c>
      <c r="AZ96" s="319"/>
      <c r="BC96" s="89">
        <v>6</v>
      </c>
      <c r="BD96" s="89">
        <v>6</v>
      </c>
      <c r="BE96" s="89">
        <v>6</v>
      </c>
      <c r="BF96" s="89">
        <v>5</v>
      </c>
      <c r="BG96" s="319"/>
      <c r="BJ96" s="89">
        <v>6</v>
      </c>
      <c r="BK96" s="89">
        <v>6</v>
      </c>
      <c r="BL96" s="89">
        <v>6</v>
      </c>
      <c r="BM96" s="89">
        <v>5</v>
      </c>
      <c r="BN96" s="319"/>
      <c r="BQ96" s="89">
        <v>6</v>
      </c>
      <c r="BR96" s="89">
        <v>6</v>
      </c>
      <c r="BS96" s="89">
        <v>6</v>
      </c>
      <c r="BT96" s="89">
        <v>5</v>
      </c>
      <c r="BU96" s="319"/>
      <c r="BX96" s="89">
        <v>6</v>
      </c>
      <c r="BY96" s="89">
        <v>6</v>
      </c>
      <c r="BZ96" s="89">
        <v>6</v>
      </c>
      <c r="CA96" s="89">
        <v>6</v>
      </c>
      <c r="CB96" s="319"/>
      <c r="CE96" s="88">
        <v>6</v>
      </c>
      <c r="CF96" s="88">
        <v>6</v>
      </c>
      <c r="CG96" s="88">
        <v>6</v>
      </c>
      <c r="CH96" s="88">
        <v>6</v>
      </c>
      <c r="CI96" s="319"/>
      <c r="CL96" s="89">
        <v>5</v>
      </c>
      <c r="CM96" s="89">
        <v>5</v>
      </c>
      <c r="CN96" s="89">
        <v>5</v>
      </c>
      <c r="CO96" s="89">
        <v>5</v>
      </c>
      <c r="CP96" s="319"/>
      <c r="CS96" s="89">
        <v>5</v>
      </c>
      <c r="CT96" s="89">
        <v>5</v>
      </c>
      <c r="CU96" s="89">
        <v>5</v>
      </c>
      <c r="CV96" s="89">
        <v>5</v>
      </c>
      <c r="CW96" s="319" t="s">
        <v>4436</v>
      </c>
      <c r="CX96" s="95" t="s">
        <v>4437</v>
      </c>
      <c r="CZ96" s="88">
        <v>5</v>
      </c>
      <c r="DA96" s="89">
        <v>5</v>
      </c>
      <c r="DB96" s="89">
        <v>5</v>
      </c>
      <c r="DC96" s="88">
        <v>5</v>
      </c>
      <c r="DD96" s="319" t="s">
        <v>4436</v>
      </c>
      <c r="DE96" s="95" t="s">
        <v>4437</v>
      </c>
      <c r="DG96" s="89">
        <v>6</v>
      </c>
      <c r="DH96" s="89">
        <v>5</v>
      </c>
      <c r="DI96" s="89">
        <v>5</v>
      </c>
      <c r="DJ96" s="89">
        <v>6</v>
      </c>
      <c r="DK96" s="319" t="s">
        <v>4436</v>
      </c>
      <c r="DL96" s="95" t="s">
        <v>4438</v>
      </c>
      <c r="DN96" s="89">
        <v>6</v>
      </c>
      <c r="DO96" s="89">
        <v>5</v>
      </c>
      <c r="DP96" s="89">
        <v>5</v>
      </c>
      <c r="DQ96" s="89">
        <v>6</v>
      </c>
      <c r="DR96" s="329" t="s">
        <v>4436</v>
      </c>
      <c r="DS96" s="194" t="s">
        <v>4438</v>
      </c>
      <c r="DU96" s="188">
        <v>6</v>
      </c>
      <c r="DV96" s="188">
        <v>5</v>
      </c>
      <c r="DW96" s="188">
        <v>5</v>
      </c>
      <c r="DX96" s="188">
        <v>6</v>
      </c>
      <c r="DY96" s="329" t="s">
        <v>4436</v>
      </c>
      <c r="DZ96" s="95" t="s">
        <v>4438</v>
      </c>
      <c r="EB96" s="89">
        <v>6</v>
      </c>
      <c r="EC96" s="89">
        <v>5</v>
      </c>
      <c r="ED96" s="89">
        <v>5</v>
      </c>
      <c r="EE96" s="89">
        <v>6</v>
      </c>
      <c r="EF96" s="329" t="s">
        <v>4436</v>
      </c>
      <c r="EG96" s="95" t="s">
        <v>4438</v>
      </c>
      <c r="EI96" s="89">
        <v>6</v>
      </c>
      <c r="EJ96" s="89">
        <v>5</v>
      </c>
      <c r="EK96" s="89">
        <v>5</v>
      </c>
      <c r="EL96" s="89">
        <v>6</v>
      </c>
      <c r="EM96" s="329" t="s">
        <v>4436</v>
      </c>
      <c r="EN96" s="95" t="s">
        <v>4438</v>
      </c>
      <c r="EP96" s="89">
        <v>5</v>
      </c>
      <c r="EQ96" s="89">
        <v>6</v>
      </c>
      <c r="ER96" s="89">
        <v>6</v>
      </c>
      <c r="ES96" s="89">
        <v>6</v>
      </c>
      <c r="ET96" s="329" t="s">
        <v>4436</v>
      </c>
      <c r="EU96" s="95" t="s">
        <v>4438</v>
      </c>
      <c r="EW96" s="89">
        <v>5</v>
      </c>
      <c r="EX96" s="89">
        <v>6</v>
      </c>
      <c r="EY96" s="89">
        <v>6</v>
      </c>
      <c r="EZ96" s="89">
        <v>6</v>
      </c>
      <c r="FA96" s="131" t="s">
        <v>4436</v>
      </c>
      <c r="FB96" s="95" t="s">
        <v>4438</v>
      </c>
      <c r="FC96" s="89">
        <v>6</v>
      </c>
      <c r="FD96" s="89">
        <v>6</v>
      </c>
      <c r="FE96" s="89">
        <v>7</v>
      </c>
      <c r="FF96" s="89">
        <v>7</v>
      </c>
      <c r="FG96" s="320" t="s">
        <v>4439</v>
      </c>
      <c r="FH96" s="95" t="s">
        <v>4438</v>
      </c>
      <c r="FI96" s="89">
        <v>6</v>
      </c>
      <c r="FJ96" s="89">
        <v>5</v>
      </c>
      <c r="FK96" s="89">
        <v>6</v>
      </c>
      <c r="FL96" s="89">
        <v>6</v>
      </c>
      <c r="FM96" s="320" t="s">
        <v>4439</v>
      </c>
      <c r="FN96" s="95" t="s">
        <v>4438</v>
      </c>
      <c r="FO96" s="323">
        <v>6</v>
      </c>
      <c r="FP96" s="89">
        <v>5</v>
      </c>
      <c r="FQ96" s="323">
        <v>6</v>
      </c>
      <c r="FR96" s="89">
        <v>6</v>
      </c>
      <c r="FS96" s="322" t="s">
        <v>4440</v>
      </c>
      <c r="FT96" s="95" t="s">
        <v>4438</v>
      </c>
      <c r="FU96" s="89">
        <v>7</v>
      </c>
      <c r="FV96" s="89">
        <v>5</v>
      </c>
      <c r="FW96" s="89">
        <v>7</v>
      </c>
      <c r="FX96" s="89">
        <v>7</v>
      </c>
      <c r="FY96" s="95" t="s">
        <v>4441</v>
      </c>
      <c r="FZ96" s="95" t="s">
        <v>4438</v>
      </c>
      <c r="GA96" s="89">
        <v>7</v>
      </c>
      <c r="GB96" s="133">
        <v>5</v>
      </c>
      <c r="GC96" s="89">
        <v>7</v>
      </c>
      <c r="GD96" s="89">
        <v>7</v>
      </c>
      <c r="GE96" s="95" t="s">
        <v>4441</v>
      </c>
      <c r="GF96" s="95" t="s">
        <v>4438</v>
      </c>
      <c r="GG96" s="89">
        <v>7</v>
      </c>
      <c r="GH96" s="89">
        <v>6</v>
      </c>
      <c r="GI96" s="89">
        <v>7</v>
      </c>
      <c r="GJ96" s="89">
        <v>7</v>
      </c>
      <c r="GK96" s="95" t="s">
        <v>4441</v>
      </c>
      <c r="GL96" s="95" t="s">
        <v>4438</v>
      </c>
      <c r="GM96" s="89">
        <v>7</v>
      </c>
      <c r="GN96" s="89">
        <v>6</v>
      </c>
      <c r="GO96" s="89">
        <v>7</v>
      </c>
      <c r="GP96" s="89">
        <v>7</v>
      </c>
      <c r="GS96" s="89">
        <v>7</v>
      </c>
      <c r="GT96" s="89">
        <v>7</v>
      </c>
      <c r="GU96" s="89">
        <v>7</v>
      </c>
      <c r="GV96" s="89">
        <v>7</v>
      </c>
      <c r="GX96" s="89">
        <v>7</v>
      </c>
      <c r="GY96" s="89">
        <v>7</v>
      </c>
      <c r="GZ96" s="89">
        <v>7</v>
      </c>
      <c r="HA96" s="89">
        <v>7</v>
      </c>
      <c r="HB96" s="89">
        <v>7</v>
      </c>
      <c r="HC96" s="89">
        <v>7</v>
      </c>
      <c r="HD96" s="89">
        <v>7</v>
      </c>
      <c r="HE96" s="89">
        <v>7</v>
      </c>
    </row>
    <row r="97" ht="28.8" spans="1:213">
      <c r="A97" s="89" t="s">
        <v>230</v>
      </c>
      <c r="B97" s="108" t="s">
        <v>573</v>
      </c>
      <c r="C97" s="125"/>
      <c r="F97" s="89">
        <v>1</v>
      </c>
      <c r="G97" s="89">
        <v>1</v>
      </c>
      <c r="H97" s="95">
        <v>3</v>
      </c>
      <c r="I97" s="88">
        <v>2</v>
      </c>
      <c r="J97" s="125"/>
      <c r="M97" s="89">
        <v>1</v>
      </c>
      <c r="N97" s="89">
        <v>1</v>
      </c>
      <c r="O97" s="95">
        <v>3</v>
      </c>
      <c r="P97" s="89">
        <v>1</v>
      </c>
      <c r="Q97" s="125"/>
      <c r="T97" s="89">
        <v>1</v>
      </c>
      <c r="U97" s="89">
        <v>1</v>
      </c>
      <c r="V97" s="95">
        <v>3</v>
      </c>
      <c r="W97" s="89">
        <v>1</v>
      </c>
      <c r="X97" s="125"/>
      <c r="AA97" s="89">
        <v>1</v>
      </c>
      <c r="AB97" s="89">
        <v>1</v>
      </c>
      <c r="AC97" s="95">
        <v>3</v>
      </c>
      <c r="AD97" s="89">
        <v>1</v>
      </c>
      <c r="AE97" s="125" t="s">
        <v>4442</v>
      </c>
      <c r="AH97" s="89">
        <v>1</v>
      </c>
      <c r="AI97" s="89">
        <v>1</v>
      </c>
      <c r="AJ97" s="95">
        <v>3</v>
      </c>
      <c r="AK97" s="89">
        <v>1</v>
      </c>
      <c r="AL97" s="125" t="s">
        <v>4442</v>
      </c>
      <c r="AO97" s="88">
        <v>1</v>
      </c>
      <c r="AP97" s="88">
        <v>1</v>
      </c>
      <c r="AQ97" s="126">
        <v>3</v>
      </c>
      <c r="AR97" s="89">
        <v>1</v>
      </c>
      <c r="AS97" s="125" t="s">
        <v>4442</v>
      </c>
      <c r="AV97" s="89">
        <v>2</v>
      </c>
      <c r="AW97" s="89">
        <v>2</v>
      </c>
      <c r="AX97" s="95">
        <v>4</v>
      </c>
      <c r="AY97" s="89">
        <v>1</v>
      </c>
      <c r="AZ97" s="125" t="s">
        <v>4442</v>
      </c>
      <c r="BC97" s="89">
        <v>2</v>
      </c>
      <c r="BD97" s="89">
        <v>2</v>
      </c>
      <c r="BE97" s="95">
        <v>4</v>
      </c>
      <c r="BF97" s="89">
        <v>1</v>
      </c>
      <c r="BG97" s="125" t="s">
        <v>4442</v>
      </c>
      <c r="BJ97" s="89">
        <v>2</v>
      </c>
      <c r="BK97" s="89">
        <v>2</v>
      </c>
      <c r="BL97" s="95">
        <v>4</v>
      </c>
      <c r="BM97" s="89">
        <v>1</v>
      </c>
      <c r="BN97" s="125" t="s">
        <v>4442</v>
      </c>
      <c r="BQ97" s="89">
        <v>2</v>
      </c>
      <c r="BR97" s="88">
        <v>2</v>
      </c>
      <c r="BS97" s="95">
        <v>4</v>
      </c>
      <c r="BT97" s="89">
        <v>1</v>
      </c>
      <c r="BU97" s="125" t="s">
        <v>4442</v>
      </c>
      <c r="BX97" s="89">
        <v>2</v>
      </c>
      <c r="BY97" s="89">
        <v>3</v>
      </c>
      <c r="BZ97" s="95">
        <v>4</v>
      </c>
      <c r="CA97" s="89">
        <v>1</v>
      </c>
      <c r="CB97" s="124" t="s">
        <v>4442</v>
      </c>
      <c r="CE97" s="88">
        <v>2</v>
      </c>
      <c r="CF97" s="88">
        <v>3</v>
      </c>
      <c r="CG97" s="126">
        <v>4</v>
      </c>
      <c r="CH97" s="89">
        <v>1</v>
      </c>
      <c r="CI97" s="125" t="s">
        <v>4443</v>
      </c>
      <c r="CL97" s="89">
        <v>3</v>
      </c>
      <c r="CM97" s="89">
        <v>4</v>
      </c>
      <c r="CN97" s="95">
        <v>3</v>
      </c>
      <c r="CO97" s="89">
        <v>1</v>
      </c>
      <c r="CP97" s="125" t="s">
        <v>4443</v>
      </c>
      <c r="CS97" s="89">
        <v>3</v>
      </c>
      <c r="CT97" s="89">
        <v>4</v>
      </c>
      <c r="CU97" s="95">
        <v>3</v>
      </c>
      <c r="CV97" s="89">
        <v>1</v>
      </c>
      <c r="CW97" s="124" t="s">
        <v>4443</v>
      </c>
      <c r="CX97" s="95" t="s">
        <v>4444</v>
      </c>
      <c r="CZ97" s="89">
        <v>3</v>
      </c>
      <c r="DA97" s="89">
        <v>4</v>
      </c>
      <c r="DB97" s="126">
        <v>3</v>
      </c>
      <c r="DC97" s="89">
        <v>1</v>
      </c>
      <c r="DD97" s="125" t="s">
        <v>4445</v>
      </c>
      <c r="DE97" s="95" t="s">
        <v>4444</v>
      </c>
      <c r="DG97" s="89">
        <v>3</v>
      </c>
      <c r="DH97" s="89">
        <v>4</v>
      </c>
      <c r="DI97" s="89">
        <v>4</v>
      </c>
      <c r="DJ97" s="89">
        <v>1</v>
      </c>
      <c r="DK97" s="125" t="s">
        <v>4445</v>
      </c>
      <c r="DL97" s="95" t="s">
        <v>4446</v>
      </c>
      <c r="DN97" s="89">
        <v>3</v>
      </c>
      <c r="DO97" s="89">
        <v>4</v>
      </c>
      <c r="DP97" s="89">
        <v>4</v>
      </c>
      <c r="DQ97" s="89">
        <v>1</v>
      </c>
      <c r="DR97" s="316" t="s">
        <v>4445</v>
      </c>
      <c r="DS97" s="194" t="s">
        <v>4446</v>
      </c>
      <c r="DU97" s="188">
        <v>3</v>
      </c>
      <c r="DV97" s="188">
        <v>4</v>
      </c>
      <c r="DW97" s="188">
        <v>4</v>
      </c>
      <c r="DX97" s="188">
        <v>1</v>
      </c>
      <c r="DY97" s="124" t="s">
        <v>4445</v>
      </c>
      <c r="DZ97" s="95" t="s">
        <v>4446</v>
      </c>
      <c r="EB97" s="88">
        <v>3</v>
      </c>
      <c r="EC97" s="88">
        <v>4</v>
      </c>
      <c r="ED97" s="88">
        <v>4</v>
      </c>
      <c r="EE97" s="89">
        <v>1</v>
      </c>
      <c r="EF97" s="124" t="s">
        <v>4447</v>
      </c>
      <c r="EG97" s="95" t="s">
        <v>4446</v>
      </c>
      <c r="EI97" s="89">
        <v>2</v>
      </c>
      <c r="EJ97" s="89">
        <v>3</v>
      </c>
      <c r="EK97" s="89">
        <v>3</v>
      </c>
      <c r="EL97" s="89">
        <v>1</v>
      </c>
      <c r="EM97" s="125" t="s">
        <v>4448</v>
      </c>
      <c r="EN97" s="95" t="s">
        <v>4446</v>
      </c>
      <c r="EP97" s="89">
        <v>2</v>
      </c>
      <c r="EQ97" s="89">
        <v>4</v>
      </c>
      <c r="ER97" s="89">
        <v>4</v>
      </c>
      <c r="ES97" s="89">
        <v>1</v>
      </c>
      <c r="ET97" s="125" t="s">
        <v>4448</v>
      </c>
      <c r="EU97" s="95" t="s">
        <v>4446</v>
      </c>
      <c r="EW97" s="89">
        <v>2</v>
      </c>
      <c r="EX97" s="89">
        <v>4</v>
      </c>
      <c r="EY97" s="89">
        <v>4</v>
      </c>
      <c r="EZ97" s="89">
        <v>1</v>
      </c>
      <c r="FA97" s="125" t="s">
        <v>4448</v>
      </c>
      <c r="FB97" s="95" t="s">
        <v>4446</v>
      </c>
      <c r="FC97" s="89">
        <v>1</v>
      </c>
      <c r="FD97" s="89">
        <v>2</v>
      </c>
      <c r="FE97" s="89">
        <v>2</v>
      </c>
      <c r="FF97" s="89">
        <v>3</v>
      </c>
      <c r="FG97" s="125" t="s">
        <v>4448</v>
      </c>
      <c r="FH97" s="95" t="s">
        <v>4446</v>
      </c>
      <c r="FI97" s="89">
        <v>1</v>
      </c>
      <c r="FJ97" s="89">
        <v>3</v>
      </c>
      <c r="FK97" s="89">
        <v>4</v>
      </c>
      <c r="FL97" s="89">
        <v>3</v>
      </c>
      <c r="FM97" s="125" t="s">
        <v>4448</v>
      </c>
      <c r="FN97" s="95" t="s">
        <v>4446</v>
      </c>
      <c r="FO97" s="323">
        <v>1</v>
      </c>
      <c r="FP97" s="89">
        <v>3</v>
      </c>
      <c r="FQ97" s="323">
        <v>4</v>
      </c>
      <c r="FR97" s="323">
        <v>3</v>
      </c>
      <c r="FS97" s="125" t="s">
        <v>4448</v>
      </c>
      <c r="FT97" s="95" t="s">
        <v>4446</v>
      </c>
      <c r="FU97" s="89">
        <v>2</v>
      </c>
      <c r="FV97" s="89">
        <v>3</v>
      </c>
      <c r="FW97" s="89">
        <v>5</v>
      </c>
      <c r="FX97" s="89">
        <v>4</v>
      </c>
      <c r="FY97" s="124" t="s">
        <v>4448</v>
      </c>
      <c r="FZ97" s="95" t="s">
        <v>4446</v>
      </c>
      <c r="GA97" s="88">
        <v>2</v>
      </c>
      <c r="GB97" s="88">
        <v>3</v>
      </c>
      <c r="GC97" s="89">
        <v>5</v>
      </c>
      <c r="GD97" s="133">
        <v>4</v>
      </c>
      <c r="GE97" s="95" t="s">
        <v>4449</v>
      </c>
      <c r="GF97" s="95" t="s">
        <v>4446</v>
      </c>
      <c r="GG97" s="89">
        <v>1</v>
      </c>
      <c r="GH97" s="89">
        <v>4</v>
      </c>
      <c r="GI97" s="89">
        <v>5</v>
      </c>
      <c r="GJ97" s="89">
        <v>5</v>
      </c>
      <c r="GK97" s="95" t="s">
        <v>4449</v>
      </c>
      <c r="GL97" s="95" t="s">
        <v>4446</v>
      </c>
      <c r="GM97" s="133">
        <v>1</v>
      </c>
      <c r="GN97" s="133">
        <v>4</v>
      </c>
      <c r="GO97" s="89">
        <v>5</v>
      </c>
      <c r="GP97" s="89">
        <v>5</v>
      </c>
      <c r="GS97" s="89">
        <v>4</v>
      </c>
      <c r="GT97" s="88">
        <v>5</v>
      </c>
      <c r="GU97" s="89">
        <v>5</v>
      </c>
      <c r="GV97" s="88">
        <v>5</v>
      </c>
      <c r="GW97" s="126"/>
      <c r="GX97" s="89">
        <v>4</v>
      </c>
      <c r="GY97" s="89">
        <v>4</v>
      </c>
      <c r="GZ97" s="89">
        <v>5</v>
      </c>
      <c r="HA97" s="89">
        <v>4</v>
      </c>
      <c r="HB97" s="89">
        <v>4</v>
      </c>
      <c r="HC97" s="89">
        <v>4</v>
      </c>
      <c r="HD97" s="89">
        <v>5</v>
      </c>
      <c r="HE97" s="89">
        <v>4</v>
      </c>
    </row>
    <row r="98" ht="28.8" hidden="1" spans="2:213">
      <c r="B98" s="108"/>
      <c r="DR98" s="194" t="s">
        <v>4450</v>
      </c>
      <c r="DU98" s="188">
        <v>7</v>
      </c>
      <c r="DV98" s="188">
        <v>7</v>
      </c>
      <c r="DW98" s="188">
        <v>7</v>
      </c>
      <c r="DX98" s="188">
        <v>7</v>
      </c>
      <c r="DY98" s="95" t="s">
        <v>4451</v>
      </c>
      <c r="EB98" s="89">
        <v>7</v>
      </c>
      <c r="EC98" s="88">
        <v>7</v>
      </c>
      <c r="ED98" s="88">
        <v>7</v>
      </c>
      <c r="EE98" s="89">
        <v>7</v>
      </c>
      <c r="EF98" s="95" t="s">
        <v>4451</v>
      </c>
      <c r="EI98" s="89">
        <v>7</v>
      </c>
      <c r="EJ98" s="89">
        <v>6</v>
      </c>
      <c r="EK98" s="89">
        <v>6</v>
      </c>
      <c r="EL98" s="89">
        <v>7</v>
      </c>
      <c r="EM98" s="95" t="s">
        <v>4451</v>
      </c>
      <c r="EP98" s="89">
        <v>3</v>
      </c>
      <c r="EQ98" s="89">
        <v>3</v>
      </c>
      <c r="ER98" s="89">
        <v>3</v>
      </c>
      <c r="ES98" s="89">
        <v>3</v>
      </c>
      <c r="ET98" s="95" t="s">
        <v>4451</v>
      </c>
      <c r="EW98" s="89">
        <v>3</v>
      </c>
      <c r="EX98" s="89">
        <v>3</v>
      </c>
      <c r="EY98" s="89">
        <v>3</v>
      </c>
      <c r="EZ98" s="89">
        <v>3</v>
      </c>
      <c r="FA98" s="95" t="s">
        <v>4451</v>
      </c>
      <c r="FC98" s="89">
        <v>2</v>
      </c>
      <c r="FD98" s="89">
        <v>2</v>
      </c>
      <c r="FE98" s="89">
        <v>2</v>
      </c>
      <c r="FF98" s="89">
        <v>2</v>
      </c>
      <c r="FG98" s="95" t="s">
        <v>4451</v>
      </c>
      <c r="FI98" s="89">
        <v>2</v>
      </c>
      <c r="FJ98" s="89">
        <v>2</v>
      </c>
      <c r="FK98" s="89">
        <v>2</v>
      </c>
      <c r="FL98" s="89">
        <v>2</v>
      </c>
      <c r="FM98" s="95" t="s">
        <v>4451</v>
      </c>
      <c r="FO98" s="323">
        <v>2</v>
      </c>
      <c r="FP98" s="89">
        <v>2</v>
      </c>
      <c r="FQ98" s="323">
        <v>2</v>
      </c>
      <c r="FR98" s="323">
        <v>2</v>
      </c>
      <c r="FS98" s="95" t="s">
        <v>4451</v>
      </c>
      <c r="FU98" s="89">
        <v>3</v>
      </c>
      <c r="FV98" s="89">
        <v>2</v>
      </c>
      <c r="FW98" s="89">
        <v>3</v>
      </c>
      <c r="FX98" s="89">
        <v>3</v>
      </c>
      <c r="FY98" s="126" t="s">
        <v>4452</v>
      </c>
      <c r="GA98" s="89">
        <v>3</v>
      </c>
      <c r="GB98" s="88">
        <v>2</v>
      </c>
      <c r="GC98" s="88">
        <v>3</v>
      </c>
      <c r="GD98" s="88">
        <v>3</v>
      </c>
      <c r="GE98" s="95" t="s">
        <v>4453</v>
      </c>
      <c r="GG98" s="89">
        <v>3</v>
      </c>
      <c r="GH98" s="89">
        <v>1</v>
      </c>
      <c r="GI98" s="89">
        <v>2</v>
      </c>
      <c r="GJ98" s="89">
        <v>2</v>
      </c>
      <c r="GK98" s="95" t="s">
        <v>4453</v>
      </c>
      <c r="GM98" s="88">
        <v>3</v>
      </c>
      <c r="GN98" s="89">
        <v>1</v>
      </c>
      <c r="GO98" s="89">
        <v>2</v>
      </c>
      <c r="GP98" s="89">
        <v>2</v>
      </c>
      <c r="GS98" s="89">
        <v>2</v>
      </c>
      <c r="GT98" s="89">
        <v>1</v>
      </c>
      <c r="GU98" s="88">
        <v>2</v>
      </c>
      <c r="GV98" s="88">
        <v>2</v>
      </c>
      <c r="GW98" s="126"/>
      <c r="GX98" s="89">
        <v>2</v>
      </c>
      <c r="GY98" s="89">
        <v>1</v>
      </c>
      <c r="GZ98" s="89">
        <v>1</v>
      </c>
      <c r="HA98" s="89">
        <v>1</v>
      </c>
      <c r="HB98" s="89">
        <v>2</v>
      </c>
      <c r="HC98" s="89">
        <v>1</v>
      </c>
      <c r="HD98" s="89">
        <v>1</v>
      </c>
      <c r="HE98" s="89">
        <v>1</v>
      </c>
    </row>
    <row r="99" spans="1:213">
      <c r="A99" s="89" t="s">
        <v>1992</v>
      </c>
      <c r="B99" s="89" t="s">
        <v>4454</v>
      </c>
      <c r="C99" s="125"/>
      <c r="F99" s="89">
        <v>6</v>
      </c>
      <c r="G99" s="89">
        <v>6</v>
      </c>
      <c r="H99" s="89">
        <v>6</v>
      </c>
      <c r="I99" s="89">
        <v>6</v>
      </c>
      <c r="J99" s="125"/>
      <c r="M99" s="89">
        <v>6</v>
      </c>
      <c r="N99" s="89">
        <v>6</v>
      </c>
      <c r="O99" s="89">
        <v>6</v>
      </c>
      <c r="P99" s="89">
        <v>6</v>
      </c>
      <c r="Q99" s="125"/>
      <c r="T99" s="89">
        <v>6</v>
      </c>
      <c r="U99" s="89">
        <v>6</v>
      </c>
      <c r="V99" s="89">
        <v>6</v>
      </c>
      <c r="W99" s="89">
        <v>6</v>
      </c>
      <c r="X99" s="125"/>
      <c r="AA99" s="89">
        <v>6</v>
      </c>
      <c r="AB99" s="89">
        <v>6</v>
      </c>
      <c r="AC99" s="89">
        <v>6</v>
      </c>
      <c r="AD99" s="89">
        <v>6</v>
      </c>
      <c r="AE99" s="125"/>
      <c r="AH99" s="89">
        <v>6</v>
      </c>
      <c r="AI99" s="89">
        <v>6</v>
      </c>
      <c r="AJ99" s="89">
        <v>6</v>
      </c>
      <c r="AK99" s="89">
        <v>6</v>
      </c>
      <c r="AL99" s="125"/>
      <c r="AO99" s="89">
        <v>6</v>
      </c>
      <c r="AP99" s="89">
        <v>6</v>
      </c>
      <c r="AQ99" s="89">
        <v>6</v>
      </c>
      <c r="AR99" s="89">
        <v>6</v>
      </c>
      <c r="AS99" s="125"/>
      <c r="AV99" s="89">
        <v>6</v>
      </c>
      <c r="AW99" s="89">
        <v>6</v>
      </c>
      <c r="AX99" s="89">
        <v>6</v>
      </c>
      <c r="AY99" s="89">
        <v>6</v>
      </c>
      <c r="AZ99" s="125"/>
      <c r="BC99" s="89">
        <v>6</v>
      </c>
      <c r="BD99" s="89">
        <v>6</v>
      </c>
      <c r="BE99" s="89">
        <v>6</v>
      </c>
      <c r="BF99" s="89">
        <v>6</v>
      </c>
      <c r="BG99" s="125"/>
      <c r="BJ99" s="89">
        <v>6</v>
      </c>
      <c r="BK99" s="89">
        <v>6</v>
      </c>
      <c r="BL99" s="89">
        <v>6</v>
      </c>
      <c r="BM99" s="89">
        <v>6</v>
      </c>
      <c r="BN99" s="125"/>
      <c r="BQ99" s="89">
        <v>6</v>
      </c>
      <c r="BR99" s="89">
        <v>6</v>
      </c>
      <c r="BS99" s="89">
        <v>6</v>
      </c>
      <c r="BT99" s="89">
        <v>6</v>
      </c>
      <c r="BU99" s="125"/>
      <c r="BX99" s="89">
        <v>6</v>
      </c>
      <c r="BY99" s="89">
        <v>6</v>
      </c>
      <c r="BZ99" s="89">
        <v>6</v>
      </c>
      <c r="CA99" s="89">
        <v>6</v>
      </c>
      <c r="CB99" s="125"/>
      <c r="CE99" s="89">
        <v>6</v>
      </c>
      <c r="CF99" s="89">
        <v>6</v>
      </c>
      <c r="CG99" s="89">
        <v>6</v>
      </c>
      <c r="CH99" s="89">
        <v>6</v>
      </c>
      <c r="CI99" s="125"/>
      <c r="CL99" s="89">
        <v>6</v>
      </c>
      <c r="CM99" s="89">
        <v>6</v>
      </c>
      <c r="CN99" s="89">
        <v>6</v>
      </c>
      <c r="CO99" s="89">
        <v>6</v>
      </c>
      <c r="CP99" s="125"/>
      <c r="CS99" s="89">
        <v>6</v>
      </c>
      <c r="CT99" s="89">
        <v>6</v>
      </c>
      <c r="CU99" s="89">
        <v>6</v>
      </c>
      <c r="CV99" s="89">
        <v>6</v>
      </c>
      <c r="CW99" s="125" t="s">
        <v>4052</v>
      </c>
      <c r="CZ99" s="88">
        <v>6</v>
      </c>
      <c r="DA99" s="88">
        <v>6</v>
      </c>
      <c r="DB99" s="88">
        <v>6</v>
      </c>
      <c r="DC99" s="88">
        <v>6</v>
      </c>
      <c r="DD99" s="125" t="s">
        <v>4052</v>
      </c>
      <c r="DG99" s="89">
        <v>4</v>
      </c>
      <c r="DH99" s="89">
        <v>5</v>
      </c>
      <c r="DI99" s="89">
        <v>5</v>
      </c>
      <c r="DJ99" s="89">
        <v>5</v>
      </c>
      <c r="DK99" s="95" t="s">
        <v>4052</v>
      </c>
      <c r="DN99" s="89">
        <v>4</v>
      </c>
      <c r="DO99" s="89">
        <v>5</v>
      </c>
      <c r="DP99" s="89">
        <v>5</v>
      </c>
      <c r="DQ99" s="89">
        <v>5</v>
      </c>
      <c r="DR99" s="194" t="s">
        <v>4052</v>
      </c>
      <c r="DU99" s="188">
        <v>4</v>
      </c>
      <c r="DV99" s="188">
        <v>5</v>
      </c>
      <c r="DW99" s="188">
        <v>5</v>
      </c>
      <c r="DX99" s="188">
        <v>5</v>
      </c>
      <c r="DY99" s="95" t="s">
        <v>4052</v>
      </c>
      <c r="EB99" s="89">
        <v>4</v>
      </c>
      <c r="EC99" s="88">
        <v>5</v>
      </c>
      <c r="ED99" s="88">
        <v>5</v>
      </c>
      <c r="EE99" s="89">
        <v>5</v>
      </c>
      <c r="EF99" s="95" t="s">
        <v>4052</v>
      </c>
      <c r="EI99" s="89">
        <v>4</v>
      </c>
      <c r="EJ99" s="89">
        <v>4</v>
      </c>
      <c r="EK99" s="89">
        <v>4</v>
      </c>
      <c r="EL99" s="89">
        <v>5</v>
      </c>
      <c r="EM99" s="95" t="s">
        <v>4052</v>
      </c>
      <c r="EP99" s="89">
        <v>3</v>
      </c>
      <c r="EQ99" s="89">
        <v>5</v>
      </c>
      <c r="ER99" s="89">
        <v>5</v>
      </c>
      <c r="ES99" s="89">
        <v>5</v>
      </c>
      <c r="ET99" s="95" t="s">
        <v>4052</v>
      </c>
      <c r="EW99" s="89">
        <v>3</v>
      </c>
      <c r="EX99" s="89">
        <v>5</v>
      </c>
      <c r="EY99" s="89">
        <v>5</v>
      </c>
      <c r="EZ99" s="89">
        <v>5</v>
      </c>
      <c r="FA99" s="95" t="s">
        <v>4052</v>
      </c>
      <c r="FC99" s="89">
        <v>4</v>
      </c>
      <c r="FD99" s="89">
        <v>4</v>
      </c>
      <c r="FE99" s="89">
        <v>5</v>
      </c>
      <c r="FF99" s="89">
        <v>5</v>
      </c>
      <c r="FG99" s="95" t="s">
        <v>4052</v>
      </c>
      <c r="FI99" s="89">
        <v>4</v>
      </c>
      <c r="FJ99" s="89">
        <v>4</v>
      </c>
      <c r="FK99" s="89">
        <v>5</v>
      </c>
      <c r="FL99" s="89">
        <v>5</v>
      </c>
      <c r="FM99" s="95" t="s">
        <v>4052</v>
      </c>
      <c r="FO99" s="323">
        <v>4</v>
      </c>
      <c r="FP99" s="89">
        <v>4</v>
      </c>
      <c r="FQ99" s="323">
        <v>5</v>
      </c>
      <c r="FR99" s="323">
        <v>5</v>
      </c>
      <c r="FS99" s="95" t="s">
        <v>4052</v>
      </c>
      <c r="FU99" s="89">
        <v>5</v>
      </c>
      <c r="FV99" s="89">
        <v>4</v>
      </c>
      <c r="FW99" s="89">
        <v>6</v>
      </c>
      <c r="FX99" s="89">
        <v>6</v>
      </c>
      <c r="FY99" s="95" t="s">
        <v>4052</v>
      </c>
      <c r="GA99" s="89">
        <v>5</v>
      </c>
      <c r="GB99" s="133">
        <v>4</v>
      </c>
      <c r="GC99" s="89">
        <v>6</v>
      </c>
      <c r="GD99" s="89">
        <v>6</v>
      </c>
      <c r="GE99" s="95" t="s">
        <v>4052</v>
      </c>
      <c r="GG99" s="89">
        <v>5</v>
      </c>
      <c r="GH99" s="89">
        <v>5</v>
      </c>
      <c r="GI99" s="89">
        <v>6</v>
      </c>
      <c r="GJ99" s="89">
        <v>6</v>
      </c>
      <c r="GK99" s="95" t="s">
        <v>4052</v>
      </c>
      <c r="GM99" s="89">
        <v>5</v>
      </c>
      <c r="GN99" s="89">
        <v>5</v>
      </c>
      <c r="GO99" s="89">
        <v>6</v>
      </c>
      <c r="GP99" s="89">
        <v>6</v>
      </c>
      <c r="GS99" s="89">
        <v>5</v>
      </c>
      <c r="GT99" s="88">
        <v>6</v>
      </c>
      <c r="GU99" s="89">
        <v>6</v>
      </c>
      <c r="GV99" s="89">
        <v>6</v>
      </c>
      <c r="GX99" s="89">
        <v>5</v>
      </c>
      <c r="GY99" s="89">
        <v>5</v>
      </c>
      <c r="GZ99" s="89">
        <v>6</v>
      </c>
      <c r="HA99" s="89">
        <v>6</v>
      </c>
      <c r="HB99" s="89">
        <v>5</v>
      </c>
      <c r="HC99" s="89">
        <v>5</v>
      </c>
      <c r="HD99" s="89">
        <v>6</v>
      </c>
      <c r="HE99" s="89">
        <v>6</v>
      </c>
    </row>
    <row r="100" ht="28.8" spans="1:213">
      <c r="A100" s="88" t="s">
        <v>227</v>
      </c>
      <c r="B100" s="105" t="s">
        <v>571</v>
      </c>
      <c r="E100" s="194" t="s">
        <v>4455</v>
      </c>
      <c r="F100" s="89">
        <v>2</v>
      </c>
      <c r="G100" s="89">
        <v>2</v>
      </c>
      <c r="H100" s="89">
        <v>4</v>
      </c>
      <c r="I100" s="88">
        <v>4</v>
      </c>
      <c r="L100" s="194" t="s">
        <v>4455</v>
      </c>
      <c r="M100" s="89">
        <v>2</v>
      </c>
      <c r="N100" s="89">
        <v>2</v>
      </c>
      <c r="O100" s="89">
        <v>4</v>
      </c>
      <c r="P100" s="89">
        <v>3</v>
      </c>
      <c r="S100" s="194" t="s">
        <v>4455</v>
      </c>
      <c r="T100" s="89">
        <v>2</v>
      </c>
      <c r="U100" s="89">
        <v>2</v>
      </c>
      <c r="V100" s="89">
        <v>4</v>
      </c>
      <c r="W100" s="89">
        <v>3</v>
      </c>
      <c r="Y100" s="95" t="s">
        <v>4456</v>
      </c>
      <c r="Z100" s="194" t="s">
        <v>4455</v>
      </c>
      <c r="AA100" s="89">
        <v>2</v>
      </c>
      <c r="AB100" s="89">
        <v>2</v>
      </c>
      <c r="AC100" s="89">
        <v>4</v>
      </c>
      <c r="AD100" s="89">
        <v>3</v>
      </c>
      <c r="AF100" s="95" t="s">
        <v>4456</v>
      </c>
      <c r="AG100" s="194" t="s">
        <v>4455</v>
      </c>
      <c r="AH100" s="89">
        <v>2</v>
      </c>
      <c r="AI100" s="89">
        <v>2</v>
      </c>
      <c r="AJ100" s="89">
        <v>4</v>
      </c>
      <c r="AK100" s="89">
        <v>3</v>
      </c>
      <c r="AM100" s="95" t="s">
        <v>4456</v>
      </c>
      <c r="AN100" s="95" t="s">
        <v>4455</v>
      </c>
      <c r="AO100" s="88">
        <v>2</v>
      </c>
      <c r="AP100" s="88">
        <v>2</v>
      </c>
      <c r="AQ100" s="88">
        <v>4</v>
      </c>
      <c r="AR100" s="88">
        <v>3</v>
      </c>
      <c r="AT100" s="95" t="s">
        <v>4456</v>
      </c>
      <c r="AU100" s="95" t="s">
        <v>4455</v>
      </c>
      <c r="AV100" s="89">
        <v>3</v>
      </c>
      <c r="AW100" s="89">
        <v>3</v>
      </c>
      <c r="AX100" s="89">
        <v>5</v>
      </c>
      <c r="AY100" s="89">
        <v>4</v>
      </c>
      <c r="BA100" s="95" t="s">
        <v>4456</v>
      </c>
      <c r="BB100" s="95" t="s">
        <v>4455</v>
      </c>
      <c r="BC100" s="89">
        <v>3</v>
      </c>
      <c r="BD100" s="89">
        <v>3</v>
      </c>
      <c r="BE100" s="89">
        <v>5</v>
      </c>
      <c r="BF100" s="89">
        <v>4</v>
      </c>
      <c r="BH100" s="95" t="s">
        <v>4456</v>
      </c>
      <c r="BI100" s="95" t="s">
        <v>4457</v>
      </c>
      <c r="BJ100" s="89">
        <v>3</v>
      </c>
      <c r="BK100" s="89">
        <v>3</v>
      </c>
      <c r="BL100" s="89">
        <v>5</v>
      </c>
      <c r="BM100" s="89">
        <v>4</v>
      </c>
      <c r="BO100" s="95" t="s">
        <v>4458</v>
      </c>
      <c r="BP100" s="95" t="s">
        <v>4459</v>
      </c>
      <c r="BQ100" s="89">
        <v>3</v>
      </c>
      <c r="BR100" s="88">
        <v>3</v>
      </c>
      <c r="BS100" s="89">
        <v>5</v>
      </c>
      <c r="BT100" s="89">
        <v>4</v>
      </c>
      <c r="BV100" s="95" t="s">
        <v>4458</v>
      </c>
      <c r="BW100" s="95" t="s">
        <v>4459</v>
      </c>
      <c r="BX100" s="89">
        <v>3</v>
      </c>
      <c r="BY100" s="89">
        <v>4</v>
      </c>
      <c r="BZ100" s="89">
        <v>5</v>
      </c>
      <c r="CA100" s="89">
        <v>5</v>
      </c>
      <c r="CC100" s="95" t="s">
        <v>4458</v>
      </c>
      <c r="CD100" s="95" t="s">
        <v>4459</v>
      </c>
      <c r="CE100" s="88">
        <v>3</v>
      </c>
      <c r="CF100" s="88">
        <v>4</v>
      </c>
      <c r="CG100" s="88">
        <v>5</v>
      </c>
      <c r="CH100" s="88">
        <v>5</v>
      </c>
      <c r="CJ100" s="95" t="s">
        <v>4458</v>
      </c>
      <c r="CK100" s="95" t="s">
        <v>4459</v>
      </c>
      <c r="CL100" s="89">
        <v>2</v>
      </c>
      <c r="CM100" s="89">
        <v>3</v>
      </c>
      <c r="CN100" s="89">
        <v>4</v>
      </c>
      <c r="CO100" s="89">
        <v>4</v>
      </c>
      <c r="CQ100" s="95" t="s">
        <v>4458</v>
      </c>
      <c r="CR100" s="95" t="s">
        <v>4459</v>
      </c>
      <c r="CS100" s="89">
        <v>2</v>
      </c>
      <c r="CT100" s="89">
        <v>3</v>
      </c>
      <c r="CU100" s="89">
        <v>4</v>
      </c>
      <c r="CV100" s="89">
        <v>4</v>
      </c>
      <c r="CW100" s="95" t="s">
        <v>4460</v>
      </c>
      <c r="CX100" s="126" t="s">
        <v>4461</v>
      </c>
      <c r="CY100" s="126" t="s">
        <v>4459</v>
      </c>
      <c r="CZ100" s="89">
        <v>2</v>
      </c>
      <c r="DA100" s="89">
        <v>3</v>
      </c>
      <c r="DB100" s="88">
        <v>4</v>
      </c>
      <c r="DC100" s="89">
        <v>4</v>
      </c>
      <c r="DD100" s="95" t="s">
        <v>4460</v>
      </c>
      <c r="DE100" s="95" t="s">
        <v>4462</v>
      </c>
      <c r="DF100" s="95" t="s">
        <v>49</v>
      </c>
      <c r="DG100" s="89">
        <v>2</v>
      </c>
      <c r="DH100" s="89">
        <v>3</v>
      </c>
      <c r="DI100" s="89">
        <v>3</v>
      </c>
      <c r="DJ100" s="89">
        <v>4</v>
      </c>
      <c r="DK100" s="126" t="s">
        <v>4463</v>
      </c>
      <c r="DL100" s="95" t="s">
        <v>4464</v>
      </c>
      <c r="DM100" s="95" t="s">
        <v>49</v>
      </c>
      <c r="DN100" s="89">
        <v>2</v>
      </c>
      <c r="DO100" s="89">
        <v>3</v>
      </c>
      <c r="DP100" s="89">
        <v>3</v>
      </c>
      <c r="DQ100" s="89">
        <v>4</v>
      </c>
      <c r="DR100" s="194" t="s">
        <v>4465</v>
      </c>
      <c r="DS100" s="194" t="s">
        <v>4464</v>
      </c>
      <c r="DT100" s="194" t="s">
        <v>49</v>
      </c>
      <c r="DU100" s="188">
        <v>2</v>
      </c>
      <c r="DV100" s="188">
        <v>3</v>
      </c>
      <c r="DW100" s="188">
        <v>3</v>
      </c>
      <c r="DX100" s="188">
        <v>4</v>
      </c>
      <c r="DY100" s="95" t="s">
        <v>4466</v>
      </c>
      <c r="DZ100" s="95" t="s">
        <v>4464</v>
      </c>
      <c r="EA100" s="95" t="s">
        <v>49</v>
      </c>
      <c r="EB100" s="323">
        <v>2</v>
      </c>
      <c r="EC100" s="89">
        <v>3</v>
      </c>
      <c r="ED100" s="89">
        <v>3</v>
      </c>
      <c r="EE100" s="89">
        <v>4</v>
      </c>
      <c r="EF100" s="95" t="s">
        <v>4466</v>
      </c>
      <c r="EG100" s="95" t="s">
        <v>4464</v>
      </c>
      <c r="EH100" s="95" t="s">
        <v>49</v>
      </c>
      <c r="EI100" s="88">
        <v>3</v>
      </c>
      <c r="EJ100" s="88">
        <v>3</v>
      </c>
      <c r="EK100" s="88">
        <v>3</v>
      </c>
      <c r="EL100" s="88">
        <v>4</v>
      </c>
      <c r="EM100" s="95" t="s">
        <v>4466</v>
      </c>
      <c r="EN100" s="95" t="s">
        <v>4464</v>
      </c>
      <c r="EO100" s="95" t="s">
        <v>49</v>
      </c>
      <c r="EP100" s="89">
        <v>1</v>
      </c>
      <c r="EQ100" s="89">
        <v>3</v>
      </c>
      <c r="ER100" s="89">
        <v>3</v>
      </c>
      <c r="ES100" s="89">
        <v>4</v>
      </c>
      <c r="ET100" s="95" t="s">
        <v>4466</v>
      </c>
      <c r="EU100" s="95" t="s">
        <v>4464</v>
      </c>
      <c r="EV100" s="95" t="s">
        <v>55</v>
      </c>
      <c r="EW100" s="89">
        <v>1</v>
      </c>
      <c r="EX100" s="89">
        <v>3</v>
      </c>
      <c r="EY100" s="89">
        <v>3</v>
      </c>
      <c r="EZ100" s="89">
        <v>4</v>
      </c>
      <c r="FA100" s="95" t="s">
        <v>4466</v>
      </c>
      <c r="FB100" s="95" t="s">
        <v>4464</v>
      </c>
      <c r="FC100" s="89">
        <v>1</v>
      </c>
      <c r="FD100" s="89">
        <v>3</v>
      </c>
      <c r="FE100" s="89">
        <v>4</v>
      </c>
      <c r="FF100" s="89">
        <v>5</v>
      </c>
      <c r="FG100" s="95" t="s">
        <v>4466</v>
      </c>
      <c r="FH100" s="95" t="s">
        <v>4464</v>
      </c>
      <c r="FI100" s="89">
        <v>3</v>
      </c>
      <c r="FJ100" s="89">
        <v>3</v>
      </c>
      <c r="FK100" s="89">
        <v>3</v>
      </c>
      <c r="FL100" s="89">
        <v>4</v>
      </c>
      <c r="FM100" s="95" t="s">
        <v>4466</v>
      </c>
      <c r="FN100" s="95" t="s">
        <v>4464</v>
      </c>
      <c r="FO100" s="323">
        <v>3</v>
      </c>
      <c r="FP100" s="89">
        <v>3</v>
      </c>
      <c r="FQ100" s="323">
        <v>3</v>
      </c>
      <c r="FR100" s="323">
        <v>4</v>
      </c>
      <c r="FS100" s="95" t="s">
        <v>4466</v>
      </c>
      <c r="FT100" s="95" t="s">
        <v>4464</v>
      </c>
      <c r="FU100" s="89">
        <v>4</v>
      </c>
      <c r="FV100" s="89">
        <v>3</v>
      </c>
      <c r="FW100" s="89">
        <v>4</v>
      </c>
      <c r="FX100" s="89">
        <v>5</v>
      </c>
      <c r="FY100" s="95" t="s">
        <v>4466</v>
      </c>
      <c r="FZ100" s="95" t="s">
        <v>4464</v>
      </c>
      <c r="GA100" s="89">
        <v>4</v>
      </c>
      <c r="GB100" s="133">
        <v>3</v>
      </c>
      <c r="GC100" s="89">
        <v>4</v>
      </c>
      <c r="GD100" s="88">
        <v>5</v>
      </c>
      <c r="GE100" s="126" t="s">
        <v>4467</v>
      </c>
      <c r="GF100" s="126" t="s">
        <v>4464</v>
      </c>
      <c r="GG100" s="89">
        <v>4</v>
      </c>
      <c r="GH100" s="89">
        <v>4</v>
      </c>
      <c r="GI100" s="89">
        <v>4</v>
      </c>
      <c r="GJ100" s="89">
        <v>4</v>
      </c>
      <c r="GK100" s="126" t="s">
        <v>4468</v>
      </c>
      <c r="GL100" s="126" t="s">
        <v>4464</v>
      </c>
      <c r="GM100" s="88">
        <v>4</v>
      </c>
      <c r="GN100" s="89">
        <v>4</v>
      </c>
      <c r="GO100" s="89">
        <v>4</v>
      </c>
      <c r="GP100" s="89">
        <v>4</v>
      </c>
      <c r="GR100" s="126"/>
      <c r="GS100" s="89">
        <v>3</v>
      </c>
      <c r="GT100" s="88">
        <v>4</v>
      </c>
      <c r="GU100" s="88">
        <v>4</v>
      </c>
      <c r="GV100" s="88">
        <v>4</v>
      </c>
      <c r="GW100" s="126"/>
      <c r="GX100" s="89">
        <v>3</v>
      </c>
      <c r="GY100" s="89">
        <v>3</v>
      </c>
      <c r="GZ100" s="89">
        <v>3</v>
      </c>
      <c r="HA100" s="89">
        <v>3</v>
      </c>
      <c r="HB100" s="89">
        <v>3</v>
      </c>
      <c r="HC100" s="89">
        <v>3</v>
      </c>
      <c r="HD100" s="89">
        <v>3</v>
      </c>
      <c r="HE100" s="89">
        <v>3</v>
      </c>
    </row>
    <row r="101" ht="28.8" spans="1:213">
      <c r="A101" s="89" t="s">
        <v>391</v>
      </c>
      <c r="B101" s="89" t="s">
        <v>297</v>
      </c>
      <c r="F101" s="89">
        <v>3</v>
      </c>
      <c r="G101" s="89">
        <v>5</v>
      </c>
      <c r="H101" s="89">
        <v>5</v>
      </c>
      <c r="I101" s="88">
        <v>5</v>
      </c>
      <c r="J101" s="95" t="s">
        <v>4469</v>
      </c>
      <c r="M101" s="89">
        <v>3</v>
      </c>
      <c r="N101" s="89">
        <v>5</v>
      </c>
      <c r="O101" s="89">
        <v>5</v>
      </c>
      <c r="P101" s="89">
        <v>4</v>
      </c>
      <c r="Q101" s="95" t="s">
        <v>4469</v>
      </c>
      <c r="T101" s="89">
        <v>3</v>
      </c>
      <c r="U101" s="89">
        <v>5</v>
      </c>
      <c r="V101" s="89">
        <v>5</v>
      </c>
      <c r="W101" s="89">
        <v>4</v>
      </c>
      <c r="X101" s="126" t="s">
        <v>4470</v>
      </c>
      <c r="Y101" s="125" t="s">
        <v>4471</v>
      </c>
      <c r="AA101" s="89">
        <v>3</v>
      </c>
      <c r="AB101" s="89">
        <v>5</v>
      </c>
      <c r="AC101" s="89">
        <v>5</v>
      </c>
      <c r="AD101" s="89">
        <v>4</v>
      </c>
      <c r="AE101" s="126" t="s">
        <v>4470</v>
      </c>
      <c r="AF101" s="125" t="s">
        <v>4471</v>
      </c>
      <c r="AH101" s="89">
        <v>3</v>
      </c>
      <c r="AI101" s="89">
        <v>5</v>
      </c>
      <c r="AJ101" s="89">
        <v>5</v>
      </c>
      <c r="AK101" s="89">
        <v>4</v>
      </c>
      <c r="AL101" s="126" t="s">
        <v>4470</v>
      </c>
      <c r="AM101" s="125" t="s">
        <v>4471</v>
      </c>
      <c r="AO101" s="88">
        <v>3</v>
      </c>
      <c r="AP101" s="88">
        <v>5</v>
      </c>
      <c r="AQ101" s="88">
        <v>5</v>
      </c>
      <c r="AR101" s="88">
        <v>4</v>
      </c>
      <c r="AT101" s="125" t="s">
        <v>4471</v>
      </c>
      <c r="AV101" s="89">
        <v>1</v>
      </c>
      <c r="AW101" s="89">
        <v>1</v>
      </c>
      <c r="AX101" s="89">
        <v>1</v>
      </c>
      <c r="AY101" s="89">
        <v>2</v>
      </c>
      <c r="BA101" s="125" t="s">
        <v>4471</v>
      </c>
      <c r="BC101" s="89">
        <v>1</v>
      </c>
      <c r="BD101" s="89">
        <v>1</v>
      </c>
      <c r="BE101" s="89">
        <v>1</v>
      </c>
      <c r="BF101" s="89">
        <v>2</v>
      </c>
      <c r="BH101" s="125" t="s">
        <v>4471</v>
      </c>
      <c r="BJ101" s="89">
        <v>1</v>
      </c>
      <c r="BK101" s="89">
        <v>1</v>
      </c>
      <c r="BL101" s="89">
        <v>1</v>
      </c>
      <c r="BM101" s="89">
        <v>2</v>
      </c>
      <c r="BO101" s="125" t="s">
        <v>4471</v>
      </c>
      <c r="BQ101" s="89">
        <v>1</v>
      </c>
      <c r="BR101" s="88">
        <v>1</v>
      </c>
      <c r="BS101" s="88">
        <v>1</v>
      </c>
      <c r="BT101" s="89">
        <v>2</v>
      </c>
      <c r="BV101" s="125" t="s">
        <v>4471</v>
      </c>
      <c r="BX101" s="89">
        <v>1</v>
      </c>
      <c r="BY101" s="89">
        <v>2</v>
      </c>
      <c r="BZ101" s="89">
        <v>2</v>
      </c>
      <c r="CA101" s="89">
        <v>2</v>
      </c>
      <c r="CC101" s="125" t="s">
        <v>4471</v>
      </c>
      <c r="CE101" s="89">
        <v>1</v>
      </c>
      <c r="CF101" s="89">
        <v>2</v>
      </c>
      <c r="CG101" s="89">
        <v>2</v>
      </c>
      <c r="CH101" s="89">
        <v>2</v>
      </c>
      <c r="CJ101" s="124" t="s">
        <v>4472</v>
      </c>
      <c r="CL101" s="89">
        <v>1</v>
      </c>
      <c r="CM101" s="89">
        <v>2</v>
      </c>
      <c r="CN101" s="89">
        <v>2</v>
      </c>
      <c r="CO101" s="89">
        <v>2</v>
      </c>
      <c r="CS101" s="89">
        <v>1</v>
      </c>
      <c r="CT101" s="89">
        <v>2</v>
      </c>
      <c r="CU101" s="89">
        <v>2</v>
      </c>
      <c r="CV101" s="89">
        <v>2</v>
      </c>
      <c r="CW101" s="95" t="s">
        <v>4473</v>
      </c>
      <c r="CZ101" s="89">
        <v>1</v>
      </c>
      <c r="DA101" s="89">
        <v>2</v>
      </c>
      <c r="DB101" s="89">
        <v>2</v>
      </c>
      <c r="DC101" s="89">
        <v>2</v>
      </c>
      <c r="DD101" s="95" t="s">
        <v>4473</v>
      </c>
      <c r="DG101" s="89">
        <v>1</v>
      </c>
      <c r="DH101" s="89">
        <v>2</v>
      </c>
      <c r="DI101" s="89">
        <v>2</v>
      </c>
      <c r="DJ101" s="89">
        <v>2</v>
      </c>
      <c r="DK101" s="95" t="s">
        <v>4473</v>
      </c>
      <c r="DN101" s="89">
        <v>1</v>
      </c>
      <c r="DO101" s="89">
        <v>2</v>
      </c>
      <c r="DP101" s="89">
        <v>2</v>
      </c>
      <c r="DQ101" s="89">
        <v>2</v>
      </c>
      <c r="DR101" s="194" t="s">
        <v>4474</v>
      </c>
      <c r="DU101" s="188">
        <v>1</v>
      </c>
      <c r="DV101" s="188">
        <v>2</v>
      </c>
      <c r="DW101" s="188">
        <v>2</v>
      </c>
      <c r="DX101" s="188">
        <v>2</v>
      </c>
      <c r="DY101" s="95" t="s">
        <v>4473</v>
      </c>
      <c r="EB101" s="89">
        <v>1</v>
      </c>
      <c r="EC101" s="89">
        <v>2</v>
      </c>
      <c r="ED101" s="89">
        <v>2</v>
      </c>
      <c r="EE101" s="89">
        <v>2</v>
      </c>
      <c r="EF101" s="126" t="s">
        <v>4475</v>
      </c>
      <c r="EI101" s="89">
        <v>1</v>
      </c>
      <c r="EJ101" s="89">
        <v>2</v>
      </c>
      <c r="EK101" s="89">
        <v>2</v>
      </c>
      <c r="EL101" s="89">
        <v>2</v>
      </c>
      <c r="EM101" s="126"/>
      <c r="EP101" s="89">
        <v>1</v>
      </c>
      <c r="EQ101" s="89">
        <v>2</v>
      </c>
      <c r="ER101" s="89">
        <v>2</v>
      </c>
      <c r="ES101" s="89">
        <v>2</v>
      </c>
      <c r="ET101" s="126"/>
      <c r="EW101" s="89">
        <v>1</v>
      </c>
      <c r="EX101" s="89">
        <v>2</v>
      </c>
      <c r="EY101" s="89">
        <v>2</v>
      </c>
      <c r="EZ101" s="89">
        <v>2</v>
      </c>
      <c r="FA101" s="95" t="s">
        <v>4476</v>
      </c>
      <c r="FC101" s="89">
        <v>1</v>
      </c>
      <c r="FD101" s="89">
        <v>2</v>
      </c>
      <c r="FE101" s="89">
        <v>2</v>
      </c>
      <c r="FF101" s="89">
        <v>2</v>
      </c>
      <c r="FG101" s="95" t="s">
        <v>4476</v>
      </c>
      <c r="FI101" s="89">
        <v>7</v>
      </c>
      <c r="FJ101" s="89">
        <v>6</v>
      </c>
      <c r="FK101" s="89">
        <v>7</v>
      </c>
      <c r="FL101" s="89">
        <v>7</v>
      </c>
      <c r="FM101" s="126" t="s">
        <v>4477</v>
      </c>
      <c r="FO101" s="88">
        <v>7</v>
      </c>
      <c r="FP101" s="88">
        <v>6</v>
      </c>
      <c r="FQ101" s="88">
        <v>7</v>
      </c>
      <c r="FR101" s="88">
        <v>7</v>
      </c>
      <c r="FS101" s="95" t="s">
        <v>4478</v>
      </c>
      <c r="FU101" s="89">
        <v>1</v>
      </c>
      <c r="FV101" s="89">
        <v>2</v>
      </c>
      <c r="FW101" s="89">
        <v>2</v>
      </c>
      <c r="FX101" s="89">
        <v>2</v>
      </c>
      <c r="FY101" s="126" t="s">
        <v>4479</v>
      </c>
      <c r="GA101" s="133">
        <v>1</v>
      </c>
      <c r="GB101" s="133">
        <v>2</v>
      </c>
      <c r="GC101" s="133">
        <v>2</v>
      </c>
      <c r="GD101" s="133">
        <v>2</v>
      </c>
      <c r="GE101" s="95" t="s">
        <v>4052</v>
      </c>
      <c r="GG101" s="89">
        <v>2</v>
      </c>
      <c r="GH101" s="89">
        <v>3</v>
      </c>
      <c r="GI101" s="89">
        <v>3</v>
      </c>
      <c r="GJ101" s="89">
        <v>3</v>
      </c>
      <c r="GK101" s="95" t="s">
        <v>4052</v>
      </c>
      <c r="GM101" s="88">
        <v>2</v>
      </c>
      <c r="GN101" s="89">
        <v>3</v>
      </c>
      <c r="GO101" s="89">
        <v>3</v>
      </c>
      <c r="GP101" s="89">
        <v>3</v>
      </c>
      <c r="GS101" s="89">
        <v>1</v>
      </c>
      <c r="GT101" s="88">
        <v>3</v>
      </c>
      <c r="GU101" s="88">
        <v>3</v>
      </c>
      <c r="GV101" s="88">
        <v>3</v>
      </c>
      <c r="GW101" s="126"/>
      <c r="GX101" s="89">
        <v>1</v>
      </c>
      <c r="GY101" s="89">
        <v>2</v>
      </c>
      <c r="GZ101" s="89">
        <v>2</v>
      </c>
      <c r="HA101" s="89">
        <v>2</v>
      </c>
      <c r="HB101" s="89">
        <v>1</v>
      </c>
      <c r="HC101" s="89">
        <v>2</v>
      </c>
      <c r="HD101" s="89">
        <v>2</v>
      </c>
      <c r="HE101" s="89">
        <v>2</v>
      </c>
    </row>
    <row r="102" ht="57.6" spans="1:213">
      <c r="A102" s="89" t="s">
        <v>230</v>
      </c>
      <c r="B102" s="89" t="s">
        <v>4480</v>
      </c>
      <c r="F102" s="89">
        <v>5</v>
      </c>
      <c r="G102" s="89">
        <v>4</v>
      </c>
      <c r="H102" s="89">
        <v>1</v>
      </c>
      <c r="I102" s="89">
        <v>1</v>
      </c>
      <c r="M102" s="89">
        <v>5</v>
      </c>
      <c r="N102" s="89">
        <v>4</v>
      </c>
      <c r="O102" s="89">
        <v>1</v>
      </c>
      <c r="P102" s="89">
        <v>1</v>
      </c>
      <c r="T102" s="89">
        <v>5</v>
      </c>
      <c r="U102" s="89">
        <v>4</v>
      </c>
      <c r="V102" s="89">
        <v>1</v>
      </c>
      <c r="W102" s="89">
        <v>1</v>
      </c>
      <c r="AA102" s="89">
        <v>5</v>
      </c>
      <c r="AB102" s="89">
        <v>4</v>
      </c>
      <c r="AC102" s="89">
        <v>1</v>
      </c>
      <c r="AD102" s="89">
        <v>1</v>
      </c>
      <c r="AE102" s="95" t="s">
        <v>4481</v>
      </c>
      <c r="AH102" s="89">
        <v>5</v>
      </c>
      <c r="AI102" s="89">
        <v>4</v>
      </c>
      <c r="AJ102" s="89">
        <v>1</v>
      </c>
      <c r="AK102" s="89">
        <v>1</v>
      </c>
      <c r="AL102" s="95" t="s">
        <v>4481</v>
      </c>
      <c r="AO102" s="89">
        <v>5</v>
      </c>
      <c r="AP102" s="88">
        <v>4</v>
      </c>
      <c r="AQ102" s="88">
        <v>1</v>
      </c>
      <c r="AR102" s="89">
        <v>1</v>
      </c>
      <c r="AS102" s="95" t="s">
        <v>4481</v>
      </c>
      <c r="AV102" s="89">
        <v>5</v>
      </c>
      <c r="AW102" s="89">
        <v>5</v>
      </c>
      <c r="AX102" s="89">
        <v>2</v>
      </c>
      <c r="AY102" s="89">
        <v>1</v>
      </c>
      <c r="AZ102" s="95" t="s">
        <v>4481</v>
      </c>
      <c r="BC102" s="89">
        <v>5</v>
      </c>
      <c r="BD102" s="89">
        <v>5</v>
      </c>
      <c r="BE102" s="89">
        <v>2</v>
      </c>
      <c r="BF102" s="89">
        <v>1</v>
      </c>
      <c r="BG102" s="95" t="s">
        <v>4481</v>
      </c>
      <c r="BJ102" s="89">
        <v>5</v>
      </c>
      <c r="BK102" s="89">
        <v>5</v>
      </c>
      <c r="BL102" s="89">
        <v>2</v>
      </c>
      <c r="BM102" s="89">
        <v>1</v>
      </c>
      <c r="BN102" s="126" t="s">
        <v>4482</v>
      </c>
      <c r="BQ102" s="89">
        <v>5</v>
      </c>
      <c r="BR102" s="88">
        <v>5</v>
      </c>
      <c r="BS102" s="88">
        <v>2</v>
      </c>
      <c r="BT102" s="88">
        <v>1</v>
      </c>
      <c r="BX102" s="89">
        <v>5</v>
      </c>
      <c r="BY102" s="89">
        <v>1</v>
      </c>
      <c r="BZ102" s="89">
        <v>1</v>
      </c>
      <c r="CA102" s="89">
        <v>4</v>
      </c>
      <c r="CE102" s="88">
        <v>5</v>
      </c>
      <c r="CF102" s="89">
        <v>1</v>
      </c>
      <c r="CG102" s="89">
        <v>1</v>
      </c>
      <c r="CH102" s="88">
        <v>4</v>
      </c>
      <c r="CL102" s="89">
        <v>4</v>
      </c>
      <c r="CM102" s="89">
        <v>1</v>
      </c>
      <c r="CN102" s="89">
        <v>1</v>
      </c>
      <c r="CO102" s="89">
        <v>3</v>
      </c>
      <c r="CS102" s="89">
        <v>4</v>
      </c>
      <c r="CT102" s="89">
        <v>1</v>
      </c>
      <c r="CU102" s="89">
        <v>1</v>
      </c>
      <c r="CV102" s="89">
        <v>3</v>
      </c>
      <c r="CW102" s="95" t="s">
        <v>4483</v>
      </c>
      <c r="CZ102" s="88">
        <v>4</v>
      </c>
      <c r="DA102" s="89">
        <v>1</v>
      </c>
      <c r="DB102" s="89">
        <v>1</v>
      </c>
      <c r="DC102" s="89">
        <v>3</v>
      </c>
      <c r="DD102" s="95" t="s">
        <v>4483</v>
      </c>
      <c r="DG102" s="89">
        <v>5</v>
      </c>
      <c r="DH102" s="89">
        <v>1</v>
      </c>
      <c r="DI102" s="89">
        <v>1</v>
      </c>
      <c r="DJ102" s="89">
        <v>3</v>
      </c>
      <c r="DK102" s="95" t="s">
        <v>4484</v>
      </c>
      <c r="DN102" s="89">
        <v>5</v>
      </c>
      <c r="DO102" s="89">
        <v>1</v>
      </c>
      <c r="DP102" s="89">
        <v>1</v>
      </c>
      <c r="DQ102" s="89">
        <v>3</v>
      </c>
      <c r="DR102" s="194" t="s">
        <v>4484</v>
      </c>
      <c r="DU102" s="188">
        <v>5</v>
      </c>
      <c r="DV102" s="188">
        <v>1</v>
      </c>
      <c r="DW102" s="188">
        <v>1</v>
      </c>
      <c r="DX102" s="188">
        <v>3</v>
      </c>
      <c r="DY102" s="95" t="s">
        <v>4484</v>
      </c>
      <c r="EB102" s="89">
        <v>5</v>
      </c>
      <c r="EC102" s="89">
        <v>1</v>
      </c>
      <c r="ED102" s="89">
        <v>1</v>
      </c>
      <c r="EE102" s="89">
        <v>3</v>
      </c>
      <c r="EF102" s="95" t="s">
        <v>4484</v>
      </c>
      <c r="EI102" s="89">
        <v>5</v>
      </c>
      <c r="EJ102" s="89">
        <v>1</v>
      </c>
      <c r="EK102" s="89">
        <v>1</v>
      </c>
      <c r="EL102" s="89">
        <v>3</v>
      </c>
      <c r="EM102" s="95" t="s">
        <v>4484</v>
      </c>
      <c r="EP102" s="89">
        <v>4</v>
      </c>
      <c r="EQ102" s="89">
        <v>1</v>
      </c>
      <c r="ER102" s="89">
        <v>1</v>
      </c>
      <c r="ES102" s="89">
        <v>3</v>
      </c>
      <c r="ET102" s="95" t="s">
        <v>4484</v>
      </c>
      <c r="EW102" s="89">
        <v>4</v>
      </c>
      <c r="EX102" s="89">
        <v>1</v>
      </c>
      <c r="EY102" s="89">
        <v>1</v>
      </c>
      <c r="EZ102" s="89">
        <v>3</v>
      </c>
      <c r="FA102" s="95" t="s">
        <v>4484</v>
      </c>
      <c r="FC102" s="89">
        <v>5</v>
      </c>
      <c r="FD102" s="89">
        <v>1</v>
      </c>
      <c r="FE102" s="89">
        <v>1</v>
      </c>
      <c r="FF102" s="89">
        <v>1</v>
      </c>
      <c r="FG102" s="95" t="s">
        <v>4484</v>
      </c>
      <c r="FI102" s="89">
        <v>5</v>
      </c>
      <c r="FJ102" s="89">
        <v>1</v>
      </c>
      <c r="FK102" s="89">
        <v>1</v>
      </c>
      <c r="FL102" s="89">
        <v>1</v>
      </c>
      <c r="FM102" s="95" t="s">
        <v>4484</v>
      </c>
      <c r="FO102" s="323">
        <v>5</v>
      </c>
      <c r="FP102" s="89">
        <v>1</v>
      </c>
      <c r="FQ102" s="89">
        <v>1</v>
      </c>
      <c r="FR102" s="89">
        <v>1</v>
      </c>
      <c r="FS102" s="95" t="s">
        <v>4484</v>
      </c>
      <c r="FU102" s="89">
        <v>6</v>
      </c>
      <c r="FV102" s="89">
        <v>1</v>
      </c>
      <c r="FW102" s="89">
        <v>1</v>
      </c>
      <c r="FX102" s="89">
        <v>1</v>
      </c>
      <c r="FY102" s="95" t="s">
        <v>4484</v>
      </c>
      <c r="GA102" s="89">
        <v>6</v>
      </c>
      <c r="GB102" s="89">
        <v>1</v>
      </c>
      <c r="GC102" s="89">
        <v>1</v>
      </c>
      <c r="GD102" s="89">
        <v>1</v>
      </c>
      <c r="GE102" s="126" t="s">
        <v>4484</v>
      </c>
      <c r="GG102" s="89">
        <v>6</v>
      </c>
      <c r="GH102" s="89">
        <v>1</v>
      </c>
      <c r="GI102" s="89">
        <v>1</v>
      </c>
      <c r="GJ102" s="89">
        <v>1</v>
      </c>
      <c r="GK102" s="126" t="s">
        <v>4484</v>
      </c>
      <c r="GM102" s="89">
        <v>6</v>
      </c>
      <c r="GN102" s="89">
        <v>1</v>
      </c>
      <c r="GO102" s="89">
        <v>1</v>
      </c>
      <c r="GP102" s="89">
        <v>1</v>
      </c>
      <c r="GQ102" s="124" t="s">
        <v>4485</v>
      </c>
      <c r="GS102" s="89">
        <v>6</v>
      </c>
      <c r="GT102" s="133">
        <v>1</v>
      </c>
      <c r="GU102" s="133">
        <v>1</v>
      </c>
      <c r="GV102" s="133">
        <v>1</v>
      </c>
      <c r="GW102" s="138"/>
      <c r="GX102" s="89">
        <v>6</v>
      </c>
      <c r="GY102" s="89">
        <v>6</v>
      </c>
      <c r="GZ102" s="89">
        <v>4</v>
      </c>
      <c r="HA102" s="89">
        <v>5</v>
      </c>
      <c r="HB102" s="89">
        <v>6</v>
      </c>
      <c r="HC102" s="89">
        <v>6</v>
      </c>
      <c r="HD102" s="89">
        <v>4</v>
      </c>
      <c r="HE102" s="89">
        <v>5</v>
      </c>
    </row>
    <row r="103" spans="1:86">
      <c r="A103" s="89" t="s">
        <v>230</v>
      </c>
      <c r="B103" s="89" t="s">
        <v>574</v>
      </c>
      <c r="F103" s="89">
        <v>4</v>
      </c>
      <c r="G103" s="89">
        <v>3</v>
      </c>
      <c r="H103" s="89">
        <v>2</v>
      </c>
      <c r="I103" s="88">
        <v>3</v>
      </c>
      <c r="M103" s="89">
        <v>4</v>
      </c>
      <c r="N103" s="89">
        <v>3</v>
      </c>
      <c r="O103" s="89">
        <v>2</v>
      </c>
      <c r="P103" s="89">
        <v>2</v>
      </c>
      <c r="T103" s="89">
        <v>4</v>
      </c>
      <c r="U103" s="89">
        <v>3</v>
      </c>
      <c r="V103" s="89">
        <v>2</v>
      </c>
      <c r="W103" s="89">
        <v>2</v>
      </c>
      <c r="AA103" s="89">
        <v>4</v>
      </c>
      <c r="AB103" s="89">
        <v>3</v>
      </c>
      <c r="AC103" s="89">
        <v>2</v>
      </c>
      <c r="AD103" s="89">
        <v>2</v>
      </c>
      <c r="AE103" s="95" t="s">
        <v>4285</v>
      </c>
      <c r="AH103" s="89">
        <v>4</v>
      </c>
      <c r="AI103" s="89">
        <v>3</v>
      </c>
      <c r="AJ103" s="89">
        <v>2</v>
      </c>
      <c r="AK103" s="89">
        <v>2</v>
      </c>
      <c r="AL103" s="95" t="s">
        <v>4285</v>
      </c>
      <c r="AO103" s="89">
        <v>4</v>
      </c>
      <c r="AP103" s="88">
        <v>3</v>
      </c>
      <c r="AQ103" s="88">
        <v>2</v>
      </c>
      <c r="AR103" s="88">
        <v>2</v>
      </c>
      <c r="AS103" s="95" t="s">
        <v>4285</v>
      </c>
      <c r="AV103" s="89">
        <v>4</v>
      </c>
      <c r="AW103" s="89">
        <v>4</v>
      </c>
      <c r="AX103" s="89">
        <v>3</v>
      </c>
      <c r="AY103" s="89">
        <v>3</v>
      </c>
      <c r="AZ103" s="95" t="s">
        <v>4285</v>
      </c>
      <c r="BC103" s="89">
        <v>4</v>
      </c>
      <c r="BD103" s="89">
        <v>4</v>
      </c>
      <c r="BE103" s="89">
        <v>3</v>
      </c>
      <c r="BF103" s="89">
        <v>3</v>
      </c>
      <c r="BG103" s="95" t="s">
        <v>4285</v>
      </c>
      <c r="BJ103" s="89">
        <v>4</v>
      </c>
      <c r="BK103" s="89">
        <v>4</v>
      </c>
      <c r="BL103" s="89">
        <v>3</v>
      </c>
      <c r="BM103" s="89">
        <v>3</v>
      </c>
      <c r="BN103" s="95" t="s">
        <v>4285</v>
      </c>
      <c r="BQ103" s="89">
        <v>4</v>
      </c>
      <c r="BR103" s="88">
        <v>4</v>
      </c>
      <c r="BS103" s="89">
        <v>3</v>
      </c>
      <c r="BT103" s="89">
        <v>3</v>
      </c>
      <c r="BU103" s="95" t="s">
        <v>4285</v>
      </c>
      <c r="BX103" s="89">
        <v>4</v>
      </c>
      <c r="BY103" s="89">
        <v>5</v>
      </c>
      <c r="BZ103" s="89">
        <v>3</v>
      </c>
      <c r="CA103" s="89">
        <v>3</v>
      </c>
      <c r="CB103" s="126" t="s">
        <v>4286</v>
      </c>
      <c r="CE103" s="88">
        <v>4</v>
      </c>
      <c r="CF103" s="88">
        <v>5</v>
      </c>
      <c r="CG103" s="88">
        <v>3</v>
      </c>
      <c r="CH103" s="88">
        <v>3</v>
      </c>
    </row>
    <row r="108" customHeight="1" spans="1:213">
      <c r="A108" s="96" t="s">
        <v>174</v>
      </c>
      <c r="B108" s="97"/>
      <c r="C108" s="116" t="s">
        <v>3923</v>
      </c>
      <c r="D108" s="128"/>
      <c r="E108" s="128"/>
      <c r="F108" s="128"/>
      <c r="G108" s="128"/>
      <c r="H108" s="128"/>
      <c r="I108" s="132"/>
      <c r="J108" s="116" t="s">
        <v>3923</v>
      </c>
      <c r="K108" s="128"/>
      <c r="L108" s="128"/>
      <c r="M108" s="128"/>
      <c r="N108" s="128"/>
      <c r="O108" s="128"/>
      <c r="P108" s="132"/>
      <c r="Q108" s="116" t="s">
        <v>4083</v>
      </c>
      <c r="R108" s="128"/>
      <c r="S108" s="128"/>
      <c r="T108" s="128"/>
      <c r="U108" s="128"/>
      <c r="V108" s="128"/>
      <c r="W108" s="132"/>
      <c r="X108" s="116" t="s">
        <v>3925</v>
      </c>
      <c r="Y108" s="128"/>
      <c r="Z108" s="128"/>
      <c r="AA108" s="128"/>
      <c r="AB108" s="128"/>
      <c r="AC108" s="128"/>
      <c r="AD108" s="132"/>
      <c r="AE108" s="116" t="s">
        <v>3926</v>
      </c>
      <c r="AF108" s="128"/>
      <c r="AG108" s="128"/>
      <c r="AH108" s="128"/>
      <c r="AI108" s="128"/>
      <c r="AJ108" s="128"/>
      <c r="AK108" s="132"/>
      <c r="AL108" s="116" t="s">
        <v>3927</v>
      </c>
      <c r="AM108" s="128"/>
      <c r="AN108" s="128"/>
      <c r="AO108" s="128"/>
      <c r="AP108" s="128"/>
      <c r="AQ108" s="128"/>
      <c r="AR108" s="132"/>
      <c r="AS108" s="116" t="s">
        <v>3928</v>
      </c>
      <c r="AT108" s="128"/>
      <c r="AU108" s="128"/>
      <c r="AV108" s="128"/>
      <c r="AW108" s="128"/>
      <c r="AX108" s="128"/>
      <c r="AY108" s="132"/>
      <c r="AZ108" s="116" t="s">
        <v>3929</v>
      </c>
      <c r="BA108" s="128"/>
      <c r="BB108" s="128"/>
      <c r="BC108" s="128"/>
      <c r="BD108" s="128"/>
      <c r="BE108" s="128"/>
      <c r="BF108" s="132"/>
      <c r="BG108" s="116" t="s">
        <v>3930</v>
      </c>
      <c r="BH108" s="128"/>
      <c r="BI108" s="128"/>
      <c r="BJ108" s="128"/>
      <c r="BK108" s="128"/>
      <c r="BL108" s="128"/>
      <c r="BM108" s="132"/>
      <c r="BN108" s="116" t="s">
        <v>3931</v>
      </c>
      <c r="BO108" s="128"/>
      <c r="BP108" s="128"/>
      <c r="BQ108" s="128"/>
      <c r="BR108" s="128"/>
      <c r="BS108" s="128"/>
      <c r="BT108" s="132"/>
      <c r="BU108" s="116" t="s">
        <v>3932</v>
      </c>
      <c r="BV108" s="128"/>
      <c r="BW108" s="128"/>
      <c r="BX108" s="128"/>
      <c r="BY108" s="128"/>
      <c r="BZ108" s="128"/>
      <c r="CA108" s="132"/>
      <c r="CB108" s="116" t="s">
        <v>3933</v>
      </c>
      <c r="CC108" s="128"/>
      <c r="CD108" s="128"/>
      <c r="CE108" s="128"/>
      <c r="CF108" s="128"/>
      <c r="CG108" s="128"/>
      <c r="CH108" s="132"/>
      <c r="CI108" s="116" t="s">
        <v>3922</v>
      </c>
      <c r="CJ108" s="128"/>
      <c r="CK108" s="128"/>
      <c r="CL108" s="128"/>
      <c r="CM108" s="128"/>
      <c r="CN108" s="128"/>
      <c r="CO108" s="132"/>
      <c r="CP108" s="116" t="s">
        <v>3934</v>
      </c>
      <c r="CQ108" s="128"/>
      <c r="CR108" s="128"/>
      <c r="CS108" s="128"/>
      <c r="CT108" s="128"/>
      <c r="CU108" s="128"/>
      <c r="CV108" s="132"/>
      <c r="CW108" s="116" t="s">
        <v>3924</v>
      </c>
      <c r="CX108" s="128"/>
      <c r="CY108" s="128"/>
      <c r="CZ108" s="128"/>
      <c r="DA108" s="128"/>
      <c r="DB108" s="128"/>
      <c r="DC108" s="132"/>
      <c r="DD108" s="116" t="s">
        <v>3935</v>
      </c>
      <c r="DE108" s="128"/>
      <c r="DF108" s="128"/>
      <c r="DG108" s="128"/>
      <c r="DH108" s="128"/>
      <c r="DI108" s="128"/>
      <c r="DJ108" s="132"/>
      <c r="DK108" s="116" t="s">
        <v>3936</v>
      </c>
      <c r="DL108" s="128"/>
      <c r="DM108" s="128"/>
      <c r="DN108" s="128"/>
      <c r="DO108" s="128"/>
      <c r="DP108" s="128"/>
      <c r="DQ108" s="132"/>
      <c r="DR108" s="325" t="s">
        <v>3937</v>
      </c>
      <c r="DS108" s="326"/>
      <c r="DT108" s="326"/>
      <c r="DU108" s="326"/>
      <c r="DV108" s="326"/>
      <c r="DW108" s="326"/>
      <c r="DX108" s="327"/>
      <c r="DY108" s="116" t="s">
        <v>3928</v>
      </c>
      <c r="DZ108" s="128"/>
      <c r="EA108" s="128"/>
      <c r="EB108" s="128"/>
      <c r="EC108" s="128"/>
      <c r="ED108" s="128"/>
      <c r="EE108" s="132"/>
      <c r="EF108" s="116" t="s">
        <v>3929</v>
      </c>
      <c r="EG108" s="128"/>
      <c r="EH108" s="128"/>
      <c r="EI108" s="128"/>
      <c r="EJ108" s="128"/>
      <c r="EK108" s="128"/>
      <c r="EL108" s="132"/>
      <c r="EM108" s="116" t="s">
        <v>4084</v>
      </c>
      <c r="EN108" s="128"/>
      <c r="EO108" s="128"/>
      <c r="EP108" s="128"/>
      <c r="EQ108" s="128"/>
      <c r="ER108" s="128"/>
      <c r="ES108" s="132"/>
      <c r="EU108" s="332"/>
      <c r="EV108" s="332"/>
      <c r="EW108" s="116" t="s">
        <v>4085</v>
      </c>
      <c r="EX108" s="128"/>
      <c r="EY108" s="128"/>
      <c r="EZ108" s="132"/>
      <c r="FB108" s="332"/>
      <c r="FC108" s="116" t="s">
        <v>4086</v>
      </c>
      <c r="FD108" s="128"/>
      <c r="FE108" s="128"/>
      <c r="FF108" s="132"/>
      <c r="FH108" s="332"/>
      <c r="FI108" s="116" t="s">
        <v>4087</v>
      </c>
      <c r="FJ108" s="128"/>
      <c r="FK108" s="128"/>
      <c r="FL108" s="132"/>
      <c r="FN108" s="332"/>
      <c r="FO108" s="116" t="s">
        <v>4088</v>
      </c>
      <c r="FP108" s="128"/>
      <c r="FQ108" s="128"/>
      <c r="FR108" s="132"/>
      <c r="FT108" s="332"/>
      <c r="FU108" s="116" t="s">
        <v>4089</v>
      </c>
      <c r="FV108" s="128"/>
      <c r="FW108" s="128"/>
      <c r="FX108" s="132"/>
      <c r="FZ108" s="332"/>
      <c r="GA108" s="116" t="s">
        <v>4090</v>
      </c>
      <c r="GB108" s="128"/>
      <c r="GC108" s="128"/>
      <c r="GD108" s="132"/>
      <c r="GF108" s="332"/>
      <c r="GG108" s="116" t="s">
        <v>4091</v>
      </c>
      <c r="GH108" s="128"/>
      <c r="GI108" s="128"/>
      <c r="GJ108" s="132"/>
      <c r="GL108" s="332"/>
      <c r="GM108" s="116" t="s">
        <v>3941</v>
      </c>
      <c r="GN108" s="128"/>
      <c r="GO108" s="128"/>
      <c r="GP108" s="132"/>
      <c r="GR108" s="332"/>
      <c r="GS108" s="116" t="s">
        <v>3941</v>
      </c>
      <c r="GT108" s="128"/>
      <c r="GU108" s="128"/>
      <c r="GV108" s="132"/>
      <c r="GW108" s="128"/>
      <c r="GX108" s="116" t="s">
        <v>3942</v>
      </c>
      <c r="GY108" s="128"/>
      <c r="GZ108" s="128"/>
      <c r="HA108" s="132"/>
      <c r="HB108" s="116" t="s">
        <v>3943</v>
      </c>
      <c r="HC108" s="128"/>
      <c r="HD108" s="128"/>
      <c r="HE108" s="132"/>
    </row>
    <row r="109" ht="28.2" spans="1:213">
      <c r="A109" s="101" t="s">
        <v>3944</v>
      </c>
      <c r="B109" s="102" t="s">
        <v>207</v>
      </c>
      <c r="C109" s="120" t="s">
        <v>3945</v>
      </c>
      <c r="D109" s="120" t="s">
        <v>3946</v>
      </c>
      <c r="E109" s="313" t="s">
        <v>3947</v>
      </c>
      <c r="F109" s="119" t="s">
        <v>3948</v>
      </c>
      <c r="G109" s="119" t="s">
        <v>3949</v>
      </c>
      <c r="H109" s="119" t="s">
        <v>3950</v>
      </c>
      <c r="I109" s="119" t="s">
        <v>3951</v>
      </c>
      <c r="J109" s="120" t="s">
        <v>3945</v>
      </c>
      <c r="K109" s="120" t="s">
        <v>3946</v>
      </c>
      <c r="L109" s="313" t="s">
        <v>3947</v>
      </c>
      <c r="M109" s="119" t="s">
        <v>3948</v>
      </c>
      <c r="N109" s="119" t="s">
        <v>3949</v>
      </c>
      <c r="O109" s="119" t="s">
        <v>3950</v>
      </c>
      <c r="P109" s="119" t="s">
        <v>3951</v>
      </c>
      <c r="Q109" s="120" t="s">
        <v>3945</v>
      </c>
      <c r="R109" s="120" t="s">
        <v>3946</v>
      </c>
      <c r="S109" s="313" t="s">
        <v>3947</v>
      </c>
      <c r="T109" s="119" t="s">
        <v>3948</v>
      </c>
      <c r="U109" s="119" t="s">
        <v>3949</v>
      </c>
      <c r="V109" s="119" t="s">
        <v>3950</v>
      </c>
      <c r="W109" s="119" t="s">
        <v>3951</v>
      </c>
      <c r="X109" s="120" t="s">
        <v>3952</v>
      </c>
      <c r="Y109" s="120" t="s">
        <v>3953</v>
      </c>
      <c r="Z109" s="313" t="s">
        <v>3947</v>
      </c>
      <c r="AA109" s="119" t="s">
        <v>3948</v>
      </c>
      <c r="AB109" s="119" t="s">
        <v>3949</v>
      </c>
      <c r="AC109" s="119" t="s">
        <v>3950</v>
      </c>
      <c r="AD109" s="119" t="s">
        <v>3951</v>
      </c>
      <c r="AE109" s="120" t="s">
        <v>3954</v>
      </c>
      <c r="AF109" s="120" t="s">
        <v>3955</v>
      </c>
      <c r="AG109" s="313" t="s">
        <v>3947</v>
      </c>
      <c r="AH109" s="119" t="s">
        <v>3948</v>
      </c>
      <c r="AI109" s="119" t="s">
        <v>3949</v>
      </c>
      <c r="AJ109" s="119" t="s">
        <v>3950</v>
      </c>
      <c r="AK109" s="119" t="s">
        <v>3951</v>
      </c>
      <c r="AL109" s="120" t="s">
        <v>3956</v>
      </c>
      <c r="AM109" s="120" t="s">
        <v>3957</v>
      </c>
      <c r="AN109" s="119" t="s">
        <v>3947</v>
      </c>
      <c r="AO109" s="119" t="s">
        <v>3948</v>
      </c>
      <c r="AP109" s="119" t="s">
        <v>3949</v>
      </c>
      <c r="AQ109" s="119" t="s">
        <v>3950</v>
      </c>
      <c r="AR109" s="119" t="s">
        <v>3951</v>
      </c>
      <c r="AS109" s="120" t="s">
        <v>3958</v>
      </c>
      <c r="AT109" s="120" t="s">
        <v>3959</v>
      </c>
      <c r="AU109" s="119" t="s">
        <v>3947</v>
      </c>
      <c r="AV109" s="119" t="s">
        <v>3948</v>
      </c>
      <c r="AW109" s="119" t="s">
        <v>3949</v>
      </c>
      <c r="AX109" s="119" t="s">
        <v>3950</v>
      </c>
      <c r="AY109" s="119" t="s">
        <v>3951</v>
      </c>
      <c r="AZ109" s="120" t="s">
        <v>3960</v>
      </c>
      <c r="BA109" s="120" t="s">
        <v>3961</v>
      </c>
      <c r="BB109" s="119" t="s">
        <v>3947</v>
      </c>
      <c r="BC109" s="119" t="s">
        <v>3948</v>
      </c>
      <c r="BD109" s="119" t="s">
        <v>3949</v>
      </c>
      <c r="BE109" s="119" t="s">
        <v>3950</v>
      </c>
      <c r="BF109" s="119" t="s">
        <v>3951</v>
      </c>
      <c r="BG109" s="120" t="s">
        <v>3962</v>
      </c>
      <c r="BH109" s="120" t="s">
        <v>3963</v>
      </c>
      <c r="BI109" s="119" t="s">
        <v>3947</v>
      </c>
      <c r="BJ109" s="119" t="s">
        <v>3948</v>
      </c>
      <c r="BK109" s="119" t="s">
        <v>3949</v>
      </c>
      <c r="BL109" s="119" t="s">
        <v>3950</v>
      </c>
      <c r="BM109" s="119" t="s">
        <v>3951</v>
      </c>
      <c r="BN109" s="120" t="s">
        <v>3964</v>
      </c>
      <c r="BO109" s="120" t="s">
        <v>3965</v>
      </c>
      <c r="BP109" s="119" t="s">
        <v>3947</v>
      </c>
      <c r="BQ109" s="119" t="s">
        <v>3948</v>
      </c>
      <c r="BR109" s="119" t="s">
        <v>3949</v>
      </c>
      <c r="BS109" s="119" t="s">
        <v>3950</v>
      </c>
      <c r="BT109" s="119" t="s">
        <v>3951</v>
      </c>
      <c r="BU109" s="120" t="s">
        <v>3966</v>
      </c>
      <c r="BV109" s="120" t="s">
        <v>3967</v>
      </c>
      <c r="BW109" s="119" t="s">
        <v>3947</v>
      </c>
      <c r="BX109" s="119" t="s">
        <v>3948</v>
      </c>
      <c r="BY109" s="119" t="s">
        <v>3949</v>
      </c>
      <c r="BZ109" s="119" t="s">
        <v>3950</v>
      </c>
      <c r="CA109" s="119" t="s">
        <v>3951</v>
      </c>
      <c r="CB109" s="120" t="s">
        <v>3968</v>
      </c>
      <c r="CC109" s="120" t="s">
        <v>3969</v>
      </c>
      <c r="CD109" s="119" t="s">
        <v>3947</v>
      </c>
      <c r="CE109" s="119" t="s">
        <v>3948</v>
      </c>
      <c r="CF109" s="119" t="s">
        <v>3949</v>
      </c>
      <c r="CG109" s="119" t="s">
        <v>3950</v>
      </c>
      <c r="CH109" s="119" t="s">
        <v>3951</v>
      </c>
      <c r="CI109" s="120" t="s">
        <v>3970</v>
      </c>
      <c r="CJ109" s="120" t="s">
        <v>3971</v>
      </c>
      <c r="CK109" s="119" t="s">
        <v>3947</v>
      </c>
      <c r="CL109" s="119" t="s">
        <v>3948</v>
      </c>
      <c r="CM109" s="119" t="s">
        <v>3949</v>
      </c>
      <c r="CN109" s="119" t="s">
        <v>3950</v>
      </c>
      <c r="CO109" s="119" t="s">
        <v>3951</v>
      </c>
      <c r="CP109" s="120" t="s">
        <v>3972</v>
      </c>
      <c r="CQ109" s="120" t="s">
        <v>3973</v>
      </c>
      <c r="CR109" s="119" t="s">
        <v>3947</v>
      </c>
      <c r="CS109" s="119" t="s">
        <v>3948</v>
      </c>
      <c r="CT109" s="119" t="s">
        <v>3949</v>
      </c>
      <c r="CU109" s="119" t="s">
        <v>3950</v>
      </c>
      <c r="CV109" s="119" t="s">
        <v>3951</v>
      </c>
      <c r="CW109" s="120" t="s">
        <v>3974</v>
      </c>
      <c r="CX109" s="120" t="s">
        <v>3975</v>
      </c>
      <c r="CY109" s="119" t="s">
        <v>3947</v>
      </c>
      <c r="CZ109" s="119" t="s">
        <v>3948</v>
      </c>
      <c r="DA109" s="119" t="s">
        <v>3949</v>
      </c>
      <c r="DB109" s="119" t="s">
        <v>3950</v>
      </c>
      <c r="DC109" s="119" t="s">
        <v>3951</v>
      </c>
      <c r="DD109" s="120" t="s">
        <v>3974</v>
      </c>
      <c r="DE109" s="120" t="s">
        <v>3975</v>
      </c>
      <c r="DF109" s="119" t="s">
        <v>3947</v>
      </c>
      <c r="DG109" s="119" t="s">
        <v>3948</v>
      </c>
      <c r="DH109" s="119" t="s">
        <v>3949</v>
      </c>
      <c r="DI109" s="119" t="s">
        <v>3950</v>
      </c>
      <c r="DJ109" s="119" t="s">
        <v>3951</v>
      </c>
      <c r="DK109" s="120" t="s">
        <v>3976</v>
      </c>
      <c r="DL109" s="120" t="s">
        <v>3977</v>
      </c>
      <c r="DM109" s="119" t="s">
        <v>3947</v>
      </c>
      <c r="DN109" s="119" t="s">
        <v>3948</v>
      </c>
      <c r="DO109" s="119" t="s">
        <v>3949</v>
      </c>
      <c r="DP109" s="119" t="s">
        <v>3950</v>
      </c>
      <c r="DQ109" s="119" t="s">
        <v>3951</v>
      </c>
      <c r="DR109" s="328" t="s">
        <v>3978</v>
      </c>
      <c r="DS109" s="328" t="s">
        <v>3979</v>
      </c>
      <c r="DT109" s="313" t="s">
        <v>3947</v>
      </c>
      <c r="DU109" s="313" t="s">
        <v>3948</v>
      </c>
      <c r="DV109" s="313" t="s">
        <v>3949</v>
      </c>
      <c r="DW109" s="313" t="s">
        <v>3950</v>
      </c>
      <c r="DX109" s="313" t="s">
        <v>3951</v>
      </c>
      <c r="DY109" s="120" t="s">
        <v>3980</v>
      </c>
      <c r="DZ109" s="120" t="s">
        <v>3981</v>
      </c>
      <c r="EA109" s="119" t="s">
        <v>3947</v>
      </c>
      <c r="EB109" s="119" t="s">
        <v>3948</v>
      </c>
      <c r="EC109" s="119" t="s">
        <v>3949</v>
      </c>
      <c r="ED109" s="119" t="s">
        <v>3950</v>
      </c>
      <c r="EE109" s="119" t="s">
        <v>3951</v>
      </c>
      <c r="EF109" s="120" t="s">
        <v>3982</v>
      </c>
      <c r="EG109" s="120" t="s">
        <v>3983</v>
      </c>
      <c r="EH109" s="119" t="s">
        <v>3947</v>
      </c>
      <c r="EI109" s="119" t="s">
        <v>3948</v>
      </c>
      <c r="EJ109" s="119" t="s">
        <v>3949</v>
      </c>
      <c r="EK109" s="119" t="s">
        <v>3950</v>
      </c>
      <c r="EL109" s="119" t="s">
        <v>3951</v>
      </c>
      <c r="EM109" s="120" t="s">
        <v>3984</v>
      </c>
      <c r="EN109" s="120" t="s">
        <v>3985</v>
      </c>
      <c r="EO109" s="120"/>
      <c r="EP109" s="119" t="s">
        <v>3948</v>
      </c>
      <c r="EQ109" s="119" t="s">
        <v>3949</v>
      </c>
      <c r="ER109" s="119" t="s">
        <v>3950</v>
      </c>
      <c r="ES109" s="119" t="s">
        <v>3951</v>
      </c>
      <c r="ET109" s="120" t="s">
        <v>3986</v>
      </c>
      <c r="EU109" s="120" t="s">
        <v>3987</v>
      </c>
      <c r="EV109" s="120"/>
      <c r="EW109" s="119" t="s">
        <v>3948</v>
      </c>
      <c r="EX109" s="119" t="s">
        <v>3949</v>
      </c>
      <c r="EY109" s="119" t="s">
        <v>3950</v>
      </c>
      <c r="EZ109" s="119" t="s">
        <v>3951</v>
      </c>
      <c r="FA109" s="120" t="s">
        <v>3988</v>
      </c>
      <c r="FB109" s="120" t="s">
        <v>3989</v>
      </c>
      <c r="FC109" s="119" t="s">
        <v>3948</v>
      </c>
      <c r="FD109" s="119" t="s">
        <v>3949</v>
      </c>
      <c r="FE109" s="119" t="s">
        <v>3950</v>
      </c>
      <c r="FF109" s="119" t="s">
        <v>3951</v>
      </c>
      <c r="FG109" s="120" t="s">
        <v>3990</v>
      </c>
      <c r="FH109" s="120" t="s">
        <v>3991</v>
      </c>
      <c r="FI109" s="119" t="s">
        <v>3948</v>
      </c>
      <c r="FJ109" s="119" t="s">
        <v>3949</v>
      </c>
      <c r="FK109" s="119" t="s">
        <v>3950</v>
      </c>
      <c r="FL109" s="119" t="s">
        <v>3951</v>
      </c>
      <c r="FM109" s="120" t="s">
        <v>3992</v>
      </c>
      <c r="FN109" s="120" t="s">
        <v>3993</v>
      </c>
      <c r="FO109" s="119" t="s">
        <v>3948</v>
      </c>
      <c r="FP109" s="119" t="s">
        <v>3949</v>
      </c>
      <c r="FQ109" s="119" t="s">
        <v>3950</v>
      </c>
      <c r="FR109" s="119" t="s">
        <v>3951</v>
      </c>
      <c r="FS109" s="120" t="s">
        <v>3994</v>
      </c>
      <c r="FT109" s="120" t="s">
        <v>3995</v>
      </c>
      <c r="FU109" s="119" t="s">
        <v>3948</v>
      </c>
      <c r="FV109" s="119" t="s">
        <v>3949</v>
      </c>
      <c r="FW109" s="119" t="s">
        <v>3950</v>
      </c>
      <c r="FX109" s="119" t="s">
        <v>3951</v>
      </c>
      <c r="FY109" s="120" t="s">
        <v>3996</v>
      </c>
      <c r="FZ109" s="120" t="s">
        <v>3997</v>
      </c>
      <c r="GA109" s="119" t="s">
        <v>3948</v>
      </c>
      <c r="GB109" s="119" t="s">
        <v>3949</v>
      </c>
      <c r="GC109" s="119" t="s">
        <v>3950</v>
      </c>
      <c r="GD109" s="119" t="s">
        <v>3951</v>
      </c>
      <c r="GE109" s="120" t="s">
        <v>3998</v>
      </c>
      <c r="GF109" s="120" t="s">
        <v>3999</v>
      </c>
      <c r="GG109" s="119" t="s">
        <v>3948</v>
      </c>
      <c r="GH109" s="119" t="s">
        <v>3949</v>
      </c>
      <c r="GI109" s="119" t="s">
        <v>3950</v>
      </c>
      <c r="GJ109" s="119" t="s">
        <v>3951</v>
      </c>
      <c r="GK109" s="120" t="s">
        <v>4000</v>
      </c>
      <c r="GL109" s="120" t="s">
        <v>4001</v>
      </c>
      <c r="GM109" s="119" t="s">
        <v>3948</v>
      </c>
      <c r="GN109" s="119" t="s">
        <v>3949</v>
      </c>
      <c r="GO109" s="119" t="s">
        <v>3950</v>
      </c>
      <c r="GP109" s="119" t="s">
        <v>3951</v>
      </c>
      <c r="GQ109" s="120" t="s">
        <v>4002</v>
      </c>
      <c r="GR109" s="120" t="s">
        <v>4003</v>
      </c>
      <c r="GS109" s="119" t="s">
        <v>3948</v>
      </c>
      <c r="GT109" s="119" t="s">
        <v>3949</v>
      </c>
      <c r="GU109" s="119" t="s">
        <v>3950</v>
      </c>
      <c r="GV109" s="119" t="s">
        <v>3951</v>
      </c>
      <c r="GW109" s="119"/>
      <c r="GX109" s="119" t="s">
        <v>3948</v>
      </c>
      <c r="GY109" s="119" t="s">
        <v>3949</v>
      </c>
      <c r="GZ109" s="119" t="s">
        <v>3950</v>
      </c>
      <c r="HA109" s="119" t="s">
        <v>3951</v>
      </c>
      <c r="HB109" s="119" t="s">
        <v>3948</v>
      </c>
      <c r="HC109" s="119" t="s">
        <v>3949</v>
      </c>
      <c r="HD109" s="119" t="s">
        <v>3950</v>
      </c>
      <c r="HE109" s="119" t="s">
        <v>3951</v>
      </c>
    </row>
    <row r="110" spans="1:2">
      <c r="A110" s="89" t="s">
        <v>672</v>
      </c>
      <c r="B110" s="108" t="s">
        <v>526</v>
      </c>
    </row>
    <row r="111" ht="138" spans="1:213">
      <c r="A111" s="88" t="s">
        <v>227</v>
      </c>
      <c r="B111" s="88" t="s">
        <v>588</v>
      </c>
      <c r="D111" s="126"/>
      <c r="E111" s="194" t="s">
        <v>4139</v>
      </c>
      <c r="F111" s="89">
        <v>2</v>
      </c>
      <c r="G111" s="89">
        <v>3</v>
      </c>
      <c r="H111" s="89">
        <v>4</v>
      </c>
      <c r="I111" s="88">
        <v>4</v>
      </c>
      <c r="K111" s="126"/>
      <c r="L111" s="194" t="s">
        <v>4139</v>
      </c>
      <c r="M111" s="89">
        <v>2</v>
      </c>
      <c r="N111" s="89">
        <v>3</v>
      </c>
      <c r="O111" s="89">
        <v>4</v>
      </c>
      <c r="P111" s="89">
        <v>3</v>
      </c>
      <c r="R111" s="126"/>
      <c r="S111" s="194" t="s">
        <v>4139</v>
      </c>
      <c r="T111" s="89">
        <v>2</v>
      </c>
      <c r="U111" s="89">
        <v>3</v>
      </c>
      <c r="V111" s="89">
        <v>4</v>
      </c>
      <c r="W111" s="89">
        <v>3</v>
      </c>
      <c r="Y111" s="126"/>
      <c r="Z111" s="194" t="s">
        <v>4139</v>
      </c>
      <c r="AA111" s="89">
        <v>2</v>
      </c>
      <c r="AB111" s="89">
        <v>3</v>
      </c>
      <c r="AC111" s="89">
        <v>4</v>
      </c>
      <c r="AD111" s="89">
        <v>3</v>
      </c>
      <c r="AF111" s="126"/>
      <c r="AG111" s="194" t="s">
        <v>4139</v>
      </c>
      <c r="AH111" s="89">
        <v>2</v>
      </c>
      <c r="AI111" s="89">
        <v>3</v>
      </c>
      <c r="AJ111" s="89">
        <v>4</v>
      </c>
      <c r="AK111" s="89">
        <v>3</v>
      </c>
      <c r="AM111" s="126" t="s">
        <v>4009</v>
      </c>
      <c r="AN111" s="95" t="s">
        <v>4220</v>
      </c>
      <c r="AO111" s="89">
        <v>2</v>
      </c>
      <c r="AP111" s="89">
        <v>3</v>
      </c>
      <c r="AQ111" s="89">
        <v>4</v>
      </c>
      <c r="AR111" s="89">
        <v>3</v>
      </c>
      <c r="AT111" s="95" t="s">
        <v>4486</v>
      </c>
      <c r="AU111" s="95" t="s">
        <v>4152</v>
      </c>
      <c r="AV111" s="89">
        <v>2</v>
      </c>
      <c r="AW111" s="89">
        <v>3</v>
      </c>
      <c r="AX111" s="89">
        <v>4</v>
      </c>
      <c r="AY111" s="89">
        <v>3</v>
      </c>
      <c r="BA111" s="95" t="s">
        <v>4486</v>
      </c>
      <c r="BB111" s="95" t="s">
        <v>4152</v>
      </c>
      <c r="BC111" s="89">
        <v>2</v>
      </c>
      <c r="BD111" s="89">
        <v>3</v>
      </c>
      <c r="BE111" s="89">
        <v>4</v>
      </c>
      <c r="BF111" s="89">
        <v>3</v>
      </c>
      <c r="BH111" s="126" t="s">
        <v>4487</v>
      </c>
      <c r="BI111" s="95" t="s">
        <v>4154</v>
      </c>
      <c r="BJ111" s="89">
        <v>2</v>
      </c>
      <c r="BK111" s="89">
        <v>3</v>
      </c>
      <c r="BL111" s="89">
        <v>4</v>
      </c>
      <c r="BM111" s="89">
        <v>3</v>
      </c>
      <c r="BO111" s="95" t="s">
        <v>4488</v>
      </c>
      <c r="BP111" s="95" t="s">
        <v>4100</v>
      </c>
      <c r="BQ111" s="89">
        <v>2</v>
      </c>
      <c r="BR111" s="89">
        <v>3</v>
      </c>
      <c r="BS111" s="89">
        <v>4</v>
      </c>
      <c r="BT111" s="89">
        <v>3</v>
      </c>
      <c r="BV111" s="95" t="s">
        <v>4488</v>
      </c>
      <c r="BW111" s="95" t="s">
        <v>4100</v>
      </c>
      <c r="BX111" s="89">
        <v>2</v>
      </c>
      <c r="BY111" s="89">
        <v>3</v>
      </c>
      <c r="BZ111" s="89">
        <v>4</v>
      </c>
      <c r="CA111" s="89">
        <v>3</v>
      </c>
      <c r="CC111" s="95" t="s">
        <v>4488</v>
      </c>
      <c r="CD111" s="95" t="s">
        <v>4100</v>
      </c>
      <c r="CE111" s="89">
        <v>2</v>
      </c>
      <c r="CF111" s="89">
        <v>3</v>
      </c>
      <c r="CG111" s="89">
        <v>4</v>
      </c>
      <c r="CH111" s="89">
        <v>3</v>
      </c>
      <c r="CJ111" s="95" t="s">
        <v>4488</v>
      </c>
      <c r="CK111" s="95" t="s">
        <v>4100</v>
      </c>
      <c r="CL111" s="89">
        <v>2</v>
      </c>
      <c r="CM111" s="89">
        <v>3</v>
      </c>
      <c r="CN111" s="89">
        <v>4</v>
      </c>
      <c r="CO111" s="89">
        <v>3</v>
      </c>
      <c r="CQ111" s="95" t="s">
        <v>4488</v>
      </c>
      <c r="CR111" s="95" t="s">
        <v>4100</v>
      </c>
      <c r="CS111" s="89">
        <v>2</v>
      </c>
      <c r="CT111" s="89">
        <v>3</v>
      </c>
      <c r="CU111" s="89">
        <v>4</v>
      </c>
      <c r="CV111" s="89">
        <v>3</v>
      </c>
      <c r="CW111" s="95" t="s">
        <v>4489</v>
      </c>
      <c r="CX111" s="126" t="s">
        <v>4490</v>
      </c>
      <c r="CY111" s="95" t="s">
        <v>4104</v>
      </c>
      <c r="CZ111" s="89">
        <v>2</v>
      </c>
      <c r="DA111" s="89">
        <v>3</v>
      </c>
      <c r="DB111" s="89">
        <v>4</v>
      </c>
      <c r="DC111" s="89">
        <v>3</v>
      </c>
      <c r="DD111" s="95" t="s">
        <v>4489</v>
      </c>
      <c r="DE111" s="126" t="s">
        <v>4080</v>
      </c>
      <c r="DF111" s="95" t="s">
        <v>4491</v>
      </c>
      <c r="DG111" s="89">
        <v>2</v>
      </c>
      <c r="DH111" s="89">
        <v>3</v>
      </c>
      <c r="DI111" s="89">
        <v>4</v>
      </c>
      <c r="DJ111" s="89">
        <v>3</v>
      </c>
      <c r="DK111" s="95" t="s">
        <v>4489</v>
      </c>
      <c r="DL111" s="126" t="s">
        <v>4492</v>
      </c>
      <c r="DM111" s="95" t="s">
        <v>4493</v>
      </c>
      <c r="DN111" s="323">
        <v>2</v>
      </c>
      <c r="DO111" s="323">
        <v>3</v>
      </c>
      <c r="DP111" s="323">
        <v>4</v>
      </c>
      <c r="DQ111" s="323">
        <v>3</v>
      </c>
      <c r="DR111" s="194" t="s">
        <v>4494</v>
      </c>
      <c r="DS111" s="194" t="s">
        <v>4495</v>
      </c>
      <c r="DT111" s="194" t="s">
        <v>4493</v>
      </c>
      <c r="DU111" s="188">
        <v>2</v>
      </c>
      <c r="DV111" s="188">
        <v>4</v>
      </c>
      <c r="DW111" s="188">
        <v>5</v>
      </c>
      <c r="DX111" s="188">
        <v>4</v>
      </c>
      <c r="DY111" s="95" t="s">
        <v>4489</v>
      </c>
      <c r="DZ111" s="95" t="s">
        <v>4496</v>
      </c>
      <c r="EA111" s="95" t="s">
        <v>4497</v>
      </c>
      <c r="EB111" s="88">
        <v>2</v>
      </c>
      <c r="EC111" s="88">
        <v>4</v>
      </c>
      <c r="ED111" s="88">
        <v>5</v>
      </c>
      <c r="EE111" s="88">
        <v>4</v>
      </c>
      <c r="EF111" s="126" t="s">
        <v>4498</v>
      </c>
      <c r="EG111" s="126" t="s">
        <v>4499</v>
      </c>
      <c r="EH111" s="95" t="s">
        <v>4497</v>
      </c>
      <c r="EI111" s="88">
        <v>2</v>
      </c>
      <c r="EJ111" s="88">
        <v>4</v>
      </c>
      <c r="EK111" s="88">
        <v>5</v>
      </c>
      <c r="EL111" s="88">
        <v>4</v>
      </c>
      <c r="EM111" s="194" t="s">
        <v>4500</v>
      </c>
      <c r="EO111" s="95" t="s">
        <v>4382</v>
      </c>
      <c r="EP111" s="88">
        <v>1</v>
      </c>
      <c r="EQ111" s="89">
        <v>3</v>
      </c>
      <c r="ER111" s="88">
        <v>3</v>
      </c>
      <c r="ES111" s="89">
        <v>3</v>
      </c>
      <c r="ET111" s="126" t="s">
        <v>4501</v>
      </c>
      <c r="EV111" s="95" t="s">
        <v>4385</v>
      </c>
      <c r="EW111" s="89">
        <v>2</v>
      </c>
      <c r="EX111" s="89">
        <v>3</v>
      </c>
      <c r="EY111" s="89">
        <v>4</v>
      </c>
      <c r="EZ111" s="89">
        <v>3</v>
      </c>
      <c r="FA111" s="95" t="s">
        <v>4502</v>
      </c>
      <c r="FC111" s="89">
        <v>1</v>
      </c>
      <c r="FD111" s="89">
        <v>3</v>
      </c>
      <c r="FE111" s="89">
        <v>3</v>
      </c>
      <c r="FF111" s="89">
        <v>3</v>
      </c>
      <c r="FG111" s="95" t="s">
        <v>4502</v>
      </c>
      <c r="FI111" s="89">
        <v>2</v>
      </c>
      <c r="FJ111" s="89">
        <v>4</v>
      </c>
      <c r="FK111" s="89">
        <v>4</v>
      </c>
      <c r="FL111" s="89">
        <v>4</v>
      </c>
      <c r="FM111" s="95" t="s">
        <v>4502</v>
      </c>
      <c r="FO111" s="89">
        <v>2</v>
      </c>
      <c r="FP111" s="89">
        <v>4</v>
      </c>
      <c r="FQ111" s="89">
        <v>4</v>
      </c>
      <c r="FR111" s="89">
        <v>4</v>
      </c>
      <c r="FS111" s="95" t="s">
        <v>4502</v>
      </c>
      <c r="FT111" s="126"/>
      <c r="FU111" s="89">
        <v>2</v>
      </c>
      <c r="FV111" s="89">
        <v>4</v>
      </c>
      <c r="FW111" s="89">
        <v>4</v>
      </c>
      <c r="FX111" s="89">
        <v>4</v>
      </c>
      <c r="FY111" s="95" t="s">
        <v>4502</v>
      </c>
      <c r="FZ111" s="126"/>
      <c r="GA111" s="89">
        <v>2</v>
      </c>
      <c r="GB111" s="89">
        <v>4</v>
      </c>
      <c r="GC111" s="89">
        <v>4</v>
      </c>
      <c r="GD111" s="89">
        <v>4</v>
      </c>
      <c r="GE111" s="95" t="s">
        <v>4502</v>
      </c>
      <c r="GF111" s="126"/>
      <c r="GG111" s="89">
        <v>2</v>
      </c>
      <c r="GH111" s="89">
        <v>4</v>
      </c>
      <c r="GI111" s="89">
        <v>4</v>
      </c>
      <c r="GJ111" s="89">
        <v>5</v>
      </c>
      <c r="GK111" s="95" t="s">
        <v>4502</v>
      </c>
      <c r="GL111" s="126"/>
      <c r="GM111" s="89">
        <v>2</v>
      </c>
      <c r="GN111" s="89">
        <v>4</v>
      </c>
      <c r="GO111" s="89">
        <v>4</v>
      </c>
      <c r="GP111" s="89">
        <v>5</v>
      </c>
      <c r="GR111" s="126"/>
      <c r="GS111" s="89">
        <v>2</v>
      </c>
      <c r="GT111" s="89">
        <v>4</v>
      </c>
      <c r="GU111" s="89">
        <v>4</v>
      </c>
      <c r="GV111" s="89">
        <v>5</v>
      </c>
      <c r="GX111" s="89">
        <v>2</v>
      </c>
      <c r="GY111" s="89">
        <v>4</v>
      </c>
      <c r="GZ111" s="89">
        <v>4</v>
      </c>
      <c r="HA111" s="89">
        <v>5</v>
      </c>
      <c r="HB111" s="89">
        <v>2</v>
      </c>
      <c r="HC111" s="89">
        <v>4</v>
      </c>
      <c r="HD111" s="89">
        <v>4</v>
      </c>
      <c r="HE111" s="89">
        <v>5</v>
      </c>
    </row>
    <row r="112" ht="28.2" spans="1:213">
      <c r="A112" s="89" t="s">
        <v>230</v>
      </c>
      <c r="B112" s="155" t="s">
        <v>592</v>
      </c>
      <c r="F112" s="89">
        <v>4</v>
      </c>
      <c r="G112" s="89">
        <v>4</v>
      </c>
      <c r="H112" s="89">
        <v>3</v>
      </c>
      <c r="I112" s="88">
        <v>3</v>
      </c>
      <c r="M112" s="89">
        <v>4</v>
      </c>
      <c r="N112" s="89">
        <v>4</v>
      </c>
      <c r="O112" s="89">
        <v>3</v>
      </c>
      <c r="P112" s="89">
        <v>2</v>
      </c>
      <c r="T112" s="89">
        <v>4</v>
      </c>
      <c r="U112" s="89">
        <v>4</v>
      </c>
      <c r="V112" s="89">
        <v>3</v>
      </c>
      <c r="W112" s="89">
        <v>2</v>
      </c>
      <c r="AA112" s="89">
        <v>4</v>
      </c>
      <c r="AB112" s="89">
        <v>4</v>
      </c>
      <c r="AC112" s="89">
        <v>3</v>
      </c>
      <c r="AD112" s="89">
        <v>2</v>
      </c>
      <c r="AH112" s="89">
        <v>4</v>
      </c>
      <c r="AI112" s="89">
        <v>4</v>
      </c>
      <c r="AJ112" s="89">
        <v>2</v>
      </c>
      <c r="AK112" s="89">
        <v>2</v>
      </c>
      <c r="AO112" s="89">
        <v>4</v>
      </c>
      <c r="AP112" s="89">
        <v>4</v>
      </c>
      <c r="AQ112" s="89">
        <v>2</v>
      </c>
      <c r="AR112" s="89">
        <v>2</v>
      </c>
      <c r="AV112" s="89">
        <v>4</v>
      </c>
      <c r="AW112" s="89">
        <v>4</v>
      </c>
      <c r="AX112" s="89">
        <v>2</v>
      </c>
      <c r="AY112" s="89">
        <v>2</v>
      </c>
      <c r="BC112" s="89">
        <v>4</v>
      </c>
      <c r="BD112" s="89">
        <v>4</v>
      </c>
      <c r="BE112" s="89">
        <v>2</v>
      </c>
      <c r="BF112" s="89">
        <v>2</v>
      </c>
      <c r="BJ112" s="89">
        <v>4</v>
      </c>
      <c r="BK112" s="89">
        <v>4</v>
      </c>
      <c r="BL112" s="89">
        <v>2</v>
      </c>
      <c r="BM112" s="89">
        <v>2</v>
      </c>
      <c r="BQ112" s="89">
        <v>4</v>
      </c>
      <c r="BR112" s="89">
        <v>4</v>
      </c>
      <c r="BS112" s="89">
        <v>2</v>
      </c>
      <c r="BT112" s="89">
        <v>2</v>
      </c>
      <c r="BX112" s="89">
        <v>4</v>
      </c>
      <c r="BY112" s="89">
        <v>4</v>
      </c>
      <c r="BZ112" s="89">
        <v>2</v>
      </c>
      <c r="CA112" s="89">
        <v>2</v>
      </c>
      <c r="CE112" s="89">
        <v>4</v>
      </c>
      <c r="CF112" s="89">
        <v>4</v>
      </c>
      <c r="CG112" s="89">
        <v>2</v>
      </c>
      <c r="CH112" s="89">
        <v>2</v>
      </c>
      <c r="CL112" s="89">
        <v>4</v>
      </c>
      <c r="CM112" s="89">
        <v>4</v>
      </c>
      <c r="CN112" s="89">
        <v>2</v>
      </c>
      <c r="CO112" s="89">
        <v>2</v>
      </c>
      <c r="CS112" s="88">
        <v>4</v>
      </c>
      <c r="CT112" s="89">
        <v>4</v>
      </c>
      <c r="CU112" s="89">
        <v>2</v>
      </c>
      <c r="CV112" s="89">
        <v>2</v>
      </c>
      <c r="CW112" s="95" t="s">
        <v>4503</v>
      </c>
      <c r="CZ112" s="89">
        <v>5</v>
      </c>
      <c r="DA112" s="89">
        <v>4</v>
      </c>
      <c r="DB112" s="89">
        <v>2</v>
      </c>
      <c r="DC112" s="89">
        <v>2</v>
      </c>
      <c r="DD112" s="95" t="s">
        <v>4503</v>
      </c>
      <c r="DG112" s="89">
        <v>5</v>
      </c>
      <c r="DH112" s="89">
        <v>4</v>
      </c>
      <c r="DI112" s="89">
        <v>2</v>
      </c>
      <c r="DJ112" s="89">
        <v>2</v>
      </c>
      <c r="DK112" s="95" t="s">
        <v>4504</v>
      </c>
      <c r="DN112" s="323">
        <v>5</v>
      </c>
      <c r="DO112" s="323">
        <v>4</v>
      </c>
      <c r="DP112" s="323">
        <v>2</v>
      </c>
      <c r="DQ112" s="323">
        <v>2</v>
      </c>
      <c r="DR112" s="194" t="s">
        <v>4504</v>
      </c>
      <c r="DU112" s="188">
        <v>5</v>
      </c>
      <c r="DV112" s="188">
        <v>5</v>
      </c>
      <c r="DW112" s="188">
        <v>3</v>
      </c>
      <c r="DX112" s="188">
        <v>3</v>
      </c>
      <c r="DY112" s="95" t="s">
        <v>4504</v>
      </c>
      <c r="EB112" s="89">
        <v>5</v>
      </c>
      <c r="EC112" s="89">
        <v>5</v>
      </c>
      <c r="ED112" s="88">
        <v>3</v>
      </c>
      <c r="EE112" s="89">
        <v>3</v>
      </c>
      <c r="EF112" s="95" t="s">
        <v>4504</v>
      </c>
      <c r="EI112" s="89">
        <v>5</v>
      </c>
      <c r="EJ112" s="89">
        <v>5</v>
      </c>
      <c r="EK112" s="88">
        <v>3</v>
      </c>
      <c r="EL112" s="89">
        <v>3</v>
      </c>
      <c r="EM112" s="95" t="s">
        <v>4504</v>
      </c>
      <c r="EP112" s="89">
        <v>5</v>
      </c>
      <c r="EQ112" s="89">
        <v>5</v>
      </c>
      <c r="ER112" s="89">
        <v>4</v>
      </c>
      <c r="ES112" s="89">
        <v>3</v>
      </c>
      <c r="ET112" s="95" t="s">
        <v>4504</v>
      </c>
      <c r="EW112" s="89">
        <v>5</v>
      </c>
      <c r="EX112" s="89">
        <v>4</v>
      </c>
      <c r="EY112" s="89">
        <v>5</v>
      </c>
      <c r="EZ112" s="89">
        <v>3</v>
      </c>
      <c r="FA112" s="95" t="s">
        <v>4504</v>
      </c>
      <c r="FC112" s="89">
        <v>5</v>
      </c>
      <c r="FD112" s="89">
        <v>5</v>
      </c>
      <c r="FE112" s="89">
        <v>5</v>
      </c>
      <c r="FF112" s="89">
        <v>4</v>
      </c>
      <c r="FG112" s="95" t="s">
        <v>4504</v>
      </c>
      <c r="FI112" s="89">
        <v>5</v>
      </c>
      <c r="FJ112" s="89">
        <v>5</v>
      </c>
      <c r="FK112" s="89">
        <v>4</v>
      </c>
      <c r="FL112" s="89">
        <v>3</v>
      </c>
      <c r="FM112" s="95" t="s">
        <v>4504</v>
      </c>
      <c r="FO112" s="89">
        <v>5</v>
      </c>
      <c r="FP112" s="89">
        <v>5</v>
      </c>
      <c r="FQ112" s="89">
        <v>4</v>
      </c>
      <c r="FR112" s="89">
        <v>3</v>
      </c>
      <c r="FS112" s="95" t="s">
        <v>4504</v>
      </c>
      <c r="FU112" s="89">
        <v>5</v>
      </c>
      <c r="FV112" s="89">
        <v>5</v>
      </c>
      <c r="FW112" s="89">
        <v>4</v>
      </c>
      <c r="FX112" s="89">
        <v>3</v>
      </c>
      <c r="FY112" s="95" t="s">
        <v>4504</v>
      </c>
      <c r="GA112" s="89">
        <v>5</v>
      </c>
      <c r="GB112" s="89">
        <v>5</v>
      </c>
      <c r="GC112" s="89">
        <v>4</v>
      </c>
      <c r="GD112" s="89">
        <v>3</v>
      </c>
      <c r="GE112" s="95" t="s">
        <v>4504</v>
      </c>
      <c r="GG112" s="89">
        <v>5</v>
      </c>
      <c r="GH112" s="89">
        <v>5</v>
      </c>
      <c r="GI112" s="89">
        <v>4</v>
      </c>
      <c r="GJ112" s="89">
        <v>3</v>
      </c>
      <c r="GK112" s="95" t="s">
        <v>4504</v>
      </c>
      <c r="GM112" s="89">
        <v>5</v>
      </c>
      <c r="GN112" s="89">
        <v>5</v>
      </c>
      <c r="GO112" s="89">
        <v>4</v>
      </c>
      <c r="GP112" s="89">
        <v>3</v>
      </c>
      <c r="GS112" s="89">
        <v>6</v>
      </c>
      <c r="GT112" s="89">
        <v>5</v>
      </c>
      <c r="GU112" s="89">
        <v>4</v>
      </c>
      <c r="GV112" s="89">
        <v>3</v>
      </c>
      <c r="GX112" s="89">
        <v>6</v>
      </c>
      <c r="GY112" s="89">
        <v>5</v>
      </c>
      <c r="GZ112" s="89">
        <v>4</v>
      </c>
      <c r="HA112" s="89">
        <v>3</v>
      </c>
      <c r="HB112" s="89">
        <v>6</v>
      </c>
      <c r="HC112" s="89">
        <v>5</v>
      </c>
      <c r="HD112" s="89">
        <v>4</v>
      </c>
      <c r="HE112" s="89">
        <v>3</v>
      </c>
    </row>
    <row r="113" spans="1:213">
      <c r="A113" s="89" t="s">
        <v>230</v>
      </c>
      <c r="B113" s="155" t="s">
        <v>589</v>
      </c>
      <c r="C113" s="125"/>
      <c r="F113" s="89">
        <v>1</v>
      </c>
      <c r="G113" s="89">
        <v>1</v>
      </c>
      <c r="H113" s="89">
        <v>1</v>
      </c>
      <c r="I113" s="88">
        <v>1</v>
      </c>
      <c r="J113" s="125"/>
      <c r="M113" s="89">
        <v>1</v>
      </c>
      <c r="N113" s="89">
        <v>1</v>
      </c>
      <c r="O113" s="89">
        <v>1</v>
      </c>
      <c r="P113" s="89">
        <v>2</v>
      </c>
      <c r="Q113" s="125"/>
      <c r="T113" s="89">
        <v>1</v>
      </c>
      <c r="U113" s="89">
        <v>1</v>
      </c>
      <c r="V113" s="89">
        <v>1</v>
      </c>
      <c r="W113" s="89">
        <v>2</v>
      </c>
      <c r="X113" s="125"/>
      <c r="AA113" s="88">
        <v>1</v>
      </c>
      <c r="AB113" s="88">
        <v>1</v>
      </c>
      <c r="AC113" s="88">
        <v>1</v>
      </c>
      <c r="AD113" s="89">
        <v>2</v>
      </c>
      <c r="AE113" s="125"/>
      <c r="AH113" s="88">
        <v>1</v>
      </c>
      <c r="AI113" s="89">
        <v>2</v>
      </c>
      <c r="AJ113" s="89">
        <v>3</v>
      </c>
      <c r="AK113" s="89">
        <v>3</v>
      </c>
      <c r="AL113" s="125"/>
      <c r="AO113" s="89">
        <v>1</v>
      </c>
      <c r="AP113" s="89">
        <v>2</v>
      </c>
      <c r="AQ113" s="89">
        <v>3</v>
      </c>
      <c r="AR113" s="89">
        <v>3</v>
      </c>
      <c r="AS113" s="125"/>
      <c r="AV113" s="89">
        <v>1</v>
      </c>
      <c r="AW113" s="89">
        <v>2</v>
      </c>
      <c r="AX113" s="89">
        <v>3</v>
      </c>
      <c r="AY113" s="89">
        <v>3</v>
      </c>
      <c r="AZ113" s="125"/>
      <c r="BC113" s="89">
        <v>1</v>
      </c>
      <c r="BD113" s="89">
        <v>2</v>
      </c>
      <c r="BE113" s="89">
        <v>3</v>
      </c>
      <c r="BF113" s="89">
        <v>3</v>
      </c>
      <c r="BG113" s="125"/>
      <c r="BJ113" s="89">
        <v>1</v>
      </c>
      <c r="BK113" s="89">
        <v>2</v>
      </c>
      <c r="BL113" s="89">
        <v>3</v>
      </c>
      <c r="BM113" s="89">
        <v>3</v>
      </c>
      <c r="BN113" s="125"/>
      <c r="BQ113" s="89">
        <v>1</v>
      </c>
      <c r="BR113" s="89">
        <v>2</v>
      </c>
      <c r="BS113" s="89">
        <v>3</v>
      </c>
      <c r="BT113" s="89">
        <v>3</v>
      </c>
      <c r="BU113" s="125"/>
      <c r="BX113" s="89">
        <v>1</v>
      </c>
      <c r="BY113" s="89">
        <v>2</v>
      </c>
      <c r="BZ113" s="89">
        <v>3</v>
      </c>
      <c r="CA113" s="89">
        <v>3</v>
      </c>
      <c r="CB113" s="125"/>
      <c r="CE113" s="89">
        <v>1</v>
      </c>
      <c r="CF113" s="89">
        <v>2</v>
      </c>
      <c r="CG113" s="89">
        <v>3</v>
      </c>
      <c r="CH113" s="89">
        <v>3</v>
      </c>
      <c r="CI113" s="125"/>
      <c r="CL113" s="89">
        <v>1</v>
      </c>
      <c r="CM113" s="89">
        <v>2</v>
      </c>
      <c r="CN113" s="89">
        <v>3</v>
      </c>
      <c r="CO113" s="89">
        <v>3</v>
      </c>
      <c r="CP113" s="125"/>
      <c r="CS113" s="89">
        <v>1</v>
      </c>
      <c r="CT113" s="89">
        <v>2</v>
      </c>
      <c r="CU113" s="89">
        <v>3</v>
      </c>
      <c r="CV113" s="89">
        <v>3</v>
      </c>
      <c r="CW113" s="125" t="s">
        <v>4505</v>
      </c>
      <c r="CZ113" s="89">
        <v>1</v>
      </c>
      <c r="DA113" s="89">
        <v>2</v>
      </c>
      <c r="DB113" s="89">
        <v>3</v>
      </c>
      <c r="DC113" s="89">
        <v>3</v>
      </c>
      <c r="DD113" s="125" t="s">
        <v>4505</v>
      </c>
      <c r="DG113" s="89">
        <v>1</v>
      </c>
      <c r="DH113" s="89">
        <v>2</v>
      </c>
      <c r="DI113" s="89">
        <v>3</v>
      </c>
      <c r="DJ113" s="89">
        <v>3</v>
      </c>
      <c r="DK113" s="125" t="s">
        <v>4505</v>
      </c>
      <c r="DN113" s="323">
        <v>1</v>
      </c>
      <c r="DO113" s="323">
        <v>2</v>
      </c>
      <c r="DP113" s="323">
        <v>3</v>
      </c>
      <c r="DQ113" s="323">
        <v>3</v>
      </c>
      <c r="DR113" s="316" t="s">
        <v>4505</v>
      </c>
      <c r="DU113" s="188">
        <v>1</v>
      </c>
      <c r="DV113" s="188">
        <v>3</v>
      </c>
      <c r="DW113" s="188">
        <v>4</v>
      </c>
      <c r="DX113" s="188">
        <v>4</v>
      </c>
      <c r="DY113" s="125" t="s">
        <v>4505</v>
      </c>
      <c r="EB113" s="88">
        <v>1</v>
      </c>
      <c r="EC113" s="88">
        <v>3</v>
      </c>
      <c r="ED113" s="88">
        <v>4</v>
      </c>
      <c r="EE113" s="88">
        <v>4</v>
      </c>
      <c r="EF113" s="125" t="s">
        <v>4505</v>
      </c>
      <c r="EI113" s="88">
        <v>1</v>
      </c>
      <c r="EJ113" s="88">
        <v>3</v>
      </c>
      <c r="EK113" s="88">
        <v>4</v>
      </c>
      <c r="EL113" s="88">
        <v>4</v>
      </c>
      <c r="EM113" s="124" t="s">
        <v>4505</v>
      </c>
      <c r="EP113" s="88">
        <v>2</v>
      </c>
      <c r="EQ113" s="88">
        <v>4</v>
      </c>
      <c r="ER113" s="88">
        <v>5</v>
      </c>
      <c r="ES113" s="88">
        <v>4</v>
      </c>
      <c r="ET113" s="316" t="s">
        <v>4506</v>
      </c>
      <c r="EW113" s="89">
        <v>1</v>
      </c>
      <c r="EX113" s="89">
        <v>1</v>
      </c>
      <c r="EY113" s="89">
        <v>2</v>
      </c>
      <c r="EZ113" s="89">
        <v>3</v>
      </c>
      <c r="FA113" s="124" t="s">
        <v>4506</v>
      </c>
      <c r="FC113" s="89">
        <v>2</v>
      </c>
      <c r="FD113" s="89">
        <v>4</v>
      </c>
      <c r="FE113" s="89">
        <v>4</v>
      </c>
      <c r="FF113" s="89">
        <v>4</v>
      </c>
      <c r="FG113" s="95" t="s">
        <v>4052</v>
      </c>
      <c r="FI113" s="89">
        <v>1</v>
      </c>
      <c r="FJ113" s="89">
        <v>3</v>
      </c>
      <c r="FK113" s="89">
        <v>3</v>
      </c>
      <c r="FL113" s="89">
        <v>3</v>
      </c>
      <c r="FM113" s="95" t="s">
        <v>4052</v>
      </c>
      <c r="FO113" s="89">
        <v>1</v>
      </c>
      <c r="FP113" s="89">
        <v>3</v>
      </c>
      <c r="FQ113" s="89">
        <v>3</v>
      </c>
      <c r="FR113" s="89">
        <v>3</v>
      </c>
      <c r="FS113" s="95" t="s">
        <v>4052</v>
      </c>
      <c r="FU113" s="89">
        <v>1</v>
      </c>
      <c r="FV113" s="89">
        <v>3</v>
      </c>
      <c r="FW113" s="89">
        <v>3</v>
      </c>
      <c r="FX113" s="89">
        <v>3</v>
      </c>
      <c r="FY113" s="95" t="s">
        <v>4052</v>
      </c>
      <c r="GA113" s="89">
        <v>1</v>
      </c>
      <c r="GB113" s="89">
        <v>3</v>
      </c>
      <c r="GC113" s="89">
        <v>3</v>
      </c>
      <c r="GD113" s="89">
        <v>3</v>
      </c>
      <c r="GE113" s="95" t="s">
        <v>4052</v>
      </c>
      <c r="GG113" s="89">
        <v>1</v>
      </c>
      <c r="GH113" s="89">
        <v>3</v>
      </c>
      <c r="GI113" s="89">
        <v>3</v>
      </c>
      <c r="GJ113" s="89">
        <v>3</v>
      </c>
      <c r="GK113" s="95" t="s">
        <v>4052</v>
      </c>
      <c r="GM113" s="89">
        <v>1</v>
      </c>
      <c r="GN113" s="89">
        <v>3</v>
      </c>
      <c r="GO113" s="89">
        <v>3</v>
      </c>
      <c r="GP113" s="89">
        <v>3</v>
      </c>
      <c r="GS113" s="89">
        <v>1</v>
      </c>
      <c r="GT113" s="89">
        <v>3</v>
      </c>
      <c r="GU113" s="89">
        <v>3</v>
      </c>
      <c r="GV113" s="89">
        <v>3</v>
      </c>
      <c r="GX113" s="89">
        <v>1</v>
      </c>
      <c r="GY113" s="89">
        <v>3</v>
      </c>
      <c r="GZ113" s="89">
        <v>3</v>
      </c>
      <c r="HA113" s="89">
        <v>3</v>
      </c>
      <c r="HB113" s="89">
        <v>1</v>
      </c>
      <c r="HC113" s="89">
        <v>3</v>
      </c>
      <c r="HD113" s="89">
        <v>3</v>
      </c>
      <c r="HE113" s="89">
        <v>3</v>
      </c>
    </row>
    <row r="114" spans="1:213">
      <c r="A114" s="89" t="s">
        <v>230</v>
      </c>
      <c r="B114" s="333" t="s">
        <v>591</v>
      </c>
      <c r="C114" s="125"/>
      <c r="F114" s="89">
        <v>3</v>
      </c>
      <c r="G114" s="89">
        <v>2</v>
      </c>
      <c r="H114" s="89">
        <v>2</v>
      </c>
      <c r="I114" s="88">
        <v>2</v>
      </c>
      <c r="J114" s="125"/>
      <c r="M114" s="89">
        <v>3</v>
      </c>
      <c r="N114" s="89">
        <v>2</v>
      </c>
      <c r="O114" s="89">
        <v>2</v>
      </c>
      <c r="P114" s="89">
        <v>1</v>
      </c>
      <c r="Q114" s="125"/>
      <c r="T114" s="89">
        <v>3</v>
      </c>
      <c r="U114" s="89">
        <v>2</v>
      </c>
      <c r="V114" s="89">
        <v>2</v>
      </c>
      <c r="W114" s="89">
        <v>1</v>
      </c>
      <c r="X114" s="125"/>
      <c r="AA114" s="89">
        <v>3</v>
      </c>
      <c r="AB114" s="89">
        <v>2</v>
      </c>
      <c r="AC114" s="89">
        <v>2</v>
      </c>
      <c r="AD114" s="88">
        <v>1</v>
      </c>
      <c r="AE114" s="125"/>
      <c r="AH114" s="89">
        <v>3</v>
      </c>
      <c r="AI114" s="88">
        <v>1</v>
      </c>
      <c r="AJ114" s="88">
        <v>1</v>
      </c>
      <c r="AK114" s="88">
        <v>1</v>
      </c>
      <c r="AL114" s="125"/>
      <c r="AO114" s="89">
        <v>3</v>
      </c>
      <c r="AP114" s="89">
        <v>1</v>
      </c>
      <c r="AQ114" s="89">
        <v>1</v>
      </c>
      <c r="AR114" s="89">
        <v>1</v>
      </c>
      <c r="AS114" s="125"/>
      <c r="AV114" s="89">
        <v>3</v>
      </c>
      <c r="AW114" s="89">
        <v>1</v>
      </c>
      <c r="AX114" s="89">
        <v>1</v>
      </c>
      <c r="AY114" s="89">
        <v>1</v>
      </c>
      <c r="AZ114" s="125"/>
      <c r="BC114" s="89">
        <v>3</v>
      </c>
      <c r="BD114" s="89">
        <v>1</v>
      </c>
      <c r="BE114" s="89">
        <v>1</v>
      </c>
      <c r="BF114" s="89">
        <v>1</v>
      </c>
      <c r="BG114" s="125"/>
      <c r="BJ114" s="89">
        <v>3</v>
      </c>
      <c r="BK114" s="89">
        <v>1</v>
      </c>
      <c r="BL114" s="89">
        <v>1</v>
      </c>
      <c r="BM114" s="89">
        <v>1</v>
      </c>
      <c r="BN114" s="125"/>
      <c r="BQ114" s="89">
        <v>3</v>
      </c>
      <c r="BR114" s="89">
        <v>1</v>
      </c>
      <c r="BS114" s="89">
        <v>1</v>
      </c>
      <c r="BT114" s="89">
        <v>1</v>
      </c>
      <c r="BU114" s="125"/>
      <c r="BX114" s="89">
        <v>3</v>
      </c>
      <c r="BY114" s="89">
        <v>1</v>
      </c>
      <c r="BZ114" s="89">
        <v>1</v>
      </c>
      <c r="CA114" s="89">
        <v>1</v>
      </c>
      <c r="CB114" s="125"/>
      <c r="CE114" s="89">
        <v>3</v>
      </c>
      <c r="CF114" s="89">
        <v>1</v>
      </c>
      <c r="CG114" s="89">
        <v>1</v>
      </c>
      <c r="CH114" s="89">
        <v>1</v>
      </c>
      <c r="CI114" s="125"/>
      <c r="CL114" s="89">
        <v>3</v>
      </c>
      <c r="CM114" s="89">
        <v>1</v>
      </c>
      <c r="CN114" s="89">
        <v>1</v>
      </c>
      <c r="CO114" s="89">
        <v>1</v>
      </c>
      <c r="CP114" s="125"/>
      <c r="CS114" s="89">
        <v>3</v>
      </c>
      <c r="CT114" s="89">
        <v>1</v>
      </c>
      <c r="CU114" s="89">
        <v>1</v>
      </c>
      <c r="CV114" s="89">
        <v>1</v>
      </c>
      <c r="CW114" s="125" t="s">
        <v>4052</v>
      </c>
      <c r="CZ114" s="89">
        <v>3</v>
      </c>
      <c r="DA114" s="89">
        <v>1</v>
      </c>
      <c r="DB114" s="89">
        <v>1</v>
      </c>
      <c r="DC114" s="89">
        <v>1</v>
      </c>
      <c r="DD114" s="125" t="s">
        <v>4052</v>
      </c>
      <c r="DG114" s="89">
        <v>3</v>
      </c>
      <c r="DH114" s="89">
        <v>1</v>
      </c>
      <c r="DI114" s="89">
        <v>1</v>
      </c>
      <c r="DJ114" s="89">
        <v>1</v>
      </c>
      <c r="DK114" s="95" t="s">
        <v>4052</v>
      </c>
      <c r="DN114" s="323">
        <v>3</v>
      </c>
      <c r="DO114" s="323">
        <v>1</v>
      </c>
      <c r="DP114" s="323">
        <v>1</v>
      </c>
      <c r="DQ114" s="323">
        <v>1</v>
      </c>
      <c r="DR114" s="194" t="s">
        <v>4052</v>
      </c>
      <c r="DU114" s="188">
        <v>3</v>
      </c>
      <c r="DV114" s="188">
        <v>2</v>
      </c>
      <c r="DW114" s="188">
        <v>2</v>
      </c>
      <c r="DX114" s="188">
        <v>2</v>
      </c>
      <c r="DY114" s="95" t="s">
        <v>4052</v>
      </c>
      <c r="EB114" s="89">
        <v>3</v>
      </c>
      <c r="EC114" s="89">
        <v>2</v>
      </c>
      <c r="ED114" s="89">
        <v>2</v>
      </c>
      <c r="EE114" s="89">
        <v>2</v>
      </c>
      <c r="EF114" s="95" t="s">
        <v>4052</v>
      </c>
      <c r="EI114" s="89">
        <v>3</v>
      </c>
      <c r="EJ114" s="89">
        <v>2</v>
      </c>
      <c r="EK114" s="89">
        <v>2</v>
      </c>
      <c r="EL114" s="89">
        <v>2</v>
      </c>
      <c r="EM114" s="95" t="s">
        <v>4052</v>
      </c>
      <c r="EP114" s="89">
        <v>3</v>
      </c>
      <c r="EQ114" s="89">
        <v>2</v>
      </c>
      <c r="ER114" s="89">
        <v>2</v>
      </c>
      <c r="ES114" s="89">
        <v>2</v>
      </c>
      <c r="ET114" s="95" t="s">
        <v>4052</v>
      </c>
      <c r="EW114" s="89">
        <v>3</v>
      </c>
      <c r="EX114" s="89">
        <v>2</v>
      </c>
      <c r="EY114" s="89">
        <v>3</v>
      </c>
      <c r="EZ114" s="89">
        <v>2</v>
      </c>
      <c r="FA114" s="95" t="s">
        <v>4052</v>
      </c>
      <c r="FC114" s="89">
        <v>3</v>
      </c>
      <c r="FD114" s="89">
        <v>2</v>
      </c>
      <c r="FE114" s="89">
        <v>2</v>
      </c>
      <c r="FF114" s="89">
        <v>2</v>
      </c>
      <c r="FG114" s="95" t="s">
        <v>4052</v>
      </c>
      <c r="FI114" s="89">
        <v>3</v>
      </c>
      <c r="FJ114" s="89">
        <v>2</v>
      </c>
      <c r="FK114" s="89">
        <v>2</v>
      </c>
      <c r="FL114" s="89">
        <v>2</v>
      </c>
      <c r="FM114" s="95" t="s">
        <v>4052</v>
      </c>
      <c r="FO114" s="89">
        <v>3</v>
      </c>
      <c r="FP114" s="89">
        <v>2</v>
      </c>
      <c r="FQ114" s="89">
        <v>2</v>
      </c>
      <c r="FR114" s="89">
        <v>2</v>
      </c>
      <c r="FS114" s="95" t="s">
        <v>4052</v>
      </c>
      <c r="FU114" s="89">
        <v>3</v>
      </c>
      <c r="FV114" s="89">
        <v>2</v>
      </c>
      <c r="FW114" s="89">
        <v>2</v>
      </c>
      <c r="FX114" s="89">
        <v>2</v>
      </c>
      <c r="FY114" s="95" t="s">
        <v>4052</v>
      </c>
      <c r="GA114" s="89">
        <v>3</v>
      </c>
      <c r="GB114" s="89">
        <v>2</v>
      </c>
      <c r="GC114" s="89">
        <v>2</v>
      </c>
      <c r="GD114" s="89">
        <v>2</v>
      </c>
      <c r="GE114" s="95" t="s">
        <v>4052</v>
      </c>
      <c r="GG114" s="89">
        <v>3</v>
      </c>
      <c r="GH114" s="89">
        <v>2</v>
      </c>
      <c r="GI114" s="89">
        <v>2</v>
      </c>
      <c r="GJ114" s="89">
        <v>2</v>
      </c>
      <c r="GK114" s="95" t="s">
        <v>4052</v>
      </c>
      <c r="GM114" s="89">
        <v>3</v>
      </c>
      <c r="GN114" s="89">
        <v>2</v>
      </c>
      <c r="GO114" s="89">
        <v>2</v>
      </c>
      <c r="GP114" s="89">
        <v>2</v>
      </c>
      <c r="GS114" s="89">
        <v>3</v>
      </c>
      <c r="GT114" s="89">
        <v>2</v>
      </c>
      <c r="GU114" s="89">
        <v>2</v>
      </c>
      <c r="GV114" s="89">
        <v>2</v>
      </c>
      <c r="GX114" s="89">
        <v>3</v>
      </c>
      <c r="GY114" s="89">
        <v>2</v>
      </c>
      <c r="GZ114" s="89">
        <v>2</v>
      </c>
      <c r="HA114" s="89">
        <v>2</v>
      </c>
      <c r="HB114" s="89">
        <v>3</v>
      </c>
      <c r="HC114" s="89">
        <v>2</v>
      </c>
      <c r="HD114" s="89">
        <v>2</v>
      </c>
      <c r="HE114" s="89">
        <v>2</v>
      </c>
    </row>
    <row r="115" ht="28.8" spans="1:213">
      <c r="A115" s="89" t="s">
        <v>238</v>
      </c>
      <c r="B115" s="108" t="s">
        <v>322</v>
      </c>
      <c r="C115" s="125" t="s">
        <v>4183</v>
      </c>
      <c r="F115" s="89">
        <v>5</v>
      </c>
      <c r="G115" s="89">
        <v>5</v>
      </c>
      <c r="H115" s="89">
        <v>5</v>
      </c>
      <c r="I115" s="88">
        <v>5</v>
      </c>
      <c r="J115" s="125" t="s">
        <v>4183</v>
      </c>
      <c r="M115" s="89">
        <v>5</v>
      </c>
      <c r="N115" s="89">
        <v>5</v>
      </c>
      <c r="O115" s="89">
        <v>5</v>
      </c>
      <c r="P115" s="89">
        <v>4</v>
      </c>
      <c r="Q115" s="125" t="s">
        <v>4183</v>
      </c>
      <c r="T115" s="89">
        <v>5</v>
      </c>
      <c r="U115" s="89">
        <v>5</v>
      </c>
      <c r="V115" s="89">
        <v>5</v>
      </c>
      <c r="W115" s="89">
        <v>4</v>
      </c>
      <c r="X115" s="125" t="s">
        <v>4184</v>
      </c>
      <c r="AA115" s="89">
        <v>5</v>
      </c>
      <c r="AB115" s="89">
        <v>5</v>
      </c>
      <c r="AC115" s="89">
        <v>5</v>
      </c>
      <c r="AD115" s="89">
        <v>4</v>
      </c>
      <c r="AE115" s="125" t="s">
        <v>4507</v>
      </c>
      <c r="AH115" s="89">
        <v>5</v>
      </c>
      <c r="AI115" s="89">
        <v>5</v>
      </c>
      <c r="AJ115" s="89">
        <v>5</v>
      </c>
      <c r="AK115" s="89">
        <v>4</v>
      </c>
      <c r="AL115" s="125" t="s">
        <v>4184</v>
      </c>
      <c r="AO115" s="89">
        <v>5</v>
      </c>
      <c r="AP115" s="89">
        <v>5</v>
      </c>
      <c r="AQ115" s="89">
        <v>5</v>
      </c>
      <c r="AR115" s="89">
        <v>4</v>
      </c>
      <c r="AS115" s="125" t="s">
        <v>4184</v>
      </c>
      <c r="AV115" s="89">
        <v>5</v>
      </c>
      <c r="AW115" s="89">
        <v>5</v>
      </c>
      <c r="AX115" s="89">
        <v>5</v>
      </c>
      <c r="AY115" s="89">
        <v>4</v>
      </c>
      <c r="AZ115" s="125" t="s">
        <v>4184</v>
      </c>
      <c r="BC115" s="89">
        <v>5</v>
      </c>
      <c r="BD115" s="89">
        <v>5</v>
      </c>
      <c r="BE115" s="89">
        <v>5</v>
      </c>
      <c r="BF115" s="89">
        <v>4</v>
      </c>
      <c r="BG115" s="124" t="s">
        <v>4184</v>
      </c>
      <c r="BJ115" s="89">
        <v>5</v>
      </c>
      <c r="BK115" s="89">
        <v>5</v>
      </c>
      <c r="BL115" s="89">
        <v>5</v>
      </c>
      <c r="BM115" s="89">
        <v>4</v>
      </c>
      <c r="BN115" s="125" t="s">
        <v>4185</v>
      </c>
      <c r="BQ115" s="89">
        <v>5</v>
      </c>
      <c r="BR115" s="89">
        <v>5</v>
      </c>
      <c r="BS115" s="89">
        <v>5</v>
      </c>
      <c r="BT115" s="89">
        <v>4</v>
      </c>
      <c r="BU115" s="125" t="s">
        <v>4185</v>
      </c>
      <c r="BX115" s="89">
        <v>5</v>
      </c>
      <c r="BY115" s="89">
        <v>5</v>
      </c>
      <c r="BZ115" s="89">
        <v>5</v>
      </c>
      <c r="CA115" s="89">
        <v>4</v>
      </c>
      <c r="CB115" s="125" t="s">
        <v>4185</v>
      </c>
      <c r="CE115" s="89">
        <v>5</v>
      </c>
      <c r="CF115" s="89">
        <v>5</v>
      </c>
      <c r="CG115" s="89">
        <v>5</v>
      </c>
      <c r="CH115" s="89">
        <v>4</v>
      </c>
      <c r="CI115" s="125" t="s">
        <v>4185</v>
      </c>
      <c r="CL115" s="89">
        <v>5</v>
      </c>
      <c r="CM115" s="89">
        <v>5</v>
      </c>
      <c r="CN115" s="89">
        <v>5</v>
      </c>
      <c r="CO115" s="89">
        <v>4</v>
      </c>
      <c r="CP115" s="124" t="s">
        <v>4185</v>
      </c>
      <c r="CS115" s="88">
        <v>5</v>
      </c>
      <c r="CT115" s="89">
        <v>5</v>
      </c>
      <c r="CU115" s="89">
        <v>5</v>
      </c>
      <c r="CV115" s="89">
        <v>4</v>
      </c>
      <c r="CW115" s="125" t="s">
        <v>4052</v>
      </c>
      <c r="CZ115" s="89">
        <v>4</v>
      </c>
      <c r="DA115" s="89">
        <v>5</v>
      </c>
      <c r="DB115" s="89">
        <v>5</v>
      </c>
      <c r="DC115" s="89">
        <v>4</v>
      </c>
      <c r="DD115" s="125" t="s">
        <v>4052</v>
      </c>
      <c r="DG115" s="89">
        <v>4</v>
      </c>
      <c r="DH115" s="89">
        <v>5</v>
      </c>
      <c r="DI115" s="89">
        <v>5</v>
      </c>
      <c r="DJ115" s="89">
        <v>4</v>
      </c>
      <c r="DK115" s="95" t="s">
        <v>4052</v>
      </c>
      <c r="DN115" s="323">
        <v>4</v>
      </c>
      <c r="DO115" s="323">
        <v>5</v>
      </c>
      <c r="DP115" s="323">
        <v>5</v>
      </c>
      <c r="DQ115" s="323">
        <v>4</v>
      </c>
      <c r="DR115" s="194" t="s">
        <v>4052</v>
      </c>
      <c r="DU115" s="188">
        <v>4</v>
      </c>
      <c r="DV115" s="188">
        <v>6</v>
      </c>
      <c r="DW115" s="188">
        <v>6</v>
      </c>
      <c r="DX115" s="188">
        <v>5</v>
      </c>
      <c r="DY115" s="95" t="s">
        <v>4052</v>
      </c>
      <c r="EB115" s="89">
        <v>4</v>
      </c>
      <c r="EC115" s="89">
        <v>6</v>
      </c>
      <c r="ED115" s="89">
        <v>6</v>
      </c>
      <c r="EE115" s="89">
        <v>5</v>
      </c>
      <c r="EF115" s="95" t="s">
        <v>4052</v>
      </c>
      <c r="EI115" s="89">
        <v>4</v>
      </c>
      <c r="EJ115" s="89">
        <v>6</v>
      </c>
      <c r="EK115" s="89">
        <v>6</v>
      </c>
      <c r="EL115" s="89">
        <v>5</v>
      </c>
      <c r="EM115" s="95" t="s">
        <v>4052</v>
      </c>
      <c r="EP115" s="89">
        <v>4</v>
      </c>
      <c r="EQ115" s="89">
        <v>6</v>
      </c>
      <c r="ER115" s="89">
        <v>6</v>
      </c>
      <c r="ES115" s="89">
        <v>5</v>
      </c>
      <c r="ET115" s="95" t="s">
        <v>4052</v>
      </c>
      <c r="EW115" s="89">
        <v>4</v>
      </c>
      <c r="EX115" s="89">
        <v>5</v>
      </c>
      <c r="EY115" s="89">
        <v>6</v>
      </c>
      <c r="EZ115" s="89">
        <v>4</v>
      </c>
      <c r="FA115" s="95" t="s">
        <v>4052</v>
      </c>
      <c r="FC115" s="89">
        <v>4</v>
      </c>
      <c r="FD115" s="89">
        <v>5</v>
      </c>
      <c r="FE115" s="89">
        <v>5</v>
      </c>
      <c r="FF115" s="89">
        <v>6</v>
      </c>
      <c r="FG115" s="95" t="s">
        <v>4052</v>
      </c>
      <c r="FI115" s="89">
        <v>4</v>
      </c>
      <c r="FJ115" s="89">
        <v>5</v>
      </c>
      <c r="FK115" s="89">
        <v>5</v>
      </c>
      <c r="FL115" s="89">
        <v>6</v>
      </c>
      <c r="FM115" s="95" t="s">
        <v>4052</v>
      </c>
      <c r="FO115" s="89">
        <v>4</v>
      </c>
      <c r="FP115" s="89">
        <v>5</v>
      </c>
      <c r="FQ115" s="89">
        <v>5</v>
      </c>
      <c r="FR115" s="89">
        <v>6</v>
      </c>
      <c r="FS115" s="95" t="s">
        <v>4052</v>
      </c>
      <c r="FU115" s="89">
        <v>4</v>
      </c>
      <c r="FV115" s="89">
        <v>5</v>
      </c>
      <c r="FW115" s="89">
        <v>5</v>
      </c>
      <c r="FX115" s="89">
        <v>6</v>
      </c>
      <c r="FY115" s="95" t="s">
        <v>4052</v>
      </c>
      <c r="GA115" s="89">
        <v>4</v>
      </c>
      <c r="GB115" s="89">
        <v>5</v>
      </c>
      <c r="GC115" s="89">
        <v>5</v>
      </c>
      <c r="GD115" s="89">
        <v>6</v>
      </c>
      <c r="GE115" s="95" t="s">
        <v>4052</v>
      </c>
      <c r="GG115" s="89">
        <v>4</v>
      </c>
      <c r="GH115" s="89">
        <v>5</v>
      </c>
      <c r="GI115" s="89">
        <v>5</v>
      </c>
      <c r="GJ115" s="89">
        <v>6</v>
      </c>
      <c r="GK115" s="95" t="s">
        <v>4052</v>
      </c>
      <c r="GM115" s="89">
        <v>4</v>
      </c>
      <c r="GN115" s="89">
        <v>5</v>
      </c>
      <c r="GO115" s="89">
        <v>5</v>
      </c>
      <c r="GP115" s="89">
        <v>6</v>
      </c>
      <c r="GS115" s="89">
        <v>5</v>
      </c>
      <c r="GT115" s="89">
        <v>5</v>
      </c>
      <c r="GU115" s="89">
        <v>6</v>
      </c>
      <c r="GV115" s="89">
        <v>6</v>
      </c>
      <c r="GX115" s="89">
        <v>5</v>
      </c>
      <c r="GY115" s="89">
        <v>5</v>
      </c>
      <c r="GZ115" s="89">
        <v>6</v>
      </c>
      <c r="HA115" s="89">
        <v>6</v>
      </c>
      <c r="HB115" s="89">
        <v>5</v>
      </c>
      <c r="HC115" s="89">
        <v>5</v>
      </c>
      <c r="HD115" s="89">
        <v>6</v>
      </c>
      <c r="HE115" s="89">
        <v>6</v>
      </c>
    </row>
    <row r="116" spans="2:213">
      <c r="B116" s="108"/>
      <c r="DR116" s="194" t="s">
        <v>4508</v>
      </c>
      <c r="DU116" s="188">
        <v>3</v>
      </c>
      <c r="DV116" s="188">
        <v>1</v>
      </c>
      <c r="DW116" s="188">
        <v>1</v>
      </c>
      <c r="DX116" s="188">
        <v>1</v>
      </c>
      <c r="DY116" s="95" t="s">
        <v>4508</v>
      </c>
      <c r="EB116" s="89">
        <v>3</v>
      </c>
      <c r="EC116" s="89">
        <v>1</v>
      </c>
      <c r="ED116" s="89">
        <v>1</v>
      </c>
      <c r="EE116" s="89">
        <v>1</v>
      </c>
      <c r="EF116" s="95" t="s">
        <v>4508</v>
      </c>
      <c r="EI116" s="89">
        <v>3</v>
      </c>
      <c r="EJ116" s="89">
        <v>1</v>
      </c>
      <c r="EK116" s="89">
        <v>1</v>
      </c>
      <c r="EL116" s="89">
        <v>1</v>
      </c>
      <c r="EM116" s="95" t="s">
        <v>4508</v>
      </c>
      <c r="EP116" s="89">
        <v>3</v>
      </c>
      <c r="EQ116" s="89">
        <v>1</v>
      </c>
      <c r="ER116" s="89">
        <v>1</v>
      </c>
      <c r="ES116" s="89">
        <v>1</v>
      </c>
      <c r="ET116" s="95" t="s">
        <v>4508</v>
      </c>
      <c r="EW116" s="89">
        <v>3</v>
      </c>
      <c r="EX116" s="89">
        <v>1</v>
      </c>
      <c r="EY116" s="89">
        <v>1</v>
      </c>
      <c r="EZ116" s="89">
        <v>1</v>
      </c>
      <c r="FA116" s="95" t="s">
        <v>4508</v>
      </c>
      <c r="FC116" s="89">
        <v>3</v>
      </c>
      <c r="FD116" s="89">
        <v>1</v>
      </c>
      <c r="FE116" s="89">
        <v>1</v>
      </c>
      <c r="FF116" s="89">
        <v>1</v>
      </c>
      <c r="FG116" s="95" t="s">
        <v>4508</v>
      </c>
      <c r="FI116" s="89">
        <v>3</v>
      </c>
      <c r="FJ116" s="89">
        <v>1</v>
      </c>
      <c r="FK116" s="89">
        <v>1</v>
      </c>
      <c r="FL116" s="89">
        <v>1</v>
      </c>
      <c r="FM116" s="95" t="s">
        <v>4508</v>
      </c>
      <c r="FO116" s="89">
        <v>3</v>
      </c>
      <c r="FP116" s="89">
        <v>1</v>
      </c>
      <c r="FQ116" s="89">
        <v>1</v>
      </c>
      <c r="FR116" s="89">
        <v>1</v>
      </c>
      <c r="FS116" s="95" t="s">
        <v>4508</v>
      </c>
      <c r="FU116" s="89">
        <v>3</v>
      </c>
      <c r="FV116" s="89">
        <v>1</v>
      </c>
      <c r="FW116" s="89">
        <v>1</v>
      </c>
      <c r="FX116" s="89">
        <v>1</v>
      </c>
      <c r="FY116" s="95" t="s">
        <v>4508</v>
      </c>
      <c r="GA116" s="89">
        <v>3</v>
      </c>
      <c r="GB116" s="89">
        <v>1</v>
      </c>
      <c r="GC116" s="89">
        <v>1</v>
      </c>
      <c r="GD116" s="89">
        <v>1</v>
      </c>
      <c r="GE116" s="95" t="s">
        <v>4508</v>
      </c>
      <c r="GG116" s="89">
        <v>3</v>
      </c>
      <c r="GH116" s="89">
        <v>1</v>
      </c>
      <c r="GI116" s="89">
        <v>1</v>
      </c>
      <c r="GJ116" s="89">
        <v>1</v>
      </c>
      <c r="GK116" s="95" t="s">
        <v>4508</v>
      </c>
      <c r="GM116" s="89">
        <v>3</v>
      </c>
      <c r="GN116" s="89">
        <v>1</v>
      </c>
      <c r="GO116" s="89">
        <v>1</v>
      </c>
      <c r="GP116" s="89">
        <v>1</v>
      </c>
      <c r="GS116" s="89">
        <v>3</v>
      </c>
      <c r="GT116" s="89">
        <v>1</v>
      </c>
      <c r="GU116" s="89">
        <v>1</v>
      </c>
      <c r="GV116" s="89">
        <v>1</v>
      </c>
      <c r="GX116" s="89">
        <v>3</v>
      </c>
      <c r="GY116" s="89">
        <v>1</v>
      </c>
      <c r="GZ116" s="89">
        <v>1</v>
      </c>
      <c r="HA116" s="89">
        <v>1</v>
      </c>
      <c r="HB116" s="89">
        <v>3</v>
      </c>
      <c r="HC116" s="89">
        <v>1</v>
      </c>
      <c r="HD116" s="89">
        <v>1</v>
      </c>
      <c r="HE116" s="89">
        <v>1</v>
      </c>
    </row>
    <row r="119" customHeight="1" spans="1:213">
      <c r="A119" s="96" t="s">
        <v>168</v>
      </c>
      <c r="B119" s="96"/>
      <c r="C119" s="116" t="s">
        <v>3923</v>
      </c>
      <c r="D119" s="128"/>
      <c r="E119" s="128"/>
      <c r="F119" s="128"/>
      <c r="G119" s="128"/>
      <c r="H119" s="128"/>
      <c r="I119" s="132"/>
      <c r="J119" s="116" t="s">
        <v>3923</v>
      </c>
      <c r="K119" s="128"/>
      <c r="L119" s="128"/>
      <c r="M119" s="128"/>
      <c r="N119" s="128"/>
      <c r="O119" s="128"/>
      <c r="P119" s="132"/>
      <c r="Q119" s="116" t="s">
        <v>4083</v>
      </c>
      <c r="R119" s="128"/>
      <c r="S119" s="128"/>
      <c r="T119" s="128"/>
      <c r="U119" s="128"/>
      <c r="V119" s="128"/>
      <c r="W119" s="132"/>
      <c r="X119" s="116" t="s">
        <v>3925</v>
      </c>
      <c r="Y119" s="128"/>
      <c r="Z119" s="128"/>
      <c r="AA119" s="128"/>
      <c r="AB119" s="128"/>
      <c r="AC119" s="128"/>
      <c r="AD119" s="132"/>
      <c r="AE119" s="116" t="s">
        <v>3926</v>
      </c>
      <c r="AF119" s="128"/>
      <c r="AG119" s="128"/>
      <c r="AH119" s="128"/>
      <c r="AI119" s="128"/>
      <c r="AJ119" s="128"/>
      <c r="AK119" s="132"/>
      <c r="AL119" s="116" t="s">
        <v>3927</v>
      </c>
      <c r="AM119" s="128"/>
      <c r="AN119" s="128"/>
      <c r="AO119" s="128"/>
      <c r="AP119" s="128"/>
      <c r="AQ119" s="128"/>
      <c r="AR119" s="132"/>
      <c r="AS119" s="116" t="s">
        <v>3928</v>
      </c>
      <c r="AT119" s="128"/>
      <c r="AU119" s="128"/>
      <c r="AV119" s="128"/>
      <c r="AW119" s="128"/>
      <c r="AX119" s="128"/>
      <c r="AY119" s="132"/>
      <c r="AZ119" s="116" t="s">
        <v>3929</v>
      </c>
      <c r="BA119" s="128"/>
      <c r="BB119" s="128"/>
      <c r="BC119" s="128"/>
      <c r="BD119" s="128"/>
      <c r="BE119" s="128"/>
      <c r="BF119" s="132"/>
      <c r="BG119" s="116" t="s">
        <v>3930</v>
      </c>
      <c r="BH119" s="128"/>
      <c r="BI119" s="128"/>
      <c r="BJ119" s="128"/>
      <c r="BK119" s="128"/>
      <c r="BL119" s="128"/>
      <c r="BM119" s="132"/>
      <c r="BN119" s="116" t="s">
        <v>3931</v>
      </c>
      <c r="BO119" s="128"/>
      <c r="BP119" s="128"/>
      <c r="BQ119" s="128"/>
      <c r="BR119" s="128"/>
      <c r="BS119" s="128"/>
      <c r="BT119" s="132"/>
      <c r="BU119" s="116" t="s">
        <v>3932</v>
      </c>
      <c r="BV119" s="128"/>
      <c r="BW119" s="128"/>
      <c r="BX119" s="128"/>
      <c r="BY119" s="128"/>
      <c r="BZ119" s="128"/>
      <c r="CA119" s="132"/>
      <c r="CB119" s="116" t="s">
        <v>3933</v>
      </c>
      <c r="CC119" s="128"/>
      <c r="CD119" s="128"/>
      <c r="CE119" s="128"/>
      <c r="CF119" s="128"/>
      <c r="CG119" s="128"/>
      <c r="CH119" s="132"/>
      <c r="CI119" s="116" t="s">
        <v>3922</v>
      </c>
      <c r="CJ119" s="128"/>
      <c r="CK119" s="128"/>
      <c r="CL119" s="128"/>
      <c r="CM119" s="128"/>
      <c r="CN119" s="128"/>
      <c r="CO119" s="132"/>
      <c r="CP119" s="116" t="s">
        <v>3934</v>
      </c>
      <c r="CQ119" s="128"/>
      <c r="CR119" s="128"/>
      <c r="CS119" s="128"/>
      <c r="CT119" s="128"/>
      <c r="CU119" s="128"/>
      <c r="CV119" s="132"/>
      <c r="CW119" s="116" t="s">
        <v>3924</v>
      </c>
      <c r="CX119" s="128"/>
      <c r="CY119" s="128"/>
      <c r="CZ119" s="128"/>
      <c r="DA119" s="128"/>
      <c r="DB119" s="128"/>
      <c r="DC119" s="132"/>
      <c r="DD119" s="116" t="s">
        <v>3935</v>
      </c>
      <c r="DE119" s="128"/>
      <c r="DF119" s="128"/>
      <c r="DG119" s="128"/>
      <c r="DH119" s="128"/>
      <c r="DI119" s="128"/>
      <c r="DJ119" s="132"/>
      <c r="DK119" s="116" t="s">
        <v>3936</v>
      </c>
      <c r="DL119" s="128"/>
      <c r="DM119" s="128"/>
      <c r="DN119" s="128"/>
      <c r="DO119" s="128"/>
      <c r="DP119" s="128"/>
      <c r="DQ119" s="132"/>
      <c r="DR119" s="325" t="s">
        <v>3937</v>
      </c>
      <c r="DS119" s="326"/>
      <c r="DT119" s="326"/>
      <c r="DU119" s="326"/>
      <c r="DV119" s="326"/>
      <c r="DW119" s="326"/>
      <c r="DX119" s="327"/>
      <c r="DY119" s="116" t="s">
        <v>3928</v>
      </c>
      <c r="DZ119" s="128"/>
      <c r="EA119" s="128"/>
      <c r="EB119" s="128"/>
      <c r="EC119" s="128"/>
      <c r="ED119" s="128"/>
      <c r="EE119" s="132"/>
      <c r="EF119" s="116" t="s">
        <v>3929</v>
      </c>
      <c r="EG119" s="128"/>
      <c r="EH119" s="128"/>
      <c r="EI119" s="128"/>
      <c r="EJ119" s="128"/>
      <c r="EK119" s="128"/>
      <c r="EL119" s="132"/>
      <c r="EM119" s="116" t="s">
        <v>4084</v>
      </c>
      <c r="EN119" s="128"/>
      <c r="EO119" s="128"/>
      <c r="EP119" s="128"/>
      <c r="EQ119" s="128"/>
      <c r="ER119" s="128"/>
      <c r="ES119" s="132"/>
      <c r="EU119" s="332"/>
      <c r="EV119" s="332"/>
      <c r="EW119" s="116" t="s">
        <v>4085</v>
      </c>
      <c r="EX119" s="128"/>
      <c r="EY119" s="128"/>
      <c r="EZ119" s="132"/>
      <c r="FB119" s="332"/>
      <c r="FC119" s="116" t="s">
        <v>4086</v>
      </c>
      <c r="FD119" s="128"/>
      <c r="FE119" s="128"/>
      <c r="FF119" s="132"/>
      <c r="FH119" s="332"/>
      <c r="FI119" s="116" t="s">
        <v>4087</v>
      </c>
      <c r="FJ119" s="128"/>
      <c r="FK119" s="128"/>
      <c r="FL119" s="132"/>
      <c r="FN119" s="332"/>
      <c r="FO119" s="116" t="s">
        <v>4088</v>
      </c>
      <c r="FP119" s="128"/>
      <c r="FQ119" s="128"/>
      <c r="FR119" s="132"/>
      <c r="FT119" s="332"/>
      <c r="FU119" s="116" t="s">
        <v>4089</v>
      </c>
      <c r="FV119" s="128"/>
      <c r="FW119" s="128"/>
      <c r="FX119" s="132"/>
      <c r="FZ119" s="332"/>
      <c r="GA119" s="116" t="s">
        <v>4090</v>
      </c>
      <c r="GB119" s="128"/>
      <c r="GC119" s="128"/>
      <c r="GD119" s="132"/>
      <c r="GF119" s="332"/>
      <c r="GG119" s="116" t="s">
        <v>4091</v>
      </c>
      <c r="GH119" s="128"/>
      <c r="GI119" s="128"/>
      <c r="GJ119" s="132"/>
      <c r="GL119" s="332"/>
      <c r="GM119" s="116" t="s">
        <v>3941</v>
      </c>
      <c r="GN119" s="128"/>
      <c r="GO119" s="128"/>
      <c r="GP119" s="132"/>
      <c r="GR119" s="332"/>
      <c r="GS119" s="116" t="s">
        <v>3941</v>
      </c>
      <c r="GT119" s="128"/>
      <c r="GU119" s="128"/>
      <c r="GV119" s="132"/>
      <c r="GW119" s="128"/>
      <c r="GX119" s="116" t="s">
        <v>3942</v>
      </c>
      <c r="GY119" s="128"/>
      <c r="GZ119" s="128"/>
      <c r="HA119" s="132"/>
      <c r="HB119" s="116" t="s">
        <v>3943</v>
      </c>
      <c r="HC119" s="128"/>
      <c r="HD119" s="128"/>
      <c r="HE119" s="132"/>
    </row>
    <row r="120" ht="28.2" spans="1:213">
      <c r="A120" s="101" t="s">
        <v>3944</v>
      </c>
      <c r="B120" s="102" t="s">
        <v>207</v>
      </c>
      <c r="C120" s="120" t="s">
        <v>3945</v>
      </c>
      <c r="D120" s="120" t="s">
        <v>3946</v>
      </c>
      <c r="E120" s="313" t="s">
        <v>3947</v>
      </c>
      <c r="F120" s="119" t="s">
        <v>3948</v>
      </c>
      <c r="G120" s="119" t="s">
        <v>3949</v>
      </c>
      <c r="H120" s="119" t="s">
        <v>3950</v>
      </c>
      <c r="I120" s="119" t="s">
        <v>3951</v>
      </c>
      <c r="J120" s="120" t="s">
        <v>3945</v>
      </c>
      <c r="K120" s="120" t="s">
        <v>3946</v>
      </c>
      <c r="L120" s="313" t="s">
        <v>3947</v>
      </c>
      <c r="M120" s="119" t="s">
        <v>3948</v>
      </c>
      <c r="N120" s="119" t="s">
        <v>3949</v>
      </c>
      <c r="O120" s="119" t="s">
        <v>3950</v>
      </c>
      <c r="P120" s="119" t="s">
        <v>3951</v>
      </c>
      <c r="Q120" s="120" t="s">
        <v>3945</v>
      </c>
      <c r="R120" s="120" t="s">
        <v>3946</v>
      </c>
      <c r="S120" s="313" t="s">
        <v>3947</v>
      </c>
      <c r="T120" s="119" t="s">
        <v>3948</v>
      </c>
      <c r="U120" s="119" t="s">
        <v>3949</v>
      </c>
      <c r="V120" s="119" t="s">
        <v>3950</v>
      </c>
      <c r="W120" s="119" t="s">
        <v>3951</v>
      </c>
      <c r="X120" s="120" t="s">
        <v>3952</v>
      </c>
      <c r="Y120" s="120" t="s">
        <v>3953</v>
      </c>
      <c r="Z120" s="313" t="s">
        <v>3947</v>
      </c>
      <c r="AA120" s="119" t="s">
        <v>3948</v>
      </c>
      <c r="AB120" s="119" t="s">
        <v>3949</v>
      </c>
      <c r="AC120" s="119" t="s">
        <v>3950</v>
      </c>
      <c r="AD120" s="119" t="s">
        <v>3951</v>
      </c>
      <c r="AE120" s="120" t="s">
        <v>3954</v>
      </c>
      <c r="AF120" s="120" t="s">
        <v>3955</v>
      </c>
      <c r="AG120" s="313" t="s">
        <v>3947</v>
      </c>
      <c r="AH120" s="119" t="s">
        <v>3948</v>
      </c>
      <c r="AI120" s="119" t="s">
        <v>3949</v>
      </c>
      <c r="AJ120" s="119" t="s">
        <v>3950</v>
      </c>
      <c r="AK120" s="119" t="s">
        <v>3951</v>
      </c>
      <c r="AL120" s="120" t="s">
        <v>3956</v>
      </c>
      <c r="AM120" s="120" t="s">
        <v>3957</v>
      </c>
      <c r="AN120" s="119" t="s">
        <v>3947</v>
      </c>
      <c r="AO120" s="119" t="s">
        <v>3948</v>
      </c>
      <c r="AP120" s="119" t="s">
        <v>3949</v>
      </c>
      <c r="AQ120" s="119" t="s">
        <v>3950</v>
      </c>
      <c r="AR120" s="119" t="s">
        <v>3951</v>
      </c>
      <c r="AS120" s="120" t="s">
        <v>3958</v>
      </c>
      <c r="AT120" s="120" t="s">
        <v>3959</v>
      </c>
      <c r="AU120" s="119" t="s">
        <v>3947</v>
      </c>
      <c r="AV120" s="119" t="s">
        <v>3948</v>
      </c>
      <c r="AW120" s="119" t="s">
        <v>3949</v>
      </c>
      <c r="AX120" s="119" t="s">
        <v>3950</v>
      </c>
      <c r="AY120" s="119" t="s">
        <v>3951</v>
      </c>
      <c r="AZ120" s="120" t="s">
        <v>3960</v>
      </c>
      <c r="BA120" s="120" t="s">
        <v>3961</v>
      </c>
      <c r="BB120" s="119" t="s">
        <v>3947</v>
      </c>
      <c r="BC120" s="119" t="s">
        <v>3948</v>
      </c>
      <c r="BD120" s="119" t="s">
        <v>3949</v>
      </c>
      <c r="BE120" s="119" t="s">
        <v>3950</v>
      </c>
      <c r="BF120" s="119" t="s">
        <v>3951</v>
      </c>
      <c r="BG120" s="120" t="s">
        <v>3962</v>
      </c>
      <c r="BH120" s="120" t="s">
        <v>3963</v>
      </c>
      <c r="BI120" s="119" t="s">
        <v>3947</v>
      </c>
      <c r="BJ120" s="119" t="s">
        <v>3948</v>
      </c>
      <c r="BK120" s="119" t="s">
        <v>3949</v>
      </c>
      <c r="BL120" s="119" t="s">
        <v>3950</v>
      </c>
      <c r="BM120" s="119" t="s">
        <v>3951</v>
      </c>
      <c r="BN120" s="120" t="s">
        <v>3964</v>
      </c>
      <c r="BO120" s="120" t="s">
        <v>3965</v>
      </c>
      <c r="BP120" s="119" t="s">
        <v>3947</v>
      </c>
      <c r="BQ120" s="119" t="s">
        <v>3948</v>
      </c>
      <c r="BR120" s="119" t="s">
        <v>3949</v>
      </c>
      <c r="BS120" s="119" t="s">
        <v>3950</v>
      </c>
      <c r="BT120" s="119" t="s">
        <v>3951</v>
      </c>
      <c r="BU120" s="120" t="s">
        <v>3966</v>
      </c>
      <c r="BV120" s="120" t="s">
        <v>3967</v>
      </c>
      <c r="BW120" s="119" t="s">
        <v>3947</v>
      </c>
      <c r="BX120" s="119" t="s">
        <v>3948</v>
      </c>
      <c r="BY120" s="119" t="s">
        <v>3949</v>
      </c>
      <c r="BZ120" s="119" t="s">
        <v>3950</v>
      </c>
      <c r="CA120" s="119" t="s">
        <v>3951</v>
      </c>
      <c r="CB120" s="120" t="s">
        <v>3968</v>
      </c>
      <c r="CC120" s="120" t="s">
        <v>3969</v>
      </c>
      <c r="CD120" s="119" t="s">
        <v>3947</v>
      </c>
      <c r="CE120" s="119" t="s">
        <v>3948</v>
      </c>
      <c r="CF120" s="119" t="s">
        <v>3949</v>
      </c>
      <c r="CG120" s="119" t="s">
        <v>3950</v>
      </c>
      <c r="CH120" s="119" t="s">
        <v>3951</v>
      </c>
      <c r="CI120" s="120" t="s">
        <v>3970</v>
      </c>
      <c r="CJ120" s="120" t="s">
        <v>3971</v>
      </c>
      <c r="CK120" s="119" t="s">
        <v>3947</v>
      </c>
      <c r="CL120" s="119" t="s">
        <v>3948</v>
      </c>
      <c r="CM120" s="119" t="s">
        <v>3949</v>
      </c>
      <c r="CN120" s="119" t="s">
        <v>3950</v>
      </c>
      <c r="CO120" s="119" t="s">
        <v>3951</v>
      </c>
      <c r="CP120" s="120" t="s">
        <v>3972</v>
      </c>
      <c r="CQ120" s="120" t="s">
        <v>3973</v>
      </c>
      <c r="CR120" s="119" t="s">
        <v>3947</v>
      </c>
      <c r="CS120" s="119" t="s">
        <v>3948</v>
      </c>
      <c r="CT120" s="119" t="s">
        <v>3949</v>
      </c>
      <c r="CU120" s="119" t="s">
        <v>3950</v>
      </c>
      <c r="CV120" s="119" t="s">
        <v>3951</v>
      </c>
      <c r="CW120" s="120" t="s">
        <v>3974</v>
      </c>
      <c r="CX120" s="120" t="s">
        <v>3975</v>
      </c>
      <c r="CY120" s="119" t="s">
        <v>3947</v>
      </c>
      <c r="CZ120" s="119" t="s">
        <v>3948</v>
      </c>
      <c r="DA120" s="119" t="s">
        <v>3949</v>
      </c>
      <c r="DB120" s="119" t="s">
        <v>3950</v>
      </c>
      <c r="DC120" s="119" t="s">
        <v>3951</v>
      </c>
      <c r="DD120" s="120" t="s">
        <v>3974</v>
      </c>
      <c r="DE120" s="120" t="s">
        <v>3975</v>
      </c>
      <c r="DF120" s="119" t="s">
        <v>3947</v>
      </c>
      <c r="DG120" s="119" t="s">
        <v>3948</v>
      </c>
      <c r="DH120" s="119" t="s">
        <v>3949</v>
      </c>
      <c r="DI120" s="119" t="s">
        <v>3950</v>
      </c>
      <c r="DJ120" s="119" t="s">
        <v>3951</v>
      </c>
      <c r="DK120" s="120" t="s">
        <v>3976</v>
      </c>
      <c r="DL120" s="120" t="s">
        <v>3977</v>
      </c>
      <c r="DM120" s="119" t="s">
        <v>3947</v>
      </c>
      <c r="DN120" s="119" t="s">
        <v>3948</v>
      </c>
      <c r="DO120" s="119" t="s">
        <v>3949</v>
      </c>
      <c r="DP120" s="119" t="s">
        <v>3950</v>
      </c>
      <c r="DQ120" s="119" t="s">
        <v>3951</v>
      </c>
      <c r="DR120" s="328" t="s">
        <v>3978</v>
      </c>
      <c r="DS120" s="328" t="s">
        <v>3979</v>
      </c>
      <c r="DT120" s="313" t="s">
        <v>3947</v>
      </c>
      <c r="DU120" s="313" t="s">
        <v>3948</v>
      </c>
      <c r="DV120" s="313" t="s">
        <v>3949</v>
      </c>
      <c r="DW120" s="313" t="s">
        <v>3950</v>
      </c>
      <c r="DX120" s="313" t="s">
        <v>3951</v>
      </c>
      <c r="DY120" s="120" t="s">
        <v>3980</v>
      </c>
      <c r="DZ120" s="120" t="s">
        <v>3981</v>
      </c>
      <c r="EA120" s="119" t="s">
        <v>3947</v>
      </c>
      <c r="EB120" s="119" t="s">
        <v>3948</v>
      </c>
      <c r="EC120" s="119" t="s">
        <v>3949</v>
      </c>
      <c r="ED120" s="119" t="s">
        <v>3950</v>
      </c>
      <c r="EE120" s="119" t="s">
        <v>3951</v>
      </c>
      <c r="EF120" s="120" t="s">
        <v>3982</v>
      </c>
      <c r="EG120" s="120" t="s">
        <v>3983</v>
      </c>
      <c r="EH120" s="119" t="s">
        <v>3947</v>
      </c>
      <c r="EI120" s="119" t="s">
        <v>3948</v>
      </c>
      <c r="EJ120" s="119" t="s">
        <v>3949</v>
      </c>
      <c r="EK120" s="119" t="s">
        <v>3950</v>
      </c>
      <c r="EL120" s="119" t="s">
        <v>3951</v>
      </c>
      <c r="EM120" s="120" t="s">
        <v>3984</v>
      </c>
      <c r="EN120" s="120" t="s">
        <v>3985</v>
      </c>
      <c r="EO120" s="120"/>
      <c r="EP120" s="119" t="s">
        <v>3948</v>
      </c>
      <c r="EQ120" s="119" t="s">
        <v>3949</v>
      </c>
      <c r="ER120" s="119" t="s">
        <v>3950</v>
      </c>
      <c r="ES120" s="119" t="s">
        <v>3951</v>
      </c>
      <c r="ET120" s="120" t="s">
        <v>3986</v>
      </c>
      <c r="EU120" s="120" t="s">
        <v>3987</v>
      </c>
      <c r="EV120" s="120"/>
      <c r="EW120" s="119" t="s">
        <v>3948</v>
      </c>
      <c r="EX120" s="119" t="s">
        <v>3949</v>
      </c>
      <c r="EY120" s="119" t="s">
        <v>3950</v>
      </c>
      <c r="EZ120" s="119" t="s">
        <v>3951</v>
      </c>
      <c r="FA120" s="120" t="s">
        <v>3988</v>
      </c>
      <c r="FB120" s="120" t="s">
        <v>3989</v>
      </c>
      <c r="FC120" s="119" t="s">
        <v>3948</v>
      </c>
      <c r="FD120" s="119" t="s">
        <v>3949</v>
      </c>
      <c r="FE120" s="119" t="s">
        <v>3950</v>
      </c>
      <c r="FF120" s="119" t="s">
        <v>3951</v>
      </c>
      <c r="FG120" s="120" t="s">
        <v>3990</v>
      </c>
      <c r="FH120" s="120" t="s">
        <v>3991</v>
      </c>
      <c r="FI120" s="119" t="s">
        <v>3948</v>
      </c>
      <c r="FJ120" s="119" t="s">
        <v>3949</v>
      </c>
      <c r="FK120" s="119" t="s">
        <v>3950</v>
      </c>
      <c r="FL120" s="119" t="s">
        <v>3951</v>
      </c>
      <c r="FM120" s="120" t="s">
        <v>3992</v>
      </c>
      <c r="FN120" s="120" t="s">
        <v>3993</v>
      </c>
      <c r="FO120" s="119" t="s">
        <v>3948</v>
      </c>
      <c r="FP120" s="119" t="s">
        <v>3949</v>
      </c>
      <c r="FQ120" s="119" t="s">
        <v>3950</v>
      </c>
      <c r="FR120" s="119" t="s">
        <v>3951</v>
      </c>
      <c r="FS120" s="120" t="s">
        <v>3994</v>
      </c>
      <c r="FT120" s="120" t="s">
        <v>3995</v>
      </c>
      <c r="FU120" s="119" t="s">
        <v>3948</v>
      </c>
      <c r="FV120" s="119" t="s">
        <v>3949</v>
      </c>
      <c r="FW120" s="119" t="s">
        <v>3950</v>
      </c>
      <c r="FX120" s="119" t="s">
        <v>3951</v>
      </c>
      <c r="FY120" s="120" t="s">
        <v>3996</v>
      </c>
      <c r="FZ120" s="120" t="s">
        <v>3997</v>
      </c>
      <c r="GA120" s="119" t="s">
        <v>3948</v>
      </c>
      <c r="GB120" s="119" t="s">
        <v>3949</v>
      </c>
      <c r="GC120" s="119" t="s">
        <v>3950</v>
      </c>
      <c r="GD120" s="119" t="s">
        <v>3951</v>
      </c>
      <c r="GE120" s="120" t="s">
        <v>3998</v>
      </c>
      <c r="GF120" s="120" t="s">
        <v>3999</v>
      </c>
      <c r="GG120" s="119" t="s">
        <v>3948</v>
      </c>
      <c r="GH120" s="119" t="s">
        <v>3949</v>
      </c>
      <c r="GI120" s="119" t="s">
        <v>3950</v>
      </c>
      <c r="GJ120" s="119" t="s">
        <v>3951</v>
      </c>
      <c r="GK120" s="120" t="s">
        <v>4000</v>
      </c>
      <c r="GL120" s="120" t="s">
        <v>4001</v>
      </c>
      <c r="GM120" s="119" t="s">
        <v>3948</v>
      </c>
      <c r="GN120" s="119" t="s">
        <v>3949</v>
      </c>
      <c r="GO120" s="119" t="s">
        <v>3950</v>
      </c>
      <c r="GP120" s="119" t="s">
        <v>3951</v>
      </c>
      <c r="GQ120" s="120" t="s">
        <v>4002</v>
      </c>
      <c r="GR120" s="120" t="s">
        <v>4003</v>
      </c>
      <c r="GS120" s="119" t="s">
        <v>3948</v>
      </c>
      <c r="GT120" s="119" t="s">
        <v>3949</v>
      </c>
      <c r="GU120" s="119" t="s">
        <v>3950</v>
      </c>
      <c r="GV120" s="119" t="s">
        <v>3951</v>
      </c>
      <c r="GW120" s="119"/>
      <c r="GX120" s="119" t="s">
        <v>3948</v>
      </c>
      <c r="GY120" s="119" t="s">
        <v>3949</v>
      </c>
      <c r="GZ120" s="119" t="s">
        <v>3950</v>
      </c>
      <c r="HA120" s="119" t="s">
        <v>3951</v>
      </c>
      <c r="HB120" s="119" t="s">
        <v>3948</v>
      </c>
      <c r="HC120" s="119" t="s">
        <v>3949</v>
      </c>
      <c r="HD120" s="119" t="s">
        <v>3950</v>
      </c>
      <c r="HE120" s="119" t="s">
        <v>3951</v>
      </c>
    </row>
    <row r="121" ht="124.2" spans="1:213">
      <c r="A121" s="88" t="s">
        <v>227</v>
      </c>
      <c r="B121" s="160" t="s">
        <v>593</v>
      </c>
      <c r="D121" s="126"/>
      <c r="E121" s="194" t="s">
        <v>4509</v>
      </c>
      <c r="F121" s="89">
        <v>1</v>
      </c>
      <c r="G121" s="88">
        <v>3</v>
      </c>
      <c r="H121" s="88">
        <v>3</v>
      </c>
      <c r="I121" s="88">
        <v>3</v>
      </c>
      <c r="K121" s="126"/>
      <c r="L121" s="194" t="s">
        <v>4509</v>
      </c>
      <c r="M121" s="88">
        <v>1</v>
      </c>
      <c r="N121" s="89">
        <v>2</v>
      </c>
      <c r="O121" s="89">
        <v>2</v>
      </c>
      <c r="P121" s="88">
        <v>2</v>
      </c>
      <c r="R121" s="126"/>
      <c r="S121" s="194" t="s">
        <v>4509</v>
      </c>
      <c r="T121" s="89">
        <v>2</v>
      </c>
      <c r="U121" s="89">
        <v>2</v>
      </c>
      <c r="V121" s="89">
        <v>2</v>
      </c>
      <c r="W121" s="89">
        <v>3</v>
      </c>
      <c r="X121" s="95" t="s">
        <v>4510</v>
      </c>
      <c r="Y121" s="126"/>
      <c r="Z121" s="194" t="s">
        <v>4509</v>
      </c>
      <c r="AA121" s="89">
        <v>2</v>
      </c>
      <c r="AB121" s="89">
        <v>2</v>
      </c>
      <c r="AC121" s="89">
        <v>2</v>
      </c>
      <c r="AD121" s="89">
        <v>3</v>
      </c>
      <c r="AE121" s="95" t="s">
        <v>4510</v>
      </c>
      <c r="AF121" s="126"/>
      <c r="AG121" s="194" t="s">
        <v>4509</v>
      </c>
      <c r="AH121" s="89">
        <v>2</v>
      </c>
      <c r="AI121" s="89">
        <v>2</v>
      </c>
      <c r="AJ121" s="89">
        <v>2</v>
      </c>
      <c r="AK121" s="89">
        <v>3</v>
      </c>
      <c r="AL121" s="95" t="s">
        <v>4510</v>
      </c>
      <c r="AM121" s="126" t="s">
        <v>4009</v>
      </c>
      <c r="AN121" s="95" t="s">
        <v>4511</v>
      </c>
      <c r="AO121" s="89">
        <v>2</v>
      </c>
      <c r="AP121" s="89">
        <v>2</v>
      </c>
      <c r="AQ121" s="89">
        <v>2</v>
      </c>
      <c r="AR121" s="89">
        <v>3</v>
      </c>
      <c r="AS121" s="95" t="s">
        <v>4510</v>
      </c>
      <c r="AT121" s="95" t="s">
        <v>4512</v>
      </c>
      <c r="AU121" s="95" t="s">
        <v>4513</v>
      </c>
      <c r="AV121" s="89">
        <v>2</v>
      </c>
      <c r="AW121" s="89">
        <v>2</v>
      </c>
      <c r="AX121" s="89">
        <v>2</v>
      </c>
      <c r="AY121" s="89">
        <v>3</v>
      </c>
      <c r="AZ121" s="95" t="s">
        <v>4510</v>
      </c>
      <c r="BA121" s="126" t="s">
        <v>4514</v>
      </c>
      <c r="BB121" s="95" t="s">
        <v>4515</v>
      </c>
      <c r="BC121" s="89">
        <v>2</v>
      </c>
      <c r="BD121" s="89">
        <v>2</v>
      </c>
      <c r="BE121" s="89">
        <v>2</v>
      </c>
      <c r="BF121" s="89">
        <v>3</v>
      </c>
      <c r="BG121" s="95" t="s">
        <v>4510</v>
      </c>
      <c r="BH121" s="95" t="s">
        <v>4516</v>
      </c>
      <c r="BI121" s="95" t="s">
        <v>4517</v>
      </c>
      <c r="BJ121" s="89">
        <v>2</v>
      </c>
      <c r="BK121" s="89">
        <v>2</v>
      </c>
      <c r="BL121" s="89">
        <v>2</v>
      </c>
      <c r="BM121" s="89">
        <v>3</v>
      </c>
      <c r="BN121" s="126" t="s">
        <v>4518</v>
      </c>
      <c r="BO121" s="95" t="s">
        <v>4516</v>
      </c>
      <c r="BP121" s="95" t="s">
        <v>4517</v>
      </c>
      <c r="BQ121" s="89">
        <v>2</v>
      </c>
      <c r="BR121" s="89">
        <v>2</v>
      </c>
      <c r="BS121" s="89">
        <v>2</v>
      </c>
      <c r="BT121" s="89">
        <v>3</v>
      </c>
      <c r="BV121" s="95" t="s">
        <v>4516</v>
      </c>
      <c r="BW121" s="95" t="s">
        <v>4517</v>
      </c>
      <c r="BX121" s="89">
        <v>2</v>
      </c>
      <c r="BY121" s="89">
        <v>2</v>
      </c>
      <c r="BZ121" s="89">
        <v>2</v>
      </c>
      <c r="CA121" s="89">
        <v>3</v>
      </c>
      <c r="CC121" s="95" t="s">
        <v>4516</v>
      </c>
      <c r="CD121" s="95" t="s">
        <v>4517</v>
      </c>
      <c r="CE121" s="89">
        <v>2</v>
      </c>
      <c r="CF121" s="89">
        <v>2</v>
      </c>
      <c r="CG121" s="89">
        <v>2</v>
      </c>
      <c r="CH121" s="88">
        <v>3</v>
      </c>
      <c r="CJ121" s="95" t="s">
        <v>4516</v>
      </c>
      <c r="CK121" s="95" t="s">
        <v>4517</v>
      </c>
      <c r="CL121" s="89">
        <v>2</v>
      </c>
      <c r="CM121" s="89">
        <v>2</v>
      </c>
      <c r="CN121" s="89">
        <v>2</v>
      </c>
      <c r="CO121" s="88">
        <v>3</v>
      </c>
      <c r="CQ121" s="126" t="s">
        <v>4519</v>
      </c>
      <c r="CR121" s="95" t="s">
        <v>4520</v>
      </c>
      <c r="CS121" s="89">
        <v>2</v>
      </c>
      <c r="CT121" s="89">
        <v>2</v>
      </c>
      <c r="CU121" s="89">
        <v>2</v>
      </c>
      <c r="CV121" s="89">
        <v>2</v>
      </c>
      <c r="CW121" s="95" t="s">
        <v>4521</v>
      </c>
      <c r="CX121" s="95" t="s">
        <v>4079</v>
      </c>
      <c r="CY121" s="95" t="s">
        <v>4077</v>
      </c>
      <c r="CZ121" s="89">
        <v>2</v>
      </c>
      <c r="DA121" s="89">
        <v>2</v>
      </c>
      <c r="DB121" s="89">
        <v>2</v>
      </c>
      <c r="DC121" s="89">
        <v>2</v>
      </c>
      <c r="DD121" s="95" t="s">
        <v>4521</v>
      </c>
      <c r="DE121" s="126" t="s">
        <v>4080</v>
      </c>
      <c r="DF121" s="126" t="s">
        <v>4077</v>
      </c>
      <c r="DG121" s="89">
        <v>2</v>
      </c>
      <c r="DH121" s="89">
        <v>2</v>
      </c>
      <c r="DI121" s="89">
        <v>2</v>
      </c>
      <c r="DJ121" s="89">
        <v>2</v>
      </c>
      <c r="DK121" s="126" t="s">
        <v>4522</v>
      </c>
      <c r="DL121" s="126" t="s">
        <v>4412</v>
      </c>
      <c r="DM121" s="126" t="s">
        <v>49</v>
      </c>
      <c r="DN121" s="89">
        <v>2</v>
      </c>
      <c r="DO121" s="89">
        <v>2</v>
      </c>
      <c r="DP121" s="89">
        <v>2</v>
      </c>
      <c r="DQ121" s="88">
        <v>2</v>
      </c>
      <c r="DR121" s="194" t="s">
        <v>4523</v>
      </c>
      <c r="DS121" s="316"/>
      <c r="DT121" s="194" t="s">
        <v>4414</v>
      </c>
      <c r="DU121" s="188">
        <v>2</v>
      </c>
      <c r="DV121" s="188">
        <v>2</v>
      </c>
      <c r="DW121" s="188">
        <v>2</v>
      </c>
      <c r="DX121" s="188">
        <v>3</v>
      </c>
      <c r="DY121" s="95" t="s">
        <v>4524</v>
      </c>
      <c r="DZ121" s="125"/>
      <c r="EA121" s="95" t="s">
        <v>4414</v>
      </c>
      <c r="EB121" s="89">
        <v>2</v>
      </c>
      <c r="EC121" s="89">
        <v>2</v>
      </c>
      <c r="ED121" s="89">
        <v>2</v>
      </c>
      <c r="EE121" s="88">
        <v>3</v>
      </c>
      <c r="EF121" s="126" t="s">
        <v>4525</v>
      </c>
      <c r="EG121" s="125"/>
      <c r="EH121" s="95" t="s">
        <v>4414</v>
      </c>
      <c r="EI121" s="89">
        <v>2</v>
      </c>
      <c r="EJ121" s="89">
        <v>2</v>
      </c>
      <c r="EK121" s="89">
        <v>2</v>
      </c>
      <c r="EL121" s="88">
        <v>3</v>
      </c>
      <c r="EM121" s="95" t="s">
        <v>4526</v>
      </c>
      <c r="EN121" s="125"/>
      <c r="EO121" s="95" t="s">
        <v>4414</v>
      </c>
      <c r="EP121" s="89">
        <v>2</v>
      </c>
      <c r="EQ121" s="89">
        <v>2</v>
      </c>
      <c r="ER121" s="89">
        <v>2</v>
      </c>
      <c r="ES121" s="89">
        <v>2</v>
      </c>
      <c r="ET121" s="95" t="s">
        <v>4526</v>
      </c>
      <c r="EU121" s="125"/>
      <c r="EV121" s="95" t="s">
        <v>4415</v>
      </c>
      <c r="EW121" s="89">
        <v>2</v>
      </c>
      <c r="EX121" s="89">
        <v>2</v>
      </c>
      <c r="EY121" s="89">
        <v>2</v>
      </c>
      <c r="EZ121" s="89">
        <v>2</v>
      </c>
      <c r="FA121" s="95" t="s">
        <v>4526</v>
      </c>
      <c r="FB121" s="125" t="s">
        <v>4527</v>
      </c>
      <c r="FC121" s="89">
        <v>2</v>
      </c>
      <c r="FD121" s="89">
        <v>2</v>
      </c>
      <c r="FE121" s="89">
        <v>2</v>
      </c>
      <c r="FF121" s="89">
        <v>2</v>
      </c>
      <c r="FG121" s="95" t="s">
        <v>4526</v>
      </c>
      <c r="FH121" s="125" t="s">
        <v>4527</v>
      </c>
      <c r="FI121" s="89">
        <v>2</v>
      </c>
      <c r="FJ121" s="89">
        <v>2</v>
      </c>
      <c r="FK121" s="89">
        <v>2</v>
      </c>
      <c r="FL121" s="89">
        <v>2</v>
      </c>
      <c r="FM121" s="95" t="s">
        <v>4526</v>
      </c>
      <c r="FN121" s="125" t="s">
        <v>4527</v>
      </c>
      <c r="FO121" s="89">
        <v>2</v>
      </c>
      <c r="FP121" s="89">
        <v>2</v>
      </c>
      <c r="FQ121" s="89">
        <v>2</v>
      </c>
      <c r="FR121" s="89">
        <v>2</v>
      </c>
      <c r="FS121" s="95" t="s">
        <v>4526</v>
      </c>
      <c r="FT121" s="125" t="s">
        <v>4527</v>
      </c>
      <c r="FU121" s="89">
        <v>2</v>
      </c>
      <c r="FV121" s="89">
        <v>2</v>
      </c>
      <c r="FW121" s="89">
        <v>2</v>
      </c>
      <c r="FX121" s="89">
        <v>2</v>
      </c>
      <c r="FY121" s="95" t="s">
        <v>4526</v>
      </c>
      <c r="FZ121" s="125" t="s">
        <v>4527</v>
      </c>
      <c r="GA121" s="89">
        <v>1</v>
      </c>
      <c r="GB121" s="89">
        <v>1</v>
      </c>
      <c r="GC121" s="89">
        <v>1</v>
      </c>
      <c r="GD121" s="89">
        <v>1</v>
      </c>
      <c r="GE121" s="95" t="s">
        <v>4526</v>
      </c>
      <c r="GF121" s="124" t="s">
        <v>4527</v>
      </c>
      <c r="GG121" s="89">
        <v>1</v>
      </c>
      <c r="GH121" s="89">
        <v>1</v>
      </c>
      <c r="GI121" s="89">
        <v>1</v>
      </c>
      <c r="GJ121" s="89">
        <v>1</v>
      </c>
      <c r="GK121" s="95" t="s">
        <v>4528</v>
      </c>
      <c r="GL121" s="126"/>
      <c r="GM121" s="89">
        <v>1</v>
      </c>
      <c r="GN121" s="89">
        <v>1</v>
      </c>
      <c r="GO121" s="89">
        <v>1</v>
      </c>
      <c r="GP121" s="89">
        <v>1</v>
      </c>
      <c r="GR121" s="126"/>
      <c r="GS121" s="89">
        <v>1</v>
      </c>
      <c r="GT121" s="89">
        <v>1</v>
      </c>
      <c r="GU121" s="89">
        <v>1</v>
      </c>
      <c r="GV121" s="89">
        <v>1</v>
      </c>
      <c r="GX121" s="89">
        <v>1</v>
      </c>
      <c r="GY121" s="89">
        <v>1</v>
      </c>
      <c r="GZ121" s="89">
        <v>1</v>
      </c>
      <c r="HA121" s="89">
        <v>1</v>
      </c>
      <c r="HB121" s="89">
        <v>1</v>
      </c>
      <c r="HC121" s="89">
        <v>1</v>
      </c>
      <c r="HD121" s="89">
        <v>1</v>
      </c>
      <c r="HE121" s="89">
        <v>1</v>
      </c>
    </row>
    <row r="122" spans="1:213">
      <c r="A122" s="89" t="s">
        <v>391</v>
      </c>
      <c r="B122" s="143" t="s">
        <v>595</v>
      </c>
      <c r="F122" s="89">
        <v>3</v>
      </c>
      <c r="G122" s="88">
        <v>4</v>
      </c>
      <c r="H122" s="88">
        <v>5</v>
      </c>
      <c r="I122" s="88">
        <v>4</v>
      </c>
      <c r="M122" s="89">
        <v>3</v>
      </c>
      <c r="N122" s="89">
        <v>3</v>
      </c>
      <c r="O122" s="89">
        <v>4</v>
      </c>
      <c r="P122" s="88">
        <v>3</v>
      </c>
      <c r="T122" s="89">
        <v>3</v>
      </c>
      <c r="U122" s="89">
        <v>3</v>
      </c>
      <c r="V122" s="89">
        <v>4</v>
      </c>
      <c r="W122" s="89">
        <v>4</v>
      </c>
      <c r="AA122" s="89">
        <v>3</v>
      </c>
      <c r="AB122" s="89">
        <v>3</v>
      </c>
      <c r="AC122" s="89">
        <v>4</v>
      </c>
      <c r="AD122" s="89">
        <v>4</v>
      </c>
      <c r="AH122" s="89">
        <v>3</v>
      </c>
      <c r="AI122" s="89">
        <v>3</v>
      </c>
      <c r="AJ122" s="89">
        <v>4</v>
      </c>
      <c r="AK122" s="89">
        <v>4</v>
      </c>
      <c r="AO122" s="89">
        <v>3</v>
      </c>
      <c r="AP122" s="89">
        <v>3</v>
      </c>
      <c r="AQ122" s="89">
        <v>3</v>
      </c>
      <c r="AR122" s="89">
        <v>4</v>
      </c>
      <c r="AV122" s="89">
        <v>3</v>
      </c>
      <c r="AW122" s="89">
        <v>3</v>
      </c>
      <c r="AX122" s="89">
        <v>3</v>
      </c>
      <c r="AY122" s="89">
        <v>4</v>
      </c>
      <c r="BC122" s="89">
        <v>3</v>
      </c>
      <c r="BD122" s="89">
        <v>3</v>
      </c>
      <c r="BE122" s="89">
        <v>3</v>
      </c>
      <c r="BF122" s="89">
        <v>4</v>
      </c>
      <c r="BJ122" s="89">
        <v>3</v>
      </c>
      <c r="BK122" s="89">
        <v>3</v>
      </c>
      <c r="BL122" s="89">
        <v>3</v>
      </c>
      <c r="BM122" s="89">
        <v>4</v>
      </c>
      <c r="BQ122" s="89">
        <v>3</v>
      </c>
      <c r="BR122" s="89">
        <v>3</v>
      </c>
      <c r="BS122" s="89">
        <v>3</v>
      </c>
      <c r="BT122" s="88">
        <v>4</v>
      </c>
      <c r="BX122" s="89">
        <v>3</v>
      </c>
      <c r="BY122" s="89">
        <v>3</v>
      </c>
      <c r="BZ122" s="89">
        <v>3</v>
      </c>
      <c r="CA122" s="89">
        <v>3</v>
      </c>
      <c r="CE122" s="89">
        <v>3</v>
      </c>
      <c r="CF122" s="89">
        <v>3</v>
      </c>
      <c r="CG122" s="89">
        <v>3</v>
      </c>
      <c r="CH122" s="88">
        <v>3</v>
      </c>
      <c r="CL122" s="89">
        <v>3</v>
      </c>
      <c r="CM122" s="89">
        <v>3</v>
      </c>
      <c r="CN122" s="89">
        <v>3</v>
      </c>
      <c r="CO122" s="88">
        <v>3</v>
      </c>
      <c r="CS122" s="89">
        <v>3</v>
      </c>
      <c r="CT122" s="89">
        <v>3</v>
      </c>
      <c r="CU122" s="89">
        <v>3</v>
      </c>
      <c r="CV122" s="89">
        <v>2</v>
      </c>
      <c r="CW122" s="95" t="s">
        <v>4529</v>
      </c>
      <c r="CZ122" s="89">
        <v>3</v>
      </c>
      <c r="DA122" s="89">
        <v>3</v>
      </c>
      <c r="DB122" s="89">
        <v>3</v>
      </c>
      <c r="DC122" s="89">
        <v>2</v>
      </c>
      <c r="DD122" s="95" t="s">
        <v>4529</v>
      </c>
      <c r="DG122" s="89">
        <v>3</v>
      </c>
      <c r="DH122" s="89">
        <v>3</v>
      </c>
      <c r="DI122" s="89">
        <v>3</v>
      </c>
      <c r="DJ122" s="89">
        <v>2</v>
      </c>
      <c r="DK122" s="95" t="s">
        <v>4529</v>
      </c>
      <c r="DN122" s="89">
        <v>3</v>
      </c>
      <c r="DO122" s="89">
        <v>3</v>
      </c>
      <c r="DP122" s="88">
        <v>3</v>
      </c>
      <c r="DQ122" s="89">
        <v>2</v>
      </c>
      <c r="DR122" s="194" t="s">
        <v>4530</v>
      </c>
      <c r="DU122" s="188">
        <v>3</v>
      </c>
      <c r="DV122" s="188">
        <v>3</v>
      </c>
      <c r="DW122" s="188">
        <v>2</v>
      </c>
      <c r="DX122" s="188">
        <v>2</v>
      </c>
      <c r="DY122" s="95" t="s">
        <v>4530</v>
      </c>
      <c r="EB122" s="89">
        <v>3</v>
      </c>
      <c r="EC122" s="89">
        <v>3</v>
      </c>
      <c r="ED122" s="88">
        <v>2</v>
      </c>
      <c r="EE122" s="88">
        <v>2</v>
      </c>
      <c r="EF122" s="95" t="s">
        <v>4530</v>
      </c>
      <c r="EI122" s="89">
        <v>3</v>
      </c>
      <c r="EJ122" s="89">
        <v>3</v>
      </c>
      <c r="EK122" s="88">
        <v>2</v>
      </c>
      <c r="EL122" s="88">
        <v>2</v>
      </c>
      <c r="EM122" s="95" t="s">
        <v>4530</v>
      </c>
      <c r="EP122" s="89">
        <v>3</v>
      </c>
      <c r="EQ122" s="89">
        <v>3</v>
      </c>
      <c r="ER122" s="89">
        <v>3</v>
      </c>
      <c r="ES122" s="89">
        <v>3</v>
      </c>
      <c r="ET122" s="95" t="s">
        <v>4530</v>
      </c>
      <c r="EW122" s="89">
        <v>3</v>
      </c>
      <c r="EX122" s="89">
        <v>3</v>
      </c>
      <c r="EY122" s="89">
        <v>3</v>
      </c>
      <c r="EZ122" s="89">
        <v>3</v>
      </c>
      <c r="FA122" s="95" t="s">
        <v>4530</v>
      </c>
      <c r="FC122" s="89">
        <v>3</v>
      </c>
      <c r="FD122" s="89">
        <v>3</v>
      </c>
      <c r="FE122" s="89">
        <v>3</v>
      </c>
      <c r="FF122" s="89">
        <v>2</v>
      </c>
      <c r="FG122" s="95" t="s">
        <v>4530</v>
      </c>
      <c r="FI122" s="89">
        <v>3</v>
      </c>
      <c r="FJ122" s="89">
        <v>3</v>
      </c>
      <c r="FK122" s="89">
        <v>3</v>
      </c>
      <c r="FL122" s="89">
        <v>2</v>
      </c>
      <c r="FM122" s="95" t="s">
        <v>4530</v>
      </c>
      <c r="FO122" s="89">
        <v>3</v>
      </c>
      <c r="FP122" s="89">
        <v>3</v>
      </c>
      <c r="FQ122" s="89">
        <v>3</v>
      </c>
      <c r="FR122" s="89">
        <v>2</v>
      </c>
      <c r="FS122" s="95" t="s">
        <v>4530</v>
      </c>
      <c r="FU122" s="89">
        <v>3</v>
      </c>
      <c r="FV122" s="89">
        <v>2</v>
      </c>
      <c r="FW122" s="89">
        <v>2</v>
      </c>
      <c r="FX122" s="89">
        <v>1</v>
      </c>
      <c r="FY122" s="95" t="s">
        <v>4530</v>
      </c>
      <c r="GA122" s="89">
        <v>3</v>
      </c>
      <c r="GB122" s="89">
        <v>2</v>
      </c>
      <c r="GC122" s="89">
        <v>2</v>
      </c>
      <c r="GD122" s="89">
        <v>1</v>
      </c>
      <c r="GE122" s="95" t="s">
        <v>4530</v>
      </c>
      <c r="GG122" s="89">
        <v>3</v>
      </c>
      <c r="GH122" s="89">
        <v>2</v>
      </c>
      <c r="GI122" s="89">
        <v>2</v>
      </c>
      <c r="GJ122" s="89">
        <v>1</v>
      </c>
      <c r="GK122" s="95" t="s">
        <v>4530</v>
      </c>
      <c r="GM122" s="89">
        <v>3</v>
      </c>
      <c r="GN122" s="89">
        <v>2</v>
      </c>
      <c r="GO122" s="89">
        <v>2</v>
      </c>
      <c r="GP122" s="89">
        <v>1</v>
      </c>
      <c r="GS122" s="89">
        <v>4</v>
      </c>
      <c r="GT122" s="89">
        <v>3</v>
      </c>
      <c r="GU122" s="89">
        <v>3</v>
      </c>
      <c r="GV122" s="89">
        <v>1</v>
      </c>
      <c r="GX122" s="89">
        <v>4</v>
      </c>
      <c r="GY122" s="89">
        <v>3</v>
      </c>
      <c r="GZ122" s="89">
        <v>3</v>
      </c>
      <c r="HA122" s="89">
        <v>1</v>
      </c>
      <c r="HB122" s="89">
        <v>4</v>
      </c>
      <c r="HC122" s="89">
        <v>3</v>
      </c>
      <c r="HD122" s="89">
        <v>3</v>
      </c>
      <c r="HE122" s="89">
        <v>1</v>
      </c>
    </row>
    <row r="123" ht="43.2" spans="1:213">
      <c r="A123" s="89" t="s">
        <v>305</v>
      </c>
      <c r="B123" s="108" t="s">
        <v>594</v>
      </c>
      <c r="F123" s="89">
        <v>4</v>
      </c>
      <c r="G123" s="88">
        <v>2</v>
      </c>
      <c r="H123" s="88">
        <v>1</v>
      </c>
      <c r="I123" s="88">
        <v>2</v>
      </c>
      <c r="M123" s="89">
        <v>4</v>
      </c>
      <c r="N123" s="89">
        <v>5</v>
      </c>
      <c r="O123" s="89">
        <v>5</v>
      </c>
      <c r="P123" s="88">
        <v>4</v>
      </c>
      <c r="T123" s="89">
        <v>4</v>
      </c>
      <c r="U123" s="89">
        <v>5</v>
      </c>
      <c r="V123" s="89">
        <v>5</v>
      </c>
      <c r="W123" s="89">
        <v>5</v>
      </c>
      <c r="X123" s="95" t="s">
        <v>4531</v>
      </c>
      <c r="AA123" s="89">
        <v>4</v>
      </c>
      <c r="AB123" s="89">
        <v>5</v>
      </c>
      <c r="AC123" s="89">
        <v>5</v>
      </c>
      <c r="AD123" s="89">
        <v>5</v>
      </c>
      <c r="AE123" s="95" t="s">
        <v>4531</v>
      </c>
      <c r="AH123" s="89">
        <v>4</v>
      </c>
      <c r="AI123" s="89">
        <v>5</v>
      </c>
      <c r="AJ123" s="89">
        <v>5</v>
      </c>
      <c r="AK123" s="89">
        <v>5</v>
      </c>
      <c r="AL123" s="95" t="s">
        <v>4531</v>
      </c>
      <c r="AO123" s="89">
        <v>4</v>
      </c>
      <c r="AP123" s="89">
        <v>4</v>
      </c>
      <c r="AQ123" s="89">
        <v>5</v>
      </c>
      <c r="AR123" s="89">
        <v>5</v>
      </c>
      <c r="AS123" s="95" t="s">
        <v>4531</v>
      </c>
      <c r="AV123" s="89">
        <v>4</v>
      </c>
      <c r="AW123" s="89">
        <v>4</v>
      </c>
      <c r="AX123" s="89">
        <v>5</v>
      </c>
      <c r="AY123" s="89">
        <v>5</v>
      </c>
      <c r="AZ123" s="95" t="s">
        <v>4531</v>
      </c>
      <c r="BC123" s="89">
        <v>4</v>
      </c>
      <c r="BD123" s="89">
        <v>4</v>
      </c>
      <c r="BE123" s="89">
        <v>5</v>
      </c>
      <c r="BF123" s="89">
        <v>5</v>
      </c>
      <c r="BG123" s="95" t="s">
        <v>4531</v>
      </c>
      <c r="BJ123" s="89">
        <v>4</v>
      </c>
      <c r="BK123" s="89">
        <v>4</v>
      </c>
      <c r="BL123" s="89">
        <v>5</v>
      </c>
      <c r="BM123" s="89">
        <v>5</v>
      </c>
      <c r="BN123" s="95" t="s">
        <v>4531</v>
      </c>
      <c r="BQ123" s="89">
        <v>4</v>
      </c>
      <c r="BR123" s="89">
        <v>4</v>
      </c>
      <c r="BS123" s="89">
        <v>5</v>
      </c>
      <c r="BT123" s="88">
        <v>5</v>
      </c>
      <c r="BU123" s="126" t="s">
        <v>4532</v>
      </c>
      <c r="BX123" s="88">
        <v>4</v>
      </c>
      <c r="BY123" s="89">
        <v>4</v>
      </c>
      <c r="BZ123" s="89">
        <v>5</v>
      </c>
      <c r="CA123" s="89">
        <v>4</v>
      </c>
      <c r="CB123" s="95" t="s">
        <v>4533</v>
      </c>
      <c r="CE123" s="88">
        <v>3</v>
      </c>
      <c r="CF123" s="89">
        <v>4</v>
      </c>
      <c r="CG123" s="88">
        <v>5</v>
      </c>
      <c r="CH123" s="88">
        <v>4</v>
      </c>
      <c r="CI123" s="126" t="s">
        <v>4534</v>
      </c>
      <c r="CL123" s="88">
        <v>3</v>
      </c>
      <c r="CM123" s="89">
        <v>4</v>
      </c>
      <c r="CN123" s="88">
        <v>5</v>
      </c>
      <c r="CO123" s="88">
        <v>4</v>
      </c>
      <c r="CS123" s="89">
        <v>4</v>
      </c>
      <c r="CT123" s="89">
        <v>4</v>
      </c>
      <c r="CU123" s="89">
        <v>4</v>
      </c>
      <c r="CV123" s="89">
        <v>3</v>
      </c>
      <c r="CW123" s="95" t="s">
        <v>4535</v>
      </c>
      <c r="CZ123" s="89">
        <v>4</v>
      </c>
      <c r="DA123" s="89">
        <v>4</v>
      </c>
      <c r="DB123" s="89">
        <v>4</v>
      </c>
      <c r="DC123" s="89">
        <v>3</v>
      </c>
      <c r="DD123" s="95" t="s">
        <v>4535</v>
      </c>
      <c r="DG123" s="89">
        <v>4</v>
      </c>
      <c r="DH123" s="89">
        <v>4</v>
      </c>
      <c r="DI123" s="89">
        <v>4</v>
      </c>
      <c r="DJ123" s="89">
        <v>3</v>
      </c>
      <c r="DK123" s="95" t="s">
        <v>4535</v>
      </c>
      <c r="DN123" s="89">
        <v>4</v>
      </c>
      <c r="DO123" s="89">
        <v>4</v>
      </c>
      <c r="DP123" s="88">
        <v>4</v>
      </c>
      <c r="DQ123" s="88">
        <v>3</v>
      </c>
      <c r="DR123" s="194" t="s">
        <v>4536</v>
      </c>
      <c r="DU123" s="188">
        <v>4</v>
      </c>
      <c r="DV123" s="188">
        <v>4</v>
      </c>
      <c r="DW123" s="188">
        <v>3</v>
      </c>
      <c r="DX123" s="188">
        <v>4</v>
      </c>
      <c r="DY123" s="95" t="s">
        <v>4535</v>
      </c>
      <c r="EB123" s="89">
        <v>4</v>
      </c>
      <c r="EC123" s="89">
        <v>4</v>
      </c>
      <c r="ED123" s="88">
        <v>3</v>
      </c>
      <c r="EE123" s="89">
        <v>4</v>
      </c>
      <c r="EF123" s="95" t="s">
        <v>4535</v>
      </c>
      <c r="EI123" s="89">
        <v>4</v>
      </c>
      <c r="EJ123" s="89">
        <v>4</v>
      </c>
      <c r="EK123" s="88">
        <v>3</v>
      </c>
      <c r="EL123" s="89">
        <v>4</v>
      </c>
      <c r="EM123" s="95" t="s">
        <v>4535</v>
      </c>
      <c r="EP123" s="89">
        <v>4</v>
      </c>
      <c r="EQ123" s="89">
        <v>4</v>
      </c>
      <c r="ER123" s="89">
        <v>4</v>
      </c>
      <c r="ES123" s="89">
        <v>4</v>
      </c>
      <c r="ET123" s="95" t="s">
        <v>4535</v>
      </c>
      <c r="EW123" s="89">
        <v>4</v>
      </c>
      <c r="EX123" s="89">
        <v>4</v>
      </c>
      <c r="EY123" s="89">
        <v>4</v>
      </c>
      <c r="EZ123" s="89">
        <v>4</v>
      </c>
      <c r="FA123" s="95" t="s">
        <v>4535</v>
      </c>
      <c r="FC123" s="89">
        <v>4</v>
      </c>
      <c r="FD123" s="89">
        <v>4</v>
      </c>
      <c r="FE123" s="89">
        <v>4</v>
      </c>
      <c r="FF123" s="89">
        <v>3</v>
      </c>
      <c r="FG123" s="126" t="s">
        <v>4537</v>
      </c>
      <c r="FI123" s="89">
        <v>4</v>
      </c>
      <c r="FJ123" s="89">
        <v>4</v>
      </c>
      <c r="FK123" s="89">
        <v>4</v>
      </c>
      <c r="FL123" s="89">
        <v>3</v>
      </c>
      <c r="FM123" s="126" t="s">
        <v>4538</v>
      </c>
      <c r="FO123" s="88">
        <v>4</v>
      </c>
      <c r="FP123" s="88">
        <v>4</v>
      </c>
      <c r="FQ123" s="88">
        <v>4</v>
      </c>
      <c r="FR123" s="88">
        <v>3</v>
      </c>
      <c r="FS123" s="95" t="s">
        <v>4539</v>
      </c>
      <c r="FU123" s="89">
        <v>2</v>
      </c>
      <c r="FV123" s="89">
        <v>3</v>
      </c>
      <c r="FW123" s="89">
        <v>3</v>
      </c>
      <c r="FX123" s="89">
        <v>2</v>
      </c>
      <c r="FY123" s="95" t="s">
        <v>4539</v>
      </c>
      <c r="GA123" s="89">
        <v>2</v>
      </c>
      <c r="GB123" s="89">
        <v>3</v>
      </c>
      <c r="GC123" s="89">
        <v>3</v>
      </c>
      <c r="GD123" s="89">
        <v>2</v>
      </c>
      <c r="GE123" s="95" t="s">
        <v>4539</v>
      </c>
      <c r="GG123" s="89">
        <v>2</v>
      </c>
      <c r="GH123" s="89">
        <v>3</v>
      </c>
      <c r="GI123" s="89">
        <v>3</v>
      </c>
      <c r="GJ123" s="89">
        <v>2</v>
      </c>
      <c r="GK123" s="95" t="s">
        <v>4539</v>
      </c>
      <c r="GM123" s="89">
        <v>2</v>
      </c>
      <c r="GN123" s="89">
        <v>3</v>
      </c>
      <c r="GO123" s="89">
        <v>3</v>
      </c>
      <c r="GP123" s="89">
        <v>2</v>
      </c>
      <c r="GS123" s="89">
        <v>3</v>
      </c>
      <c r="GT123" s="89">
        <v>4</v>
      </c>
      <c r="GU123" s="89">
        <v>4</v>
      </c>
      <c r="GV123" s="89">
        <v>4</v>
      </c>
      <c r="GX123" s="89">
        <v>3</v>
      </c>
      <c r="GY123" s="89">
        <v>4</v>
      </c>
      <c r="GZ123" s="89">
        <v>4</v>
      </c>
      <c r="HA123" s="89">
        <v>4</v>
      </c>
      <c r="HB123" s="89">
        <v>3</v>
      </c>
      <c r="HC123" s="89">
        <v>4</v>
      </c>
      <c r="HD123" s="89">
        <v>4</v>
      </c>
      <c r="HE123" s="89">
        <v>4</v>
      </c>
    </row>
    <row r="124" ht="28.8" spans="1:174">
      <c r="A124" s="89" t="s">
        <v>230</v>
      </c>
      <c r="B124" s="114" t="s">
        <v>304</v>
      </c>
      <c r="C124" s="95" t="s">
        <v>4540</v>
      </c>
      <c r="D124" s="125" t="s">
        <v>4541</v>
      </c>
      <c r="F124" s="89">
        <v>2</v>
      </c>
      <c r="G124" s="89">
        <v>1</v>
      </c>
      <c r="H124" s="88">
        <v>2</v>
      </c>
      <c r="I124" s="89">
        <v>1</v>
      </c>
      <c r="J124" s="95" t="s">
        <v>4540</v>
      </c>
      <c r="K124" s="125" t="s">
        <v>4541</v>
      </c>
      <c r="M124" s="88">
        <v>2</v>
      </c>
      <c r="N124" s="89">
        <v>1</v>
      </c>
      <c r="O124" s="89">
        <v>1</v>
      </c>
      <c r="P124" s="89">
        <v>1</v>
      </c>
      <c r="Q124" s="95" t="s">
        <v>4540</v>
      </c>
      <c r="R124" s="125" t="s">
        <v>4541</v>
      </c>
      <c r="T124" s="89">
        <v>1</v>
      </c>
      <c r="U124" s="89">
        <v>1</v>
      </c>
      <c r="V124" s="89">
        <v>1</v>
      </c>
      <c r="W124" s="89">
        <v>1</v>
      </c>
      <c r="X124" s="95" t="s">
        <v>4542</v>
      </c>
      <c r="Y124" s="125" t="s">
        <v>4541</v>
      </c>
      <c r="AA124" s="89">
        <v>1</v>
      </c>
      <c r="AB124" s="89">
        <v>1</v>
      </c>
      <c r="AC124" s="89">
        <v>1</v>
      </c>
      <c r="AD124" s="89">
        <v>1</v>
      </c>
      <c r="AE124" s="95" t="s">
        <v>4542</v>
      </c>
      <c r="AF124" s="125" t="s">
        <v>4541</v>
      </c>
      <c r="AH124" s="89">
        <v>1</v>
      </c>
      <c r="AI124" s="89">
        <v>1</v>
      </c>
      <c r="AJ124" s="89">
        <v>1</v>
      </c>
      <c r="AK124" s="89">
        <v>1</v>
      </c>
      <c r="AL124" s="95" t="s">
        <v>4542</v>
      </c>
      <c r="AM124" s="125" t="s">
        <v>4541</v>
      </c>
      <c r="AO124" s="89">
        <v>1</v>
      </c>
      <c r="AP124" s="89">
        <v>1</v>
      </c>
      <c r="AQ124" s="89">
        <v>1</v>
      </c>
      <c r="AR124" s="89">
        <v>2</v>
      </c>
      <c r="AS124" s="95" t="s">
        <v>4542</v>
      </c>
      <c r="AT124" s="125" t="s">
        <v>4541</v>
      </c>
      <c r="AV124" s="89">
        <v>1</v>
      </c>
      <c r="AW124" s="89">
        <v>1</v>
      </c>
      <c r="AX124" s="89">
        <v>1</v>
      </c>
      <c r="AY124" s="89">
        <v>2</v>
      </c>
      <c r="AZ124" s="95" t="s">
        <v>4542</v>
      </c>
      <c r="BA124" s="125" t="s">
        <v>4541</v>
      </c>
      <c r="BC124" s="89">
        <v>1</v>
      </c>
      <c r="BD124" s="89">
        <v>1</v>
      </c>
      <c r="BE124" s="89">
        <v>1</v>
      </c>
      <c r="BF124" s="89">
        <v>2</v>
      </c>
      <c r="BG124" s="95" t="s">
        <v>4542</v>
      </c>
      <c r="BH124" s="125" t="s">
        <v>4541</v>
      </c>
      <c r="BJ124" s="89">
        <v>1</v>
      </c>
      <c r="BK124" s="89">
        <v>1</v>
      </c>
      <c r="BL124" s="89">
        <v>1</v>
      </c>
      <c r="BM124" s="89">
        <v>2</v>
      </c>
      <c r="BN124" s="95" t="s">
        <v>4542</v>
      </c>
      <c r="BO124" s="125" t="s">
        <v>4541</v>
      </c>
      <c r="BQ124" s="89">
        <v>1</v>
      </c>
      <c r="BR124" s="89">
        <v>1</v>
      </c>
      <c r="BS124" s="89">
        <v>1</v>
      </c>
      <c r="BT124" s="89">
        <v>2</v>
      </c>
      <c r="BU124" s="95" t="s">
        <v>4542</v>
      </c>
      <c r="BV124" s="125" t="s">
        <v>4541</v>
      </c>
      <c r="BX124" s="89">
        <v>1</v>
      </c>
      <c r="BY124" s="89">
        <v>1</v>
      </c>
      <c r="BZ124" s="89">
        <v>1</v>
      </c>
      <c r="CA124" s="89">
        <v>2</v>
      </c>
      <c r="CB124" s="95" t="s">
        <v>4542</v>
      </c>
      <c r="CC124" s="125" t="s">
        <v>4541</v>
      </c>
      <c r="CE124" s="88">
        <v>1</v>
      </c>
      <c r="CF124" s="88">
        <v>1</v>
      </c>
      <c r="CG124" s="88">
        <v>1</v>
      </c>
      <c r="CH124" s="88">
        <v>2</v>
      </c>
      <c r="CI124" s="126" t="s">
        <v>4543</v>
      </c>
      <c r="CJ124" s="124" t="s">
        <v>4544</v>
      </c>
      <c r="CL124" s="88">
        <v>1</v>
      </c>
      <c r="CM124" s="88">
        <v>1</v>
      </c>
      <c r="CN124" s="88">
        <v>1</v>
      </c>
      <c r="CO124" s="88">
        <v>2</v>
      </c>
      <c r="DP124" s="88"/>
      <c r="DQ124" s="88"/>
      <c r="ED124" s="88"/>
      <c r="EK124" s="88"/>
      <c r="FG124" s="126"/>
      <c r="FM124" s="126"/>
      <c r="FO124" s="88"/>
      <c r="FP124" s="88"/>
      <c r="FQ124" s="88"/>
      <c r="FR124" s="88"/>
    </row>
    <row r="125" spans="1:93">
      <c r="A125" s="89" t="s">
        <v>305</v>
      </c>
      <c r="B125" s="334" t="s">
        <v>461</v>
      </c>
      <c r="F125" s="89">
        <v>5</v>
      </c>
      <c r="G125" s="88">
        <v>5</v>
      </c>
      <c r="H125" s="88">
        <v>4</v>
      </c>
      <c r="I125" s="89">
        <v>1</v>
      </c>
      <c r="M125" s="89">
        <v>5</v>
      </c>
      <c r="N125" s="89">
        <v>4</v>
      </c>
      <c r="O125" s="89">
        <v>3</v>
      </c>
      <c r="P125" s="88">
        <v>1</v>
      </c>
      <c r="T125" s="89">
        <v>5</v>
      </c>
      <c r="U125" s="89">
        <v>4</v>
      </c>
      <c r="V125" s="89">
        <v>3</v>
      </c>
      <c r="W125" s="89">
        <v>2</v>
      </c>
      <c r="X125" s="95" t="s">
        <v>4542</v>
      </c>
      <c r="AA125" s="89">
        <v>5</v>
      </c>
      <c r="AB125" s="89">
        <v>4</v>
      </c>
      <c r="AC125" s="89">
        <v>3</v>
      </c>
      <c r="AD125" s="89">
        <v>2</v>
      </c>
      <c r="AE125" s="95" t="s">
        <v>4542</v>
      </c>
      <c r="AH125" s="89">
        <v>5</v>
      </c>
      <c r="AI125" s="89">
        <v>4</v>
      </c>
      <c r="AJ125" s="89">
        <v>3</v>
      </c>
      <c r="AK125" s="89">
        <v>2</v>
      </c>
      <c r="AL125" s="95" t="s">
        <v>4542</v>
      </c>
      <c r="AO125" s="89">
        <v>4</v>
      </c>
      <c r="AP125" s="89">
        <v>3</v>
      </c>
      <c r="AQ125" s="89">
        <v>4</v>
      </c>
      <c r="AR125" s="89">
        <v>1</v>
      </c>
      <c r="AS125" s="95" t="s">
        <v>4542</v>
      </c>
      <c r="AV125" s="89">
        <v>4</v>
      </c>
      <c r="AW125" s="89">
        <v>3</v>
      </c>
      <c r="AX125" s="89">
        <v>4</v>
      </c>
      <c r="AY125" s="89">
        <v>1</v>
      </c>
      <c r="AZ125" s="95" t="s">
        <v>4542</v>
      </c>
      <c r="BC125" s="89">
        <v>4</v>
      </c>
      <c r="BD125" s="89">
        <v>3</v>
      </c>
      <c r="BE125" s="89">
        <v>4</v>
      </c>
      <c r="BF125" s="89">
        <v>1</v>
      </c>
      <c r="BG125" s="95" t="s">
        <v>4542</v>
      </c>
      <c r="BJ125" s="89">
        <v>4</v>
      </c>
      <c r="BK125" s="89">
        <v>3</v>
      </c>
      <c r="BL125" s="89">
        <v>4</v>
      </c>
      <c r="BM125" s="89">
        <v>1</v>
      </c>
      <c r="BN125" s="95" t="s">
        <v>4542</v>
      </c>
      <c r="BQ125" s="89">
        <v>4</v>
      </c>
      <c r="BR125" s="89">
        <v>3</v>
      </c>
      <c r="BS125" s="89">
        <v>4</v>
      </c>
      <c r="BT125" s="89">
        <v>1</v>
      </c>
      <c r="BU125" s="95" t="s">
        <v>4542</v>
      </c>
      <c r="BX125" s="89">
        <v>4</v>
      </c>
      <c r="BY125" s="89">
        <v>3</v>
      </c>
      <c r="BZ125" s="89">
        <v>4</v>
      </c>
      <c r="CA125" s="89">
        <v>1</v>
      </c>
      <c r="CB125" s="95" t="s">
        <v>4542</v>
      </c>
      <c r="CE125" s="88">
        <v>4</v>
      </c>
      <c r="CF125" s="88">
        <v>3</v>
      </c>
      <c r="CG125" s="88">
        <v>4</v>
      </c>
      <c r="CH125" s="88">
        <v>1</v>
      </c>
      <c r="CI125" s="126" t="s">
        <v>4543</v>
      </c>
      <c r="CL125" s="88">
        <v>4</v>
      </c>
      <c r="CM125" s="88">
        <v>3</v>
      </c>
      <c r="CN125" s="88">
        <v>4</v>
      </c>
      <c r="CO125" s="88">
        <v>1</v>
      </c>
    </row>
    <row r="127" customHeight="1" spans="1:213">
      <c r="A127" s="96" t="s">
        <v>162</v>
      </c>
      <c r="B127" s="97"/>
      <c r="C127" s="116" t="s">
        <v>3923</v>
      </c>
      <c r="D127" s="128"/>
      <c r="E127" s="128"/>
      <c r="F127" s="128"/>
      <c r="G127" s="128"/>
      <c r="H127" s="128"/>
      <c r="I127" s="132"/>
      <c r="J127" s="116" t="s">
        <v>3923</v>
      </c>
      <c r="K127" s="128"/>
      <c r="L127" s="128"/>
      <c r="M127" s="128"/>
      <c r="N127" s="128"/>
      <c r="O127" s="128"/>
      <c r="P127" s="132"/>
      <c r="Q127" s="116" t="s">
        <v>4083</v>
      </c>
      <c r="R127" s="128"/>
      <c r="S127" s="128"/>
      <c r="T127" s="128"/>
      <c r="U127" s="128"/>
      <c r="V127" s="128"/>
      <c r="W127" s="132"/>
      <c r="X127" s="116" t="s">
        <v>3925</v>
      </c>
      <c r="Y127" s="128"/>
      <c r="Z127" s="128"/>
      <c r="AA127" s="128"/>
      <c r="AB127" s="128"/>
      <c r="AC127" s="128"/>
      <c r="AD127" s="132"/>
      <c r="AE127" s="116" t="s">
        <v>3926</v>
      </c>
      <c r="AF127" s="128"/>
      <c r="AG127" s="128"/>
      <c r="AH127" s="128"/>
      <c r="AI127" s="128"/>
      <c r="AJ127" s="128"/>
      <c r="AK127" s="132"/>
      <c r="AL127" s="116" t="s">
        <v>3927</v>
      </c>
      <c r="AM127" s="128"/>
      <c r="AN127" s="128"/>
      <c r="AO127" s="128"/>
      <c r="AP127" s="128"/>
      <c r="AQ127" s="128"/>
      <c r="AR127" s="132"/>
      <c r="AS127" s="116" t="s">
        <v>3928</v>
      </c>
      <c r="AT127" s="128"/>
      <c r="AU127" s="128"/>
      <c r="AV127" s="128"/>
      <c r="AW127" s="128"/>
      <c r="AX127" s="128"/>
      <c r="AY127" s="132"/>
      <c r="AZ127" s="116" t="s">
        <v>3929</v>
      </c>
      <c r="BA127" s="128"/>
      <c r="BB127" s="128"/>
      <c r="BC127" s="128"/>
      <c r="BD127" s="128"/>
      <c r="BE127" s="128"/>
      <c r="BF127" s="132"/>
      <c r="BG127" s="116" t="s">
        <v>3930</v>
      </c>
      <c r="BH127" s="128"/>
      <c r="BI127" s="128"/>
      <c r="BJ127" s="128"/>
      <c r="BK127" s="128"/>
      <c r="BL127" s="128"/>
      <c r="BM127" s="132"/>
      <c r="BN127" s="116" t="s">
        <v>3931</v>
      </c>
      <c r="BO127" s="128"/>
      <c r="BP127" s="128"/>
      <c r="BQ127" s="128"/>
      <c r="BR127" s="128"/>
      <c r="BS127" s="128"/>
      <c r="BT127" s="132"/>
      <c r="BU127" s="116" t="s">
        <v>3932</v>
      </c>
      <c r="BV127" s="128"/>
      <c r="BW127" s="128"/>
      <c r="BX127" s="128"/>
      <c r="BY127" s="128"/>
      <c r="BZ127" s="128"/>
      <c r="CA127" s="132"/>
      <c r="CB127" s="116" t="s">
        <v>3933</v>
      </c>
      <c r="CC127" s="128"/>
      <c r="CD127" s="128"/>
      <c r="CE127" s="128"/>
      <c r="CF127" s="128"/>
      <c r="CG127" s="128"/>
      <c r="CH127" s="132"/>
      <c r="CI127" s="116" t="s">
        <v>3922</v>
      </c>
      <c r="CJ127" s="128"/>
      <c r="CK127" s="128"/>
      <c r="CL127" s="128"/>
      <c r="CM127" s="128"/>
      <c r="CN127" s="128"/>
      <c r="CO127" s="132"/>
      <c r="CP127" s="116" t="s">
        <v>3934</v>
      </c>
      <c r="CQ127" s="128"/>
      <c r="CR127" s="128"/>
      <c r="CS127" s="128"/>
      <c r="CT127" s="128"/>
      <c r="CU127" s="128"/>
      <c r="CV127" s="132"/>
      <c r="CW127" s="116" t="s">
        <v>3924</v>
      </c>
      <c r="CX127" s="128"/>
      <c r="CY127" s="128"/>
      <c r="CZ127" s="128"/>
      <c r="DA127" s="128"/>
      <c r="DB127" s="128"/>
      <c r="DC127" s="132"/>
      <c r="DD127" s="116" t="s">
        <v>3935</v>
      </c>
      <c r="DE127" s="128"/>
      <c r="DF127" s="128"/>
      <c r="DG127" s="128"/>
      <c r="DH127" s="128"/>
      <c r="DI127" s="128"/>
      <c r="DJ127" s="132"/>
      <c r="DK127" s="116" t="s">
        <v>3936</v>
      </c>
      <c r="DL127" s="128"/>
      <c r="DM127" s="128"/>
      <c r="DN127" s="128"/>
      <c r="DO127" s="128"/>
      <c r="DP127" s="128"/>
      <c r="DQ127" s="132"/>
      <c r="DR127" s="325" t="s">
        <v>3937</v>
      </c>
      <c r="DS127" s="326"/>
      <c r="DT127" s="326"/>
      <c r="DU127" s="326"/>
      <c r="DV127" s="326"/>
      <c r="DW127" s="326"/>
      <c r="DX127" s="327"/>
      <c r="DY127" s="116" t="s">
        <v>3928</v>
      </c>
      <c r="DZ127" s="128"/>
      <c r="EA127" s="128"/>
      <c r="EB127" s="128"/>
      <c r="EC127" s="128"/>
      <c r="ED127" s="128"/>
      <c r="EE127" s="132"/>
      <c r="EF127" s="116" t="s">
        <v>3929</v>
      </c>
      <c r="EG127" s="128"/>
      <c r="EH127" s="128"/>
      <c r="EI127" s="128"/>
      <c r="EJ127" s="128"/>
      <c r="EK127" s="128"/>
      <c r="EL127" s="132"/>
      <c r="EM127" s="116" t="s">
        <v>4084</v>
      </c>
      <c r="EN127" s="128"/>
      <c r="EO127" s="128"/>
      <c r="EP127" s="128"/>
      <c r="EQ127" s="128"/>
      <c r="ER127" s="128"/>
      <c r="ES127" s="132"/>
      <c r="EU127" s="332"/>
      <c r="EV127" s="332"/>
      <c r="EW127" s="116" t="s">
        <v>4085</v>
      </c>
      <c r="EX127" s="128"/>
      <c r="EY127" s="128"/>
      <c r="EZ127" s="132"/>
      <c r="FB127" s="332"/>
      <c r="FC127" s="116" t="s">
        <v>4086</v>
      </c>
      <c r="FD127" s="128"/>
      <c r="FE127" s="128"/>
      <c r="FF127" s="132"/>
      <c r="FH127" s="332"/>
      <c r="FI127" s="116" t="s">
        <v>4087</v>
      </c>
      <c r="FJ127" s="128"/>
      <c r="FK127" s="128"/>
      <c r="FL127" s="132"/>
      <c r="FN127" s="332"/>
      <c r="FO127" s="116" t="s">
        <v>4088</v>
      </c>
      <c r="FP127" s="128"/>
      <c r="FQ127" s="128"/>
      <c r="FR127" s="132"/>
      <c r="FT127" s="332"/>
      <c r="FU127" s="116" t="s">
        <v>4089</v>
      </c>
      <c r="FV127" s="128"/>
      <c r="FW127" s="128"/>
      <c r="FX127" s="132"/>
      <c r="FZ127" s="332"/>
      <c r="GA127" s="116" t="s">
        <v>4090</v>
      </c>
      <c r="GB127" s="128"/>
      <c r="GC127" s="128"/>
      <c r="GD127" s="132"/>
      <c r="GF127" s="332"/>
      <c r="GG127" s="116" t="s">
        <v>4091</v>
      </c>
      <c r="GH127" s="128"/>
      <c r="GI127" s="128"/>
      <c r="GJ127" s="132"/>
      <c r="GL127" s="332"/>
      <c r="GM127" s="116" t="s">
        <v>3941</v>
      </c>
      <c r="GN127" s="128"/>
      <c r="GO127" s="128"/>
      <c r="GP127" s="132"/>
      <c r="GR127" s="332"/>
      <c r="GS127" s="116" t="s">
        <v>3941</v>
      </c>
      <c r="GT127" s="128"/>
      <c r="GU127" s="128"/>
      <c r="GV127" s="132"/>
      <c r="GW127" s="128"/>
      <c r="GX127" s="116" t="s">
        <v>3942</v>
      </c>
      <c r="GY127" s="128"/>
      <c r="GZ127" s="128"/>
      <c r="HA127" s="132"/>
      <c r="HB127" s="116" t="s">
        <v>3943</v>
      </c>
      <c r="HC127" s="128"/>
      <c r="HD127" s="128"/>
      <c r="HE127" s="132"/>
    </row>
    <row r="128" ht="28.2" spans="1:213">
      <c r="A128" s="101" t="s">
        <v>3944</v>
      </c>
      <c r="B128" s="102" t="s">
        <v>207</v>
      </c>
      <c r="C128" s="120" t="s">
        <v>3945</v>
      </c>
      <c r="D128" s="120" t="s">
        <v>3946</v>
      </c>
      <c r="E128" s="313" t="s">
        <v>3947</v>
      </c>
      <c r="F128" s="119" t="s">
        <v>3948</v>
      </c>
      <c r="G128" s="119" t="s">
        <v>3949</v>
      </c>
      <c r="H128" s="119" t="s">
        <v>3950</v>
      </c>
      <c r="I128" s="119" t="s">
        <v>3951</v>
      </c>
      <c r="J128" s="120" t="s">
        <v>3945</v>
      </c>
      <c r="K128" s="120" t="s">
        <v>3946</v>
      </c>
      <c r="L128" s="313" t="s">
        <v>3947</v>
      </c>
      <c r="M128" s="119" t="s">
        <v>3948</v>
      </c>
      <c r="N128" s="119" t="s">
        <v>3949</v>
      </c>
      <c r="O128" s="119" t="s">
        <v>3950</v>
      </c>
      <c r="P128" s="119" t="s">
        <v>3951</v>
      </c>
      <c r="Q128" s="120" t="s">
        <v>3945</v>
      </c>
      <c r="R128" s="120" t="s">
        <v>3946</v>
      </c>
      <c r="S128" s="313" t="s">
        <v>3947</v>
      </c>
      <c r="T128" s="119" t="s">
        <v>3948</v>
      </c>
      <c r="U128" s="119" t="s">
        <v>3949</v>
      </c>
      <c r="V128" s="119" t="s">
        <v>3950</v>
      </c>
      <c r="W128" s="119" t="s">
        <v>3951</v>
      </c>
      <c r="X128" s="120" t="s">
        <v>3952</v>
      </c>
      <c r="Y128" s="120" t="s">
        <v>3953</v>
      </c>
      <c r="Z128" s="313" t="s">
        <v>3947</v>
      </c>
      <c r="AA128" s="119" t="s">
        <v>3948</v>
      </c>
      <c r="AB128" s="119" t="s">
        <v>3949</v>
      </c>
      <c r="AC128" s="119" t="s">
        <v>3950</v>
      </c>
      <c r="AD128" s="119" t="s">
        <v>3951</v>
      </c>
      <c r="AE128" s="120" t="s">
        <v>3954</v>
      </c>
      <c r="AF128" s="120" t="s">
        <v>3955</v>
      </c>
      <c r="AG128" s="313" t="s">
        <v>3947</v>
      </c>
      <c r="AH128" s="119" t="s">
        <v>3948</v>
      </c>
      <c r="AI128" s="119" t="s">
        <v>3949</v>
      </c>
      <c r="AJ128" s="119" t="s">
        <v>3950</v>
      </c>
      <c r="AK128" s="119" t="s">
        <v>3951</v>
      </c>
      <c r="AL128" s="120" t="s">
        <v>3956</v>
      </c>
      <c r="AM128" s="120" t="s">
        <v>3957</v>
      </c>
      <c r="AN128" s="119" t="s">
        <v>3947</v>
      </c>
      <c r="AO128" s="119" t="s">
        <v>3948</v>
      </c>
      <c r="AP128" s="119" t="s">
        <v>3949</v>
      </c>
      <c r="AQ128" s="119" t="s">
        <v>3950</v>
      </c>
      <c r="AR128" s="119" t="s">
        <v>3951</v>
      </c>
      <c r="AS128" s="120" t="s">
        <v>3958</v>
      </c>
      <c r="AT128" s="120" t="s">
        <v>3959</v>
      </c>
      <c r="AU128" s="119" t="s">
        <v>3947</v>
      </c>
      <c r="AV128" s="119" t="s">
        <v>3948</v>
      </c>
      <c r="AW128" s="119" t="s">
        <v>3949</v>
      </c>
      <c r="AX128" s="119" t="s">
        <v>3950</v>
      </c>
      <c r="AY128" s="119" t="s">
        <v>3951</v>
      </c>
      <c r="AZ128" s="120" t="s">
        <v>3960</v>
      </c>
      <c r="BA128" s="120" t="s">
        <v>3961</v>
      </c>
      <c r="BB128" s="119" t="s">
        <v>3947</v>
      </c>
      <c r="BC128" s="119" t="s">
        <v>3948</v>
      </c>
      <c r="BD128" s="119" t="s">
        <v>3949</v>
      </c>
      <c r="BE128" s="119" t="s">
        <v>3950</v>
      </c>
      <c r="BF128" s="119" t="s">
        <v>3951</v>
      </c>
      <c r="BG128" s="120" t="s">
        <v>3962</v>
      </c>
      <c r="BH128" s="120" t="s">
        <v>3963</v>
      </c>
      <c r="BI128" s="119" t="s">
        <v>3947</v>
      </c>
      <c r="BJ128" s="119" t="s">
        <v>3948</v>
      </c>
      <c r="BK128" s="119" t="s">
        <v>3949</v>
      </c>
      <c r="BL128" s="119" t="s">
        <v>3950</v>
      </c>
      <c r="BM128" s="119" t="s">
        <v>3951</v>
      </c>
      <c r="BN128" s="120" t="s">
        <v>3964</v>
      </c>
      <c r="BO128" s="120" t="s">
        <v>3965</v>
      </c>
      <c r="BP128" s="119" t="s">
        <v>3947</v>
      </c>
      <c r="BQ128" s="119" t="s">
        <v>3948</v>
      </c>
      <c r="BR128" s="119" t="s">
        <v>3949</v>
      </c>
      <c r="BS128" s="119" t="s">
        <v>3950</v>
      </c>
      <c r="BT128" s="119" t="s">
        <v>3951</v>
      </c>
      <c r="BU128" s="120" t="s">
        <v>3966</v>
      </c>
      <c r="BV128" s="120" t="s">
        <v>3967</v>
      </c>
      <c r="BW128" s="119" t="s">
        <v>3947</v>
      </c>
      <c r="BX128" s="119" t="s">
        <v>3948</v>
      </c>
      <c r="BY128" s="119" t="s">
        <v>3949</v>
      </c>
      <c r="BZ128" s="119" t="s">
        <v>3950</v>
      </c>
      <c r="CA128" s="119" t="s">
        <v>3951</v>
      </c>
      <c r="CB128" s="120" t="s">
        <v>3968</v>
      </c>
      <c r="CC128" s="120" t="s">
        <v>3969</v>
      </c>
      <c r="CD128" s="119" t="s">
        <v>3947</v>
      </c>
      <c r="CE128" s="119" t="s">
        <v>3948</v>
      </c>
      <c r="CF128" s="119" t="s">
        <v>3949</v>
      </c>
      <c r="CG128" s="119" t="s">
        <v>3950</v>
      </c>
      <c r="CH128" s="119" t="s">
        <v>3951</v>
      </c>
      <c r="CI128" s="120" t="s">
        <v>3970</v>
      </c>
      <c r="CJ128" s="120" t="s">
        <v>3971</v>
      </c>
      <c r="CK128" s="119" t="s">
        <v>3947</v>
      </c>
      <c r="CL128" s="119" t="s">
        <v>3948</v>
      </c>
      <c r="CM128" s="119" t="s">
        <v>3949</v>
      </c>
      <c r="CN128" s="119" t="s">
        <v>3950</v>
      </c>
      <c r="CO128" s="119" t="s">
        <v>3951</v>
      </c>
      <c r="CP128" s="120" t="s">
        <v>3972</v>
      </c>
      <c r="CQ128" s="120" t="s">
        <v>3973</v>
      </c>
      <c r="CR128" s="119" t="s">
        <v>3947</v>
      </c>
      <c r="CS128" s="119" t="s">
        <v>3948</v>
      </c>
      <c r="CT128" s="119" t="s">
        <v>3949</v>
      </c>
      <c r="CU128" s="119" t="s">
        <v>3950</v>
      </c>
      <c r="CV128" s="119" t="s">
        <v>3951</v>
      </c>
      <c r="CW128" s="120" t="s">
        <v>3974</v>
      </c>
      <c r="CX128" s="120" t="s">
        <v>3975</v>
      </c>
      <c r="CY128" s="119" t="s">
        <v>3947</v>
      </c>
      <c r="CZ128" s="119" t="s">
        <v>3948</v>
      </c>
      <c r="DA128" s="119" t="s">
        <v>3949</v>
      </c>
      <c r="DB128" s="119" t="s">
        <v>3950</v>
      </c>
      <c r="DC128" s="119" t="s">
        <v>3951</v>
      </c>
      <c r="DD128" s="120" t="s">
        <v>3974</v>
      </c>
      <c r="DE128" s="120" t="s">
        <v>3975</v>
      </c>
      <c r="DF128" s="119" t="s">
        <v>3947</v>
      </c>
      <c r="DG128" s="119" t="s">
        <v>3948</v>
      </c>
      <c r="DH128" s="119" t="s">
        <v>3949</v>
      </c>
      <c r="DI128" s="119" t="s">
        <v>3950</v>
      </c>
      <c r="DJ128" s="119" t="s">
        <v>3951</v>
      </c>
      <c r="DK128" s="120" t="s">
        <v>3976</v>
      </c>
      <c r="DL128" s="120" t="s">
        <v>3977</v>
      </c>
      <c r="DM128" s="119" t="s">
        <v>3947</v>
      </c>
      <c r="DN128" s="119" t="s">
        <v>3948</v>
      </c>
      <c r="DO128" s="119" t="s">
        <v>3949</v>
      </c>
      <c r="DP128" s="119" t="s">
        <v>3950</v>
      </c>
      <c r="DQ128" s="119" t="s">
        <v>3951</v>
      </c>
      <c r="DR128" s="328" t="s">
        <v>3978</v>
      </c>
      <c r="DS128" s="328" t="s">
        <v>3979</v>
      </c>
      <c r="DT128" s="313" t="s">
        <v>3947</v>
      </c>
      <c r="DU128" s="313" t="s">
        <v>3948</v>
      </c>
      <c r="DV128" s="313" t="s">
        <v>3949</v>
      </c>
      <c r="DW128" s="313" t="s">
        <v>3950</v>
      </c>
      <c r="DX128" s="313" t="s">
        <v>3951</v>
      </c>
      <c r="DY128" s="120" t="s">
        <v>3980</v>
      </c>
      <c r="DZ128" s="120" t="s">
        <v>3981</v>
      </c>
      <c r="EA128" s="119" t="s">
        <v>3947</v>
      </c>
      <c r="EB128" s="119" t="s">
        <v>3948</v>
      </c>
      <c r="EC128" s="119" t="s">
        <v>3949</v>
      </c>
      <c r="ED128" s="119" t="s">
        <v>3950</v>
      </c>
      <c r="EE128" s="119" t="s">
        <v>3951</v>
      </c>
      <c r="EF128" s="120" t="s">
        <v>3982</v>
      </c>
      <c r="EG128" s="120" t="s">
        <v>3983</v>
      </c>
      <c r="EH128" s="119" t="s">
        <v>3947</v>
      </c>
      <c r="EI128" s="119" t="s">
        <v>3948</v>
      </c>
      <c r="EJ128" s="119" t="s">
        <v>3949</v>
      </c>
      <c r="EK128" s="119" t="s">
        <v>3950</v>
      </c>
      <c r="EL128" s="119" t="s">
        <v>3951</v>
      </c>
      <c r="EM128" s="120" t="s">
        <v>3984</v>
      </c>
      <c r="EN128" s="120" t="s">
        <v>3985</v>
      </c>
      <c r="EO128" s="120"/>
      <c r="EP128" s="119" t="s">
        <v>3948</v>
      </c>
      <c r="EQ128" s="119" t="s">
        <v>3949</v>
      </c>
      <c r="ER128" s="119" t="s">
        <v>3950</v>
      </c>
      <c r="ES128" s="119" t="s">
        <v>3951</v>
      </c>
      <c r="ET128" s="120" t="s">
        <v>3986</v>
      </c>
      <c r="EU128" s="120" t="s">
        <v>3987</v>
      </c>
      <c r="EV128" s="120"/>
      <c r="EW128" s="119" t="s">
        <v>3948</v>
      </c>
      <c r="EX128" s="119" t="s">
        <v>3949</v>
      </c>
      <c r="EY128" s="119" t="s">
        <v>3950</v>
      </c>
      <c r="EZ128" s="119" t="s">
        <v>3951</v>
      </c>
      <c r="FA128" s="120" t="s">
        <v>3988</v>
      </c>
      <c r="FB128" s="120" t="s">
        <v>3989</v>
      </c>
      <c r="FC128" s="119" t="s">
        <v>3948</v>
      </c>
      <c r="FD128" s="119" t="s">
        <v>3949</v>
      </c>
      <c r="FE128" s="119" t="s">
        <v>3950</v>
      </c>
      <c r="FF128" s="119" t="s">
        <v>3951</v>
      </c>
      <c r="FG128" s="120" t="s">
        <v>3990</v>
      </c>
      <c r="FH128" s="120" t="s">
        <v>3991</v>
      </c>
      <c r="FI128" s="119" t="s">
        <v>3948</v>
      </c>
      <c r="FJ128" s="119" t="s">
        <v>3949</v>
      </c>
      <c r="FK128" s="119" t="s">
        <v>3950</v>
      </c>
      <c r="FL128" s="119" t="s">
        <v>3951</v>
      </c>
      <c r="FM128" s="120" t="s">
        <v>3992</v>
      </c>
      <c r="FN128" s="120" t="s">
        <v>3993</v>
      </c>
      <c r="FO128" s="119" t="s">
        <v>3948</v>
      </c>
      <c r="FP128" s="119" t="s">
        <v>3949</v>
      </c>
      <c r="FQ128" s="119" t="s">
        <v>3950</v>
      </c>
      <c r="FR128" s="119" t="s">
        <v>3951</v>
      </c>
      <c r="FS128" s="120" t="s">
        <v>3994</v>
      </c>
      <c r="FT128" s="120" t="s">
        <v>3995</v>
      </c>
      <c r="FU128" s="119" t="s">
        <v>3948</v>
      </c>
      <c r="FV128" s="119" t="s">
        <v>3949</v>
      </c>
      <c r="FW128" s="119" t="s">
        <v>3950</v>
      </c>
      <c r="FX128" s="119" t="s">
        <v>3951</v>
      </c>
      <c r="FY128" s="120" t="s">
        <v>3996</v>
      </c>
      <c r="FZ128" s="120" t="s">
        <v>3997</v>
      </c>
      <c r="GA128" s="119" t="s">
        <v>3948</v>
      </c>
      <c r="GB128" s="119" t="s">
        <v>3949</v>
      </c>
      <c r="GC128" s="119" t="s">
        <v>3950</v>
      </c>
      <c r="GD128" s="119" t="s">
        <v>3951</v>
      </c>
      <c r="GE128" s="120" t="s">
        <v>3998</v>
      </c>
      <c r="GF128" s="120" t="s">
        <v>3999</v>
      </c>
      <c r="GG128" s="119" t="s">
        <v>3948</v>
      </c>
      <c r="GH128" s="119" t="s">
        <v>3949</v>
      </c>
      <c r="GI128" s="119" t="s">
        <v>3950</v>
      </c>
      <c r="GJ128" s="119" t="s">
        <v>3951</v>
      </c>
      <c r="GK128" s="120" t="s">
        <v>4000</v>
      </c>
      <c r="GL128" s="120" t="s">
        <v>4001</v>
      </c>
      <c r="GM128" s="119" t="s">
        <v>3948</v>
      </c>
      <c r="GN128" s="119" t="s">
        <v>3949</v>
      </c>
      <c r="GO128" s="119" t="s">
        <v>3950</v>
      </c>
      <c r="GP128" s="119" t="s">
        <v>3951</v>
      </c>
      <c r="GQ128" s="120" t="s">
        <v>4002</v>
      </c>
      <c r="GR128" s="120" t="s">
        <v>4003</v>
      </c>
      <c r="GS128" s="119" t="s">
        <v>3948</v>
      </c>
      <c r="GT128" s="119" t="s">
        <v>3949</v>
      </c>
      <c r="GU128" s="119" t="s">
        <v>3950</v>
      </c>
      <c r="GV128" s="119" t="s">
        <v>3951</v>
      </c>
      <c r="GW128" s="119"/>
      <c r="GX128" s="119" t="s">
        <v>3948</v>
      </c>
      <c r="GY128" s="119" t="s">
        <v>3949</v>
      </c>
      <c r="GZ128" s="119" t="s">
        <v>3950</v>
      </c>
      <c r="HA128" s="119" t="s">
        <v>3951</v>
      </c>
      <c r="HB128" s="119" t="s">
        <v>3948</v>
      </c>
      <c r="HC128" s="119" t="s">
        <v>3949</v>
      </c>
      <c r="HD128" s="119" t="s">
        <v>3950</v>
      </c>
      <c r="HE128" s="119" t="s">
        <v>3951</v>
      </c>
    </row>
    <row r="129" ht="138.6" spans="1:213">
      <c r="A129" s="88" t="s">
        <v>227</v>
      </c>
      <c r="B129" s="88" t="s">
        <v>584</v>
      </c>
      <c r="D129" s="126"/>
      <c r="E129" s="194" t="s">
        <v>4545</v>
      </c>
      <c r="F129" s="89">
        <v>2</v>
      </c>
      <c r="G129" s="89">
        <v>2</v>
      </c>
      <c r="H129" s="89">
        <v>2</v>
      </c>
      <c r="I129" s="89">
        <v>2</v>
      </c>
      <c r="K129" s="126"/>
      <c r="L129" s="194" t="s">
        <v>4545</v>
      </c>
      <c r="M129" s="89">
        <v>2</v>
      </c>
      <c r="N129" s="89">
        <v>2</v>
      </c>
      <c r="O129" s="89">
        <v>2</v>
      </c>
      <c r="P129" s="89">
        <v>2</v>
      </c>
      <c r="R129" s="126"/>
      <c r="S129" s="194" t="s">
        <v>4545</v>
      </c>
      <c r="T129" s="89">
        <v>2</v>
      </c>
      <c r="U129" s="89">
        <v>2</v>
      </c>
      <c r="V129" s="89">
        <v>2</v>
      </c>
      <c r="W129" s="89">
        <v>2</v>
      </c>
      <c r="X129" s="95" t="s">
        <v>4546</v>
      </c>
      <c r="Y129" s="126"/>
      <c r="Z129" s="194" t="s">
        <v>4545</v>
      </c>
      <c r="AA129" s="89">
        <v>2</v>
      </c>
      <c r="AB129" s="89">
        <v>2</v>
      </c>
      <c r="AC129" s="89">
        <v>2</v>
      </c>
      <c r="AD129" s="89">
        <v>2</v>
      </c>
      <c r="AE129" s="95" t="s">
        <v>4546</v>
      </c>
      <c r="AF129" s="126"/>
      <c r="AG129" s="194" t="s">
        <v>4545</v>
      </c>
      <c r="AH129" s="89">
        <v>2</v>
      </c>
      <c r="AI129" s="89">
        <v>2</v>
      </c>
      <c r="AJ129" s="89">
        <v>2</v>
      </c>
      <c r="AK129" s="89">
        <v>2</v>
      </c>
      <c r="AL129" s="95" t="s">
        <v>4546</v>
      </c>
      <c r="AM129" s="126" t="s">
        <v>4009</v>
      </c>
      <c r="AN129" s="95" t="s">
        <v>4547</v>
      </c>
      <c r="AO129" s="89">
        <v>2</v>
      </c>
      <c r="AP129" s="89">
        <v>2</v>
      </c>
      <c r="AQ129" s="89">
        <v>2</v>
      </c>
      <c r="AR129" s="89">
        <v>2</v>
      </c>
      <c r="AS129" s="95" t="s">
        <v>4546</v>
      </c>
      <c r="AT129" s="95" t="s">
        <v>4548</v>
      </c>
      <c r="AU129" s="95" t="s">
        <v>4549</v>
      </c>
      <c r="AV129" s="89">
        <v>2</v>
      </c>
      <c r="AW129" s="89">
        <v>2</v>
      </c>
      <c r="AX129" s="89">
        <v>2</v>
      </c>
      <c r="AY129" s="89">
        <v>2</v>
      </c>
      <c r="AZ129" s="95" t="s">
        <v>4546</v>
      </c>
      <c r="BA129" s="126" t="s">
        <v>4550</v>
      </c>
      <c r="BB129" s="95" t="s">
        <v>4551</v>
      </c>
      <c r="BC129" s="89">
        <v>2</v>
      </c>
      <c r="BD129" s="89">
        <v>2</v>
      </c>
      <c r="BE129" s="89">
        <v>2</v>
      </c>
      <c r="BF129" s="89">
        <v>2</v>
      </c>
      <c r="BG129" s="95" t="s">
        <v>4546</v>
      </c>
      <c r="BH129" s="95" t="s">
        <v>4552</v>
      </c>
      <c r="BI129" s="95" t="s">
        <v>4553</v>
      </c>
      <c r="BJ129" s="89">
        <v>2</v>
      </c>
      <c r="BK129" s="89">
        <v>2</v>
      </c>
      <c r="BL129" s="89">
        <v>2</v>
      </c>
      <c r="BM129" s="89">
        <v>2</v>
      </c>
      <c r="BN129" s="126" t="s">
        <v>4554</v>
      </c>
      <c r="BO129" s="95" t="s">
        <v>4552</v>
      </c>
      <c r="BP129" s="95" t="s">
        <v>4553</v>
      </c>
      <c r="BQ129" s="88">
        <v>2</v>
      </c>
      <c r="BR129" s="88">
        <v>2</v>
      </c>
      <c r="BS129" s="89">
        <v>2</v>
      </c>
      <c r="BT129" s="89">
        <v>2</v>
      </c>
      <c r="BV129" s="95" t="s">
        <v>4552</v>
      </c>
      <c r="BW129" s="95" t="s">
        <v>4553</v>
      </c>
      <c r="BX129" s="89">
        <v>3</v>
      </c>
      <c r="BY129" s="89">
        <v>3</v>
      </c>
      <c r="BZ129" s="89">
        <v>2</v>
      </c>
      <c r="CA129" s="89">
        <v>2</v>
      </c>
      <c r="CC129" s="95" t="s">
        <v>4552</v>
      </c>
      <c r="CD129" s="95" t="s">
        <v>4553</v>
      </c>
      <c r="CE129" s="89">
        <v>3</v>
      </c>
      <c r="CF129" s="89">
        <v>3</v>
      </c>
      <c r="CG129" s="89">
        <v>2</v>
      </c>
      <c r="CH129" s="89">
        <v>2</v>
      </c>
      <c r="CJ129" s="95" t="s">
        <v>4552</v>
      </c>
      <c r="CK129" s="95" t="s">
        <v>4553</v>
      </c>
      <c r="CL129" s="89">
        <v>3</v>
      </c>
      <c r="CM129" s="89">
        <v>3</v>
      </c>
      <c r="CN129" s="89">
        <v>2</v>
      </c>
      <c r="CO129" s="89">
        <v>2</v>
      </c>
      <c r="CQ129" s="126" t="s">
        <v>4555</v>
      </c>
      <c r="CR129" s="95" t="s">
        <v>4556</v>
      </c>
      <c r="CS129" s="89">
        <v>3</v>
      </c>
      <c r="CT129" s="89">
        <v>3</v>
      </c>
      <c r="CU129" s="89">
        <v>2</v>
      </c>
      <c r="CV129" s="89">
        <v>2</v>
      </c>
      <c r="CW129" s="95" t="s">
        <v>4557</v>
      </c>
      <c r="CX129" s="95" t="s">
        <v>4079</v>
      </c>
      <c r="CY129" s="95" t="s">
        <v>4077</v>
      </c>
      <c r="CZ129" s="89">
        <v>3</v>
      </c>
      <c r="DA129" s="89">
        <v>3</v>
      </c>
      <c r="DB129" s="89">
        <v>2</v>
      </c>
      <c r="DC129" s="89">
        <v>2</v>
      </c>
      <c r="DD129" s="95" t="s">
        <v>4557</v>
      </c>
      <c r="DE129" s="126" t="s">
        <v>4080</v>
      </c>
      <c r="DF129" s="126" t="s">
        <v>4077</v>
      </c>
      <c r="DG129" s="89">
        <v>3</v>
      </c>
      <c r="DH129" s="89">
        <v>3</v>
      </c>
      <c r="DI129" s="89">
        <v>2</v>
      </c>
      <c r="DJ129" s="89">
        <v>2</v>
      </c>
      <c r="DK129" s="95" t="s">
        <v>4557</v>
      </c>
      <c r="DL129" s="126" t="s">
        <v>4412</v>
      </c>
      <c r="DM129" s="126" t="s">
        <v>49</v>
      </c>
      <c r="DN129" s="88">
        <v>3</v>
      </c>
      <c r="DO129" s="88">
        <v>3</v>
      </c>
      <c r="DP129" s="88">
        <v>2</v>
      </c>
      <c r="DQ129" s="88">
        <v>2</v>
      </c>
      <c r="DR129" s="194" t="s">
        <v>4558</v>
      </c>
      <c r="DT129" s="194" t="s">
        <v>4414</v>
      </c>
      <c r="DU129" s="188">
        <v>1</v>
      </c>
      <c r="DV129" s="188">
        <v>1</v>
      </c>
      <c r="DW129" s="188">
        <v>1</v>
      </c>
      <c r="DX129" s="188">
        <v>1</v>
      </c>
      <c r="DY129" s="194" t="s">
        <v>4558</v>
      </c>
      <c r="EA129" s="95" t="s">
        <v>4414</v>
      </c>
      <c r="EB129" s="89">
        <v>1</v>
      </c>
      <c r="EC129" s="89">
        <v>1</v>
      </c>
      <c r="ED129" s="89">
        <v>1</v>
      </c>
      <c r="EE129" s="89">
        <v>1</v>
      </c>
      <c r="EF129" s="194" t="s">
        <v>4558</v>
      </c>
      <c r="EH129" s="95" t="s">
        <v>4414</v>
      </c>
      <c r="EI129" s="89">
        <v>1</v>
      </c>
      <c r="EJ129" s="89">
        <v>1</v>
      </c>
      <c r="EK129" s="89">
        <v>1</v>
      </c>
      <c r="EL129" s="89">
        <v>1</v>
      </c>
      <c r="EM129" s="194" t="s">
        <v>4558</v>
      </c>
      <c r="EO129" s="95" t="s">
        <v>4414</v>
      </c>
      <c r="EP129" s="89">
        <v>1</v>
      </c>
      <c r="EQ129" s="89">
        <v>1</v>
      </c>
      <c r="ER129" s="89">
        <v>1</v>
      </c>
      <c r="ES129" s="89">
        <v>1</v>
      </c>
      <c r="ET129" s="126" t="s">
        <v>4559</v>
      </c>
      <c r="EV129" s="95" t="s">
        <v>4415</v>
      </c>
      <c r="EW129" s="89">
        <v>1</v>
      </c>
      <c r="EX129" s="89">
        <v>1</v>
      </c>
      <c r="EY129" s="89">
        <v>1</v>
      </c>
      <c r="EZ129" s="89">
        <v>1</v>
      </c>
      <c r="FA129" s="95" t="s">
        <v>4560</v>
      </c>
      <c r="FC129" s="89">
        <v>1</v>
      </c>
      <c r="FD129" s="89">
        <v>1</v>
      </c>
      <c r="FE129" s="89">
        <v>1</v>
      </c>
      <c r="FF129" s="89">
        <v>1</v>
      </c>
      <c r="FG129" s="95" t="s">
        <v>4560</v>
      </c>
      <c r="FI129" s="89">
        <v>1</v>
      </c>
      <c r="FJ129" s="89">
        <v>1</v>
      </c>
      <c r="FK129" s="89">
        <v>1</v>
      </c>
      <c r="FL129" s="89">
        <v>1</v>
      </c>
      <c r="FM129" s="95" t="s">
        <v>4560</v>
      </c>
      <c r="FO129" s="89">
        <v>1</v>
      </c>
      <c r="FP129" s="89">
        <v>1</v>
      </c>
      <c r="FQ129" s="89">
        <v>1</v>
      </c>
      <c r="FR129" s="89">
        <v>1</v>
      </c>
      <c r="FS129" s="126" t="s">
        <v>4561</v>
      </c>
      <c r="FT129" s="126"/>
      <c r="FU129" s="89">
        <v>1</v>
      </c>
      <c r="FV129" s="89">
        <v>1</v>
      </c>
      <c r="FW129" s="89">
        <v>1</v>
      </c>
      <c r="FX129" s="89">
        <v>1</v>
      </c>
      <c r="FY129" s="95" t="s">
        <v>4052</v>
      </c>
      <c r="FZ129" s="126"/>
      <c r="GA129" s="89">
        <v>1</v>
      </c>
      <c r="GB129" s="89">
        <v>1</v>
      </c>
      <c r="GC129" s="89">
        <v>1</v>
      </c>
      <c r="GD129" s="89">
        <v>1</v>
      </c>
      <c r="GE129" s="95" t="s">
        <v>4052</v>
      </c>
      <c r="GF129" s="126"/>
      <c r="GG129" s="89">
        <v>1</v>
      </c>
      <c r="GH129" s="89">
        <v>1</v>
      </c>
      <c r="GI129" s="89">
        <v>1</v>
      </c>
      <c r="GJ129" s="89">
        <v>1</v>
      </c>
      <c r="GK129" s="95" t="s">
        <v>4052</v>
      </c>
      <c r="GL129" s="126"/>
      <c r="GM129" s="89">
        <v>1</v>
      </c>
      <c r="GN129" s="89">
        <v>1</v>
      </c>
      <c r="GO129" s="89">
        <v>1</v>
      </c>
      <c r="GP129" s="89">
        <v>1</v>
      </c>
      <c r="GR129" s="126"/>
      <c r="GS129" s="89">
        <v>1</v>
      </c>
      <c r="GT129" s="89">
        <v>1</v>
      </c>
      <c r="GU129" s="89">
        <v>1</v>
      </c>
      <c r="GV129" s="89">
        <v>1</v>
      </c>
      <c r="GX129" s="89">
        <v>1</v>
      </c>
      <c r="GY129" s="89">
        <v>1</v>
      </c>
      <c r="GZ129" s="89">
        <v>1</v>
      </c>
      <c r="HA129" s="89">
        <v>1</v>
      </c>
      <c r="HB129" s="89">
        <v>1</v>
      </c>
      <c r="HC129" s="89">
        <v>1</v>
      </c>
      <c r="HD129" s="89">
        <v>1</v>
      </c>
      <c r="HE129" s="89">
        <v>1</v>
      </c>
    </row>
    <row r="130" ht="28.8" spans="1:213">
      <c r="A130" s="89" t="s">
        <v>243</v>
      </c>
      <c r="B130" s="89" t="s">
        <v>4562</v>
      </c>
      <c r="C130" s="95" t="s">
        <v>4563</v>
      </c>
      <c r="F130" s="89">
        <v>5</v>
      </c>
      <c r="G130" s="89">
        <v>5</v>
      </c>
      <c r="H130" s="89">
        <v>5</v>
      </c>
      <c r="I130" s="89">
        <v>5</v>
      </c>
      <c r="J130" s="95" t="s">
        <v>4563</v>
      </c>
      <c r="M130" s="89">
        <v>5</v>
      </c>
      <c r="N130" s="89">
        <v>5</v>
      </c>
      <c r="O130" s="89">
        <v>5</v>
      </c>
      <c r="P130" s="89">
        <v>5</v>
      </c>
      <c r="Q130" s="95" t="s">
        <v>4563</v>
      </c>
      <c r="T130" s="89">
        <v>5</v>
      </c>
      <c r="U130" s="89">
        <v>5</v>
      </c>
      <c r="V130" s="89">
        <v>5</v>
      </c>
      <c r="W130" s="89">
        <v>5</v>
      </c>
      <c r="X130" s="95" t="s">
        <v>4563</v>
      </c>
      <c r="AA130" s="89">
        <v>5</v>
      </c>
      <c r="AB130" s="89">
        <v>5</v>
      </c>
      <c r="AC130" s="89">
        <v>5</v>
      </c>
      <c r="AD130" s="89">
        <v>5</v>
      </c>
      <c r="AE130" s="95" t="s">
        <v>4563</v>
      </c>
      <c r="AH130" s="89">
        <v>5</v>
      </c>
      <c r="AI130" s="89">
        <v>5</v>
      </c>
      <c r="AJ130" s="89">
        <v>5</v>
      </c>
      <c r="AK130" s="89">
        <v>5</v>
      </c>
      <c r="AL130" s="95" t="s">
        <v>4563</v>
      </c>
      <c r="AO130" s="89">
        <v>5</v>
      </c>
      <c r="AP130" s="89">
        <v>5</v>
      </c>
      <c r="AQ130" s="89">
        <v>5</v>
      </c>
      <c r="AR130" s="89">
        <v>5</v>
      </c>
      <c r="AS130" s="95" t="s">
        <v>4563</v>
      </c>
      <c r="AV130" s="89">
        <v>5</v>
      </c>
      <c r="AW130" s="89">
        <v>5</v>
      </c>
      <c r="AX130" s="89">
        <v>5</v>
      </c>
      <c r="AY130" s="89">
        <v>5</v>
      </c>
      <c r="AZ130" s="95" t="s">
        <v>4563</v>
      </c>
      <c r="BC130" s="89">
        <v>5</v>
      </c>
      <c r="BD130" s="89">
        <v>5</v>
      </c>
      <c r="BE130" s="89">
        <v>5</v>
      </c>
      <c r="BF130" s="89">
        <v>5</v>
      </c>
      <c r="BG130" s="95" t="s">
        <v>4563</v>
      </c>
      <c r="BJ130" s="89">
        <v>5</v>
      </c>
      <c r="BK130" s="89">
        <v>5</v>
      </c>
      <c r="BL130" s="89">
        <v>5</v>
      </c>
      <c r="BM130" s="89">
        <v>5</v>
      </c>
      <c r="BN130" s="126" t="s">
        <v>4564</v>
      </c>
      <c r="BQ130" s="89">
        <v>5</v>
      </c>
      <c r="BR130" s="89">
        <v>5</v>
      </c>
      <c r="BS130" s="89">
        <v>5</v>
      </c>
      <c r="BT130" s="89">
        <v>5</v>
      </c>
      <c r="BX130" s="89">
        <v>4</v>
      </c>
      <c r="BY130" s="89">
        <v>4</v>
      </c>
      <c r="BZ130" s="89">
        <v>4</v>
      </c>
      <c r="CA130" s="89">
        <v>4</v>
      </c>
      <c r="CE130" s="89">
        <v>4</v>
      </c>
      <c r="CF130" s="89">
        <v>4</v>
      </c>
      <c r="CG130" s="89">
        <v>4</v>
      </c>
      <c r="CH130" s="89">
        <v>4</v>
      </c>
      <c r="CL130" s="89">
        <v>4</v>
      </c>
      <c r="CM130" s="89">
        <v>4</v>
      </c>
      <c r="CN130" s="89">
        <v>4</v>
      </c>
      <c r="CO130" s="89">
        <v>4</v>
      </c>
      <c r="CS130" s="89">
        <v>4</v>
      </c>
      <c r="CT130" s="89">
        <v>4</v>
      </c>
      <c r="CU130" s="89">
        <v>4</v>
      </c>
      <c r="CV130" s="89">
        <v>4</v>
      </c>
      <c r="CW130" s="95" t="s">
        <v>4565</v>
      </c>
      <c r="CZ130" s="89">
        <v>4</v>
      </c>
      <c r="DA130" s="89">
        <v>4</v>
      </c>
      <c r="DB130" s="89">
        <v>4</v>
      </c>
      <c r="DC130" s="89">
        <v>4</v>
      </c>
      <c r="DD130" s="95" t="s">
        <v>4565</v>
      </c>
      <c r="DG130" s="89">
        <v>4</v>
      </c>
      <c r="DH130" s="89">
        <v>4</v>
      </c>
      <c r="DI130" s="89">
        <v>4</v>
      </c>
      <c r="DJ130" s="89">
        <v>4</v>
      </c>
      <c r="DK130" s="126" t="s">
        <v>4566</v>
      </c>
      <c r="DN130" s="88">
        <v>4</v>
      </c>
      <c r="DO130" s="88">
        <v>4</v>
      </c>
      <c r="DP130" s="88">
        <v>4</v>
      </c>
      <c r="DQ130" s="88">
        <v>4</v>
      </c>
      <c r="DR130" s="316" t="s">
        <v>4052</v>
      </c>
      <c r="DU130" s="188">
        <v>2</v>
      </c>
      <c r="DV130" s="188">
        <v>1</v>
      </c>
      <c r="DW130" s="188">
        <v>1</v>
      </c>
      <c r="DX130" s="188">
        <v>1</v>
      </c>
      <c r="DY130" s="95" t="s">
        <v>4052</v>
      </c>
      <c r="EB130" s="89">
        <v>2</v>
      </c>
      <c r="EC130" s="89">
        <v>1</v>
      </c>
      <c r="ED130" s="89">
        <v>1</v>
      </c>
      <c r="EE130" s="89">
        <v>1</v>
      </c>
      <c r="EF130" s="95" t="s">
        <v>4052</v>
      </c>
      <c r="EI130" s="89">
        <v>2</v>
      </c>
      <c r="EJ130" s="89">
        <v>1</v>
      </c>
      <c r="EK130" s="89">
        <v>1</v>
      </c>
      <c r="EL130" s="89">
        <v>1</v>
      </c>
      <c r="EM130" s="95" t="s">
        <v>4052</v>
      </c>
      <c r="EP130" s="89">
        <v>2</v>
      </c>
      <c r="EQ130" s="89">
        <v>1</v>
      </c>
      <c r="ER130" s="89">
        <v>1</v>
      </c>
      <c r="ES130" s="89">
        <v>1</v>
      </c>
      <c r="ET130" s="95" t="s">
        <v>4052</v>
      </c>
      <c r="EW130" s="89">
        <v>2</v>
      </c>
      <c r="EX130" s="89">
        <v>1</v>
      </c>
      <c r="EY130" s="89">
        <v>1</v>
      </c>
      <c r="EZ130" s="89">
        <v>1</v>
      </c>
      <c r="FA130" s="95" t="s">
        <v>4052</v>
      </c>
      <c r="FC130" s="89">
        <v>3</v>
      </c>
      <c r="FD130" s="89">
        <v>2</v>
      </c>
      <c r="FE130" s="89">
        <v>1</v>
      </c>
      <c r="FF130" s="89">
        <v>1</v>
      </c>
      <c r="FG130" s="95" t="s">
        <v>4052</v>
      </c>
      <c r="FI130" s="89">
        <v>3</v>
      </c>
      <c r="FJ130" s="89">
        <v>2</v>
      </c>
      <c r="FK130" s="89">
        <v>1</v>
      </c>
      <c r="FL130" s="89">
        <v>1</v>
      </c>
      <c r="FM130" s="95" t="s">
        <v>4052</v>
      </c>
      <c r="FO130" s="89">
        <v>3</v>
      </c>
      <c r="FP130" s="89">
        <v>2</v>
      </c>
      <c r="FQ130" s="89">
        <v>1</v>
      </c>
      <c r="FR130" s="89">
        <v>1</v>
      </c>
      <c r="FS130" s="95" t="s">
        <v>4052</v>
      </c>
      <c r="FU130" s="89">
        <v>3</v>
      </c>
      <c r="FV130" s="89">
        <v>2</v>
      </c>
      <c r="FW130" s="89">
        <v>1</v>
      </c>
      <c r="FX130" s="89">
        <v>1</v>
      </c>
      <c r="FY130" s="95" t="s">
        <v>4052</v>
      </c>
      <c r="GA130" s="89">
        <v>3</v>
      </c>
      <c r="GB130" s="89">
        <v>2</v>
      </c>
      <c r="GC130" s="89">
        <v>1</v>
      </c>
      <c r="GD130" s="89">
        <v>1</v>
      </c>
      <c r="GE130" s="95" t="s">
        <v>4052</v>
      </c>
      <c r="GG130" s="89">
        <v>3</v>
      </c>
      <c r="GH130" s="89">
        <v>2</v>
      </c>
      <c r="GI130" s="89">
        <v>1</v>
      </c>
      <c r="GJ130" s="89">
        <v>1</v>
      </c>
      <c r="GK130" s="95" t="s">
        <v>4052</v>
      </c>
      <c r="GM130" s="89">
        <v>3</v>
      </c>
      <c r="GN130" s="89">
        <v>2</v>
      </c>
      <c r="GO130" s="89">
        <v>1</v>
      </c>
      <c r="GP130" s="89">
        <v>1</v>
      </c>
      <c r="GS130" s="89">
        <v>3</v>
      </c>
      <c r="GT130" s="89">
        <v>2</v>
      </c>
      <c r="GU130" s="89">
        <v>1</v>
      </c>
      <c r="GV130" s="89">
        <v>1</v>
      </c>
      <c r="GX130" s="89">
        <v>3</v>
      </c>
      <c r="GY130" s="89">
        <v>2</v>
      </c>
      <c r="GZ130" s="89">
        <v>1</v>
      </c>
      <c r="HA130" s="89">
        <v>1</v>
      </c>
      <c r="HB130" s="89">
        <v>2</v>
      </c>
      <c r="HC130" s="89">
        <v>2</v>
      </c>
      <c r="HD130" s="89">
        <v>1</v>
      </c>
      <c r="HE130" s="89">
        <v>1</v>
      </c>
    </row>
    <row r="131" spans="1:213">
      <c r="A131" s="89" t="s">
        <v>367</v>
      </c>
      <c r="B131" s="89" t="s">
        <v>4567</v>
      </c>
      <c r="C131" s="125"/>
      <c r="F131" s="89">
        <v>4</v>
      </c>
      <c r="G131" s="89">
        <v>4</v>
      </c>
      <c r="H131" s="89">
        <v>4</v>
      </c>
      <c r="I131" s="89">
        <v>4</v>
      </c>
      <c r="J131" s="125"/>
      <c r="M131" s="89">
        <v>4</v>
      </c>
      <c r="N131" s="89">
        <v>4</v>
      </c>
      <c r="O131" s="89">
        <v>4</v>
      </c>
      <c r="P131" s="89">
        <v>4</v>
      </c>
      <c r="Q131" s="125"/>
      <c r="T131" s="89">
        <v>4</v>
      </c>
      <c r="U131" s="89">
        <v>4</v>
      </c>
      <c r="V131" s="89">
        <v>4</v>
      </c>
      <c r="W131" s="89">
        <v>4</v>
      </c>
      <c r="X131" s="125"/>
      <c r="AA131" s="89">
        <v>4</v>
      </c>
      <c r="AB131" s="89">
        <v>4</v>
      </c>
      <c r="AC131" s="89">
        <v>4</v>
      </c>
      <c r="AD131" s="89">
        <v>4</v>
      </c>
      <c r="AE131" s="125"/>
      <c r="AH131" s="89">
        <v>4</v>
      </c>
      <c r="AI131" s="89">
        <v>4</v>
      </c>
      <c r="AJ131" s="89">
        <v>4</v>
      </c>
      <c r="AK131" s="89">
        <v>4</v>
      </c>
      <c r="AL131" s="125"/>
      <c r="AO131" s="89">
        <v>4</v>
      </c>
      <c r="AP131" s="89">
        <v>4</v>
      </c>
      <c r="AQ131" s="89">
        <v>4</v>
      </c>
      <c r="AR131" s="89">
        <v>4</v>
      </c>
      <c r="AS131" s="125"/>
      <c r="AV131" s="89">
        <v>4</v>
      </c>
      <c r="AW131" s="89">
        <v>4</v>
      </c>
      <c r="AX131" s="89">
        <v>4</v>
      </c>
      <c r="AY131" s="89">
        <v>4</v>
      </c>
      <c r="AZ131" s="125"/>
      <c r="BC131" s="89">
        <v>4</v>
      </c>
      <c r="BD131" s="89">
        <v>4</v>
      </c>
      <c r="BE131" s="89">
        <v>4</v>
      </c>
      <c r="BF131" s="89">
        <v>4</v>
      </c>
      <c r="BG131" s="125"/>
      <c r="BJ131" s="89">
        <v>4</v>
      </c>
      <c r="BK131" s="89">
        <v>4</v>
      </c>
      <c r="BL131" s="89">
        <v>4</v>
      </c>
      <c r="BM131" s="89">
        <v>4</v>
      </c>
      <c r="BN131" s="125"/>
      <c r="BQ131" s="89">
        <v>4</v>
      </c>
      <c r="BR131" s="89">
        <v>4</v>
      </c>
      <c r="BS131" s="89">
        <v>4</v>
      </c>
      <c r="BT131" s="89">
        <v>4</v>
      </c>
      <c r="BU131" s="125"/>
      <c r="BX131" s="89">
        <v>5</v>
      </c>
      <c r="BY131" s="89">
        <v>5</v>
      </c>
      <c r="BZ131" s="89">
        <v>5</v>
      </c>
      <c r="CA131" s="89">
        <v>5</v>
      </c>
      <c r="CB131" s="125"/>
      <c r="CE131" s="89">
        <v>5</v>
      </c>
      <c r="CF131" s="89">
        <v>5</v>
      </c>
      <c r="CG131" s="89">
        <v>5</v>
      </c>
      <c r="CH131" s="89">
        <v>5</v>
      </c>
      <c r="CI131" s="125"/>
      <c r="CL131" s="89">
        <v>5</v>
      </c>
      <c r="CM131" s="89">
        <v>5</v>
      </c>
      <c r="CN131" s="89">
        <v>5</v>
      </c>
      <c r="CO131" s="89">
        <v>5</v>
      </c>
      <c r="CP131" s="125"/>
      <c r="CS131" s="89">
        <v>5</v>
      </c>
      <c r="CT131" s="89">
        <v>5</v>
      </c>
      <c r="CU131" s="89">
        <v>5</v>
      </c>
      <c r="CV131" s="89">
        <v>5</v>
      </c>
      <c r="CW131" s="125" t="s">
        <v>4052</v>
      </c>
      <c r="CZ131" s="89">
        <v>5</v>
      </c>
      <c r="DA131" s="89">
        <v>5</v>
      </c>
      <c r="DB131" s="89">
        <v>5</v>
      </c>
      <c r="DC131" s="89">
        <v>5</v>
      </c>
      <c r="DD131" s="125" t="s">
        <v>4052</v>
      </c>
      <c r="DG131" s="89">
        <v>5</v>
      </c>
      <c r="DH131" s="89">
        <v>5</v>
      </c>
      <c r="DI131" s="89">
        <v>5</v>
      </c>
      <c r="DJ131" s="89">
        <v>5</v>
      </c>
      <c r="DK131" s="95" t="s">
        <v>4052</v>
      </c>
      <c r="DN131" s="88">
        <v>5</v>
      </c>
      <c r="DO131" s="88">
        <v>5</v>
      </c>
      <c r="DP131" s="88">
        <v>5</v>
      </c>
      <c r="DQ131" s="88">
        <v>5</v>
      </c>
      <c r="DR131" s="194" t="s">
        <v>4052</v>
      </c>
      <c r="DU131" s="188">
        <v>4</v>
      </c>
      <c r="DV131" s="188">
        <v>3</v>
      </c>
      <c r="DW131" s="188">
        <v>3</v>
      </c>
      <c r="DX131" s="188">
        <v>3</v>
      </c>
      <c r="DY131" s="95" t="s">
        <v>4052</v>
      </c>
      <c r="EB131" s="89">
        <v>4</v>
      </c>
      <c r="EC131" s="89">
        <v>3</v>
      </c>
      <c r="ED131" s="89">
        <v>3</v>
      </c>
      <c r="EE131" s="89">
        <v>3</v>
      </c>
      <c r="EF131" s="95" t="s">
        <v>4052</v>
      </c>
      <c r="EI131" s="89">
        <v>4</v>
      </c>
      <c r="EJ131" s="89">
        <v>3</v>
      </c>
      <c r="EK131" s="89">
        <v>3</v>
      </c>
      <c r="EL131" s="89">
        <v>3</v>
      </c>
      <c r="EM131" s="95" t="s">
        <v>4052</v>
      </c>
      <c r="EP131" s="89">
        <v>4</v>
      </c>
      <c r="EQ131" s="89">
        <v>3</v>
      </c>
      <c r="ER131" s="89">
        <v>3</v>
      </c>
      <c r="ES131" s="89">
        <v>3</v>
      </c>
      <c r="ET131" s="95" t="s">
        <v>4052</v>
      </c>
      <c r="EW131" s="89">
        <v>4</v>
      </c>
      <c r="EX131" s="89">
        <v>3</v>
      </c>
      <c r="EY131" s="89">
        <v>3</v>
      </c>
      <c r="EZ131" s="89">
        <v>3</v>
      </c>
      <c r="FA131" s="95" t="s">
        <v>4052</v>
      </c>
      <c r="FC131" s="89">
        <v>4</v>
      </c>
      <c r="FD131" s="89">
        <v>4</v>
      </c>
      <c r="FE131" s="89">
        <v>3</v>
      </c>
      <c r="FF131" s="89">
        <v>3</v>
      </c>
      <c r="FG131" s="95" t="s">
        <v>4052</v>
      </c>
      <c r="FI131" s="89">
        <v>4</v>
      </c>
      <c r="FJ131" s="89">
        <v>4</v>
      </c>
      <c r="FK131" s="89">
        <v>3</v>
      </c>
      <c r="FL131" s="89">
        <v>3</v>
      </c>
      <c r="FM131" s="95" t="s">
        <v>4052</v>
      </c>
      <c r="FO131" s="89">
        <v>4</v>
      </c>
      <c r="FP131" s="89">
        <v>4</v>
      </c>
      <c r="FQ131" s="89">
        <v>3</v>
      </c>
      <c r="FR131" s="89">
        <v>3</v>
      </c>
      <c r="FS131" s="95" t="s">
        <v>4052</v>
      </c>
      <c r="FU131" s="89">
        <v>4</v>
      </c>
      <c r="FV131" s="89">
        <v>4</v>
      </c>
      <c r="FW131" s="89">
        <v>3</v>
      </c>
      <c r="FX131" s="89">
        <v>3</v>
      </c>
      <c r="FY131" s="95" t="s">
        <v>4052</v>
      </c>
      <c r="GA131" s="89">
        <v>4</v>
      </c>
      <c r="GB131" s="89">
        <v>4</v>
      </c>
      <c r="GC131" s="89">
        <v>3</v>
      </c>
      <c r="GD131" s="89">
        <v>3</v>
      </c>
      <c r="GE131" s="95" t="s">
        <v>4052</v>
      </c>
      <c r="GG131" s="89">
        <v>4</v>
      </c>
      <c r="GH131" s="89">
        <v>4</v>
      </c>
      <c r="GI131" s="89">
        <v>3</v>
      </c>
      <c r="GJ131" s="89">
        <v>3</v>
      </c>
      <c r="GK131" s="95" t="s">
        <v>4052</v>
      </c>
      <c r="GM131" s="89">
        <v>4</v>
      </c>
      <c r="GN131" s="89">
        <v>4</v>
      </c>
      <c r="GO131" s="89">
        <v>3</v>
      </c>
      <c r="GP131" s="89">
        <v>3</v>
      </c>
      <c r="GS131" s="89">
        <v>4</v>
      </c>
      <c r="GT131" s="89">
        <v>4</v>
      </c>
      <c r="GU131" s="89">
        <v>4</v>
      </c>
      <c r="GV131" s="89">
        <v>4</v>
      </c>
      <c r="GX131" s="89">
        <v>4</v>
      </c>
      <c r="GY131" s="89">
        <v>4</v>
      </c>
      <c r="GZ131" s="89">
        <v>4</v>
      </c>
      <c r="HA131" s="89">
        <v>4</v>
      </c>
      <c r="HB131" s="89">
        <v>4</v>
      </c>
      <c r="HC131" s="89">
        <v>4</v>
      </c>
      <c r="HD131" s="89">
        <v>4</v>
      </c>
      <c r="HE131" s="89">
        <v>4</v>
      </c>
    </row>
    <row r="132" hidden="1" spans="1:213">
      <c r="A132" s="89" t="s">
        <v>367</v>
      </c>
      <c r="B132" s="89" t="s">
        <v>4568</v>
      </c>
      <c r="F132" s="89">
        <v>3</v>
      </c>
      <c r="G132" s="89">
        <v>3</v>
      </c>
      <c r="H132" s="89">
        <v>3</v>
      </c>
      <c r="I132" s="89">
        <v>3</v>
      </c>
      <c r="M132" s="89">
        <v>3</v>
      </c>
      <c r="N132" s="89">
        <v>3</v>
      </c>
      <c r="O132" s="89">
        <v>3</v>
      </c>
      <c r="P132" s="89">
        <v>3</v>
      </c>
      <c r="T132" s="89">
        <v>3</v>
      </c>
      <c r="U132" s="89">
        <v>3</v>
      </c>
      <c r="V132" s="89">
        <v>3</v>
      </c>
      <c r="W132" s="89">
        <v>3</v>
      </c>
      <c r="AA132" s="89">
        <v>3</v>
      </c>
      <c r="AB132" s="89">
        <v>3</v>
      </c>
      <c r="AC132" s="89">
        <v>3</v>
      </c>
      <c r="AD132" s="89">
        <v>3</v>
      </c>
      <c r="AH132" s="89">
        <v>3</v>
      </c>
      <c r="AI132" s="89">
        <v>3</v>
      </c>
      <c r="AJ132" s="89">
        <v>3</v>
      </c>
      <c r="AK132" s="89">
        <v>3</v>
      </c>
      <c r="AO132" s="89">
        <v>3</v>
      </c>
      <c r="AP132" s="89">
        <v>3</v>
      </c>
      <c r="AQ132" s="89">
        <v>3</v>
      </c>
      <c r="AR132" s="89">
        <v>3</v>
      </c>
      <c r="AV132" s="89">
        <v>3</v>
      </c>
      <c r="AW132" s="89">
        <v>3</v>
      </c>
      <c r="AX132" s="89">
        <v>3</v>
      </c>
      <c r="AY132" s="89">
        <v>3</v>
      </c>
      <c r="BC132" s="89">
        <v>3</v>
      </c>
      <c r="BD132" s="89">
        <v>3</v>
      </c>
      <c r="BE132" s="89">
        <v>3</v>
      </c>
      <c r="BF132" s="89">
        <v>3</v>
      </c>
      <c r="BJ132" s="89">
        <v>3</v>
      </c>
      <c r="BK132" s="89">
        <v>3</v>
      </c>
      <c r="BL132" s="89">
        <v>3</v>
      </c>
      <c r="BM132" s="89">
        <v>3</v>
      </c>
      <c r="BQ132" s="89">
        <v>3</v>
      </c>
      <c r="BR132" s="89">
        <v>3</v>
      </c>
      <c r="BS132" s="89">
        <v>3</v>
      </c>
      <c r="BT132" s="89">
        <v>3</v>
      </c>
      <c r="BX132" s="89">
        <v>3</v>
      </c>
      <c r="BY132" s="89">
        <v>3</v>
      </c>
      <c r="BZ132" s="89">
        <v>3</v>
      </c>
      <c r="CA132" s="89">
        <v>3</v>
      </c>
      <c r="CE132" s="89">
        <v>3</v>
      </c>
      <c r="CF132" s="89">
        <v>3</v>
      </c>
      <c r="CG132" s="89">
        <v>3</v>
      </c>
      <c r="CH132" s="89">
        <v>3</v>
      </c>
      <c r="CL132" s="89">
        <v>3</v>
      </c>
      <c r="CM132" s="89">
        <v>3</v>
      </c>
      <c r="CN132" s="89">
        <v>3</v>
      </c>
      <c r="CO132" s="89">
        <v>3</v>
      </c>
      <c r="CS132" s="89">
        <v>3</v>
      </c>
      <c r="CT132" s="89">
        <v>3</v>
      </c>
      <c r="CU132" s="89">
        <v>3</v>
      </c>
      <c r="CV132" s="89">
        <v>3</v>
      </c>
      <c r="CW132" s="95" t="s">
        <v>4569</v>
      </c>
      <c r="CZ132" s="89">
        <v>3</v>
      </c>
      <c r="DA132" s="89">
        <v>3</v>
      </c>
      <c r="DB132" s="89">
        <v>3</v>
      </c>
      <c r="DC132" s="89">
        <v>3</v>
      </c>
      <c r="DD132" s="95" t="s">
        <v>4569</v>
      </c>
      <c r="DG132" s="89">
        <v>3</v>
      </c>
      <c r="DH132" s="89">
        <v>3</v>
      </c>
      <c r="DI132" s="89">
        <v>3</v>
      </c>
      <c r="DJ132" s="89">
        <v>3</v>
      </c>
      <c r="DK132" s="95" t="s">
        <v>4570</v>
      </c>
      <c r="DN132" s="88">
        <v>3</v>
      </c>
      <c r="DO132" s="88">
        <v>3</v>
      </c>
      <c r="DP132" s="88">
        <v>3</v>
      </c>
      <c r="DQ132" s="88">
        <v>3</v>
      </c>
      <c r="DR132" s="194" t="s">
        <v>4570</v>
      </c>
      <c r="DU132" s="188">
        <v>3</v>
      </c>
      <c r="DV132" s="188">
        <v>2</v>
      </c>
      <c r="DW132" s="188">
        <v>2</v>
      </c>
      <c r="DX132" s="188">
        <v>2</v>
      </c>
      <c r="DY132" s="95" t="s">
        <v>4570</v>
      </c>
      <c r="EB132" s="89">
        <v>3</v>
      </c>
      <c r="EC132" s="89">
        <v>2</v>
      </c>
      <c r="ED132" s="89">
        <v>2</v>
      </c>
      <c r="EE132" s="89">
        <v>2</v>
      </c>
      <c r="EF132" s="95" t="s">
        <v>4570</v>
      </c>
      <c r="EI132" s="89">
        <v>3</v>
      </c>
      <c r="EJ132" s="89">
        <v>2</v>
      </c>
      <c r="EK132" s="89">
        <v>2</v>
      </c>
      <c r="EL132" s="89">
        <v>2</v>
      </c>
      <c r="EM132" s="95" t="s">
        <v>4570</v>
      </c>
      <c r="EP132" s="89">
        <v>3</v>
      </c>
      <c r="EQ132" s="89">
        <v>2</v>
      </c>
      <c r="ER132" s="89">
        <v>2</v>
      </c>
      <c r="ES132" s="89">
        <v>2</v>
      </c>
      <c r="ET132" s="95" t="s">
        <v>4570</v>
      </c>
      <c r="EW132" s="89">
        <v>3</v>
      </c>
      <c r="EX132" s="89">
        <v>2</v>
      </c>
      <c r="EY132" s="89">
        <v>2</v>
      </c>
      <c r="EZ132" s="89">
        <v>2</v>
      </c>
      <c r="FA132" s="95" t="s">
        <v>4570</v>
      </c>
      <c r="FC132" s="89">
        <v>2</v>
      </c>
      <c r="FD132" s="89">
        <v>3</v>
      </c>
      <c r="FE132" s="89">
        <v>2</v>
      </c>
      <c r="FF132" s="89">
        <v>2</v>
      </c>
      <c r="FG132" s="95" t="s">
        <v>4570</v>
      </c>
      <c r="FI132" s="89">
        <v>2</v>
      </c>
      <c r="FJ132" s="89">
        <v>3</v>
      </c>
      <c r="FK132" s="89">
        <v>2</v>
      </c>
      <c r="FL132" s="89">
        <v>2</v>
      </c>
      <c r="FM132" s="95" t="s">
        <v>4570</v>
      </c>
      <c r="FO132" s="89">
        <v>2</v>
      </c>
      <c r="FP132" s="89">
        <v>3</v>
      </c>
      <c r="FQ132" s="89">
        <v>2</v>
      </c>
      <c r="FR132" s="89">
        <v>2</v>
      </c>
      <c r="FS132" s="95" t="s">
        <v>4570</v>
      </c>
      <c r="FU132" s="89">
        <v>2</v>
      </c>
      <c r="FV132" s="89">
        <v>3</v>
      </c>
      <c r="FW132" s="89">
        <v>2</v>
      </c>
      <c r="FX132" s="89">
        <v>2</v>
      </c>
      <c r="FY132" s="95" t="s">
        <v>4570</v>
      </c>
      <c r="GA132" s="89">
        <v>2</v>
      </c>
      <c r="GB132" s="89">
        <v>3</v>
      </c>
      <c r="GC132" s="89">
        <v>2</v>
      </c>
      <c r="GD132" s="89">
        <v>2</v>
      </c>
      <c r="GE132" s="95" t="s">
        <v>4570</v>
      </c>
      <c r="GG132" s="89">
        <v>2</v>
      </c>
      <c r="GH132" s="89">
        <v>3</v>
      </c>
      <c r="GI132" s="89">
        <v>2</v>
      </c>
      <c r="GJ132" s="89">
        <v>2</v>
      </c>
      <c r="GK132" s="95" t="s">
        <v>4570</v>
      </c>
      <c r="GM132" s="89">
        <v>2</v>
      </c>
      <c r="GN132" s="89">
        <v>3</v>
      </c>
      <c r="GO132" s="89">
        <v>2</v>
      </c>
      <c r="GP132" s="89">
        <v>2</v>
      </c>
      <c r="GS132" s="89">
        <v>2</v>
      </c>
      <c r="GT132" s="89">
        <v>3</v>
      </c>
      <c r="GU132" s="89">
        <v>3</v>
      </c>
      <c r="GV132" s="89">
        <v>3</v>
      </c>
      <c r="GX132" s="89">
        <v>2</v>
      </c>
      <c r="GY132" s="89">
        <v>3</v>
      </c>
      <c r="GZ132" s="89">
        <v>3</v>
      </c>
      <c r="HA132" s="89">
        <v>3</v>
      </c>
      <c r="HB132" s="89">
        <v>3</v>
      </c>
      <c r="HC132" s="89">
        <v>3</v>
      </c>
      <c r="HD132" s="89">
        <v>3</v>
      </c>
      <c r="HE132" s="89">
        <v>3</v>
      </c>
    </row>
    <row r="133" ht="15.6" spans="1:121">
      <c r="A133" s="192" t="s">
        <v>230</v>
      </c>
      <c r="B133" s="7" t="s">
        <v>586</v>
      </c>
      <c r="F133" s="89">
        <v>3</v>
      </c>
      <c r="G133" s="89">
        <v>3</v>
      </c>
      <c r="H133" s="89">
        <v>3</v>
      </c>
      <c r="I133" s="89">
        <v>3</v>
      </c>
      <c r="M133" s="89">
        <v>3</v>
      </c>
      <c r="N133" s="89">
        <v>3</v>
      </c>
      <c r="O133" s="89">
        <v>3</v>
      </c>
      <c r="P133" s="89">
        <v>3</v>
      </c>
      <c r="T133" s="89">
        <v>3</v>
      </c>
      <c r="U133" s="89">
        <v>3</v>
      </c>
      <c r="V133" s="89">
        <v>3</v>
      </c>
      <c r="W133" s="89">
        <v>3</v>
      </c>
      <c r="AA133" s="89">
        <v>3</v>
      </c>
      <c r="AB133" s="89">
        <v>3</v>
      </c>
      <c r="AC133" s="89">
        <v>3</v>
      </c>
      <c r="AD133" s="89">
        <v>3</v>
      </c>
      <c r="AH133" s="89">
        <v>3</v>
      </c>
      <c r="AI133" s="89">
        <v>3</v>
      </c>
      <c r="AJ133" s="89">
        <v>3</v>
      </c>
      <c r="AK133" s="89">
        <v>3</v>
      </c>
      <c r="AO133" s="89">
        <v>3</v>
      </c>
      <c r="AP133" s="89">
        <v>3</v>
      </c>
      <c r="AQ133" s="89">
        <v>3</v>
      </c>
      <c r="AR133" s="89">
        <v>3</v>
      </c>
      <c r="AV133" s="89">
        <v>3</v>
      </c>
      <c r="AW133" s="89">
        <v>3</v>
      </c>
      <c r="AX133" s="89">
        <v>3</v>
      </c>
      <c r="AY133" s="89">
        <v>3</v>
      </c>
      <c r="BC133" s="89">
        <v>3</v>
      </c>
      <c r="BD133" s="89">
        <v>3</v>
      </c>
      <c r="BE133" s="89">
        <v>3</v>
      </c>
      <c r="BF133" s="89">
        <v>3</v>
      </c>
      <c r="BJ133" s="89">
        <v>3</v>
      </c>
      <c r="BK133" s="89">
        <v>3</v>
      </c>
      <c r="BL133" s="89">
        <v>3</v>
      </c>
      <c r="BM133" s="89">
        <v>3</v>
      </c>
      <c r="BQ133" s="89">
        <v>3</v>
      </c>
      <c r="BR133" s="89">
        <v>3</v>
      </c>
      <c r="BS133" s="89">
        <v>3</v>
      </c>
      <c r="BT133" s="89">
        <v>3</v>
      </c>
      <c r="BX133" s="89">
        <v>2</v>
      </c>
      <c r="BY133" s="89">
        <v>2</v>
      </c>
      <c r="BZ133" s="89">
        <v>3</v>
      </c>
      <c r="CA133" s="89">
        <v>3</v>
      </c>
      <c r="CE133" s="89">
        <v>2</v>
      </c>
      <c r="CF133" s="89">
        <v>2</v>
      </c>
      <c r="CG133" s="89">
        <v>3</v>
      </c>
      <c r="CH133" s="89">
        <v>3</v>
      </c>
      <c r="CL133" s="89">
        <v>2</v>
      </c>
      <c r="CM133" s="89">
        <v>2</v>
      </c>
      <c r="CN133" s="89">
        <v>3</v>
      </c>
      <c r="CO133" s="89">
        <v>3</v>
      </c>
      <c r="CS133" s="89">
        <v>2</v>
      </c>
      <c r="CT133" s="89">
        <v>2</v>
      </c>
      <c r="CU133" s="89">
        <v>3</v>
      </c>
      <c r="CV133" s="89">
        <v>3</v>
      </c>
      <c r="CW133" s="95" t="s">
        <v>4283</v>
      </c>
      <c r="CZ133" s="89">
        <v>2</v>
      </c>
      <c r="DA133" s="89">
        <v>2</v>
      </c>
      <c r="DB133" s="89">
        <v>3</v>
      </c>
      <c r="DC133" s="89">
        <v>3</v>
      </c>
      <c r="DD133" s="95" t="s">
        <v>4283</v>
      </c>
      <c r="DG133" s="89">
        <v>2</v>
      </c>
      <c r="DH133" s="89">
        <v>2</v>
      </c>
      <c r="DI133" s="89">
        <v>3</v>
      </c>
      <c r="DJ133" s="89">
        <v>3</v>
      </c>
      <c r="DK133" s="126" t="s">
        <v>4284</v>
      </c>
      <c r="DN133" s="88">
        <v>2</v>
      </c>
      <c r="DO133" s="88">
        <v>2</v>
      </c>
      <c r="DP133" s="88">
        <v>3</v>
      </c>
      <c r="DQ133" s="88">
        <v>3</v>
      </c>
    </row>
    <row r="134" spans="1:121">
      <c r="A134" s="188" t="s">
        <v>230</v>
      </c>
      <c r="B134" s="188" t="s">
        <v>585</v>
      </c>
      <c r="D134" s="125"/>
      <c r="F134" s="89">
        <v>1</v>
      </c>
      <c r="G134" s="89">
        <v>1</v>
      </c>
      <c r="H134" s="89">
        <v>1</v>
      </c>
      <c r="I134" s="89">
        <v>1</v>
      </c>
      <c r="K134" s="125"/>
      <c r="M134" s="89">
        <v>1</v>
      </c>
      <c r="N134" s="89">
        <v>1</v>
      </c>
      <c r="O134" s="89">
        <v>1</v>
      </c>
      <c r="P134" s="89">
        <v>1</v>
      </c>
      <c r="R134" s="125"/>
      <c r="T134" s="89">
        <v>1</v>
      </c>
      <c r="U134" s="89">
        <v>1</v>
      </c>
      <c r="V134" s="89">
        <v>1</v>
      </c>
      <c r="W134" s="89">
        <v>1</v>
      </c>
      <c r="Y134" s="125"/>
      <c r="AA134" s="89">
        <v>1</v>
      </c>
      <c r="AB134" s="89">
        <v>1</v>
      </c>
      <c r="AC134" s="89">
        <v>1</v>
      </c>
      <c r="AD134" s="89">
        <v>1</v>
      </c>
      <c r="AF134" s="125"/>
      <c r="AH134" s="89">
        <v>1</v>
      </c>
      <c r="AI134" s="89">
        <v>1</v>
      </c>
      <c r="AJ134" s="89">
        <v>1</v>
      </c>
      <c r="AK134" s="89">
        <v>1</v>
      </c>
      <c r="AM134" s="125"/>
      <c r="AO134" s="89">
        <v>1</v>
      </c>
      <c r="AP134" s="89">
        <v>1</v>
      </c>
      <c r="AQ134" s="89">
        <v>1</v>
      </c>
      <c r="AR134" s="89">
        <v>1</v>
      </c>
      <c r="AT134" s="125"/>
      <c r="AV134" s="89">
        <v>1</v>
      </c>
      <c r="AW134" s="89">
        <v>1</v>
      </c>
      <c r="AX134" s="89">
        <v>1</v>
      </c>
      <c r="AY134" s="89">
        <v>1</v>
      </c>
      <c r="BA134" s="125"/>
      <c r="BC134" s="89">
        <v>1</v>
      </c>
      <c r="BD134" s="89">
        <v>1</v>
      </c>
      <c r="BE134" s="89">
        <v>1</v>
      </c>
      <c r="BF134" s="89">
        <v>1</v>
      </c>
      <c r="BH134" s="125"/>
      <c r="BJ134" s="89">
        <v>1</v>
      </c>
      <c r="BK134" s="89">
        <v>1</v>
      </c>
      <c r="BL134" s="89">
        <v>1</v>
      </c>
      <c r="BM134" s="89">
        <v>1</v>
      </c>
      <c r="BO134" s="125"/>
      <c r="BQ134" s="89">
        <v>1</v>
      </c>
      <c r="BR134" s="89">
        <v>1</v>
      </c>
      <c r="BS134" s="89">
        <v>1</v>
      </c>
      <c r="BT134" s="89">
        <v>1</v>
      </c>
      <c r="BV134" s="125"/>
      <c r="BX134" s="89">
        <v>1</v>
      </c>
      <c r="BY134" s="89">
        <v>1</v>
      </c>
      <c r="BZ134" s="89">
        <v>1</v>
      </c>
      <c r="CA134" s="89">
        <v>1</v>
      </c>
      <c r="CC134" s="125"/>
      <c r="CE134" s="89">
        <v>1</v>
      </c>
      <c r="CF134" s="89">
        <v>1</v>
      </c>
      <c r="CG134" s="89">
        <v>1</v>
      </c>
      <c r="CH134" s="89">
        <v>1</v>
      </c>
      <c r="CJ134" s="125"/>
      <c r="CL134" s="89">
        <v>1</v>
      </c>
      <c r="CM134" s="89">
        <v>1</v>
      </c>
      <c r="CN134" s="89">
        <v>1</v>
      </c>
      <c r="CO134" s="89">
        <v>1</v>
      </c>
      <c r="CQ134" s="125"/>
      <c r="CS134" s="89">
        <v>1</v>
      </c>
      <c r="CT134" s="89">
        <v>1</v>
      </c>
      <c r="CU134" s="89">
        <v>1</v>
      </c>
      <c r="CV134" s="89">
        <v>1</v>
      </c>
      <c r="CW134" s="95" t="s">
        <v>4283</v>
      </c>
      <c r="CX134" s="125" t="s">
        <v>4571</v>
      </c>
      <c r="CZ134" s="89">
        <v>1</v>
      </c>
      <c r="DA134" s="89">
        <v>1</v>
      </c>
      <c r="DB134" s="89">
        <v>1</v>
      </c>
      <c r="DC134" s="89">
        <v>1</v>
      </c>
      <c r="DD134" s="95" t="s">
        <v>4283</v>
      </c>
      <c r="DE134" s="125" t="s">
        <v>4571</v>
      </c>
      <c r="DG134" s="89">
        <v>1</v>
      </c>
      <c r="DH134" s="89">
        <v>1</v>
      </c>
      <c r="DI134" s="89">
        <v>1</v>
      </c>
      <c r="DJ134" s="89">
        <v>1</v>
      </c>
      <c r="DK134" s="126" t="s">
        <v>4284</v>
      </c>
      <c r="DL134" s="124" t="s">
        <v>4572</v>
      </c>
      <c r="DN134" s="88">
        <v>1</v>
      </c>
      <c r="DO134" s="88">
        <v>1</v>
      </c>
      <c r="DP134" s="88">
        <v>1</v>
      </c>
      <c r="DQ134" s="88">
        <v>1</v>
      </c>
    </row>
    <row r="136" customHeight="1" spans="1:213">
      <c r="A136" s="96" t="s">
        <v>177</v>
      </c>
      <c r="B136" s="97"/>
      <c r="C136" s="116" t="s">
        <v>3923</v>
      </c>
      <c r="D136" s="128"/>
      <c r="E136" s="128"/>
      <c r="F136" s="128"/>
      <c r="G136" s="128"/>
      <c r="H136" s="128"/>
      <c r="I136" s="132"/>
      <c r="J136" s="116" t="s">
        <v>3923</v>
      </c>
      <c r="K136" s="128"/>
      <c r="L136" s="128"/>
      <c r="M136" s="128"/>
      <c r="N136" s="128"/>
      <c r="O136" s="128"/>
      <c r="P136" s="132"/>
      <c r="Q136" s="116" t="s">
        <v>4083</v>
      </c>
      <c r="R136" s="128"/>
      <c r="S136" s="128"/>
      <c r="T136" s="128"/>
      <c r="U136" s="128"/>
      <c r="V136" s="128"/>
      <c r="W136" s="132"/>
      <c r="X136" s="116" t="s">
        <v>3925</v>
      </c>
      <c r="Y136" s="128"/>
      <c r="Z136" s="128"/>
      <c r="AA136" s="128"/>
      <c r="AB136" s="128"/>
      <c r="AC136" s="128"/>
      <c r="AD136" s="132"/>
      <c r="AE136" s="116" t="s">
        <v>3926</v>
      </c>
      <c r="AF136" s="128"/>
      <c r="AG136" s="128"/>
      <c r="AH136" s="128"/>
      <c r="AI136" s="128"/>
      <c r="AJ136" s="128"/>
      <c r="AK136" s="132"/>
      <c r="AL136" s="116" t="s">
        <v>3927</v>
      </c>
      <c r="AM136" s="128"/>
      <c r="AN136" s="128"/>
      <c r="AO136" s="128"/>
      <c r="AP136" s="128"/>
      <c r="AQ136" s="128"/>
      <c r="AR136" s="132"/>
      <c r="AS136" s="116" t="s">
        <v>3928</v>
      </c>
      <c r="AT136" s="128"/>
      <c r="AU136" s="128"/>
      <c r="AV136" s="128"/>
      <c r="AW136" s="128"/>
      <c r="AX136" s="128"/>
      <c r="AY136" s="132"/>
      <c r="AZ136" s="116" t="s">
        <v>3929</v>
      </c>
      <c r="BA136" s="128"/>
      <c r="BB136" s="128"/>
      <c r="BC136" s="128"/>
      <c r="BD136" s="128"/>
      <c r="BE136" s="128"/>
      <c r="BF136" s="132"/>
      <c r="BG136" s="116" t="s">
        <v>3930</v>
      </c>
      <c r="BH136" s="128"/>
      <c r="BI136" s="128"/>
      <c r="BJ136" s="128"/>
      <c r="BK136" s="128"/>
      <c r="BL136" s="128"/>
      <c r="BM136" s="132"/>
      <c r="BN136" s="116" t="s">
        <v>3931</v>
      </c>
      <c r="BO136" s="128"/>
      <c r="BP136" s="128"/>
      <c r="BQ136" s="128"/>
      <c r="BR136" s="128"/>
      <c r="BS136" s="128"/>
      <c r="BT136" s="132"/>
      <c r="BU136" s="116" t="s">
        <v>3932</v>
      </c>
      <c r="BV136" s="128"/>
      <c r="BW136" s="128"/>
      <c r="BX136" s="128"/>
      <c r="BY136" s="128"/>
      <c r="BZ136" s="128"/>
      <c r="CA136" s="132"/>
      <c r="CB136" s="116" t="s">
        <v>3933</v>
      </c>
      <c r="CC136" s="128"/>
      <c r="CD136" s="128"/>
      <c r="CE136" s="128"/>
      <c r="CF136" s="128"/>
      <c r="CG136" s="128"/>
      <c r="CH136" s="132"/>
      <c r="CI136" s="116" t="s">
        <v>3922</v>
      </c>
      <c r="CJ136" s="128"/>
      <c r="CK136" s="128"/>
      <c r="CL136" s="128"/>
      <c r="CM136" s="128"/>
      <c r="CN136" s="128"/>
      <c r="CO136" s="132"/>
      <c r="CP136" s="116" t="s">
        <v>3934</v>
      </c>
      <c r="CQ136" s="128"/>
      <c r="CR136" s="128"/>
      <c r="CS136" s="128"/>
      <c r="CT136" s="128"/>
      <c r="CU136" s="128"/>
      <c r="CV136" s="132"/>
      <c r="CW136" s="116" t="s">
        <v>3924</v>
      </c>
      <c r="CX136" s="128"/>
      <c r="CY136" s="128"/>
      <c r="CZ136" s="128"/>
      <c r="DA136" s="128"/>
      <c r="DB136" s="128"/>
      <c r="DC136" s="132"/>
      <c r="DD136" s="116" t="s">
        <v>3935</v>
      </c>
      <c r="DE136" s="128"/>
      <c r="DF136" s="128"/>
      <c r="DG136" s="128"/>
      <c r="DH136" s="128"/>
      <c r="DI136" s="128"/>
      <c r="DJ136" s="132"/>
      <c r="DK136" s="116" t="s">
        <v>3936</v>
      </c>
      <c r="DL136" s="128"/>
      <c r="DM136" s="128"/>
      <c r="DN136" s="128"/>
      <c r="DO136" s="128"/>
      <c r="DP136" s="128"/>
      <c r="DQ136" s="132"/>
      <c r="DR136" s="325" t="s">
        <v>3937</v>
      </c>
      <c r="DS136" s="326"/>
      <c r="DT136" s="326"/>
      <c r="DU136" s="326"/>
      <c r="DV136" s="326"/>
      <c r="DW136" s="326"/>
      <c r="DX136" s="327"/>
      <c r="DY136" s="116" t="s">
        <v>3928</v>
      </c>
      <c r="DZ136" s="128"/>
      <c r="EA136" s="128"/>
      <c r="EB136" s="128"/>
      <c r="EC136" s="128"/>
      <c r="ED136" s="128"/>
      <c r="EE136" s="132"/>
      <c r="EF136" s="116" t="s">
        <v>3929</v>
      </c>
      <c r="EG136" s="128"/>
      <c r="EH136" s="128"/>
      <c r="EI136" s="128"/>
      <c r="EJ136" s="128"/>
      <c r="EK136" s="128"/>
      <c r="EL136" s="132"/>
      <c r="EM136" s="116" t="s">
        <v>4084</v>
      </c>
      <c r="EN136" s="128"/>
      <c r="EO136" s="128"/>
      <c r="EP136" s="128"/>
      <c r="EQ136" s="128"/>
      <c r="ER136" s="128"/>
      <c r="ES136" s="132"/>
      <c r="EU136" s="332"/>
      <c r="EV136" s="332"/>
      <c r="EW136" s="116" t="s">
        <v>4085</v>
      </c>
      <c r="EX136" s="128"/>
      <c r="EY136" s="128"/>
      <c r="EZ136" s="132"/>
      <c r="FB136" s="332"/>
      <c r="FC136" s="116" t="s">
        <v>4086</v>
      </c>
      <c r="FD136" s="128"/>
      <c r="FE136" s="128"/>
      <c r="FF136" s="132"/>
      <c r="FH136" s="332"/>
      <c r="FI136" s="116" t="s">
        <v>4087</v>
      </c>
      <c r="FJ136" s="128"/>
      <c r="FK136" s="128"/>
      <c r="FL136" s="132"/>
      <c r="FN136" s="332"/>
      <c r="FO136" s="116" t="s">
        <v>4088</v>
      </c>
      <c r="FP136" s="128"/>
      <c r="FQ136" s="128"/>
      <c r="FR136" s="132"/>
      <c r="FT136" s="332"/>
      <c r="FU136" s="116" t="s">
        <v>4089</v>
      </c>
      <c r="FV136" s="128"/>
      <c r="FW136" s="128"/>
      <c r="FX136" s="132"/>
      <c r="FZ136" s="332"/>
      <c r="GA136" s="116" t="s">
        <v>4090</v>
      </c>
      <c r="GB136" s="128"/>
      <c r="GC136" s="128"/>
      <c r="GD136" s="132"/>
      <c r="GF136" s="332"/>
      <c r="GG136" s="116" t="s">
        <v>4091</v>
      </c>
      <c r="GH136" s="128"/>
      <c r="GI136" s="128"/>
      <c r="GJ136" s="132"/>
      <c r="GL136" s="332"/>
      <c r="GM136" s="116" t="s">
        <v>3941</v>
      </c>
      <c r="GN136" s="128"/>
      <c r="GO136" s="128"/>
      <c r="GP136" s="132"/>
      <c r="GR136" s="332"/>
      <c r="GS136" s="116" t="s">
        <v>3941</v>
      </c>
      <c r="GT136" s="128"/>
      <c r="GU136" s="128"/>
      <c r="GV136" s="132"/>
      <c r="GW136" s="128"/>
      <c r="GX136" s="116" t="s">
        <v>3942</v>
      </c>
      <c r="GY136" s="128"/>
      <c r="GZ136" s="128"/>
      <c r="HA136" s="132"/>
      <c r="HB136" s="116" t="s">
        <v>3943</v>
      </c>
      <c r="HC136" s="128"/>
      <c r="HD136" s="128"/>
      <c r="HE136" s="132"/>
    </row>
    <row r="137" ht="28.2" spans="1:213">
      <c r="A137" s="101" t="s">
        <v>3944</v>
      </c>
      <c r="B137" s="102" t="s">
        <v>207</v>
      </c>
      <c r="C137" s="120" t="s">
        <v>3945</v>
      </c>
      <c r="D137" s="120" t="s">
        <v>3946</v>
      </c>
      <c r="E137" s="313" t="s">
        <v>3947</v>
      </c>
      <c r="F137" s="119" t="s">
        <v>3948</v>
      </c>
      <c r="G137" s="119" t="s">
        <v>3949</v>
      </c>
      <c r="H137" s="119" t="s">
        <v>3950</v>
      </c>
      <c r="I137" s="119" t="s">
        <v>3951</v>
      </c>
      <c r="J137" s="120" t="s">
        <v>3945</v>
      </c>
      <c r="K137" s="120" t="s">
        <v>3946</v>
      </c>
      <c r="L137" s="313" t="s">
        <v>3947</v>
      </c>
      <c r="M137" s="119" t="s">
        <v>3948</v>
      </c>
      <c r="N137" s="119" t="s">
        <v>3949</v>
      </c>
      <c r="O137" s="119" t="s">
        <v>3950</v>
      </c>
      <c r="P137" s="119" t="s">
        <v>3951</v>
      </c>
      <c r="Q137" s="120" t="s">
        <v>3945</v>
      </c>
      <c r="R137" s="120" t="s">
        <v>3946</v>
      </c>
      <c r="S137" s="313" t="s">
        <v>3947</v>
      </c>
      <c r="T137" s="119" t="s">
        <v>3948</v>
      </c>
      <c r="U137" s="119" t="s">
        <v>3949</v>
      </c>
      <c r="V137" s="119" t="s">
        <v>3950</v>
      </c>
      <c r="W137" s="119" t="s">
        <v>3951</v>
      </c>
      <c r="X137" s="120" t="s">
        <v>3952</v>
      </c>
      <c r="Y137" s="120" t="s">
        <v>3953</v>
      </c>
      <c r="Z137" s="313" t="s">
        <v>3947</v>
      </c>
      <c r="AA137" s="119" t="s">
        <v>3948</v>
      </c>
      <c r="AB137" s="119" t="s">
        <v>3949</v>
      </c>
      <c r="AC137" s="119" t="s">
        <v>3950</v>
      </c>
      <c r="AD137" s="119" t="s">
        <v>3951</v>
      </c>
      <c r="AE137" s="120" t="s">
        <v>3954</v>
      </c>
      <c r="AF137" s="120" t="s">
        <v>3955</v>
      </c>
      <c r="AG137" s="313" t="s">
        <v>3947</v>
      </c>
      <c r="AH137" s="119" t="s">
        <v>3948</v>
      </c>
      <c r="AI137" s="119" t="s">
        <v>3949</v>
      </c>
      <c r="AJ137" s="119" t="s">
        <v>3950</v>
      </c>
      <c r="AK137" s="119" t="s">
        <v>3951</v>
      </c>
      <c r="AL137" s="120" t="s">
        <v>3956</v>
      </c>
      <c r="AM137" s="120" t="s">
        <v>3957</v>
      </c>
      <c r="AN137" s="119" t="s">
        <v>3947</v>
      </c>
      <c r="AO137" s="119" t="s">
        <v>3948</v>
      </c>
      <c r="AP137" s="119" t="s">
        <v>3949</v>
      </c>
      <c r="AQ137" s="119" t="s">
        <v>3950</v>
      </c>
      <c r="AR137" s="119" t="s">
        <v>3951</v>
      </c>
      <c r="AS137" s="120" t="s">
        <v>3958</v>
      </c>
      <c r="AT137" s="120" t="s">
        <v>3959</v>
      </c>
      <c r="AU137" s="119" t="s">
        <v>3947</v>
      </c>
      <c r="AV137" s="119" t="s">
        <v>3948</v>
      </c>
      <c r="AW137" s="119" t="s">
        <v>3949</v>
      </c>
      <c r="AX137" s="119" t="s">
        <v>3950</v>
      </c>
      <c r="AY137" s="119" t="s">
        <v>3951</v>
      </c>
      <c r="AZ137" s="120" t="s">
        <v>3960</v>
      </c>
      <c r="BA137" s="120" t="s">
        <v>3961</v>
      </c>
      <c r="BB137" s="119" t="s">
        <v>3947</v>
      </c>
      <c r="BC137" s="119" t="s">
        <v>3948</v>
      </c>
      <c r="BD137" s="119" t="s">
        <v>3949</v>
      </c>
      <c r="BE137" s="119" t="s">
        <v>3950</v>
      </c>
      <c r="BF137" s="119" t="s">
        <v>3951</v>
      </c>
      <c r="BG137" s="120" t="s">
        <v>3962</v>
      </c>
      <c r="BH137" s="120" t="s">
        <v>3963</v>
      </c>
      <c r="BI137" s="119" t="s">
        <v>3947</v>
      </c>
      <c r="BJ137" s="119" t="s">
        <v>3948</v>
      </c>
      <c r="BK137" s="119" t="s">
        <v>3949</v>
      </c>
      <c r="BL137" s="119" t="s">
        <v>3950</v>
      </c>
      <c r="BM137" s="119" t="s">
        <v>3951</v>
      </c>
      <c r="BN137" s="120" t="s">
        <v>3964</v>
      </c>
      <c r="BO137" s="120" t="s">
        <v>3965</v>
      </c>
      <c r="BP137" s="119" t="s">
        <v>3947</v>
      </c>
      <c r="BQ137" s="119" t="s">
        <v>3948</v>
      </c>
      <c r="BR137" s="119" t="s">
        <v>3949</v>
      </c>
      <c r="BS137" s="119" t="s">
        <v>3950</v>
      </c>
      <c r="BT137" s="119" t="s">
        <v>3951</v>
      </c>
      <c r="BU137" s="120" t="s">
        <v>3966</v>
      </c>
      <c r="BV137" s="120" t="s">
        <v>3967</v>
      </c>
      <c r="BW137" s="119" t="s">
        <v>3947</v>
      </c>
      <c r="BX137" s="119" t="s">
        <v>3948</v>
      </c>
      <c r="BY137" s="119" t="s">
        <v>3949</v>
      </c>
      <c r="BZ137" s="119" t="s">
        <v>3950</v>
      </c>
      <c r="CA137" s="119" t="s">
        <v>3951</v>
      </c>
      <c r="CB137" s="120" t="s">
        <v>3968</v>
      </c>
      <c r="CC137" s="120" t="s">
        <v>3969</v>
      </c>
      <c r="CD137" s="119" t="s">
        <v>3947</v>
      </c>
      <c r="CE137" s="119" t="s">
        <v>3948</v>
      </c>
      <c r="CF137" s="119" t="s">
        <v>3949</v>
      </c>
      <c r="CG137" s="119" t="s">
        <v>3950</v>
      </c>
      <c r="CH137" s="119" t="s">
        <v>3951</v>
      </c>
      <c r="CI137" s="120" t="s">
        <v>3970</v>
      </c>
      <c r="CJ137" s="120" t="s">
        <v>3971</v>
      </c>
      <c r="CK137" s="119" t="s">
        <v>3947</v>
      </c>
      <c r="CL137" s="119" t="s">
        <v>3948</v>
      </c>
      <c r="CM137" s="119" t="s">
        <v>3949</v>
      </c>
      <c r="CN137" s="119" t="s">
        <v>3950</v>
      </c>
      <c r="CO137" s="119" t="s">
        <v>3951</v>
      </c>
      <c r="CP137" s="120" t="s">
        <v>3972</v>
      </c>
      <c r="CQ137" s="120" t="s">
        <v>3973</v>
      </c>
      <c r="CR137" s="119" t="s">
        <v>3947</v>
      </c>
      <c r="CS137" s="119" t="s">
        <v>3948</v>
      </c>
      <c r="CT137" s="119" t="s">
        <v>3949</v>
      </c>
      <c r="CU137" s="119" t="s">
        <v>3950</v>
      </c>
      <c r="CV137" s="119" t="s">
        <v>3951</v>
      </c>
      <c r="CW137" s="120" t="s">
        <v>3974</v>
      </c>
      <c r="CX137" s="120" t="s">
        <v>3975</v>
      </c>
      <c r="CY137" s="119" t="s">
        <v>3947</v>
      </c>
      <c r="CZ137" s="119" t="s">
        <v>3948</v>
      </c>
      <c r="DA137" s="119" t="s">
        <v>3949</v>
      </c>
      <c r="DB137" s="119" t="s">
        <v>3950</v>
      </c>
      <c r="DC137" s="119" t="s">
        <v>3951</v>
      </c>
      <c r="DD137" s="120" t="s">
        <v>3974</v>
      </c>
      <c r="DE137" s="120" t="s">
        <v>3975</v>
      </c>
      <c r="DF137" s="119" t="s">
        <v>3947</v>
      </c>
      <c r="DG137" s="119" t="s">
        <v>3948</v>
      </c>
      <c r="DH137" s="119" t="s">
        <v>3949</v>
      </c>
      <c r="DI137" s="119" t="s">
        <v>3950</v>
      </c>
      <c r="DJ137" s="119" t="s">
        <v>3951</v>
      </c>
      <c r="DK137" s="120" t="s">
        <v>3976</v>
      </c>
      <c r="DL137" s="120" t="s">
        <v>3977</v>
      </c>
      <c r="DM137" s="119" t="s">
        <v>3947</v>
      </c>
      <c r="DN137" s="119" t="s">
        <v>3948</v>
      </c>
      <c r="DO137" s="119" t="s">
        <v>3949</v>
      </c>
      <c r="DP137" s="119" t="s">
        <v>3950</v>
      </c>
      <c r="DQ137" s="119" t="s">
        <v>3951</v>
      </c>
      <c r="DR137" s="328" t="s">
        <v>3978</v>
      </c>
      <c r="DS137" s="328" t="s">
        <v>3979</v>
      </c>
      <c r="DT137" s="313" t="s">
        <v>3947</v>
      </c>
      <c r="DU137" s="313" t="s">
        <v>3948</v>
      </c>
      <c r="DV137" s="313" t="s">
        <v>3949</v>
      </c>
      <c r="DW137" s="313" t="s">
        <v>3950</v>
      </c>
      <c r="DX137" s="313" t="s">
        <v>3951</v>
      </c>
      <c r="DY137" s="120" t="s">
        <v>3980</v>
      </c>
      <c r="DZ137" s="120" t="s">
        <v>3981</v>
      </c>
      <c r="EA137" s="119" t="s">
        <v>3947</v>
      </c>
      <c r="EB137" s="119" t="s">
        <v>3948</v>
      </c>
      <c r="EC137" s="119" t="s">
        <v>3949</v>
      </c>
      <c r="ED137" s="119" t="s">
        <v>3950</v>
      </c>
      <c r="EE137" s="119" t="s">
        <v>3951</v>
      </c>
      <c r="EF137" s="120" t="s">
        <v>3982</v>
      </c>
      <c r="EG137" s="120" t="s">
        <v>3983</v>
      </c>
      <c r="EH137" s="119" t="s">
        <v>3947</v>
      </c>
      <c r="EI137" s="119" t="s">
        <v>3948</v>
      </c>
      <c r="EJ137" s="119" t="s">
        <v>3949</v>
      </c>
      <c r="EK137" s="119" t="s">
        <v>3950</v>
      </c>
      <c r="EL137" s="119" t="s">
        <v>3951</v>
      </c>
      <c r="EM137" s="120" t="s">
        <v>3984</v>
      </c>
      <c r="EN137" s="120" t="s">
        <v>3985</v>
      </c>
      <c r="EO137" s="120"/>
      <c r="EP137" s="119" t="s">
        <v>3948</v>
      </c>
      <c r="EQ137" s="119" t="s">
        <v>3949</v>
      </c>
      <c r="ER137" s="119" t="s">
        <v>3950</v>
      </c>
      <c r="ES137" s="119" t="s">
        <v>3951</v>
      </c>
      <c r="ET137" s="120" t="s">
        <v>3986</v>
      </c>
      <c r="EU137" s="120" t="s">
        <v>3987</v>
      </c>
      <c r="EV137" s="120"/>
      <c r="EW137" s="119" t="s">
        <v>3948</v>
      </c>
      <c r="EX137" s="119" t="s">
        <v>3949</v>
      </c>
      <c r="EY137" s="119" t="s">
        <v>3950</v>
      </c>
      <c r="EZ137" s="119" t="s">
        <v>3951</v>
      </c>
      <c r="FA137" s="120" t="s">
        <v>3988</v>
      </c>
      <c r="FB137" s="120" t="s">
        <v>3989</v>
      </c>
      <c r="FC137" s="119" t="s">
        <v>3948</v>
      </c>
      <c r="FD137" s="119" t="s">
        <v>3949</v>
      </c>
      <c r="FE137" s="119" t="s">
        <v>3950</v>
      </c>
      <c r="FF137" s="119" t="s">
        <v>3951</v>
      </c>
      <c r="FG137" s="120" t="s">
        <v>3990</v>
      </c>
      <c r="FH137" s="120" t="s">
        <v>3991</v>
      </c>
      <c r="FI137" s="119" t="s">
        <v>3948</v>
      </c>
      <c r="FJ137" s="119" t="s">
        <v>3949</v>
      </c>
      <c r="FK137" s="119" t="s">
        <v>3950</v>
      </c>
      <c r="FL137" s="119" t="s">
        <v>3951</v>
      </c>
      <c r="FM137" s="120" t="s">
        <v>3992</v>
      </c>
      <c r="FN137" s="120" t="s">
        <v>3993</v>
      </c>
      <c r="FO137" s="119" t="s">
        <v>3948</v>
      </c>
      <c r="FP137" s="119" t="s">
        <v>3949</v>
      </c>
      <c r="FQ137" s="119" t="s">
        <v>3950</v>
      </c>
      <c r="FR137" s="119" t="s">
        <v>3951</v>
      </c>
      <c r="FS137" s="120" t="s">
        <v>3994</v>
      </c>
      <c r="FT137" s="120" t="s">
        <v>3995</v>
      </c>
      <c r="FU137" s="119" t="s">
        <v>3948</v>
      </c>
      <c r="FV137" s="119" t="s">
        <v>3949</v>
      </c>
      <c r="FW137" s="119" t="s">
        <v>3950</v>
      </c>
      <c r="FX137" s="119" t="s">
        <v>3951</v>
      </c>
      <c r="FY137" s="120" t="s">
        <v>3996</v>
      </c>
      <c r="FZ137" s="120" t="s">
        <v>3997</v>
      </c>
      <c r="GA137" s="119" t="s">
        <v>3948</v>
      </c>
      <c r="GB137" s="119" t="s">
        <v>3949</v>
      </c>
      <c r="GC137" s="119" t="s">
        <v>3950</v>
      </c>
      <c r="GD137" s="119" t="s">
        <v>3951</v>
      </c>
      <c r="GE137" s="120" t="s">
        <v>3998</v>
      </c>
      <c r="GF137" s="120" t="s">
        <v>3999</v>
      </c>
      <c r="GG137" s="119" t="s">
        <v>3948</v>
      </c>
      <c r="GH137" s="119" t="s">
        <v>3949</v>
      </c>
      <c r="GI137" s="119" t="s">
        <v>3950</v>
      </c>
      <c r="GJ137" s="119" t="s">
        <v>3951</v>
      </c>
      <c r="GK137" s="120" t="s">
        <v>4000</v>
      </c>
      <c r="GL137" s="120" t="s">
        <v>4001</v>
      </c>
      <c r="GM137" s="119" t="s">
        <v>3948</v>
      </c>
      <c r="GN137" s="119" t="s">
        <v>3949</v>
      </c>
      <c r="GO137" s="119" t="s">
        <v>3950</v>
      </c>
      <c r="GP137" s="119" t="s">
        <v>3951</v>
      </c>
      <c r="GQ137" s="120" t="s">
        <v>4002</v>
      </c>
      <c r="GR137" s="120" t="s">
        <v>4003</v>
      </c>
      <c r="GS137" s="119" t="s">
        <v>3948</v>
      </c>
      <c r="GT137" s="119" t="s">
        <v>3949</v>
      </c>
      <c r="GU137" s="119" t="s">
        <v>3950</v>
      </c>
      <c r="GV137" s="119" t="s">
        <v>3951</v>
      </c>
      <c r="GW137" s="119"/>
      <c r="GX137" s="119" t="s">
        <v>3948</v>
      </c>
      <c r="GY137" s="119" t="s">
        <v>3949</v>
      </c>
      <c r="GZ137" s="119" t="s">
        <v>3950</v>
      </c>
      <c r="HA137" s="119" t="s">
        <v>3951</v>
      </c>
      <c r="HB137" s="119" t="s">
        <v>3948</v>
      </c>
      <c r="HC137" s="119" t="s">
        <v>3949</v>
      </c>
      <c r="HD137" s="119" t="s">
        <v>3950</v>
      </c>
      <c r="HE137" s="119" t="s">
        <v>3951</v>
      </c>
    </row>
    <row r="138" spans="1:2">
      <c r="A138" s="89" t="s">
        <v>4573</v>
      </c>
      <c r="B138" s="108" t="s">
        <v>605</v>
      </c>
    </row>
    <row r="139" ht="111" spans="1:213">
      <c r="A139" s="88" t="s">
        <v>227</v>
      </c>
      <c r="B139" s="105" t="s">
        <v>598</v>
      </c>
      <c r="C139" s="125"/>
      <c r="D139" s="126"/>
      <c r="E139" s="194" t="s">
        <v>4402</v>
      </c>
      <c r="F139" s="89">
        <v>1</v>
      </c>
      <c r="G139" s="89">
        <v>2</v>
      </c>
      <c r="H139" s="89">
        <v>2</v>
      </c>
      <c r="I139" s="89">
        <v>1</v>
      </c>
      <c r="J139" s="125"/>
      <c r="K139" s="126"/>
      <c r="L139" s="194" t="s">
        <v>4402</v>
      </c>
      <c r="M139" s="89">
        <v>1</v>
      </c>
      <c r="N139" s="89">
        <v>2</v>
      </c>
      <c r="O139" s="89">
        <v>2</v>
      </c>
      <c r="P139" s="89">
        <v>1</v>
      </c>
      <c r="Q139" s="125"/>
      <c r="R139" s="126"/>
      <c r="S139" s="194" t="s">
        <v>4402</v>
      </c>
      <c r="T139" s="89">
        <v>1</v>
      </c>
      <c r="U139" s="89">
        <v>2</v>
      </c>
      <c r="V139" s="89">
        <v>2</v>
      </c>
      <c r="W139" s="89">
        <v>1</v>
      </c>
      <c r="X139" s="125"/>
      <c r="Y139" s="126"/>
      <c r="Z139" s="194" t="s">
        <v>4402</v>
      </c>
      <c r="AA139" s="89">
        <v>1</v>
      </c>
      <c r="AB139" s="89">
        <v>2</v>
      </c>
      <c r="AC139" s="89">
        <v>2</v>
      </c>
      <c r="AD139" s="89">
        <v>1</v>
      </c>
      <c r="AE139" s="125"/>
      <c r="AF139" s="126"/>
      <c r="AG139" s="194" t="s">
        <v>4402</v>
      </c>
      <c r="AH139" s="89">
        <v>1</v>
      </c>
      <c r="AI139" s="89">
        <v>2</v>
      </c>
      <c r="AJ139" s="89">
        <v>2</v>
      </c>
      <c r="AK139" s="89">
        <v>1</v>
      </c>
      <c r="AL139" s="125"/>
      <c r="AM139" s="126" t="s">
        <v>4009</v>
      </c>
      <c r="AN139" s="95" t="s">
        <v>4404</v>
      </c>
      <c r="AO139" s="89">
        <v>1</v>
      </c>
      <c r="AP139" s="89">
        <v>2</v>
      </c>
      <c r="AQ139" s="89">
        <v>2</v>
      </c>
      <c r="AR139" s="89">
        <v>1</v>
      </c>
      <c r="AS139" s="125"/>
      <c r="AT139" s="95" t="s">
        <v>4574</v>
      </c>
      <c r="AU139" s="95" t="s">
        <v>4368</v>
      </c>
      <c r="AV139" s="89">
        <v>1</v>
      </c>
      <c r="AW139" s="89">
        <v>2</v>
      </c>
      <c r="AX139" s="89">
        <v>2</v>
      </c>
      <c r="AY139" s="89">
        <v>1</v>
      </c>
      <c r="AZ139" s="125"/>
      <c r="BA139" s="126" t="s">
        <v>4575</v>
      </c>
      <c r="BB139" s="95" t="s">
        <v>4407</v>
      </c>
      <c r="BC139" s="89">
        <v>1</v>
      </c>
      <c r="BD139" s="89">
        <v>2</v>
      </c>
      <c r="BE139" s="89">
        <v>2</v>
      </c>
      <c r="BF139" s="89">
        <v>1</v>
      </c>
      <c r="BG139" s="125"/>
      <c r="BH139" s="95" t="s">
        <v>4576</v>
      </c>
      <c r="BI139" s="126" t="s">
        <v>4577</v>
      </c>
      <c r="BJ139" s="89">
        <v>1</v>
      </c>
      <c r="BK139" s="89">
        <v>2</v>
      </c>
      <c r="BL139" s="89">
        <v>2</v>
      </c>
      <c r="BM139" s="89">
        <v>1</v>
      </c>
      <c r="BN139" s="125"/>
      <c r="BO139" s="95" t="s">
        <v>4578</v>
      </c>
      <c r="BP139" s="95" t="s">
        <v>4459</v>
      </c>
      <c r="BQ139" s="89">
        <v>1</v>
      </c>
      <c r="BR139" s="89">
        <v>2</v>
      </c>
      <c r="BS139" s="89">
        <v>2</v>
      </c>
      <c r="BT139" s="89">
        <v>1</v>
      </c>
      <c r="BU139" s="125"/>
      <c r="BV139" s="95" t="s">
        <v>4578</v>
      </c>
      <c r="BW139" s="95" t="s">
        <v>4459</v>
      </c>
      <c r="BX139" s="89">
        <v>1</v>
      </c>
      <c r="BY139" s="89">
        <v>2</v>
      </c>
      <c r="BZ139" s="89">
        <v>2</v>
      </c>
      <c r="CA139" s="89">
        <v>1</v>
      </c>
      <c r="CB139" s="125"/>
      <c r="CC139" s="95" t="s">
        <v>4578</v>
      </c>
      <c r="CD139" s="95" t="s">
        <v>4459</v>
      </c>
      <c r="CE139" s="89">
        <v>1</v>
      </c>
      <c r="CF139" s="89">
        <v>2</v>
      </c>
      <c r="CG139" s="89">
        <v>2</v>
      </c>
      <c r="CH139" s="89">
        <v>1</v>
      </c>
      <c r="CI139" s="125"/>
      <c r="CJ139" s="95" t="s">
        <v>4578</v>
      </c>
      <c r="CK139" s="95" t="s">
        <v>4459</v>
      </c>
      <c r="CL139" s="89">
        <v>1</v>
      </c>
      <c r="CM139" s="89">
        <v>2</v>
      </c>
      <c r="CN139" s="89">
        <v>2</v>
      </c>
      <c r="CO139" s="89">
        <v>1</v>
      </c>
      <c r="CP139" s="125"/>
      <c r="CQ139" s="95" t="s">
        <v>4578</v>
      </c>
      <c r="CR139" s="95" t="s">
        <v>4459</v>
      </c>
      <c r="CS139" s="89">
        <v>1</v>
      </c>
      <c r="CT139" s="89">
        <v>2</v>
      </c>
      <c r="CU139" s="89">
        <v>2</v>
      </c>
      <c r="CV139" s="89">
        <v>1</v>
      </c>
      <c r="CW139" s="125" t="s">
        <v>4052</v>
      </c>
      <c r="CX139" s="126" t="s">
        <v>4579</v>
      </c>
      <c r="CY139" s="126" t="s">
        <v>4580</v>
      </c>
      <c r="CZ139" s="89">
        <v>1</v>
      </c>
      <c r="DA139" s="89">
        <v>2</v>
      </c>
      <c r="DB139" s="89">
        <v>2</v>
      </c>
      <c r="DC139" s="89">
        <v>1</v>
      </c>
      <c r="DD139" s="125" t="s">
        <v>4052</v>
      </c>
      <c r="DE139" s="126" t="s">
        <v>4080</v>
      </c>
      <c r="DF139" s="126" t="s">
        <v>4077</v>
      </c>
      <c r="DG139" s="89">
        <v>1</v>
      </c>
      <c r="DH139" s="89">
        <v>2</v>
      </c>
      <c r="DI139" s="89">
        <v>2</v>
      </c>
      <c r="DJ139" s="89">
        <v>1</v>
      </c>
      <c r="DK139" s="95" t="s">
        <v>4052</v>
      </c>
      <c r="DM139" s="95" t="s">
        <v>49</v>
      </c>
      <c r="DN139" s="89">
        <v>1</v>
      </c>
      <c r="DO139" s="89">
        <v>2</v>
      </c>
      <c r="DP139" s="89">
        <v>2</v>
      </c>
      <c r="DQ139" s="89">
        <v>1</v>
      </c>
      <c r="DR139" s="194" t="s">
        <v>4052</v>
      </c>
      <c r="DT139" s="194" t="s">
        <v>49</v>
      </c>
      <c r="DU139" s="188">
        <v>1</v>
      </c>
      <c r="DV139" s="88">
        <v>2</v>
      </c>
      <c r="DW139" s="88">
        <v>2</v>
      </c>
      <c r="DX139" s="188">
        <v>1</v>
      </c>
      <c r="DY139" s="95" t="s">
        <v>4052</v>
      </c>
      <c r="EA139" s="95" t="s">
        <v>49</v>
      </c>
      <c r="EB139" s="89">
        <v>1</v>
      </c>
      <c r="EC139" s="89">
        <v>1</v>
      </c>
      <c r="ED139" s="89">
        <v>1</v>
      </c>
      <c r="EE139" s="89">
        <v>1</v>
      </c>
      <c r="EF139" s="95" t="s">
        <v>4052</v>
      </c>
      <c r="EH139" s="95" t="s">
        <v>49</v>
      </c>
      <c r="EI139" s="89">
        <v>1</v>
      </c>
      <c r="EJ139" s="89">
        <v>1</v>
      </c>
      <c r="EK139" s="89">
        <v>1</v>
      </c>
      <c r="EL139" s="89">
        <v>1</v>
      </c>
      <c r="EM139" s="95" t="s">
        <v>4052</v>
      </c>
      <c r="EO139" s="95" t="s">
        <v>49</v>
      </c>
      <c r="EP139" s="89">
        <v>1</v>
      </c>
      <c r="EQ139" s="89">
        <v>1</v>
      </c>
      <c r="ER139" s="89">
        <v>1</v>
      </c>
      <c r="ES139" s="89">
        <v>1</v>
      </c>
      <c r="ET139" s="95" t="s">
        <v>4052</v>
      </c>
      <c r="EV139" s="95" t="s">
        <v>55</v>
      </c>
      <c r="EW139" s="89">
        <v>1</v>
      </c>
      <c r="EX139" s="89">
        <v>1</v>
      </c>
      <c r="EY139" s="89">
        <v>1</v>
      </c>
      <c r="EZ139" s="89">
        <v>1</v>
      </c>
      <c r="FA139" s="95" t="s">
        <v>4052</v>
      </c>
      <c r="FC139" s="89">
        <v>1</v>
      </c>
      <c r="FD139" s="89">
        <v>1</v>
      </c>
      <c r="FE139" s="89">
        <v>1</v>
      </c>
      <c r="FF139" s="89">
        <v>1</v>
      </c>
      <c r="FG139" s="95" t="s">
        <v>4052</v>
      </c>
      <c r="FI139" s="89">
        <v>1</v>
      </c>
      <c r="FJ139" s="89">
        <v>1</v>
      </c>
      <c r="FK139" s="89">
        <v>1</v>
      </c>
      <c r="FL139" s="89">
        <v>1</v>
      </c>
      <c r="FM139" s="95" t="s">
        <v>4052</v>
      </c>
      <c r="FO139" s="89">
        <v>1</v>
      </c>
      <c r="FP139" s="89">
        <v>1</v>
      </c>
      <c r="FQ139" s="89">
        <v>1</v>
      </c>
      <c r="FR139" s="89">
        <v>1</v>
      </c>
      <c r="FS139" s="95" t="s">
        <v>4052</v>
      </c>
      <c r="FU139" s="89">
        <v>1</v>
      </c>
      <c r="FV139" s="89">
        <v>1</v>
      </c>
      <c r="FW139" s="89">
        <v>1</v>
      </c>
      <c r="FX139" s="89">
        <v>1</v>
      </c>
      <c r="FY139" s="95" t="s">
        <v>4052</v>
      </c>
      <c r="FZ139" s="126"/>
      <c r="GA139" s="89">
        <v>1</v>
      </c>
      <c r="GB139" s="133">
        <v>1</v>
      </c>
      <c r="GC139" s="133">
        <v>1</v>
      </c>
      <c r="GD139" s="133">
        <v>1</v>
      </c>
      <c r="GE139" s="95" t="s">
        <v>4052</v>
      </c>
      <c r="GF139" s="126"/>
      <c r="GG139" s="89">
        <v>1</v>
      </c>
      <c r="GH139" s="89">
        <v>2</v>
      </c>
      <c r="GI139" s="89">
        <v>2</v>
      </c>
      <c r="GJ139" s="89">
        <v>2</v>
      </c>
      <c r="GK139" s="95" t="s">
        <v>4052</v>
      </c>
      <c r="GL139" s="126"/>
      <c r="GM139" s="89">
        <v>1</v>
      </c>
      <c r="GN139" s="88">
        <v>2</v>
      </c>
      <c r="GO139" s="88">
        <v>2</v>
      </c>
      <c r="GP139" s="88">
        <v>2</v>
      </c>
      <c r="GR139" s="126"/>
      <c r="GS139" s="89">
        <v>1</v>
      </c>
      <c r="GT139" s="89">
        <v>1</v>
      </c>
      <c r="GU139" s="89">
        <v>1</v>
      </c>
      <c r="GV139" s="89">
        <v>1</v>
      </c>
      <c r="GX139" s="89">
        <v>1</v>
      </c>
      <c r="GY139" s="89">
        <v>1</v>
      </c>
      <c r="GZ139" s="89">
        <v>1</v>
      </c>
      <c r="HA139" s="89">
        <v>1</v>
      </c>
      <c r="HB139" s="89">
        <v>1</v>
      </c>
      <c r="HC139" s="89">
        <v>1</v>
      </c>
      <c r="HD139" s="89">
        <v>1</v>
      </c>
      <c r="HE139" s="89">
        <v>1</v>
      </c>
    </row>
    <row r="140" spans="1:213">
      <c r="A140" s="89" t="s">
        <v>230</v>
      </c>
      <c r="B140" s="333" t="s">
        <v>599</v>
      </c>
      <c r="F140" s="89">
        <v>4</v>
      </c>
      <c r="G140" s="89">
        <v>4</v>
      </c>
      <c r="H140" s="89">
        <v>4</v>
      </c>
      <c r="I140" s="89">
        <v>4</v>
      </c>
      <c r="M140" s="88">
        <v>4</v>
      </c>
      <c r="N140" s="89">
        <v>4</v>
      </c>
      <c r="O140" s="89">
        <v>4</v>
      </c>
      <c r="P140" s="89">
        <v>4</v>
      </c>
      <c r="T140" s="89">
        <v>3</v>
      </c>
      <c r="U140" s="89">
        <v>4</v>
      </c>
      <c r="V140" s="89">
        <v>4</v>
      </c>
      <c r="W140" s="89">
        <v>4</v>
      </c>
      <c r="AA140" s="89">
        <v>3</v>
      </c>
      <c r="AB140" s="89">
        <v>4</v>
      </c>
      <c r="AC140" s="89">
        <v>4</v>
      </c>
      <c r="AD140" s="89">
        <v>4</v>
      </c>
      <c r="AH140" s="89">
        <v>3</v>
      </c>
      <c r="AI140" s="89">
        <v>4</v>
      </c>
      <c r="AJ140" s="89">
        <v>4</v>
      </c>
      <c r="AK140" s="89">
        <v>4</v>
      </c>
      <c r="AO140" s="88">
        <v>4</v>
      </c>
      <c r="AP140" s="89">
        <v>4</v>
      </c>
      <c r="AQ140" s="89">
        <v>4</v>
      </c>
      <c r="AR140" s="89">
        <v>4</v>
      </c>
      <c r="AV140" s="89">
        <v>3</v>
      </c>
      <c r="AW140" s="89">
        <v>4</v>
      </c>
      <c r="AX140" s="89">
        <v>4</v>
      </c>
      <c r="AY140" s="89">
        <v>4</v>
      </c>
      <c r="BC140" s="89">
        <v>3</v>
      </c>
      <c r="BD140" s="89">
        <v>4</v>
      </c>
      <c r="BE140" s="89">
        <v>4</v>
      </c>
      <c r="BF140" s="89">
        <v>4</v>
      </c>
      <c r="BJ140" s="89">
        <v>3</v>
      </c>
      <c r="BK140" s="89">
        <v>4</v>
      </c>
      <c r="BL140" s="89">
        <v>4</v>
      </c>
      <c r="BM140" s="89">
        <v>4</v>
      </c>
      <c r="BQ140" s="89">
        <v>3</v>
      </c>
      <c r="BR140" s="89">
        <v>4</v>
      </c>
      <c r="BS140" s="89">
        <v>4</v>
      </c>
      <c r="BT140" s="89">
        <v>4</v>
      </c>
      <c r="BX140" s="89">
        <v>3</v>
      </c>
      <c r="BY140" s="89">
        <v>4</v>
      </c>
      <c r="BZ140" s="89">
        <v>4</v>
      </c>
      <c r="CA140" s="89">
        <v>4</v>
      </c>
      <c r="CE140" s="89">
        <v>3</v>
      </c>
      <c r="CF140" s="89">
        <v>4</v>
      </c>
      <c r="CG140" s="89">
        <v>4</v>
      </c>
      <c r="CH140" s="89">
        <v>4</v>
      </c>
      <c r="CL140" s="89">
        <v>3</v>
      </c>
      <c r="CM140" s="89">
        <v>4</v>
      </c>
      <c r="CN140" s="89">
        <v>4</v>
      </c>
      <c r="CO140" s="89">
        <v>4</v>
      </c>
      <c r="CS140" s="89">
        <v>3</v>
      </c>
      <c r="CT140" s="89">
        <v>4</v>
      </c>
      <c r="CU140" s="89">
        <v>4</v>
      </c>
      <c r="CV140" s="89">
        <v>4</v>
      </c>
      <c r="CW140" s="95" t="s">
        <v>4581</v>
      </c>
      <c r="CZ140" s="89">
        <v>3</v>
      </c>
      <c r="DA140" s="89">
        <v>4</v>
      </c>
      <c r="DB140" s="89">
        <v>4</v>
      </c>
      <c r="DC140" s="89">
        <v>4</v>
      </c>
      <c r="DD140" s="95" t="s">
        <v>4581</v>
      </c>
      <c r="DG140" s="89">
        <v>3</v>
      </c>
      <c r="DH140" s="89">
        <v>4</v>
      </c>
      <c r="DI140" s="89">
        <v>4</v>
      </c>
      <c r="DJ140" s="89">
        <v>4</v>
      </c>
      <c r="DK140" s="126" t="s">
        <v>4582</v>
      </c>
      <c r="DN140" s="89">
        <v>3</v>
      </c>
      <c r="DO140" s="89">
        <v>4</v>
      </c>
      <c r="DP140" s="89">
        <v>4</v>
      </c>
      <c r="DQ140" s="88">
        <v>4</v>
      </c>
      <c r="DR140" s="126" t="s">
        <v>4583</v>
      </c>
      <c r="DU140" s="188">
        <v>3</v>
      </c>
      <c r="DV140" s="330">
        <v>4</v>
      </c>
      <c r="DW140" s="330">
        <v>4</v>
      </c>
      <c r="DX140" s="324">
        <v>3</v>
      </c>
      <c r="DY140" s="95" t="s">
        <v>4584</v>
      </c>
      <c r="EB140" s="188">
        <v>3</v>
      </c>
      <c r="EC140" s="330">
        <v>4</v>
      </c>
      <c r="ED140" s="330">
        <v>4</v>
      </c>
      <c r="EE140" s="330">
        <v>4</v>
      </c>
      <c r="EF140" s="95" t="s">
        <v>4584</v>
      </c>
      <c r="EI140" s="188">
        <v>3</v>
      </c>
      <c r="EJ140" s="330">
        <v>4</v>
      </c>
      <c r="EK140" s="330">
        <v>4</v>
      </c>
      <c r="EL140" s="330">
        <v>4</v>
      </c>
      <c r="EM140" s="95" t="s">
        <v>4584</v>
      </c>
      <c r="EP140" s="188">
        <v>3</v>
      </c>
      <c r="EQ140" s="330">
        <v>4</v>
      </c>
      <c r="ER140" s="330">
        <v>4</v>
      </c>
      <c r="ES140" s="330">
        <v>4</v>
      </c>
      <c r="ET140" s="95" t="s">
        <v>4584</v>
      </c>
      <c r="EW140" s="89">
        <v>3</v>
      </c>
      <c r="EX140" s="331">
        <v>4</v>
      </c>
      <c r="EY140" s="331">
        <v>4</v>
      </c>
      <c r="EZ140" s="331">
        <v>4</v>
      </c>
      <c r="FA140" s="95" t="s">
        <v>4584</v>
      </c>
      <c r="FC140" s="89">
        <v>4</v>
      </c>
      <c r="FD140" s="89">
        <v>4</v>
      </c>
      <c r="FE140" s="89">
        <v>4</v>
      </c>
      <c r="FF140" s="89">
        <v>4</v>
      </c>
      <c r="FG140" s="95" t="s">
        <v>4584</v>
      </c>
      <c r="FI140" s="89">
        <v>4</v>
      </c>
      <c r="FJ140" s="89">
        <v>4</v>
      </c>
      <c r="FK140" s="89">
        <v>4</v>
      </c>
      <c r="FL140" s="89">
        <v>4</v>
      </c>
      <c r="FM140" s="95" t="s">
        <v>4584</v>
      </c>
      <c r="FO140" s="89">
        <v>4</v>
      </c>
      <c r="FP140" s="89">
        <v>4</v>
      </c>
      <c r="FQ140" s="89">
        <v>4</v>
      </c>
      <c r="FR140" s="89">
        <v>4</v>
      </c>
      <c r="FS140" s="95" t="s">
        <v>4584</v>
      </c>
      <c r="FU140" s="89">
        <v>4</v>
      </c>
      <c r="FV140" s="89">
        <v>4</v>
      </c>
      <c r="FW140" s="89">
        <v>4</v>
      </c>
      <c r="FX140" s="89">
        <v>4</v>
      </c>
      <c r="FY140" s="95" t="s">
        <v>4584</v>
      </c>
      <c r="GA140" s="88">
        <v>4</v>
      </c>
      <c r="GB140" s="89">
        <v>4</v>
      </c>
      <c r="GC140" s="89">
        <v>4</v>
      </c>
      <c r="GD140" s="89">
        <v>4</v>
      </c>
      <c r="GE140" s="95" t="s">
        <v>4584</v>
      </c>
      <c r="GG140" s="89">
        <v>3</v>
      </c>
      <c r="GH140" s="89">
        <v>4</v>
      </c>
      <c r="GI140" s="89">
        <v>4</v>
      </c>
      <c r="GJ140" s="89">
        <v>4</v>
      </c>
      <c r="GK140" s="95" t="s">
        <v>4584</v>
      </c>
      <c r="GM140" s="133">
        <v>3</v>
      </c>
      <c r="GN140" s="89">
        <v>4</v>
      </c>
      <c r="GO140" s="89">
        <v>4</v>
      </c>
      <c r="GP140" s="89">
        <v>4</v>
      </c>
      <c r="GS140" s="89">
        <v>4</v>
      </c>
      <c r="GT140" s="89">
        <v>4</v>
      </c>
      <c r="GU140" s="89">
        <v>4</v>
      </c>
      <c r="GV140" s="89">
        <v>4</v>
      </c>
      <c r="GX140" s="89">
        <v>4</v>
      </c>
      <c r="GY140" s="89">
        <v>4</v>
      </c>
      <c r="GZ140" s="89">
        <v>4</v>
      </c>
      <c r="HA140" s="89">
        <v>4</v>
      </c>
      <c r="HB140" s="89">
        <v>4</v>
      </c>
      <c r="HC140" s="89">
        <v>4</v>
      </c>
      <c r="HD140" s="89">
        <v>4</v>
      </c>
      <c r="HE140" s="89">
        <v>4</v>
      </c>
    </row>
    <row r="141" ht="43.2" spans="1:213">
      <c r="A141" s="89" t="s">
        <v>230</v>
      </c>
      <c r="B141" s="108" t="s">
        <v>602</v>
      </c>
      <c r="D141" s="125"/>
      <c r="E141" s="316"/>
      <c r="F141" s="89">
        <v>2</v>
      </c>
      <c r="G141" s="89">
        <v>1</v>
      </c>
      <c r="H141" s="89">
        <v>1</v>
      </c>
      <c r="I141" s="89">
        <v>3</v>
      </c>
      <c r="K141" s="125"/>
      <c r="L141" s="316"/>
      <c r="M141" s="89">
        <v>2</v>
      </c>
      <c r="N141" s="89">
        <v>1</v>
      </c>
      <c r="O141" s="89">
        <v>1</v>
      </c>
      <c r="P141" s="89">
        <v>3</v>
      </c>
      <c r="R141" s="125"/>
      <c r="S141" s="316"/>
      <c r="T141" s="89">
        <v>2</v>
      </c>
      <c r="U141" s="89">
        <v>1</v>
      </c>
      <c r="V141" s="89">
        <v>1</v>
      </c>
      <c r="W141" s="89">
        <v>3</v>
      </c>
      <c r="Y141" s="125"/>
      <c r="Z141" s="316"/>
      <c r="AA141" s="89">
        <v>2</v>
      </c>
      <c r="AB141" s="89">
        <v>1</v>
      </c>
      <c r="AC141" s="89">
        <v>1</v>
      </c>
      <c r="AD141" s="89">
        <v>3</v>
      </c>
      <c r="AF141" s="125"/>
      <c r="AG141" s="316"/>
      <c r="AH141" s="89">
        <v>2</v>
      </c>
      <c r="AI141" s="89">
        <v>1</v>
      </c>
      <c r="AJ141" s="89">
        <v>1</v>
      </c>
      <c r="AK141" s="89">
        <v>3</v>
      </c>
      <c r="AM141" s="125"/>
      <c r="AN141" s="125"/>
      <c r="AO141" s="88">
        <v>3</v>
      </c>
      <c r="AP141" s="89">
        <v>1</v>
      </c>
      <c r="AQ141" s="89">
        <v>1</v>
      </c>
      <c r="AR141" s="89">
        <v>3</v>
      </c>
      <c r="AT141" s="125"/>
      <c r="AU141" s="125"/>
      <c r="AV141" s="89">
        <v>2</v>
      </c>
      <c r="AW141" s="89">
        <v>1</v>
      </c>
      <c r="AX141" s="89">
        <v>1</v>
      </c>
      <c r="AY141" s="89">
        <v>3</v>
      </c>
      <c r="BA141" s="125"/>
      <c r="BB141" s="125"/>
      <c r="BC141" s="89">
        <v>2</v>
      </c>
      <c r="BD141" s="89">
        <v>1</v>
      </c>
      <c r="BE141" s="89">
        <v>1</v>
      </c>
      <c r="BF141" s="89">
        <v>3</v>
      </c>
      <c r="BH141" s="125"/>
      <c r="BI141" s="125"/>
      <c r="BJ141" s="89">
        <v>2</v>
      </c>
      <c r="BK141" s="89">
        <v>1</v>
      </c>
      <c r="BL141" s="89">
        <v>1</v>
      </c>
      <c r="BM141" s="89">
        <v>3</v>
      </c>
      <c r="BO141" s="125"/>
      <c r="BP141" s="125"/>
      <c r="BQ141" s="89">
        <v>2</v>
      </c>
      <c r="BR141" s="89">
        <v>1</v>
      </c>
      <c r="BS141" s="89">
        <v>1</v>
      </c>
      <c r="BT141" s="89">
        <v>3</v>
      </c>
      <c r="BV141" s="125"/>
      <c r="BW141" s="125"/>
      <c r="BX141" s="89">
        <v>2</v>
      </c>
      <c r="BY141" s="89">
        <v>1</v>
      </c>
      <c r="BZ141" s="89">
        <v>1</v>
      </c>
      <c r="CA141" s="89">
        <v>3</v>
      </c>
      <c r="CC141" s="125"/>
      <c r="CD141" s="125"/>
      <c r="CE141" s="89">
        <v>2</v>
      </c>
      <c r="CF141" s="89">
        <v>1</v>
      </c>
      <c r="CG141" s="89">
        <v>1</v>
      </c>
      <c r="CH141" s="89">
        <v>3</v>
      </c>
      <c r="CJ141" s="125"/>
      <c r="CK141" s="125"/>
      <c r="CL141" s="89">
        <v>2</v>
      </c>
      <c r="CM141" s="89">
        <v>1</v>
      </c>
      <c r="CN141" s="89">
        <v>1</v>
      </c>
      <c r="CO141" s="89">
        <v>3</v>
      </c>
      <c r="CQ141" s="125"/>
      <c r="CR141" s="125"/>
      <c r="CS141" s="89">
        <v>2</v>
      </c>
      <c r="CT141" s="89">
        <v>1</v>
      </c>
      <c r="CU141" s="89">
        <v>1</v>
      </c>
      <c r="CV141" s="89">
        <v>3</v>
      </c>
      <c r="CW141" s="95" t="s">
        <v>4585</v>
      </c>
      <c r="CX141" s="125"/>
      <c r="CY141" s="125"/>
      <c r="CZ141" s="89">
        <v>2</v>
      </c>
      <c r="DA141" s="89">
        <v>1</v>
      </c>
      <c r="DB141" s="89">
        <v>1</v>
      </c>
      <c r="DC141" s="89">
        <v>3</v>
      </c>
      <c r="DD141" s="95" t="s">
        <v>4585</v>
      </c>
      <c r="DE141" s="125"/>
      <c r="DF141" s="125"/>
      <c r="DG141" s="89">
        <v>2</v>
      </c>
      <c r="DH141" s="89">
        <v>1</v>
      </c>
      <c r="DI141" s="89">
        <v>1</v>
      </c>
      <c r="DJ141" s="89">
        <v>3</v>
      </c>
      <c r="DK141" s="95" t="s">
        <v>4585</v>
      </c>
      <c r="DL141" s="125"/>
      <c r="DM141" s="125"/>
      <c r="DN141" s="89">
        <v>2</v>
      </c>
      <c r="DO141" s="89">
        <v>1</v>
      </c>
      <c r="DP141" s="89">
        <v>1</v>
      </c>
      <c r="DQ141" s="89">
        <v>3</v>
      </c>
      <c r="DR141" s="126" t="s">
        <v>4586</v>
      </c>
      <c r="DS141" s="316"/>
      <c r="DT141" s="316"/>
      <c r="DU141" s="188">
        <v>2</v>
      </c>
      <c r="DV141" s="88">
        <v>1</v>
      </c>
      <c r="DW141" s="88">
        <v>1</v>
      </c>
      <c r="DX141" s="188">
        <v>3</v>
      </c>
      <c r="DY141" s="95" t="s">
        <v>4587</v>
      </c>
      <c r="DZ141" s="125"/>
      <c r="EA141" s="125"/>
      <c r="EB141" s="188">
        <v>2</v>
      </c>
      <c r="EC141" s="188">
        <v>3</v>
      </c>
      <c r="ED141" s="188">
        <v>3</v>
      </c>
      <c r="EE141" s="188">
        <v>3</v>
      </c>
      <c r="EF141" s="95" t="s">
        <v>4587</v>
      </c>
      <c r="EG141" s="125"/>
      <c r="EH141" s="125"/>
      <c r="EI141" s="188">
        <v>2</v>
      </c>
      <c r="EJ141" s="188">
        <v>3</v>
      </c>
      <c r="EK141" s="188">
        <v>3</v>
      </c>
      <c r="EL141" s="188">
        <v>3</v>
      </c>
      <c r="EM141" s="95" t="s">
        <v>4587</v>
      </c>
      <c r="EN141" s="125"/>
      <c r="EO141" s="125"/>
      <c r="EP141" s="188">
        <v>2</v>
      </c>
      <c r="EQ141" s="188">
        <v>3</v>
      </c>
      <c r="ER141" s="188">
        <v>3</v>
      </c>
      <c r="ES141" s="188">
        <v>3</v>
      </c>
      <c r="ET141" s="95" t="s">
        <v>4587</v>
      </c>
      <c r="EU141" s="125"/>
      <c r="EV141" s="125"/>
      <c r="EW141" s="188">
        <v>2</v>
      </c>
      <c r="EX141" s="188">
        <v>3</v>
      </c>
      <c r="EY141" s="188">
        <v>3</v>
      </c>
      <c r="EZ141" s="188">
        <v>3</v>
      </c>
      <c r="FA141" s="95" t="s">
        <v>4587</v>
      </c>
      <c r="FB141" s="125"/>
      <c r="FC141" s="89">
        <v>3</v>
      </c>
      <c r="FD141" s="89">
        <v>3</v>
      </c>
      <c r="FE141" s="89">
        <v>2</v>
      </c>
      <c r="FF141" s="89">
        <v>2</v>
      </c>
      <c r="FG141" s="95" t="s">
        <v>4587</v>
      </c>
      <c r="FH141" s="125"/>
      <c r="FI141" s="89">
        <v>3</v>
      </c>
      <c r="FJ141" s="89">
        <v>3</v>
      </c>
      <c r="FK141" s="89">
        <v>2</v>
      </c>
      <c r="FL141" s="89">
        <v>2</v>
      </c>
      <c r="FM141" s="95" t="s">
        <v>4587</v>
      </c>
      <c r="FN141" s="125"/>
      <c r="FO141" s="89">
        <v>3</v>
      </c>
      <c r="FP141" s="89">
        <v>3</v>
      </c>
      <c r="FQ141" s="89">
        <v>2</v>
      </c>
      <c r="FR141" s="89">
        <v>2</v>
      </c>
      <c r="FS141" s="95" t="s">
        <v>4587</v>
      </c>
      <c r="FT141" s="125"/>
      <c r="FU141" s="89">
        <v>3</v>
      </c>
      <c r="FV141" s="89">
        <v>3</v>
      </c>
      <c r="FW141" s="89">
        <v>2</v>
      </c>
      <c r="FX141" s="89">
        <v>2</v>
      </c>
      <c r="FY141" s="95" t="s">
        <v>4587</v>
      </c>
      <c r="FZ141" s="124"/>
      <c r="GA141" s="88">
        <v>3</v>
      </c>
      <c r="GB141" s="88">
        <v>3</v>
      </c>
      <c r="GC141" s="88">
        <v>2</v>
      </c>
      <c r="GD141" s="88">
        <v>2</v>
      </c>
      <c r="GE141" s="126" t="s">
        <v>4587</v>
      </c>
      <c r="GF141" s="124"/>
      <c r="GG141" s="89">
        <v>2</v>
      </c>
      <c r="GH141" s="89">
        <v>1</v>
      </c>
      <c r="GI141" s="89">
        <v>1</v>
      </c>
      <c r="GJ141" s="89">
        <v>1</v>
      </c>
      <c r="GK141" s="126" t="s">
        <v>4587</v>
      </c>
      <c r="GL141" s="124"/>
      <c r="GM141" s="133">
        <v>2</v>
      </c>
      <c r="GN141" s="133">
        <v>1</v>
      </c>
      <c r="GO141" s="133">
        <v>1</v>
      </c>
      <c r="GP141" s="133">
        <v>1</v>
      </c>
      <c r="GS141" s="89">
        <v>3</v>
      </c>
      <c r="GT141" s="89">
        <v>3</v>
      </c>
      <c r="GU141" s="89">
        <v>2</v>
      </c>
      <c r="GV141" s="89">
        <v>2</v>
      </c>
      <c r="GX141" s="89">
        <v>3</v>
      </c>
      <c r="GY141" s="89">
        <v>3</v>
      </c>
      <c r="GZ141" s="89">
        <v>2</v>
      </c>
      <c r="HA141" s="89">
        <v>2</v>
      </c>
      <c r="HB141" s="89">
        <v>3</v>
      </c>
      <c r="HC141" s="89">
        <v>3</v>
      </c>
      <c r="HD141" s="89">
        <v>2</v>
      </c>
      <c r="HE141" s="89">
        <v>2</v>
      </c>
    </row>
    <row r="142" spans="1:213">
      <c r="A142" s="89" t="s">
        <v>230</v>
      </c>
      <c r="B142" s="108" t="s">
        <v>4588</v>
      </c>
      <c r="C142" s="125"/>
      <c r="F142" s="89">
        <v>5</v>
      </c>
      <c r="G142" s="89">
        <v>5</v>
      </c>
      <c r="H142" s="89">
        <v>5</v>
      </c>
      <c r="I142" s="89">
        <v>5</v>
      </c>
      <c r="J142" s="125"/>
      <c r="M142" s="88">
        <v>5</v>
      </c>
      <c r="N142" s="89">
        <v>5</v>
      </c>
      <c r="O142" s="89">
        <v>5</v>
      </c>
      <c r="P142" s="89">
        <v>5</v>
      </c>
      <c r="Q142" s="125"/>
      <c r="T142" s="89">
        <v>4</v>
      </c>
      <c r="U142" s="89">
        <v>5</v>
      </c>
      <c r="V142" s="89">
        <v>5</v>
      </c>
      <c r="W142" s="89">
        <v>5</v>
      </c>
      <c r="X142" s="125"/>
      <c r="AA142" s="89">
        <v>4</v>
      </c>
      <c r="AB142" s="89">
        <v>5</v>
      </c>
      <c r="AC142" s="89">
        <v>5</v>
      </c>
      <c r="AD142" s="89">
        <v>5</v>
      </c>
      <c r="AE142" s="125"/>
      <c r="AH142" s="89">
        <v>4</v>
      </c>
      <c r="AI142" s="89">
        <v>5</v>
      </c>
      <c r="AJ142" s="89">
        <v>5</v>
      </c>
      <c r="AK142" s="89">
        <v>5</v>
      </c>
      <c r="AL142" s="125"/>
      <c r="AO142" s="88">
        <v>5</v>
      </c>
      <c r="AP142" s="89">
        <v>5</v>
      </c>
      <c r="AQ142" s="89">
        <v>5</v>
      </c>
      <c r="AR142" s="89">
        <v>5</v>
      </c>
      <c r="AS142" s="125"/>
      <c r="AV142" s="89">
        <v>4</v>
      </c>
      <c r="AW142" s="89">
        <v>5</v>
      </c>
      <c r="AX142" s="89">
        <v>5</v>
      </c>
      <c r="AY142" s="89">
        <v>5</v>
      </c>
      <c r="AZ142" s="125"/>
      <c r="BC142" s="89">
        <v>4</v>
      </c>
      <c r="BD142" s="89">
        <v>5</v>
      </c>
      <c r="BE142" s="89">
        <v>5</v>
      </c>
      <c r="BF142" s="89">
        <v>5</v>
      </c>
      <c r="BG142" s="125"/>
      <c r="BJ142" s="89">
        <v>4</v>
      </c>
      <c r="BK142" s="89">
        <v>5</v>
      </c>
      <c r="BL142" s="89">
        <v>5</v>
      </c>
      <c r="BM142" s="89">
        <v>5</v>
      </c>
      <c r="BN142" s="125"/>
      <c r="BQ142" s="89">
        <v>4</v>
      </c>
      <c r="BR142" s="89">
        <v>5</v>
      </c>
      <c r="BS142" s="89">
        <v>5</v>
      </c>
      <c r="BT142" s="89">
        <v>5</v>
      </c>
      <c r="BU142" s="125"/>
      <c r="BX142" s="89">
        <v>4</v>
      </c>
      <c r="BY142" s="89">
        <v>5</v>
      </c>
      <c r="BZ142" s="89">
        <v>5</v>
      </c>
      <c r="CA142" s="89">
        <v>5</v>
      </c>
      <c r="CB142" s="125"/>
      <c r="CE142" s="89">
        <v>4</v>
      </c>
      <c r="CF142" s="89">
        <v>5</v>
      </c>
      <c r="CG142" s="89">
        <v>5</v>
      </c>
      <c r="CH142" s="89">
        <v>5</v>
      </c>
      <c r="CI142" s="125"/>
      <c r="CL142" s="89">
        <v>4</v>
      </c>
      <c r="CM142" s="89">
        <v>5</v>
      </c>
      <c r="CN142" s="89">
        <v>5</v>
      </c>
      <c r="CO142" s="89">
        <v>5</v>
      </c>
      <c r="CP142" s="125"/>
      <c r="CS142" s="89">
        <v>4</v>
      </c>
      <c r="CT142" s="89">
        <v>5</v>
      </c>
      <c r="CU142" s="89">
        <v>5</v>
      </c>
      <c r="CV142" s="89">
        <v>5</v>
      </c>
      <c r="CW142" s="125" t="s">
        <v>4052</v>
      </c>
      <c r="CZ142" s="89">
        <v>4</v>
      </c>
      <c r="DA142" s="89">
        <v>5</v>
      </c>
      <c r="DB142" s="89">
        <v>5</v>
      </c>
      <c r="DC142" s="89">
        <v>5</v>
      </c>
      <c r="DD142" s="125" t="s">
        <v>4052</v>
      </c>
      <c r="DG142" s="89">
        <v>4</v>
      </c>
      <c r="DH142" s="89">
        <v>5</v>
      </c>
      <c r="DI142" s="89">
        <v>5</v>
      </c>
      <c r="DJ142" s="89">
        <v>5</v>
      </c>
      <c r="DK142" s="95" t="s">
        <v>4052</v>
      </c>
      <c r="DN142" s="89">
        <v>4</v>
      </c>
      <c r="DO142" s="89">
        <v>5</v>
      </c>
      <c r="DP142" s="89">
        <v>5</v>
      </c>
      <c r="DQ142" s="88">
        <v>5</v>
      </c>
      <c r="DR142" s="194" t="s">
        <v>4052</v>
      </c>
      <c r="DU142" s="188">
        <v>4</v>
      </c>
      <c r="DV142" s="188">
        <v>5</v>
      </c>
      <c r="DW142" s="188">
        <v>5</v>
      </c>
      <c r="DX142" s="88">
        <v>4</v>
      </c>
      <c r="DY142" s="95" t="s">
        <v>4052</v>
      </c>
      <c r="EB142" s="188">
        <v>4</v>
      </c>
      <c r="EC142" s="188">
        <v>5</v>
      </c>
      <c r="ED142" s="188">
        <v>5</v>
      </c>
      <c r="EE142" s="188">
        <v>5</v>
      </c>
      <c r="EF142" s="95" t="s">
        <v>4052</v>
      </c>
      <c r="EI142" s="188">
        <v>4</v>
      </c>
      <c r="EJ142" s="188">
        <v>5</v>
      </c>
      <c r="EK142" s="188">
        <v>5</v>
      </c>
      <c r="EL142" s="188">
        <v>5</v>
      </c>
      <c r="EM142" s="95" t="s">
        <v>4052</v>
      </c>
      <c r="EP142" s="188">
        <v>4</v>
      </c>
      <c r="EQ142" s="188">
        <v>5</v>
      </c>
      <c r="ER142" s="188">
        <v>5</v>
      </c>
      <c r="ES142" s="188">
        <v>5</v>
      </c>
      <c r="ET142" s="95" t="s">
        <v>4052</v>
      </c>
      <c r="EW142" s="188">
        <v>4</v>
      </c>
      <c r="EX142" s="188">
        <v>5</v>
      </c>
      <c r="EY142" s="89">
        <v>5</v>
      </c>
      <c r="EZ142" s="89">
        <v>5</v>
      </c>
      <c r="FA142" s="95" t="s">
        <v>4052</v>
      </c>
      <c r="FC142" s="89">
        <v>5</v>
      </c>
      <c r="FD142" s="89">
        <v>5</v>
      </c>
      <c r="FE142" s="89">
        <v>5</v>
      </c>
      <c r="FF142" s="89">
        <v>5</v>
      </c>
      <c r="FG142" s="95" t="s">
        <v>4052</v>
      </c>
      <c r="FI142" s="89">
        <v>5</v>
      </c>
      <c r="FJ142" s="89">
        <v>5</v>
      </c>
      <c r="FK142" s="89">
        <v>5</v>
      </c>
      <c r="FL142" s="89">
        <v>5</v>
      </c>
      <c r="FM142" s="95" t="s">
        <v>4052</v>
      </c>
      <c r="FO142" s="89">
        <v>5</v>
      </c>
      <c r="FP142" s="89">
        <v>5</v>
      </c>
      <c r="FQ142" s="89">
        <v>5</v>
      </c>
      <c r="FR142" s="89">
        <v>5</v>
      </c>
      <c r="FS142" s="95" t="s">
        <v>4052</v>
      </c>
      <c r="FU142" s="89">
        <v>5</v>
      </c>
      <c r="FV142" s="89">
        <v>5</v>
      </c>
      <c r="FW142" s="89">
        <v>5</v>
      </c>
      <c r="FX142" s="89">
        <v>5</v>
      </c>
      <c r="FY142" s="95" t="s">
        <v>4052</v>
      </c>
      <c r="GA142" s="88">
        <v>5</v>
      </c>
      <c r="GB142" s="89">
        <v>5</v>
      </c>
      <c r="GC142" s="89">
        <v>5</v>
      </c>
      <c r="GD142" s="89">
        <v>5</v>
      </c>
      <c r="GE142" s="95" t="s">
        <v>4052</v>
      </c>
      <c r="GG142" s="89">
        <v>4</v>
      </c>
      <c r="GH142" s="89">
        <v>5</v>
      </c>
      <c r="GI142" s="89">
        <v>5</v>
      </c>
      <c r="GJ142" s="89">
        <v>5</v>
      </c>
      <c r="GK142" s="95" t="s">
        <v>4052</v>
      </c>
      <c r="GM142" s="89">
        <v>4</v>
      </c>
      <c r="GN142" s="89">
        <v>5</v>
      </c>
      <c r="GO142" s="89">
        <v>5</v>
      </c>
      <c r="GP142" s="89">
        <v>5</v>
      </c>
      <c r="GS142" s="89">
        <v>5</v>
      </c>
      <c r="GT142" s="89">
        <v>5</v>
      </c>
      <c r="GU142" s="89">
        <v>5</v>
      </c>
      <c r="GV142" s="89">
        <v>5</v>
      </c>
      <c r="GX142" s="89">
        <v>5</v>
      </c>
      <c r="GY142" s="89">
        <v>5</v>
      </c>
      <c r="GZ142" s="89">
        <v>5</v>
      </c>
      <c r="HA142" s="89">
        <v>5</v>
      </c>
      <c r="HB142" s="89">
        <v>5</v>
      </c>
      <c r="HC142" s="89">
        <v>5</v>
      </c>
      <c r="HD142" s="89">
        <v>5</v>
      </c>
      <c r="HE142" s="89">
        <v>5</v>
      </c>
    </row>
    <row r="143" ht="28.8" spans="1:213">
      <c r="A143" s="89" t="s">
        <v>468</v>
      </c>
      <c r="B143" s="108" t="s">
        <v>603</v>
      </c>
      <c r="C143" s="126"/>
      <c r="F143" s="126">
        <v>3</v>
      </c>
      <c r="G143" s="89">
        <v>3</v>
      </c>
      <c r="H143" s="89">
        <v>3</v>
      </c>
      <c r="I143" s="89">
        <v>2</v>
      </c>
      <c r="J143" s="126"/>
      <c r="M143" s="95">
        <v>1</v>
      </c>
      <c r="N143" s="89">
        <v>3</v>
      </c>
      <c r="O143" s="89">
        <v>3</v>
      </c>
      <c r="P143" s="89">
        <v>2</v>
      </c>
      <c r="Q143" s="126"/>
      <c r="T143" s="95">
        <v>1</v>
      </c>
      <c r="U143" s="89">
        <v>3</v>
      </c>
      <c r="V143" s="89">
        <v>3</v>
      </c>
      <c r="W143" s="89">
        <v>2</v>
      </c>
      <c r="X143" s="126" t="s">
        <v>4589</v>
      </c>
      <c r="AA143" s="95">
        <v>1</v>
      </c>
      <c r="AB143" s="89">
        <v>3</v>
      </c>
      <c r="AC143" s="89">
        <v>3</v>
      </c>
      <c r="AD143" s="89">
        <v>2</v>
      </c>
      <c r="AE143" s="126" t="s">
        <v>4589</v>
      </c>
      <c r="AH143" s="95">
        <v>1</v>
      </c>
      <c r="AI143" s="89">
        <v>3</v>
      </c>
      <c r="AJ143" s="89">
        <v>3</v>
      </c>
      <c r="AK143" s="89">
        <v>2</v>
      </c>
      <c r="AL143" s="126" t="s">
        <v>4589</v>
      </c>
      <c r="AO143" s="126">
        <v>2</v>
      </c>
      <c r="AP143" s="89">
        <v>3</v>
      </c>
      <c r="AQ143" s="89">
        <v>3</v>
      </c>
      <c r="AR143" s="89">
        <v>2</v>
      </c>
      <c r="AV143" s="89">
        <v>1</v>
      </c>
      <c r="AW143" s="89">
        <v>3</v>
      </c>
      <c r="AX143" s="89">
        <v>3</v>
      </c>
      <c r="AY143" s="89">
        <v>2</v>
      </c>
      <c r="BC143" s="89">
        <v>1</v>
      </c>
      <c r="BD143" s="89">
        <v>3</v>
      </c>
      <c r="BE143" s="89">
        <v>3</v>
      </c>
      <c r="BF143" s="89">
        <v>2</v>
      </c>
      <c r="BJ143" s="89">
        <v>1</v>
      </c>
      <c r="BK143" s="89">
        <v>3</v>
      </c>
      <c r="BL143" s="89">
        <v>3</v>
      </c>
      <c r="BM143" s="89">
        <v>2</v>
      </c>
      <c r="BQ143" s="89">
        <v>1</v>
      </c>
      <c r="BR143" s="89">
        <v>3</v>
      </c>
      <c r="BS143" s="89">
        <v>3</v>
      </c>
      <c r="BT143" s="89">
        <v>2</v>
      </c>
      <c r="BX143" s="89">
        <v>1</v>
      </c>
      <c r="BY143" s="89">
        <v>3</v>
      </c>
      <c r="BZ143" s="89">
        <v>3</v>
      </c>
      <c r="CA143" s="89">
        <v>2</v>
      </c>
      <c r="CE143" s="89">
        <v>1</v>
      </c>
      <c r="CF143" s="89">
        <v>3</v>
      </c>
      <c r="CG143" s="89">
        <v>3</v>
      </c>
      <c r="CH143" s="89">
        <v>2</v>
      </c>
      <c r="CL143" s="89">
        <v>1</v>
      </c>
      <c r="CM143" s="89">
        <v>3</v>
      </c>
      <c r="CN143" s="89">
        <v>3</v>
      </c>
      <c r="CO143" s="89">
        <v>2</v>
      </c>
      <c r="CS143" s="89">
        <v>1</v>
      </c>
      <c r="CT143" s="89">
        <v>3</v>
      </c>
      <c r="CU143" s="89">
        <v>3</v>
      </c>
      <c r="CV143" s="89">
        <v>2</v>
      </c>
      <c r="CW143" s="95" t="s">
        <v>4590</v>
      </c>
      <c r="CZ143" s="89">
        <v>1</v>
      </c>
      <c r="DA143" s="89">
        <v>3</v>
      </c>
      <c r="DB143" s="89">
        <v>3</v>
      </c>
      <c r="DC143" s="89">
        <v>2</v>
      </c>
      <c r="DD143" s="95" t="s">
        <v>4590</v>
      </c>
      <c r="DG143" s="89">
        <v>1</v>
      </c>
      <c r="DH143" s="89">
        <v>3</v>
      </c>
      <c r="DI143" s="89">
        <v>3</v>
      </c>
      <c r="DJ143" s="89">
        <v>2</v>
      </c>
      <c r="DK143" s="95" t="s">
        <v>4590</v>
      </c>
      <c r="DN143" s="89">
        <v>1</v>
      </c>
      <c r="DO143" s="89">
        <v>3</v>
      </c>
      <c r="DP143" s="89">
        <v>3</v>
      </c>
      <c r="DQ143" s="89">
        <v>2</v>
      </c>
      <c r="DR143" s="194" t="s">
        <v>4591</v>
      </c>
      <c r="DU143" s="330">
        <v>1</v>
      </c>
      <c r="DV143" s="88">
        <v>3</v>
      </c>
      <c r="DW143" s="88">
        <v>3</v>
      </c>
      <c r="DX143" s="188">
        <v>2</v>
      </c>
      <c r="DY143" s="194" t="s">
        <v>4591</v>
      </c>
      <c r="EB143" s="330">
        <v>1</v>
      </c>
      <c r="EC143" s="188">
        <v>2</v>
      </c>
      <c r="ED143" s="188">
        <v>2</v>
      </c>
      <c r="EE143" s="188">
        <v>2</v>
      </c>
      <c r="EF143" s="194" t="s">
        <v>4591</v>
      </c>
      <c r="EI143" s="330">
        <v>1</v>
      </c>
      <c r="EJ143" s="188">
        <v>2</v>
      </c>
      <c r="EK143" s="188">
        <v>2</v>
      </c>
      <c r="EL143" s="188">
        <v>2</v>
      </c>
      <c r="EM143" s="194" t="s">
        <v>4591</v>
      </c>
      <c r="EP143" s="330">
        <v>1</v>
      </c>
      <c r="EQ143" s="188">
        <v>2</v>
      </c>
      <c r="ER143" s="188">
        <v>2</v>
      </c>
      <c r="ES143" s="188">
        <v>2</v>
      </c>
      <c r="ET143" s="126" t="s">
        <v>4592</v>
      </c>
      <c r="EW143" s="331">
        <v>1</v>
      </c>
      <c r="EX143" s="89">
        <v>2</v>
      </c>
      <c r="EY143" s="89">
        <v>2</v>
      </c>
      <c r="EZ143" s="89">
        <v>2</v>
      </c>
      <c r="FA143" s="95" t="s">
        <v>4593</v>
      </c>
      <c r="FC143" s="89">
        <v>2</v>
      </c>
      <c r="FD143" s="89">
        <v>2</v>
      </c>
      <c r="FE143" s="89">
        <v>3</v>
      </c>
      <c r="FF143" s="89">
        <v>3</v>
      </c>
      <c r="FG143" s="95" t="s">
        <v>4593</v>
      </c>
      <c r="FI143" s="89">
        <v>2</v>
      </c>
      <c r="FJ143" s="89">
        <v>2</v>
      </c>
      <c r="FK143" s="89">
        <v>3</v>
      </c>
      <c r="FL143" s="89">
        <v>3</v>
      </c>
      <c r="FM143" s="95" t="s">
        <v>4593</v>
      </c>
      <c r="FO143" s="89">
        <v>2</v>
      </c>
      <c r="FP143" s="89">
        <v>2</v>
      </c>
      <c r="FQ143" s="89">
        <v>3</v>
      </c>
      <c r="FR143" s="89">
        <v>3</v>
      </c>
      <c r="FS143" s="95" t="s">
        <v>4593</v>
      </c>
      <c r="FU143" s="89">
        <v>2</v>
      </c>
      <c r="FV143" s="89">
        <v>2</v>
      </c>
      <c r="FW143" s="89">
        <v>3</v>
      </c>
      <c r="FX143" s="89">
        <v>3</v>
      </c>
      <c r="FY143" s="126" t="s">
        <v>4594</v>
      </c>
      <c r="GA143" s="88">
        <v>2</v>
      </c>
      <c r="GB143" s="133">
        <v>2</v>
      </c>
      <c r="GC143" s="89">
        <v>3</v>
      </c>
      <c r="GD143" s="89">
        <v>3</v>
      </c>
      <c r="GE143" s="95" t="s">
        <v>4052</v>
      </c>
      <c r="GG143" s="89">
        <v>1</v>
      </c>
      <c r="GH143" s="89">
        <v>3</v>
      </c>
      <c r="GI143" s="89">
        <v>3</v>
      </c>
      <c r="GJ143" s="89">
        <v>3</v>
      </c>
      <c r="GK143" s="95" t="s">
        <v>4052</v>
      </c>
      <c r="GM143" s="89">
        <v>1</v>
      </c>
      <c r="GN143" s="88">
        <v>3</v>
      </c>
      <c r="GO143" s="89">
        <v>3</v>
      </c>
      <c r="GP143" s="89">
        <v>3</v>
      </c>
      <c r="GS143" s="89">
        <v>1</v>
      </c>
      <c r="GT143" s="89">
        <v>2</v>
      </c>
      <c r="GU143" s="89">
        <v>3</v>
      </c>
      <c r="GV143" s="89">
        <v>3</v>
      </c>
      <c r="GX143" s="89">
        <v>1</v>
      </c>
      <c r="GY143" s="89">
        <v>2</v>
      </c>
      <c r="GZ143" s="89">
        <v>3</v>
      </c>
      <c r="HA143" s="89">
        <v>3</v>
      </c>
      <c r="HB143" s="89">
        <v>1</v>
      </c>
      <c r="HC143" s="89">
        <v>2</v>
      </c>
      <c r="HD143" s="89">
        <v>3</v>
      </c>
      <c r="HE143" s="89">
        <v>3</v>
      </c>
    </row>
    <row r="146" customHeight="1" spans="1:213">
      <c r="A146" s="96" t="s">
        <v>171</v>
      </c>
      <c r="B146" s="97"/>
      <c r="C146" s="116" t="s">
        <v>3923</v>
      </c>
      <c r="D146" s="128"/>
      <c r="E146" s="128"/>
      <c r="F146" s="128"/>
      <c r="G146" s="128"/>
      <c r="H146" s="128"/>
      <c r="I146" s="132"/>
      <c r="J146" s="116" t="s">
        <v>3923</v>
      </c>
      <c r="K146" s="128"/>
      <c r="L146" s="128"/>
      <c r="M146" s="128"/>
      <c r="N146" s="128"/>
      <c r="O146" s="128"/>
      <c r="P146" s="132"/>
      <c r="Q146" s="116" t="s">
        <v>4083</v>
      </c>
      <c r="R146" s="128"/>
      <c r="S146" s="128"/>
      <c r="T146" s="128"/>
      <c r="U146" s="128"/>
      <c r="V146" s="128"/>
      <c r="W146" s="132"/>
      <c r="X146" s="116" t="s">
        <v>3925</v>
      </c>
      <c r="Y146" s="128"/>
      <c r="Z146" s="128"/>
      <c r="AA146" s="128"/>
      <c r="AB146" s="128"/>
      <c r="AC146" s="128"/>
      <c r="AD146" s="132"/>
      <c r="AE146" s="116" t="s">
        <v>3926</v>
      </c>
      <c r="AF146" s="128"/>
      <c r="AG146" s="128"/>
      <c r="AH146" s="128"/>
      <c r="AI146" s="128"/>
      <c r="AJ146" s="128"/>
      <c r="AK146" s="132"/>
      <c r="AL146" s="116" t="s">
        <v>3927</v>
      </c>
      <c r="AM146" s="128"/>
      <c r="AN146" s="128"/>
      <c r="AO146" s="128"/>
      <c r="AP146" s="128"/>
      <c r="AQ146" s="128"/>
      <c r="AR146" s="132"/>
      <c r="AS146" s="116" t="s">
        <v>3928</v>
      </c>
      <c r="AT146" s="128"/>
      <c r="AU146" s="128"/>
      <c r="AV146" s="128"/>
      <c r="AW146" s="128"/>
      <c r="AX146" s="128"/>
      <c r="AY146" s="132"/>
      <c r="AZ146" s="116" t="s">
        <v>3929</v>
      </c>
      <c r="BA146" s="128"/>
      <c r="BB146" s="128"/>
      <c r="BC146" s="128"/>
      <c r="BD146" s="128"/>
      <c r="BE146" s="128"/>
      <c r="BF146" s="132"/>
      <c r="BG146" s="116" t="s">
        <v>3930</v>
      </c>
      <c r="BH146" s="128"/>
      <c r="BI146" s="128"/>
      <c r="BJ146" s="128"/>
      <c r="BK146" s="128"/>
      <c r="BL146" s="128"/>
      <c r="BM146" s="132"/>
      <c r="BN146" s="116" t="s">
        <v>3931</v>
      </c>
      <c r="BO146" s="128"/>
      <c r="BP146" s="128"/>
      <c r="BQ146" s="128"/>
      <c r="BR146" s="128"/>
      <c r="BS146" s="128"/>
      <c r="BT146" s="132"/>
      <c r="BU146" s="116" t="s">
        <v>3932</v>
      </c>
      <c r="BV146" s="128"/>
      <c r="BW146" s="128"/>
      <c r="BX146" s="128"/>
      <c r="BY146" s="128"/>
      <c r="BZ146" s="128"/>
      <c r="CA146" s="132"/>
      <c r="CB146" s="116" t="s">
        <v>3933</v>
      </c>
      <c r="CC146" s="128"/>
      <c r="CD146" s="128"/>
      <c r="CE146" s="128"/>
      <c r="CF146" s="128"/>
      <c r="CG146" s="128"/>
      <c r="CH146" s="132"/>
      <c r="CI146" s="116" t="s">
        <v>3922</v>
      </c>
      <c r="CJ146" s="128"/>
      <c r="CK146" s="128"/>
      <c r="CL146" s="128"/>
      <c r="CM146" s="128"/>
      <c r="CN146" s="128"/>
      <c r="CO146" s="132"/>
      <c r="CP146" s="116" t="s">
        <v>3934</v>
      </c>
      <c r="CQ146" s="128"/>
      <c r="CR146" s="128"/>
      <c r="CS146" s="128"/>
      <c r="CT146" s="128"/>
      <c r="CU146" s="128"/>
      <c r="CV146" s="132"/>
      <c r="CW146" s="116" t="s">
        <v>3924</v>
      </c>
      <c r="CX146" s="128"/>
      <c r="CY146" s="128"/>
      <c r="CZ146" s="128"/>
      <c r="DA146" s="128"/>
      <c r="DB146" s="128"/>
      <c r="DC146" s="132"/>
      <c r="DD146" s="116" t="s">
        <v>3935</v>
      </c>
      <c r="DE146" s="128"/>
      <c r="DF146" s="128"/>
      <c r="DG146" s="128"/>
      <c r="DH146" s="128"/>
      <c r="DI146" s="128"/>
      <c r="DJ146" s="132"/>
      <c r="DK146" s="116" t="s">
        <v>3936</v>
      </c>
      <c r="DL146" s="128"/>
      <c r="DM146" s="128"/>
      <c r="DN146" s="128"/>
      <c r="DO146" s="128"/>
      <c r="DP146" s="128"/>
      <c r="DQ146" s="132"/>
      <c r="DR146" s="325" t="s">
        <v>3937</v>
      </c>
      <c r="DS146" s="326"/>
      <c r="DT146" s="326"/>
      <c r="DU146" s="326"/>
      <c r="DV146" s="326"/>
      <c r="DW146" s="326"/>
      <c r="DX146" s="327"/>
      <c r="DY146" s="116" t="s">
        <v>3928</v>
      </c>
      <c r="DZ146" s="128"/>
      <c r="EA146" s="128"/>
      <c r="EB146" s="128"/>
      <c r="EC146" s="128"/>
      <c r="ED146" s="128"/>
      <c r="EE146" s="132"/>
      <c r="EF146" s="116" t="s">
        <v>3929</v>
      </c>
      <c r="EG146" s="128"/>
      <c r="EH146" s="128"/>
      <c r="EI146" s="128"/>
      <c r="EJ146" s="128"/>
      <c r="EK146" s="128"/>
      <c r="EL146" s="132"/>
      <c r="EM146" s="116" t="s">
        <v>4084</v>
      </c>
      <c r="EN146" s="128"/>
      <c r="EO146" s="128"/>
      <c r="EP146" s="128"/>
      <c r="EQ146" s="128"/>
      <c r="ER146" s="128"/>
      <c r="ES146" s="132"/>
      <c r="EU146" s="332"/>
      <c r="EV146" s="332"/>
      <c r="EW146" s="116" t="s">
        <v>4085</v>
      </c>
      <c r="EX146" s="128"/>
      <c r="EY146" s="128"/>
      <c r="EZ146" s="132"/>
      <c r="FB146" s="332"/>
      <c r="FC146" s="116" t="s">
        <v>4086</v>
      </c>
      <c r="FD146" s="128"/>
      <c r="FE146" s="128"/>
      <c r="FF146" s="132"/>
      <c r="FH146" s="332"/>
      <c r="FI146" s="116" t="s">
        <v>4087</v>
      </c>
      <c r="FJ146" s="128"/>
      <c r="FK146" s="128"/>
      <c r="FL146" s="132"/>
      <c r="FN146" s="332"/>
      <c r="FO146" s="116" t="s">
        <v>4088</v>
      </c>
      <c r="FP146" s="128"/>
      <c r="FQ146" s="128"/>
      <c r="FR146" s="132"/>
      <c r="FT146" s="332"/>
      <c r="FU146" s="116" t="s">
        <v>4089</v>
      </c>
      <c r="FV146" s="128"/>
      <c r="FW146" s="128"/>
      <c r="FX146" s="132"/>
      <c r="FZ146" s="332"/>
      <c r="GA146" s="116" t="s">
        <v>4090</v>
      </c>
      <c r="GB146" s="128"/>
      <c r="GC146" s="128"/>
      <c r="GD146" s="132"/>
      <c r="GF146" s="332"/>
      <c r="GG146" s="116" t="s">
        <v>4091</v>
      </c>
      <c r="GH146" s="128"/>
      <c r="GI146" s="128"/>
      <c r="GJ146" s="132"/>
      <c r="GL146" s="332"/>
      <c r="GM146" s="116" t="s">
        <v>3941</v>
      </c>
      <c r="GN146" s="128"/>
      <c r="GO146" s="128"/>
      <c r="GP146" s="132"/>
      <c r="GR146" s="332"/>
      <c r="GS146" s="116" t="s">
        <v>3941</v>
      </c>
      <c r="GT146" s="128"/>
      <c r="GU146" s="128"/>
      <c r="GV146" s="132"/>
      <c r="GW146" s="128"/>
      <c r="GX146" s="116" t="s">
        <v>3942</v>
      </c>
      <c r="GY146" s="128"/>
      <c r="GZ146" s="128"/>
      <c r="HA146" s="132"/>
      <c r="HB146" s="116" t="s">
        <v>3943</v>
      </c>
      <c r="HC146" s="128"/>
      <c r="HD146" s="128"/>
      <c r="HE146" s="132"/>
    </row>
    <row r="147" ht="28.2" spans="1:213">
      <c r="A147" s="101" t="s">
        <v>3944</v>
      </c>
      <c r="B147" s="102" t="s">
        <v>207</v>
      </c>
      <c r="C147" s="120" t="s">
        <v>3945</v>
      </c>
      <c r="D147" s="120" t="s">
        <v>3946</v>
      </c>
      <c r="E147" s="313" t="s">
        <v>3947</v>
      </c>
      <c r="F147" s="119" t="s">
        <v>3948</v>
      </c>
      <c r="G147" s="119" t="s">
        <v>3949</v>
      </c>
      <c r="H147" s="119" t="s">
        <v>3950</v>
      </c>
      <c r="I147" s="119" t="s">
        <v>3951</v>
      </c>
      <c r="J147" s="120" t="s">
        <v>3945</v>
      </c>
      <c r="K147" s="120" t="s">
        <v>3946</v>
      </c>
      <c r="L147" s="313" t="s">
        <v>3947</v>
      </c>
      <c r="M147" s="119" t="s">
        <v>3948</v>
      </c>
      <c r="N147" s="119" t="s">
        <v>3949</v>
      </c>
      <c r="O147" s="119" t="s">
        <v>3950</v>
      </c>
      <c r="P147" s="119" t="s">
        <v>3951</v>
      </c>
      <c r="Q147" s="120" t="s">
        <v>3945</v>
      </c>
      <c r="R147" s="120" t="s">
        <v>3946</v>
      </c>
      <c r="S147" s="313" t="s">
        <v>3947</v>
      </c>
      <c r="T147" s="119" t="s">
        <v>3948</v>
      </c>
      <c r="U147" s="119" t="s">
        <v>3949</v>
      </c>
      <c r="V147" s="119" t="s">
        <v>3950</v>
      </c>
      <c r="W147" s="119" t="s">
        <v>3951</v>
      </c>
      <c r="X147" s="120" t="s">
        <v>3952</v>
      </c>
      <c r="Y147" s="120" t="s">
        <v>3953</v>
      </c>
      <c r="Z147" s="313" t="s">
        <v>3947</v>
      </c>
      <c r="AA147" s="119" t="s">
        <v>3948</v>
      </c>
      <c r="AB147" s="119" t="s">
        <v>3949</v>
      </c>
      <c r="AC147" s="119" t="s">
        <v>3950</v>
      </c>
      <c r="AD147" s="119" t="s">
        <v>3951</v>
      </c>
      <c r="AE147" s="120" t="s">
        <v>3954</v>
      </c>
      <c r="AF147" s="120" t="s">
        <v>3955</v>
      </c>
      <c r="AG147" s="313" t="s">
        <v>3947</v>
      </c>
      <c r="AH147" s="119" t="s">
        <v>3948</v>
      </c>
      <c r="AI147" s="119" t="s">
        <v>3949</v>
      </c>
      <c r="AJ147" s="119" t="s">
        <v>3950</v>
      </c>
      <c r="AK147" s="119" t="s">
        <v>3951</v>
      </c>
      <c r="AL147" s="120" t="s">
        <v>3956</v>
      </c>
      <c r="AM147" s="120" t="s">
        <v>3957</v>
      </c>
      <c r="AN147" s="119" t="s">
        <v>3947</v>
      </c>
      <c r="AO147" s="119" t="s">
        <v>3948</v>
      </c>
      <c r="AP147" s="119" t="s">
        <v>3949</v>
      </c>
      <c r="AQ147" s="119" t="s">
        <v>3950</v>
      </c>
      <c r="AR147" s="119" t="s">
        <v>3951</v>
      </c>
      <c r="AS147" s="120" t="s">
        <v>3958</v>
      </c>
      <c r="AT147" s="120" t="s">
        <v>3959</v>
      </c>
      <c r="AU147" s="119" t="s">
        <v>3947</v>
      </c>
      <c r="AV147" s="119" t="s">
        <v>3948</v>
      </c>
      <c r="AW147" s="119" t="s">
        <v>3949</v>
      </c>
      <c r="AX147" s="119" t="s">
        <v>3950</v>
      </c>
      <c r="AY147" s="119" t="s">
        <v>3951</v>
      </c>
      <c r="AZ147" s="120" t="s">
        <v>3960</v>
      </c>
      <c r="BA147" s="120" t="s">
        <v>3961</v>
      </c>
      <c r="BB147" s="119" t="s">
        <v>3947</v>
      </c>
      <c r="BC147" s="119" t="s">
        <v>3948</v>
      </c>
      <c r="BD147" s="119" t="s">
        <v>3949</v>
      </c>
      <c r="BE147" s="119" t="s">
        <v>3950</v>
      </c>
      <c r="BF147" s="119" t="s">
        <v>3951</v>
      </c>
      <c r="BG147" s="120" t="s">
        <v>3962</v>
      </c>
      <c r="BH147" s="120" t="s">
        <v>3963</v>
      </c>
      <c r="BI147" s="119" t="s">
        <v>3947</v>
      </c>
      <c r="BJ147" s="119" t="s">
        <v>3948</v>
      </c>
      <c r="BK147" s="119" t="s">
        <v>3949</v>
      </c>
      <c r="BL147" s="119" t="s">
        <v>3950</v>
      </c>
      <c r="BM147" s="119" t="s">
        <v>3951</v>
      </c>
      <c r="BN147" s="120" t="s">
        <v>3964</v>
      </c>
      <c r="BO147" s="120" t="s">
        <v>3965</v>
      </c>
      <c r="BP147" s="119" t="s">
        <v>3947</v>
      </c>
      <c r="BQ147" s="119" t="s">
        <v>3948</v>
      </c>
      <c r="BR147" s="119" t="s">
        <v>3949</v>
      </c>
      <c r="BS147" s="119" t="s">
        <v>3950</v>
      </c>
      <c r="BT147" s="119" t="s">
        <v>3951</v>
      </c>
      <c r="BU147" s="120" t="s">
        <v>3966</v>
      </c>
      <c r="BV147" s="120" t="s">
        <v>3967</v>
      </c>
      <c r="BW147" s="119" t="s">
        <v>3947</v>
      </c>
      <c r="BX147" s="119" t="s">
        <v>3948</v>
      </c>
      <c r="BY147" s="119" t="s">
        <v>3949</v>
      </c>
      <c r="BZ147" s="119" t="s">
        <v>3950</v>
      </c>
      <c r="CA147" s="119" t="s">
        <v>3951</v>
      </c>
      <c r="CB147" s="120" t="s">
        <v>3968</v>
      </c>
      <c r="CC147" s="120" t="s">
        <v>3969</v>
      </c>
      <c r="CD147" s="119" t="s">
        <v>3947</v>
      </c>
      <c r="CE147" s="119" t="s">
        <v>3948</v>
      </c>
      <c r="CF147" s="119" t="s">
        <v>3949</v>
      </c>
      <c r="CG147" s="119" t="s">
        <v>3950</v>
      </c>
      <c r="CH147" s="119" t="s">
        <v>3951</v>
      </c>
      <c r="CI147" s="120" t="s">
        <v>3970</v>
      </c>
      <c r="CJ147" s="120" t="s">
        <v>3971</v>
      </c>
      <c r="CK147" s="119" t="s">
        <v>3947</v>
      </c>
      <c r="CL147" s="119" t="s">
        <v>3948</v>
      </c>
      <c r="CM147" s="119" t="s">
        <v>3949</v>
      </c>
      <c r="CN147" s="119" t="s">
        <v>3950</v>
      </c>
      <c r="CO147" s="119" t="s">
        <v>3951</v>
      </c>
      <c r="CP147" s="120" t="s">
        <v>3972</v>
      </c>
      <c r="CQ147" s="120" t="s">
        <v>3973</v>
      </c>
      <c r="CR147" s="119" t="s">
        <v>3947</v>
      </c>
      <c r="CS147" s="119" t="s">
        <v>3948</v>
      </c>
      <c r="CT147" s="119" t="s">
        <v>3949</v>
      </c>
      <c r="CU147" s="119" t="s">
        <v>3950</v>
      </c>
      <c r="CV147" s="119" t="s">
        <v>3951</v>
      </c>
      <c r="CW147" s="120" t="s">
        <v>3974</v>
      </c>
      <c r="CX147" s="120" t="s">
        <v>3975</v>
      </c>
      <c r="CY147" s="119" t="s">
        <v>3947</v>
      </c>
      <c r="CZ147" s="119" t="s">
        <v>3948</v>
      </c>
      <c r="DA147" s="119" t="s">
        <v>3949</v>
      </c>
      <c r="DB147" s="119" t="s">
        <v>3950</v>
      </c>
      <c r="DC147" s="119" t="s">
        <v>3951</v>
      </c>
      <c r="DD147" s="120" t="s">
        <v>3974</v>
      </c>
      <c r="DE147" s="120" t="s">
        <v>3975</v>
      </c>
      <c r="DF147" s="119" t="s">
        <v>3947</v>
      </c>
      <c r="DG147" s="119" t="s">
        <v>3948</v>
      </c>
      <c r="DH147" s="119" t="s">
        <v>3949</v>
      </c>
      <c r="DI147" s="119" t="s">
        <v>3950</v>
      </c>
      <c r="DJ147" s="119" t="s">
        <v>3951</v>
      </c>
      <c r="DK147" s="120" t="s">
        <v>3976</v>
      </c>
      <c r="DL147" s="120" t="s">
        <v>3977</v>
      </c>
      <c r="DM147" s="119" t="s">
        <v>3947</v>
      </c>
      <c r="DN147" s="119" t="s">
        <v>3948</v>
      </c>
      <c r="DO147" s="119" t="s">
        <v>3949</v>
      </c>
      <c r="DP147" s="119" t="s">
        <v>3950</v>
      </c>
      <c r="DQ147" s="119" t="s">
        <v>3951</v>
      </c>
      <c r="DR147" s="328" t="s">
        <v>3978</v>
      </c>
      <c r="DS147" s="328" t="s">
        <v>3979</v>
      </c>
      <c r="DT147" s="313" t="s">
        <v>3947</v>
      </c>
      <c r="DU147" s="313" t="s">
        <v>3948</v>
      </c>
      <c r="DV147" s="313" t="s">
        <v>3949</v>
      </c>
      <c r="DW147" s="313" t="s">
        <v>3950</v>
      </c>
      <c r="DX147" s="313" t="s">
        <v>3951</v>
      </c>
      <c r="DY147" s="120" t="s">
        <v>3980</v>
      </c>
      <c r="DZ147" s="120" t="s">
        <v>3981</v>
      </c>
      <c r="EA147" s="119" t="s">
        <v>3947</v>
      </c>
      <c r="EB147" s="119" t="s">
        <v>3948</v>
      </c>
      <c r="EC147" s="119" t="s">
        <v>3949</v>
      </c>
      <c r="ED147" s="119" t="s">
        <v>3950</v>
      </c>
      <c r="EE147" s="119" t="s">
        <v>3951</v>
      </c>
      <c r="EF147" s="120" t="s">
        <v>3982</v>
      </c>
      <c r="EG147" s="120" t="s">
        <v>3983</v>
      </c>
      <c r="EH147" s="119" t="s">
        <v>3947</v>
      </c>
      <c r="EI147" s="119" t="s">
        <v>3948</v>
      </c>
      <c r="EJ147" s="119" t="s">
        <v>3949</v>
      </c>
      <c r="EK147" s="119" t="s">
        <v>3950</v>
      </c>
      <c r="EL147" s="119" t="s">
        <v>3951</v>
      </c>
      <c r="EM147" s="120" t="s">
        <v>3984</v>
      </c>
      <c r="EN147" s="120" t="s">
        <v>3985</v>
      </c>
      <c r="EO147" s="120"/>
      <c r="EP147" s="119" t="s">
        <v>3948</v>
      </c>
      <c r="EQ147" s="119" t="s">
        <v>3949</v>
      </c>
      <c r="ER147" s="119" t="s">
        <v>3950</v>
      </c>
      <c r="ES147" s="119" t="s">
        <v>3951</v>
      </c>
      <c r="ET147" s="120" t="s">
        <v>3986</v>
      </c>
      <c r="EU147" s="120" t="s">
        <v>3987</v>
      </c>
      <c r="EV147" s="120"/>
      <c r="EW147" s="119" t="s">
        <v>3948</v>
      </c>
      <c r="EX147" s="119" t="s">
        <v>3949</v>
      </c>
      <c r="EY147" s="119" t="s">
        <v>3950</v>
      </c>
      <c r="EZ147" s="119" t="s">
        <v>3951</v>
      </c>
      <c r="FA147" s="120" t="s">
        <v>3988</v>
      </c>
      <c r="FB147" s="120" t="s">
        <v>3989</v>
      </c>
      <c r="FC147" s="119" t="s">
        <v>3948</v>
      </c>
      <c r="FD147" s="119" t="s">
        <v>3949</v>
      </c>
      <c r="FE147" s="119" t="s">
        <v>3950</v>
      </c>
      <c r="FF147" s="119" t="s">
        <v>3951</v>
      </c>
      <c r="FG147" s="120" t="s">
        <v>3990</v>
      </c>
      <c r="FH147" s="120" t="s">
        <v>3991</v>
      </c>
      <c r="FI147" s="119" t="s">
        <v>3948</v>
      </c>
      <c r="FJ147" s="119" t="s">
        <v>3949</v>
      </c>
      <c r="FK147" s="119" t="s">
        <v>3950</v>
      </c>
      <c r="FL147" s="119" t="s">
        <v>3951</v>
      </c>
      <c r="FM147" s="120" t="s">
        <v>3992</v>
      </c>
      <c r="FN147" s="120" t="s">
        <v>3993</v>
      </c>
      <c r="FO147" s="119" t="s">
        <v>3948</v>
      </c>
      <c r="FP147" s="119" t="s">
        <v>3949</v>
      </c>
      <c r="FQ147" s="119" t="s">
        <v>3950</v>
      </c>
      <c r="FR147" s="119" t="s">
        <v>3951</v>
      </c>
      <c r="FS147" s="120" t="s">
        <v>3994</v>
      </c>
      <c r="FT147" s="120" t="s">
        <v>3995</v>
      </c>
      <c r="FU147" s="119" t="s">
        <v>3948</v>
      </c>
      <c r="FV147" s="119" t="s">
        <v>3949</v>
      </c>
      <c r="FW147" s="119" t="s">
        <v>3950</v>
      </c>
      <c r="FX147" s="119" t="s">
        <v>3951</v>
      </c>
      <c r="FY147" s="120" t="s">
        <v>3996</v>
      </c>
      <c r="FZ147" s="120" t="s">
        <v>3997</v>
      </c>
      <c r="GA147" s="119" t="s">
        <v>3948</v>
      </c>
      <c r="GB147" s="119" t="s">
        <v>3949</v>
      </c>
      <c r="GC147" s="119" t="s">
        <v>3950</v>
      </c>
      <c r="GD147" s="119" t="s">
        <v>3951</v>
      </c>
      <c r="GE147" s="120" t="s">
        <v>3998</v>
      </c>
      <c r="GF147" s="120" t="s">
        <v>3999</v>
      </c>
      <c r="GG147" s="119" t="s">
        <v>3948</v>
      </c>
      <c r="GH147" s="119" t="s">
        <v>3949</v>
      </c>
      <c r="GI147" s="119" t="s">
        <v>3950</v>
      </c>
      <c r="GJ147" s="119" t="s">
        <v>3951</v>
      </c>
      <c r="GK147" s="120" t="s">
        <v>4000</v>
      </c>
      <c r="GL147" s="120" t="s">
        <v>4001</v>
      </c>
      <c r="GM147" s="119" t="s">
        <v>3948</v>
      </c>
      <c r="GN147" s="119" t="s">
        <v>3949</v>
      </c>
      <c r="GO147" s="119" t="s">
        <v>3950</v>
      </c>
      <c r="GP147" s="119" t="s">
        <v>3951</v>
      </c>
      <c r="GQ147" s="120" t="s">
        <v>4002</v>
      </c>
      <c r="GR147" s="120" t="s">
        <v>4003</v>
      </c>
      <c r="GS147" s="119" t="s">
        <v>3948</v>
      </c>
      <c r="GT147" s="119" t="s">
        <v>3949</v>
      </c>
      <c r="GU147" s="119" t="s">
        <v>3950</v>
      </c>
      <c r="GV147" s="119" t="s">
        <v>3951</v>
      </c>
      <c r="GW147" s="119"/>
      <c r="GX147" s="119" t="s">
        <v>3948</v>
      </c>
      <c r="GY147" s="119" t="s">
        <v>3949</v>
      </c>
      <c r="GZ147" s="119" t="s">
        <v>3950</v>
      </c>
      <c r="HA147" s="119" t="s">
        <v>3951</v>
      </c>
      <c r="HB147" s="119" t="s">
        <v>3948</v>
      </c>
      <c r="HC147" s="119" t="s">
        <v>3949</v>
      </c>
      <c r="HD147" s="119" t="s">
        <v>3950</v>
      </c>
      <c r="HE147" s="119" t="s">
        <v>3951</v>
      </c>
    </row>
    <row r="148" ht="27.6" spans="1:193">
      <c r="A148" s="89" t="s">
        <v>230</v>
      </c>
      <c r="B148" s="108" t="s">
        <v>578</v>
      </c>
      <c r="C148" s="95" t="s">
        <v>4595</v>
      </c>
      <c r="F148" s="89">
        <v>3</v>
      </c>
      <c r="G148" s="89">
        <v>3</v>
      </c>
      <c r="H148" s="89">
        <v>3</v>
      </c>
      <c r="I148" s="89">
        <v>4</v>
      </c>
      <c r="J148" s="95" t="s">
        <v>4595</v>
      </c>
      <c r="M148" s="89">
        <v>3</v>
      </c>
      <c r="N148" s="89">
        <v>3</v>
      </c>
      <c r="O148" s="89">
        <v>3</v>
      </c>
      <c r="P148" s="89">
        <v>4</v>
      </c>
      <c r="Q148" s="95" t="s">
        <v>4595</v>
      </c>
      <c r="T148" s="89">
        <v>3</v>
      </c>
      <c r="U148" s="89">
        <v>3</v>
      </c>
      <c r="V148" s="89">
        <v>3</v>
      </c>
      <c r="W148" s="89">
        <v>4</v>
      </c>
      <c r="X148" s="126" t="s">
        <v>4596</v>
      </c>
      <c r="AA148" s="89">
        <v>3</v>
      </c>
      <c r="AB148" s="89">
        <v>3</v>
      </c>
      <c r="AC148" s="89">
        <v>3</v>
      </c>
      <c r="AD148" s="89">
        <v>4</v>
      </c>
      <c r="AE148" s="126" t="s">
        <v>4596</v>
      </c>
      <c r="AH148" s="89">
        <v>3</v>
      </c>
      <c r="AI148" s="89">
        <v>3</v>
      </c>
      <c r="AJ148" s="89">
        <v>3</v>
      </c>
      <c r="AK148" s="89">
        <v>4</v>
      </c>
      <c r="AL148" s="126" t="s">
        <v>4596</v>
      </c>
      <c r="AO148" s="88">
        <v>3</v>
      </c>
      <c r="AP148" s="88">
        <v>3</v>
      </c>
      <c r="AQ148" s="88">
        <v>3</v>
      </c>
      <c r="AR148" s="88">
        <v>4</v>
      </c>
      <c r="AV148" s="89">
        <v>1</v>
      </c>
      <c r="AW148" s="89">
        <v>1</v>
      </c>
      <c r="AX148" s="89">
        <v>1</v>
      </c>
      <c r="AY148" s="89">
        <v>3</v>
      </c>
      <c r="BC148" s="89">
        <v>1</v>
      </c>
      <c r="BD148" s="89">
        <v>1</v>
      </c>
      <c r="BE148" s="89">
        <v>1</v>
      </c>
      <c r="BF148" s="89">
        <v>3</v>
      </c>
      <c r="BJ148" s="89">
        <v>1</v>
      </c>
      <c r="BK148" s="89">
        <v>1</v>
      </c>
      <c r="BL148" s="89">
        <v>1</v>
      </c>
      <c r="BM148" s="89">
        <v>3</v>
      </c>
      <c r="BQ148" s="89">
        <v>1</v>
      </c>
      <c r="BR148" s="89">
        <v>1</v>
      </c>
      <c r="BS148" s="89">
        <v>1</v>
      </c>
      <c r="BT148" s="89">
        <v>3</v>
      </c>
      <c r="BX148" s="89">
        <v>1</v>
      </c>
      <c r="BY148" s="89">
        <v>1</v>
      </c>
      <c r="BZ148" s="89">
        <v>1</v>
      </c>
      <c r="CA148" s="89">
        <v>3</v>
      </c>
      <c r="CE148" s="89">
        <v>1</v>
      </c>
      <c r="CF148" s="89">
        <v>1</v>
      </c>
      <c r="CG148" s="89">
        <v>1</v>
      </c>
      <c r="CH148" s="89">
        <v>3</v>
      </c>
      <c r="CL148" s="89">
        <v>1</v>
      </c>
      <c r="CM148" s="89">
        <v>1</v>
      </c>
      <c r="CN148" s="89">
        <v>1</v>
      </c>
      <c r="CO148" s="89">
        <v>3</v>
      </c>
      <c r="CS148" s="89">
        <v>1</v>
      </c>
      <c r="CT148" s="89">
        <v>1</v>
      </c>
      <c r="CU148" s="89">
        <v>1</v>
      </c>
      <c r="CV148" s="89">
        <v>3</v>
      </c>
      <c r="CW148" s="95" t="s">
        <v>4597</v>
      </c>
      <c r="CZ148" s="89">
        <v>1</v>
      </c>
      <c r="DA148" s="89">
        <v>1</v>
      </c>
      <c r="DB148" s="89">
        <v>1</v>
      </c>
      <c r="DC148" s="89">
        <v>3</v>
      </c>
      <c r="DD148" s="95" t="s">
        <v>4597</v>
      </c>
      <c r="DG148" s="89">
        <v>1</v>
      </c>
      <c r="DH148" s="89">
        <v>1</v>
      </c>
      <c r="DI148" s="89">
        <v>1</v>
      </c>
      <c r="DJ148" s="89">
        <v>3</v>
      </c>
      <c r="DK148" s="95" t="s">
        <v>4598</v>
      </c>
      <c r="DN148" s="89">
        <v>1</v>
      </c>
      <c r="DO148" s="89">
        <v>1</v>
      </c>
      <c r="DP148" s="89">
        <v>1</v>
      </c>
      <c r="DQ148" s="89">
        <v>3</v>
      </c>
      <c r="DR148" s="194" t="s">
        <v>4598</v>
      </c>
      <c r="DU148" s="188">
        <v>1</v>
      </c>
      <c r="DV148" s="188">
        <v>1</v>
      </c>
      <c r="DW148" s="188">
        <v>1</v>
      </c>
      <c r="DX148" s="188">
        <v>3</v>
      </c>
      <c r="DY148" s="95" t="s">
        <v>4598</v>
      </c>
      <c r="EB148" s="89">
        <v>1</v>
      </c>
      <c r="EC148" s="89">
        <v>1</v>
      </c>
      <c r="ED148" s="89">
        <v>1</v>
      </c>
      <c r="EE148" s="89">
        <v>3</v>
      </c>
      <c r="EF148" s="95" t="s">
        <v>4598</v>
      </c>
      <c r="EI148" s="89">
        <v>1</v>
      </c>
      <c r="EJ148" s="89">
        <v>1</v>
      </c>
      <c r="EK148" s="89">
        <v>1</v>
      </c>
      <c r="EL148" s="89">
        <v>3</v>
      </c>
      <c r="EM148" s="95" t="s">
        <v>4598</v>
      </c>
      <c r="EP148" s="89">
        <v>1</v>
      </c>
      <c r="EQ148" s="89">
        <v>1</v>
      </c>
      <c r="ER148" s="89">
        <v>1</v>
      </c>
      <c r="ES148" s="89">
        <v>2</v>
      </c>
      <c r="ET148" s="95" t="s">
        <v>4598</v>
      </c>
      <c r="EW148" s="89">
        <v>1</v>
      </c>
      <c r="EX148" s="89">
        <v>1</v>
      </c>
      <c r="EY148" s="89">
        <v>1</v>
      </c>
      <c r="EZ148" s="89">
        <v>2</v>
      </c>
      <c r="FA148" s="95" t="s">
        <v>4598</v>
      </c>
      <c r="FC148" s="89">
        <v>1</v>
      </c>
      <c r="FD148" s="89">
        <v>1</v>
      </c>
      <c r="FE148" s="89">
        <v>1</v>
      </c>
      <c r="FF148" s="89">
        <v>2</v>
      </c>
      <c r="FG148" s="95" t="s">
        <v>4598</v>
      </c>
      <c r="FI148" s="89">
        <v>1</v>
      </c>
      <c r="FJ148" s="89">
        <v>1</v>
      </c>
      <c r="FK148" s="89">
        <v>1</v>
      </c>
      <c r="FL148" s="89">
        <v>2</v>
      </c>
      <c r="FM148" s="95" t="s">
        <v>4598</v>
      </c>
      <c r="FO148" s="89">
        <v>1</v>
      </c>
      <c r="FP148" s="89">
        <v>1</v>
      </c>
      <c r="FQ148" s="89">
        <v>1</v>
      </c>
      <c r="FR148" s="89">
        <v>2</v>
      </c>
      <c r="FS148" s="95" t="s">
        <v>4598</v>
      </c>
      <c r="FU148" s="89">
        <v>1</v>
      </c>
      <c r="FV148" s="89">
        <v>1</v>
      </c>
      <c r="FW148" s="89">
        <v>1</v>
      </c>
      <c r="FX148" s="89">
        <v>2</v>
      </c>
      <c r="FY148" s="95" t="s">
        <v>4598</v>
      </c>
      <c r="GA148" s="89">
        <v>1</v>
      </c>
      <c r="GB148" s="89">
        <v>1</v>
      </c>
      <c r="GC148" s="89">
        <v>1</v>
      </c>
      <c r="GD148" s="89">
        <v>2</v>
      </c>
      <c r="GE148" s="95" t="s">
        <v>4598</v>
      </c>
      <c r="GK148" s="95" t="s">
        <v>4598</v>
      </c>
    </row>
    <row r="149" ht="28.8" spans="1:193">
      <c r="A149" s="89" t="s">
        <v>243</v>
      </c>
      <c r="B149" s="114" t="s">
        <v>311</v>
      </c>
      <c r="F149" s="89">
        <v>5</v>
      </c>
      <c r="G149" s="89">
        <v>5</v>
      </c>
      <c r="H149" s="89">
        <v>4</v>
      </c>
      <c r="I149" s="89">
        <v>5</v>
      </c>
      <c r="M149" s="89">
        <v>5</v>
      </c>
      <c r="N149" s="89">
        <v>5</v>
      </c>
      <c r="O149" s="89">
        <v>4</v>
      </c>
      <c r="P149" s="89">
        <v>5</v>
      </c>
      <c r="T149" s="89">
        <v>5</v>
      </c>
      <c r="U149" s="89">
        <v>5</v>
      </c>
      <c r="V149" s="89">
        <v>4</v>
      </c>
      <c r="W149" s="89">
        <v>5</v>
      </c>
      <c r="AA149" s="89">
        <v>5</v>
      </c>
      <c r="AB149" s="89">
        <v>5</v>
      </c>
      <c r="AC149" s="89">
        <v>4</v>
      </c>
      <c r="AD149" s="89">
        <v>5</v>
      </c>
      <c r="AH149" s="89">
        <v>5</v>
      </c>
      <c r="AI149" s="89">
        <v>5</v>
      </c>
      <c r="AJ149" s="89">
        <v>4</v>
      </c>
      <c r="AK149" s="89">
        <v>5</v>
      </c>
      <c r="AO149" s="88">
        <v>5</v>
      </c>
      <c r="AP149" s="88">
        <v>5</v>
      </c>
      <c r="AQ149" s="89">
        <v>4</v>
      </c>
      <c r="AR149" s="88">
        <v>5</v>
      </c>
      <c r="AV149" s="89">
        <v>4</v>
      </c>
      <c r="AW149" s="89">
        <v>4</v>
      </c>
      <c r="AX149" s="89">
        <v>4</v>
      </c>
      <c r="AY149" s="89">
        <v>4</v>
      </c>
      <c r="BC149" s="89">
        <v>4</v>
      </c>
      <c r="BD149" s="89">
        <v>4</v>
      </c>
      <c r="BE149" s="89">
        <v>4</v>
      </c>
      <c r="BF149" s="89">
        <v>4</v>
      </c>
      <c r="BJ149" s="89">
        <v>4</v>
      </c>
      <c r="BK149" s="89">
        <v>4</v>
      </c>
      <c r="BL149" s="89">
        <v>4</v>
      </c>
      <c r="BM149" s="89">
        <v>4</v>
      </c>
      <c r="BQ149" s="89">
        <v>4</v>
      </c>
      <c r="BR149" s="89">
        <v>4</v>
      </c>
      <c r="BS149" s="89">
        <v>4</v>
      </c>
      <c r="BT149" s="89">
        <v>4</v>
      </c>
      <c r="BX149" s="89">
        <v>4</v>
      </c>
      <c r="BY149" s="89">
        <v>4</v>
      </c>
      <c r="BZ149" s="89">
        <v>4</v>
      </c>
      <c r="CA149" s="89">
        <v>4</v>
      </c>
      <c r="CE149" s="89">
        <v>4</v>
      </c>
      <c r="CF149" s="89">
        <v>4</v>
      </c>
      <c r="CG149" s="89">
        <v>4</v>
      </c>
      <c r="CH149" s="89">
        <v>4</v>
      </c>
      <c r="CL149" s="89">
        <v>4</v>
      </c>
      <c r="CM149" s="89">
        <v>4</v>
      </c>
      <c r="CN149" s="89">
        <v>4</v>
      </c>
      <c r="CO149" s="89">
        <v>4</v>
      </c>
      <c r="CS149" s="89">
        <v>4</v>
      </c>
      <c r="CT149" s="89">
        <v>4</v>
      </c>
      <c r="CU149" s="89">
        <v>4</v>
      </c>
      <c r="CV149" s="89">
        <v>4</v>
      </c>
      <c r="CW149" s="95" t="s">
        <v>4599</v>
      </c>
      <c r="CZ149" s="89">
        <v>4</v>
      </c>
      <c r="DA149" s="89">
        <v>4</v>
      </c>
      <c r="DB149" s="89">
        <v>4</v>
      </c>
      <c r="DC149" s="89">
        <v>4</v>
      </c>
      <c r="DD149" s="95" t="s">
        <v>4599</v>
      </c>
      <c r="DG149" s="89">
        <v>4</v>
      </c>
      <c r="DH149" s="89">
        <v>4</v>
      </c>
      <c r="DI149" s="89">
        <v>4</v>
      </c>
      <c r="DJ149" s="89">
        <v>4</v>
      </c>
      <c r="DK149" s="95" t="s">
        <v>4599</v>
      </c>
      <c r="DN149" s="89">
        <v>4</v>
      </c>
      <c r="DO149" s="89">
        <v>4</v>
      </c>
      <c r="DP149" s="89">
        <v>4</v>
      </c>
      <c r="DQ149" s="89">
        <v>4</v>
      </c>
      <c r="DR149" s="194" t="s">
        <v>4600</v>
      </c>
      <c r="DU149" s="188">
        <v>4</v>
      </c>
      <c r="DV149" s="188">
        <v>4</v>
      </c>
      <c r="DW149" s="88">
        <v>4</v>
      </c>
      <c r="DX149" s="188">
        <v>4</v>
      </c>
      <c r="DY149" s="95" t="s">
        <v>4599</v>
      </c>
      <c r="EB149" s="89">
        <v>4</v>
      </c>
      <c r="EC149" s="89">
        <v>4</v>
      </c>
      <c r="ED149" s="89">
        <v>3</v>
      </c>
      <c r="EE149" s="89">
        <v>4</v>
      </c>
      <c r="EF149" s="126" t="s">
        <v>4601</v>
      </c>
      <c r="EI149" s="89">
        <v>4</v>
      </c>
      <c r="EJ149" s="89">
        <v>4</v>
      </c>
      <c r="EK149" s="89">
        <v>3</v>
      </c>
      <c r="EL149" s="89">
        <v>4</v>
      </c>
      <c r="EM149" s="95" t="s">
        <v>4602</v>
      </c>
      <c r="EP149" s="89">
        <v>4</v>
      </c>
      <c r="EQ149" s="89">
        <v>4</v>
      </c>
      <c r="ER149" s="89">
        <v>3</v>
      </c>
      <c r="ES149" s="89">
        <v>3</v>
      </c>
      <c r="ET149" s="95" t="s">
        <v>4602</v>
      </c>
      <c r="EW149" s="89">
        <v>4</v>
      </c>
      <c r="EX149" s="89">
        <v>4</v>
      </c>
      <c r="EY149" s="89">
        <v>3</v>
      </c>
      <c r="EZ149" s="89">
        <v>3</v>
      </c>
      <c r="FA149" s="95" t="s">
        <v>4602</v>
      </c>
      <c r="FC149" s="89">
        <v>4</v>
      </c>
      <c r="FD149" s="89">
        <v>3</v>
      </c>
      <c r="FE149" s="89">
        <v>3</v>
      </c>
      <c r="FF149" s="89">
        <v>3</v>
      </c>
      <c r="FG149" s="95" t="s">
        <v>4602</v>
      </c>
      <c r="FI149" s="89">
        <v>4</v>
      </c>
      <c r="FJ149" s="89">
        <v>3</v>
      </c>
      <c r="FK149" s="89">
        <v>3</v>
      </c>
      <c r="FL149" s="89">
        <v>3</v>
      </c>
      <c r="FM149" s="95" t="s">
        <v>4602</v>
      </c>
      <c r="FO149" s="89">
        <v>4</v>
      </c>
      <c r="FP149" s="89">
        <v>3</v>
      </c>
      <c r="FQ149" s="89">
        <v>3</v>
      </c>
      <c r="FR149" s="89">
        <v>3</v>
      </c>
      <c r="FS149" s="95" t="s">
        <v>4602</v>
      </c>
      <c r="FU149" s="89">
        <v>4</v>
      </c>
      <c r="FV149" s="89">
        <v>3</v>
      </c>
      <c r="FW149" s="89">
        <v>3</v>
      </c>
      <c r="FX149" s="89">
        <v>3</v>
      </c>
      <c r="FY149" s="126" t="s">
        <v>4603</v>
      </c>
      <c r="GA149" s="89">
        <v>4</v>
      </c>
      <c r="GB149" s="89">
        <v>3</v>
      </c>
      <c r="GC149" s="89">
        <v>3</v>
      </c>
      <c r="GD149" s="89">
        <v>3</v>
      </c>
      <c r="GE149" s="95" t="s">
        <v>4604</v>
      </c>
      <c r="GK149" s="95" t="s">
        <v>4604</v>
      </c>
    </row>
    <row r="150" ht="28.8" spans="1:193">
      <c r="A150" s="89" t="s">
        <v>243</v>
      </c>
      <c r="B150" s="108" t="s">
        <v>314</v>
      </c>
      <c r="F150" s="89">
        <v>4</v>
      </c>
      <c r="G150" s="89">
        <v>4</v>
      </c>
      <c r="H150" s="89">
        <v>2</v>
      </c>
      <c r="I150" s="89">
        <v>2</v>
      </c>
      <c r="M150" s="89">
        <v>4</v>
      </c>
      <c r="N150" s="89">
        <v>4</v>
      </c>
      <c r="O150" s="89">
        <v>2</v>
      </c>
      <c r="P150" s="89">
        <v>2</v>
      </c>
      <c r="T150" s="89">
        <v>4</v>
      </c>
      <c r="U150" s="89">
        <v>4</v>
      </c>
      <c r="V150" s="89">
        <v>2</v>
      </c>
      <c r="W150" s="89">
        <v>2</v>
      </c>
      <c r="AA150" s="89">
        <v>4</v>
      </c>
      <c r="AB150" s="89">
        <v>4</v>
      </c>
      <c r="AC150" s="89">
        <v>2</v>
      </c>
      <c r="AD150" s="89">
        <v>2</v>
      </c>
      <c r="AH150" s="89">
        <v>4</v>
      </c>
      <c r="AI150" s="89">
        <v>4</v>
      </c>
      <c r="AJ150" s="89">
        <v>2</v>
      </c>
      <c r="AK150" s="89">
        <v>2</v>
      </c>
      <c r="AO150" s="88">
        <v>4</v>
      </c>
      <c r="AP150" s="88">
        <v>4</v>
      </c>
      <c r="AQ150" s="89">
        <v>2</v>
      </c>
      <c r="AR150" s="89">
        <v>2</v>
      </c>
      <c r="AV150" s="89">
        <v>3</v>
      </c>
      <c r="AW150" s="89">
        <v>3</v>
      </c>
      <c r="AX150" s="89">
        <v>2</v>
      </c>
      <c r="AY150" s="89">
        <v>2</v>
      </c>
      <c r="BC150" s="89">
        <v>3</v>
      </c>
      <c r="BD150" s="89">
        <v>3</v>
      </c>
      <c r="BE150" s="89">
        <v>2</v>
      </c>
      <c r="BF150" s="89">
        <v>2</v>
      </c>
      <c r="BJ150" s="89">
        <v>3</v>
      </c>
      <c r="BK150" s="89">
        <v>3</v>
      </c>
      <c r="BL150" s="89">
        <v>2</v>
      </c>
      <c r="BM150" s="89">
        <v>2</v>
      </c>
      <c r="BQ150" s="89">
        <v>3</v>
      </c>
      <c r="BR150" s="89">
        <v>3</v>
      </c>
      <c r="BS150" s="89">
        <v>2</v>
      </c>
      <c r="BT150" s="89">
        <v>2</v>
      </c>
      <c r="BX150" s="89">
        <v>3</v>
      </c>
      <c r="BY150" s="89">
        <v>3</v>
      </c>
      <c r="BZ150" s="89">
        <v>2</v>
      </c>
      <c r="CA150" s="89">
        <v>2</v>
      </c>
      <c r="CE150" s="89">
        <v>3</v>
      </c>
      <c r="CF150" s="89">
        <v>3</v>
      </c>
      <c r="CG150" s="89">
        <v>2</v>
      </c>
      <c r="CH150" s="89">
        <v>2</v>
      </c>
      <c r="CL150" s="89">
        <v>3</v>
      </c>
      <c r="CM150" s="89">
        <v>3</v>
      </c>
      <c r="CN150" s="89">
        <v>2</v>
      </c>
      <c r="CO150" s="89">
        <v>2</v>
      </c>
      <c r="CS150" s="89">
        <v>3</v>
      </c>
      <c r="CT150" s="89">
        <v>3</v>
      </c>
      <c r="CU150" s="89">
        <v>2</v>
      </c>
      <c r="CV150" s="89">
        <v>2</v>
      </c>
      <c r="CW150" s="95" t="s">
        <v>4605</v>
      </c>
      <c r="CZ150" s="89">
        <v>3</v>
      </c>
      <c r="DA150" s="89">
        <v>3</v>
      </c>
      <c r="DB150" s="89">
        <v>2</v>
      </c>
      <c r="DC150" s="89">
        <v>2</v>
      </c>
      <c r="DD150" s="95" t="s">
        <v>4605</v>
      </c>
      <c r="DG150" s="89">
        <v>3</v>
      </c>
      <c r="DH150" s="89">
        <v>3</v>
      </c>
      <c r="DI150" s="89">
        <v>2</v>
      </c>
      <c r="DJ150" s="89">
        <v>2</v>
      </c>
      <c r="DK150" s="95" t="s">
        <v>4605</v>
      </c>
      <c r="DN150" s="89">
        <v>3</v>
      </c>
      <c r="DO150" s="89">
        <v>3</v>
      </c>
      <c r="DP150" s="89">
        <v>2</v>
      </c>
      <c r="DQ150" s="89">
        <v>2</v>
      </c>
      <c r="DR150" s="194" t="s">
        <v>4606</v>
      </c>
      <c r="DU150" s="188">
        <v>3</v>
      </c>
      <c r="DV150" s="188">
        <v>3</v>
      </c>
      <c r="DW150" s="188">
        <v>2</v>
      </c>
      <c r="DX150" s="188">
        <v>2</v>
      </c>
      <c r="DY150" s="95" t="s">
        <v>4605</v>
      </c>
      <c r="EB150" s="89">
        <v>3</v>
      </c>
      <c r="EC150" s="89">
        <v>3</v>
      </c>
      <c r="ED150" s="89">
        <v>2</v>
      </c>
      <c r="EE150" s="89">
        <v>2</v>
      </c>
      <c r="EF150" s="95" t="s">
        <v>4605</v>
      </c>
      <c r="EI150" s="89">
        <v>3</v>
      </c>
      <c r="EJ150" s="89">
        <v>3</v>
      </c>
      <c r="EK150" s="89">
        <v>2</v>
      </c>
      <c r="EL150" s="89">
        <v>2</v>
      </c>
      <c r="EM150" s="95" t="s">
        <v>4605</v>
      </c>
      <c r="EP150" s="89">
        <v>3</v>
      </c>
      <c r="EQ150" s="89">
        <v>3</v>
      </c>
      <c r="ER150" s="89">
        <v>2</v>
      </c>
      <c r="ES150" s="89">
        <v>4</v>
      </c>
      <c r="ET150" s="95" t="s">
        <v>4605</v>
      </c>
      <c r="EW150" s="89">
        <v>3</v>
      </c>
      <c r="EX150" s="89">
        <v>3</v>
      </c>
      <c r="EY150" s="89">
        <v>2</v>
      </c>
      <c r="EZ150" s="89">
        <v>4</v>
      </c>
      <c r="FA150" s="95" t="s">
        <v>4605</v>
      </c>
      <c r="FC150" s="89">
        <v>3</v>
      </c>
      <c r="FD150" s="89">
        <v>2</v>
      </c>
      <c r="FE150" s="89">
        <v>2</v>
      </c>
      <c r="FF150" s="89">
        <v>2</v>
      </c>
      <c r="FG150" s="95" t="s">
        <v>4605</v>
      </c>
      <c r="FI150" s="89">
        <v>3</v>
      </c>
      <c r="FJ150" s="89">
        <v>2</v>
      </c>
      <c r="FK150" s="89">
        <v>2</v>
      </c>
      <c r="FL150" s="89">
        <v>2</v>
      </c>
      <c r="FM150" s="95" t="s">
        <v>4605</v>
      </c>
      <c r="FO150" s="89">
        <v>3</v>
      </c>
      <c r="FP150" s="89">
        <v>2</v>
      </c>
      <c r="FQ150" s="89">
        <v>2</v>
      </c>
      <c r="FR150" s="89">
        <v>2</v>
      </c>
      <c r="FS150" s="95" t="s">
        <v>4605</v>
      </c>
      <c r="FU150" s="89">
        <v>3</v>
      </c>
      <c r="FV150" s="89">
        <v>2</v>
      </c>
      <c r="FW150" s="89">
        <v>2</v>
      </c>
      <c r="FX150" s="89">
        <v>2</v>
      </c>
      <c r="FY150" s="126" t="s">
        <v>4607</v>
      </c>
      <c r="GA150" s="89">
        <v>3</v>
      </c>
      <c r="GB150" s="89">
        <v>2</v>
      </c>
      <c r="GC150" s="89">
        <v>2</v>
      </c>
      <c r="GD150" s="89">
        <v>2</v>
      </c>
      <c r="GE150" s="95" t="s">
        <v>4052</v>
      </c>
      <c r="GK150" s="95" t="s">
        <v>4052</v>
      </c>
    </row>
    <row r="151" ht="28.8" spans="1:193">
      <c r="A151" s="89" t="s">
        <v>230</v>
      </c>
      <c r="B151" s="89" t="s">
        <v>4608</v>
      </c>
      <c r="F151" s="89">
        <v>2</v>
      </c>
      <c r="G151" s="89">
        <v>2</v>
      </c>
      <c r="H151" s="89">
        <v>3</v>
      </c>
      <c r="I151" s="89">
        <v>1</v>
      </c>
      <c r="M151" s="89">
        <v>2</v>
      </c>
      <c r="N151" s="89">
        <v>2</v>
      </c>
      <c r="O151" s="89">
        <v>3</v>
      </c>
      <c r="P151" s="89">
        <v>1</v>
      </c>
      <c r="T151" s="89">
        <v>2</v>
      </c>
      <c r="U151" s="89">
        <v>2</v>
      </c>
      <c r="V151" s="89">
        <v>3</v>
      </c>
      <c r="W151" s="89">
        <v>1</v>
      </c>
      <c r="AA151" s="89">
        <v>2</v>
      </c>
      <c r="AB151" s="89">
        <v>2</v>
      </c>
      <c r="AC151" s="89">
        <v>3</v>
      </c>
      <c r="AD151" s="89">
        <v>1</v>
      </c>
      <c r="AH151" s="89">
        <v>2</v>
      </c>
      <c r="AI151" s="89">
        <v>2</v>
      </c>
      <c r="AJ151" s="89">
        <v>3</v>
      </c>
      <c r="AK151" s="89">
        <v>1</v>
      </c>
      <c r="AO151" s="89">
        <v>2</v>
      </c>
      <c r="AP151" s="89">
        <v>2</v>
      </c>
      <c r="AQ151" s="89">
        <v>3</v>
      </c>
      <c r="AR151" s="89">
        <v>1</v>
      </c>
      <c r="AV151" s="89">
        <v>2</v>
      </c>
      <c r="AW151" s="89">
        <v>2</v>
      </c>
      <c r="AX151" s="89">
        <v>3</v>
      </c>
      <c r="AY151" s="89">
        <v>1</v>
      </c>
      <c r="BC151" s="89">
        <v>2</v>
      </c>
      <c r="BD151" s="89">
        <v>2</v>
      </c>
      <c r="BE151" s="89">
        <v>3</v>
      </c>
      <c r="BF151" s="89">
        <v>1</v>
      </c>
      <c r="BJ151" s="89">
        <v>2</v>
      </c>
      <c r="BK151" s="89">
        <v>2</v>
      </c>
      <c r="BL151" s="89">
        <v>3</v>
      </c>
      <c r="BM151" s="89">
        <v>1</v>
      </c>
      <c r="BQ151" s="89">
        <v>2</v>
      </c>
      <c r="BR151" s="89">
        <v>2</v>
      </c>
      <c r="BS151" s="89">
        <v>3</v>
      </c>
      <c r="BT151" s="89">
        <v>1</v>
      </c>
      <c r="BX151" s="89">
        <v>2</v>
      </c>
      <c r="BY151" s="89">
        <v>2</v>
      </c>
      <c r="BZ151" s="89">
        <v>3</v>
      </c>
      <c r="CA151" s="89">
        <v>1</v>
      </c>
      <c r="CE151" s="89">
        <v>2</v>
      </c>
      <c r="CF151" s="89">
        <v>2</v>
      </c>
      <c r="CG151" s="89">
        <v>3</v>
      </c>
      <c r="CH151" s="89">
        <v>1</v>
      </c>
      <c r="CL151" s="89">
        <v>2</v>
      </c>
      <c r="CM151" s="89">
        <v>2</v>
      </c>
      <c r="CN151" s="89">
        <v>3</v>
      </c>
      <c r="CO151" s="89">
        <v>1</v>
      </c>
      <c r="CS151" s="89">
        <v>2</v>
      </c>
      <c r="CT151" s="89">
        <v>2</v>
      </c>
      <c r="CU151" s="89">
        <v>3</v>
      </c>
      <c r="CV151" s="89">
        <v>1</v>
      </c>
      <c r="CW151" s="95" t="s">
        <v>4609</v>
      </c>
      <c r="CZ151" s="89">
        <v>2</v>
      </c>
      <c r="DA151" s="89">
        <v>2</v>
      </c>
      <c r="DB151" s="89">
        <v>3</v>
      </c>
      <c r="DC151" s="89">
        <v>1</v>
      </c>
      <c r="DD151" s="95" t="s">
        <v>4609</v>
      </c>
      <c r="DG151" s="89">
        <v>2</v>
      </c>
      <c r="DH151" s="89">
        <v>2</v>
      </c>
      <c r="DI151" s="89">
        <v>3</v>
      </c>
      <c r="DJ151" s="89">
        <v>1</v>
      </c>
      <c r="DK151" s="95" t="s">
        <v>4609</v>
      </c>
      <c r="DN151" s="89">
        <v>2</v>
      </c>
      <c r="DO151" s="89">
        <v>2</v>
      </c>
      <c r="DP151" s="89">
        <v>3</v>
      </c>
      <c r="DQ151" s="89">
        <v>1</v>
      </c>
      <c r="DR151" s="126" t="s">
        <v>4610</v>
      </c>
      <c r="DU151" s="188">
        <v>2</v>
      </c>
      <c r="DV151" s="188">
        <v>2</v>
      </c>
      <c r="DW151" s="88">
        <v>3</v>
      </c>
      <c r="DX151" s="188">
        <v>1</v>
      </c>
      <c r="DY151" s="95" t="s">
        <v>4611</v>
      </c>
      <c r="EB151" s="89">
        <v>2</v>
      </c>
      <c r="EC151" s="89">
        <v>2</v>
      </c>
      <c r="ED151" s="89">
        <v>1</v>
      </c>
      <c r="EE151" s="89">
        <v>1</v>
      </c>
      <c r="EF151" s="95" t="s">
        <v>4611</v>
      </c>
      <c r="EI151" s="89">
        <v>2</v>
      </c>
      <c r="EJ151" s="89">
        <v>2</v>
      </c>
      <c r="EK151" s="89">
        <v>1</v>
      </c>
      <c r="EL151" s="89">
        <v>1</v>
      </c>
      <c r="EM151" s="95" t="s">
        <v>4611</v>
      </c>
      <c r="EP151" s="89">
        <v>2</v>
      </c>
      <c r="EQ151" s="89">
        <v>2</v>
      </c>
      <c r="ER151" s="89">
        <v>1</v>
      </c>
      <c r="ES151" s="89">
        <v>1</v>
      </c>
      <c r="ET151" s="95" t="s">
        <v>4611</v>
      </c>
      <c r="EW151" s="89">
        <v>2</v>
      </c>
      <c r="EX151" s="89">
        <v>2</v>
      </c>
      <c r="EY151" s="89">
        <v>1</v>
      </c>
      <c r="EZ151" s="89">
        <v>1</v>
      </c>
      <c r="FA151" s="95" t="s">
        <v>4611</v>
      </c>
      <c r="FC151" s="89">
        <v>2</v>
      </c>
      <c r="FD151" s="89">
        <v>1</v>
      </c>
      <c r="FE151" s="89">
        <v>1</v>
      </c>
      <c r="FF151" s="89">
        <v>1</v>
      </c>
      <c r="FG151" s="95" t="s">
        <v>4611</v>
      </c>
      <c r="FI151" s="89">
        <v>2</v>
      </c>
      <c r="FJ151" s="89">
        <v>1</v>
      </c>
      <c r="FK151" s="89">
        <v>1</v>
      </c>
      <c r="FL151" s="89">
        <v>1</v>
      </c>
      <c r="FM151" s="95" t="s">
        <v>4611</v>
      </c>
      <c r="FO151" s="89">
        <v>2</v>
      </c>
      <c r="FP151" s="89">
        <v>1</v>
      </c>
      <c r="FQ151" s="89">
        <v>1</v>
      </c>
      <c r="FR151" s="89">
        <v>1</v>
      </c>
      <c r="FS151" s="95" t="s">
        <v>4611</v>
      </c>
      <c r="FU151" s="89">
        <v>2</v>
      </c>
      <c r="FV151" s="89">
        <v>1</v>
      </c>
      <c r="FW151" s="89">
        <v>1</v>
      </c>
      <c r="FX151" s="89">
        <v>1</v>
      </c>
      <c r="FY151" s="95" t="s">
        <v>4611</v>
      </c>
      <c r="GA151" s="89">
        <v>2</v>
      </c>
      <c r="GB151" s="89">
        <v>1</v>
      </c>
      <c r="GC151" s="89">
        <v>1</v>
      </c>
      <c r="GD151" s="89">
        <v>1</v>
      </c>
      <c r="GE151" s="95" t="s">
        <v>4611</v>
      </c>
      <c r="GK151" s="95" t="s">
        <v>4611</v>
      </c>
    </row>
    <row r="152" spans="1:2">
      <c r="A152" s="89" t="s">
        <v>243</v>
      </c>
      <c r="B152" s="89" t="s">
        <v>388</v>
      </c>
    </row>
    <row r="153" ht="43.2" spans="1:115">
      <c r="A153" s="95" t="s">
        <v>446</v>
      </c>
      <c r="B153" s="95" t="s">
        <v>4612</v>
      </c>
      <c r="CW153" s="95" t="s">
        <v>4613</v>
      </c>
      <c r="DD153" s="95" t="s">
        <v>4613</v>
      </c>
      <c r="DK153" s="126" t="s">
        <v>4614</v>
      </c>
    </row>
    <row r="154" ht="28.8" spans="1:213">
      <c r="A154" s="88" t="s">
        <v>227</v>
      </c>
      <c r="B154" s="105" t="s">
        <v>4615</v>
      </c>
      <c r="C154" s="125"/>
      <c r="J154" s="125"/>
      <c r="Q154" s="125"/>
      <c r="X154" s="125"/>
      <c r="AE154" s="125"/>
      <c r="AL154" s="125"/>
      <c r="AO154" s="89">
        <v>1</v>
      </c>
      <c r="AP154" s="89">
        <v>1</v>
      </c>
      <c r="AQ154" s="89">
        <v>1</v>
      </c>
      <c r="AR154" s="89">
        <v>3</v>
      </c>
      <c r="AS154" s="125"/>
      <c r="AV154" s="89">
        <v>1</v>
      </c>
      <c r="AW154" s="89">
        <v>1</v>
      </c>
      <c r="AX154" s="89">
        <v>1</v>
      </c>
      <c r="AY154" s="89">
        <v>3</v>
      </c>
      <c r="AZ154" s="125"/>
      <c r="BC154" s="89">
        <v>1</v>
      </c>
      <c r="BD154" s="89">
        <v>1</v>
      </c>
      <c r="BE154" s="89">
        <v>1</v>
      </c>
      <c r="BF154" s="89">
        <v>3</v>
      </c>
      <c r="BG154" s="125"/>
      <c r="BJ154" s="89">
        <v>1</v>
      </c>
      <c r="BK154" s="89">
        <v>1</v>
      </c>
      <c r="BL154" s="89">
        <v>1</v>
      </c>
      <c r="BM154" s="89">
        <v>3</v>
      </c>
      <c r="BN154" s="125"/>
      <c r="BQ154" s="89">
        <v>1</v>
      </c>
      <c r="BR154" s="89">
        <v>1</v>
      </c>
      <c r="BS154" s="89">
        <v>1</v>
      </c>
      <c r="BT154" s="89">
        <v>3</v>
      </c>
      <c r="BU154" s="125"/>
      <c r="BX154" s="89">
        <v>1</v>
      </c>
      <c r="BY154" s="89">
        <v>1</v>
      </c>
      <c r="BZ154" s="89">
        <v>1</v>
      </c>
      <c r="CA154" s="89">
        <v>3</v>
      </c>
      <c r="CB154" s="125"/>
      <c r="CE154" s="89">
        <v>1</v>
      </c>
      <c r="CF154" s="89">
        <v>1</v>
      </c>
      <c r="CG154" s="89">
        <v>1</v>
      </c>
      <c r="CH154" s="89">
        <v>3</v>
      </c>
      <c r="CI154" s="125"/>
      <c r="CL154" s="89">
        <v>1</v>
      </c>
      <c r="CM154" s="89">
        <v>1</v>
      </c>
      <c r="CN154" s="89">
        <v>1</v>
      </c>
      <c r="CO154" s="89">
        <v>3</v>
      </c>
      <c r="CP154" s="125"/>
      <c r="CS154" s="89">
        <v>1</v>
      </c>
      <c r="CT154" s="89">
        <v>1</v>
      </c>
      <c r="CU154" s="89">
        <v>1</v>
      </c>
      <c r="CV154" s="89">
        <v>3</v>
      </c>
      <c r="CW154" s="125" t="s">
        <v>4616</v>
      </c>
      <c r="CZ154" s="89">
        <v>1</v>
      </c>
      <c r="DA154" s="89">
        <v>1</v>
      </c>
      <c r="DB154" s="89">
        <v>1</v>
      </c>
      <c r="DC154" s="89">
        <v>3</v>
      </c>
      <c r="DD154" s="125" t="s">
        <v>4616</v>
      </c>
      <c r="DG154" s="89">
        <v>1</v>
      </c>
      <c r="DH154" s="89">
        <v>1</v>
      </c>
      <c r="DI154" s="89">
        <v>1</v>
      </c>
      <c r="DJ154" s="89">
        <v>3</v>
      </c>
      <c r="DK154" s="125" t="s">
        <v>4616</v>
      </c>
      <c r="DN154" s="89">
        <v>1</v>
      </c>
      <c r="DO154" s="89">
        <v>1</v>
      </c>
      <c r="DP154" s="89">
        <v>1</v>
      </c>
      <c r="DQ154" s="89">
        <v>3</v>
      </c>
      <c r="DR154" s="316" t="s">
        <v>4616</v>
      </c>
      <c r="DU154" s="188">
        <v>1</v>
      </c>
      <c r="DV154" s="188">
        <v>1</v>
      </c>
      <c r="DW154" s="188">
        <v>1</v>
      </c>
      <c r="DX154" s="188">
        <v>3</v>
      </c>
      <c r="DY154" s="95" t="s">
        <v>4617</v>
      </c>
      <c r="EB154" s="89">
        <v>1</v>
      </c>
      <c r="EC154" s="89">
        <v>1</v>
      </c>
      <c r="ED154" s="89">
        <v>1</v>
      </c>
      <c r="EE154" s="89">
        <v>3</v>
      </c>
      <c r="EF154" s="95" t="s">
        <v>4617</v>
      </c>
      <c r="EI154" s="89">
        <v>1</v>
      </c>
      <c r="EJ154" s="89">
        <v>1</v>
      </c>
      <c r="EK154" s="89">
        <v>1</v>
      </c>
      <c r="EL154" s="89">
        <v>3</v>
      </c>
      <c r="EM154" s="95" t="s">
        <v>4617</v>
      </c>
      <c r="EP154" s="89">
        <v>1</v>
      </c>
      <c r="EQ154" s="89">
        <v>1</v>
      </c>
      <c r="ER154" s="89">
        <v>1</v>
      </c>
      <c r="ES154" s="89">
        <v>2</v>
      </c>
      <c r="ET154" s="95" t="s">
        <v>4617</v>
      </c>
      <c r="EW154" s="89">
        <v>1</v>
      </c>
      <c r="EX154" s="89">
        <v>1</v>
      </c>
      <c r="EY154" s="89">
        <v>1</v>
      </c>
      <c r="EZ154" s="89">
        <v>2</v>
      </c>
      <c r="FA154" s="95" t="s">
        <v>4617</v>
      </c>
      <c r="FC154" s="89">
        <v>1</v>
      </c>
      <c r="FD154" s="89">
        <v>1</v>
      </c>
      <c r="FE154" s="89">
        <v>1</v>
      </c>
      <c r="FF154" s="89">
        <v>2</v>
      </c>
      <c r="FG154" s="95" t="s">
        <v>4617</v>
      </c>
      <c r="FI154" s="89">
        <v>1</v>
      </c>
      <c r="FJ154" s="89">
        <v>1</v>
      </c>
      <c r="FK154" s="89">
        <v>1</v>
      </c>
      <c r="FL154" s="89">
        <v>2</v>
      </c>
      <c r="FM154" s="95" t="s">
        <v>4617</v>
      </c>
      <c r="FO154" s="89">
        <v>1</v>
      </c>
      <c r="FP154" s="89">
        <v>1</v>
      </c>
      <c r="FQ154" s="89">
        <v>1</v>
      </c>
      <c r="FR154" s="89">
        <v>2</v>
      </c>
      <c r="FS154" s="95" t="s">
        <v>4617</v>
      </c>
      <c r="FT154" s="126"/>
      <c r="FU154" s="89">
        <v>1</v>
      </c>
      <c r="FV154" s="89">
        <v>1</v>
      </c>
      <c r="FW154" s="89">
        <v>1</v>
      </c>
      <c r="FX154" s="89">
        <v>2</v>
      </c>
      <c r="FY154" s="95" t="s">
        <v>4617</v>
      </c>
      <c r="FZ154" s="126"/>
      <c r="GA154" s="89">
        <v>1</v>
      </c>
      <c r="GB154" s="89">
        <v>1</v>
      </c>
      <c r="GC154" s="89">
        <v>1</v>
      </c>
      <c r="GD154" s="89">
        <v>2</v>
      </c>
      <c r="GE154" s="95" t="s">
        <v>4617</v>
      </c>
      <c r="GF154" s="126"/>
      <c r="GK154" s="95" t="s">
        <v>4617</v>
      </c>
      <c r="GL154" s="126"/>
      <c r="GR154" s="126"/>
      <c r="HB154" s="88"/>
      <c r="HC154" s="88"/>
      <c r="HD154" s="88"/>
      <c r="HE154" s="88"/>
    </row>
    <row r="155" spans="1:156">
      <c r="A155" s="88" t="s">
        <v>227</v>
      </c>
      <c r="B155" s="105" t="s">
        <v>172</v>
      </c>
      <c r="E155" s="194" t="s">
        <v>4077</v>
      </c>
      <c r="F155" s="89">
        <v>1</v>
      </c>
      <c r="G155" s="89">
        <v>1</v>
      </c>
      <c r="H155" s="89">
        <v>1</v>
      </c>
      <c r="I155" s="89">
        <v>3</v>
      </c>
      <c r="L155" s="194" t="s">
        <v>4077</v>
      </c>
      <c r="M155" s="89">
        <v>1</v>
      </c>
      <c r="N155" s="89">
        <v>1</v>
      </c>
      <c r="O155" s="89">
        <v>1</v>
      </c>
      <c r="P155" s="89">
        <v>3</v>
      </c>
      <c r="S155" s="194" t="s">
        <v>4077</v>
      </c>
      <c r="T155" s="89">
        <v>1</v>
      </c>
      <c r="U155" s="89">
        <v>1</v>
      </c>
      <c r="V155" s="89">
        <v>1</v>
      </c>
      <c r="W155" s="89">
        <v>3</v>
      </c>
      <c r="Z155" s="194" t="s">
        <v>4077</v>
      </c>
      <c r="AA155" s="89">
        <v>1</v>
      </c>
      <c r="AB155" s="89">
        <v>1</v>
      </c>
      <c r="AC155" s="89">
        <v>1</v>
      </c>
      <c r="AD155" s="89">
        <v>3</v>
      </c>
      <c r="AG155" s="194" t="s">
        <v>4077</v>
      </c>
      <c r="AH155" s="89">
        <v>1</v>
      </c>
      <c r="AI155" s="89">
        <v>1</v>
      </c>
      <c r="AJ155" s="89">
        <v>1</v>
      </c>
      <c r="AK155" s="89">
        <v>3</v>
      </c>
      <c r="AN155" s="95" t="s">
        <v>4077</v>
      </c>
      <c r="AO155" s="89">
        <v>1</v>
      </c>
      <c r="AP155" s="89">
        <v>1</v>
      </c>
      <c r="AQ155" s="89">
        <v>1</v>
      </c>
      <c r="AR155" s="89">
        <v>3</v>
      </c>
      <c r="AU155" s="95" t="s">
        <v>4077</v>
      </c>
      <c r="AV155" s="89">
        <v>1</v>
      </c>
      <c r="AW155" s="89">
        <v>1</v>
      </c>
      <c r="AX155" s="89">
        <v>1</v>
      </c>
      <c r="AY155" s="89">
        <v>3</v>
      </c>
      <c r="BB155" s="95" t="s">
        <v>4077</v>
      </c>
      <c r="BC155" s="89">
        <v>1</v>
      </c>
      <c r="BD155" s="89">
        <v>1</v>
      </c>
      <c r="BE155" s="89">
        <v>1</v>
      </c>
      <c r="BF155" s="89">
        <v>3</v>
      </c>
      <c r="BI155" s="95" t="s">
        <v>4077</v>
      </c>
      <c r="BJ155" s="89">
        <v>1</v>
      </c>
      <c r="BK155" s="89">
        <v>1</v>
      </c>
      <c r="BL155" s="89">
        <v>1</v>
      </c>
      <c r="BM155" s="89">
        <v>3</v>
      </c>
      <c r="BP155" s="95" t="s">
        <v>4077</v>
      </c>
      <c r="BQ155" s="89">
        <v>1</v>
      </c>
      <c r="BR155" s="89">
        <v>1</v>
      </c>
      <c r="BS155" s="89">
        <v>1</v>
      </c>
      <c r="BT155" s="89">
        <v>3</v>
      </c>
      <c r="BW155" s="95" t="s">
        <v>4077</v>
      </c>
      <c r="BX155" s="89">
        <v>1</v>
      </c>
      <c r="BY155" s="89">
        <v>1</v>
      </c>
      <c r="BZ155" s="89">
        <v>1</v>
      </c>
      <c r="CA155" s="89">
        <v>3</v>
      </c>
      <c r="CD155" s="95" t="s">
        <v>4077</v>
      </c>
      <c r="CE155" s="89">
        <v>1</v>
      </c>
      <c r="CF155" s="89">
        <v>1</v>
      </c>
      <c r="CG155" s="89">
        <v>1</v>
      </c>
      <c r="CH155" s="89">
        <v>3</v>
      </c>
      <c r="CK155" s="95" t="s">
        <v>4077</v>
      </c>
      <c r="CL155" s="89">
        <v>1</v>
      </c>
      <c r="CM155" s="89">
        <v>1</v>
      </c>
      <c r="CN155" s="89">
        <v>1</v>
      </c>
      <c r="CO155" s="89">
        <v>3</v>
      </c>
      <c r="CR155" s="95" t="s">
        <v>4077</v>
      </c>
      <c r="CS155" s="89">
        <v>1</v>
      </c>
      <c r="CT155" s="89">
        <v>1</v>
      </c>
      <c r="CU155" s="89">
        <v>1</v>
      </c>
      <c r="CV155" s="89">
        <v>3</v>
      </c>
      <c r="CX155" s="95" t="s">
        <v>4079</v>
      </c>
      <c r="CY155" s="95" t="s">
        <v>4077</v>
      </c>
      <c r="CZ155" s="89">
        <v>1</v>
      </c>
      <c r="DA155" s="89">
        <v>1</v>
      </c>
      <c r="DB155" s="89">
        <v>1</v>
      </c>
      <c r="DC155" s="89">
        <v>3</v>
      </c>
      <c r="DE155" s="126" t="s">
        <v>4080</v>
      </c>
      <c r="DF155" s="126" t="s">
        <v>4077</v>
      </c>
      <c r="DG155" s="89">
        <v>1</v>
      </c>
      <c r="DH155" s="89">
        <v>1</v>
      </c>
      <c r="DI155" s="89">
        <v>1</v>
      </c>
      <c r="DJ155" s="89">
        <v>3</v>
      </c>
      <c r="DM155" s="95" t="s">
        <v>49</v>
      </c>
      <c r="DN155" s="89">
        <v>1</v>
      </c>
      <c r="DO155" s="89">
        <v>1</v>
      </c>
      <c r="DP155" s="89">
        <v>1</v>
      </c>
      <c r="DQ155" s="89">
        <v>3</v>
      </c>
      <c r="DT155" s="194" t="s">
        <v>49</v>
      </c>
      <c r="DU155" s="188">
        <v>1</v>
      </c>
      <c r="DV155" s="188">
        <v>1</v>
      </c>
      <c r="DW155" s="188">
        <v>1</v>
      </c>
      <c r="DX155" s="188">
        <v>3</v>
      </c>
      <c r="EA155" s="126" t="s">
        <v>49</v>
      </c>
      <c r="EB155" s="89">
        <v>1</v>
      </c>
      <c r="EC155" s="89">
        <v>1</v>
      </c>
      <c r="ED155" s="89">
        <v>1</v>
      </c>
      <c r="EE155" s="89">
        <v>3</v>
      </c>
      <c r="EH155" s="126" t="s">
        <v>49</v>
      </c>
      <c r="EI155" s="89">
        <v>1</v>
      </c>
      <c r="EJ155" s="89">
        <v>1</v>
      </c>
      <c r="EK155" s="89">
        <v>1</v>
      </c>
      <c r="EL155" s="89">
        <v>3</v>
      </c>
      <c r="EP155" s="89">
        <v>1</v>
      </c>
      <c r="EQ155" s="89">
        <v>1</v>
      </c>
      <c r="ER155" s="89">
        <v>1</v>
      </c>
      <c r="ES155" s="89">
        <v>2</v>
      </c>
      <c r="EW155" s="89">
        <v>1</v>
      </c>
      <c r="EX155" s="89">
        <v>1</v>
      </c>
      <c r="EY155" s="89">
        <v>1</v>
      </c>
      <c r="EZ155" s="89">
        <v>2</v>
      </c>
    </row>
    <row r="157" hidden="1" customHeight="1" spans="1:213">
      <c r="A157" s="96" t="s">
        <v>191</v>
      </c>
      <c r="B157" s="97"/>
      <c r="C157" s="116" t="s">
        <v>3923</v>
      </c>
      <c r="D157" s="128"/>
      <c r="E157" s="128"/>
      <c r="F157" s="128"/>
      <c r="G157" s="128"/>
      <c r="H157" s="128"/>
      <c r="I157" s="132"/>
      <c r="J157" s="116" t="s">
        <v>3923</v>
      </c>
      <c r="K157" s="128"/>
      <c r="L157" s="128"/>
      <c r="M157" s="128"/>
      <c r="N157" s="128"/>
      <c r="O157" s="128"/>
      <c r="P157" s="132"/>
      <c r="Q157" s="116" t="s">
        <v>4083</v>
      </c>
      <c r="R157" s="128"/>
      <c r="S157" s="128"/>
      <c r="T157" s="128"/>
      <c r="U157" s="128"/>
      <c r="V157" s="128"/>
      <c r="W157" s="132"/>
      <c r="X157" s="116" t="s">
        <v>3925</v>
      </c>
      <c r="Y157" s="128"/>
      <c r="Z157" s="128"/>
      <c r="AA157" s="128"/>
      <c r="AB157" s="128"/>
      <c r="AC157" s="128"/>
      <c r="AD157" s="132"/>
      <c r="AE157" s="116" t="s">
        <v>3926</v>
      </c>
      <c r="AF157" s="128"/>
      <c r="AG157" s="128"/>
      <c r="AH157" s="128"/>
      <c r="AI157" s="128"/>
      <c r="AJ157" s="128"/>
      <c r="AK157" s="132"/>
      <c r="AL157" s="116" t="s">
        <v>3927</v>
      </c>
      <c r="AM157" s="128"/>
      <c r="AN157" s="128"/>
      <c r="AO157" s="128"/>
      <c r="AP157" s="128"/>
      <c r="AQ157" s="128"/>
      <c r="AR157" s="132"/>
      <c r="AS157" s="116" t="s">
        <v>3928</v>
      </c>
      <c r="AT157" s="128"/>
      <c r="AU157" s="128"/>
      <c r="AV157" s="128"/>
      <c r="AW157" s="128"/>
      <c r="AX157" s="128"/>
      <c r="AY157" s="132"/>
      <c r="AZ157" s="116" t="s">
        <v>3929</v>
      </c>
      <c r="BA157" s="128"/>
      <c r="BB157" s="128"/>
      <c r="BC157" s="128"/>
      <c r="BD157" s="128"/>
      <c r="BE157" s="128"/>
      <c r="BF157" s="132"/>
      <c r="BG157" s="116" t="s">
        <v>3930</v>
      </c>
      <c r="BH157" s="128"/>
      <c r="BI157" s="128"/>
      <c r="BJ157" s="128"/>
      <c r="BK157" s="128"/>
      <c r="BL157" s="128"/>
      <c r="BM157" s="132"/>
      <c r="BN157" s="116" t="s">
        <v>3931</v>
      </c>
      <c r="BO157" s="128"/>
      <c r="BP157" s="128"/>
      <c r="BQ157" s="128"/>
      <c r="BR157" s="128"/>
      <c r="BS157" s="128"/>
      <c r="BT157" s="132"/>
      <c r="BU157" s="116" t="s">
        <v>3932</v>
      </c>
      <c r="BV157" s="128"/>
      <c r="BW157" s="128"/>
      <c r="BX157" s="128"/>
      <c r="BY157" s="128"/>
      <c r="BZ157" s="128"/>
      <c r="CA157" s="132"/>
      <c r="CB157" s="116" t="s">
        <v>3933</v>
      </c>
      <c r="CC157" s="128"/>
      <c r="CD157" s="128"/>
      <c r="CE157" s="128"/>
      <c r="CF157" s="128"/>
      <c r="CG157" s="128"/>
      <c r="CH157" s="132"/>
      <c r="CI157" s="116" t="s">
        <v>3922</v>
      </c>
      <c r="CJ157" s="128"/>
      <c r="CK157" s="128"/>
      <c r="CL157" s="128"/>
      <c r="CM157" s="128"/>
      <c r="CN157" s="128"/>
      <c r="CO157" s="132"/>
      <c r="CP157" s="116" t="s">
        <v>3934</v>
      </c>
      <c r="CQ157" s="128"/>
      <c r="CR157" s="128"/>
      <c r="CS157" s="128"/>
      <c r="CT157" s="128"/>
      <c r="CU157" s="128"/>
      <c r="CV157" s="132"/>
      <c r="CW157" s="116" t="s">
        <v>3924</v>
      </c>
      <c r="CX157" s="128"/>
      <c r="CY157" s="128"/>
      <c r="CZ157" s="128"/>
      <c r="DA157" s="128"/>
      <c r="DB157" s="128"/>
      <c r="DC157" s="132"/>
      <c r="DD157" s="116" t="s">
        <v>3935</v>
      </c>
      <c r="DE157" s="128"/>
      <c r="DF157" s="128"/>
      <c r="DG157" s="128"/>
      <c r="DH157" s="128"/>
      <c r="DI157" s="128"/>
      <c r="DJ157" s="132"/>
      <c r="DK157" s="116" t="s">
        <v>3936</v>
      </c>
      <c r="DL157" s="128"/>
      <c r="DM157" s="128"/>
      <c r="DN157" s="128"/>
      <c r="DO157" s="128"/>
      <c r="DP157" s="128"/>
      <c r="DQ157" s="132"/>
      <c r="DR157" s="325" t="s">
        <v>3937</v>
      </c>
      <c r="DS157" s="326"/>
      <c r="DT157" s="326"/>
      <c r="DU157" s="326"/>
      <c r="DV157" s="326"/>
      <c r="DW157" s="326"/>
      <c r="DX157" s="327"/>
      <c r="DY157" s="116" t="s">
        <v>3928</v>
      </c>
      <c r="DZ157" s="128"/>
      <c r="EA157" s="128"/>
      <c r="EB157" s="128"/>
      <c r="EC157" s="128"/>
      <c r="ED157" s="128"/>
      <c r="EE157" s="132"/>
      <c r="EF157" s="116" t="s">
        <v>3929</v>
      </c>
      <c r="EG157" s="128"/>
      <c r="EH157" s="128"/>
      <c r="EI157" s="128"/>
      <c r="EJ157" s="128"/>
      <c r="EK157" s="128"/>
      <c r="EL157" s="132"/>
      <c r="EM157" s="116" t="s">
        <v>4084</v>
      </c>
      <c r="EN157" s="128"/>
      <c r="EO157" s="128"/>
      <c r="EP157" s="128"/>
      <c r="EQ157" s="128"/>
      <c r="ER157" s="128"/>
      <c r="ES157" s="132"/>
      <c r="EU157" s="332"/>
      <c r="EV157" s="332"/>
      <c r="EW157" s="116" t="s">
        <v>4085</v>
      </c>
      <c r="EX157" s="128"/>
      <c r="EY157" s="128"/>
      <c r="EZ157" s="132"/>
      <c r="FB157" s="332"/>
      <c r="FC157" s="116" t="s">
        <v>4086</v>
      </c>
      <c r="FD157" s="128"/>
      <c r="FE157" s="128"/>
      <c r="FF157" s="132"/>
      <c r="FH157" s="332"/>
      <c r="FI157" s="116" t="s">
        <v>4087</v>
      </c>
      <c r="FJ157" s="128"/>
      <c r="FK157" s="128"/>
      <c r="FL157" s="132"/>
      <c r="FN157" s="332"/>
      <c r="FO157" s="116" t="s">
        <v>4088</v>
      </c>
      <c r="FP157" s="128"/>
      <c r="FQ157" s="128"/>
      <c r="FR157" s="132"/>
      <c r="FT157" s="332"/>
      <c r="FU157" s="116" t="s">
        <v>4089</v>
      </c>
      <c r="FV157" s="128"/>
      <c r="FW157" s="128"/>
      <c r="FX157" s="132"/>
      <c r="FZ157" s="332"/>
      <c r="GA157" s="116" t="s">
        <v>4090</v>
      </c>
      <c r="GB157" s="128"/>
      <c r="GC157" s="128"/>
      <c r="GD157" s="132"/>
      <c r="GF157" s="332"/>
      <c r="GG157" s="116" t="s">
        <v>4091</v>
      </c>
      <c r="GH157" s="128"/>
      <c r="GI157" s="128"/>
      <c r="GJ157" s="132"/>
      <c r="GL157" s="332"/>
      <c r="GM157" s="116" t="s">
        <v>3941</v>
      </c>
      <c r="GN157" s="128"/>
      <c r="GO157" s="128"/>
      <c r="GP157" s="132"/>
      <c r="GR157" s="332"/>
      <c r="GS157" s="116" t="s">
        <v>3941</v>
      </c>
      <c r="GT157" s="128"/>
      <c r="GU157" s="128"/>
      <c r="GV157" s="132"/>
      <c r="GW157" s="128"/>
      <c r="GX157" s="116" t="s">
        <v>3942</v>
      </c>
      <c r="GY157" s="128"/>
      <c r="GZ157" s="128"/>
      <c r="HA157" s="132"/>
      <c r="HB157" s="116" t="s">
        <v>3943</v>
      </c>
      <c r="HC157" s="128"/>
      <c r="HD157" s="128"/>
      <c r="HE157" s="132"/>
    </row>
    <row r="158" ht="28.2" hidden="1" spans="1:213">
      <c r="A158" s="101" t="s">
        <v>3944</v>
      </c>
      <c r="B158" s="102" t="s">
        <v>207</v>
      </c>
      <c r="C158" s="120" t="s">
        <v>3945</v>
      </c>
      <c r="D158" s="120" t="s">
        <v>3946</v>
      </c>
      <c r="E158" s="313" t="s">
        <v>3947</v>
      </c>
      <c r="F158" s="119" t="s">
        <v>3948</v>
      </c>
      <c r="G158" s="119" t="s">
        <v>3949</v>
      </c>
      <c r="H158" s="119" t="s">
        <v>3950</v>
      </c>
      <c r="I158" s="119" t="s">
        <v>3951</v>
      </c>
      <c r="J158" s="120" t="s">
        <v>3945</v>
      </c>
      <c r="K158" s="120" t="s">
        <v>3946</v>
      </c>
      <c r="L158" s="313" t="s">
        <v>3947</v>
      </c>
      <c r="M158" s="119" t="s">
        <v>3948</v>
      </c>
      <c r="N158" s="119" t="s">
        <v>3949</v>
      </c>
      <c r="O158" s="119" t="s">
        <v>3950</v>
      </c>
      <c r="P158" s="119" t="s">
        <v>3951</v>
      </c>
      <c r="Q158" s="120" t="s">
        <v>3945</v>
      </c>
      <c r="R158" s="120" t="s">
        <v>3946</v>
      </c>
      <c r="S158" s="313" t="s">
        <v>3947</v>
      </c>
      <c r="T158" s="119" t="s">
        <v>3948</v>
      </c>
      <c r="U158" s="119" t="s">
        <v>3949</v>
      </c>
      <c r="V158" s="119" t="s">
        <v>3950</v>
      </c>
      <c r="W158" s="119" t="s">
        <v>3951</v>
      </c>
      <c r="X158" s="120" t="s">
        <v>3952</v>
      </c>
      <c r="Y158" s="120" t="s">
        <v>3953</v>
      </c>
      <c r="Z158" s="313" t="s">
        <v>3947</v>
      </c>
      <c r="AA158" s="119" t="s">
        <v>3948</v>
      </c>
      <c r="AB158" s="119" t="s">
        <v>3949</v>
      </c>
      <c r="AC158" s="119" t="s">
        <v>3950</v>
      </c>
      <c r="AD158" s="119" t="s">
        <v>3951</v>
      </c>
      <c r="AE158" s="120" t="s">
        <v>3954</v>
      </c>
      <c r="AF158" s="120" t="s">
        <v>3955</v>
      </c>
      <c r="AG158" s="313" t="s">
        <v>3947</v>
      </c>
      <c r="AH158" s="119" t="s">
        <v>3948</v>
      </c>
      <c r="AI158" s="119" t="s">
        <v>3949</v>
      </c>
      <c r="AJ158" s="119" t="s">
        <v>3950</v>
      </c>
      <c r="AK158" s="119" t="s">
        <v>3951</v>
      </c>
      <c r="AL158" s="120" t="s">
        <v>3956</v>
      </c>
      <c r="AM158" s="120" t="s">
        <v>3957</v>
      </c>
      <c r="AN158" s="119" t="s">
        <v>3947</v>
      </c>
      <c r="AO158" s="119" t="s">
        <v>3948</v>
      </c>
      <c r="AP158" s="119" t="s">
        <v>3949</v>
      </c>
      <c r="AQ158" s="119" t="s">
        <v>3950</v>
      </c>
      <c r="AR158" s="119" t="s">
        <v>3951</v>
      </c>
      <c r="AS158" s="120" t="s">
        <v>3958</v>
      </c>
      <c r="AT158" s="120" t="s">
        <v>3959</v>
      </c>
      <c r="AU158" s="119" t="s">
        <v>3947</v>
      </c>
      <c r="AV158" s="119" t="s">
        <v>3948</v>
      </c>
      <c r="AW158" s="119" t="s">
        <v>3949</v>
      </c>
      <c r="AX158" s="119" t="s">
        <v>3950</v>
      </c>
      <c r="AY158" s="119" t="s">
        <v>3951</v>
      </c>
      <c r="AZ158" s="120" t="s">
        <v>3960</v>
      </c>
      <c r="BA158" s="120" t="s">
        <v>3961</v>
      </c>
      <c r="BB158" s="119" t="s">
        <v>3947</v>
      </c>
      <c r="BC158" s="119" t="s">
        <v>3948</v>
      </c>
      <c r="BD158" s="119" t="s">
        <v>3949</v>
      </c>
      <c r="BE158" s="119" t="s">
        <v>3950</v>
      </c>
      <c r="BF158" s="119" t="s">
        <v>3951</v>
      </c>
      <c r="BG158" s="120" t="s">
        <v>3962</v>
      </c>
      <c r="BH158" s="120" t="s">
        <v>3963</v>
      </c>
      <c r="BI158" s="119" t="s">
        <v>3947</v>
      </c>
      <c r="BJ158" s="119" t="s">
        <v>3948</v>
      </c>
      <c r="BK158" s="119" t="s">
        <v>3949</v>
      </c>
      <c r="BL158" s="119" t="s">
        <v>3950</v>
      </c>
      <c r="BM158" s="119" t="s">
        <v>3951</v>
      </c>
      <c r="BN158" s="120" t="s">
        <v>3964</v>
      </c>
      <c r="BO158" s="120" t="s">
        <v>3965</v>
      </c>
      <c r="BP158" s="119" t="s">
        <v>3947</v>
      </c>
      <c r="BQ158" s="119" t="s">
        <v>3948</v>
      </c>
      <c r="BR158" s="119" t="s">
        <v>3949</v>
      </c>
      <c r="BS158" s="119" t="s">
        <v>3950</v>
      </c>
      <c r="BT158" s="119" t="s">
        <v>3951</v>
      </c>
      <c r="BU158" s="120" t="s">
        <v>3966</v>
      </c>
      <c r="BV158" s="120" t="s">
        <v>3967</v>
      </c>
      <c r="BW158" s="119" t="s">
        <v>3947</v>
      </c>
      <c r="BX158" s="119" t="s">
        <v>3948</v>
      </c>
      <c r="BY158" s="119" t="s">
        <v>3949</v>
      </c>
      <c r="BZ158" s="119" t="s">
        <v>3950</v>
      </c>
      <c r="CA158" s="119" t="s">
        <v>3951</v>
      </c>
      <c r="CB158" s="120" t="s">
        <v>3968</v>
      </c>
      <c r="CC158" s="120" t="s">
        <v>3969</v>
      </c>
      <c r="CD158" s="119" t="s">
        <v>3947</v>
      </c>
      <c r="CE158" s="119" t="s">
        <v>3948</v>
      </c>
      <c r="CF158" s="119" t="s">
        <v>3949</v>
      </c>
      <c r="CG158" s="119" t="s">
        <v>3950</v>
      </c>
      <c r="CH158" s="119" t="s">
        <v>3951</v>
      </c>
      <c r="CI158" s="120" t="s">
        <v>3970</v>
      </c>
      <c r="CJ158" s="120" t="s">
        <v>3971</v>
      </c>
      <c r="CK158" s="119" t="s">
        <v>3947</v>
      </c>
      <c r="CL158" s="119" t="s">
        <v>3948</v>
      </c>
      <c r="CM158" s="119" t="s">
        <v>3949</v>
      </c>
      <c r="CN158" s="119" t="s">
        <v>3950</v>
      </c>
      <c r="CO158" s="119" t="s">
        <v>3951</v>
      </c>
      <c r="CP158" s="120" t="s">
        <v>3972</v>
      </c>
      <c r="CQ158" s="120" t="s">
        <v>3973</v>
      </c>
      <c r="CR158" s="119" t="s">
        <v>3947</v>
      </c>
      <c r="CS158" s="119" t="s">
        <v>3948</v>
      </c>
      <c r="CT158" s="119" t="s">
        <v>3949</v>
      </c>
      <c r="CU158" s="119" t="s">
        <v>3950</v>
      </c>
      <c r="CV158" s="119" t="s">
        <v>3951</v>
      </c>
      <c r="CW158" s="120" t="s">
        <v>3974</v>
      </c>
      <c r="CX158" s="120" t="s">
        <v>3975</v>
      </c>
      <c r="CY158" s="119" t="s">
        <v>3947</v>
      </c>
      <c r="CZ158" s="119" t="s">
        <v>3948</v>
      </c>
      <c r="DA158" s="119" t="s">
        <v>3949</v>
      </c>
      <c r="DB158" s="119" t="s">
        <v>3950</v>
      </c>
      <c r="DC158" s="119" t="s">
        <v>3951</v>
      </c>
      <c r="DD158" s="120" t="s">
        <v>3974</v>
      </c>
      <c r="DE158" s="120" t="s">
        <v>3975</v>
      </c>
      <c r="DF158" s="119" t="s">
        <v>3947</v>
      </c>
      <c r="DG158" s="119" t="s">
        <v>3948</v>
      </c>
      <c r="DH158" s="119" t="s">
        <v>3949</v>
      </c>
      <c r="DI158" s="119" t="s">
        <v>3950</v>
      </c>
      <c r="DJ158" s="119" t="s">
        <v>3951</v>
      </c>
      <c r="DK158" s="120" t="s">
        <v>3976</v>
      </c>
      <c r="DL158" s="120" t="s">
        <v>3977</v>
      </c>
      <c r="DM158" s="119" t="s">
        <v>3947</v>
      </c>
      <c r="DN158" s="119" t="s">
        <v>3948</v>
      </c>
      <c r="DO158" s="119" t="s">
        <v>3949</v>
      </c>
      <c r="DP158" s="119" t="s">
        <v>3950</v>
      </c>
      <c r="DQ158" s="119" t="s">
        <v>3951</v>
      </c>
      <c r="DR158" s="328" t="s">
        <v>3978</v>
      </c>
      <c r="DS158" s="328" t="s">
        <v>3979</v>
      </c>
      <c r="DT158" s="313" t="s">
        <v>3947</v>
      </c>
      <c r="DU158" s="313" t="s">
        <v>3948</v>
      </c>
      <c r="DV158" s="313" t="s">
        <v>3949</v>
      </c>
      <c r="DW158" s="313" t="s">
        <v>3950</v>
      </c>
      <c r="DX158" s="313" t="s">
        <v>3951</v>
      </c>
      <c r="DY158" s="120" t="s">
        <v>3980</v>
      </c>
      <c r="DZ158" s="120" t="s">
        <v>3981</v>
      </c>
      <c r="EA158" s="119" t="s">
        <v>3947</v>
      </c>
      <c r="EB158" s="119" t="s">
        <v>3948</v>
      </c>
      <c r="EC158" s="119" t="s">
        <v>3949</v>
      </c>
      <c r="ED158" s="119" t="s">
        <v>3950</v>
      </c>
      <c r="EE158" s="119" t="s">
        <v>3951</v>
      </c>
      <c r="EF158" s="120" t="s">
        <v>3982</v>
      </c>
      <c r="EG158" s="120" t="s">
        <v>3983</v>
      </c>
      <c r="EH158" s="119" t="s">
        <v>3947</v>
      </c>
      <c r="EI158" s="119" t="s">
        <v>3948</v>
      </c>
      <c r="EJ158" s="119" t="s">
        <v>3949</v>
      </c>
      <c r="EK158" s="119" t="s">
        <v>3950</v>
      </c>
      <c r="EL158" s="119" t="s">
        <v>3951</v>
      </c>
      <c r="EM158" s="120" t="s">
        <v>3984</v>
      </c>
      <c r="EN158" s="120" t="s">
        <v>3985</v>
      </c>
      <c r="EO158" s="120"/>
      <c r="EP158" s="119" t="s">
        <v>3948</v>
      </c>
      <c r="EQ158" s="119" t="s">
        <v>3949</v>
      </c>
      <c r="ER158" s="119" t="s">
        <v>3950</v>
      </c>
      <c r="ES158" s="119" t="s">
        <v>3951</v>
      </c>
      <c r="ET158" s="120" t="s">
        <v>3986</v>
      </c>
      <c r="EU158" s="120" t="s">
        <v>3987</v>
      </c>
      <c r="EV158" s="120"/>
      <c r="EW158" s="119" t="s">
        <v>3948</v>
      </c>
      <c r="EX158" s="119" t="s">
        <v>3949</v>
      </c>
      <c r="EY158" s="119" t="s">
        <v>3950</v>
      </c>
      <c r="EZ158" s="119" t="s">
        <v>3951</v>
      </c>
      <c r="FA158" s="120" t="s">
        <v>3988</v>
      </c>
      <c r="FB158" s="120" t="s">
        <v>3989</v>
      </c>
      <c r="FC158" s="119" t="s">
        <v>3948</v>
      </c>
      <c r="FD158" s="119" t="s">
        <v>3949</v>
      </c>
      <c r="FE158" s="119" t="s">
        <v>3950</v>
      </c>
      <c r="FF158" s="119" t="s">
        <v>3951</v>
      </c>
      <c r="FG158" s="120" t="s">
        <v>3990</v>
      </c>
      <c r="FH158" s="120" t="s">
        <v>3991</v>
      </c>
      <c r="FI158" s="119" t="s">
        <v>3948</v>
      </c>
      <c r="FJ158" s="119" t="s">
        <v>3949</v>
      </c>
      <c r="FK158" s="119" t="s">
        <v>3950</v>
      </c>
      <c r="FL158" s="119" t="s">
        <v>3951</v>
      </c>
      <c r="FM158" s="120" t="s">
        <v>3992</v>
      </c>
      <c r="FN158" s="120" t="s">
        <v>3993</v>
      </c>
      <c r="FO158" s="119" t="s">
        <v>3948</v>
      </c>
      <c r="FP158" s="119" t="s">
        <v>3949</v>
      </c>
      <c r="FQ158" s="119" t="s">
        <v>3950</v>
      </c>
      <c r="FR158" s="119" t="s">
        <v>3951</v>
      </c>
      <c r="FS158" s="120" t="s">
        <v>3994</v>
      </c>
      <c r="FT158" s="120" t="s">
        <v>3995</v>
      </c>
      <c r="FU158" s="119" t="s">
        <v>3948</v>
      </c>
      <c r="FV158" s="119" t="s">
        <v>3949</v>
      </c>
      <c r="FW158" s="119" t="s">
        <v>3950</v>
      </c>
      <c r="FX158" s="119" t="s">
        <v>3951</v>
      </c>
      <c r="FY158" s="120" t="s">
        <v>3996</v>
      </c>
      <c r="FZ158" s="120" t="s">
        <v>3997</v>
      </c>
      <c r="GA158" s="119" t="s">
        <v>3948</v>
      </c>
      <c r="GB158" s="119" t="s">
        <v>3949</v>
      </c>
      <c r="GC158" s="119" t="s">
        <v>3950</v>
      </c>
      <c r="GD158" s="119" t="s">
        <v>3951</v>
      </c>
      <c r="GE158" s="120" t="s">
        <v>3998</v>
      </c>
      <c r="GF158" s="120" t="s">
        <v>3999</v>
      </c>
      <c r="GG158" s="119" t="s">
        <v>3948</v>
      </c>
      <c r="GH158" s="119" t="s">
        <v>3949</v>
      </c>
      <c r="GI158" s="119" t="s">
        <v>3950</v>
      </c>
      <c r="GJ158" s="119" t="s">
        <v>3951</v>
      </c>
      <c r="GK158" s="120" t="s">
        <v>4000</v>
      </c>
      <c r="GL158" s="120" t="s">
        <v>4001</v>
      </c>
      <c r="GM158" s="119" t="s">
        <v>3948</v>
      </c>
      <c r="GN158" s="119" t="s">
        <v>3949</v>
      </c>
      <c r="GO158" s="119" t="s">
        <v>3950</v>
      </c>
      <c r="GP158" s="119" t="s">
        <v>3951</v>
      </c>
      <c r="GQ158" s="120" t="s">
        <v>4002</v>
      </c>
      <c r="GR158" s="120" t="s">
        <v>4003</v>
      </c>
      <c r="GS158" s="119" t="s">
        <v>3948</v>
      </c>
      <c r="GT158" s="119" t="s">
        <v>3949</v>
      </c>
      <c r="GU158" s="119" t="s">
        <v>3950</v>
      </c>
      <c r="GV158" s="119" t="s">
        <v>3951</v>
      </c>
      <c r="GW158" s="119"/>
      <c r="GX158" s="119" t="s">
        <v>3948</v>
      </c>
      <c r="GY158" s="119" t="s">
        <v>3949</v>
      </c>
      <c r="GZ158" s="119" t="s">
        <v>3950</v>
      </c>
      <c r="HA158" s="119" t="s">
        <v>3951</v>
      </c>
      <c r="HB158" s="119" t="s">
        <v>3948</v>
      </c>
      <c r="HC158" s="119" t="s">
        <v>3949</v>
      </c>
      <c r="HD158" s="119" t="s">
        <v>3950</v>
      </c>
      <c r="HE158" s="119" t="s">
        <v>3951</v>
      </c>
    </row>
    <row r="159" hidden="1" spans="1:2">
      <c r="A159" s="89" t="s">
        <v>325</v>
      </c>
      <c r="B159" s="89" t="s">
        <v>606</v>
      </c>
    </row>
    <row r="160" hidden="1" spans="1:2">
      <c r="A160" s="89" t="s">
        <v>230</v>
      </c>
      <c r="B160" s="89" t="s">
        <v>607</v>
      </c>
    </row>
    <row r="161" hidden="1" spans="1:2">
      <c r="A161" s="89" t="s">
        <v>2624</v>
      </c>
      <c r="B161" s="108" t="s">
        <v>465</v>
      </c>
    </row>
    <row r="162" hidden="1" spans="1:2">
      <c r="A162" s="89" t="s">
        <v>325</v>
      </c>
      <c r="B162" s="108" t="s">
        <v>608</v>
      </c>
    </row>
    <row r="163" hidden="1" spans="2:2">
      <c r="B163" s="108" t="s">
        <v>4618</v>
      </c>
    </row>
    <row r="164" hidden="1"/>
    <row r="165" hidden="1"/>
    <row r="166" hidden="1" spans="2:2">
      <c r="B166" s="108"/>
    </row>
    <row r="167" hidden="1" customHeight="1" spans="1:213">
      <c r="A167" s="96" t="s">
        <v>189</v>
      </c>
      <c r="B167" s="97"/>
      <c r="C167" s="116" t="s">
        <v>3923</v>
      </c>
      <c r="D167" s="128"/>
      <c r="E167" s="128"/>
      <c r="F167" s="128"/>
      <c r="G167" s="128"/>
      <c r="H167" s="128"/>
      <c r="I167" s="132"/>
      <c r="J167" s="116" t="s">
        <v>3923</v>
      </c>
      <c r="K167" s="128"/>
      <c r="L167" s="128"/>
      <c r="M167" s="128"/>
      <c r="N167" s="128"/>
      <c r="O167" s="128"/>
      <c r="P167" s="132"/>
      <c r="Q167" s="116" t="s">
        <v>4083</v>
      </c>
      <c r="R167" s="128"/>
      <c r="S167" s="128"/>
      <c r="T167" s="128"/>
      <c r="U167" s="128"/>
      <c r="V167" s="128"/>
      <c r="W167" s="132"/>
      <c r="X167" s="116" t="s">
        <v>3925</v>
      </c>
      <c r="Y167" s="128"/>
      <c r="Z167" s="128"/>
      <c r="AA167" s="128"/>
      <c r="AB167" s="128"/>
      <c r="AC167" s="128"/>
      <c r="AD167" s="132"/>
      <c r="AE167" s="116" t="s">
        <v>3926</v>
      </c>
      <c r="AF167" s="128"/>
      <c r="AG167" s="128"/>
      <c r="AH167" s="128"/>
      <c r="AI167" s="128"/>
      <c r="AJ167" s="128"/>
      <c r="AK167" s="132"/>
      <c r="AL167" s="116" t="s">
        <v>3927</v>
      </c>
      <c r="AM167" s="128"/>
      <c r="AN167" s="128"/>
      <c r="AO167" s="128"/>
      <c r="AP167" s="128"/>
      <c r="AQ167" s="128"/>
      <c r="AR167" s="132"/>
      <c r="AS167" s="116" t="s">
        <v>3928</v>
      </c>
      <c r="AT167" s="128"/>
      <c r="AU167" s="128"/>
      <c r="AV167" s="128"/>
      <c r="AW167" s="128"/>
      <c r="AX167" s="128"/>
      <c r="AY167" s="132"/>
      <c r="AZ167" s="116" t="s">
        <v>3929</v>
      </c>
      <c r="BA167" s="128"/>
      <c r="BB167" s="128"/>
      <c r="BC167" s="128"/>
      <c r="BD167" s="128"/>
      <c r="BE167" s="128"/>
      <c r="BF167" s="132"/>
      <c r="BG167" s="116" t="s">
        <v>3930</v>
      </c>
      <c r="BH167" s="128"/>
      <c r="BI167" s="128"/>
      <c r="BJ167" s="128"/>
      <c r="BK167" s="128"/>
      <c r="BL167" s="128"/>
      <c r="BM167" s="132"/>
      <c r="BN167" s="116" t="s">
        <v>3931</v>
      </c>
      <c r="BO167" s="128"/>
      <c r="BP167" s="128"/>
      <c r="BQ167" s="128"/>
      <c r="BR167" s="128"/>
      <c r="BS167" s="128"/>
      <c r="BT167" s="132"/>
      <c r="BU167" s="116" t="s">
        <v>3932</v>
      </c>
      <c r="BV167" s="128"/>
      <c r="BW167" s="128"/>
      <c r="BX167" s="128"/>
      <c r="BY167" s="128"/>
      <c r="BZ167" s="128"/>
      <c r="CA167" s="132"/>
      <c r="CB167" s="116" t="s">
        <v>3933</v>
      </c>
      <c r="CC167" s="128"/>
      <c r="CD167" s="128"/>
      <c r="CE167" s="128"/>
      <c r="CF167" s="128"/>
      <c r="CG167" s="128"/>
      <c r="CH167" s="132"/>
      <c r="CI167" s="116" t="s">
        <v>3922</v>
      </c>
      <c r="CJ167" s="128"/>
      <c r="CK167" s="128"/>
      <c r="CL167" s="128"/>
      <c r="CM167" s="128"/>
      <c r="CN167" s="128"/>
      <c r="CO167" s="132"/>
      <c r="CP167" s="116" t="s">
        <v>3934</v>
      </c>
      <c r="CQ167" s="128"/>
      <c r="CR167" s="128"/>
      <c r="CS167" s="128"/>
      <c r="CT167" s="128"/>
      <c r="CU167" s="128"/>
      <c r="CV167" s="132"/>
      <c r="CW167" s="116" t="s">
        <v>3924</v>
      </c>
      <c r="CX167" s="128"/>
      <c r="CY167" s="128"/>
      <c r="CZ167" s="128"/>
      <c r="DA167" s="128"/>
      <c r="DB167" s="128"/>
      <c r="DC167" s="132"/>
      <c r="DD167" s="116" t="s">
        <v>3935</v>
      </c>
      <c r="DE167" s="128"/>
      <c r="DF167" s="128"/>
      <c r="DG167" s="128"/>
      <c r="DH167" s="128"/>
      <c r="DI167" s="128"/>
      <c r="DJ167" s="132"/>
      <c r="DK167" s="116" t="s">
        <v>3936</v>
      </c>
      <c r="DL167" s="128"/>
      <c r="DM167" s="128"/>
      <c r="DN167" s="128"/>
      <c r="DO167" s="128"/>
      <c r="DP167" s="128"/>
      <c r="DQ167" s="132"/>
      <c r="DR167" s="325" t="s">
        <v>3937</v>
      </c>
      <c r="DS167" s="326"/>
      <c r="DT167" s="326"/>
      <c r="DU167" s="326"/>
      <c r="DV167" s="326"/>
      <c r="DW167" s="326"/>
      <c r="DX167" s="327"/>
      <c r="DY167" s="116" t="s">
        <v>3928</v>
      </c>
      <c r="DZ167" s="128"/>
      <c r="EA167" s="128"/>
      <c r="EB167" s="128"/>
      <c r="EC167" s="128"/>
      <c r="ED167" s="128"/>
      <c r="EE167" s="132"/>
      <c r="EF167" s="116" t="s">
        <v>3929</v>
      </c>
      <c r="EG167" s="128"/>
      <c r="EH167" s="128"/>
      <c r="EI167" s="128"/>
      <c r="EJ167" s="128"/>
      <c r="EK167" s="128"/>
      <c r="EL167" s="132"/>
      <c r="EM167" s="116" t="s">
        <v>4084</v>
      </c>
      <c r="EN167" s="128"/>
      <c r="EO167" s="128"/>
      <c r="EP167" s="128"/>
      <c r="EQ167" s="128"/>
      <c r="ER167" s="128"/>
      <c r="ES167" s="132"/>
      <c r="EU167" s="332"/>
      <c r="EV167" s="332"/>
      <c r="EW167" s="116" t="s">
        <v>4085</v>
      </c>
      <c r="EX167" s="128"/>
      <c r="EY167" s="128"/>
      <c r="EZ167" s="132"/>
      <c r="FB167" s="332"/>
      <c r="FC167" s="116" t="s">
        <v>4086</v>
      </c>
      <c r="FD167" s="128"/>
      <c r="FE167" s="128"/>
      <c r="FF167" s="132"/>
      <c r="FH167" s="332"/>
      <c r="FI167" s="116" t="s">
        <v>4087</v>
      </c>
      <c r="FJ167" s="128"/>
      <c r="FK167" s="128"/>
      <c r="FL167" s="132"/>
      <c r="FN167" s="332"/>
      <c r="FO167" s="116" t="s">
        <v>4088</v>
      </c>
      <c r="FP167" s="128"/>
      <c r="FQ167" s="128"/>
      <c r="FR167" s="132"/>
      <c r="FT167" s="332"/>
      <c r="FU167" s="116" t="s">
        <v>4089</v>
      </c>
      <c r="FV167" s="128"/>
      <c r="FW167" s="128"/>
      <c r="FX167" s="132"/>
      <c r="FZ167" s="332"/>
      <c r="GA167" s="116" t="s">
        <v>4090</v>
      </c>
      <c r="GB167" s="128"/>
      <c r="GC167" s="128"/>
      <c r="GD167" s="132"/>
      <c r="GF167" s="332"/>
      <c r="GG167" s="116" t="s">
        <v>4091</v>
      </c>
      <c r="GH167" s="128"/>
      <c r="GI167" s="128"/>
      <c r="GJ167" s="132"/>
      <c r="GL167" s="332"/>
      <c r="GM167" s="116" t="s">
        <v>3941</v>
      </c>
      <c r="GN167" s="128"/>
      <c r="GO167" s="128"/>
      <c r="GP167" s="132"/>
      <c r="GR167" s="332"/>
      <c r="GS167" s="116" t="s">
        <v>3941</v>
      </c>
      <c r="GT167" s="128"/>
      <c r="GU167" s="128"/>
      <c r="GV167" s="132"/>
      <c r="GW167" s="128"/>
      <c r="GX167" s="116" t="s">
        <v>3942</v>
      </c>
      <c r="GY167" s="128"/>
      <c r="GZ167" s="128"/>
      <c r="HA167" s="132"/>
      <c r="HB167" s="116" t="s">
        <v>3943</v>
      </c>
      <c r="HC167" s="128"/>
      <c r="HD167" s="128"/>
      <c r="HE167" s="132"/>
    </row>
    <row r="168" ht="28.2" hidden="1" spans="1:213">
      <c r="A168" s="101" t="s">
        <v>3944</v>
      </c>
      <c r="B168" s="102" t="s">
        <v>207</v>
      </c>
      <c r="C168" s="120" t="s">
        <v>3945</v>
      </c>
      <c r="D168" s="120" t="s">
        <v>3946</v>
      </c>
      <c r="E168" s="313" t="s">
        <v>3947</v>
      </c>
      <c r="F168" s="119" t="s">
        <v>3948</v>
      </c>
      <c r="G168" s="119" t="s">
        <v>3949</v>
      </c>
      <c r="H168" s="119" t="s">
        <v>3950</v>
      </c>
      <c r="I168" s="119" t="s">
        <v>3951</v>
      </c>
      <c r="J168" s="120" t="s">
        <v>3945</v>
      </c>
      <c r="K168" s="120" t="s">
        <v>3946</v>
      </c>
      <c r="L168" s="313" t="s">
        <v>3947</v>
      </c>
      <c r="M168" s="119" t="s">
        <v>3948</v>
      </c>
      <c r="N168" s="119" t="s">
        <v>3949</v>
      </c>
      <c r="O168" s="119" t="s">
        <v>3950</v>
      </c>
      <c r="P168" s="119" t="s">
        <v>3951</v>
      </c>
      <c r="Q168" s="120" t="s">
        <v>3945</v>
      </c>
      <c r="R168" s="120" t="s">
        <v>3946</v>
      </c>
      <c r="S168" s="313" t="s">
        <v>3947</v>
      </c>
      <c r="T168" s="119" t="s">
        <v>3948</v>
      </c>
      <c r="U168" s="119" t="s">
        <v>3949</v>
      </c>
      <c r="V168" s="119" t="s">
        <v>3950</v>
      </c>
      <c r="W168" s="119" t="s">
        <v>3951</v>
      </c>
      <c r="X168" s="120" t="s">
        <v>3952</v>
      </c>
      <c r="Y168" s="120" t="s">
        <v>3953</v>
      </c>
      <c r="Z168" s="313" t="s">
        <v>3947</v>
      </c>
      <c r="AA168" s="119" t="s">
        <v>3948</v>
      </c>
      <c r="AB168" s="119" t="s">
        <v>3949</v>
      </c>
      <c r="AC168" s="119" t="s">
        <v>3950</v>
      </c>
      <c r="AD168" s="119" t="s">
        <v>3951</v>
      </c>
      <c r="AE168" s="120" t="s">
        <v>3954</v>
      </c>
      <c r="AF168" s="120" t="s">
        <v>3955</v>
      </c>
      <c r="AG168" s="313" t="s">
        <v>3947</v>
      </c>
      <c r="AH168" s="119" t="s">
        <v>3948</v>
      </c>
      <c r="AI168" s="119" t="s">
        <v>3949</v>
      </c>
      <c r="AJ168" s="119" t="s">
        <v>3950</v>
      </c>
      <c r="AK168" s="119" t="s">
        <v>3951</v>
      </c>
      <c r="AL168" s="120" t="s">
        <v>3956</v>
      </c>
      <c r="AM168" s="120" t="s">
        <v>3957</v>
      </c>
      <c r="AN168" s="119" t="s">
        <v>3947</v>
      </c>
      <c r="AO168" s="119" t="s">
        <v>3948</v>
      </c>
      <c r="AP168" s="119" t="s">
        <v>3949</v>
      </c>
      <c r="AQ168" s="119" t="s">
        <v>3950</v>
      </c>
      <c r="AR168" s="119" t="s">
        <v>3951</v>
      </c>
      <c r="AS168" s="120" t="s">
        <v>3958</v>
      </c>
      <c r="AT168" s="120" t="s">
        <v>3959</v>
      </c>
      <c r="AU168" s="119" t="s">
        <v>3947</v>
      </c>
      <c r="AV168" s="119" t="s">
        <v>3948</v>
      </c>
      <c r="AW168" s="119" t="s">
        <v>3949</v>
      </c>
      <c r="AX168" s="119" t="s">
        <v>3950</v>
      </c>
      <c r="AY168" s="119" t="s">
        <v>3951</v>
      </c>
      <c r="AZ168" s="120" t="s">
        <v>3960</v>
      </c>
      <c r="BA168" s="120" t="s">
        <v>3961</v>
      </c>
      <c r="BB168" s="119" t="s">
        <v>3947</v>
      </c>
      <c r="BC168" s="119" t="s">
        <v>3948</v>
      </c>
      <c r="BD168" s="119" t="s">
        <v>3949</v>
      </c>
      <c r="BE168" s="119" t="s">
        <v>3950</v>
      </c>
      <c r="BF168" s="119" t="s">
        <v>3951</v>
      </c>
      <c r="BG168" s="120" t="s">
        <v>3962</v>
      </c>
      <c r="BH168" s="120" t="s">
        <v>3963</v>
      </c>
      <c r="BI168" s="119" t="s">
        <v>3947</v>
      </c>
      <c r="BJ168" s="119" t="s">
        <v>3948</v>
      </c>
      <c r="BK168" s="119" t="s">
        <v>3949</v>
      </c>
      <c r="BL168" s="119" t="s">
        <v>3950</v>
      </c>
      <c r="BM168" s="119" t="s">
        <v>3951</v>
      </c>
      <c r="BN168" s="120" t="s">
        <v>3964</v>
      </c>
      <c r="BO168" s="120" t="s">
        <v>3965</v>
      </c>
      <c r="BP168" s="119" t="s">
        <v>3947</v>
      </c>
      <c r="BQ168" s="119" t="s">
        <v>3948</v>
      </c>
      <c r="BR168" s="119" t="s">
        <v>3949</v>
      </c>
      <c r="BS168" s="119" t="s">
        <v>3950</v>
      </c>
      <c r="BT168" s="119" t="s">
        <v>3951</v>
      </c>
      <c r="BU168" s="120" t="s">
        <v>3966</v>
      </c>
      <c r="BV168" s="120" t="s">
        <v>3967</v>
      </c>
      <c r="BW168" s="119" t="s">
        <v>3947</v>
      </c>
      <c r="BX168" s="119" t="s">
        <v>3948</v>
      </c>
      <c r="BY168" s="119" t="s">
        <v>3949</v>
      </c>
      <c r="BZ168" s="119" t="s">
        <v>3950</v>
      </c>
      <c r="CA168" s="119" t="s">
        <v>3951</v>
      </c>
      <c r="CB168" s="120" t="s">
        <v>3968</v>
      </c>
      <c r="CC168" s="120" t="s">
        <v>3969</v>
      </c>
      <c r="CD168" s="119" t="s">
        <v>3947</v>
      </c>
      <c r="CE168" s="119" t="s">
        <v>3948</v>
      </c>
      <c r="CF168" s="119" t="s">
        <v>3949</v>
      </c>
      <c r="CG168" s="119" t="s">
        <v>3950</v>
      </c>
      <c r="CH168" s="119" t="s">
        <v>3951</v>
      </c>
      <c r="CI168" s="120" t="s">
        <v>3970</v>
      </c>
      <c r="CJ168" s="120" t="s">
        <v>3971</v>
      </c>
      <c r="CK168" s="119" t="s">
        <v>3947</v>
      </c>
      <c r="CL168" s="119" t="s">
        <v>3948</v>
      </c>
      <c r="CM168" s="119" t="s">
        <v>3949</v>
      </c>
      <c r="CN168" s="119" t="s">
        <v>3950</v>
      </c>
      <c r="CO168" s="119" t="s">
        <v>3951</v>
      </c>
      <c r="CP168" s="120" t="s">
        <v>3972</v>
      </c>
      <c r="CQ168" s="120" t="s">
        <v>3973</v>
      </c>
      <c r="CR168" s="119" t="s">
        <v>3947</v>
      </c>
      <c r="CS168" s="119" t="s">
        <v>3948</v>
      </c>
      <c r="CT168" s="119" t="s">
        <v>3949</v>
      </c>
      <c r="CU168" s="119" t="s">
        <v>3950</v>
      </c>
      <c r="CV168" s="119" t="s">
        <v>3951</v>
      </c>
      <c r="CW168" s="120" t="s">
        <v>3974</v>
      </c>
      <c r="CX168" s="120" t="s">
        <v>3975</v>
      </c>
      <c r="CY168" s="119" t="s">
        <v>3947</v>
      </c>
      <c r="CZ168" s="119" t="s">
        <v>3948</v>
      </c>
      <c r="DA168" s="119" t="s">
        <v>3949</v>
      </c>
      <c r="DB168" s="119" t="s">
        <v>3950</v>
      </c>
      <c r="DC168" s="119" t="s">
        <v>3951</v>
      </c>
      <c r="DD168" s="120" t="s">
        <v>3974</v>
      </c>
      <c r="DE168" s="120" t="s">
        <v>3975</v>
      </c>
      <c r="DF168" s="119" t="s">
        <v>3947</v>
      </c>
      <c r="DG168" s="119" t="s">
        <v>3948</v>
      </c>
      <c r="DH168" s="119" t="s">
        <v>3949</v>
      </c>
      <c r="DI168" s="119" t="s">
        <v>3950</v>
      </c>
      <c r="DJ168" s="119" t="s">
        <v>3951</v>
      </c>
      <c r="DK168" s="120" t="s">
        <v>3976</v>
      </c>
      <c r="DL168" s="120" t="s">
        <v>3977</v>
      </c>
      <c r="DM168" s="119" t="s">
        <v>3947</v>
      </c>
      <c r="DN168" s="119" t="s">
        <v>3948</v>
      </c>
      <c r="DO168" s="119" t="s">
        <v>3949</v>
      </c>
      <c r="DP168" s="119" t="s">
        <v>3950</v>
      </c>
      <c r="DQ168" s="119" t="s">
        <v>3951</v>
      </c>
      <c r="DR168" s="328" t="s">
        <v>3978</v>
      </c>
      <c r="DS168" s="328" t="s">
        <v>3979</v>
      </c>
      <c r="DT168" s="313" t="s">
        <v>3947</v>
      </c>
      <c r="DU168" s="313" t="s">
        <v>3948</v>
      </c>
      <c r="DV168" s="313" t="s">
        <v>3949</v>
      </c>
      <c r="DW168" s="313" t="s">
        <v>3950</v>
      </c>
      <c r="DX168" s="313" t="s">
        <v>3951</v>
      </c>
      <c r="DY168" s="120" t="s">
        <v>3980</v>
      </c>
      <c r="DZ168" s="120" t="s">
        <v>3981</v>
      </c>
      <c r="EA168" s="119" t="s">
        <v>3947</v>
      </c>
      <c r="EB168" s="119" t="s">
        <v>3948</v>
      </c>
      <c r="EC168" s="119" t="s">
        <v>3949</v>
      </c>
      <c r="ED168" s="119" t="s">
        <v>3950</v>
      </c>
      <c r="EE168" s="119" t="s">
        <v>3951</v>
      </c>
      <c r="EF168" s="120" t="s">
        <v>3982</v>
      </c>
      <c r="EG168" s="120" t="s">
        <v>3983</v>
      </c>
      <c r="EH168" s="119" t="s">
        <v>3947</v>
      </c>
      <c r="EI168" s="119" t="s">
        <v>3948</v>
      </c>
      <c r="EJ168" s="119" t="s">
        <v>3949</v>
      </c>
      <c r="EK168" s="119" t="s">
        <v>3950</v>
      </c>
      <c r="EL168" s="119" t="s">
        <v>3951</v>
      </c>
      <c r="EM168" s="120" t="s">
        <v>3984</v>
      </c>
      <c r="EN168" s="120" t="s">
        <v>3985</v>
      </c>
      <c r="EO168" s="120"/>
      <c r="EP168" s="119" t="s">
        <v>3948</v>
      </c>
      <c r="EQ168" s="119" t="s">
        <v>3949</v>
      </c>
      <c r="ER168" s="119" t="s">
        <v>3950</v>
      </c>
      <c r="ES168" s="119" t="s">
        <v>3951</v>
      </c>
      <c r="ET168" s="120" t="s">
        <v>4619</v>
      </c>
      <c r="EU168" s="120" t="s">
        <v>4620</v>
      </c>
      <c r="EV168" s="120"/>
      <c r="EW168" s="119" t="s">
        <v>3948</v>
      </c>
      <c r="EX168" s="119" t="s">
        <v>3949</v>
      </c>
      <c r="EY168" s="119" t="s">
        <v>3950</v>
      </c>
      <c r="EZ168" s="119" t="s">
        <v>3951</v>
      </c>
      <c r="FA168" s="120" t="s">
        <v>3988</v>
      </c>
      <c r="FB168" s="120" t="s">
        <v>3989</v>
      </c>
      <c r="FC168" s="119" t="s">
        <v>3948</v>
      </c>
      <c r="FD168" s="119" t="s">
        <v>3949</v>
      </c>
      <c r="FE168" s="119" t="s">
        <v>3950</v>
      </c>
      <c r="FF168" s="119" t="s">
        <v>3951</v>
      </c>
      <c r="FG168" s="120" t="s">
        <v>3990</v>
      </c>
      <c r="FH168" s="120" t="s">
        <v>3991</v>
      </c>
      <c r="FI168" s="119" t="s">
        <v>3948</v>
      </c>
      <c r="FJ168" s="119" t="s">
        <v>3949</v>
      </c>
      <c r="FK168" s="119" t="s">
        <v>3950</v>
      </c>
      <c r="FL168" s="119" t="s">
        <v>3951</v>
      </c>
      <c r="FM168" s="120" t="s">
        <v>3992</v>
      </c>
      <c r="FN168" s="120" t="s">
        <v>3993</v>
      </c>
      <c r="FO168" s="119" t="s">
        <v>3948</v>
      </c>
      <c r="FP168" s="119" t="s">
        <v>3949</v>
      </c>
      <c r="FQ168" s="119" t="s">
        <v>3950</v>
      </c>
      <c r="FR168" s="119" t="s">
        <v>3951</v>
      </c>
      <c r="FS168" s="120" t="s">
        <v>3994</v>
      </c>
      <c r="FT168" s="120" t="s">
        <v>3995</v>
      </c>
      <c r="FU168" s="119" t="s">
        <v>3948</v>
      </c>
      <c r="FV168" s="119" t="s">
        <v>3949</v>
      </c>
      <c r="FW168" s="119" t="s">
        <v>3950</v>
      </c>
      <c r="FX168" s="119" t="s">
        <v>3951</v>
      </c>
      <c r="FY168" s="120" t="s">
        <v>3996</v>
      </c>
      <c r="FZ168" s="120" t="s">
        <v>3997</v>
      </c>
      <c r="GA168" s="119" t="s">
        <v>3948</v>
      </c>
      <c r="GB168" s="119" t="s">
        <v>3949</v>
      </c>
      <c r="GC168" s="119" t="s">
        <v>3950</v>
      </c>
      <c r="GD168" s="119" t="s">
        <v>3951</v>
      </c>
      <c r="GE168" s="120" t="s">
        <v>3998</v>
      </c>
      <c r="GF168" s="120" t="s">
        <v>3999</v>
      </c>
      <c r="GG168" s="119" t="s">
        <v>3948</v>
      </c>
      <c r="GH168" s="119" t="s">
        <v>3949</v>
      </c>
      <c r="GI168" s="119" t="s">
        <v>3950</v>
      </c>
      <c r="GJ168" s="119" t="s">
        <v>3951</v>
      </c>
      <c r="GK168" s="120" t="s">
        <v>4000</v>
      </c>
      <c r="GL168" s="120" t="s">
        <v>4001</v>
      </c>
      <c r="GM168" s="119" t="s">
        <v>3948</v>
      </c>
      <c r="GN168" s="119" t="s">
        <v>3949</v>
      </c>
      <c r="GO168" s="119" t="s">
        <v>3950</v>
      </c>
      <c r="GP168" s="119" t="s">
        <v>3951</v>
      </c>
      <c r="GQ168" s="120" t="s">
        <v>4002</v>
      </c>
      <c r="GR168" s="120" t="s">
        <v>4003</v>
      </c>
      <c r="GS168" s="119" t="s">
        <v>3948</v>
      </c>
      <c r="GT168" s="119" t="s">
        <v>3949</v>
      </c>
      <c r="GU168" s="119" t="s">
        <v>3950</v>
      </c>
      <c r="GV168" s="119" t="s">
        <v>3951</v>
      </c>
      <c r="GW168" s="119"/>
      <c r="GX168" s="119" t="s">
        <v>3948</v>
      </c>
      <c r="GY168" s="119" t="s">
        <v>3949</v>
      </c>
      <c r="GZ168" s="119" t="s">
        <v>3950</v>
      </c>
      <c r="HA168" s="119" t="s">
        <v>3951</v>
      </c>
      <c r="HB168" s="119" t="s">
        <v>3948</v>
      </c>
      <c r="HC168" s="119" t="s">
        <v>3949</v>
      </c>
      <c r="HD168" s="119" t="s">
        <v>3950</v>
      </c>
      <c r="HE168" s="119" t="s">
        <v>3951</v>
      </c>
    </row>
    <row r="169" hidden="1" spans="1:2">
      <c r="A169" s="89" t="s">
        <v>325</v>
      </c>
      <c r="B169" s="89" t="s">
        <v>466</v>
      </c>
    </row>
    <row r="170" ht="28.8" hidden="1" spans="1:193">
      <c r="A170" s="89" t="s">
        <v>230</v>
      </c>
      <c r="B170" s="89" t="s">
        <v>609</v>
      </c>
      <c r="F170" s="89">
        <v>1</v>
      </c>
      <c r="G170" s="89">
        <v>1</v>
      </c>
      <c r="H170" s="89">
        <v>1</v>
      </c>
      <c r="I170" s="89">
        <v>1</v>
      </c>
      <c r="M170" s="89">
        <v>1</v>
      </c>
      <c r="N170" s="89">
        <v>1</v>
      </c>
      <c r="O170" s="89">
        <v>1</v>
      </c>
      <c r="P170" s="89">
        <v>1</v>
      </c>
      <c r="T170" s="89">
        <v>1</v>
      </c>
      <c r="U170" s="89">
        <v>1</v>
      </c>
      <c r="V170" s="89">
        <v>1</v>
      </c>
      <c r="W170" s="89">
        <v>1</v>
      </c>
      <c r="AA170" s="89">
        <v>1</v>
      </c>
      <c r="AB170" s="89">
        <v>1</v>
      </c>
      <c r="AC170" s="89">
        <v>1</v>
      </c>
      <c r="AD170" s="89">
        <v>1</v>
      </c>
      <c r="AH170" s="89">
        <v>1</v>
      </c>
      <c r="AI170" s="89">
        <v>1</v>
      </c>
      <c r="AJ170" s="89">
        <v>1</v>
      </c>
      <c r="AK170" s="89">
        <v>1</v>
      </c>
      <c r="AO170" s="89">
        <v>1</v>
      </c>
      <c r="AP170" s="89">
        <v>1</v>
      </c>
      <c r="AQ170" s="89">
        <v>1</v>
      </c>
      <c r="AR170" s="89">
        <v>1</v>
      </c>
      <c r="AV170" s="89">
        <v>1</v>
      </c>
      <c r="AW170" s="89">
        <v>1</v>
      </c>
      <c r="AX170" s="89">
        <v>1</v>
      </c>
      <c r="AY170" s="89">
        <v>1</v>
      </c>
      <c r="BC170" s="89">
        <v>1</v>
      </c>
      <c r="BD170" s="89">
        <v>1</v>
      </c>
      <c r="BE170" s="89">
        <v>1</v>
      </c>
      <c r="BF170" s="89">
        <v>1</v>
      </c>
      <c r="BJ170" s="89">
        <v>1</v>
      </c>
      <c r="BK170" s="89">
        <v>1</v>
      </c>
      <c r="BL170" s="89">
        <v>1</v>
      </c>
      <c r="BM170" s="89">
        <v>1</v>
      </c>
      <c r="BQ170" s="89">
        <v>1</v>
      </c>
      <c r="BR170" s="89">
        <v>1</v>
      </c>
      <c r="BS170" s="89">
        <v>1</v>
      </c>
      <c r="BT170" s="89">
        <v>1</v>
      </c>
      <c r="BX170" s="89">
        <v>1</v>
      </c>
      <c r="BY170" s="89">
        <v>1</v>
      </c>
      <c r="BZ170" s="89">
        <v>1</v>
      </c>
      <c r="CA170" s="89">
        <v>1</v>
      </c>
      <c r="CE170" s="89">
        <v>1</v>
      </c>
      <c r="CF170" s="89">
        <v>1</v>
      </c>
      <c r="CG170" s="89">
        <v>1</v>
      </c>
      <c r="CH170" s="89">
        <v>1</v>
      </c>
      <c r="CL170" s="89">
        <v>1</v>
      </c>
      <c r="CM170" s="89">
        <v>1</v>
      </c>
      <c r="CN170" s="89">
        <v>1</v>
      </c>
      <c r="CO170" s="89">
        <v>1</v>
      </c>
      <c r="CS170" s="89">
        <v>1</v>
      </c>
      <c r="CT170" s="89">
        <v>1</v>
      </c>
      <c r="CU170" s="89">
        <v>1</v>
      </c>
      <c r="CV170" s="89">
        <v>1</v>
      </c>
      <c r="CW170" s="95" t="s">
        <v>4621</v>
      </c>
      <c r="CZ170" s="89">
        <v>1</v>
      </c>
      <c r="DA170" s="89">
        <v>1</v>
      </c>
      <c r="DB170" s="89">
        <v>1</v>
      </c>
      <c r="DC170" s="89">
        <v>1</v>
      </c>
      <c r="DD170" s="95" t="s">
        <v>4621</v>
      </c>
      <c r="DG170" s="89">
        <v>1</v>
      </c>
      <c r="DH170" s="89">
        <v>1</v>
      </c>
      <c r="DI170" s="89">
        <v>1</v>
      </c>
      <c r="DJ170" s="89">
        <v>1</v>
      </c>
      <c r="DK170" s="95" t="s">
        <v>4622</v>
      </c>
      <c r="DN170" s="89">
        <v>1</v>
      </c>
      <c r="DO170" s="89">
        <v>1</v>
      </c>
      <c r="DP170" s="89">
        <v>1</v>
      </c>
      <c r="DQ170" s="89">
        <v>1</v>
      </c>
      <c r="DR170" s="194" t="s">
        <v>4622</v>
      </c>
      <c r="DU170" s="188">
        <v>1</v>
      </c>
      <c r="DV170" s="188">
        <v>1</v>
      </c>
      <c r="DW170" s="188">
        <v>1</v>
      </c>
      <c r="DX170" s="188">
        <v>1</v>
      </c>
      <c r="DY170" s="95" t="s">
        <v>4622</v>
      </c>
      <c r="EB170" s="89">
        <v>1</v>
      </c>
      <c r="EC170" s="89">
        <v>1</v>
      </c>
      <c r="ED170" s="89">
        <v>1</v>
      </c>
      <c r="EE170" s="89">
        <v>1</v>
      </c>
      <c r="EF170" s="95" t="s">
        <v>4622</v>
      </c>
      <c r="EI170" s="89">
        <v>1</v>
      </c>
      <c r="EJ170" s="89">
        <v>1</v>
      </c>
      <c r="EK170" s="89">
        <v>1</v>
      </c>
      <c r="EL170" s="89">
        <v>1</v>
      </c>
      <c r="EM170" s="95" t="s">
        <v>4622</v>
      </c>
      <c r="EP170" s="89">
        <v>1</v>
      </c>
      <c r="EQ170" s="89">
        <v>1</v>
      </c>
      <c r="ER170" s="89">
        <v>1</v>
      </c>
      <c r="ES170" s="89">
        <v>1</v>
      </c>
      <c r="ET170" s="95" t="s">
        <v>4622</v>
      </c>
      <c r="EW170" s="89">
        <v>1</v>
      </c>
      <c r="EX170" s="89">
        <v>1</v>
      </c>
      <c r="EY170" s="89">
        <v>1</v>
      </c>
      <c r="EZ170" s="89">
        <v>1</v>
      </c>
      <c r="FA170" s="95" t="s">
        <v>4622</v>
      </c>
      <c r="FC170" s="89">
        <v>1</v>
      </c>
      <c r="FD170" s="89">
        <v>1</v>
      </c>
      <c r="FE170" s="89">
        <v>1</v>
      </c>
      <c r="FF170" s="89">
        <v>1</v>
      </c>
      <c r="FG170" s="95" t="s">
        <v>4622</v>
      </c>
      <c r="FI170" s="89">
        <v>1</v>
      </c>
      <c r="FJ170" s="89">
        <v>1</v>
      </c>
      <c r="FK170" s="89">
        <v>1</v>
      </c>
      <c r="FL170" s="89">
        <v>1</v>
      </c>
      <c r="FM170" s="95" t="s">
        <v>4622</v>
      </c>
      <c r="FO170" s="89">
        <v>1</v>
      </c>
      <c r="FP170" s="89">
        <v>1</v>
      </c>
      <c r="FQ170" s="89">
        <v>1</v>
      </c>
      <c r="FR170" s="89">
        <v>1</v>
      </c>
      <c r="FS170" s="95" t="s">
        <v>4622</v>
      </c>
      <c r="FU170" s="89">
        <v>1</v>
      </c>
      <c r="FV170" s="89">
        <v>1</v>
      </c>
      <c r="FW170" s="89">
        <v>1</v>
      </c>
      <c r="FX170" s="89">
        <v>1</v>
      </c>
      <c r="FY170" s="95" t="s">
        <v>4622</v>
      </c>
      <c r="GA170" s="89">
        <v>1</v>
      </c>
      <c r="GB170" s="89">
        <v>1</v>
      </c>
      <c r="GC170" s="89">
        <v>1</v>
      </c>
      <c r="GD170" s="89">
        <v>1</v>
      </c>
      <c r="GE170" s="95" t="s">
        <v>4622</v>
      </c>
      <c r="GK170" s="95" t="s">
        <v>4622</v>
      </c>
    </row>
    <row r="171" hidden="1" spans="1:193">
      <c r="A171" s="89" t="s">
        <v>243</v>
      </c>
      <c r="B171" s="89" t="s">
        <v>610</v>
      </c>
      <c r="C171" s="125"/>
      <c r="F171" s="89">
        <v>4</v>
      </c>
      <c r="G171" s="89">
        <v>4</v>
      </c>
      <c r="H171" s="89">
        <v>4</v>
      </c>
      <c r="I171" s="89">
        <v>3</v>
      </c>
      <c r="J171" s="125"/>
      <c r="M171" s="89">
        <v>4</v>
      </c>
      <c r="N171" s="89">
        <v>4</v>
      </c>
      <c r="O171" s="89">
        <v>4</v>
      </c>
      <c r="P171" s="89">
        <v>3</v>
      </c>
      <c r="Q171" s="125"/>
      <c r="T171" s="89">
        <v>4</v>
      </c>
      <c r="U171" s="89">
        <v>4</v>
      </c>
      <c r="V171" s="89">
        <v>4</v>
      </c>
      <c r="W171" s="89">
        <v>3</v>
      </c>
      <c r="X171" s="125"/>
      <c r="AA171" s="89">
        <v>4</v>
      </c>
      <c r="AB171" s="89">
        <v>4</v>
      </c>
      <c r="AC171" s="89">
        <v>4</v>
      </c>
      <c r="AD171" s="89">
        <v>3</v>
      </c>
      <c r="AE171" s="125"/>
      <c r="AH171" s="89">
        <v>4</v>
      </c>
      <c r="AI171" s="89">
        <v>4</v>
      </c>
      <c r="AJ171" s="89">
        <v>4</v>
      </c>
      <c r="AK171" s="89">
        <v>3</v>
      </c>
      <c r="AL171" s="125"/>
      <c r="AO171" s="89">
        <v>4</v>
      </c>
      <c r="AP171" s="89">
        <v>4</v>
      </c>
      <c r="AQ171" s="89">
        <v>4</v>
      </c>
      <c r="AR171" s="89">
        <v>3</v>
      </c>
      <c r="AS171" s="125"/>
      <c r="AV171" s="89">
        <v>4</v>
      </c>
      <c r="AW171" s="89">
        <v>4</v>
      </c>
      <c r="AX171" s="89">
        <v>4</v>
      </c>
      <c r="AY171" s="89">
        <v>3</v>
      </c>
      <c r="AZ171" s="125"/>
      <c r="BC171" s="89">
        <v>4</v>
      </c>
      <c r="BD171" s="89">
        <v>4</v>
      </c>
      <c r="BE171" s="89">
        <v>4</v>
      </c>
      <c r="BF171" s="89">
        <v>3</v>
      </c>
      <c r="BG171" s="125"/>
      <c r="BJ171" s="89">
        <v>4</v>
      </c>
      <c r="BK171" s="89">
        <v>4</v>
      </c>
      <c r="BL171" s="89">
        <v>4</v>
      </c>
      <c r="BM171" s="89">
        <v>3</v>
      </c>
      <c r="BN171" s="125"/>
      <c r="BQ171" s="89">
        <v>4</v>
      </c>
      <c r="BR171" s="89">
        <v>4</v>
      </c>
      <c r="BS171" s="89">
        <v>4</v>
      </c>
      <c r="BT171" s="89">
        <v>3</v>
      </c>
      <c r="BU171" s="125"/>
      <c r="BX171" s="89">
        <v>4</v>
      </c>
      <c r="BY171" s="89">
        <v>4</v>
      </c>
      <c r="BZ171" s="89">
        <v>4</v>
      </c>
      <c r="CA171" s="89">
        <v>3</v>
      </c>
      <c r="CB171" s="125"/>
      <c r="CE171" s="89">
        <v>4</v>
      </c>
      <c r="CF171" s="89">
        <v>4</v>
      </c>
      <c r="CG171" s="89">
        <v>4</v>
      </c>
      <c r="CH171" s="89">
        <v>3</v>
      </c>
      <c r="CI171" s="125"/>
      <c r="CL171" s="89">
        <v>4</v>
      </c>
      <c r="CM171" s="89">
        <v>4</v>
      </c>
      <c r="CN171" s="89">
        <v>4</v>
      </c>
      <c r="CO171" s="89">
        <v>3</v>
      </c>
      <c r="CP171" s="125"/>
      <c r="CS171" s="89">
        <v>4</v>
      </c>
      <c r="CT171" s="89">
        <v>4</v>
      </c>
      <c r="CU171" s="89">
        <v>4</v>
      </c>
      <c r="CV171" s="89">
        <v>3</v>
      </c>
      <c r="CW171" s="125" t="s">
        <v>4052</v>
      </c>
      <c r="CZ171" s="89">
        <v>4</v>
      </c>
      <c r="DA171" s="89">
        <v>4</v>
      </c>
      <c r="DB171" s="89">
        <v>4</v>
      </c>
      <c r="DC171" s="89">
        <v>3</v>
      </c>
      <c r="DD171" s="125" t="s">
        <v>4052</v>
      </c>
      <c r="DG171" s="89">
        <v>4</v>
      </c>
      <c r="DH171" s="89">
        <v>4</v>
      </c>
      <c r="DI171" s="89">
        <v>4</v>
      </c>
      <c r="DJ171" s="89">
        <v>3</v>
      </c>
      <c r="DK171" s="125" t="s">
        <v>4052</v>
      </c>
      <c r="DN171" s="89">
        <v>4</v>
      </c>
      <c r="DO171" s="89">
        <v>4</v>
      </c>
      <c r="DP171" s="89">
        <v>4</v>
      </c>
      <c r="DQ171" s="89">
        <v>3</v>
      </c>
      <c r="DR171" s="316" t="s">
        <v>4052</v>
      </c>
      <c r="DU171" s="188">
        <v>4</v>
      </c>
      <c r="DV171" s="188">
        <v>4</v>
      </c>
      <c r="DW171" s="188">
        <v>4</v>
      </c>
      <c r="DX171" s="188">
        <v>3</v>
      </c>
      <c r="DY171" s="125" t="s">
        <v>4052</v>
      </c>
      <c r="EB171" s="89">
        <v>4</v>
      </c>
      <c r="EC171" s="89">
        <v>4</v>
      </c>
      <c r="ED171" s="89">
        <v>4</v>
      </c>
      <c r="EE171" s="89">
        <v>3</v>
      </c>
      <c r="EF171" s="125" t="s">
        <v>4052</v>
      </c>
      <c r="EI171" s="89">
        <v>4</v>
      </c>
      <c r="EJ171" s="89">
        <v>4</v>
      </c>
      <c r="EK171" s="89">
        <v>4</v>
      </c>
      <c r="EL171" s="89">
        <v>3</v>
      </c>
      <c r="EM171" s="125" t="s">
        <v>4052</v>
      </c>
      <c r="EP171" s="89">
        <v>4</v>
      </c>
      <c r="EQ171" s="89">
        <v>4</v>
      </c>
      <c r="ER171" s="89">
        <v>4</v>
      </c>
      <c r="ES171" s="89">
        <v>3</v>
      </c>
      <c r="ET171" s="125" t="s">
        <v>4052</v>
      </c>
      <c r="EW171" s="89">
        <v>4</v>
      </c>
      <c r="EX171" s="89">
        <v>4</v>
      </c>
      <c r="EY171" s="89">
        <v>4</v>
      </c>
      <c r="EZ171" s="89">
        <v>3</v>
      </c>
      <c r="FA171" s="125" t="s">
        <v>4052</v>
      </c>
      <c r="FC171" s="89">
        <v>4</v>
      </c>
      <c r="FD171" s="89">
        <v>4</v>
      </c>
      <c r="FE171" s="89">
        <v>4</v>
      </c>
      <c r="FF171" s="89">
        <v>3</v>
      </c>
      <c r="FG171" s="125" t="s">
        <v>4052</v>
      </c>
      <c r="FI171" s="89">
        <v>4</v>
      </c>
      <c r="FJ171" s="89">
        <v>4</v>
      </c>
      <c r="FK171" s="89">
        <v>4</v>
      </c>
      <c r="FL171" s="89">
        <v>3</v>
      </c>
      <c r="FM171" s="125" t="s">
        <v>4052</v>
      </c>
      <c r="FO171" s="89">
        <v>4</v>
      </c>
      <c r="FP171" s="89">
        <v>4</v>
      </c>
      <c r="FQ171" s="89">
        <v>4</v>
      </c>
      <c r="FR171" s="89">
        <v>3</v>
      </c>
      <c r="FS171" s="125" t="s">
        <v>4052</v>
      </c>
      <c r="FU171" s="89">
        <v>4</v>
      </c>
      <c r="FV171" s="89">
        <v>4</v>
      </c>
      <c r="FW171" s="89">
        <v>4</v>
      </c>
      <c r="FX171" s="89">
        <v>3</v>
      </c>
      <c r="FY171" s="125" t="s">
        <v>4052</v>
      </c>
      <c r="GA171" s="89">
        <v>4</v>
      </c>
      <c r="GB171" s="89">
        <v>4</v>
      </c>
      <c r="GC171" s="89">
        <v>4</v>
      </c>
      <c r="GD171" s="89">
        <v>3</v>
      </c>
      <c r="GE171" s="125" t="s">
        <v>4052</v>
      </c>
      <c r="GK171" s="125" t="s">
        <v>4052</v>
      </c>
    </row>
    <row r="172" hidden="1" spans="1:193">
      <c r="A172" s="89" t="s">
        <v>230</v>
      </c>
      <c r="B172" s="89" t="s">
        <v>611</v>
      </c>
      <c r="F172" s="89">
        <v>2</v>
      </c>
      <c r="G172" s="89">
        <v>2</v>
      </c>
      <c r="H172" s="89">
        <v>2</v>
      </c>
      <c r="I172" s="89">
        <v>3</v>
      </c>
      <c r="M172" s="89">
        <v>2</v>
      </c>
      <c r="N172" s="89">
        <v>2</v>
      </c>
      <c r="O172" s="89">
        <v>2</v>
      </c>
      <c r="P172" s="89">
        <v>3</v>
      </c>
      <c r="T172" s="89">
        <v>2</v>
      </c>
      <c r="U172" s="89">
        <v>2</v>
      </c>
      <c r="V172" s="89">
        <v>2</v>
      </c>
      <c r="W172" s="89">
        <v>3</v>
      </c>
      <c r="AA172" s="89">
        <v>2</v>
      </c>
      <c r="AB172" s="89">
        <v>2</v>
      </c>
      <c r="AC172" s="89">
        <v>2</v>
      </c>
      <c r="AD172" s="89">
        <v>3</v>
      </c>
      <c r="AH172" s="89">
        <v>2</v>
      </c>
      <c r="AI172" s="89">
        <v>2</v>
      </c>
      <c r="AJ172" s="89">
        <v>2</v>
      </c>
      <c r="AK172" s="89">
        <v>3</v>
      </c>
      <c r="AO172" s="89">
        <v>2</v>
      </c>
      <c r="AP172" s="89">
        <v>2</v>
      </c>
      <c r="AQ172" s="89">
        <v>2</v>
      </c>
      <c r="AR172" s="89">
        <v>3</v>
      </c>
      <c r="AV172" s="89">
        <v>2</v>
      </c>
      <c r="AW172" s="89">
        <v>2</v>
      </c>
      <c r="AX172" s="89">
        <v>2</v>
      </c>
      <c r="AY172" s="89">
        <v>3</v>
      </c>
      <c r="BC172" s="89">
        <v>2</v>
      </c>
      <c r="BD172" s="89">
        <v>2</v>
      </c>
      <c r="BE172" s="89">
        <v>2</v>
      </c>
      <c r="BF172" s="89">
        <v>3</v>
      </c>
      <c r="BJ172" s="89">
        <v>2</v>
      </c>
      <c r="BK172" s="89">
        <v>2</v>
      </c>
      <c r="BL172" s="89">
        <v>2</v>
      </c>
      <c r="BM172" s="89">
        <v>3</v>
      </c>
      <c r="BQ172" s="89">
        <v>2</v>
      </c>
      <c r="BR172" s="89">
        <v>2</v>
      </c>
      <c r="BS172" s="89">
        <v>2</v>
      </c>
      <c r="BT172" s="89">
        <v>3</v>
      </c>
      <c r="BX172" s="89">
        <v>2</v>
      </c>
      <c r="BY172" s="89">
        <v>2</v>
      </c>
      <c r="BZ172" s="89">
        <v>2</v>
      </c>
      <c r="CA172" s="89">
        <v>3</v>
      </c>
      <c r="CE172" s="89">
        <v>2</v>
      </c>
      <c r="CF172" s="89">
        <v>2</v>
      </c>
      <c r="CG172" s="89">
        <v>2</v>
      </c>
      <c r="CH172" s="89">
        <v>3</v>
      </c>
      <c r="CL172" s="89">
        <v>2</v>
      </c>
      <c r="CM172" s="89">
        <v>2</v>
      </c>
      <c r="CN172" s="89">
        <v>2</v>
      </c>
      <c r="CO172" s="89">
        <v>3</v>
      </c>
      <c r="CS172" s="89">
        <v>2</v>
      </c>
      <c r="CT172" s="89">
        <v>2</v>
      </c>
      <c r="CU172" s="89">
        <v>2</v>
      </c>
      <c r="CV172" s="89">
        <v>3</v>
      </c>
      <c r="CW172" s="95" t="s">
        <v>4623</v>
      </c>
      <c r="CZ172" s="89">
        <v>2</v>
      </c>
      <c r="DA172" s="89">
        <v>2</v>
      </c>
      <c r="DB172" s="89">
        <v>2</v>
      </c>
      <c r="DC172" s="89">
        <v>3</v>
      </c>
      <c r="DD172" s="95" t="s">
        <v>4623</v>
      </c>
      <c r="DG172" s="89">
        <v>2</v>
      </c>
      <c r="DH172" s="89">
        <v>2</v>
      </c>
      <c r="DI172" s="89">
        <v>2</v>
      </c>
      <c r="DJ172" s="89">
        <v>3</v>
      </c>
      <c r="DK172" s="95" t="s">
        <v>4624</v>
      </c>
      <c r="DN172" s="89">
        <v>2</v>
      </c>
      <c r="DO172" s="89">
        <v>2</v>
      </c>
      <c r="DP172" s="89">
        <v>2</v>
      </c>
      <c r="DQ172" s="89">
        <v>3</v>
      </c>
      <c r="DR172" s="194" t="s">
        <v>4624</v>
      </c>
      <c r="DU172" s="188">
        <v>2</v>
      </c>
      <c r="DV172" s="188">
        <v>2</v>
      </c>
      <c r="DW172" s="188">
        <v>2</v>
      </c>
      <c r="DX172" s="188">
        <v>3</v>
      </c>
      <c r="DY172" s="95" t="s">
        <v>4624</v>
      </c>
      <c r="EB172" s="89">
        <v>2</v>
      </c>
      <c r="EC172" s="89">
        <v>2</v>
      </c>
      <c r="ED172" s="89">
        <v>2</v>
      </c>
      <c r="EE172" s="89">
        <v>3</v>
      </c>
      <c r="EF172" s="95" t="s">
        <v>4624</v>
      </c>
      <c r="EI172" s="89">
        <v>2</v>
      </c>
      <c r="EJ172" s="89">
        <v>2</v>
      </c>
      <c r="EK172" s="89">
        <v>2</v>
      </c>
      <c r="EL172" s="89">
        <v>3</v>
      </c>
      <c r="EM172" s="95" t="s">
        <v>4624</v>
      </c>
      <c r="EP172" s="89">
        <v>2</v>
      </c>
      <c r="EQ172" s="89">
        <v>2</v>
      </c>
      <c r="ER172" s="89">
        <v>2</v>
      </c>
      <c r="ES172" s="89">
        <v>3</v>
      </c>
      <c r="ET172" s="95" t="s">
        <v>4624</v>
      </c>
      <c r="EW172" s="89">
        <v>2</v>
      </c>
      <c r="EX172" s="89">
        <v>2</v>
      </c>
      <c r="EY172" s="89">
        <v>2</v>
      </c>
      <c r="EZ172" s="89">
        <v>3</v>
      </c>
      <c r="FA172" s="95" t="s">
        <v>4624</v>
      </c>
      <c r="FC172" s="89">
        <v>2</v>
      </c>
      <c r="FD172" s="89">
        <v>2</v>
      </c>
      <c r="FE172" s="89">
        <v>2</v>
      </c>
      <c r="FF172" s="89">
        <v>3</v>
      </c>
      <c r="FG172" s="95" t="s">
        <v>4624</v>
      </c>
      <c r="FI172" s="89">
        <v>2</v>
      </c>
      <c r="FJ172" s="89">
        <v>2</v>
      </c>
      <c r="FK172" s="89">
        <v>2</v>
      </c>
      <c r="FL172" s="89">
        <v>3</v>
      </c>
      <c r="FM172" s="95" t="s">
        <v>4624</v>
      </c>
      <c r="FO172" s="89">
        <v>2</v>
      </c>
      <c r="FP172" s="89">
        <v>2</v>
      </c>
      <c r="FQ172" s="89">
        <v>2</v>
      </c>
      <c r="FR172" s="89">
        <v>3</v>
      </c>
      <c r="FS172" s="95" t="s">
        <v>4624</v>
      </c>
      <c r="FU172" s="89">
        <v>2</v>
      </c>
      <c r="FV172" s="89">
        <v>2</v>
      </c>
      <c r="FW172" s="89">
        <v>2</v>
      </c>
      <c r="FX172" s="89">
        <v>3</v>
      </c>
      <c r="FY172" s="95" t="s">
        <v>4624</v>
      </c>
      <c r="GA172" s="89">
        <v>2</v>
      </c>
      <c r="GB172" s="89">
        <v>2</v>
      </c>
      <c r="GC172" s="89">
        <v>2</v>
      </c>
      <c r="GD172" s="89">
        <v>3</v>
      </c>
      <c r="GE172" s="95" t="s">
        <v>4624</v>
      </c>
      <c r="GK172" s="95" t="s">
        <v>4624</v>
      </c>
    </row>
    <row r="173" hidden="1" spans="1:2">
      <c r="A173" s="89" t="s">
        <v>367</v>
      </c>
      <c r="B173" s="89" t="s">
        <v>4625</v>
      </c>
    </row>
    <row r="174" hidden="1" spans="1:2">
      <c r="A174" s="89" t="s">
        <v>367</v>
      </c>
      <c r="B174" s="89" t="s">
        <v>4626</v>
      </c>
    </row>
    <row r="175" hidden="1" spans="1:2">
      <c r="A175" s="89" t="s">
        <v>468</v>
      </c>
      <c r="B175" s="89" t="s">
        <v>612</v>
      </c>
    </row>
    <row r="176" hidden="1" spans="1:213">
      <c r="A176" s="88" t="s">
        <v>227</v>
      </c>
      <c r="B176" s="141" t="s">
        <v>4627</v>
      </c>
      <c r="C176" s="125"/>
      <c r="E176" s="194" t="s">
        <v>49</v>
      </c>
      <c r="F176" s="89">
        <v>3</v>
      </c>
      <c r="G176" s="89">
        <v>3</v>
      </c>
      <c r="H176" s="89">
        <v>3</v>
      </c>
      <c r="I176" s="89">
        <v>2</v>
      </c>
      <c r="J176" s="125"/>
      <c r="L176" s="194" t="s">
        <v>49</v>
      </c>
      <c r="M176" s="89">
        <v>3</v>
      </c>
      <c r="N176" s="89">
        <v>3</v>
      </c>
      <c r="O176" s="89">
        <v>3</v>
      </c>
      <c r="P176" s="89">
        <v>2</v>
      </c>
      <c r="Q176" s="125"/>
      <c r="S176" s="194" t="s">
        <v>49</v>
      </c>
      <c r="T176" s="89">
        <v>3</v>
      </c>
      <c r="U176" s="89">
        <v>3</v>
      </c>
      <c r="V176" s="89">
        <v>3</v>
      </c>
      <c r="W176" s="89">
        <v>2</v>
      </c>
      <c r="X176" s="125"/>
      <c r="Z176" s="194" t="s">
        <v>49</v>
      </c>
      <c r="AA176" s="89">
        <v>3</v>
      </c>
      <c r="AB176" s="89">
        <v>3</v>
      </c>
      <c r="AC176" s="89">
        <v>3</v>
      </c>
      <c r="AD176" s="89">
        <v>2</v>
      </c>
      <c r="AE176" s="125"/>
      <c r="AG176" s="194" t="s">
        <v>49</v>
      </c>
      <c r="AH176" s="89">
        <v>3</v>
      </c>
      <c r="AI176" s="89">
        <v>3</v>
      </c>
      <c r="AJ176" s="89">
        <v>3</v>
      </c>
      <c r="AK176" s="89">
        <v>2</v>
      </c>
      <c r="AL176" s="125"/>
      <c r="AN176" s="95" t="s">
        <v>49</v>
      </c>
      <c r="AO176" s="89">
        <v>3</v>
      </c>
      <c r="AP176" s="89">
        <v>3</v>
      </c>
      <c r="AQ176" s="89">
        <v>3</v>
      </c>
      <c r="AR176" s="89">
        <v>2</v>
      </c>
      <c r="AS176" s="125"/>
      <c r="AU176" s="95" t="s">
        <v>49</v>
      </c>
      <c r="AV176" s="89">
        <v>3</v>
      </c>
      <c r="AW176" s="89">
        <v>3</v>
      </c>
      <c r="AX176" s="89">
        <v>3</v>
      </c>
      <c r="AY176" s="89">
        <v>2</v>
      </c>
      <c r="AZ176" s="125"/>
      <c r="BB176" s="95" t="s">
        <v>49</v>
      </c>
      <c r="BC176" s="89">
        <v>3</v>
      </c>
      <c r="BD176" s="89">
        <v>3</v>
      </c>
      <c r="BE176" s="89">
        <v>3</v>
      </c>
      <c r="BF176" s="89">
        <v>2</v>
      </c>
      <c r="BG176" s="125"/>
      <c r="BI176" s="95" t="s">
        <v>49</v>
      </c>
      <c r="BJ176" s="89">
        <v>3</v>
      </c>
      <c r="BK176" s="89">
        <v>3</v>
      </c>
      <c r="BL176" s="89">
        <v>3</v>
      </c>
      <c r="BM176" s="89">
        <v>2</v>
      </c>
      <c r="BN176" s="125"/>
      <c r="BP176" s="95" t="s">
        <v>49</v>
      </c>
      <c r="BQ176" s="89">
        <v>3</v>
      </c>
      <c r="BR176" s="89">
        <v>3</v>
      </c>
      <c r="BS176" s="89">
        <v>3</v>
      </c>
      <c r="BT176" s="89">
        <v>2</v>
      </c>
      <c r="BU176" s="125"/>
      <c r="BW176" s="95" t="s">
        <v>49</v>
      </c>
      <c r="BX176" s="89">
        <v>3</v>
      </c>
      <c r="BY176" s="89">
        <v>3</v>
      </c>
      <c r="BZ176" s="89">
        <v>3</v>
      </c>
      <c r="CA176" s="89">
        <v>2</v>
      </c>
      <c r="CB176" s="125"/>
      <c r="CD176" s="95" t="s">
        <v>49</v>
      </c>
      <c r="CE176" s="89">
        <v>3</v>
      </c>
      <c r="CF176" s="89">
        <v>3</v>
      </c>
      <c r="CG176" s="89">
        <v>3</v>
      </c>
      <c r="CH176" s="89">
        <v>2</v>
      </c>
      <c r="CI176" s="125"/>
      <c r="CK176" s="95" t="s">
        <v>49</v>
      </c>
      <c r="CL176" s="89">
        <v>3</v>
      </c>
      <c r="CM176" s="89">
        <v>3</v>
      </c>
      <c r="CN176" s="89">
        <v>3</v>
      </c>
      <c r="CO176" s="89">
        <v>2</v>
      </c>
      <c r="CP176" s="125"/>
      <c r="CR176" s="95" t="s">
        <v>49</v>
      </c>
      <c r="CS176" s="89">
        <v>3</v>
      </c>
      <c r="CT176" s="89">
        <v>3</v>
      </c>
      <c r="CU176" s="89">
        <v>3</v>
      </c>
      <c r="CV176" s="89">
        <v>2</v>
      </c>
      <c r="CW176" s="125" t="s">
        <v>4392</v>
      </c>
      <c r="CY176" s="95" t="s">
        <v>49</v>
      </c>
      <c r="CZ176" s="89">
        <v>3</v>
      </c>
      <c r="DA176" s="89">
        <v>3</v>
      </c>
      <c r="DB176" s="89">
        <v>3</v>
      </c>
      <c r="DC176" s="89">
        <v>2</v>
      </c>
      <c r="DD176" s="125" t="s">
        <v>4392</v>
      </c>
      <c r="DF176" s="95" t="s">
        <v>49</v>
      </c>
      <c r="DG176" s="89">
        <v>3</v>
      </c>
      <c r="DH176" s="89">
        <v>3</v>
      </c>
      <c r="DI176" s="89">
        <v>3</v>
      </c>
      <c r="DJ176" s="89">
        <v>2</v>
      </c>
      <c r="DK176" s="125" t="s">
        <v>4392</v>
      </c>
      <c r="DM176" s="95" t="s">
        <v>49</v>
      </c>
      <c r="DN176" s="89">
        <v>3</v>
      </c>
      <c r="DO176" s="89">
        <v>3</v>
      </c>
      <c r="DP176" s="89">
        <v>3</v>
      </c>
      <c r="DQ176" s="89">
        <v>2</v>
      </c>
      <c r="DR176" s="316" t="s">
        <v>4052</v>
      </c>
      <c r="DT176" s="194" t="s">
        <v>49</v>
      </c>
      <c r="DU176" s="188">
        <v>3</v>
      </c>
      <c r="DV176" s="188">
        <v>3</v>
      </c>
      <c r="DW176" s="188">
        <v>3</v>
      </c>
      <c r="DX176" s="188">
        <v>2</v>
      </c>
      <c r="DY176" s="125" t="s">
        <v>4052</v>
      </c>
      <c r="EA176" s="95" t="s">
        <v>49</v>
      </c>
      <c r="EB176" s="89">
        <v>3</v>
      </c>
      <c r="EC176" s="89">
        <v>3</v>
      </c>
      <c r="ED176" s="89">
        <v>3</v>
      </c>
      <c r="EE176" s="89">
        <v>2</v>
      </c>
      <c r="EF176" s="125" t="s">
        <v>4052</v>
      </c>
      <c r="EH176" s="95" t="s">
        <v>49</v>
      </c>
      <c r="EI176" s="89">
        <v>3</v>
      </c>
      <c r="EJ176" s="89">
        <v>3</v>
      </c>
      <c r="EK176" s="89">
        <v>3</v>
      </c>
      <c r="EL176" s="89">
        <v>2</v>
      </c>
      <c r="EM176" s="125" t="s">
        <v>4052</v>
      </c>
      <c r="EO176" s="95" t="s">
        <v>49</v>
      </c>
      <c r="EP176" s="89">
        <v>3</v>
      </c>
      <c r="EQ176" s="89">
        <v>3</v>
      </c>
      <c r="ER176" s="89">
        <v>3</v>
      </c>
      <c r="ES176" s="89">
        <v>2</v>
      </c>
      <c r="ET176" s="125" t="s">
        <v>4052</v>
      </c>
      <c r="EV176" s="95" t="s">
        <v>49</v>
      </c>
      <c r="EW176" s="89">
        <v>3</v>
      </c>
      <c r="EX176" s="89">
        <v>3</v>
      </c>
      <c r="EY176" s="89">
        <v>3</v>
      </c>
      <c r="EZ176" s="89">
        <v>2</v>
      </c>
      <c r="FA176" s="125" t="s">
        <v>4052</v>
      </c>
      <c r="FC176" s="89">
        <v>3</v>
      </c>
      <c r="FD176" s="89">
        <v>3</v>
      </c>
      <c r="FE176" s="89">
        <v>3</v>
      </c>
      <c r="FF176" s="89">
        <v>2</v>
      </c>
      <c r="FG176" s="125" t="s">
        <v>4052</v>
      </c>
      <c r="FI176" s="89">
        <v>3</v>
      </c>
      <c r="FJ176" s="89">
        <v>3</v>
      </c>
      <c r="FK176" s="89">
        <v>3</v>
      </c>
      <c r="FL176" s="89">
        <v>2</v>
      </c>
      <c r="FM176" s="125" t="s">
        <v>4052</v>
      </c>
      <c r="FO176" s="89">
        <v>3</v>
      </c>
      <c r="FP176" s="89">
        <v>3</v>
      </c>
      <c r="FQ176" s="89">
        <v>3</v>
      </c>
      <c r="FR176" s="89">
        <v>2</v>
      </c>
      <c r="FS176" s="125" t="s">
        <v>4052</v>
      </c>
      <c r="FT176" s="126"/>
      <c r="FU176" s="89">
        <v>3</v>
      </c>
      <c r="FV176" s="89">
        <v>3</v>
      </c>
      <c r="FW176" s="89">
        <v>3</v>
      </c>
      <c r="FX176" s="89">
        <v>2</v>
      </c>
      <c r="FY176" s="125" t="s">
        <v>4052</v>
      </c>
      <c r="FZ176" s="126"/>
      <c r="GA176" s="89">
        <v>3</v>
      </c>
      <c r="GB176" s="89">
        <v>3</v>
      </c>
      <c r="GC176" s="89">
        <v>3</v>
      </c>
      <c r="GD176" s="89">
        <v>2</v>
      </c>
      <c r="GE176" s="125" t="s">
        <v>4052</v>
      </c>
      <c r="GF176" s="126"/>
      <c r="GK176" s="125" t="s">
        <v>4052</v>
      </c>
      <c r="GL176" s="126"/>
      <c r="GR176" s="126"/>
      <c r="HB176" s="88"/>
      <c r="HC176" s="88"/>
      <c r="HD176" s="88"/>
      <c r="HE176" s="88"/>
    </row>
    <row r="177" hidden="1"/>
    <row r="178" hidden="1"/>
    <row r="179" hidden="1"/>
    <row r="180" hidden="1" customHeight="1" spans="1:213">
      <c r="A180" s="96" t="s">
        <v>185</v>
      </c>
      <c r="B180" s="97"/>
      <c r="C180" s="116" t="s">
        <v>3923</v>
      </c>
      <c r="D180" s="128"/>
      <c r="E180" s="128"/>
      <c r="F180" s="128"/>
      <c r="G180" s="128"/>
      <c r="H180" s="128"/>
      <c r="I180" s="132"/>
      <c r="J180" s="116" t="s">
        <v>3923</v>
      </c>
      <c r="K180" s="128"/>
      <c r="L180" s="128"/>
      <c r="M180" s="128"/>
      <c r="N180" s="128"/>
      <c r="O180" s="128"/>
      <c r="P180" s="132"/>
      <c r="Q180" s="116" t="s">
        <v>4083</v>
      </c>
      <c r="R180" s="128"/>
      <c r="S180" s="128"/>
      <c r="T180" s="128"/>
      <c r="U180" s="128"/>
      <c r="V180" s="128"/>
      <c r="W180" s="132"/>
      <c r="X180" s="116" t="s">
        <v>3925</v>
      </c>
      <c r="Y180" s="128"/>
      <c r="Z180" s="128"/>
      <c r="AA180" s="128"/>
      <c r="AB180" s="128"/>
      <c r="AC180" s="128"/>
      <c r="AD180" s="132"/>
      <c r="AE180" s="116" t="s">
        <v>3926</v>
      </c>
      <c r="AF180" s="128"/>
      <c r="AG180" s="128"/>
      <c r="AH180" s="128"/>
      <c r="AI180" s="128"/>
      <c r="AJ180" s="128"/>
      <c r="AK180" s="132"/>
      <c r="AL180" s="116" t="s">
        <v>3927</v>
      </c>
      <c r="AM180" s="128"/>
      <c r="AN180" s="128"/>
      <c r="AO180" s="128"/>
      <c r="AP180" s="128"/>
      <c r="AQ180" s="128"/>
      <c r="AR180" s="132"/>
      <c r="AS180" s="116" t="s">
        <v>3928</v>
      </c>
      <c r="AT180" s="128"/>
      <c r="AU180" s="128"/>
      <c r="AV180" s="128"/>
      <c r="AW180" s="128"/>
      <c r="AX180" s="128"/>
      <c r="AY180" s="132"/>
      <c r="AZ180" s="116" t="s">
        <v>3929</v>
      </c>
      <c r="BA180" s="128"/>
      <c r="BB180" s="128"/>
      <c r="BC180" s="128"/>
      <c r="BD180" s="128"/>
      <c r="BE180" s="128"/>
      <c r="BF180" s="132"/>
      <c r="BG180" s="116" t="s">
        <v>3930</v>
      </c>
      <c r="BH180" s="128"/>
      <c r="BI180" s="128"/>
      <c r="BJ180" s="128"/>
      <c r="BK180" s="128"/>
      <c r="BL180" s="128"/>
      <c r="BM180" s="132"/>
      <c r="BN180" s="116" t="s">
        <v>3931</v>
      </c>
      <c r="BO180" s="128"/>
      <c r="BP180" s="128"/>
      <c r="BQ180" s="128"/>
      <c r="BR180" s="128"/>
      <c r="BS180" s="128"/>
      <c r="BT180" s="132"/>
      <c r="BU180" s="116" t="s">
        <v>3932</v>
      </c>
      <c r="BV180" s="128"/>
      <c r="BW180" s="128"/>
      <c r="BX180" s="128"/>
      <c r="BY180" s="128"/>
      <c r="BZ180" s="128"/>
      <c r="CA180" s="132"/>
      <c r="CB180" s="116" t="s">
        <v>3933</v>
      </c>
      <c r="CC180" s="128"/>
      <c r="CD180" s="128"/>
      <c r="CE180" s="128"/>
      <c r="CF180" s="128"/>
      <c r="CG180" s="128"/>
      <c r="CH180" s="132"/>
      <c r="CI180" s="116" t="s">
        <v>3922</v>
      </c>
      <c r="CJ180" s="128"/>
      <c r="CK180" s="128"/>
      <c r="CL180" s="128"/>
      <c r="CM180" s="128"/>
      <c r="CN180" s="128"/>
      <c r="CO180" s="132"/>
      <c r="CP180" s="116" t="s">
        <v>3934</v>
      </c>
      <c r="CQ180" s="128"/>
      <c r="CR180" s="128"/>
      <c r="CS180" s="128"/>
      <c r="CT180" s="128"/>
      <c r="CU180" s="128"/>
      <c r="CV180" s="132"/>
      <c r="CW180" s="116" t="s">
        <v>3924</v>
      </c>
      <c r="CX180" s="128"/>
      <c r="CY180" s="128"/>
      <c r="CZ180" s="128"/>
      <c r="DA180" s="128"/>
      <c r="DB180" s="128"/>
      <c r="DC180" s="132"/>
      <c r="DD180" s="116" t="s">
        <v>3935</v>
      </c>
      <c r="DE180" s="128"/>
      <c r="DF180" s="128"/>
      <c r="DG180" s="128"/>
      <c r="DH180" s="128"/>
      <c r="DI180" s="128"/>
      <c r="DJ180" s="132"/>
      <c r="DK180" s="116" t="s">
        <v>3936</v>
      </c>
      <c r="DL180" s="128"/>
      <c r="DM180" s="128"/>
      <c r="DN180" s="128"/>
      <c r="DO180" s="128"/>
      <c r="DP180" s="128"/>
      <c r="DQ180" s="132"/>
      <c r="DR180" s="325" t="s">
        <v>3937</v>
      </c>
      <c r="DS180" s="326"/>
      <c r="DT180" s="326"/>
      <c r="DU180" s="326"/>
      <c r="DV180" s="326"/>
      <c r="DW180" s="326"/>
      <c r="DX180" s="327"/>
      <c r="DY180" s="116" t="s">
        <v>3928</v>
      </c>
      <c r="DZ180" s="128"/>
      <c r="EA180" s="128"/>
      <c r="EB180" s="128"/>
      <c r="EC180" s="128"/>
      <c r="ED180" s="128"/>
      <c r="EE180" s="132"/>
      <c r="EF180" s="116" t="s">
        <v>3929</v>
      </c>
      <c r="EG180" s="128"/>
      <c r="EH180" s="128"/>
      <c r="EI180" s="128"/>
      <c r="EJ180" s="128"/>
      <c r="EK180" s="128"/>
      <c r="EL180" s="132"/>
      <c r="EM180" s="116" t="s">
        <v>4084</v>
      </c>
      <c r="EN180" s="128"/>
      <c r="EO180" s="128"/>
      <c r="EP180" s="128"/>
      <c r="EQ180" s="128"/>
      <c r="ER180" s="128"/>
      <c r="ES180" s="132"/>
      <c r="EU180" s="332"/>
      <c r="EV180" s="332"/>
      <c r="EW180" s="116" t="s">
        <v>4085</v>
      </c>
      <c r="EX180" s="128"/>
      <c r="EY180" s="128"/>
      <c r="EZ180" s="132"/>
      <c r="FB180" s="332"/>
      <c r="FC180" s="116" t="s">
        <v>4086</v>
      </c>
      <c r="FD180" s="128"/>
      <c r="FE180" s="128"/>
      <c r="FF180" s="132"/>
      <c r="FH180" s="332"/>
      <c r="FI180" s="116" t="s">
        <v>4087</v>
      </c>
      <c r="FJ180" s="128"/>
      <c r="FK180" s="128"/>
      <c r="FL180" s="132"/>
      <c r="FN180" s="332"/>
      <c r="FO180" s="116" t="s">
        <v>4088</v>
      </c>
      <c r="FP180" s="128"/>
      <c r="FQ180" s="128"/>
      <c r="FR180" s="132"/>
      <c r="FT180" s="332"/>
      <c r="FU180" s="116" t="s">
        <v>4089</v>
      </c>
      <c r="FV180" s="128"/>
      <c r="FW180" s="128"/>
      <c r="FX180" s="132"/>
      <c r="FZ180" s="332"/>
      <c r="GA180" s="116" t="s">
        <v>4090</v>
      </c>
      <c r="GB180" s="128"/>
      <c r="GC180" s="128"/>
      <c r="GD180" s="132"/>
      <c r="GF180" s="332"/>
      <c r="GG180" s="116" t="s">
        <v>4091</v>
      </c>
      <c r="GH180" s="128"/>
      <c r="GI180" s="128"/>
      <c r="GJ180" s="132"/>
      <c r="GL180" s="332"/>
      <c r="GM180" s="116" t="s">
        <v>3941</v>
      </c>
      <c r="GN180" s="128"/>
      <c r="GO180" s="128"/>
      <c r="GP180" s="132"/>
      <c r="GR180" s="332"/>
      <c r="GS180" s="116" t="s">
        <v>3941</v>
      </c>
      <c r="GT180" s="128"/>
      <c r="GU180" s="128"/>
      <c r="GV180" s="132"/>
      <c r="GW180" s="128"/>
      <c r="GX180" s="116" t="s">
        <v>3942</v>
      </c>
      <c r="GY180" s="128"/>
      <c r="GZ180" s="128"/>
      <c r="HA180" s="132"/>
      <c r="HB180" s="116" t="s">
        <v>3943</v>
      </c>
      <c r="HC180" s="128"/>
      <c r="HD180" s="128"/>
      <c r="HE180" s="132"/>
    </row>
    <row r="181" ht="28.2" hidden="1" spans="1:213">
      <c r="A181" s="101" t="s">
        <v>3944</v>
      </c>
      <c r="B181" s="102" t="s">
        <v>207</v>
      </c>
      <c r="C181" s="120" t="s">
        <v>3945</v>
      </c>
      <c r="D181" s="120" t="s">
        <v>3946</v>
      </c>
      <c r="E181" s="313" t="s">
        <v>3947</v>
      </c>
      <c r="F181" s="119" t="s">
        <v>3948</v>
      </c>
      <c r="G181" s="119" t="s">
        <v>3949</v>
      </c>
      <c r="H181" s="119" t="s">
        <v>3950</v>
      </c>
      <c r="I181" s="119" t="s">
        <v>3951</v>
      </c>
      <c r="J181" s="120" t="s">
        <v>3945</v>
      </c>
      <c r="K181" s="120" t="s">
        <v>3946</v>
      </c>
      <c r="L181" s="313" t="s">
        <v>3947</v>
      </c>
      <c r="M181" s="119" t="s">
        <v>3948</v>
      </c>
      <c r="N181" s="119" t="s">
        <v>3949</v>
      </c>
      <c r="O181" s="119" t="s">
        <v>3950</v>
      </c>
      <c r="P181" s="119" t="s">
        <v>3951</v>
      </c>
      <c r="Q181" s="120" t="s">
        <v>3945</v>
      </c>
      <c r="R181" s="120" t="s">
        <v>3946</v>
      </c>
      <c r="S181" s="313" t="s">
        <v>3947</v>
      </c>
      <c r="T181" s="119" t="s">
        <v>3948</v>
      </c>
      <c r="U181" s="119" t="s">
        <v>3949</v>
      </c>
      <c r="V181" s="119" t="s">
        <v>3950</v>
      </c>
      <c r="W181" s="119" t="s">
        <v>3951</v>
      </c>
      <c r="X181" s="120" t="s">
        <v>3952</v>
      </c>
      <c r="Y181" s="120" t="s">
        <v>3953</v>
      </c>
      <c r="Z181" s="313" t="s">
        <v>3947</v>
      </c>
      <c r="AA181" s="119" t="s">
        <v>3948</v>
      </c>
      <c r="AB181" s="119" t="s">
        <v>3949</v>
      </c>
      <c r="AC181" s="119" t="s">
        <v>3950</v>
      </c>
      <c r="AD181" s="119" t="s">
        <v>3951</v>
      </c>
      <c r="AE181" s="120" t="s">
        <v>3954</v>
      </c>
      <c r="AF181" s="120" t="s">
        <v>3955</v>
      </c>
      <c r="AG181" s="313" t="s">
        <v>3947</v>
      </c>
      <c r="AH181" s="119" t="s">
        <v>3948</v>
      </c>
      <c r="AI181" s="119" t="s">
        <v>3949</v>
      </c>
      <c r="AJ181" s="119" t="s">
        <v>3950</v>
      </c>
      <c r="AK181" s="119" t="s">
        <v>3951</v>
      </c>
      <c r="AL181" s="120" t="s">
        <v>3956</v>
      </c>
      <c r="AM181" s="120" t="s">
        <v>3957</v>
      </c>
      <c r="AN181" s="119" t="s">
        <v>3947</v>
      </c>
      <c r="AO181" s="119" t="s">
        <v>3948</v>
      </c>
      <c r="AP181" s="119" t="s">
        <v>3949</v>
      </c>
      <c r="AQ181" s="119" t="s">
        <v>3950</v>
      </c>
      <c r="AR181" s="119" t="s">
        <v>3951</v>
      </c>
      <c r="AS181" s="120" t="s">
        <v>3958</v>
      </c>
      <c r="AT181" s="120" t="s">
        <v>3959</v>
      </c>
      <c r="AU181" s="119" t="s">
        <v>3947</v>
      </c>
      <c r="AV181" s="119" t="s">
        <v>3948</v>
      </c>
      <c r="AW181" s="119" t="s">
        <v>3949</v>
      </c>
      <c r="AX181" s="119" t="s">
        <v>3950</v>
      </c>
      <c r="AY181" s="119" t="s">
        <v>3951</v>
      </c>
      <c r="AZ181" s="120" t="s">
        <v>3960</v>
      </c>
      <c r="BA181" s="120" t="s">
        <v>3961</v>
      </c>
      <c r="BB181" s="119" t="s">
        <v>3947</v>
      </c>
      <c r="BC181" s="119" t="s">
        <v>3948</v>
      </c>
      <c r="BD181" s="119" t="s">
        <v>3949</v>
      </c>
      <c r="BE181" s="119" t="s">
        <v>3950</v>
      </c>
      <c r="BF181" s="119" t="s">
        <v>3951</v>
      </c>
      <c r="BG181" s="120" t="s">
        <v>3962</v>
      </c>
      <c r="BH181" s="120" t="s">
        <v>3963</v>
      </c>
      <c r="BI181" s="119" t="s">
        <v>3947</v>
      </c>
      <c r="BJ181" s="119" t="s">
        <v>3948</v>
      </c>
      <c r="BK181" s="119" t="s">
        <v>3949</v>
      </c>
      <c r="BL181" s="119" t="s">
        <v>3950</v>
      </c>
      <c r="BM181" s="119" t="s">
        <v>3951</v>
      </c>
      <c r="BN181" s="120" t="s">
        <v>3964</v>
      </c>
      <c r="BO181" s="120" t="s">
        <v>3965</v>
      </c>
      <c r="BP181" s="119" t="s">
        <v>3947</v>
      </c>
      <c r="BQ181" s="119" t="s">
        <v>3948</v>
      </c>
      <c r="BR181" s="119" t="s">
        <v>3949</v>
      </c>
      <c r="BS181" s="119" t="s">
        <v>3950</v>
      </c>
      <c r="BT181" s="119" t="s">
        <v>3951</v>
      </c>
      <c r="BU181" s="120" t="s">
        <v>3966</v>
      </c>
      <c r="BV181" s="120" t="s">
        <v>3967</v>
      </c>
      <c r="BW181" s="119" t="s">
        <v>3947</v>
      </c>
      <c r="BX181" s="119" t="s">
        <v>3948</v>
      </c>
      <c r="BY181" s="119" t="s">
        <v>3949</v>
      </c>
      <c r="BZ181" s="119" t="s">
        <v>3950</v>
      </c>
      <c r="CA181" s="119" t="s">
        <v>3951</v>
      </c>
      <c r="CB181" s="120" t="s">
        <v>3968</v>
      </c>
      <c r="CC181" s="120" t="s">
        <v>3969</v>
      </c>
      <c r="CD181" s="119" t="s">
        <v>3947</v>
      </c>
      <c r="CE181" s="119" t="s">
        <v>3948</v>
      </c>
      <c r="CF181" s="119" t="s">
        <v>3949</v>
      </c>
      <c r="CG181" s="119" t="s">
        <v>3950</v>
      </c>
      <c r="CH181" s="119" t="s">
        <v>3951</v>
      </c>
      <c r="CI181" s="120" t="s">
        <v>3970</v>
      </c>
      <c r="CJ181" s="120" t="s">
        <v>3971</v>
      </c>
      <c r="CK181" s="119" t="s">
        <v>3947</v>
      </c>
      <c r="CL181" s="119" t="s">
        <v>3948</v>
      </c>
      <c r="CM181" s="119" t="s">
        <v>3949</v>
      </c>
      <c r="CN181" s="119" t="s">
        <v>3950</v>
      </c>
      <c r="CO181" s="119" t="s">
        <v>3951</v>
      </c>
      <c r="CP181" s="120" t="s">
        <v>3972</v>
      </c>
      <c r="CQ181" s="120" t="s">
        <v>3973</v>
      </c>
      <c r="CR181" s="119" t="s">
        <v>3947</v>
      </c>
      <c r="CS181" s="119" t="s">
        <v>3948</v>
      </c>
      <c r="CT181" s="119" t="s">
        <v>3949</v>
      </c>
      <c r="CU181" s="119" t="s">
        <v>3950</v>
      </c>
      <c r="CV181" s="119" t="s">
        <v>3951</v>
      </c>
      <c r="CW181" s="120" t="s">
        <v>3974</v>
      </c>
      <c r="CX181" s="120" t="s">
        <v>3975</v>
      </c>
      <c r="CY181" s="119" t="s">
        <v>3947</v>
      </c>
      <c r="CZ181" s="119" t="s">
        <v>3948</v>
      </c>
      <c r="DA181" s="119" t="s">
        <v>3949</v>
      </c>
      <c r="DB181" s="119" t="s">
        <v>3950</v>
      </c>
      <c r="DC181" s="119" t="s">
        <v>3951</v>
      </c>
      <c r="DD181" s="120" t="s">
        <v>3974</v>
      </c>
      <c r="DE181" s="120" t="s">
        <v>3975</v>
      </c>
      <c r="DF181" s="119" t="s">
        <v>3947</v>
      </c>
      <c r="DG181" s="119" t="s">
        <v>3948</v>
      </c>
      <c r="DH181" s="119" t="s">
        <v>3949</v>
      </c>
      <c r="DI181" s="119" t="s">
        <v>3950</v>
      </c>
      <c r="DJ181" s="119" t="s">
        <v>3951</v>
      </c>
      <c r="DK181" s="120" t="s">
        <v>3976</v>
      </c>
      <c r="DL181" s="120" t="s">
        <v>3977</v>
      </c>
      <c r="DM181" s="119" t="s">
        <v>3947</v>
      </c>
      <c r="DN181" s="119" t="s">
        <v>3948</v>
      </c>
      <c r="DO181" s="119" t="s">
        <v>3949</v>
      </c>
      <c r="DP181" s="119" t="s">
        <v>3950</v>
      </c>
      <c r="DQ181" s="119" t="s">
        <v>3951</v>
      </c>
      <c r="DR181" s="328" t="s">
        <v>3978</v>
      </c>
      <c r="DS181" s="328" t="s">
        <v>3979</v>
      </c>
      <c r="DT181" s="313" t="s">
        <v>3947</v>
      </c>
      <c r="DU181" s="313" t="s">
        <v>3948</v>
      </c>
      <c r="DV181" s="313" t="s">
        <v>3949</v>
      </c>
      <c r="DW181" s="313" t="s">
        <v>3950</v>
      </c>
      <c r="DX181" s="313" t="s">
        <v>3951</v>
      </c>
      <c r="DY181" s="120" t="s">
        <v>3980</v>
      </c>
      <c r="DZ181" s="120" t="s">
        <v>3981</v>
      </c>
      <c r="EA181" s="119" t="s">
        <v>3947</v>
      </c>
      <c r="EB181" s="119" t="s">
        <v>3948</v>
      </c>
      <c r="EC181" s="119" t="s">
        <v>3949</v>
      </c>
      <c r="ED181" s="119" t="s">
        <v>3950</v>
      </c>
      <c r="EE181" s="119" t="s">
        <v>3951</v>
      </c>
      <c r="EF181" s="120" t="s">
        <v>3982</v>
      </c>
      <c r="EG181" s="120" t="s">
        <v>3983</v>
      </c>
      <c r="EH181" s="119" t="s">
        <v>3947</v>
      </c>
      <c r="EI181" s="119" t="s">
        <v>3948</v>
      </c>
      <c r="EJ181" s="119" t="s">
        <v>3949</v>
      </c>
      <c r="EK181" s="119" t="s">
        <v>3950</v>
      </c>
      <c r="EL181" s="119" t="s">
        <v>3951</v>
      </c>
      <c r="EM181" s="120" t="s">
        <v>3984</v>
      </c>
      <c r="EN181" s="120" t="s">
        <v>3985</v>
      </c>
      <c r="EO181" s="120"/>
      <c r="EP181" s="119" t="s">
        <v>3948</v>
      </c>
      <c r="EQ181" s="119" t="s">
        <v>3949</v>
      </c>
      <c r="ER181" s="119" t="s">
        <v>3950</v>
      </c>
      <c r="ES181" s="119" t="s">
        <v>3951</v>
      </c>
      <c r="ET181" s="120" t="s">
        <v>4619</v>
      </c>
      <c r="EU181" s="120" t="s">
        <v>4620</v>
      </c>
      <c r="EV181" s="120"/>
      <c r="EW181" s="119" t="s">
        <v>3948</v>
      </c>
      <c r="EX181" s="119" t="s">
        <v>3949</v>
      </c>
      <c r="EY181" s="119" t="s">
        <v>3950</v>
      </c>
      <c r="EZ181" s="119" t="s">
        <v>3951</v>
      </c>
      <c r="FA181" s="120" t="s">
        <v>3988</v>
      </c>
      <c r="FB181" s="120" t="s">
        <v>3989</v>
      </c>
      <c r="FC181" s="119" t="s">
        <v>3948</v>
      </c>
      <c r="FD181" s="119" t="s">
        <v>3949</v>
      </c>
      <c r="FE181" s="119" t="s">
        <v>3950</v>
      </c>
      <c r="FF181" s="119" t="s">
        <v>3951</v>
      </c>
      <c r="FG181" s="120" t="s">
        <v>3990</v>
      </c>
      <c r="FH181" s="120" t="s">
        <v>3991</v>
      </c>
      <c r="FI181" s="119" t="s">
        <v>3948</v>
      </c>
      <c r="FJ181" s="119" t="s">
        <v>3949</v>
      </c>
      <c r="FK181" s="119" t="s">
        <v>3950</v>
      </c>
      <c r="FL181" s="119" t="s">
        <v>3951</v>
      </c>
      <c r="FM181" s="120" t="s">
        <v>3992</v>
      </c>
      <c r="FN181" s="120" t="s">
        <v>3993</v>
      </c>
      <c r="FO181" s="119" t="s">
        <v>3948</v>
      </c>
      <c r="FP181" s="119" t="s">
        <v>3949</v>
      </c>
      <c r="FQ181" s="119" t="s">
        <v>3950</v>
      </c>
      <c r="FR181" s="119" t="s">
        <v>3951</v>
      </c>
      <c r="FS181" s="120" t="s">
        <v>3994</v>
      </c>
      <c r="FT181" s="120" t="s">
        <v>3995</v>
      </c>
      <c r="FU181" s="119" t="s">
        <v>3948</v>
      </c>
      <c r="FV181" s="119" t="s">
        <v>3949</v>
      </c>
      <c r="FW181" s="119" t="s">
        <v>3950</v>
      </c>
      <c r="FX181" s="119" t="s">
        <v>3951</v>
      </c>
      <c r="FY181" s="120" t="s">
        <v>3996</v>
      </c>
      <c r="FZ181" s="120" t="s">
        <v>3997</v>
      </c>
      <c r="GA181" s="119" t="s">
        <v>3948</v>
      </c>
      <c r="GB181" s="119" t="s">
        <v>3949</v>
      </c>
      <c r="GC181" s="119" t="s">
        <v>3950</v>
      </c>
      <c r="GD181" s="119" t="s">
        <v>3951</v>
      </c>
      <c r="GE181" s="120" t="s">
        <v>3998</v>
      </c>
      <c r="GF181" s="120" t="s">
        <v>3999</v>
      </c>
      <c r="GG181" s="119" t="s">
        <v>3948</v>
      </c>
      <c r="GH181" s="119" t="s">
        <v>3949</v>
      </c>
      <c r="GI181" s="119" t="s">
        <v>3950</v>
      </c>
      <c r="GJ181" s="119" t="s">
        <v>3951</v>
      </c>
      <c r="GK181" s="120" t="s">
        <v>4000</v>
      </c>
      <c r="GL181" s="120" t="s">
        <v>4001</v>
      </c>
      <c r="GM181" s="119" t="s">
        <v>3948</v>
      </c>
      <c r="GN181" s="119" t="s">
        <v>3949</v>
      </c>
      <c r="GO181" s="119" t="s">
        <v>3950</v>
      </c>
      <c r="GP181" s="119" t="s">
        <v>3951</v>
      </c>
      <c r="GQ181" s="120" t="s">
        <v>4002</v>
      </c>
      <c r="GR181" s="120" t="s">
        <v>4003</v>
      </c>
      <c r="GS181" s="119" t="s">
        <v>3948</v>
      </c>
      <c r="GT181" s="119" t="s">
        <v>3949</v>
      </c>
      <c r="GU181" s="119" t="s">
        <v>3950</v>
      </c>
      <c r="GV181" s="119" t="s">
        <v>3951</v>
      </c>
      <c r="GW181" s="119"/>
      <c r="GX181" s="119" t="s">
        <v>3948</v>
      </c>
      <c r="GY181" s="119" t="s">
        <v>3949</v>
      </c>
      <c r="GZ181" s="119" t="s">
        <v>3950</v>
      </c>
      <c r="HA181" s="119" t="s">
        <v>3951</v>
      </c>
      <c r="HB181" s="119" t="s">
        <v>3948</v>
      </c>
      <c r="HC181" s="119" t="s">
        <v>3949</v>
      </c>
      <c r="HD181" s="119" t="s">
        <v>3950</v>
      </c>
      <c r="HE181" s="119" t="s">
        <v>3951</v>
      </c>
    </row>
    <row r="182" hidden="1" spans="1:186">
      <c r="A182" s="142" t="s">
        <v>243</v>
      </c>
      <c r="B182" s="108" t="s">
        <v>613</v>
      </c>
      <c r="F182" s="89">
        <v>5</v>
      </c>
      <c r="G182" s="89">
        <v>5</v>
      </c>
      <c r="H182" s="89">
        <v>4</v>
      </c>
      <c r="I182" s="89">
        <v>3</v>
      </c>
      <c r="M182" s="89">
        <v>5</v>
      </c>
      <c r="N182" s="89">
        <v>5</v>
      </c>
      <c r="O182" s="89">
        <v>4</v>
      </c>
      <c r="P182" s="89">
        <v>3</v>
      </c>
      <c r="T182" s="89">
        <v>5</v>
      </c>
      <c r="U182" s="89">
        <v>5</v>
      </c>
      <c r="V182" s="89">
        <v>4</v>
      </c>
      <c r="W182" s="89">
        <v>3</v>
      </c>
      <c r="AA182" s="89">
        <v>5</v>
      </c>
      <c r="AB182" s="89">
        <v>5</v>
      </c>
      <c r="AC182" s="89">
        <v>4</v>
      </c>
      <c r="AD182" s="89">
        <v>3</v>
      </c>
      <c r="AH182" s="89">
        <v>5</v>
      </c>
      <c r="AI182" s="89">
        <v>5</v>
      </c>
      <c r="AJ182" s="89">
        <v>4</v>
      </c>
      <c r="AK182" s="89">
        <v>3</v>
      </c>
      <c r="AO182" s="89">
        <v>5</v>
      </c>
      <c r="AP182" s="89">
        <v>5</v>
      </c>
      <c r="AQ182" s="89">
        <v>4</v>
      </c>
      <c r="AR182" s="89">
        <v>3</v>
      </c>
      <c r="AV182" s="89">
        <v>5</v>
      </c>
      <c r="AW182" s="89">
        <v>5</v>
      </c>
      <c r="AX182" s="89">
        <v>4</v>
      </c>
      <c r="AY182" s="89">
        <v>3</v>
      </c>
      <c r="BC182" s="89">
        <v>5</v>
      </c>
      <c r="BD182" s="89">
        <v>5</v>
      </c>
      <c r="BE182" s="89">
        <v>4</v>
      </c>
      <c r="BF182" s="89">
        <v>3</v>
      </c>
      <c r="BJ182" s="89">
        <v>5</v>
      </c>
      <c r="BK182" s="89">
        <v>5</v>
      </c>
      <c r="BL182" s="89">
        <v>4</v>
      </c>
      <c r="BM182" s="89">
        <v>3</v>
      </c>
      <c r="BQ182" s="89">
        <v>5</v>
      </c>
      <c r="BR182" s="89">
        <v>5</v>
      </c>
      <c r="BS182" s="89">
        <v>4</v>
      </c>
      <c r="BT182" s="89">
        <v>3</v>
      </c>
      <c r="BX182" s="89">
        <v>5</v>
      </c>
      <c r="BY182" s="89">
        <v>5</v>
      </c>
      <c r="BZ182" s="89">
        <v>4</v>
      </c>
      <c r="CA182" s="89">
        <v>3</v>
      </c>
      <c r="CE182" s="89">
        <v>5</v>
      </c>
      <c r="CF182" s="89">
        <v>5</v>
      </c>
      <c r="CG182" s="89">
        <v>4</v>
      </c>
      <c r="CH182" s="89">
        <v>3</v>
      </c>
      <c r="CL182" s="89">
        <v>5</v>
      </c>
      <c r="CM182" s="89">
        <v>5</v>
      </c>
      <c r="CN182" s="89">
        <v>4</v>
      </c>
      <c r="CO182" s="89">
        <v>3</v>
      </c>
      <c r="CS182" s="89">
        <v>5</v>
      </c>
      <c r="CT182" s="89">
        <v>5</v>
      </c>
      <c r="CU182" s="89">
        <v>4</v>
      </c>
      <c r="CV182" s="89">
        <v>3</v>
      </c>
      <c r="CZ182" s="89">
        <v>5</v>
      </c>
      <c r="DA182" s="89">
        <v>5</v>
      </c>
      <c r="DB182" s="89">
        <v>4</v>
      </c>
      <c r="DC182" s="89">
        <v>3</v>
      </c>
      <c r="DG182" s="89">
        <v>5</v>
      </c>
      <c r="DH182" s="89">
        <v>5</v>
      </c>
      <c r="DI182" s="89">
        <v>4</v>
      </c>
      <c r="DJ182" s="89">
        <v>3</v>
      </c>
      <c r="DN182" s="89">
        <v>5</v>
      </c>
      <c r="DO182" s="89">
        <v>5</v>
      </c>
      <c r="DP182" s="89">
        <v>4</v>
      </c>
      <c r="DQ182" s="89">
        <v>3</v>
      </c>
      <c r="DU182" s="188">
        <v>5</v>
      </c>
      <c r="DV182" s="188">
        <v>5</v>
      </c>
      <c r="DW182" s="88">
        <v>4</v>
      </c>
      <c r="DX182" s="88">
        <v>3</v>
      </c>
      <c r="EB182" s="89">
        <v>5</v>
      </c>
      <c r="EC182" s="89">
        <v>5</v>
      </c>
      <c r="ED182" s="88">
        <v>3</v>
      </c>
      <c r="EE182" s="88">
        <v>2</v>
      </c>
      <c r="EI182" s="89">
        <v>5</v>
      </c>
      <c r="EJ182" s="89">
        <v>5</v>
      </c>
      <c r="EK182" s="89">
        <v>4</v>
      </c>
      <c r="EL182" s="89">
        <v>3</v>
      </c>
      <c r="EP182" s="89">
        <v>5</v>
      </c>
      <c r="EQ182" s="89">
        <v>5</v>
      </c>
      <c r="ER182" s="89">
        <v>4</v>
      </c>
      <c r="ES182" s="89">
        <v>3</v>
      </c>
      <c r="EW182" s="89">
        <v>5</v>
      </c>
      <c r="EX182" s="89">
        <v>5</v>
      </c>
      <c r="EY182" s="89">
        <v>3</v>
      </c>
      <c r="EZ182" s="89">
        <v>2</v>
      </c>
      <c r="FC182" s="89">
        <v>5</v>
      </c>
      <c r="FD182" s="89">
        <v>5</v>
      </c>
      <c r="FE182" s="89">
        <v>5</v>
      </c>
      <c r="FF182" s="89">
        <v>2</v>
      </c>
      <c r="FI182" s="89">
        <v>5</v>
      </c>
      <c r="FJ182" s="89">
        <v>5</v>
      </c>
      <c r="FK182" s="89">
        <v>5</v>
      </c>
      <c r="FL182" s="89">
        <v>2</v>
      </c>
      <c r="FO182" s="89">
        <v>5</v>
      </c>
      <c r="FP182" s="89">
        <v>5</v>
      </c>
      <c r="FQ182" s="89">
        <v>5</v>
      </c>
      <c r="FR182" s="89">
        <v>2</v>
      </c>
      <c r="FU182" s="89">
        <v>5</v>
      </c>
      <c r="FV182" s="89">
        <v>5</v>
      </c>
      <c r="FW182" s="89">
        <v>5</v>
      </c>
      <c r="FX182" s="89">
        <v>2</v>
      </c>
      <c r="GA182" s="89">
        <v>5</v>
      </c>
      <c r="GB182" s="89">
        <v>5</v>
      </c>
      <c r="GC182" s="89">
        <v>5</v>
      </c>
      <c r="GD182" s="89">
        <v>2</v>
      </c>
    </row>
    <row r="183" ht="43.2" hidden="1" spans="1:186">
      <c r="A183" s="89" t="s">
        <v>230</v>
      </c>
      <c r="B183" s="108" t="s">
        <v>614</v>
      </c>
      <c r="F183" s="89">
        <v>2</v>
      </c>
      <c r="G183" s="89">
        <v>1</v>
      </c>
      <c r="H183" s="89">
        <v>1</v>
      </c>
      <c r="I183" s="89">
        <v>1</v>
      </c>
      <c r="M183" s="89">
        <v>2</v>
      </c>
      <c r="N183" s="89">
        <v>1</v>
      </c>
      <c r="O183" s="89">
        <v>1</v>
      </c>
      <c r="P183" s="89">
        <v>1</v>
      </c>
      <c r="T183" s="89">
        <v>2</v>
      </c>
      <c r="U183" s="89">
        <v>1</v>
      </c>
      <c r="V183" s="89">
        <v>1</v>
      </c>
      <c r="W183" s="89">
        <v>1</v>
      </c>
      <c r="AA183" s="89">
        <v>2</v>
      </c>
      <c r="AB183" s="89">
        <v>1</v>
      </c>
      <c r="AC183" s="89">
        <v>1</v>
      </c>
      <c r="AD183" s="89">
        <v>1</v>
      </c>
      <c r="AH183" s="89">
        <v>2</v>
      </c>
      <c r="AI183" s="89">
        <v>1</v>
      </c>
      <c r="AJ183" s="89">
        <v>1</v>
      </c>
      <c r="AK183" s="89">
        <v>1</v>
      </c>
      <c r="AO183" s="89">
        <v>2</v>
      </c>
      <c r="AP183" s="89">
        <v>1</v>
      </c>
      <c r="AQ183" s="89">
        <v>1</v>
      </c>
      <c r="AR183" s="89">
        <v>1</v>
      </c>
      <c r="AV183" s="89">
        <v>2</v>
      </c>
      <c r="AW183" s="89">
        <v>1</v>
      </c>
      <c r="AX183" s="89">
        <v>1</v>
      </c>
      <c r="AY183" s="89">
        <v>1</v>
      </c>
      <c r="BC183" s="89">
        <v>2</v>
      </c>
      <c r="BD183" s="89">
        <v>1</v>
      </c>
      <c r="BE183" s="89">
        <v>1</v>
      </c>
      <c r="BF183" s="89">
        <v>1</v>
      </c>
      <c r="BJ183" s="89">
        <v>2</v>
      </c>
      <c r="BK183" s="89">
        <v>1</v>
      </c>
      <c r="BL183" s="89">
        <v>1</v>
      </c>
      <c r="BM183" s="89">
        <v>1</v>
      </c>
      <c r="BQ183" s="89">
        <v>2</v>
      </c>
      <c r="BR183" s="89">
        <v>1</v>
      </c>
      <c r="BS183" s="89">
        <v>1</v>
      </c>
      <c r="BT183" s="89">
        <v>1</v>
      </c>
      <c r="BX183" s="89">
        <v>2</v>
      </c>
      <c r="BY183" s="89">
        <v>1</v>
      </c>
      <c r="BZ183" s="89">
        <v>1</v>
      </c>
      <c r="CA183" s="89">
        <v>1</v>
      </c>
      <c r="CE183" s="89">
        <v>2</v>
      </c>
      <c r="CF183" s="89">
        <v>1</v>
      </c>
      <c r="CG183" s="89">
        <v>1</v>
      </c>
      <c r="CH183" s="89">
        <v>1</v>
      </c>
      <c r="CL183" s="89">
        <v>2</v>
      </c>
      <c r="CM183" s="89">
        <v>1</v>
      </c>
      <c r="CN183" s="89">
        <v>1</v>
      </c>
      <c r="CO183" s="89">
        <v>1</v>
      </c>
      <c r="CS183" s="89">
        <v>2</v>
      </c>
      <c r="CT183" s="89">
        <v>1</v>
      </c>
      <c r="CU183" s="89">
        <v>1</v>
      </c>
      <c r="CV183" s="89">
        <v>1</v>
      </c>
      <c r="CW183" s="95" t="s">
        <v>4628</v>
      </c>
      <c r="CZ183" s="89">
        <v>2</v>
      </c>
      <c r="DA183" s="89">
        <v>1</v>
      </c>
      <c r="DB183" s="89">
        <v>1</v>
      </c>
      <c r="DC183" s="89">
        <v>1</v>
      </c>
      <c r="DD183" s="95" t="s">
        <v>4628</v>
      </c>
      <c r="DG183" s="89">
        <v>2</v>
      </c>
      <c r="DH183" s="89">
        <v>1</v>
      </c>
      <c r="DI183" s="89">
        <v>1</v>
      </c>
      <c r="DJ183" s="89">
        <v>1</v>
      </c>
      <c r="DK183" s="95" t="s">
        <v>4628</v>
      </c>
      <c r="DN183" s="89">
        <v>2</v>
      </c>
      <c r="DO183" s="89">
        <v>1</v>
      </c>
      <c r="DP183" s="89">
        <v>1</v>
      </c>
      <c r="DQ183" s="89">
        <v>1</v>
      </c>
      <c r="DR183" s="126" t="s">
        <v>4629</v>
      </c>
      <c r="DU183" s="188">
        <v>2</v>
      </c>
      <c r="DV183" s="88">
        <v>1</v>
      </c>
      <c r="DW183" s="88">
        <v>1</v>
      </c>
      <c r="DX183" s="88">
        <v>1</v>
      </c>
      <c r="DY183" s="126" t="s">
        <v>4630</v>
      </c>
      <c r="EB183" s="89">
        <v>2</v>
      </c>
      <c r="EC183" s="88">
        <v>2</v>
      </c>
      <c r="ED183" s="88">
        <v>2</v>
      </c>
      <c r="EE183" s="88">
        <v>2</v>
      </c>
      <c r="EF183" s="95" t="s">
        <v>4631</v>
      </c>
      <c r="EI183" s="89">
        <v>2</v>
      </c>
      <c r="EJ183" s="89">
        <v>1</v>
      </c>
      <c r="EK183" s="89">
        <v>1</v>
      </c>
      <c r="EL183" s="89">
        <v>1</v>
      </c>
      <c r="EM183" s="95" t="s">
        <v>4631</v>
      </c>
      <c r="EP183" s="89">
        <v>2</v>
      </c>
      <c r="EQ183" s="89">
        <v>1</v>
      </c>
      <c r="ER183" s="89">
        <v>1</v>
      </c>
      <c r="ES183" s="89">
        <v>1</v>
      </c>
      <c r="ET183" s="95" t="s">
        <v>4631</v>
      </c>
      <c r="EW183" s="89">
        <v>1</v>
      </c>
      <c r="EX183" s="89">
        <v>1</v>
      </c>
      <c r="EY183" s="89">
        <v>1</v>
      </c>
      <c r="EZ183" s="89">
        <v>1</v>
      </c>
      <c r="FA183" s="95" t="s">
        <v>4631</v>
      </c>
      <c r="FC183" s="89">
        <v>1</v>
      </c>
      <c r="FD183" s="89">
        <v>1</v>
      </c>
      <c r="FE183" s="89">
        <v>1</v>
      </c>
      <c r="FF183" s="89">
        <v>1</v>
      </c>
      <c r="FG183" s="126" t="s">
        <v>4632</v>
      </c>
      <c r="FI183" s="89">
        <v>1</v>
      </c>
      <c r="FJ183" s="89">
        <v>1</v>
      </c>
      <c r="FK183" s="89">
        <v>1</v>
      </c>
      <c r="FL183" s="89">
        <v>1</v>
      </c>
      <c r="FO183" s="89">
        <v>1</v>
      </c>
      <c r="FP183" s="89">
        <v>1</v>
      </c>
      <c r="FQ183" s="89">
        <v>1</v>
      </c>
      <c r="FR183" s="89">
        <v>1</v>
      </c>
      <c r="FU183" s="89">
        <v>1</v>
      </c>
      <c r="FV183" s="89">
        <v>1</v>
      </c>
      <c r="FW183" s="89">
        <v>1</v>
      </c>
      <c r="FX183" s="89">
        <v>1</v>
      </c>
      <c r="GA183" s="89">
        <v>1</v>
      </c>
      <c r="GB183" s="89">
        <v>1</v>
      </c>
      <c r="GC183" s="89">
        <v>1</v>
      </c>
      <c r="GD183" s="89">
        <v>1</v>
      </c>
    </row>
    <row r="184" hidden="1" spans="2:186">
      <c r="B184" s="91" t="s">
        <v>615</v>
      </c>
      <c r="F184" s="89">
        <v>3</v>
      </c>
      <c r="G184" s="89">
        <v>3</v>
      </c>
      <c r="H184" s="89">
        <v>4</v>
      </c>
      <c r="I184" s="89">
        <v>4</v>
      </c>
      <c r="M184" s="89">
        <v>3</v>
      </c>
      <c r="N184" s="89">
        <v>3</v>
      </c>
      <c r="O184" s="89">
        <v>4</v>
      </c>
      <c r="P184" s="89">
        <v>4</v>
      </c>
      <c r="T184" s="89">
        <v>3</v>
      </c>
      <c r="U184" s="89">
        <v>3</v>
      </c>
      <c r="V184" s="89">
        <v>4</v>
      </c>
      <c r="W184" s="89">
        <v>4</v>
      </c>
      <c r="AA184" s="89">
        <v>3</v>
      </c>
      <c r="AB184" s="89">
        <v>3</v>
      </c>
      <c r="AC184" s="89">
        <v>4</v>
      </c>
      <c r="AD184" s="89">
        <v>4</v>
      </c>
      <c r="AH184" s="89">
        <v>3</v>
      </c>
      <c r="AI184" s="89">
        <v>3</v>
      </c>
      <c r="AJ184" s="89">
        <v>4</v>
      </c>
      <c r="AK184" s="89">
        <v>4</v>
      </c>
      <c r="AO184" s="89">
        <v>3</v>
      </c>
      <c r="AP184" s="89">
        <v>3</v>
      </c>
      <c r="AQ184" s="89">
        <v>4</v>
      </c>
      <c r="AR184" s="89">
        <v>4</v>
      </c>
      <c r="AV184" s="89">
        <v>3</v>
      </c>
      <c r="AW184" s="89">
        <v>3</v>
      </c>
      <c r="AX184" s="89">
        <v>4</v>
      </c>
      <c r="AY184" s="89">
        <v>4</v>
      </c>
      <c r="BC184" s="89">
        <v>3</v>
      </c>
      <c r="BD184" s="89">
        <v>3</v>
      </c>
      <c r="BE184" s="89">
        <v>4</v>
      </c>
      <c r="BF184" s="89">
        <v>4</v>
      </c>
      <c r="BJ184" s="89">
        <v>3</v>
      </c>
      <c r="BK184" s="89">
        <v>3</v>
      </c>
      <c r="BL184" s="89">
        <v>4</v>
      </c>
      <c r="BM184" s="89">
        <v>4</v>
      </c>
      <c r="BQ184" s="89">
        <v>3</v>
      </c>
      <c r="BR184" s="89">
        <v>3</v>
      </c>
      <c r="BS184" s="89">
        <v>4</v>
      </c>
      <c r="BT184" s="89">
        <v>4</v>
      </c>
      <c r="BX184" s="89">
        <v>3</v>
      </c>
      <c r="BY184" s="89">
        <v>3</v>
      </c>
      <c r="BZ184" s="89">
        <v>4</v>
      </c>
      <c r="CA184" s="89">
        <v>4</v>
      </c>
      <c r="CE184" s="89">
        <v>3</v>
      </c>
      <c r="CF184" s="89">
        <v>3</v>
      </c>
      <c r="CG184" s="89">
        <v>4</v>
      </c>
      <c r="CH184" s="89">
        <v>4</v>
      </c>
      <c r="CL184" s="89">
        <v>3</v>
      </c>
      <c r="CM184" s="89">
        <v>3</v>
      </c>
      <c r="CN184" s="89">
        <v>4</v>
      </c>
      <c r="CO184" s="89">
        <v>4</v>
      </c>
      <c r="CS184" s="89">
        <v>3</v>
      </c>
      <c r="CT184" s="89">
        <v>3</v>
      </c>
      <c r="CU184" s="89">
        <v>4</v>
      </c>
      <c r="CV184" s="89">
        <v>4</v>
      </c>
      <c r="CZ184" s="89">
        <v>3</v>
      </c>
      <c r="DA184" s="89">
        <v>3</v>
      </c>
      <c r="DB184" s="89">
        <v>4</v>
      </c>
      <c r="DC184" s="89">
        <v>4</v>
      </c>
      <c r="DG184" s="89">
        <v>3</v>
      </c>
      <c r="DH184" s="89">
        <v>3</v>
      </c>
      <c r="DI184" s="89">
        <v>4</v>
      </c>
      <c r="DJ184" s="89">
        <v>4</v>
      </c>
      <c r="DN184" s="89">
        <v>3</v>
      </c>
      <c r="DO184" s="89">
        <v>3</v>
      </c>
      <c r="DP184" s="89">
        <v>4</v>
      </c>
      <c r="DQ184" s="89">
        <v>4</v>
      </c>
      <c r="DU184" s="188">
        <v>3</v>
      </c>
      <c r="DV184" s="188">
        <v>3</v>
      </c>
      <c r="DW184" s="88">
        <v>4</v>
      </c>
      <c r="DX184" s="88">
        <v>4</v>
      </c>
      <c r="EB184" s="89">
        <v>3</v>
      </c>
      <c r="EC184" s="89">
        <v>3</v>
      </c>
      <c r="ED184" s="88">
        <v>3</v>
      </c>
      <c r="EE184" s="88">
        <v>3</v>
      </c>
      <c r="EI184" s="89">
        <v>3</v>
      </c>
      <c r="EJ184" s="89">
        <v>3</v>
      </c>
      <c r="EK184" s="89">
        <v>4</v>
      </c>
      <c r="EL184" s="89">
        <v>4</v>
      </c>
      <c r="EP184" s="89">
        <v>3</v>
      </c>
      <c r="EQ184" s="89">
        <v>3</v>
      </c>
      <c r="ER184" s="89">
        <v>4</v>
      </c>
      <c r="ES184" s="89">
        <v>4</v>
      </c>
      <c r="EW184" s="89">
        <v>3</v>
      </c>
      <c r="EX184" s="89">
        <v>3</v>
      </c>
      <c r="EY184" s="89">
        <v>3</v>
      </c>
      <c r="EZ184" s="89">
        <v>3</v>
      </c>
      <c r="FC184" s="89">
        <v>3</v>
      </c>
      <c r="FD184" s="89">
        <v>3</v>
      </c>
      <c r="FE184" s="89">
        <v>4</v>
      </c>
      <c r="FF184" s="89">
        <v>3</v>
      </c>
      <c r="FI184" s="89">
        <v>3</v>
      </c>
      <c r="FJ184" s="89">
        <v>3</v>
      </c>
      <c r="FK184" s="89">
        <v>4</v>
      </c>
      <c r="FL184" s="89">
        <v>3</v>
      </c>
      <c r="FO184" s="89">
        <v>3</v>
      </c>
      <c r="FP184" s="89">
        <v>3</v>
      </c>
      <c r="FQ184" s="89">
        <v>4</v>
      </c>
      <c r="FR184" s="89">
        <v>3</v>
      </c>
      <c r="FU184" s="89">
        <v>3</v>
      </c>
      <c r="FV184" s="89">
        <v>3</v>
      </c>
      <c r="FW184" s="89">
        <v>4</v>
      </c>
      <c r="FX184" s="89">
        <v>3</v>
      </c>
      <c r="GA184" s="89">
        <v>3</v>
      </c>
      <c r="GB184" s="89">
        <v>3</v>
      </c>
      <c r="GC184" s="89">
        <v>4</v>
      </c>
      <c r="GD184" s="89">
        <v>3</v>
      </c>
    </row>
    <row r="185" hidden="1" spans="2:2">
      <c r="B185" s="143" t="s">
        <v>616</v>
      </c>
    </row>
    <row r="186" hidden="1" spans="1:186">
      <c r="A186" s="89" t="s">
        <v>446</v>
      </c>
      <c r="B186" s="144" t="s">
        <v>617</v>
      </c>
      <c r="F186" s="89">
        <v>1</v>
      </c>
      <c r="G186" s="89">
        <v>2</v>
      </c>
      <c r="H186" s="89">
        <v>2</v>
      </c>
      <c r="I186" s="89">
        <v>2</v>
      </c>
      <c r="M186" s="89">
        <v>1</v>
      </c>
      <c r="N186" s="89">
        <v>2</v>
      </c>
      <c r="O186" s="89">
        <v>2</v>
      </c>
      <c r="P186" s="89">
        <v>2</v>
      </c>
      <c r="T186" s="89">
        <v>1</v>
      </c>
      <c r="U186" s="89">
        <v>2</v>
      </c>
      <c r="V186" s="89">
        <v>2</v>
      </c>
      <c r="W186" s="89">
        <v>2</v>
      </c>
      <c r="AA186" s="89">
        <v>1</v>
      </c>
      <c r="AB186" s="89">
        <v>2</v>
      </c>
      <c r="AC186" s="89">
        <v>2</v>
      </c>
      <c r="AD186" s="89">
        <v>2</v>
      </c>
      <c r="AH186" s="89">
        <v>1</v>
      </c>
      <c r="AI186" s="89">
        <v>2</v>
      </c>
      <c r="AJ186" s="89">
        <v>2</v>
      </c>
      <c r="AK186" s="89">
        <v>2</v>
      </c>
      <c r="AO186" s="89">
        <v>1</v>
      </c>
      <c r="AP186" s="89">
        <v>2</v>
      </c>
      <c r="AQ186" s="89">
        <v>2</v>
      </c>
      <c r="AR186" s="89">
        <v>2</v>
      </c>
      <c r="AV186" s="89">
        <v>1</v>
      </c>
      <c r="AW186" s="89">
        <v>2</v>
      </c>
      <c r="AX186" s="89">
        <v>2</v>
      </c>
      <c r="AY186" s="89">
        <v>2</v>
      </c>
      <c r="BC186" s="89">
        <v>1</v>
      </c>
      <c r="BD186" s="89">
        <v>2</v>
      </c>
      <c r="BE186" s="89">
        <v>2</v>
      </c>
      <c r="BF186" s="89">
        <v>2</v>
      </c>
      <c r="BJ186" s="89">
        <v>1</v>
      </c>
      <c r="BK186" s="89">
        <v>2</v>
      </c>
      <c r="BL186" s="89">
        <v>2</v>
      </c>
      <c r="BM186" s="89">
        <v>2</v>
      </c>
      <c r="BQ186" s="89">
        <v>1</v>
      </c>
      <c r="BR186" s="89">
        <v>2</v>
      </c>
      <c r="BS186" s="89">
        <v>2</v>
      </c>
      <c r="BT186" s="89">
        <v>2</v>
      </c>
      <c r="BX186" s="89">
        <v>1</v>
      </c>
      <c r="BY186" s="89">
        <v>2</v>
      </c>
      <c r="BZ186" s="89">
        <v>2</v>
      </c>
      <c r="CA186" s="89">
        <v>2</v>
      </c>
      <c r="CE186" s="89">
        <v>1</v>
      </c>
      <c r="CF186" s="89">
        <v>2</v>
      </c>
      <c r="CG186" s="89">
        <v>2</v>
      </c>
      <c r="CH186" s="89">
        <v>2</v>
      </c>
      <c r="CL186" s="89">
        <v>1</v>
      </c>
      <c r="CM186" s="89">
        <v>2</v>
      </c>
      <c r="CN186" s="89">
        <v>2</v>
      </c>
      <c r="CO186" s="89">
        <v>2</v>
      </c>
      <c r="CS186" s="89">
        <v>1</v>
      </c>
      <c r="CT186" s="89">
        <v>2</v>
      </c>
      <c r="CU186" s="89">
        <v>2</v>
      </c>
      <c r="CV186" s="89">
        <v>2</v>
      </c>
      <c r="CW186" s="95" t="s">
        <v>4633</v>
      </c>
      <c r="CZ186" s="89">
        <v>1</v>
      </c>
      <c r="DA186" s="89">
        <v>2</v>
      </c>
      <c r="DB186" s="89">
        <v>2</v>
      </c>
      <c r="DC186" s="89">
        <v>2</v>
      </c>
      <c r="DD186" s="95" t="s">
        <v>4633</v>
      </c>
      <c r="DG186" s="89">
        <v>1</v>
      </c>
      <c r="DH186" s="89">
        <v>2</v>
      </c>
      <c r="DI186" s="89">
        <v>2</v>
      </c>
      <c r="DJ186" s="89">
        <v>2</v>
      </c>
      <c r="DK186" s="95" t="s">
        <v>4633</v>
      </c>
      <c r="DN186" s="89">
        <v>1</v>
      </c>
      <c r="DO186" s="89">
        <v>2</v>
      </c>
      <c r="DP186" s="89">
        <v>2</v>
      </c>
      <c r="DQ186" s="89">
        <v>2</v>
      </c>
      <c r="DR186" s="194" t="s">
        <v>4634</v>
      </c>
      <c r="DU186" s="188">
        <v>1</v>
      </c>
      <c r="DV186" s="88">
        <v>2</v>
      </c>
      <c r="DW186" s="88">
        <v>2</v>
      </c>
      <c r="DX186" s="88">
        <v>2</v>
      </c>
      <c r="DY186" s="95" t="s">
        <v>4633</v>
      </c>
      <c r="EB186" s="89">
        <v>1</v>
      </c>
      <c r="EC186" s="188">
        <v>1</v>
      </c>
      <c r="ED186" s="188">
        <v>1</v>
      </c>
      <c r="EE186" s="188">
        <v>1</v>
      </c>
      <c r="EF186" s="95" t="s">
        <v>4633</v>
      </c>
      <c r="EI186" s="89">
        <v>1</v>
      </c>
      <c r="EJ186" s="188">
        <v>2</v>
      </c>
      <c r="EK186" s="188">
        <v>2</v>
      </c>
      <c r="EL186" s="188">
        <v>2</v>
      </c>
      <c r="EM186" s="126" t="s">
        <v>4635</v>
      </c>
      <c r="EP186" s="88">
        <v>1</v>
      </c>
      <c r="EQ186" s="188">
        <v>2</v>
      </c>
      <c r="ER186" s="188">
        <v>2</v>
      </c>
      <c r="ES186" s="188">
        <v>2</v>
      </c>
      <c r="EW186" s="89">
        <v>2</v>
      </c>
      <c r="EX186" s="89">
        <v>2</v>
      </c>
      <c r="EY186" s="89">
        <v>2</v>
      </c>
      <c r="EZ186" s="89">
        <v>2</v>
      </c>
      <c r="FC186" s="89">
        <v>2</v>
      </c>
      <c r="FD186" s="89">
        <v>2</v>
      </c>
      <c r="FE186" s="89">
        <v>2</v>
      </c>
      <c r="FF186" s="89">
        <v>2</v>
      </c>
      <c r="FI186" s="89">
        <v>2</v>
      </c>
      <c r="FJ186" s="89">
        <v>2</v>
      </c>
      <c r="FK186" s="89">
        <v>2</v>
      </c>
      <c r="FL186" s="89">
        <v>2</v>
      </c>
      <c r="FO186" s="89">
        <v>2</v>
      </c>
      <c r="FP186" s="89">
        <v>2</v>
      </c>
      <c r="FQ186" s="89">
        <v>2</v>
      </c>
      <c r="FR186" s="89">
        <v>2</v>
      </c>
      <c r="FU186" s="89">
        <v>2</v>
      </c>
      <c r="FV186" s="89">
        <v>2</v>
      </c>
      <c r="FW186" s="89">
        <v>2</v>
      </c>
      <c r="FX186" s="89">
        <v>2</v>
      </c>
      <c r="GA186" s="89">
        <v>2</v>
      </c>
      <c r="GB186" s="89">
        <v>2</v>
      </c>
      <c r="GC186" s="89">
        <v>2</v>
      </c>
      <c r="GD186" s="89">
        <v>2</v>
      </c>
    </row>
    <row r="187" hidden="1" spans="1:213">
      <c r="A187" s="88" t="s">
        <v>227</v>
      </c>
      <c r="B187" s="105" t="s">
        <v>4636</v>
      </c>
      <c r="C187" s="125"/>
      <c r="E187" s="194" t="s">
        <v>49</v>
      </c>
      <c r="F187" s="89">
        <v>4</v>
      </c>
      <c r="G187" s="89">
        <v>4</v>
      </c>
      <c r="H187" s="89">
        <v>3</v>
      </c>
      <c r="I187" s="89">
        <v>3</v>
      </c>
      <c r="J187" s="125"/>
      <c r="L187" s="194" t="s">
        <v>49</v>
      </c>
      <c r="M187" s="89">
        <v>4</v>
      </c>
      <c r="N187" s="89">
        <v>4</v>
      </c>
      <c r="O187" s="89">
        <v>3</v>
      </c>
      <c r="P187" s="89">
        <v>3</v>
      </c>
      <c r="Q187" s="125"/>
      <c r="S187" s="194" t="s">
        <v>49</v>
      </c>
      <c r="T187" s="89">
        <v>4</v>
      </c>
      <c r="U187" s="89">
        <v>4</v>
      </c>
      <c r="V187" s="89">
        <v>3</v>
      </c>
      <c r="W187" s="89">
        <v>3</v>
      </c>
      <c r="X187" s="125"/>
      <c r="Z187" s="194" t="s">
        <v>49</v>
      </c>
      <c r="AA187" s="89">
        <v>4</v>
      </c>
      <c r="AB187" s="89">
        <v>4</v>
      </c>
      <c r="AC187" s="89">
        <v>3</v>
      </c>
      <c r="AD187" s="89">
        <v>3</v>
      </c>
      <c r="AE187" s="125"/>
      <c r="AG187" s="194" t="s">
        <v>49</v>
      </c>
      <c r="AH187" s="89">
        <v>4</v>
      </c>
      <c r="AI187" s="89">
        <v>4</v>
      </c>
      <c r="AJ187" s="89">
        <v>3</v>
      </c>
      <c r="AK187" s="89">
        <v>3</v>
      </c>
      <c r="AL187" s="125"/>
      <c r="AN187" s="95" t="s">
        <v>49</v>
      </c>
      <c r="AO187" s="89">
        <v>4</v>
      </c>
      <c r="AP187" s="89">
        <v>4</v>
      </c>
      <c r="AQ187" s="89">
        <v>3</v>
      </c>
      <c r="AR187" s="89">
        <v>3</v>
      </c>
      <c r="AS187" s="125"/>
      <c r="AU187" s="95" t="s">
        <v>49</v>
      </c>
      <c r="AV187" s="89">
        <v>4</v>
      </c>
      <c r="AW187" s="89">
        <v>4</v>
      </c>
      <c r="AX187" s="89">
        <v>3</v>
      </c>
      <c r="AY187" s="89">
        <v>3</v>
      </c>
      <c r="AZ187" s="125"/>
      <c r="BB187" s="95" t="s">
        <v>49</v>
      </c>
      <c r="BC187" s="89">
        <v>4</v>
      </c>
      <c r="BD187" s="89">
        <v>4</v>
      </c>
      <c r="BE187" s="89">
        <v>3</v>
      </c>
      <c r="BF187" s="89">
        <v>3</v>
      </c>
      <c r="BG187" s="125"/>
      <c r="BI187" s="95" t="s">
        <v>49</v>
      </c>
      <c r="BJ187" s="89">
        <v>4</v>
      </c>
      <c r="BK187" s="89">
        <v>4</v>
      </c>
      <c r="BL187" s="89">
        <v>3</v>
      </c>
      <c r="BM187" s="89">
        <v>3</v>
      </c>
      <c r="BN187" s="125"/>
      <c r="BP187" s="95" t="s">
        <v>49</v>
      </c>
      <c r="BQ187" s="89">
        <v>4</v>
      </c>
      <c r="BR187" s="89">
        <v>4</v>
      </c>
      <c r="BS187" s="89">
        <v>3</v>
      </c>
      <c r="BT187" s="89">
        <v>3</v>
      </c>
      <c r="BU187" s="125"/>
      <c r="BW187" s="95" t="s">
        <v>49</v>
      </c>
      <c r="BX187" s="89">
        <v>4</v>
      </c>
      <c r="BY187" s="89">
        <v>4</v>
      </c>
      <c r="BZ187" s="89">
        <v>3</v>
      </c>
      <c r="CA187" s="89">
        <v>3</v>
      </c>
      <c r="CB187" s="125"/>
      <c r="CD187" s="95" t="s">
        <v>49</v>
      </c>
      <c r="CE187" s="89">
        <v>4</v>
      </c>
      <c r="CF187" s="89">
        <v>4</v>
      </c>
      <c r="CG187" s="89">
        <v>3</v>
      </c>
      <c r="CH187" s="89">
        <v>3</v>
      </c>
      <c r="CI187" s="125"/>
      <c r="CK187" s="95" t="s">
        <v>49</v>
      </c>
      <c r="CL187" s="89">
        <v>4</v>
      </c>
      <c r="CM187" s="89">
        <v>4</v>
      </c>
      <c r="CN187" s="89">
        <v>3</v>
      </c>
      <c r="CO187" s="89">
        <v>3</v>
      </c>
      <c r="CP187" s="125"/>
      <c r="CR187" s="95" t="s">
        <v>49</v>
      </c>
      <c r="CS187" s="89">
        <v>4</v>
      </c>
      <c r="CT187" s="89">
        <v>4</v>
      </c>
      <c r="CU187" s="89">
        <v>3</v>
      </c>
      <c r="CV187" s="89">
        <v>3</v>
      </c>
      <c r="CW187" s="125" t="s">
        <v>4392</v>
      </c>
      <c r="CY187" s="95" t="s">
        <v>49</v>
      </c>
      <c r="CZ187" s="89">
        <v>4</v>
      </c>
      <c r="DA187" s="89">
        <v>4</v>
      </c>
      <c r="DB187" s="89">
        <v>3</v>
      </c>
      <c r="DC187" s="89">
        <v>3</v>
      </c>
      <c r="DD187" s="125" t="s">
        <v>4392</v>
      </c>
      <c r="DF187" s="95" t="s">
        <v>49</v>
      </c>
      <c r="DG187" s="89">
        <v>4</v>
      </c>
      <c r="DH187" s="89">
        <v>4</v>
      </c>
      <c r="DI187" s="89">
        <v>3</v>
      </c>
      <c r="DJ187" s="89">
        <v>3</v>
      </c>
      <c r="DK187" s="125" t="s">
        <v>4392</v>
      </c>
      <c r="DM187" s="95" t="s">
        <v>49</v>
      </c>
      <c r="DN187" s="89">
        <v>4</v>
      </c>
      <c r="DO187" s="89">
        <v>4</v>
      </c>
      <c r="DP187" s="89">
        <v>3</v>
      </c>
      <c r="DQ187" s="89">
        <v>3</v>
      </c>
      <c r="DR187" s="124" t="s">
        <v>4392</v>
      </c>
      <c r="DT187" s="194" t="s">
        <v>49</v>
      </c>
      <c r="DU187" s="188">
        <v>4</v>
      </c>
      <c r="DV187" s="188">
        <v>4</v>
      </c>
      <c r="DW187" s="88">
        <v>3</v>
      </c>
      <c r="DX187" s="88">
        <v>3</v>
      </c>
      <c r="EA187" s="95" t="s">
        <v>49</v>
      </c>
      <c r="EB187" s="89">
        <v>4</v>
      </c>
      <c r="EC187" s="89">
        <v>4</v>
      </c>
      <c r="ED187" s="88">
        <v>2</v>
      </c>
      <c r="EE187" s="88">
        <v>2</v>
      </c>
      <c r="EH187" s="95" t="s">
        <v>49</v>
      </c>
      <c r="EI187" s="89">
        <v>4</v>
      </c>
      <c r="EJ187" s="89">
        <v>4</v>
      </c>
      <c r="EK187" s="89">
        <v>3</v>
      </c>
      <c r="EL187" s="89">
        <v>3</v>
      </c>
      <c r="EO187" s="95" t="s">
        <v>49</v>
      </c>
      <c r="EP187" s="89">
        <v>4</v>
      </c>
      <c r="EQ187" s="89">
        <v>4</v>
      </c>
      <c r="ER187" s="88">
        <v>3</v>
      </c>
      <c r="ES187" s="88">
        <v>3</v>
      </c>
      <c r="EV187" s="95" t="s">
        <v>49</v>
      </c>
      <c r="EW187" s="89">
        <v>4</v>
      </c>
      <c r="EX187" s="89">
        <v>4</v>
      </c>
      <c r="EY187" s="89">
        <v>2</v>
      </c>
      <c r="EZ187" s="89">
        <v>2</v>
      </c>
      <c r="FC187" s="89">
        <v>4</v>
      </c>
      <c r="FD187" s="89">
        <v>4</v>
      </c>
      <c r="FE187" s="89">
        <v>3</v>
      </c>
      <c r="FF187" s="89">
        <v>2</v>
      </c>
      <c r="FI187" s="89">
        <v>4</v>
      </c>
      <c r="FJ187" s="89">
        <v>4</v>
      </c>
      <c r="FK187" s="89">
        <v>3</v>
      </c>
      <c r="FL187" s="89">
        <v>2</v>
      </c>
      <c r="FO187" s="89">
        <v>4</v>
      </c>
      <c r="FP187" s="89">
        <v>4</v>
      </c>
      <c r="FQ187" s="89">
        <v>3</v>
      </c>
      <c r="FR187" s="89">
        <v>2</v>
      </c>
      <c r="FT187" s="126"/>
      <c r="FU187" s="89">
        <v>4</v>
      </c>
      <c r="FV187" s="89">
        <v>4</v>
      </c>
      <c r="FW187" s="89">
        <v>3</v>
      </c>
      <c r="FX187" s="89">
        <v>2</v>
      </c>
      <c r="FZ187" s="126"/>
      <c r="GA187" s="89">
        <v>4</v>
      </c>
      <c r="GB187" s="89">
        <v>4</v>
      </c>
      <c r="GC187" s="89">
        <v>3</v>
      </c>
      <c r="GD187" s="89">
        <v>2</v>
      </c>
      <c r="GF187" s="126"/>
      <c r="GL187" s="126"/>
      <c r="GR187" s="126"/>
      <c r="HB187" s="88"/>
      <c r="HC187" s="88"/>
      <c r="HD187" s="88"/>
      <c r="HE187" s="88"/>
    </row>
    <row r="188" hidden="1"/>
    <row r="189" hidden="1" spans="1:1">
      <c r="A189" s="101"/>
    </row>
    <row r="190" hidden="1" customHeight="1" spans="1:213">
      <c r="A190" s="96" t="s">
        <v>195</v>
      </c>
      <c r="B190" s="97"/>
      <c r="C190" s="116" t="s">
        <v>3923</v>
      </c>
      <c r="D190" s="128"/>
      <c r="E190" s="128"/>
      <c r="F190" s="128"/>
      <c r="G190" s="128"/>
      <c r="H190" s="128"/>
      <c r="I190" s="132"/>
      <c r="J190" s="116" t="s">
        <v>3923</v>
      </c>
      <c r="K190" s="128"/>
      <c r="L190" s="128"/>
      <c r="M190" s="128"/>
      <c r="N190" s="128"/>
      <c r="O190" s="128"/>
      <c r="P190" s="132"/>
      <c r="Q190" s="116" t="s">
        <v>4083</v>
      </c>
      <c r="R190" s="128"/>
      <c r="S190" s="128"/>
      <c r="T190" s="128"/>
      <c r="U190" s="128"/>
      <c r="V190" s="128"/>
      <c r="W190" s="132"/>
      <c r="X190" s="116" t="s">
        <v>3925</v>
      </c>
      <c r="Y190" s="128"/>
      <c r="Z190" s="128"/>
      <c r="AA190" s="128"/>
      <c r="AB190" s="128"/>
      <c r="AC190" s="128"/>
      <c r="AD190" s="132"/>
      <c r="AE190" s="116" t="s">
        <v>3926</v>
      </c>
      <c r="AF190" s="128"/>
      <c r="AG190" s="128"/>
      <c r="AH190" s="128"/>
      <c r="AI190" s="128"/>
      <c r="AJ190" s="128"/>
      <c r="AK190" s="132"/>
      <c r="AL190" s="116" t="s">
        <v>3927</v>
      </c>
      <c r="AM190" s="128"/>
      <c r="AN190" s="128"/>
      <c r="AO190" s="128"/>
      <c r="AP190" s="128"/>
      <c r="AQ190" s="128"/>
      <c r="AR190" s="132"/>
      <c r="AS190" s="116" t="s">
        <v>3928</v>
      </c>
      <c r="AT190" s="128"/>
      <c r="AU190" s="128"/>
      <c r="AV190" s="128"/>
      <c r="AW190" s="128"/>
      <c r="AX190" s="128"/>
      <c r="AY190" s="132"/>
      <c r="AZ190" s="116" t="s">
        <v>3929</v>
      </c>
      <c r="BA190" s="128"/>
      <c r="BB190" s="128"/>
      <c r="BC190" s="128"/>
      <c r="BD190" s="128"/>
      <c r="BE190" s="128"/>
      <c r="BF190" s="132"/>
      <c r="BG190" s="116" t="s">
        <v>3930</v>
      </c>
      <c r="BH190" s="128"/>
      <c r="BI190" s="128"/>
      <c r="BJ190" s="128"/>
      <c r="BK190" s="128"/>
      <c r="BL190" s="128"/>
      <c r="BM190" s="132"/>
      <c r="BN190" s="116" t="s">
        <v>3931</v>
      </c>
      <c r="BO190" s="128"/>
      <c r="BP190" s="128"/>
      <c r="BQ190" s="128"/>
      <c r="BR190" s="128"/>
      <c r="BS190" s="128"/>
      <c r="BT190" s="132"/>
      <c r="BU190" s="116" t="s">
        <v>3932</v>
      </c>
      <c r="BV190" s="128"/>
      <c r="BW190" s="128"/>
      <c r="BX190" s="128"/>
      <c r="BY190" s="128"/>
      <c r="BZ190" s="128"/>
      <c r="CA190" s="132"/>
      <c r="CB190" s="116" t="s">
        <v>3933</v>
      </c>
      <c r="CC190" s="128"/>
      <c r="CD190" s="128"/>
      <c r="CE190" s="128"/>
      <c r="CF190" s="128"/>
      <c r="CG190" s="128"/>
      <c r="CH190" s="132"/>
      <c r="CI190" s="116" t="s">
        <v>3922</v>
      </c>
      <c r="CJ190" s="128"/>
      <c r="CK190" s="128"/>
      <c r="CL190" s="128"/>
      <c r="CM190" s="128"/>
      <c r="CN190" s="128"/>
      <c r="CO190" s="132"/>
      <c r="CP190" s="116" t="s">
        <v>3934</v>
      </c>
      <c r="CQ190" s="128"/>
      <c r="CR190" s="128"/>
      <c r="CS190" s="128"/>
      <c r="CT190" s="128"/>
      <c r="CU190" s="128"/>
      <c r="CV190" s="132"/>
      <c r="CW190" s="116" t="s">
        <v>3924</v>
      </c>
      <c r="CX190" s="128"/>
      <c r="CY190" s="128"/>
      <c r="CZ190" s="128"/>
      <c r="DA190" s="128"/>
      <c r="DB190" s="128"/>
      <c r="DC190" s="132"/>
      <c r="DD190" s="116" t="s">
        <v>3935</v>
      </c>
      <c r="DE190" s="128"/>
      <c r="DF190" s="128"/>
      <c r="DG190" s="128"/>
      <c r="DH190" s="128"/>
      <c r="DI190" s="128"/>
      <c r="DJ190" s="132"/>
      <c r="DK190" s="116" t="s">
        <v>3936</v>
      </c>
      <c r="DL190" s="128"/>
      <c r="DM190" s="128"/>
      <c r="DN190" s="128"/>
      <c r="DO190" s="128"/>
      <c r="DP190" s="128"/>
      <c r="DQ190" s="132"/>
      <c r="DR190" s="325" t="s">
        <v>3937</v>
      </c>
      <c r="DS190" s="326"/>
      <c r="DT190" s="326"/>
      <c r="DU190" s="326"/>
      <c r="DV190" s="326"/>
      <c r="DW190" s="326"/>
      <c r="DX190" s="327"/>
      <c r="DY190" s="116" t="s">
        <v>3928</v>
      </c>
      <c r="DZ190" s="128"/>
      <c r="EA190" s="128"/>
      <c r="EB190" s="128"/>
      <c r="EC190" s="128"/>
      <c r="ED190" s="128"/>
      <c r="EE190" s="132"/>
      <c r="EF190" s="116" t="s">
        <v>3929</v>
      </c>
      <c r="EG190" s="128"/>
      <c r="EH190" s="128"/>
      <c r="EI190" s="128"/>
      <c r="EJ190" s="128"/>
      <c r="EK190" s="128"/>
      <c r="EL190" s="132"/>
      <c r="EM190" s="116" t="s">
        <v>4084</v>
      </c>
      <c r="EN190" s="128"/>
      <c r="EO190" s="128"/>
      <c r="EP190" s="128"/>
      <c r="EQ190" s="128"/>
      <c r="ER190" s="128"/>
      <c r="ES190" s="132"/>
      <c r="EU190" s="332"/>
      <c r="EV190" s="332"/>
      <c r="EW190" s="116" t="s">
        <v>4085</v>
      </c>
      <c r="EX190" s="128"/>
      <c r="EY190" s="128"/>
      <c r="EZ190" s="132"/>
      <c r="FB190" s="332"/>
      <c r="FC190" s="116" t="s">
        <v>4086</v>
      </c>
      <c r="FD190" s="128"/>
      <c r="FE190" s="128"/>
      <c r="FF190" s="132"/>
      <c r="FH190" s="332"/>
      <c r="FI190" s="116" t="s">
        <v>4087</v>
      </c>
      <c r="FJ190" s="128"/>
      <c r="FK190" s="128"/>
      <c r="FL190" s="132"/>
      <c r="FN190" s="332"/>
      <c r="FO190" s="116" t="s">
        <v>4088</v>
      </c>
      <c r="FP190" s="128"/>
      <c r="FQ190" s="128"/>
      <c r="FR190" s="132"/>
      <c r="FT190" s="332"/>
      <c r="FU190" s="116" t="s">
        <v>4089</v>
      </c>
      <c r="FV190" s="128"/>
      <c r="FW190" s="128"/>
      <c r="FX190" s="132"/>
      <c r="FZ190" s="332"/>
      <c r="GA190" s="116" t="s">
        <v>4090</v>
      </c>
      <c r="GB190" s="128"/>
      <c r="GC190" s="128"/>
      <c r="GD190" s="132"/>
      <c r="GF190" s="332"/>
      <c r="GG190" s="116" t="s">
        <v>4091</v>
      </c>
      <c r="GH190" s="128"/>
      <c r="GI190" s="128"/>
      <c r="GJ190" s="132"/>
      <c r="GL190" s="332"/>
      <c r="GM190" s="116" t="s">
        <v>3941</v>
      </c>
      <c r="GN190" s="128"/>
      <c r="GO190" s="128"/>
      <c r="GP190" s="132"/>
      <c r="GR190" s="332"/>
      <c r="GS190" s="116" t="s">
        <v>3941</v>
      </c>
      <c r="GT190" s="128"/>
      <c r="GU190" s="128"/>
      <c r="GV190" s="132"/>
      <c r="GW190" s="128"/>
      <c r="GX190" s="116" t="s">
        <v>3942</v>
      </c>
      <c r="GY190" s="128"/>
      <c r="GZ190" s="128"/>
      <c r="HA190" s="132"/>
      <c r="HB190" s="116" t="s">
        <v>3943</v>
      </c>
      <c r="HC190" s="128"/>
      <c r="HD190" s="128"/>
      <c r="HE190" s="132"/>
    </row>
    <row r="191" ht="28.2" hidden="1" spans="1:213">
      <c r="A191" s="101" t="s">
        <v>3944</v>
      </c>
      <c r="B191" s="102" t="s">
        <v>207</v>
      </c>
      <c r="C191" s="120" t="s">
        <v>3945</v>
      </c>
      <c r="D191" s="120" t="s">
        <v>3946</v>
      </c>
      <c r="E191" s="313" t="s">
        <v>3947</v>
      </c>
      <c r="F191" s="119" t="s">
        <v>3948</v>
      </c>
      <c r="G191" s="119" t="s">
        <v>3949</v>
      </c>
      <c r="H191" s="119" t="s">
        <v>3950</v>
      </c>
      <c r="I191" s="119" t="s">
        <v>3951</v>
      </c>
      <c r="J191" s="120" t="s">
        <v>3945</v>
      </c>
      <c r="K191" s="120" t="s">
        <v>3946</v>
      </c>
      <c r="L191" s="313" t="s">
        <v>3947</v>
      </c>
      <c r="M191" s="119" t="s">
        <v>3948</v>
      </c>
      <c r="N191" s="119" t="s">
        <v>3949</v>
      </c>
      <c r="O191" s="119" t="s">
        <v>3950</v>
      </c>
      <c r="P191" s="119" t="s">
        <v>3951</v>
      </c>
      <c r="Q191" s="120" t="s">
        <v>3945</v>
      </c>
      <c r="R191" s="120" t="s">
        <v>3946</v>
      </c>
      <c r="S191" s="313" t="s">
        <v>3947</v>
      </c>
      <c r="T191" s="119" t="s">
        <v>3948</v>
      </c>
      <c r="U191" s="119" t="s">
        <v>3949</v>
      </c>
      <c r="V191" s="119" t="s">
        <v>3950</v>
      </c>
      <c r="W191" s="119" t="s">
        <v>3951</v>
      </c>
      <c r="X191" s="120" t="s">
        <v>3952</v>
      </c>
      <c r="Y191" s="120" t="s">
        <v>3953</v>
      </c>
      <c r="Z191" s="313" t="s">
        <v>3947</v>
      </c>
      <c r="AA191" s="119" t="s">
        <v>3948</v>
      </c>
      <c r="AB191" s="119" t="s">
        <v>3949</v>
      </c>
      <c r="AC191" s="119" t="s">
        <v>3950</v>
      </c>
      <c r="AD191" s="119" t="s">
        <v>3951</v>
      </c>
      <c r="AE191" s="120" t="s">
        <v>3954</v>
      </c>
      <c r="AF191" s="120" t="s">
        <v>3955</v>
      </c>
      <c r="AG191" s="313" t="s">
        <v>3947</v>
      </c>
      <c r="AH191" s="119" t="s">
        <v>3948</v>
      </c>
      <c r="AI191" s="119" t="s">
        <v>3949</v>
      </c>
      <c r="AJ191" s="119" t="s">
        <v>3950</v>
      </c>
      <c r="AK191" s="119" t="s">
        <v>3951</v>
      </c>
      <c r="AL191" s="120" t="s">
        <v>3956</v>
      </c>
      <c r="AM191" s="120" t="s">
        <v>3957</v>
      </c>
      <c r="AN191" s="119" t="s">
        <v>3947</v>
      </c>
      <c r="AO191" s="119" t="s">
        <v>3948</v>
      </c>
      <c r="AP191" s="119" t="s">
        <v>3949</v>
      </c>
      <c r="AQ191" s="119" t="s">
        <v>3950</v>
      </c>
      <c r="AR191" s="119" t="s">
        <v>3951</v>
      </c>
      <c r="AS191" s="120" t="s">
        <v>3958</v>
      </c>
      <c r="AT191" s="120" t="s">
        <v>3959</v>
      </c>
      <c r="AU191" s="119" t="s">
        <v>3947</v>
      </c>
      <c r="AV191" s="119" t="s">
        <v>3948</v>
      </c>
      <c r="AW191" s="119" t="s">
        <v>3949</v>
      </c>
      <c r="AX191" s="119" t="s">
        <v>3950</v>
      </c>
      <c r="AY191" s="119" t="s">
        <v>3951</v>
      </c>
      <c r="AZ191" s="120" t="s">
        <v>3960</v>
      </c>
      <c r="BA191" s="120" t="s">
        <v>3961</v>
      </c>
      <c r="BB191" s="119" t="s">
        <v>3947</v>
      </c>
      <c r="BC191" s="119" t="s">
        <v>3948</v>
      </c>
      <c r="BD191" s="119" t="s">
        <v>3949</v>
      </c>
      <c r="BE191" s="119" t="s">
        <v>3950</v>
      </c>
      <c r="BF191" s="119" t="s">
        <v>3951</v>
      </c>
      <c r="BG191" s="120" t="s">
        <v>3962</v>
      </c>
      <c r="BH191" s="120" t="s">
        <v>3963</v>
      </c>
      <c r="BI191" s="119" t="s">
        <v>3947</v>
      </c>
      <c r="BJ191" s="119" t="s">
        <v>3948</v>
      </c>
      <c r="BK191" s="119" t="s">
        <v>3949</v>
      </c>
      <c r="BL191" s="119" t="s">
        <v>3950</v>
      </c>
      <c r="BM191" s="119" t="s">
        <v>3951</v>
      </c>
      <c r="BN191" s="120" t="s">
        <v>3964</v>
      </c>
      <c r="BO191" s="120" t="s">
        <v>3965</v>
      </c>
      <c r="BP191" s="119" t="s">
        <v>3947</v>
      </c>
      <c r="BQ191" s="119" t="s">
        <v>3948</v>
      </c>
      <c r="BR191" s="119" t="s">
        <v>3949</v>
      </c>
      <c r="BS191" s="119" t="s">
        <v>3950</v>
      </c>
      <c r="BT191" s="119" t="s">
        <v>3951</v>
      </c>
      <c r="BU191" s="120" t="s">
        <v>3966</v>
      </c>
      <c r="BV191" s="120" t="s">
        <v>3967</v>
      </c>
      <c r="BW191" s="119" t="s">
        <v>3947</v>
      </c>
      <c r="BX191" s="119" t="s">
        <v>3948</v>
      </c>
      <c r="BY191" s="119" t="s">
        <v>3949</v>
      </c>
      <c r="BZ191" s="119" t="s">
        <v>3950</v>
      </c>
      <c r="CA191" s="119" t="s">
        <v>3951</v>
      </c>
      <c r="CB191" s="120" t="s">
        <v>3968</v>
      </c>
      <c r="CC191" s="120" t="s">
        <v>3969</v>
      </c>
      <c r="CD191" s="119" t="s">
        <v>3947</v>
      </c>
      <c r="CE191" s="119" t="s">
        <v>3948</v>
      </c>
      <c r="CF191" s="119" t="s">
        <v>3949</v>
      </c>
      <c r="CG191" s="119" t="s">
        <v>3950</v>
      </c>
      <c r="CH191" s="119" t="s">
        <v>3951</v>
      </c>
      <c r="CI191" s="120" t="s">
        <v>3970</v>
      </c>
      <c r="CJ191" s="120" t="s">
        <v>3971</v>
      </c>
      <c r="CK191" s="119" t="s">
        <v>3947</v>
      </c>
      <c r="CL191" s="119" t="s">
        <v>3948</v>
      </c>
      <c r="CM191" s="119" t="s">
        <v>3949</v>
      </c>
      <c r="CN191" s="119" t="s">
        <v>3950</v>
      </c>
      <c r="CO191" s="119" t="s">
        <v>3951</v>
      </c>
      <c r="CP191" s="120" t="s">
        <v>3972</v>
      </c>
      <c r="CQ191" s="120" t="s">
        <v>3973</v>
      </c>
      <c r="CR191" s="119" t="s">
        <v>3947</v>
      </c>
      <c r="CS191" s="119" t="s">
        <v>3948</v>
      </c>
      <c r="CT191" s="119" t="s">
        <v>3949</v>
      </c>
      <c r="CU191" s="119" t="s">
        <v>3950</v>
      </c>
      <c r="CV191" s="119" t="s">
        <v>3951</v>
      </c>
      <c r="CW191" s="120" t="s">
        <v>3974</v>
      </c>
      <c r="CX191" s="120" t="s">
        <v>3975</v>
      </c>
      <c r="CY191" s="119" t="s">
        <v>3947</v>
      </c>
      <c r="CZ191" s="119" t="s">
        <v>3948</v>
      </c>
      <c r="DA191" s="119" t="s">
        <v>3949</v>
      </c>
      <c r="DB191" s="119" t="s">
        <v>3950</v>
      </c>
      <c r="DC191" s="119" t="s">
        <v>3951</v>
      </c>
      <c r="DD191" s="120" t="s">
        <v>3974</v>
      </c>
      <c r="DE191" s="120" t="s">
        <v>3975</v>
      </c>
      <c r="DF191" s="119" t="s">
        <v>3947</v>
      </c>
      <c r="DG191" s="119" t="s">
        <v>3948</v>
      </c>
      <c r="DH191" s="119" t="s">
        <v>3949</v>
      </c>
      <c r="DI191" s="119" t="s">
        <v>3950</v>
      </c>
      <c r="DJ191" s="119" t="s">
        <v>3951</v>
      </c>
      <c r="DK191" s="120" t="s">
        <v>3976</v>
      </c>
      <c r="DL191" s="120" t="s">
        <v>3977</v>
      </c>
      <c r="DM191" s="119" t="s">
        <v>3947</v>
      </c>
      <c r="DN191" s="119" t="s">
        <v>3948</v>
      </c>
      <c r="DO191" s="119" t="s">
        <v>3949</v>
      </c>
      <c r="DP191" s="119" t="s">
        <v>3950</v>
      </c>
      <c r="DQ191" s="119" t="s">
        <v>3951</v>
      </c>
      <c r="DR191" s="328" t="s">
        <v>3978</v>
      </c>
      <c r="DS191" s="328" t="s">
        <v>3979</v>
      </c>
      <c r="DT191" s="313" t="s">
        <v>3947</v>
      </c>
      <c r="DU191" s="313" t="s">
        <v>3948</v>
      </c>
      <c r="DV191" s="313" t="s">
        <v>3949</v>
      </c>
      <c r="DW191" s="313" t="s">
        <v>3950</v>
      </c>
      <c r="DX191" s="313" t="s">
        <v>3951</v>
      </c>
      <c r="DY191" s="120" t="s">
        <v>3980</v>
      </c>
      <c r="DZ191" s="120" t="s">
        <v>3981</v>
      </c>
      <c r="EA191" s="119" t="s">
        <v>3947</v>
      </c>
      <c r="EB191" s="119" t="s">
        <v>3948</v>
      </c>
      <c r="EC191" s="119" t="s">
        <v>3949</v>
      </c>
      <c r="ED191" s="119" t="s">
        <v>3950</v>
      </c>
      <c r="EE191" s="119" t="s">
        <v>3951</v>
      </c>
      <c r="EF191" s="120" t="s">
        <v>3982</v>
      </c>
      <c r="EG191" s="120" t="s">
        <v>3983</v>
      </c>
      <c r="EH191" s="119" t="s">
        <v>3947</v>
      </c>
      <c r="EI191" s="119" t="s">
        <v>3948</v>
      </c>
      <c r="EJ191" s="119" t="s">
        <v>3949</v>
      </c>
      <c r="EK191" s="119" t="s">
        <v>3950</v>
      </c>
      <c r="EL191" s="119" t="s">
        <v>3951</v>
      </c>
      <c r="EM191" s="120" t="s">
        <v>3984</v>
      </c>
      <c r="EN191" s="120" t="s">
        <v>3985</v>
      </c>
      <c r="EO191" s="120"/>
      <c r="EP191" s="119" t="s">
        <v>3948</v>
      </c>
      <c r="EQ191" s="119" t="s">
        <v>3949</v>
      </c>
      <c r="ER191" s="119" t="s">
        <v>3950</v>
      </c>
      <c r="ES191" s="119" t="s">
        <v>3951</v>
      </c>
      <c r="ET191" s="120" t="s">
        <v>4619</v>
      </c>
      <c r="EU191" s="120" t="s">
        <v>4620</v>
      </c>
      <c r="EV191" s="120"/>
      <c r="EW191" s="119" t="s">
        <v>3948</v>
      </c>
      <c r="EX191" s="119" t="s">
        <v>3949</v>
      </c>
      <c r="EY191" s="119" t="s">
        <v>3950</v>
      </c>
      <c r="EZ191" s="119" t="s">
        <v>3951</v>
      </c>
      <c r="FA191" s="120" t="s">
        <v>3988</v>
      </c>
      <c r="FB191" s="120" t="s">
        <v>3989</v>
      </c>
      <c r="FC191" s="119" t="s">
        <v>3948</v>
      </c>
      <c r="FD191" s="119" t="s">
        <v>3949</v>
      </c>
      <c r="FE191" s="119" t="s">
        <v>3950</v>
      </c>
      <c r="FF191" s="119" t="s">
        <v>3951</v>
      </c>
      <c r="FG191" s="120" t="s">
        <v>3990</v>
      </c>
      <c r="FH191" s="120" t="s">
        <v>3991</v>
      </c>
      <c r="FI191" s="119" t="s">
        <v>3948</v>
      </c>
      <c r="FJ191" s="119" t="s">
        <v>3949</v>
      </c>
      <c r="FK191" s="119" t="s">
        <v>3950</v>
      </c>
      <c r="FL191" s="119" t="s">
        <v>3951</v>
      </c>
      <c r="FM191" s="120" t="s">
        <v>3992</v>
      </c>
      <c r="FN191" s="120" t="s">
        <v>3993</v>
      </c>
      <c r="FO191" s="119" t="s">
        <v>3948</v>
      </c>
      <c r="FP191" s="119" t="s">
        <v>3949</v>
      </c>
      <c r="FQ191" s="119" t="s">
        <v>3950</v>
      </c>
      <c r="FR191" s="119" t="s">
        <v>3951</v>
      </c>
      <c r="FS191" s="120" t="s">
        <v>3994</v>
      </c>
      <c r="FT191" s="120" t="s">
        <v>3995</v>
      </c>
      <c r="FU191" s="119" t="s">
        <v>3948</v>
      </c>
      <c r="FV191" s="119" t="s">
        <v>3949</v>
      </c>
      <c r="FW191" s="119" t="s">
        <v>3950</v>
      </c>
      <c r="FX191" s="119" t="s">
        <v>3951</v>
      </c>
      <c r="FY191" s="120" t="s">
        <v>3996</v>
      </c>
      <c r="FZ191" s="120" t="s">
        <v>3997</v>
      </c>
      <c r="GA191" s="119" t="s">
        <v>3948</v>
      </c>
      <c r="GB191" s="119" t="s">
        <v>3949</v>
      </c>
      <c r="GC191" s="119" t="s">
        <v>3950</v>
      </c>
      <c r="GD191" s="119" t="s">
        <v>3951</v>
      </c>
      <c r="GE191" s="120" t="s">
        <v>3998</v>
      </c>
      <c r="GF191" s="120" t="s">
        <v>3999</v>
      </c>
      <c r="GG191" s="119" t="s">
        <v>3948</v>
      </c>
      <c r="GH191" s="119" t="s">
        <v>3949</v>
      </c>
      <c r="GI191" s="119" t="s">
        <v>3950</v>
      </c>
      <c r="GJ191" s="119" t="s">
        <v>3951</v>
      </c>
      <c r="GK191" s="120" t="s">
        <v>4000</v>
      </c>
      <c r="GL191" s="120" t="s">
        <v>4001</v>
      </c>
      <c r="GM191" s="119" t="s">
        <v>3948</v>
      </c>
      <c r="GN191" s="119" t="s">
        <v>3949</v>
      </c>
      <c r="GO191" s="119" t="s">
        <v>3950</v>
      </c>
      <c r="GP191" s="119" t="s">
        <v>3951</v>
      </c>
      <c r="GQ191" s="120" t="s">
        <v>4002</v>
      </c>
      <c r="GR191" s="120" t="s">
        <v>4003</v>
      </c>
      <c r="GS191" s="119" t="s">
        <v>3948</v>
      </c>
      <c r="GT191" s="119" t="s">
        <v>3949</v>
      </c>
      <c r="GU191" s="119" t="s">
        <v>3950</v>
      </c>
      <c r="GV191" s="119" t="s">
        <v>3951</v>
      </c>
      <c r="GW191" s="119"/>
      <c r="GX191" s="119" t="s">
        <v>3948</v>
      </c>
      <c r="GY191" s="119" t="s">
        <v>3949</v>
      </c>
      <c r="GZ191" s="119" t="s">
        <v>3950</v>
      </c>
      <c r="HA191" s="119" t="s">
        <v>3951</v>
      </c>
      <c r="HB191" s="119" t="s">
        <v>3948</v>
      </c>
      <c r="HC191" s="119" t="s">
        <v>3949</v>
      </c>
      <c r="HD191" s="119" t="s">
        <v>3950</v>
      </c>
      <c r="HE191" s="119" t="s">
        <v>3951</v>
      </c>
    </row>
    <row r="192" hidden="1" spans="1:2">
      <c r="A192" s="89" t="s">
        <v>230</v>
      </c>
      <c r="B192" s="89" t="s">
        <v>618</v>
      </c>
    </row>
    <row r="193" hidden="1" spans="1:2">
      <c r="A193" s="89" t="s">
        <v>446</v>
      </c>
      <c r="B193" s="89" t="s">
        <v>619</v>
      </c>
    </row>
    <row r="194" hidden="1" spans="1:2">
      <c r="A194" s="89" t="s">
        <v>446</v>
      </c>
      <c r="B194" s="89" t="s">
        <v>620</v>
      </c>
    </row>
    <row r="195" hidden="1"/>
    <row r="196" hidden="1" spans="1:1">
      <c r="A196" s="101"/>
    </row>
    <row r="197" hidden="1" spans="1:213">
      <c r="A197" s="96" t="s">
        <v>187</v>
      </c>
      <c r="B197" s="97"/>
      <c r="C197" s="116" t="s">
        <v>3923</v>
      </c>
      <c r="D197" s="128"/>
      <c r="E197" s="128"/>
      <c r="F197" s="128"/>
      <c r="G197" s="128"/>
      <c r="H197" s="128"/>
      <c r="I197" s="132"/>
      <c r="J197" s="116" t="s">
        <v>3923</v>
      </c>
      <c r="K197" s="128"/>
      <c r="L197" s="128"/>
      <c r="M197" s="128"/>
      <c r="N197" s="128"/>
      <c r="O197" s="128"/>
      <c r="P197" s="132"/>
      <c r="Q197" s="116" t="s">
        <v>4083</v>
      </c>
      <c r="R197" s="128"/>
      <c r="S197" s="128"/>
      <c r="T197" s="128"/>
      <c r="U197" s="128"/>
      <c r="V197" s="128"/>
      <c r="W197" s="132"/>
      <c r="X197" s="116" t="s">
        <v>3925</v>
      </c>
      <c r="Y197" s="128"/>
      <c r="Z197" s="128"/>
      <c r="AA197" s="128"/>
      <c r="AB197" s="128"/>
      <c r="AC197" s="128"/>
      <c r="AD197" s="132"/>
      <c r="AE197" s="116" t="s">
        <v>3926</v>
      </c>
      <c r="AF197" s="128"/>
      <c r="AG197" s="128"/>
      <c r="AH197" s="128"/>
      <c r="AI197" s="128"/>
      <c r="AJ197" s="128"/>
      <c r="AK197" s="132"/>
      <c r="AL197" s="116" t="s">
        <v>3927</v>
      </c>
      <c r="AM197" s="128"/>
      <c r="AN197" s="128"/>
      <c r="AO197" s="128"/>
      <c r="AP197" s="128"/>
      <c r="AQ197" s="128"/>
      <c r="AR197" s="132"/>
      <c r="AS197" s="116" t="s">
        <v>3928</v>
      </c>
      <c r="AT197" s="128"/>
      <c r="AU197" s="128"/>
      <c r="AV197" s="128"/>
      <c r="AW197" s="128"/>
      <c r="AX197" s="128"/>
      <c r="AY197" s="132"/>
      <c r="AZ197" s="116" t="s">
        <v>3929</v>
      </c>
      <c r="BA197" s="128"/>
      <c r="BB197" s="128"/>
      <c r="BC197" s="128"/>
      <c r="BD197" s="128"/>
      <c r="BE197" s="128"/>
      <c r="BF197" s="132"/>
      <c r="BG197" s="116" t="s">
        <v>3930</v>
      </c>
      <c r="BH197" s="128"/>
      <c r="BI197" s="128"/>
      <c r="BJ197" s="128"/>
      <c r="BK197" s="128"/>
      <c r="BL197" s="128"/>
      <c r="BM197" s="132"/>
      <c r="BN197" s="116" t="s">
        <v>3931</v>
      </c>
      <c r="BO197" s="128"/>
      <c r="BP197" s="128"/>
      <c r="BQ197" s="128"/>
      <c r="BR197" s="128"/>
      <c r="BS197" s="128"/>
      <c r="BT197" s="132"/>
      <c r="BU197" s="116" t="s">
        <v>3932</v>
      </c>
      <c r="BV197" s="128"/>
      <c r="BW197" s="128"/>
      <c r="BX197" s="128"/>
      <c r="BY197" s="128"/>
      <c r="BZ197" s="128"/>
      <c r="CA197" s="132"/>
      <c r="CB197" s="116" t="s">
        <v>3933</v>
      </c>
      <c r="CC197" s="128"/>
      <c r="CD197" s="128"/>
      <c r="CE197" s="128"/>
      <c r="CF197" s="128"/>
      <c r="CG197" s="128"/>
      <c r="CH197" s="132"/>
      <c r="CI197" s="116" t="s">
        <v>3922</v>
      </c>
      <c r="CJ197" s="128"/>
      <c r="CK197" s="128"/>
      <c r="CL197" s="128"/>
      <c r="CM197" s="128"/>
      <c r="CN197" s="128"/>
      <c r="CO197" s="132"/>
      <c r="CP197" s="116" t="s">
        <v>3934</v>
      </c>
      <c r="CQ197" s="128"/>
      <c r="CR197" s="128"/>
      <c r="CS197" s="128"/>
      <c r="CT197" s="128"/>
      <c r="CU197" s="128"/>
      <c r="CV197" s="132"/>
      <c r="CW197" s="116" t="s">
        <v>3924</v>
      </c>
      <c r="CX197" s="128"/>
      <c r="CY197" s="128"/>
      <c r="CZ197" s="128"/>
      <c r="DA197" s="128"/>
      <c r="DB197" s="128"/>
      <c r="DC197" s="132"/>
      <c r="DD197" s="116" t="s">
        <v>3935</v>
      </c>
      <c r="DE197" s="128"/>
      <c r="DF197" s="128"/>
      <c r="DG197" s="128"/>
      <c r="DH197" s="128"/>
      <c r="DI197" s="128"/>
      <c r="DJ197" s="132"/>
      <c r="DK197" s="116" t="s">
        <v>3936</v>
      </c>
      <c r="DL197" s="128"/>
      <c r="DM197" s="128"/>
      <c r="DN197" s="128"/>
      <c r="DO197" s="128"/>
      <c r="DP197" s="128"/>
      <c r="DQ197" s="132"/>
      <c r="DR197" s="325" t="s">
        <v>3937</v>
      </c>
      <c r="DS197" s="326"/>
      <c r="DT197" s="326"/>
      <c r="DU197" s="326"/>
      <c r="DV197" s="326"/>
      <c r="DW197" s="326"/>
      <c r="DX197" s="327"/>
      <c r="DY197" s="116" t="s">
        <v>3928</v>
      </c>
      <c r="DZ197" s="128"/>
      <c r="EA197" s="128"/>
      <c r="EB197" s="128"/>
      <c r="EC197" s="128"/>
      <c r="ED197" s="128"/>
      <c r="EE197" s="132"/>
      <c r="EF197" s="116" t="s">
        <v>3929</v>
      </c>
      <c r="EG197" s="128"/>
      <c r="EH197" s="128"/>
      <c r="EI197" s="128"/>
      <c r="EJ197" s="128"/>
      <c r="EK197" s="128"/>
      <c r="EL197" s="132"/>
      <c r="EM197" s="116" t="s">
        <v>4084</v>
      </c>
      <c r="EN197" s="128"/>
      <c r="EO197" s="128"/>
      <c r="EP197" s="128"/>
      <c r="EQ197" s="128"/>
      <c r="ER197" s="128"/>
      <c r="ES197" s="132"/>
      <c r="EU197" s="332"/>
      <c r="EV197" s="332"/>
      <c r="EW197" s="116"/>
      <c r="EX197" s="128"/>
      <c r="EY197" s="128"/>
      <c r="EZ197" s="132"/>
      <c r="FB197" s="332"/>
      <c r="FC197" s="116"/>
      <c r="FD197" s="128"/>
      <c r="FE197" s="128"/>
      <c r="FF197" s="132"/>
      <c r="FH197" s="332"/>
      <c r="FI197" s="116"/>
      <c r="FJ197" s="128"/>
      <c r="FK197" s="128"/>
      <c r="FL197" s="132"/>
      <c r="FN197" s="332"/>
      <c r="FO197" s="116"/>
      <c r="FP197" s="128"/>
      <c r="FQ197" s="128"/>
      <c r="FR197" s="132"/>
      <c r="FT197" s="332"/>
      <c r="FU197" s="116"/>
      <c r="FV197" s="128"/>
      <c r="FW197" s="128"/>
      <c r="FX197" s="132"/>
      <c r="FZ197" s="332"/>
      <c r="GA197" s="116"/>
      <c r="GB197" s="128"/>
      <c r="GC197" s="128"/>
      <c r="GD197" s="132"/>
      <c r="GF197" s="332"/>
      <c r="GG197" s="116"/>
      <c r="GH197" s="128"/>
      <c r="GI197" s="128"/>
      <c r="GJ197" s="132"/>
      <c r="GL197" s="332"/>
      <c r="GM197" s="116"/>
      <c r="GN197" s="128"/>
      <c r="GO197" s="128"/>
      <c r="GP197" s="132"/>
      <c r="GR197" s="332"/>
      <c r="GS197" s="116"/>
      <c r="GT197" s="128"/>
      <c r="GU197" s="128"/>
      <c r="GV197" s="132"/>
      <c r="GW197" s="128"/>
      <c r="GX197" s="116"/>
      <c r="GY197" s="128"/>
      <c r="GZ197" s="128"/>
      <c r="HA197" s="132"/>
      <c r="HB197" s="116" t="s">
        <v>3943</v>
      </c>
      <c r="HC197" s="128"/>
      <c r="HD197" s="128"/>
      <c r="HE197" s="132"/>
    </row>
    <row r="198" ht="28.2" hidden="1" spans="1:213">
      <c r="A198" s="101" t="s">
        <v>3944</v>
      </c>
      <c r="B198" s="102" t="s">
        <v>207</v>
      </c>
      <c r="C198" s="120" t="s">
        <v>3945</v>
      </c>
      <c r="D198" s="120" t="s">
        <v>3946</v>
      </c>
      <c r="E198" s="313" t="s">
        <v>3947</v>
      </c>
      <c r="F198" s="119" t="s">
        <v>3948</v>
      </c>
      <c r="G198" s="119" t="s">
        <v>3949</v>
      </c>
      <c r="H198" s="119" t="s">
        <v>3950</v>
      </c>
      <c r="I198" s="119" t="s">
        <v>3951</v>
      </c>
      <c r="J198" s="120" t="s">
        <v>3945</v>
      </c>
      <c r="K198" s="120" t="s">
        <v>3946</v>
      </c>
      <c r="L198" s="313" t="s">
        <v>3947</v>
      </c>
      <c r="M198" s="119" t="s">
        <v>3948</v>
      </c>
      <c r="N198" s="119" t="s">
        <v>3949</v>
      </c>
      <c r="O198" s="119" t="s">
        <v>3950</v>
      </c>
      <c r="P198" s="119" t="s">
        <v>3951</v>
      </c>
      <c r="Q198" s="120" t="s">
        <v>3945</v>
      </c>
      <c r="R198" s="120" t="s">
        <v>3946</v>
      </c>
      <c r="S198" s="313" t="s">
        <v>3947</v>
      </c>
      <c r="T198" s="119" t="s">
        <v>3948</v>
      </c>
      <c r="U198" s="119" t="s">
        <v>3949</v>
      </c>
      <c r="V198" s="119" t="s">
        <v>3950</v>
      </c>
      <c r="W198" s="119" t="s">
        <v>3951</v>
      </c>
      <c r="X198" s="120" t="s">
        <v>3952</v>
      </c>
      <c r="Y198" s="120" t="s">
        <v>3953</v>
      </c>
      <c r="Z198" s="313" t="s">
        <v>3947</v>
      </c>
      <c r="AA198" s="119" t="s">
        <v>3948</v>
      </c>
      <c r="AB198" s="119" t="s">
        <v>3949</v>
      </c>
      <c r="AC198" s="119" t="s">
        <v>3950</v>
      </c>
      <c r="AD198" s="119" t="s">
        <v>3951</v>
      </c>
      <c r="AE198" s="120" t="s">
        <v>3954</v>
      </c>
      <c r="AF198" s="120" t="s">
        <v>3955</v>
      </c>
      <c r="AG198" s="313" t="s">
        <v>3947</v>
      </c>
      <c r="AH198" s="119" t="s">
        <v>3948</v>
      </c>
      <c r="AI198" s="119" t="s">
        <v>3949</v>
      </c>
      <c r="AJ198" s="119" t="s">
        <v>3950</v>
      </c>
      <c r="AK198" s="119" t="s">
        <v>3951</v>
      </c>
      <c r="AL198" s="120" t="s">
        <v>3956</v>
      </c>
      <c r="AM198" s="120" t="s">
        <v>3957</v>
      </c>
      <c r="AN198" s="119" t="s">
        <v>3947</v>
      </c>
      <c r="AO198" s="119" t="s">
        <v>3948</v>
      </c>
      <c r="AP198" s="119" t="s">
        <v>3949</v>
      </c>
      <c r="AQ198" s="119" t="s">
        <v>3950</v>
      </c>
      <c r="AR198" s="119" t="s">
        <v>3951</v>
      </c>
      <c r="AS198" s="120" t="s">
        <v>3958</v>
      </c>
      <c r="AT198" s="120" t="s">
        <v>3959</v>
      </c>
      <c r="AU198" s="119" t="s">
        <v>3947</v>
      </c>
      <c r="AV198" s="119" t="s">
        <v>3948</v>
      </c>
      <c r="AW198" s="119" t="s">
        <v>3949</v>
      </c>
      <c r="AX198" s="119" t="s">
        <v>3950</v>
      </c>
      <c r="AY198" s="119" t="s">
        <v>3951</v>
      </c>
      <c r="AZ198" s="120" t="s">
        <v>3960</v>
      </c>
      <c r="BA198" s="120" t="s">
        <v>3961</v>
      </c>
      <c r="BB198" s="119" t="s">
        <v>3947</v>
      </c>
      <c r="BC198" s="119" t="s">
        <v>3948</v>
      </c>
      <c r="BD198" s="119" t="s">
        <v>3949</v>
      </c>
      <c r="BE198" s="119" t="s">
        <v>3950</v>
      </c>
      <c r="BF198" s="119" t="s">
        <v>3951</v>
      </c>
      <c r="BG198" s="120" t="s">
        <v>3962</v>
      </c>
      <c r="BH198" s="120" t="s">
        <v>3963</v>
      </c>
      <c r="BI198" s="119" t="s">
        <v>3947</v>
      </c>
      <c r="BJ198" s="119" t="s">
        <v>3948</v>
      </c>
      <c r="BK198" s="119" t="s">
        <v>3949</v>
      </c>
      <c r="BL198" s="119" t="s">
        <v>3950</v>
      </c>
      <c r="BM198" s="119" t="s">
        <v>3951</v>
      </c>
      <c r="BN198" s="120" t="s">
        <v>3964</v>
      </c>
      <c r="BO198" s="120" t="s">
        <v>3965</v>
      </c>
      <c r="BP198" s="119" t="s">
        <v>3947</v>
      </c>
      <c r="BQ198" s="119" t="s">
        <v>3948</v>
      </c>
      <c r="BR198" s="119" t="s">
        <v>3949</v>
      </c>
      <c r="BS198" s="119" t="s">
        <v>3950</v>
      </c>
      <c r="BT198" s="119" t="s">
        <v>3951</v>
      </c>
      <c r="BU198" s="120" t="s">
        <v>3966</v>
      </c>
      <c r="BV198" s="120" t="s">
        <v>3967</v>
      </c>
      <c r="BW198" s="119" t="s">
        <v>3947</v>
      </c>
      <c r="BX198" s="119" t="s">
        <v>3948</v>
      </c>
      <c r="BY198" s="119" t="s">
        <v>3949</v>
      </c>
      <c r="BZ198" s="119" t="s">
        <v>3950</v>
      </c>
      <c r="CA198" s="119" t="s">
        <v>3951</v>
      </c>
      <c r="CB198" s="120" t="s">
        <v>3968</v>
      </c>
      <c r="CC198" s="120" t="s">
        <v>3969</v>
      </c>
      <c r="CD198" s="119" t="s">
        <v>3947</v>
      </c>
      <c r="CE198" s="119" t="s">
        <v>3948</v>
      </c>
      <c r="CF198" s="119" t="s">
        <v>3949</v>
      </c>
      <c r="CG198" s="119" t="s">
        <v>3950</v>
      </c>
      <c r="CH198" s="119" t="s">
        <v>3951</v>
      </c>
      <c r="CI198" s="120" t="s">
        <v>3970</v>
      </c>
      <c r="CJ198" s="120" t="s">
        <v>3971</v>
      </c>
      <c r="CK198" s="119" t="s">
        <v>3947</v>
      </c>
      <c r="CL198" s="119" t="s">
        <v>3948</v>
      </c>
      <c r="CM198" s="119" t="s">
        <v>3949</v>
      </c>
      <c r="CN198" s="119" t="s">
        <v>3950</v>
      </c>
      <c r="CO198" s="119" t="s">
        <v>3951</v>
      </c>
      <c r="CP198" s="120" t="s">
        <v>3972</v>
      </c>
      <c r="CQ198" s="120" t="s">
        <v>3973</v>
      </c>
      <c r="CR198" s="119" t="s">
        <v>3947</v>
      </c>
      <c r="CS198" s="119" t="s">
        <v>3948</v>
      </c>
      <c r="CT198" s="119" t="s">
        <v>3949</v>
      </c>
      <c r="CU198" s="119" t="s">
        <v>3950</v>
      </c>
      <c r="CV198" s="119" t="s">
        <v>3951</v>
      </c>
      <c r="CW198" s="120" t="s">
        <v>3974</v>
      </c>
      <c r="CX198" s="120" t="s">
        <v>3975</v>
      </c>
      <c r="CY198" s="119" t="s">
        <v>3947</v>
      </c>
      <c r="CZ198" s="119" t="s">
        <v>3948</v>
      </c>
      <c r="DA198" s="119" t="s">
        <v>3949</v>
      </c>
      <c r="DB198" s="119" t="s">
        <v>3950</v>
      </c>
      <c r="DC198" s="119" t="s">
        <v>3951</v>
      </c>
      <c r="DD198" s="120" t="s">
        <v>3974</v>
      </c>
      <c r="DE198" s="120" t="s">
        <v>3975</v>
      </c>
      <c r="DF198" s="119" t="s">
        <v>3947</v>
      </c>
      <c r="DG198" s="119" t="s">
        <v>3948</v>
      </c>
      <c r="DH198" s="119" t="s">
        <v>3949</v>
      </c>
      <c r="DI198" s="119" t="s">
        <v>3950</v>
      </c>
      <c r="DJ198" s="119" t="s">
        <v>3951</v>
      </c>
      <c r="DK198" s="120" t="s">
        <v>3976</v>
      </c>
      <c r="DL198" s="120" t="s">
        <v>3977</v>
      </c>
      <c r="DM198" s="119" t="s">
        <v>3947</v>
      </c>
      <c r="DN198" s="119" t="s">
        <v>3948</v>
      </c>
      <c r="DO198" s="119" t="s">
        <v>3949</v>
      </c>
      <c r="DP198" s="119" t="s">
        <v>3950</v>
      </c>
      <c r="DQ198" s="119" t="s">
        <v>3951</v>
      </c>
      <c r="DR198" s="328" t="s">
        <v>3978</v>
      </c>
      <c r="DS198" s="328" t="s">
        <v>3979</v>
      </c>
      <c r="DT198" s="313" t="s">
        <v>3947</v>
      </c>
      <c r="DU198" s="313" t="s">
        <v>3948</v>
      </c>
      <c r="DV198" s="313" t="s">
        <v>3949</v>
      </c>
      <c r="DW198" s="313" t="s">
        <v>3950</v>
      </c>
      <c r="DX198" s="313" t="s">
        <v>3951</v>
      </c>
      <c r="DY198" s="120" t="s">
        <v>3980</v>
      </c>
      <c r="DZ198" s="120" t="s">
        <v>3981</v>
      </c>
      <c r="EA198" s="119" t="s">
        <v>3947</v>
      </c>
      <c r="EB198" s="119" t="s">
        <v>3948</v>
      </c>
      <c r="EC198" s="119" t="s">
        <v>3949</v>
      </c>
      <c r="ED198" s="119" t="s">
        <v>3950</v>
      </c>
      <c r="EE198" s="119" t="s">
        <v>3951</v>
      </c>
      <c r="EF198" s="120" t="s">
        <v>3982</v>
      </c>
      <c r="EG198" s="120" t="s">
        <v>3983</v>
      </c>
      <c r="EH198" s="119" t="s">
        <v>3947</v>
      </c>
      <c r="EI198" s="119" t="s">
        <v>3948</v>
      </c>
      <c r="EJ198" s="119" t="s">
        <v>3949</v>
      </c>
      <c r="EK198" s="119" t="s">
        <v>3950</v>
      </c>
      <c r="EL198" s="119" t="s">
        <v>3951</v>
      </c>
      <c r="EM198" s="120" t="s">
        <v>3984</v>
      </c>
      <c r="EN198" s="120" t="s">
        <v>3985</v>
      </c>
      <c r="EO198" s="120"/>
      <c r="EP198" s="119" t="s">
        <v>3948</v>
      </c>
      <c r="EQ198" s="119" t="s">
        <v>3949</v>
      </c>
      <c r="ER198" s="119" t="s">
        <v>3950</v>
      </c>
      <c r="ES198" s="119" t="s">
        <v>3951</v>
      </c>
      <c r="ET198" s="120" t="s">
        <v>4619</v>
      </c>
      <c r="EU198" s="120" t="s">
        <v>4620</v>
      </c>
      <c r="EV198" s="120"/>
      <c r="EW198" s="119" t="s">
        <v>3948</v>
      </c>
      <c r="EX198" s="119" t="s">
        <v>3949</v>
      </c>
      <c r="EY198" s="119" t="s">
        <v>3950</v>
      </c>
      <c r="EZ198" s="119" t="s">
        <v>3951</v>
      </c>
      <c r="FA198" s="120" t="s">
        <v>3988</v>
      </c>
      <c r="FB198" s="120" t="s">
        <v>3989</v>
      </c>
      <c r="FC198" s="119" t="s">
        <v>3948</v>
      </c>
      <c r="FD198" s="119" t="s">
        <v>3949</v>
      </c>
      <c r="FE198" s="119" t="s">
        <v>3950</v>
      </c>
      <c r="FF198" s="119" t="s">
        <v>3951</v>
      </c>
      <c r="FG198" s="120" t="s">
        <v>3990</v>
      </c>
      <c r="FH198" s="120" t="s">
        <v>3991</v>
      </c>
      <c r="FI198" s="119" t="s">
        <v>3948</v>
      </c>
      <c r="FJ198" s="119" t="s">
        <v>3949</v>
      </c>
      <c r="FK198" s="119" t="s">
        <v>3950</v>
      </c>
      <c r="FL198" s="119" t="s">
        <v>3951</v>
      </c>
      <c r="FM198" s="120" t="s">
        <v>3992</v>
      </c>
      <c r="FN198" s="120" t="s">
        <v>3993</v>
      </c>
      <c r="FO198" s="119" t="s">
        <v>3948</v>
      </c>
      <c r="FP198" s="119" t="s">
        <v>3949</v>
      </c>
      <c r="FQ198" s="119" t="s">
        <v>3950</v>
      </c>
      <c r="FR198" s="119" t="s">
        <v>3951</v>
      </c>
      <c r="FS198" s="120" t="s">
        <v>3994</v>
      </c>
      <c r="FT198" s="120" t="s">
        <v>3995</v>
      </c>
      <c r="FU198" s="119" t="s">
        <v>3948</v>
      </c>
      <c r="FV198" s="119" t="s">
        <v>3949</v>
      </c>
      <c r="FW198" s="119" t="s">
        <v>3950</v>
      </c>
      <c r="FX198" s="119" t="s">
        <v>3951</v>
      </c>
      <c r="FY198" s="120" t="s">
        <v>3996</v>
      </c>
      <c r="FZ198" s="120" t="s">
        <v>3997</v>
      </c>
      <c r="GA198" s="119" t="s">
        <v>3948</v>
      </c>
      <c r="GB198" s="119" t="s">
        <v>3949</v>
      </c>
      <c r="GC198" s="119" t="s">
        <v>3950</v>
      </c>
      <c r="GD198" s="119" t="s">
        <v>3951</v>
      </c>
      <c r="GE198" s="120" t="s">
        <v>3998</v>
      </c>
      <c r="GF198" s="120" t="s">
        <v>3999</v>
      </c>
      <c r="GG198" s="119" t="s">
        <v>3948</v>
      </c>
      <c r="GH198" s="119" t="s">
        <v>3949</v>
      </c>
      <c r="GI198" s="119" t="s">
        <v>3950</v>
      </c>
      <c r="GJ198" s="119" t="s">
        <v>3951</v>
      </c>
      <c r="GK198" s="120" t="s">
        <v>4000</v>
      </c>
      <c r="GL198" s="120" t="s">
        <v>4001</v>
      </c>
      <c r="GM198" s="119" t="s">
        <v>3948</v>
      </c>
      <c r="GN198" s="119" t="s">
        <v>3949</v>
      </c>
      <c r="GO198" s="119" t="s">
        <v>3950</v>
      </c>
      <c r="GP198" s="119" t="s">
        <v>3951</v>
      </c>
      <c r="GQ198" s="120" t="s">
        <v>4002</v>
      </c>
      <c r="GR198" s="120" t="s">
        <v>4003</v>
      </c>
      <c r="GS198" s="119" t="s">
        <v>3948</v>
      </c>
      <c r="GT198" s="119" t="s">
        <v>3949</v>
      </c>
      <c r="GU198" s="119" t="s">
        <v>3950</v>
      </c>
      <c r="GV198" s="119" t="s">
        <v>3951</v>
      </c>
      <c r="GW198" s="119"/>
      <c r="GX198" s="119" t="s">
        <v>3948</v>
      </c>
      <c r="GY198" s="119" t="s">
        <v>3949</v>
      </c>
      <c r="GZ198" s="119" t="s">
        <v>3950</v>
      </c>
      <c r="HA198" s="119" t="s">
        <v>3951</v>
      </c>
      <c r="HB198" s="119" t="s">
        <v>3948</v>
      </c>
      <c r="HC198" s="119" t="s">
        <v>3949</v>
      </c>
      <c r="HD198" s="119" t="s">
        <v>3950</v>
      </c>
      <c r="HE198" s="119" t="s">
        <v>3951</v>
      </c>
    </row>
    <row r="199" hidden="1" spans="1:185">
      <c r="A199" s="89" t="s">
        <v>230</v>
      </c>
      <c r="B199" s="108" t="s">
        <v>621</v>
      </c>
      <c r="F199" s="89">
        <v>2</v>
      </c>
      <c r="G199" s="89">
        <v>2</v>
      </c>
      <c r="H199" s="89">
        <v>2</v>
      </c>
      <c r="M199" s="89">
        <v>2</v>
      </c>
      <c r="N199" s="89">
        <v>2</v>
      </c>
      <c r="O199" s="89">
        <v>2</v>
      </c>
      <c r="T199" s="89">
        <v>2</v>
      </c>
      <c r="U199" s="89">
        <v>2</v>
      </c>
      <c r="V199" s="89">
        <v>2</v>
      </c>
      <c r="AA199" s="89">
        <v>2</v>
      </c>
      <c r="AB199" s="89">
        <v>2</v>
      </c>
      <c r="AC199" s="89">
        <v>2</v>
      </c>
      <c r="AH199" s="89">
        <v>2</v>
      </c>
      <c r="AI199" s="89">
        <v>2</v>
      </c>
      <c r="AJ199" s="89">
        <v>2</v>
      </c>
      <c r="AO199" s="89">
        <v>2</v>
      </c>
      <c r="AP199" s="89">
        <v>2</v>
      </c>
      <c r="AQ199" s="89">
        <v>2</v>
      </c>
      <c r="AV199" s="89">
        <v>2</v>
      </c>
      <c r="AW199" s="89">
        <v>2</v>
      </c>
      <c r="AX199" s="89">
        <v>2</v>
      </c>
      <c r="BC199" s="89">
        <v>2</v>
      </c>
      <c r="BD199" s="89">
        <v>2</v>
      </c>
      <c r="BE199" s="89">
        <v>2</v>
      </c>
      <c r="BJ199" s="89">
        <v>2</v>
      </c>
      <c r="BK199" s="89">
        <v>2</v>
      </c>
      <c r="BL199" s="89">
        <v>2</v>
      </c>
      <c r="BQ199" s="89">
        <v>2</v>
      </c>
      <c r="BR199" s="89">
        <v>2</v>
      </c>
      <c r="BS199" s="89">
        <v>2</v>
      </c>
      <c r="BX199" s="89">
        <v>2</v>
      </c>
      <c r="BY199" s="89">
        <v>2</v>
      </c>
      <c r="BZ199" s="89">
        <v>2</v>
      </c>
      <c r="CE199" s="89">
        <v>2</v>
      </c>
      <c r="CF199" s="89">
        <v>2</v>
      </c>
      <c r="CG199" s="89">
        <v>2</v>
      </c>
      <c r="CL199" s="89">
        <v>2</v>
      </c>
      <c r="CM199" s="89">
        <v>2</v>
      </c>
      <c r="CN199" s="89">
        <v>2</v>
      </c>
      <c r="CS199" s="89">
        <v>2</v>
      </c>
      <c r="CT199" s="89">
        <v>2</v>
      </c>
      <c r="CU199" s="89">
        <v>2</v>
      </c>
      <c r="CW199" s="95" t="s">
        <v>4637</v>
      </c>
      <c r="CZ199" s="89">
        <v>2</v>
      </c>
      <c r="DA199" s="89">
        <v>2</v>
      </c>
      <c r="DB199" s="89">
        <v>2</v>
      </c>
      <c r="DD199" s="95" t="s">
        <v>4637</v>
      </c>
      <c r="DG199" s="89">
        <v>2</v>
      </c>
      <c r="DH199" s="89">
        <v>2</v>
      </c>
      <c r="DI199" s="89">
        <v>2</v>
      </c>
      <c r="DK199" s="95" t="s">
        <v>4637</v>
      </c>
      <c r="DN199" s="89">
        <v>2</v>
      </c>
      <c r="DO199" s="89">
        <v>2</v>
      </c>
      <c r="DP199" s="89">
        <v>2</v>
      </c>
      <c r="DR199" s="126" t="s">
        <v>4638</v>
      </c>
      <c r="DU199" s="188">
        <v>2</v>
      </c>
      <c r="DV199" s="188">
        <v>2</v>
      </c>
      <c r="DW199" s="188">
        <v>2</v>
      </c>
      <c r="EB199" s="89">
        <v>2</v>
      </c>
      <c r="EC199" s="89">
        <v>2</v>
      </c>
      <c r="ED199" s="89">
        <v>2</v>
      </c>
      <c r="EI199" s="89">
        <v>2</v>
      </c>
      <c r="EJ199" s="89">
        <v>2</v>
      </c>
      <c r="EK199" s="89">
        <v>2</v>
      </c>
      <c r="EP199" s="89">
        <v>2</v>
      </c>
      <c r="EQ199" s="89">
        <v>2</v>
      </c>
      <c r="ER199" s="89">
        <v>2</v>
      </c>
      <c r="EW199" s="89">
        <v>2</v>
      </c>
      <c r="EX199" s="89">
        <v>2</v>
      </c>
      <c r="EY199" s="89">
        <v>2</v>
      </c>
      <c r="FC199" s="89">
        <v>2</v>
      </c>
      <c r="FD199" s="89">
        <v>2</v>
      </c>
      <c r="FE199" s="89">
        <v>2</v>
      </c>
      <c r="FI199" s="89">
        <v>2</v>
      </c>
      <c r="FJ199" s="89">
        <v>2</v>
      </c>
      <c r="FK199" s="89">
        <v>2</v>
      </c>
      <c r="FO199" s="89">
        <v>2</v>
      </c>
      <c r="FP199" s="89">
        <v>2</v>
      </c>
      <c r="FQ199" s="89">
        <v>2</v>
      </c>
      <c r="FU199" s="89">
        <v>2</v>
      </c>
      <c r="FV199" s="89">
        <v>2</v>
      </c>
      <c r="FW199" s="89">
        <v>2</v>
      </c>
      <c r="GA199" s="89">
        <v>2</v>
      </c>
      <c r="GB199" s="89">
        <v>2</v>
      </c>
      <c r="GC199" s="89">
        <v>2</v>
      </c>
    </row>
    <row r="200" hidden="1" spans="1:185">
      <c r="A200" s="89" t="s">
        <v>230</v>
      </c>
      <c r="B200" s="108" t="s">
        <v>622</v>
      </c>
      <c r="C200" s="320"/>
      <c r="F200" s="89">
        <v>2</v>
      </c>
      <c r="G200" s="89">
        <v>2</v>
      </c>
      <c r="H200" s="89">
        <v>2</v>
      </c>
      <c r="J200" s="320"/>
      <c r="M200" s="89">
        <v>2</v>
      </c>
      <c r="N200" s="89">
        <v>2</v>
      </c>
      <c r="O200" s="89">
        <v>2</v>
      </c>
      <c r="Q200" s="320"/>
      <c r="T200" s="89">
        <v>2</v>
      </c>
      <c r="U200" s="89">
        <v>2</v>
      </c>
      <c r="V200" s="89">
        <v>2</v>
      </c>
      <c r="X200" s="320"/>
      <c r="AA200" s="89">
        <v>2</v>
      </c>
      <c r="AB200" s="89">
        <v>2</v>
      </c>
      <c r="AC200" s="89">
        <v>2</v>
      </c>
      <c r="AE200" s="320"/>
      <c r="AH200" s="89">
        <v>2</v>
      </c>
      <c r="AI200" s="89">
        <v>2</v>
      </c>
      <c r="AJ200" s="89">
        <v>2</v>
      </c>
      <c r="AL200" s="320"/>
      <c r="AO200" s="89">
        <v>2</v>
      </c>
      <c r="AP200" s="89">
        <v>2</v>
      </c>
      <c r="AQ200" s="89">
        <v>2</v>
      </c>
      <c r="AS200" s="320"/>
      <c r="AV200" s="89">
        <v>2</v>
      </c>
      <c r="AW200" s="89">
        <v>2</v>
      </c>
      <c r="AX200" s="89">
        <v>2</v>
      </c>
      <c r="AZ200" s="320"/>
      <c r="BC200" s="89">
        <v>2</v>
      </c>
      <c r="BD200" s="89">
        <v>2</v>
      </c>
      <c r="BE200" s="89">
        <v>2</v>
      </c>
      <c r="BG200" s="320"/>
      <c r="BJ200" s="89">
        <v>2</v>
      </c>
      <c r="BK200" s="89">
        <v>2</v>
      </c>
      <c r="BL200" s="89">
        <v>2</v>
      </c>
      <c r="BN200" s="320"/>
      <c r="BQ200" s="89">
        <v>2</v>
      </c>
      <c r="BR200" s="89">
        <v>2</v>
      </c>
      <c r="BS200" s="89">
        <v>2</v>
      </c>
      <c r="BU200" s="320"/>
      <c r="BX200" s="89">
        <v>2</v>
      </c>
      <c r="BY200" s="89">
        <v>2</v>
      </c>
      <c r="BZ200" s="89">
        <v>2</v>
      </c>
      <c r="CB200" s="320"/>
      <c r="CE200" s="89">
        <v>2</v>
      </c>
      <c r="CF200" s="89">
        <v>2</v>
      </c>
      <c r="CG200" s="89">
        <v>2</v>
      </c>
      <c r="CI200" s="320"/>
      <c r="CL200" s="89">
        <v>2</v>
      </c>
      <c r="CM200" s="89">
        <v>2</v>
      </c>
      <c r="CN200" s="89">
        <v>2</v>
      </c>
      <c r="CP200" s="320"/>
      <c r="CS200" s="89">
        <v>2</v>
      </c>
      <c r="CT200" s="89">
        <v>2</v>
      </c>
      <c r="CU200" s="89">
        <v>2</v>
      </c>
      <c r="CW200" s="320" t="s">
        <v>4639</v>
      </c>
      <c r="CZ200" s="89">
        <v>2</v>
      </c>
      <c r="DA200" s="89">
        <v>2</v>
      </c>
      <c r="DB200" s="89">
        <v>2</v>
      </c>
      <c r="DD200" s="320" t="s">
        <v>4639</v>
      </c>
      <c r="DG200" s="89">
        <v>2</v>
      </c>
      <c r="DH200" s="89">
        <v>2</v>
      </c>
      <c r="DI200" s="89">
        <v>2</v>
      </c>
      <c r="DK200" s="320" t="s">
        <v>4639</v>
      </c>
      <c r="DN200" s="89">
        <v>2</v>
      </c>
      <c r="DO200" s="89">
        <v>2</v>
      </c>
      <c r="DP200" s="89">
        <v>2</v>
      </c>
      <c r="DR200" s="322" t="s">
        <v>4640</v>
      </c>
      <c r="DU200" s="88">
        <v>2</v>
      </c>
      <c r="DV200" s="88">
        <v>2</v>
      </c>
      <c r="DW200" s="88">
        <v>2</v>
      </c>
      <c r="DY200" s="320" t="s">
        <v>4641</v>
      </c>
      <c r="EB200" s="89">
        <v>4</v>
      </c>
      <c r="EC200" s="89">
        <v>4</v>
      </c>
      <c r="ED200" s="89">
        <v>4</v>
      </c>
      <c r="EF200" s="320" t="s">
        <v>4641</v>
      </c>
      <c r="EI200" s="89">
        <v>4</v>
      </c>
      <c r="EJ200" s="89">
        <v>4</v>
      </c>
      <c r="EK200" s="89">
        <v>4</v>
      </c>
      <c r="EM200" s="320" t="s">
        <v>4641</v>
      </c>
      <c r="EP200" s="89">
        <v>4</v>
      </c>
      <c r="EQ200" s="89">
        <v>4</v>
      </c>
      <c r="ER200" s="89">
        <v>4</v>
      </c>
      <c r="ET200" s="320" t="s">
        <v>4641</v>
      </c>
      <c r="EW200" s="89">
        <v>4</v>
      </c>
      <c r="EX200" s="89">
        <v>4</v>
      </c>
      <c r="EY200" s="89">
        <v>4</v>
      </c>
      <c r="FA200" s="320" t="s">
        <v>4641</v>
      </c>
      <c r="FC200" s="89">
        <v>4</v>
      </c>
      <c r="FD200" s="89">
        <v>4</v>
      </c>
      <c r="FE200" s="89">
        <v>4</v>
      </c>
      <c r="FG200" s="320" t="s">
        <v>4641</v>
      </c>
      <c r="FI200" s="89">
        <v>4</v>
      </c>
      <c r="FJ200" s="89">
        <v>4</v>
      </c>
      <c r="FK200" s="89">
        <v>4</v>
      </c>
      <c r="FM200" s="322" t="s">
        <v>4642</v>
      </c>
      <c r="FO200" s="89">
        <v>4</v>
      </c>
      <c r="FP200" s="323">
        <v>4</v>
      </c>
      <c r="FQ200" s="323">
        <v>4</v>
      </c>
      <c r="FS200" s="95" t="s">
        <v>4643</v>
      </c>
      <c r="FU200" s="89">
        <v>4</v>
      </c>
      <c r="FV200" s="89">
        <v>5</v>
      </c>
      <c r="FW200" s="89">
        <v>5</v>
      </c>
      <c r="GA200" s="89">
        <v>4</v>
      </c>
      <c r="GB200" s="89">
        <v>5</v>
      </c>
      <c r="GC200" s="89">
        <v>5</v>
      </c>
    </row>
    <row r="201" hidden="1" spans="1:185">
      <c r="A201" s="89" t="s">
        <v>230</v>
      </c>
      <c r="B201" s="114" t="s">
        <v>623</v>
      </c>
      <c r="F201" s="89">
        <v>1</v>
      </c>
      <c r="G201" s="89">
        <v>1</v>
      </c>
      <c r="H201" s="89">
        <v>1</v>
      </c>
      <c r="M201" s="89">
        <v>1</v>
      </c>
      <c r="N201" s="89">
        <v>1</v>
      </c>
      <c r="O201" s="89">
        <v>1</v>
      </c>
      <c r="T201" s="89">
        <v>1</v>
      </c>
      <c r="U201" s="89">
        <v>1</v>
      </c>
      <c r="V201" s="89">
        <v>1</v>
      </c>
      <c r="AA201" s="89">
        <v>1</v>
      </c>
      <c r="AB201" s="89">
        <v>1</v>
      </c>
      <c r="AC201" s="89">
        <v>1</v>
      </c>
      <c r="AH201" s="89">
        <v>1</v>
      </c>
      <c r="AI201" s="89">
        <v>1</v>
      </c>
      <c r="AJ201" s="89">
        <v>1</v>
      </c>
      <c r="AO201" s="89">
        <v>1</v>
      </c>
      <c r="AP201" s="89">
        <v>1</v>
      </c>
      <c r="AQ201" s="89">
        <v>1</v>
      </c>
      <c r="AV201" s="89">
        <v>1</v>
      </c>
      <c r="AW201" s="89">
        <v>1</v>
      </c>
      <c r="AX201" s="89">
        <v>1</v>
      </c>
      <c r="BC201" s="89">
        <v>1</v>
      </c>
      <c r="BD201" s="89">
        <v>1</v>
      </c>
      <c r="BE201" s="89">
        <v>1</v>
      </c>
      <c r="BJ201" s="89">
        <v>1</v>
      </c>
      <c r="BK201" s="89">
        <v>1</v>
      </c>
      <c r="BL201" s="89">
        <v>1</v>
      </c>
      <c r="BQ201" s="89">
        <v>1</v>
      </c>
      <c r="BR201" s="89">
        <v>1</v>
      </c>
      <c r="BS201" s="89">
        <v>1</v>
      </c>
      <c r="BX201" s="89">
        <v>1</v>
      </c>
      <c r="BY201" s="89">
        <v>1</v>
      </c>
      <c r="BZ201" s="89">
        <v>1</v>
      </c>
      <c r="CE201" s="89">
        <v>1</v>
      </c>
      <c r="CF201" s="89">
        <v>1</v>
      </c>
      <c r="CG201" s="89">
        <v>1</v>
      </c>
      <c r="CL201" s="89">
        <v>1</v>
      </c>
      <c r="CM201" s="89">
        <v>1</v>
      </c>
      <c r="CN201" s="89">
        <v>1</v>
      </c>
      <c r="CS201" s="89">
        <v>1</v>
      </c>
      <c r="CT201" s="89">
        <v>1</v>
      </c>
      <c r="CU201" s="89">
        <v>1</v>
      </c>
      <c r="CW201" s="95" t="s">
        <v>4644</v>
      </c>
      <c r="CZ201" s="89">
        <v>1</v>
      </c>
      <c r="DA201" s="89">
        <v>1</v>
      </c>
      <c r="DB201" s="89">
        <v>1</v>
      </c>
      <c r="DD201" s="95" t="s">
        <v>4644</v>
      </c>
      <c r="DG201" s="89">
        <v>1</v>
      </c>
      <c r="DH201" s="89">
        <v>1</v>
      </c>
      <c r="DI201" s="89">
        <v>1</v>
      </c>
      <c r="DK201" s="95" t="s">
        <v>4644</v>
      </c>
      <c r="DN201" s="89">
        <v>1</v>
      </c>
      <c r="DO201" s="89">
        <v>1</v>
      </c>
      <c r="DP201" s="89">
        <v>1</v>
      </c>
      <c r="DR201" s="126" t="s">
        <v>4645</v>
      </c>
      <c r="DU201" s="88">
        <v>1</v>
      </c>
      <c r="DV201" s="88">
        <v>1</v>
      </c>
      <c r="DW201" s="88">
        <v>1</v>
      </c>
      <c r="EB201" s="89">
        <v>3</v>
      </c>
      <c r="EC201" s="89">
        <v>3</v>
      </c>
      <c r="ED201" s="89">
        <v>3</v>
      </c>
      <c r="EI201" s="89">
        <v>3</v>
      </c>
      <c r="EJ201" s="89">
        <v>3</v>
      </c>
      <c r="EK201" s="89">
        <v>3</v>
      </c>
      <c r="EP201" s="89">
        <v>3</v>
      </c>
      <c r="EQ201" s="89">
        <v>3</v>
      </c>
      <c r="ER201" s="89">
        <v>3</v>
      </c>
      <c r="EW201" s="89">
        <v>3</v>
      </c>
      <c r="EX201" s="89">
        <v>3</v>
      </c>
      <c r="EY201" s="89">
        <v>3</v>
      </c>
      <c r="FC201" s="89">
        <v>3</v>
      </c>
      <c r="FD201" s="89">
        <v>3</v>
      </c>
      <c r="FE201" s="89">
        <v>3</v>
      </c>
      <c r="FI201" s="89">
        <v>3</v>
      </c>
      <c r="FJ201" s="89">
        <v>3</v>
      </c>
      <c r="FK201" s="89">
        <v>3</v>
      </c>
      <c r="FO201" s="89">
        <v>3</v>
      </c>
      <c r="FP201" s="89">
        <v>3</v>
      </c>
      <c r="FQ201" s="89">
        <v>3</v>
      </c>
      <c r="FU201" s="89">
        <v>3</v>
      </c>
      <c r="FV201" s="89">
        <v>3</v>
      </c>
      <c r="FW201" s="89">
        <v>3</v>
      </c>
      <c r="GA201" s="89">
        <v>3</v>
      </c>
      <c r="GB201" s="89">
        <v>3</v>
      </c>
      <c r="GC201" s="89">
        <v>3</v>
      </c>
    </row>
    <row r="202" ht="28.8" hidden="1" spans="1:185">
      <c r="A202" s="89" t="s">
        <v>230</v>
      </c>
      <c r="B202" s="108" t="s">
        <v>624</v>
      </c>
      <c r="F202" s="89">
        <v>4</v>
      </c>
      <c r="G202" s="89">
        <v>4</v>
      </c>
      <c r="H202" s="89">
        <v>4</v>
      </c>
      <c r="M202" s="89">
        <v>4</v>
      </c>
      <c r="N202" s="89">
        <v>4</v>
      </c>
      <c r="O202" s="89">
        <v>4</v>
      </c>
      <c r="T202" s="89">
        <v>4</v>
      </c>
      <c r="U202" s="89">
        <v>4</v>
      </c>
      <c r="V202" s="89">
        <v>4</v>
      </c>
      <c r="AA202" s="89">
        <v>4</v>
      </c>
      <c r="AB202" s="89">
        <v>4</v>
      </c>
      <c r="AC202" s="89">
        <v>4</v>
      </c>
      <c r="AH202" s="89">
        <v>4</v>
      </c>
      <c r="AI202" s="89">
        <v>4</v>
      </c>
      <c r="AJ202" s="89">
        <v>4</v>
      </c>
      <c r="AO202" s="89">
        <v>4</v>
      </c>
      <c r="AP202" s="89">
        <v>4</v>
      </c>
      <c r="AQ202" s="89">
        <v>4</v>
      </c>
      <c r="AV202" s="89">
        <v>4</v>
      </c>
      <c r="AW202" s="89">
        <v>4</v>
      </c>
      <c r="AX202" s="89">
        <v>4</v>
      </c>
      <c r="BC202" s="89">
        <v>4</v>
      </c>
      <c r="BD202" s="89">
        <v>4</v>
      </c>
      <c r="BE202" s="89">
        <v>4</v>
      </c>
      <c r="BJ202" s="89">
        <v>4</v>
      </c>
      <c r="BK202" s="89">
        <v>4</v>
      </c>
      <c r="BL202" s="89">
        <v>4</v>
      </c>
      <c r="BQ202" s="89">
        <v>4</v>
      </c>
      <c r="BR202" s="89">
        <v>4</v>
      </c>
      <c r="BS202" s="89">
        <v>4</v>
      </c>
      <c r="BX202" s="89">
        <v>4</v>
      </c>
      <c r="BY202" s="89">
        <v>4</v>
      </c>
      <c r="BZ202" s="89">
        <v>4</v>
      </c>
      <c r="CE202" s="89">
        <v>4</v>
      </c>
      <c r="CF202" s="89">
        <v>4</v>
      </c>
      <c r="CG202" s="89">
        <v>4</v>
      </c>
      <c r="CL202" s="89">
        <v>4</v>
      </c>
      <c r="CM202" s="89">
        <v>4</v>
      </c>
      <c r="CN202" s="89">
        <v>4</v>
      </c>
      <c r="CS202" s="89">
        <v>4</v>
      </c>
      <c r="CT202" s="89">
        <v>4</v>
      </c>
      <c r="CU202" s="89">
        <v>4</v>
      </c>
      <c r="CW202" s="95" t="s">
        <v>4646</v>
      </c>
      <c r="CZ202" s="89">
        <v>4</v>
      </c>
      <c r="DA202" s="89">
        <v>4</v>
      </c>
      <c r="DB202" s="89">
        <v>4</v>
      </c>
      <c r="DD202" s="95" t="s">
        <v>4646</v>
      </c>
      <c r="DG202" s="89">
        <v>4</v>
      </c>
      <c r="DH202" s="89">
        <v>4</v>
      </c>
      <c r="DI202" s="89">
        <v>4</v>
      </c>
      <c r="DK202" s="95" t="s">
        <v>4646</v>
      </c>
      <c r="DN202" s="89">
        <v>4</v>
      </c>
      <c r="DO202" s="89">
        <v>4</v>
      </c>
      <c r="DP202" s="89">
        <v>4</v>
      </c>
      <c r="DR202" s="194" t="s">
        <v>4647</v>
      </c>
      <c r="DU202" s="88">
        <v>4</v>
      </c>
      <c r="DV202" s="88">
        <v>4</v>
      </c>
      <c r="DW202" s="88">
        <v>4</v>
      </c>
      <c r="DY202" s="126" t="s">
        <v>4648</v>
      </c>
      <c r="EB202" s="89">
        <v>5</v>
      </c>
      <c r="EC202" s="89">
        <v>5</v>
      </c>
      <c r="ED202" s="89">
        <v>5</v>
      </c>
      <c r="EF202" s="126" t="s">
        <v>4648</v>
      </c>
      <c r="EI202" s="89">
        <v>5</v>
      </c>
      <c r="EJ202" s="89">
        <v>5</v>
      </c>
      <c r="EK202" s="89">
        <v>5</v>
      </c>
      <c r="EP202" s="89">
        <v>5</v>
      </c>
      <c r="EQ202" s="89">
        <v>5</v>
      </c>
      <c r="ER202" s="89">
        <v>5</v>
      </c>
      <c r="EW202" s="89">
        <v>5</v>
      </c>
      <c r="EX202" s="89">
        <v>5</v>
      </c>
      <c r="EY202" s="89">
        <v>5</v>
      </c>
      <c r="FC202" s="89">
        <v>5</v>
      </c>
      <c r="FD202" s="89">
        <v>5</v>
      </c>
      <c r="FE202" s="89">
        <v>5</v>
      </c>
      <c r="FI202" s="89">
        <v>5</v>
      </c>
      <c r="FJ202" s="89">
        <v>5</v>
      </c>
      <c r="FK202" s="89">
        <v>5</v>
      </c>
      <c r="FO202" s="89">
        <v>5</v>
      </c>
      <c r="FP202" s="88">
        <v>5</v>
      </c>
      <c r="FQ202" s="88">
        <v>5</v>
      </c>
      <c r="FU202" s="89">
        <v>5</v>
      </c>
      <c r="FV202" s="89">
        <v>4</v>
      </c>
      <c r="FW202" s="89">
        <v>4</v>
      </c>
      <c r="GA202" s="89">
        <v>5</v>
      </c>
      <c r="GB202" s="89">
        <v>4</v>
      </c>
      <c r="GC202" s="89">
        <v>4</v>
      </c>
    </row>
    <row r="203" ht="15.6" hidden="1" spans="1:213">
      <c r="A203" s="149" t="s">
        <v>227</v>
      </c>
      <c r="B203" s="150" t="s">
        <v>4649</v>
      </c>
      <c r="C203" s="125"/>
      <c r="E203" s="194" t="s">
        <v>49</v>
      </c>
      <c r="F203" s="89">
        <v>3</v>
      </c>
      <c r="G203" s="89">
        <v>3</v>
      </c>
      <c r="H203" s="89">
        <v>3</v>
      </c>
      <c r="J203" s="125"/>
      <c r="L203" s="194" t="s">
        <v>49</v>
      </c>
      <c r="M203" s="89">
        <v>3</v>
      </c>
      <c r="N203" s="89">
        <v>3</v>
      </c>
      <c r="O203" s="89">
        <v>3</v>
      </c>
      <c r="Q203" s="125"/>
      <c r="S203" s="194" t="s">
        <v>49</v>
      </c>
      <c r="T203" s="89">
        <v>3</v>
      </c>
      <c r="U203" s="89">
        <v>3</v>
      </c>
      <c r="V203" s="89">
        <v>3</v>
      </c>
      <c r="X203" s="125"/>
      <c r="Z203" s="194" t="s">
        <v>49</v>
      </c>
      <c r="AA203" s="89">
        <v>3</v>
      </c>
      <c r="AB203" s="89">
        <v>3</v>
      </c>
      <c r="AC203" s="89">
        <v>3</v>
      </c>
      <c r="AE203" s="125"/>
      <c r="AG203" s="194" t="s">
        <v>49</v>
      </c>
      <c r="AH203" s="89">
        <v>3</v>
      </c>
      <c r="AI203" s="89">
        <v>3</v>
      </c>
      <c r="AJ203" s="89">
        <v>3</v>
      </c>
      <c r="AL203" s="125"/>
      <c r="AN203" s="95" t="s">
        <v>49</v>
      </c>
      <c r="AO203" s="89">
        <v>3</v>
      </c>
      <c r="AP203" s="89">
        <v>3</v>
      </c>
      <c r="AQ203" s="89">
        <v>3</v>
      </c>
      <c r="AS203" s="125"/>
      <c r="AU203" s="95" t="s">
        <v>49</v>
      </c>
      <c r="AV203" s="89">
        <v>3</v>
      </c>
      <c r="AW203" s="89">
        <v>3</v>
      </c>
      <c r="AX203" s="89">
        <v>3</v>
      </c>
      <c r="AZ203" s="125"/>
      <c r="BB203" s="95" t="s">
        <v>49</v>
      </c>
      <c r="BC203" s="89">
        <v>3</v>
      </c>
      <c r="BD203" s="89">
        <v>3</v>
      </c>
      <c r="BE203" s="89">
        <v>3</v>
      </c>
      <c r="BG203" s="125"/>
      <c r="BI203" s="95" t="s">
        <v>49</v>
      </c>
      <c r="BJ203" s="89">
        <v>3</v>
      </c>
      <c r="BK203" s="89">
        <v>3</v>
      </c>
      <c r="BL203" s="89">
        <v>3</v>
      </c>
      <c r="BN203" s="125"/>
      <c r="BP203" s="95" t="s">
        <v>49</v>
      </c>
      <c r="BQ203" s="89">
        <v>3</v>
      </c>
      <c r="BR203" s="89">
        <v>3</v>
      </c>
      <c r="BS203" s="89">
        <v>3</v>
      </c>
      <c r="BU203" s="125"/>
      <c r="BW203" s="95" t="s">
        <v>49</v>
      </c>
      <c r="BX203" s="89">
        <v>3</v>
      </c>
      <c r="BY203" s="89">
        <v>3</v>
      </c>
      <c r="BZ203" s="89">
        <v>3</v>
      </c>
      <c r="CB203" s="125"/>
      <c r="CD203" s="95" t="s">
        <v>49</v>
      </c>
      <c r="CE203" s="89">
        <v>3</v>
      </c>
      <c r="CF203" s="89">
        <v>3</v>
      </c>
      <c r="CG203" s="89">
        <v>3</v>
      </c>
      <c r="CI203" s="125"/>
      <c r="CK203" s="95" t="s">
        <v>49</v>
      </c>
      <c r="CL203" s="89">
        <v>3</v>
      </c>
      <c r="CM203" s="89">
        <v>3</v>
      </c>
      <c r="CN203" s="89">
        <v>3</v>
      </c>
      <c r="CP203" s="125"/>
      <c r="CR203" s="95" t="s">
        <v>49</v>
      </c>
      <c r="CS203" s="89">
        <v>3</v>
      </c>
      <c r="CT203" s="89">
        <v>3</v>
      </c>
      <c r="CU203" s="89">
        <v>3</v>
      </c>
      <c r="CW203" s="125" t="s">
        <v>4392</v>
      </c>
      <c r="CY203" s="95" t="s">
        <v>49</v>
      </c>
      <c r="CZ203" s="89">
        <v>3</v>
      </c>
      <c r="DA203" s="89">
        <v>3</v>
      </c>
      <c r="DB203" s="89">
        <v>3</v>
      </c>
      <c r="DD203" s="125" t="s">
        <v>4392</v>
      </c>
      <c r="DF203" s="95" t="s">
        <v>49</v>
      </c>
      <c r="DG203" s="89">
        <v>3</v>
      </c>
      <c r="DH203" s="89">
        <v>3</v>
      </c>
      <c r="DI203" s="89">
        <v>3</v>
      </c>
      <c r="DK203" s="125" t="s">
        <v>4392</v>
      </c>
      <c r="DM203" s="95" t="s">
        <v>49</v>
      </c>
      <c r="DN203" s="89">
        <v>3</v>
      </c>
      <c r="DO203" s="89">
        <v>3</v>
      </c>
      <c r="DP203" s="89">
        <v>3</v>
      </c>
      <c r="DR203" s="124" t="s">
        <v>4392</v>
      </c>
      <c r="DT203" s="194" t="s">
        <v>49</v>
      </c>
      <c r="DU203" s="88">
        <v>3</v>
      </c>
      <c r="DV203" s="88">
        <v>3</v>
      </c>
      <c r="DW203" s="88">
        <v>3</v>
      </c>
      <c r="EA203" s="95" t="s">
        <v>49</v>
      </c>
      <c r="EB203" s="89">
        <v>1</v>
      </c>
      <c r="EC203" s="89">
        <v>1</v>
      </c>
      <c r="ED203" s="89">
        <v>1</v>
      </c>
      <c r="EH203" s="95" t="s">
        <v>49</v>
      </c>
      <c r="EI203" s="89">
        <v>1</v>
      </c>
      <c r="EJ203" s="89">
        <v>1</v>
      </c>
      <c r="EK203" s="89">
        <v>1</v>
      </c>
      <c r="EO203" s="95" t="s">
        <v>49</v>
      </c>
      <c r="EP203" s="89">
        <v>1</v>
      </c>
      <c r="EQ203" s="89">
        <v>1</v>
      </c>
      <c r="ER203" s="89">
        <v>1</v>
      </c>
      <c r="EV203" s="95" t="s">
        <v>49</v>
      </c>
      <c r="EW203" s="89">
        <v>1</v>
      </c>
      <c r="EX203" s="89">
        <v>1</v>
      </c>
      <c r="EY203" s="89">
        <v>1</v>
      </c>
      <c r="FC203" s="89">
        <v>1</v>
      </c>
      <c r="FD203" s="89">
        <v>1</v>
      </c>
      <c r="FE203" s="89">
        <v>1</v>
      </c>
      <c r="FI203" s="89">
        <v>1</v>
      </c>
      <c r="FJ203" s="89">
        <v>1</v>
      </c>
      <c r="FK203" s="89">
        <v>1</v>
      </c>
      <c r="FO203" s="89">
        <v>1</v>
      </c>
      <c r="FP203" s="89">
        <v>1</v>
      </c>
      <c r="FQ203" s="89">
        <v>1</v>
      </c>
      <c r="FT203" s="126"/>
      <c r="FU203" s="89">
        <v>1</v>
      </c>
      <c r="FV203" s="89">
        <v>1</v>
      </c>
      <c r="FW203" s="89">
        <v>1</v>
      </c>
      <c r="FZ203" s="126"/>
      <c r="GA203" s="89">
        <v>1</v>
      </c>
      <c r="GB203" s="89">
        <v>1</v>
      </c>
      <c r="GC203" s="89">
        <v>1</v>
      </c>
      <c r="GF203" s="126"/>
      <c r="GL203" s="126"/>
      <c r="GR203" s="126"/>
      <c r="HB203" s="88"/>
      <c r="HC203" s="88"/>
      <c r="HD203" s="88"/>
      <c r="HE203" s="88"/>
    </row>
    <row r="204" hidden="1" spans="1:2">
      <c r="A204" s="89" t="s">
        <v>446</v>
      </c>
      <c r="B204" s="89" t="s">
        <v>4650</v>
      </c>
    </row>
    <row r="205" hidden="1"/>
    <row r="206" hidden="1" spans="1:1">
      <c r="A206" s="101"/>
    </row>
    <row r="207" hidden="1"/>
    <row r="208" hidden="1" customHeight="1" spans="1:213">
      <c r="A208" s="96" t="s">
        <v>193</v>
      </c>
      <c r="B208" s="97"/>
      <c r="C208" s="116" t="s">
        <v>3923</v>
      </c>
      <c r="D208" s="128"/>
      <c r="E208" s="128"/>
      <c r="F208" s="128"/>
      <c r="G208" s="128"/>
      <c r="H208" s="128"/>
      <c r="I208" s="132"/>
      <c r="J208" s="116" t="s">
        <v>3923</v>
      </c>
      <c r="K208" s="128"/>
      <c r="L208" s="128"/>
      <c r="M208" s="128"/>
      <c r="N208" s="128"/>
      <c r="O208" s="128"/>
      <c r="P208" s="132"/>
      <c r="Q208" s="116" t="s">
        <v>4083</v>
      </c>
      <c r="R208" s="128"/>
      <c r="S208" s="128"/>
      <c r="T208" s="128"/>
      <c r="U208" s="128"/>
      <c r="V208" s="128"/>
      <c r="W208" s="132"/>
      <c r="X208" s="116" t="s">
        <v>3925</v>
      </c>
      <c r="Y208" s="128"/>
      <c r="Z208" s="128"/>
      <c r="AA208" s="128"/>
      <c r="AB208" s="128"/>
      <c r="AC208" s="128"/>
      <c r="AD208" s="132"/>
      <c r="AE208" s="116" t="s">
        <v>3926</v>
      </c>
      <c r="AF208" s="128"/>
      <c r="AG208" s="128"/>
      <c r="AH208" s="128"/>
      <c r="AI208" s="128"/>
      <c r="AJ208" s="128"/>
      <c r="AK208" s="132"/>
      <c r="AL208" s="116" t="s">
        <v>3927</v>
      </c>
      <c r="AM208" s="128"/>
      <c r="AN208" s="128"/>
      <c r="AO208" s="128"/>
      <c r="AP208" s="128"/>
      <c r="AQ208" s="128"/>
      <c r="AR208" s="132"/>
      <c r="AS208" s="116" t="s">
        <v>3928</v>
      </c>
      <c r="AT208" s="128"/>
      <c r="AU208" s="128"/>
      <c r="AV208" s="128"/>
      <c r="AW208" s="128"/>
      <c r="AX208" s="128"/>
      <c r="AY208" s="132"/>
      <c r="AZ208" s="116" t="s">
        <v>3929</v>
      </c>
      <c r="BA208" s="128"/>
      <c r="BB208" s="128"/>
      <c r="BC208" s="128"/>
      <c r="BD208" s="128"/>
      <c r="BE208" s="128"/>
      <c r="BF208" s="132"/>
      <c r="BG208" s="116" t="s">
        <v>3930</v>
      </c>
      <c r="BH208" s="128"/>
      <c r="BI208" s="128"/>
      <c r="BJ208" s="128"/>
      <c r="BK208" s="128"/>
      <c r="BL208" s="128"/>
      <c r="BM208" s="132"/>
      <c r="BN208" s="116" t="s">
        <v>3931</v>
      </c>
      <c r="BO208" s="128"/>
      <c r="BP208" s="128"/>
      <c r="BQ208" s="128"/>
      <c r="BR208" s="128"/>
      <c r="BS208" s="128"/>
      <c r="BT208" s="132"/>
      <c r="BU208" s="116" t="s">
        <v>3932</v>
      </c>
      <c r="BV208" s="128"/>
      <c r="BW208" s="128"/>
      <c r="BX208" s="128"/>
      <c r="BY208" s="128"/>
      <c r="BZ208" s="128"/>
      <c r="CA208" s="132"/>
      <c r="CB208" s="116" t="s">
        <v>3933</v>
      </c>
      <c r="CC208" s="128"/>
      <c r="CD208" s="128"/>
      <c r="CE208" s="128"/>
      <c r="CF208" s="128"/>
      <c r="CG208" s="128"/>
      <c r="CH208" s="132"/>
      <c r="CI208" s="116" t="s">
        <v>3922</v>
      </c>
      <c r="CJ208" s="128"/>
      <c r="CK208" s="128"/>
      <c r="CL208" s="128"/>
      <c r="CM208" s="128"/>
      <c r="CN208" s="128"/>
      <c r="CO208" s="132"/>
      <c r="CP208" s="116" t="s">
        <v>3934</v>
      </c>
      <c r="CQ208" s="128"/>
      <c r="CR208" s="128"/>
      <c r="CS208" s="128"/>
      <c r="CT208" s="128"/>
      <c r="CU208" s="128"/>
      <c r="CV208" s="132"/>
      <c r="CW208" s="116" t="s">
        <v>3924</v>
      </c>
      <c r="CX208" s="128"/>
      <c r="CY208" s="128"/>
      <c r="CZ208" s="128"/>
      <c r="DA208" s="128"/>
      <c r="DB208" s="128"/>
      <c r="DC208" s="132"/>
      <c r="DD208" s="116" t="s">
        <v>3935</v>
      </c>
      <c r="DE208" s="128"/>
      <c r="DF208" s="128"/>
      <c r="DG208" s="128"/>
      <c r="DH208" s="128"/>
      <c r="DI208" s="128"/>
      <c r="DJ208" s="132"/>
      <c r="DK208" s="116" t="s">
        <v>3936</v>
      </c>
      <c r="DL208" s="128"/>
      <c r="DM208" s="128"/>
      <c r="DN208" s="128"/>
      <c r="DO208" s="128"/>
      <c r="DP208" s="128"/>
      <c r="DQ208" s="132"/>
      <c r="DR208" s="325" t="s">
        <v>3937</v>
      </c>
      <c r="DS208" s="326"/>
      <c r="DT208" s="326"/>
      <c r="DU208" s="326"/>
      <c r="DV208" s="326"/>
      <c r="DW208" s="326"/>
      <c r="DX208" s="327"/>
      <c r="DY208" s="116" t="s">
        <v>3928</v>
      </c>
      <c r="DZ208" s="128"/>
      <c r="EA208" s="128"/>
      <c r="EB208" s="128"/>
      <c r="EC208" s="128"/>
      <c r="ED208" s="128"/>
      <c r="EE208" s="132"/>
      <c r="EF208" s="116" t="s">
        <v>3929</v>
      </c>
      <c r="EG208" s="128"/>
      <c r="EH208" s="128"/>
      <c r="EI208" s="128"/>
      <c r="EJ208" s="128"/>
      <c r="EK208" s="128"/>
      <c r="EL208" s="132"/>
      <c r="EM208" s="116" t="s">
        <v>4084</v>
      </c>
      <c r="EN208" s="128"/>
      <c r="EO208" s="128"/>
      <c r="EP208" s="128"/>
      <c r="EQ208" s="128"/>
      <c r="ER208" s="128"/>
      <c r="ES208" s="132"/>
      <c r="EU208" s="332"/>
      <c r="EV208" s="332"/>
      <c r="EW208" s="116" t="s">
        <v>4085</v>
      </c>
      <c r="EX208" s="128"/>
      <c r="EY208" s="128"/>
      <c r="EZ208" s="132"/>
      <c r="FB208" s="332"/>
      <c r="FC208" s="116" t="s">
        <v>4086</v>
      </c>
      <c r="FD208" s="128"/>
      <c r="FE208" s="128"/>
      <c r="FF208" s="132"/>
      <c r="FH208" s="332"/>
      <c r="FI208" s="116" t="s">
        <v>4087</v>
      </c>
      <c r="FJ208" s="128"/>
      <c r="FK208" s="128"/>
      <c r="FL208" s="132"/>
      <c r="FN208" s="332"/>
      <c r="FO208" s="116" t="s">
        <v>4088</v>
      </c>
      <c r="FP208" s="128"/>
      <c r="FQ208" s="128"/>
      <c r="FR208" s="132"/>
      <c r="FT208" s="332"/>
      <c r="FU208" s="116" t="s">
        <v>4089</v>
      </c>
      <c r="FV208" s="128"/>
      <c r="FW208" s="128"/>
      <c r="FX208" s="132"/>
      <c r="FZ208" s="332"/>
      <c r="GA208" s="116" t="s">
        <v>4090</v>
      </c>
      <c r="GB208" s="128"/>
      <c r="GC208" s="128"/>
      <c r="GD208" s="132"/>
      <c r="GF208" s="332"/>
      <c r="GG208" s="116" t="s">
        <v>4091</v>
      </c>
      <c r="GH208" s="128"/>
      <c r="GI208" s="128"/>
      <c r="GJ208" s="132"/>
      <c r="GL208" s="332"/>
      <c r="GM208" s="116" t="s">
        <v>3941</v>
      </c>
      <c r="GN208" s="128"/>
      <c r="GO208" s="128"/>
      <c r="GP208" s="132"/>
      <c r="GR208" s="332"/>
      <c r="GS208" s="116" t="s">
        <v>3941</v>
      </c>
      <c r="GT208" s="128"/>
      <c r="GU208" s="128"/>
      <c r="GV208" s="132"/>
      <c r="GW208" s="128"/>
      <c r="GX208" s="116" t="s">
        <v>3942</v>
      </c>
      <c r="GY208" s="128"/>
      <c r="GZ208" s="128"/>
      <c r="HA208" s="132"/>
      <c r="HB208" s="116" t="s">
        <v>3943</v>
      </c>
      <c r="HC208" s="128"/>
      <c r="HD208" s="128"/>
      <c r="HE208" s="132"/>
    </row>
    <row r="209" ht="28.2" hidden="1" spans="1:213">
      <c r="A209" s="101" t="s">
        <v>3944</v>
      </c>
      <c r="B209" s="102" t="s">
        <v>207</v>
      </c>
      <c r="C209" s="120" t="s">
        <v>3945</v>
      </c>
      <c r="D209" s="120" t="s">
        <v>3946</v>
      </c>
      <c r="E209" s="313" t="s">
        <v>3947</v>
      </c>
      <c r="F209" s="119" t="s">
        <v>3948</v>
      </c>
      <c r="G209" s="119" t="s">
        <v>3949</v>
      </c>
      <c r="H209" s="119" t="s">
        <v>3950</v>
      </c>
      <c r="I209" s="119" t="s">
        <v>3951</v>
      </c>
      <c r="J209" s="120" t="s">
        <v>3945</v>
      </c>
      <c r="K209" s="120" t="s">
        <v>3946</v>
      </c>
      <c r="L209" s="313" t="s">
        <v>3947</v>
      </c>
      <c r="M209" s="119" t="s">
        <v>3948</v>
      </c>
      <c r="N209" s="119" t="s">
        <v>3949</v>
      </c>
      <c r="O209" s="119" t="s">
        <v>3950</v>
      </c>
      <c r="P209" s="119" t="s">
        <v>3951</v>
      </c>
      <c r="Q209" s="120" t="s">
        <v>3945</v>
      </c>
      <c r="R209" s="120" t="s">
        <v>3946</v>
      </c>
      <c r="S209" s="313" t="s">
        <v>3947</v>
      </c>
      <c r="T209" s="119" t="s">
        <v>3948</v>
      </c>
      <c r="U209" s="119" t="s">
        <v>3949</v>
      </c>
      <c r="V209" s="119" t="s">
        <v>3950</v>
      </c>
      <c r="W209" s="119" t="s">
        <v>3951</v>
      </c>
      <c r="X209" s="120" t="s">
        <v>3952</v>
      </c>
      <c r="Y209" s="120" t="s">
        <v>3953</v>
      </c>
      <c r="Z209" s="313" t="s">
        <v>3947</v>
      </c>
      <c r="AA209" s="119" t="s">
        <v>3948</v>
      </c>
      <c r="AB209" s="119" t="s">
        <v>3949</v>
      </c>
      <c r="AC209" s="119" t="s">
        <v>3950</v>
      </c>
      <c r="AD209" s="119" t="s">
        <v>3951</v>
      </c>
      <c r="AE209" s="120" t="s">
        <v>3954</v>
      </c>
      <c r="AF209" s="120" t="s">
        <v>3955</v>
      </c>
      <c r="AG209" s="313" t="s">
        <v>3947</v>
      </c>
      <c r="AH209" s="119" t="s">
        <v>3948</v>
      </c>
      <c r="AI209" s="119" t="s">
        <v>3949</v>
      </c>
      <c r="AJ209" s="119" t="s">
        <v>3950</v>
      </c>
      <c r="AK209" s="119" t="s">
        <v>3951</v>
      </c>
      <c r="AL209" s="120" t="s">
        <v>3956</v>
      </c>
      <c r="AM209" s="120" t="s">
        <v>3957</v>
      </c>
      <c r="AN209" s="119" t="s">
        <v>3947</v>
      </c>
      <c r="AO209" s="119" t="s">
        <v>3948</v>
      </c>
      <c r="AP209" s="119" t="s">
        <v>3949</v>
      </c>
      <c r="AQ209" s="119" t="s">
        <v>3950</v>
      </c>
      <c r="AR209" s="119" t="s">
        <v>3951</v>
      </c>
      <c r="AS209" s="120" t="s">
        <v>3958</v>
      </c>
      <c r="AT209" s="120" t="s">
        <v>3959</v>
      </c>
      <c r="AU209" s="119" t="s">
        <v>3947</v>
      </c>
      <c r="AV209" s="119" t="s">
        <v>3948</v>
      </c>
      <c r="AW209" s="119" t="s">
        <v>3949</v>
      </c>
      <c r="AX209" s="119" t="s">
        <v>3950</v>
      </c>
      <c r="AY209" s="119" t="s">
        <v>3951</v>
      </c>
      <c r="AZ209" s="120" t="s">
        <v>3960</v>
      </c>
      <c r="BA209" s="120" t="s">
        <v>3961</v>
      </c>
      <c r="BB209" s="119" t="s">
        <v>3947</v>
      </c>
      <c r="BC209" s="119" t="s">
        <v>3948</v>
      </c>
      <c r="BD209" s="119" t="s">
        <v>3949</v>
      </c>
      <c r="BE209" s="119" t="s">
        <v>3950</v>
      </c>
      <c r="BF209" s="119" t="s">
        <v>3951</v>
      </c>
      <c r="BG209" s="120" t="s">
        <v>3962</v>
      </c>
      <c r="BH209" s="120" t="s">
        <v>3963</v>
      </c>
      <c r="BI209" s="119" t="s">
        <v>3947</v>
      </c>
      <c r="BJ209" s="119" t="s">
        <v>3948</v>
      </c>
      <c r="BK209" s="119" t="s">
        <v>3949</v>
      </c>
      <c r="BL209" s="119" t="s">
        <v>3950</v>
      </c>
      <c r="BM209" s="119" t="s">
        <v>3951</v>
      </c>
      <c r="BN209" s="120" t="s">
        <v>3964</v>
      </c>
      <c r="BO209" s="120" t="s">
        <v>3965</v>
      </c>
      <c r="BP209" s="119" t="s">
        <v>3947</v>
      </c>
      <c r="BQ209" s="119" t="s">
        <v>3948</v>
      </c>
      <c r="BR209" s="119" t="s">
        <v>3949</v>
      </c>
      <c r="BS209" s="119" t="s">
        <v>3950</v>
      </c>
      <c r="BT209" s="119" t="s">
        <v>3951</v>
      </c>
      <c r="BU209" s="120" t="s">
        <v>3966</v>
      </c>
      <c r="BV209" s="120" t="s">
        <v>3967</v>
      </c>
      <c r="BW209" s="119" t="s">
        <v>3947</v>
      </c>
      <c r="BX209" s="119" t="s">
        <v>3948</v>
      </c>
      <c r="BY209" s="119" t="s">
        <v>3949</v>
      </c>
      <c r="BZ209" s="119" t="s">
        <v>3950</v>
      </c>
      <c r="CA209" s="119" t="s">
        <v>3951</v>
      </c>
      <c r="CB209" s="120" t="s">
        <v>3968</v>
      </c>
      <c r="CC209" s="120" t="s">
        <v>3969</v>
      </c>
      <c r="CD209" s="119" t="s">
        <v>3947</v>
      </c>
      <c r="CE209" s="119" t="s">
        <v>3948</v>
      </c>
      <c r="CF209" s="119" t="s">
        <v>3949</v>
      </c>
      <c r="CG209" s="119" t="s">
        <v>3950</v>
      </c>
      <c r="CH209" s="119" t="s">
        <v>3951</v>
      </c>
      <c r="CI209" s="120" t="s">
        <v>3970</v>
      </c>
      <c r="CJ209" s="120" t="s">
        <v>3971</v>
      </c>
      <c r="CK209" s="119" t="s">
        <v>3947</v>
      </c>
      <c r="CL209" s="119" t="s">
        <v>3948</v>
      </c>
      <c r="CM209" s="119" t="s">
        <v>3949</v>
      </c>
      <c r="CN209" s="119" t="s">
        <v>3950</v>
      </c>
      <c r="CO209" s="119" t="s">
        <v>3951</v>
      </c>
      <c r="CP209" s="120" t="s">
        <v>3972</v>
      </c>
      <c r="CQ209" s="120" t="s">
        <v>3973</v>
      </c>
      <c r="CR209" s="119" t="s">
        <v>3947</v>
      </c>
      <c r="CS209" s="119" t="s">
        <v>3948</v>
      </c>
      <c r="CT209" s="119" t="s">
        <v>3949</v>
      </c>
      <c r="CU209" s="119" t="s">
        <v>3950</v>
      </c>
      <c r="CV209" s="119" t="s">
        <v>3951</v>
      </c>
      <c r="CW209" s="120" t="s">
        <v>3974</v>
      </c>
      <c r="CX209" s="120" t="s">
        <v>3975</v>
      </c>
      <c r="CY209" s="119" t="s">
        <v>3947</v>
      </c>
      <c r="CZ209" s="119" t="s">
        <v>3948</v>
      </c>
      <c r="DA209" s="119" t="s">
        <v>3949</v>
      </c>
      <c r="DB209" s="119" t="s">
        <v>3950</v>
      </c>
      <c r="DC209" s="119" t="s">
        <v>3951</v>
      </c>
      <c r="DD209" s="120" t="s">
        <v>3974</v>
      </c>
      <c r="DE209" s="120" t="s">
        <v>3975</v>
      </c>
      <c r="DF209" s="119" t="s">
        <v>3947</v>
      </c>
      <c r="DG209" s="119" t="s">
        <v>3948</v>
      </c>
      <c r="DH209" s="119" t="s">
        <v>3949</v>
      </c>
      <c r="DI209" s="119" t="s">
        <v>3950</v>
      </c>
      <c r="DJ209" s="119" t="s">
        <v>3951</v>
      </c>
      <c r="DK209" s="120" t="s">
        <v>3976</v>
      </c>
      <c r="DL209" s="120" t="s">
        <v>3977</v>
      </c>
      <c r="DM209" s="119" t="s">
        <v>3947</v>
      </c>
      <c r="DN209" s="119" t="s">
        <v>3948</v>
      </c>
      <c r="DO209" s="119" t="s">
        <v>3949</v>
      </c>
      <c r="DP209" s="119" t="s">
        <v>3950</v>
      </c>
      <c r="DQ209" s="119" t="s">
        <v>3951</v>
      </c>
      <c r="DR209" s="328" t="s">
        <v>3978</v>
      </c>
      <c r="DS209" s="328" t="s">
        <v>3979</v>
      </c>
      <c r="DT209" s="313" t="s">
        <v>3947</v>
      </c>
      <c r="DU209" s="313" t="s">
        <v>3948</v>
      </c>
      <c r="DV209" s="313" t="s">
        <v>3949</v>
      </c>
      <c r="DW209" s="313" t="s">
        <v>3950</v>
      </c>
      <c r="DX209" s="313" t="s">
        <v>3951</v>
      </c>
      <c r="DY209" s="120" t="s">
        <v>3980</v>
      </c>
      <c r="DZ209" s="120" t="s">
        <v>3981</v>
      </c>
      <c r="EA209" s="119" t="s">
        <v>3947</v>
      </c>
      <c r="EB209" s="119" t="s">
        <v>3948</v>
      </c>
      <c r="EC209" s="119" t="s">
        <v>3949</v>
      </c>
      <c r="ED209" s="119" t="s">
        <v>3950</v>
      </c>
      <c r="EE209" s="119" t="s">
        <v>3951</v>
      </c>
      <c r="EF209" s="120" t="s">
        <v>3982</v>
      </c>
      <c r="EG209" s="120" t="s">
        <v>3983</v>
      </c>
      <c r="EH209" s="119" t="s">
        <v>3947</v>
      </c>
      <c r="EI209" s="119" t="s">
        <v>3948</v>
      </c>
      <c r="EJ209" s="119" t="s">
        <v>3949</v>
      </c>
      <c r="EK209" s="119" t="s">
        <v>3950</v>
      </c>
      <c r="EL209" s="119" t="s">
        <v>3951</v>
      </c>
      <c r="EM209" s="120" t="s">
        <v>3984</v>
      </c>
      <c r="EN209" s="120" t="s">
        <v>3985</v>
      </c>
      <c r="EO209" s="120"/>
      <c r="EP209" s="119" t="s">
        <v>3948</v>
      </c>
      <c r="EQ209" s="119" t="s">
        <v>3949</v>
      </c>
      <c r="ER209" s="119" t="s">
        <v>3950</v>
      </c>
      <c r="ES209" s="119" t="s">
        <v>3951</v>
      </c>
      <c r="ET209" s="120" t="s">
        <v>4619</v>
      </c>
      <c r="EU209" s="120" t="s">
        <v>4620</v>
      </c>
      <c r="EV209" s="120"/>
      <c r="EW209" s="119" t="s">
        <v>3948</v>
      </c>
      <c r="EX209" s="119" t="s">
        <v>3949</v>
      </c>
      <c r="EY209" s="119" t="s">
        <v>3950</v>
      </c>
      <c r="EZ209" s="119" t="s">
        <v>3951</v>
      </c>
      <c r="FA209" s="120" t="s">
        <v>3988</v>
      </c>
      <c r="FB209" s="120" t="s">
        <v>3989</v>
      </c>
      <c r="FC209" s="119" t="s">
        <v>3948</v>
      </c>
      <c r="FD209" s="119" t="s">
        <v>3949</v>
      </c>
      <c r="FE209" s="119" t="s">
        <v>3950</v>
      </c>
      <c r="FF209" s="119" t="s">
        <v>3951</v>
      </c>
      <c r="FG209" s="120" t="s">
        <v>3990</v>
      </c>
      <c r="FH209" s="120" t="s">
        <v>3991</v>
      </c>
      <c r="FI209" s="119" t="s">
        <v>3948</v>
      </c>
      <c r="FJ209" s="119" t="s">
        <v>3949</v>
      </c>
      <c r="FK209" s="119" t="s">
        <v>3950</v>
      </c>
      <c r="FL209" s="119" t="s">
        <v>3951</v>
      </c>
      <c r="FM209" s="120" t="s">
        <v>3992</v>
      </c>
      <c r="FN209" s="120" t="s">
        <v>3993</v>
      </c>
      <c r="FO209" s="119" t="s">
        <v>3948</v>
      </c>
      <c r="FP209" s="119" t="s">
        <v>3949</v>
      </c>
      <c r="FQ209" s="119" t="s">
        <v>3950</v>
      </c>
      <c r="FR209" s="119" t="s">
        <v>3951</v>
      </c>
      <c r="FS209" s="120" t="s">
        <v>3994</v>
      </c>
      <c r="FT209" s="120" t="s">
        <v>3995</v>
      </c>
      <c r="FU209" s="119" t="s">
        <v>3948</v>
      </c>
      <c r="FV209" s="119" t="s">
        <v>3949</v>
      </c>
      <c r="FW209" s="119" t="s">
        <v>3950</v>
      </c>
      <c r="FX209" s="119" t="s">
        <v>3951</v>
      </c>
      <c r="FY209" s="120" t="s">
        <v>3996</v>
      </c>
      <c r="FZ209" s="120" t="s">
        <v>3997</v>
      </c>
      <c r="GA209" s="119" t="s">
        <v>3948</v>
      </c>
      <c r="GB209" s="119" t="s">
        <v>3949</v>
      </c>
      <c r="GC209" s="119" t="s">
        <v>3950</v>
      </c>
      <c r="GD209" s="119" t="s">
        <v>3951</v>
      </c>
      <c r="GE209" s="120" t="s">
        <v>3998</v>
      </c>
      <c r="GF209" s="120" t="s">
        <v>3999</v>
      </c>
      <c r="GG209" s="119" t="s">
        <v>3948</v>
      </c>
      <c r="GH209" s="119" t="s">
        <v>3949</v>
      </c>
      <c r="GI209" s="119" t="s">
        <v>3950</v>
      </c>
      <c r="GJ209" s="119" t="s">
        <v>3951</v>
      </c>
      <c r="GK209" s="120" t="s">
        <v>4000</v>
      </c>
      <c r="GL209" s="120" t="s">
        <v>4001</v>
      </c>
      <c r="GM209" s="119" t="s">
        <v>3948</v>
      </c>
      <c r="GN209" s="119" t="s">
        <v>3949</v>
      </c>
      <c r="GO209" s="119" t="s">
        <v>3950</v>
      </c>
      <c r="GP209" s="119" t="s">
        <v>3951</v>
      </c>
      <c r="GQ209" s="120" t="s">
        <v>4002</v>
      </c>
      <c r="GR209" s="120" t="s">
        <v>4003</v>
      </c>
      <c r="GS209" s="119" t="s">
        <v>3948</v>
      </c>
      <c r="GT209" s="119" t="s">
        <v>3949</v>
      </c>
      <c r="GU209" s="119" t="s">
        <v>3950</v>
      </c>
      <c r="GV209" s="119" t="s">
        <v>3951</v>
      </c>
      <c r="GW209" s="119"/>
      <c r="GX209" s="119" t="s">
        <v>3948</v>
      </c>
      <c r="GY209" s="119" t="s">
        <v>3949</v>
      </c>
      <c r="GZ209" s="119" t="s">
        <v>3950</v>
      </c>
      <c r="HA209" s="119" t="s">
        <v>3951</v>
      </c>
      <c r="HB209" s="119" t="s">
        <v>3948</v>
      </c>
      <c r="HC209" s="119" t="s">
        <v>3949</v>
      </c>
      <c r="HD209" s="119" t="s">
        <v>3950</v>
      </c>
      <c r="HE209" s="119" t="s">
        <v>3951</v>
      </c>
    </row>
    <row r="210" hidden="1" spans="1:2">
      <c r="A210" s="89" t="s">
        <v>801</v>
      </c>
      <c r="B210" s="108" t="s">
        <v>476</v>
      </c>
    </row>
    <row r="211" ht="43.2" hidden="1" spans="1:186">
      <c r="A211" s="89" t="s">
        <v>230</v>
      </c>
      <c r="B211" s="89" t="s">
        <v>625</v>
      </c>
      <c r="E211" s="194" t="s">
        <v>49</v>
      </c>
      <c r="F211" s="89">
        <v>1</v>
      </c>
      <c r="G211" s="102">
        <v>1</v>
      </c>
      <c r="H211" s="102">
        <v>1</v>
      </c>
      <c r="I211" s="102">
        <v>4</v>
      </c>
      <c r="L211" s="194" t="s">
        <v>49</v>
      </c>
      <c r="M211" s="89">
        <v>1</v>
      </c>
      <c r="N211" s="102">
        <v>1</v>
      </c>
      <c r="O211" s="102">
        <v>1</v>
      </c>
      <c r="P211" s="102">
        <v>4</v>
      </c>
      <c r="S211" s="194" t="s">
        <v>49</v>
      </c>
      <c r="T211" s="89">
        <v>1</v>
      </c>
      <c r="U211" s="102">
        <v>1</v>
      </c>
      <c r="V211" s="102">
        <v>1</v>
      </c>
      <c r="W211" s="102">
        <v>4</v>
      </c>
      <c r="Z211" s="194" t="s">
        <v>49</v>
      </c>
      <c r="AA211" s="89">
        <v>1</v>
      </c>
      <c r="AB211" s="102">
        <v>1</v>
      </c>
      <c r="AC211" s="102">
        <v>1</v>
      </c>
      <c r="AD211" s="102">
        <v>4</v>
      </c>
      <c r="AG211" s="194" t="s">
        <v>49</v>
      </c>
      <c r="AH211" s="89">
        <v>1</v>
      </c>
      <c r="AI211" s="102">
        <v>1</v>
      </c>
      <c r="AJ211" s="102">
        <v>1</v>
      </c>
      <c r="AK211" s="102">
        <v>4</v>
      </c>
      <c r="AN211" s="95" t="s">
        <v>49</v>
      </c>
      <c r="AO211" s="89">
        <v>1</v>
      </c>
      <c r="AP211" s="102">
        <v>1</v>
      </c>
      <c r="AQ211" s="102">
        <v>1</v>
      </c>
      <c r="AR211" s="102">
        <v>4</v>
      </c>
      <c r="AU211" s="95" t="s">
        <v>49</v>
      </c>
      <c r="AV211" s="89">
        <v>1</v>
      </c>
      <c r="AW211" s="102">
        <v>1</v>
      </c>
      <c r="AX211" s="102">
        <v>1</v>
      </c>
      <c r="AY211" s="102">
        <v>4</v>
      </c>
      <c r="BB211" s="95" t="s">
        <v>49</v>
      </c>
      <c r="BC211" s="89">
        <v>1</v>
      </c>
      <c r="BD211" s="102">
        <v>1</v>
      </c>
      <c r="BE211" s="102">
        <v>1</v>
      </c>
      <c r="BF211" s="102">
        <v>4</v>
      </c>
      <c r="BI211" s="95" t="s">
        <v>49</v>
      </c>
      <c r="BJ211" s="89">
        <v>1</v>
      </c>
      <c r="BK211" s="102">
        <v>1</v>
      </c>
      <c r="BL211" s="102">
        <v>1</v>
      </c>
      <c r="BM211" s="102">
        <v>4</v>
      </c>
      <c r="BP211" s="95" t="s">
        <v>49</v>
      </c>
      <c r="BQ211" s="89">
        <v>1</v>
      </c>
      <c r="BR211" s="102">
        <v>1</v>
      </c>
      <c r="BS211" s="102">
        <v>1</v>
      </c>
      <c r="BT211" s="102">
        <v>4</v>
      </c>
      <c r="BW211" s="95" t="s">
        <v>49</v>
      </c>
      <c r="BX211" s="89">
        <v>1</v>
      </c>
      <c r="BY211" s="102">
        <v>1</v>
      </c>
      <c r="BZ211" s="102">
        <v>1</v>
      </c>
      <c r="CA211" s="102">
        <v>4</v>
      </c>
      <c r="CD211" s="95" t="s">
        <v>49</v>
      </c>
      <c r="CE211" s="89">
        <v>1</v>
      </c>
      <c r="CF211" s="102">
        <v>1</v>
      </c>
      <c r="CG211" s="102">
        <v>1</v>
      </c>
      <c r="CH211" s="102">
        <v>4</v>
      </c>
      <c r="CK211" s="95" t="s">
        <v>49</v>
      </c>
      <c r="CL211" s="89">
        <v>1</v>
      </c>
      <c r="CM211" s="102">
        <v>1</v>
      </c>
      <c r="CN211" s="102">
        <v>1</v>
      </c>
      <c r="CO211" s="102">
        <v>4</v>
      </c>
      <c r="CR211" s="95" t="s">
        <v>49</v>
      </c>
      <c r="CS211" s="89">
        <v>1</v>
      </c>
      <c r="CT211" s="102">
        <v>1</v>
      </c>
      <c r="CU211" s="102">
        <v>1</v>
      </c>
      <c r="CV211" s="102">
        <v>4</v>
      </c>
      <c r="CW211" s="95" t="s">
        <v>4651</v>
      </c>
      <c r="CY211" s="95" t="s">
        <v>49</v>
      </c>
      <c r="CZ211" s="89">
        <v>1</v>
      </c>
      <c r="DA211" s="102">
        <v>1</v>
      </c>
      <c r="DB211" s="102">
        <v>1</v>
      </c>
      <c r="DC211" s="102">
        <v>4</v>
      </c>
      <c r="DD211" s="95" t="s">
        <v>4651</v>
      </c>
      <c r="DF211" s="95" t="s">
        <v>49</v>
      </c>
      <c r="DG211" s="89">
        <v>1</v>
      </c>
      <c r="DH211" s="102">
        <v>1</v>
      </c>
      <c r="DI211" s="102">
        <v>1</v>
      </c>
      <c r="DJ211" s="102">
        <v>4</v>
      </c>
      <c r="DK211" s="95" t="s">
        <v>4651</v>
      </c>
      <c r="DM211" s="95" t="s">
        <v>49</v>
      </c>
      <c r="DN211" s="89">
        <v>1</v>
      </c>
      <c r="DO211" s="102">
        <v>1</v>
      </c>
      <c r="DP211" s="102">
        <v>1</v>
      </c>
      <c r="DQ211" s="102">
        <v>4</v>
      </c>
      <c r="DR211" s="126" t="s">
        <v>4652</v>
      </c>
      <c r="DT211" s="194" t="s">
        <v>49</v>
      </c>
      <c r="DU211" s="88">
        <v>1</v>
      </c>
      <c r="DV211" s="324">
        <v>1</v>
      </c>
      <c r="DW211" s="324">
        <v>1</v>
      </c>
      <c r="DX211" s="324">
        <v>4</v>
      </c>
      <c r="DY211" s="194" t="s">
        <v>4653</v>
      </c>
      <c r="EA211" s="95" t="s">
        <v>49</v>
      </c>
      <c r="EB211" s="188">
        <v>3</v>
      </c>
      <c r="EC211" s="330">
        <v>3</v>
      </c>
      <c r="ED211" s="330">
        <v>3</v>
      </c>
      <c r="EE211" s="330">
        <v>1</v>
      </c>
      <c r="EF211" s="194" t="s">
        <v>4653</v>
      </c>
      <c r="EH211" s="95" t="s">
        <v>49</v>
      </c>
      <c r="EI211" s="188">
        <v>3</v>
      </c>
      <c r="EJ211" s="330">
        <v>3</v>
      </c>
      <c r="EK211" s="330">
        <v>3</v>
      </c>
      <c r="EL211" s="330">
        <v>1</v>
      </c>
      <c r="EM211" s="194" t="s">
        <v>4653</v>
      </c>
      <c r="EO211" s="95" t="s">
        <v>49</v>
      </c>
      <c r="EP211" s="188">
        <v>3</v>
      </c>
      <c r="EQ211" s="330">
        <v>3</v>
      </c>
      <c r="ER211" s="330">
        <v>3</v>
      </c>
      <c r="ES211" s="330">
        <v>1</v>
      </c>
      <c r="ET211" s="126" t="s">
        <v>4654</v>
      </c>
      <c r="EV211" s="95" t="s">
        <v>49</v>
      </c>
      <c r="EW211" s="89">
        <v>3</v>
      </c>
      <c r="EX211" s="331">
        <v>3</v>
      </c>
      <c r="EY211" s="331">
        <v>3</v>
      </c>
      <c r="EZ211" s="331">
        <v>1</v>
      </c>
      <c r="FA211" s="95" t="s">
        <v>4655</v>
      </c>
      <c r="FC211" s="89">
        <v>3</v>
      </c>
      <c r="FD211" s="89">
        <v>4</v>
      </c>
      <c r="FE211" s="89">
        <v>4</v>
      </c>
      <c r="FF211" s="89">
        <v>4</v>
      </c>
      <c r="FG211" s="126" t="s">
        <v>4656</v>
      </c>
      <c r="FI211" s="89">
        <v>3</v>
      </c>
      <c r="FJ211" s="88">
        <v>4</v>
      </c>
      <c r="FK211" s="88">
        <v>4</v>
      </c>
      <c r="FL211" s="88">
        <v>4</v>
      </c>
      <c r="FO211" s="89">
        <v>3</v>
      </c>
      <c r="FP211" s="89">
        <v>3</v>
      </c>
      <c r="FQ211" s="89">
        <v>2</v>
      </c>
      <c r="FR211" s="89">
        <v>2</v>
      </c>
      <c r="FU211" s="89">
        <v>3</v>
      </c>
      <c r="FV211" s="89">
        <v>3</v>
      </c>
      <c r="FW211" s="89">
        <v>2</v>
      </c>
      <c r="FX211" s="89">
        <v>2</v>
      </c>
      <c r="GA211" s="89">
        <v>3</v>
      </c>
      <c r="GB211" s="89">
        <v>3</v>
      </c>
      <c r="GC211" s="89">
        <v>2</v>
      </c>
      <c r="GD211" s="89">
        <v>2</v>
      </c>
    </row>
    <row r="212" hidden="1" spans="1:186">
      <c r="A212" s="89" t="s">
        <v>367</v>
      </c>
      <c r="B212" s="108" t="s">
        <v>626</v>
      </c>
      <c r="E212" s="194" t="s">
        <v>4657</v>
      </c>
      <c r="F212" s="89">
        <v>3</v>
      </c>
      <c r="G212" s="89">
        <v>4</v>
      </c>
      <c r="H212" s="89">
        <v>4</v>
      </c>
      <c r="I212" s="89">
        <v>3</v>
      </c>
      <c r="L212" s="194" t="s">
        <v>4657</v>
      </c>
      <c r="M212" s="89">
        <v>3</v>
      </c>
      <c r="N212" s="89">
        <v>4</v>
      </c>
      <c r="O212" s="89">
        <v>4</v>
      </c>
      <c r="P212" s="89">
        <v>3</v>
      </c>
      <c r="S212" s="194" t="s">
        <v>4657</v>
      </c>
      <c r="T212" s="89">
        <v>3</v>
      </c>
      <c r="U212" s="89">
        <v>4</v>
      </c>
      <c r="V212" s="89">
        <v>4</v>
      </c>
      <c r="W212" s="89">
        <v>3</v>
      </c>
      <c r="Z212" s="194" t="s">
        <v>4657</v>
      </c>
      <c r="AA212" s="89">
        <v>3</v>
      </c>
      <c r="AB212" s="89">
        <v>4</v>
      </c>
      <c r="AC212" s="89">
        <v>4</v>
      </c>
      <c r="AD212" s="89">
        <v>3</v>
      </c>
      <c r="AG212" s="194" t="s">
        <v>4657</v>
      </c>
      <c r="AH212" s="89">
        <v>3</v>
      </c>
      <c r="AI212" s="89">
        <v>4</v>
      </c>
      <c r="AJ212" s="89">
        <v>4</v>
      </c>
      <c r="AK212" s="89">
        <v>3</v>
      </c>
      <c r="AN212" s="95" t="s">
        <v>4657</v>
      </c>
      <c r="AO212" s="89">
        <v>3</v>
      </c>
      <c r="AP212" s="89">
        <v>4</v>
      </c>
      <c r="AQ212" s="89">
        <v>4</v>
      </c>
      <c r="AR212" s="89">
        <v>3</v>
      </c>
      <c r="AU212" s="95" t="s">
        <v>4657</v>
      </c>
      <c r="AV212" s="89">
        <v>3</v>
      </c>
      <c r="AW212" s="89">
        <v>4</v>
      </c>
      <c r="AX212" s="89">
        <v>4</v>
      </c>
      <c r="AY212" s="89">
        <v>3</v>
      </c>
      <c r="BB212" s="95" t="s">
        <v>4657</v>
      </c>
      <c r="BC212" s="89">
        <v>3</v>
      </c>
      <c r="BD212" s="89">
        <v>4</v>
      </c>
      <c r="BE212" s="89">
        <v>4</v>
      </c>
      <c r="BF212" s="89">
        <v>3</v>
      </c>
      <c r="BI212" s="95" t="s">
        <v>4657</v>
      </c>
      <c r="BJ212" s="89">
        <v>3</v>
      </c>
      <c r="BK212" s="89">
        <v>4</v>
      </c>
      <c r="BL212" s="89">
        <v>4</v>
      </c>
      <c r="BM212" s="89">
        <v>3</v>
      </c>
      <c r="BP212" s="95" t="s">
        <v>4657</v>
      </c>
      <c r="BQ212" s="89">
        <v>3</v>
      </c>
      <c r="BR212" s="89">
        <v>4</v>
      </c>
      <c r="BS212" s="89">
        <v>4</v>
      </c>
      <c r="BT212" s="89">
        <v>3</v>
      </c>
      <c r="BW212" s="95" t="s">
        <v>4657</v>
      </c>
      <c r="BX212" s="89">
        <v>3</v>
      </c>
      <c r="BY212" s="89">
        <v>4</v>
      </c>
      <c r="BZ212" s="89">
        <v>4</v>
      </c>
      <c r="CA212" s="89">
        <v>3</v>
      </c>
      <c r="CD212" s="95" t="s">
        <v>4657</v>
      </c>
      <c r="CE212" s="89">
        <v>3</v>
      </c>
      <c r="CF212" s="89">
        <v>4</v>
      </c>
      <c r="CG212" s="89">
        <v>4</v>
      </c>
      <c r="CH212" s="89">
        <v>3</v>
      </c>
      <c r="CK212" s="95" t="s">
        <v>4657</v>
      </c>
      <c r="CL212" s="89">
        <v>3</v>
      </c>
      <c r="CM212" s="89">
        <v>4</v>
      </c>
      <c r="CN212" s="89">
        <v>4</v>
      </c>
      <c r="CO212" s="89">
        <v>3</v>
      </c>
      <c r="CR212" s="95" t="s">
        <v>4657</v>
      </c>
      <c r="CS212" s="89">
        <v>3</v>
      </c>
      <c r="CT212" s="89">
        <v>4</v>
      </c>
      <c r="CU212" s="89">
        <v>4</v>
      </c>
      <c r="CV212" s="89">
        <v>3</v>
      </c>
      <c r="CY212" s="95" t="s">
        <v>4657</v>
      </c>
      <c r="CZ212" s="89">
        <v>3</v>
      </c>
      <c r="DA212" s="89">
        <v>4</v>
      </c>
      <c r="DB212" s="89">
        <v>4</v>
      </c>
      <c r="DC212" s="89">
        <v>3</v>
      </c>
      <c r="DF212" s="95" t="s">
        <v>4657</v>
      </c>
      <c r="DG212" s="89">
        <v>3</v>
      </c>
      <c r="DH212" s="89">
        <v>4</v>
      </c>
      <c r="DI212" s="89">
        <v>4</v>
      </c>
      <c r="DJ212" s="89">
        <v>3</v>
      </c>
      <c r="DM212" s="95" t="s">
        <v>4657</v>
      </c>
      <c r="DN212" s="89">
        <v>3</v>
      </c>
      <c r="DO212" s="89">
        <v>4</v>
      </c>
      <c r="DP212" s="89">
        <v>4</v>
      </c>
      <c r="DQ212" s="89">
        <v>3</v>
      </c>
      <c r="DT212" s="194" t="s">
        <v>4657</v>
      </c>
      <c r="DU212" s="88">
        <v>3</v>
      </c>
      <c r="DV212" s="88">
        <v>4</v>
      </c>
      <c r="DW212" s="188">
        <v>4</v>
      </c>
      <c r="DX212" s="88">
        <v>3</v>
      </c>
      <c r="EA212" s="95" t="s">
        <v>4657</v>
      </c>
      <c r="EB212" s="188">
        <v>2</v>
      </c>
      <c r="EC212" s="188">
        <v>3</v>
      </c>
      <c r="ED212" s="188">
        <v>4</v>
      </c>
      <c r="EE212" s="188">
        <v>4</v>
      </c>
      <c r="EH212" s="95" t="s">
        <v>4657</v>
      </c>
      <c r="EI212" s="188">
        <v>2</v>
      </c>
      <c r="EJ212" s="188">
        <v>3</v>
      </c>
      <c r="EK212" s="188">
        <v>4</v>
      </c>
      <c r="EL212" s="188">
        <v>4</v>
      </c>
      <c r="EO212" s="95" t="s">
        <v>4657</v>
      </c>
      <c r="EP212" s="188">
        <v>2</v>
      </c>
      <c r="EQ212" s="188">
        <v>3</v>
      </c>
      <c r="ER212" s="188">
        <v>4</v>
      </c>
      <c r="ES212" s="188">
        <v>4</v>
      </c>
      <c r="EV212" s="95" t="s">
        <v>4657</v>
      </c>
      <c r="EW212" s="89">
        <v>2</v>
      </c>
      <c r="EX212" s="89">
        <v>3</v>
      </c>
      <c r="EY212" s="88">
        <v>4</v>
      </c>
      <c r="EZ212" s="88">
        <v>4</v>
      </c>
      <c r="FC212" s="89">
        <v>2</v>
      </c>
      <c r="FD212" s="89">
        <v>3</v>
      </c>
      <c r="FE212" s="89">
        <v>3</v>
      </c>
      <c r="FF212" s="89">
        <v>3</v>
      </c>
      <c r="FI212" s="89">
        <v>2</v>
      </c>
      <c r="FJ212" s="323">
        <v>3</v>
      </c>
      <c r="FK212" s="323">
        <v>3</v>
      </c>
      <c r="FL212" s="323">
        <v>3</v>
      </c>
      <c r="FO212" s="89">
        <v>2</v>
      </c>
      <c r="FP212" s="89">
        <v>4</v>
      </c>
      <c r="FQ212" s="89">
        <v>4</v>
      </c>
      <c r="FR212" s="89">
        <v>4</v>
      </c>
      <c r="FU212" s="89">
        <v>2</v>
      </c>
      <c r="FV212" s="89">
        <v>4</v>
      </c>
      <c r="FW212" s="89">
        <v>4</v>
      </c>
      <c r="FX212" s="89">
        <v>4</v>
      </c>
      <c r="GA212" s="89">
        <v>2</v>
      </c>
      <c r="GB212" s="89">
        <v>4</v>
      </c>
      <c r="GC212" s="89">
        <v>4</v>
      </c>
      <c r="GD212" s="89">
        <v>4</v>
      </c>
    </row>
    <row r="213" hidden="1" spans="1:186">
      <c r="A213" s="89" t="s">
        <v>230</v>
      </c>
      <c r="B213" s="89" t="s">
        <v>373</v>
      </c>
      <c r="F213" s="89">
        <v>2</v>
      </c>
      <c r="G213" s="89">
        <v>2</v>
      </c>
      <c r="H213" s="89">
        <v>2</v>
      </c>
      <c r="I213" s="89">
        <v>1</v>
      </c>
      <c r="M213" s="89">
        <v>2</v>
      </c>
      <c r="N213" s="89">
        <v>2</v>
      </c>
      <c r="O213" s="89">
        <v>2</v>
      </c>
      <c r="P213" s="89">
        <v>1</v>
      </c>
      <c r="T213" s="89">
        <v>2</v>
      </c>
      <c r="U213" s="89">
        <v>2</v>
      </c>
      <c r="V213" s="89">
        <v>2</v>
      </c>
      <c r="W213" s="89">
        <v>1</v>
      </c>
      <c r="AA213" s="89">
        <v>2</v>
      </c>
      <c r="AB213" s="89">
        <v>2</v>
      </c>
      <c r="AC213" s="89">
        <v>2</v>
      </c>
      <c r="AD213" s="89">
        <v>1</v>
      </c>
      <c r="AH213" s="89">
        <v>2</v>
      </c>
      <c r="AI213" s="89">
        <v>2</v>
      </c>
      <c r="AJ213" s="89">
        <v>2</v>
      </c>
      <c r="AK213" s="89">
        <v>1</v>
      </c>
      <c r="AO213" s="89">
        <v>2</v>
      </c>
      <c r="AP213" s="89">
        <v>2</v>
      </c>
      <c r="AQ213" s="89">
        <v>2</v>
      </c>
      <c r="AR213" s="89">
        <v>1</v>
      </c>
      <c r="AV213" s="89">
        <v>2</v>
      </c>
      <c r="AW213" s="89">
        <v>2</v>
      </c>
      <c r="AX213" s="89">
        <v>2</v>
      </c>
      <c r="AY213" s="89">
        <v>1</v>
      </c>
      <c r="BC213" s="89">
        <v>2</v>
      </c>
      <c r="BD213" s="89">
        <v>2</v>
      </c>
      <c r="BE213" s="89">
        <v>2</v>
      </c>
      <c r="BF213" s="89">
        <v>1</v>
      </c>
      <c r="BJ213" s="89">
        <v>2</v>
      </c>
      <c r="BK213" s="89">
        <v>2</v>
      </c>
      <c r="BL213" s="89">
        <v>2</v>
      </c>
      <c r="BM213" s="89">
        <v>1</v>
      </c>
      <c r="BQ213" s="89">
        <v>2</v>
      </c>
      <c r="BR213" s="89">
        <v>2</v>
      </c>
      <c r="BS213" s="89">
        <v>2</v>
      </c>
      <c r="BT213" s="89">
        <v>1</v>
      </c>
      <c r="BX213" s="89">
        <v>2</v>
      </c>
      <c r="BY213" s="89">
        <v>2</v>
      </c>
      <c r="BZ213" s="89">
        <v>2</v>
      </c>
      <c r="CA213" s="89">
        <v>1</v>
      </c>
      <c r="CE213" s="89">
        <v>2</v>
      </c>
      <c r="CF213" s="89">
        <v>2</v>
      </c>
      <c r="CG213" s="89">
        <v>2</v>
      </c>
      <c r="CH213" s="89">
        <v>1</v>
      </c>
      <c r="CL213" s="89">
        <v>2</v>
      </c>
      <c r="CM213" s="89">
        <v>2</v>
      </c>
      <c r="CN213" s="89">
        <v>2</v>
      </c>
      <c r="CO213" s="89">
        <v>1</v>
      </c>
      <c r="CS213" s="89">
        <v>2</v>
      </c>
      <c r="CT213" s="89">
        <v>2</v>
      </c>
      <c r="CU213" s="89">
        <v>2</v>
      </c>
      <c r="CV213" s="89">
        <v>1</v>
      </c>
      <c r="CW213" s="95" t="s">
        <v>4658</v>
      </c>
      <c r="CZ213" s="89">
        <v>2</v>
      </c>
      <c r="DA213" s="89">
        <v>2</v>
      </c>
      <c r="DB213" s="89">
        <v>2</v>
      </c>
      <c r="DC213" s="89">
        <v>1</v>
      </c>
      <c r="DD213" s="95" t="s">
        <v>4658</v>
      </c>
      <c r="DG213" s="89">
        <v>2</v>
      </c>
      <c r="DH213" s="89">
        <v>2</v>
      </c>
      <c r="DI213" s="89">
        <v>2</v>
      </c>
      <c r="DJ213" s="89">
        <v>1</v>
      </c>
      <c r="DK213" s="95" t="s">
        <v>4658</v>
      </c>
      <c r="DN213" s="89">
        <v>2</v>
      </c>
      <c r="DO213" s="89">
        <v>2</v>
      </c>
      <c r="DP213" s="89">
        <v>2</v>
      </c>
      <c r="DQ213" s="89">
        <v>1</v>
      </c>
      <c r="DR213" s="194" t="s">
        <v>4659</v>
      </c>
      <c r="DU213" s="88">
        <v>2</v>
      </c>
      <c r="DV213" s="88">
        <v>2</v>
      </c>
      <c r="DW213" s="88">
        <v>2</v>
      </c>
      <c r="DX213" s="88">
        <v>1</v>
      </c>
      <c r="DY213" s="95" t="s">
        <v>4658</v>
      </c>
      <c r="EB213" s="188">
        <v>1</v>
      </c>
      <c r="EC213" s="188">
        <v>1</v>
      </c>
      <c r="ED213" s="188">
        <v>1</v>
      </c>
      <c r="EE213" s="188">
        <v>2</v>
      </c>
      <c r="EF213" s="95" t="s">
        <v>4658</v>
      </c>
      <c r="EI213" s="188">
        <v>1</v>
      </c>
      <c r="EJ213" s="188">
        <v>1</v>
      </c>
      <c r="EK213" s="188">
        <v>1</v>
      </c>
      <c r="EL213" s="188">
        <v>2</v>
      </c>
      <c r="EM213" s="126" t="s">
        <v>4660</v>
      </c>
      <c r="EP213" s="188">
        <v>1</v>
      </c>
      <c r="EQ213" s="188">
        <v>1</v>
      </c>
      <c r="ER213" s="188">
        <v>1</v>
      </c>
      <c r="ES213" s="188">
        <v>2</v>
      </c>
      <c r="ET213" s="95" t="s">
        <v>4661</v>
      </c>
      <c r="EW213" s="89">
        <v>1</v>
      </c>
      <c r="EX213" s="89">
        <v>1</v>
      </c>
      <c r="EY213" s="89">
        <v>1</v>
      </c>
      <c r="EZ213" s="89">
        <v>2</v>
      </c>
      <c r="FA213" s="95" t="s">
        <v>4661</v>
      </c>
      <c r="FC213" s="89">
        <v>1</v>
      </c>
      <c r="FD213" s="89">
        <v>1</v>
      </c>
      <c r="FE213" s="89">
        <v>1</v>
      </c>
      <c r="FF213" s="89">
        <v>1</v>
      </c>
      <c r="FG213" s="95" t="s">
        <v>4661</v>
      </c>
      <c r="FI213" s="89">
        <v>1</v>
      </c>
      <c r="FJ213" s="89">
        <v>1</v>
      </c>
      <c r="FK213" s="89">
        <v>1</v>
      </c>
      <c r="FL213" s="89">
        <v>1</v>
      </c>
      <c r="FM213" s="95" t="s">
        <v>4661</v>
      </c>
      <c r="FO213" s="89">
        <v>1</v>
      </c>
      <c r="FP213" s="89">
        <v>1</v>
      </c>
      <c r="FQ213" s="89">
        <v>1</v>
      </c>
      <c r="FR213" s="89">
        <v>1</v>
      </c>
      <c r="FS213" s="95" t="s">
        <v>4661</v>
      </c>
      <c r="FU213" s="89">
        <v>1</v>
      </c>
      <c r="FV213" s="89">
        <v>1</v>
      </c>
      <c r="FW213" s="89">
        <v>1</v>
      </c>
      <c r="FX213" s="89">
        <v>1</v>
      </c>
      <c r="FY213" s="95" t="s">
        <v>4661</v>
      </c>
      <c r="GA213" s="89">
        <v>1</v>
      </c>
      <c r="GB213" s="89">
        <v>1</v>
      </c>
      <c r="GC213" s="89">
        <v>1</v>
      </c>
      <c r="GD213" s="89">
        <v>1</v>
      </c>
    </row>
    <row r="214" hidden="1" spans="1:213">
      <c r="A214" s="88" t="s">
        <v>227</v>
      </c>
      <c r="B214" s="88" t="s">
        <v>4662</v>
      </c>
      <c r="C214" s="125"/>
      <c r="E214" s="194" t="s">
        <v>49</v>
      </c>
      <c r="F214" s="89">
        <v>3</v>
      </c>
      <c r="G214" s="89">
        <v>3</v>
      </c>
      <c r="H214" s="89">
        <v>3</v>
      </c>
      <c r="I214" s="89">
        <v>2</v>
      </c>
      <c r="J214" s="125"/>
      <c r="L214" s="194" t="s">
        <v>49</v>
      </c>
      <c r="M214" s="89">
        <v>3</v>
      </c>
      <c r="N214" s="89">
        <v>3</v>
      </c>
      <c r="O214" s="89">
        <v>3</v>
      </c>
      <c r="P214" s="89">
        <v>2</v>
      </c>
      <c r="Q214" s="125"/>
      <c r="S214" s="194" t="s">
        <v>49</v>
      </c>
      <c r="T214" s="89">
        <v>3</v>
      </c>
      <c r="U214" s="89">
        <v>3</v>
      </c>
      <c r="V214" s="89">
        <v>3</v>
      </c>
      <c r="W214" s="89">
        <v>2</v>
      </c>
      <c r="X214" s="125"/>
      <c r="Z214" s="194" t="s">
        <v>49</v>
      </c>
      <c r="AA214" s="89">
        <v>3</v>
      </c>
      <c r="AB214" s="89">
        <v>3</v>
      </c>
      <c r="AC214" s="89">
        <v>3</v>
      </c>
      <c r="AD214" s="89">
        <v>2</v>
      </c>
      <c r="AE214" s="125"/>
      <c r="AG214" s="194" t="s">
        <v>49</v>
      </c>
      <c r="AH214" s="89">
        <v>3</v>
      </c>
      <c r="AI214" s="89">
        <v>3</v>
      </c>
      <c r="AJ214" s="89">
        <v>3</v>
      </c>
      <c r="AK214" s="89">
        <v>2</v>
      </c>
      <c r="AL214" s="125"/>
      <c r="AN214" s="95" t="s">
        <v>49</v>
      </c>
      <c r="AO214" s="89">
        <v>3</v>
      </c>
      <c r="AP214" s="89">
        <v>3</v>
      </c>
      <c r="AQ214" s="89">
        <v>3</v>
      </c>
      <c r="AR214" s="89">
        <v>2</v>
      </c>
      <c r="AS214" s="125"/>
      <c r="AU214" s="95" t="s">
        <v>49</v>
      </c>
      <c r="AV214" s="89">
        <v>3</v>
      </c>
      <c r="AW214" s="89">
        <v>3</v>
      </c>
      <c r="AX214" s="89">
        <v>3</v>
      </c>
      <c r="AY214" s="89">
        <v>2</v>
      </c>
      <c r="AZ214" s="125"/>
      <c r="BB214" s="95" t="s">
        <v>49</v>
      </c>
      <c r="BC214" s="89">
        <v>3</v>
      </c>
      <c r="BD214" s="89">
        <v>3</v>
      </c>
      <c r="BE214" s="89">
        <v>3</v>
      </c>
      <c r="BF214" s="89">
        <v>2</v>
      </c>
      <c r="BG214" s="125"/>
      <c r="BI214" s="95" t="s">
        <v>49</v>
      </c>
      <c r="BJ214" s="89">
        <v>3</v>
      </c>
      <c r="BK214" s="89">
        <v>3</v>
      </c>
      <c r="BL214" s="89">
        <v>3</v>
      </c>
      <c r="BM214" s="89">
        <v>2</v>
      </c>
      <c r="BN214" s="125"/>
      <c r="BP214" s="95" t="s">
        <v>49</v>
      </c>
      <c r="BQ214" s="89">
        <v>3</v>
      </c>
      <c r="BR214" s="89">
        <v>3</v>
      </c>
      <c r="BS214" s="89">
        <v>3</v>
      </c>
      <c r="BT214" s="89">
        <v>2</v>
      </c>
      <c r="BU214" s="125"/>
      <c r="BW214" s="95" t="s">
        <v>49</v>
      </c>
      <c r="BX214" s="89">
        <v>3</v>
      </c>
      <c r="BY214" s="89">
        <v>3</v>
      </c>
      <c r="BZ214" s="89">
        <v>3</v>
      </c>
      <c r="CA214" s="89">
        <v>2</v>
      </c>
      <c r="CB214" s="125"/>
      <c r="CD214" s="95" t="s">
        <v>49</v>
      </c>
      <c r="CE214" s="89">
        <v>3</v>
      </c>
      <c r="CF214" s="89">
        <v>3</v>
      </c>
      <c r="CG214" s="89">
        <v>3</v>
      </c>
      <c r="CH214" s="89">
        <v>2</v>
      </c>
      <c r="CI214" s="125"/>
      <c r="CK214" s="95" t="s">
        <v>49</v>
      </c>
      <c r="CL214" s="89">
        <v>3</v>
      </c>
      <c r="CM214" s="89">
        <v>3</v>
      </c>
      <c r="CN214" s="89">
        <v>3</v>
      </c>
      <c r="CO214" s="89">
        <v>2</v>
      </c>
      <c r="CP214" s="125"/>
      <c r="CR214" s="95" t="s">
        <v>49</v>
      </c>
      <c r="CS214" s="89">
        <v>3</v>
      </c>
      <c r="CT214" s="89">
        <v>3</v>
      </c>
      <c r="CU214" s="89">
        <v>3</v>
      </c>
      <c r="CV214" s="89">
        <v>2</v>
      </c>
      <c r="CW214" s="125" t="s">
        <v>4392</v>
      </c>
      <c r="CY214" s="95" t="s">
        <v>49</v>
      </c>
      <c r="CZ214" s="89">
        <v>3</v>
      </c>
      <c r="DA214" s="89">
        <v>3</v>
      </c>
      <c r="DB214" s="89">
        <v>3</v>
      </c>
      <c r="DC214" s="89">
        <v>2</v>
      </c>
      <c r="DD214" s="125" t="s">
        <v>4392</v>
      </c>
      <c r="DF214" s="95" t="s">
        <v>49</v>
      </c>
      <c r="DG214" s="89">
        <v>3</v>
      </c>
      <c r="DH214" s="89">
        <v>3</v>
      </c>
      <c r="DI214" s="89">
        <v>3</v>
      </c>
      <c r="DJ214" s="89">
        <v>2</v>
      </c>
      <c r="DK214" s="125" t="s">
        <v>4392</v>
      </c>
      <c r="DM214" s="95" t="s">
        <v>49</v>
      </c>
      <c r="DN214" s="89">
        <v>3</v>
      </c>
      <c r="DO214" s="89">
        <v>3</v>
      </c>
      <c r="DP214" s="89">
        <v>3</v>
      </c>
      <c r="DQ214" s="89">
        <v>2</v>
      </c>
      <c r="DR214" s="124" t="s">
        <v>4392</v>
      </c>
      <c r="DT214" s="194" t="s">
        <v>49</v>
      </c>
      <c r="DU214" s="88">
        <v>3</v>
      </c>
      <c r="DV214" s="88">
        <v>3</v>
      </c>
      <c r="DW214" s="88">
        <v>3</v>
      </c>
      <c r="DX214" s="88">
        <v>2</v>
      </c>
      <c r="EA214" s="126" t="s">
        <v>49</v>
      </c>
      <c r="EB214" s="188">
        <v>2</v>
      </c>
      <c r="EC214" s="188">
        <v>2</v>
      </c>
      <c r="ED214" s="188">
        <v>2</v>
      </c>
      <c r="EE214" s="188">
        <v>3</v>
      </c>
      <c r="EH214" s="126" t="s">
        <v>49</v>
      </c>
      <c r="EI214" s="188">
        <v>2</v>
      </c>
      <c r="EJ214" s="188">
        <v>2</v>
      </c>
      <c r="EK214" s="188">
        <v>2</v>
      </c>
      <c r="EL214" s="188">
        <v>3</v>
      </c>
      <c r="EP214" s="188">
        <v>2</v>
      </c>
      <c r="EQ214" s="188">
        <v>2</v>
      </c>
      <c r="ER214" s="188">
        <v>2</v>
      </c>
      <c r="ES214" s="188">
        <v>3</v>
      </c>
      <c r="EW214" s="89">
        <v>2</v>
      </c>
      <c r="EX214" s="89">
        <v>2</v>
      </c>
      <c r="EY214" s="89">
        <v>2</v>
      </c>
      <c r="EZ214" s="88">
        <v>3</v>
      </c>
      <c r="FC214" s="89">
        <v>2</v>
      </c>
      <c r="FD214" s="89">
        <v>2</v>
      </c>
      <c r="FE214" s="89">
        <v>2</v>
      </c>
      <c r="FF214" s="89">
        <v>2</v>
      </c>
      <c r="FI214" s="89">
        <v>2</v>
      </c>
      <c r="FJ214" s="89">
        <v>2</v>
      </c>
      <c r="FK214" s="323">
        <v>2</v>
      </c>
      <c r="FL214" s="323">
        <v>2</v>
      </c>
      <c r="FO214" s="89">
        <v>2</v>
      </c>
      <c r="FP214" s="89">
        <v>2</v>
      </c>
      <c r="FQ214" s="89">
        <v>3</v>
      </c>
      <c r="FR214" s="89">
        <v>3</v>
      </c>
      <c r="FT214" s="126"/>
      <c r="FU214" s="89">
        <v>2</v>
      </c>
      <c r="FV214" s="89">
        <v>2</v>
      </c>
      <c r="FW214" s="89">
        <v>3</v>
      </c>
      <c r="FX214" s="89">
        <v>3</v>
      </c>
      <c r="FZ214" s="126"/>
      <c r="GA214" s="89">
        <v>2</v>
      </c>
      <c r="GB214" s="89">
        <v>2</v>
      </c>
      <c r="GC214" s="89">
        <v>3</v>
      </c>
      <c r="GD214" s="89">
        <v>3</v>
      </c>
      <c r="GF214" s="126"/>
      <c r="GL214" s="126"/>
      <c r="GR214" s="126"/>
      <c r="HB214" s="88"/>
      <c r="HC214" s="88"/>
      <c r="HD214" s="88"/>
      <c r="HE214" s="88"/>
    </row>
  </sheetData>
  <mergeCells count="608">
    <mergeCell ref="C1:I1"/>
    <mergeCell ref="J1:P1"/>
    <mergeCell ref="Q1:W1"/>
    <mergeCell ref="X1:AD1"/>
    <mergeCell ref="AE1:AK1"/>
    <mergeCell ref="AL1:AR1"/>
    <mergeCell ref="AS1:AY1"/>
    <mergeCell ref="AZ1:BF1"/>
    <mergeCell ref="BG1:BM1"/>
    <mergeCell ref="BN1:BT1"/>
    <mergeCell ref="BU1:CA1"/>
    <mergeCell ref="CB1:CH1"/>
    <mergeCell ref="CI1:CO1"/>
    <mergeCell ref="CP1:CV1"/>
    <mergeCell ref="CW1:DC1"/>
    <mergeCell ref="DD1:DJ1"/>
    <mergeCell ref="DK1:DQ1"/>
    <mergeCell ref="DR1:DX1"/>
    <mergeCell ref="DY1:EE1"/>
    <mergeCell ref="EF1:EL1"/>
    <mergeCell ref="EM1:ES1"/>
    <mergeCell ref="ET1:EZ1"/>
    <mergeCell ref="FA1:FF1"/>
    <mergeCell ref="FG1:FL1"/>
    <mergeCell ref="FM1:FR1"/>
    <mergeCell ref="FS1:FX1"/>
    <mergeCell ref="FY1:GD1"/>
    <mergeCell ref="GE1:GJ1"/>
    <mergeCell ref="GK1:GP1"/>
    <mergeCell ref="GQ1:GV1"/>
    <mergeCell ref="GW1:HA1"/>
    <mergeCell ref="HB1:HE1"/>
    <mergeCell ref="C14:I14"/>
    <mergeCell ref="J14:P14"/>
    <mergeCell ref="Q14:W14"/>
    <mergeCell ref="X14:AD14"/>
    <mergeCell ref="AE14:AK14"/>
    <mergeCell ref="AL14:AR14"/>
    <mergeCell ref="AS14:AY14"/>
    <mergeCell ref="AZ14:BF14"/>
    <mergeCell ref="BG14:BM14"/>
    <mergeCell ref="BN14:BT14"/>
    <mergeCell ref="BU14:CA14"/>
    <mergeCell ref="CB14:CH14"/>
    <mergeCell ref="CI14:CO14"/>
    <mergeCell ref="CP14:CV14"/>
    <mergeCell ref="CW14:DC14"/>
    <mergeCell ref="DD14:DJ14"/>
    <mergeCell ref="DK14:DQ14"/>
    <mergeCell ref="DR14:DX14"/>
    <mergeCell ref="DY14:EE14"/>
    <mergeCell ref="EF14:EL14"/>
    <mergeCell ref="EM14:ES14"/>
    <mergeCell ref="EW14:EZ14"/>
    <mergeCell ref="FC14:FF14"/>
    <mergeCell ref="FI14:FL14"/>
    <mergeCell ref="FO14:FR14"/>
    <mergeCell ref="FU14:FX14"/>
    <mergeCell ref="GA14:GD14"/>
    <mergeCell ref="GG14:GJ14"/>
    <mergeCell ref="GM14:GP14"/>
    <mergeCell ref="GS14:GV14"/>
    <mergeCell ref="GX14:HA14"/>
    <mergeCell ref="HB14:HE14"/>
    <mergeCell ref="C27:I27"/>
    <mergeCell ref="J27:P27"/>
    <mergeCell ref="Q27:W27"/>
    <mergeCell ref="X27:AD27"/>
    <mergeCell ref="AE27:AK27"/>
    <mergeCell ref="AL27:AR27"/>
    <mergeCell ref="AS27:AY27"/>
    <mergeCell ref="AZ27:BF27"/>
    <mergeCell ref="BG27:BM27"/>
    <mergeCell ref="BN27:BT27"/>
    <mergeCell ref="BU27:CA27"/>
    <mergeCell ref="CB27:CH27"/>
    <mergeCell ref="CI27:CO27"/>
    <mergeCell ref="CP27:CV27"/>
    <mergeCell ref="CW27:DC27"/>
    <mergeCell ref="DD27:DJ27"/>
    <mergeCell ref="DK27:DQ27"/>
    <mergeCell ref="DR27:DX27"/>
    <mergeCell ref="DY27:EE27"/>
    <mergeCell ref="EF27:EL27"/>
    <mergeCell ref="EM27:ES27"/>
    <mergeCell ref="EW27:EZ27"/>
    <mergeCell ref="FC27:FF27"/>
    <mergeCell ref="FI27:FL27"/>
    <mergeCell ref="FO27:FR27"/>
    <mergeCell ref="FU27:FX27"/>
    <mergeCell ref="GA27:GD27"/>
    <mergeCell ref="GG27:GJ27"/>
    <mergeCell ref="GM27:GP27"/>
    <mergeCell ref="GS27:GV27"/>
    <mergeCell ref="GX27:HA27"/>
    <mergeCell ref="HB27:HE27"/>
    <mergeCell ref="C41:I41"/>
    <mergeCell ref="J41:P41"/>
    <mergeCell ref="Q41:W41"/>
    <mergeCell ref="X41:AD41"/>
    <mergeCell ref="AE41:AK41"/>
    <mergeCell ref="AL41:AR41"/>
    <mergeCell ref="AS41:AY41"/>
    <mergeCell ref="AZ41:BF41"/>
    <mergeCell ref="BG41:BM41"/>
    <mergeCell ref="BN41:BT41"/>
    <mergeCell ref="BU41:CA41"/>
    <mergeCell ref="CB41:CH41"/>
    <mergeCell ref="CI41:CO41"/>
    <mergeCell ref="CP41:CV41"/>
    <mergeCell ref="CW41:DC41"/>
    <mergeCell ref="DD41:DJ41"/>
    <mergeCell ref="DK41:DQ41"/>
    <mergeCell ref="DR41:DX41"/>
    <mergeCell ref="DY41:EE41"/>
    <mergeCell ref="EF41:EL41"/>
    <mergeCell ref="EM41:ES41"/>
    <mergeCell ref="EW41:EZ41"/>
    <mergeCell ref="FC41:FF41"/>
    <mergeCell ref="FI41:FL41"/>
    <mergeCell ref="FO41:FR41"/>
    <mergeCell ref="FU41:FX41"/>
    <mergeCell ref="GA41:GD41"/>
    <mergeCell ref="GG41:GJ41"/>
    <mergeCell ref="GM41:GP41"/>
    <mergeCell ref="GS41:GV41"/>
    <mergeCell ref="GX41:HA41"/>
    <mergeCell ref="HB41:HE41"/>
    <mergeCell ref="C53:I53"/>
    <mergeCell ref="J53:P53"/>
    <mergeCell ref="Q53:W53"/>
    <mergeCell ref="X53:AD53"/>
    <mergeCell ref="AE53:AK53"/>
    <mergeCell ref="AL53:AR53"/>
    <mergeCell ref="AS53:AY53"/>
    <mergeCell ref="AZ53:BF53"/>
    <mergeCell ref="BG53:BM53"/>
    <mergeCell ref="BN53:BT53"/>
    <mergeCell ref="BU53:CA53"/>
    <mergeCell ref="CB53:CH53"/>
    <mergeCell ref="CI53:CO53"/>
    <mergeCell ref="CP53:CV53"/>
    <mergeCell ref="CW53:DC53"/>
    <mergeCell ref="DD53:DJ53"/>
    <mergeCell ref="DK53:DQ53"/>
    <mergeCell ref="DR53:DX53"/>
    <mergeCell ref="DY53:EE53"/>
    <mergeCell ref="EF53:EL53"/>
    <mergeCell ref="EM53:ES53"/>
    <mergeCell ref="EW53:EZ53"/>
    <mergeCell ref="FC53:FF53"/>
    <mergeCell ref="FI53:FL53"/>
    <mergeCell ref="FO53:FR53"/>
    <mergeCell ref="FU53:FX53"/>
    <mergeCell ref="GA53:GD53"/>
    <mergeCell ref="GG53:GJ53"/>
    <mergeCell ref="GM53:GP53"/>
    <mergeCell ref="GS53:GV53"/>
    <mergeCell ref="GX53:HA53"/>
    <mergeCell ref="HB53:HE53"/>
    <mergeCell ref="C70:I70"/>
    <mergeCell ref="J70:P70"/>
    <mergeCell ref="Q70:W70"/>
    <mergeCell ref="X70:AD70"/>
    <mergeCell ref="AE70:AK70"/>
    <mergeCell ref="AL70:AR70"/>
    <mergeCell ref="AS70:AY70"/>
    <mergeCell ref="AZ70:BF70"/>
    <mergeCell ref="BG70:BM70"/>
    <mergeCell ref="BN70:BT70"/>
    <mergeCell ref="BU70:CA70"/>
    <mergeCell ref="CB70:CH70"/>
    <mergeCell ref="CI70:CO70"/>
    <mergeCell ref="CP70:CV70"/>
    <mergeCell ref="CW70:DC70"/>
    <mergeCell ref="DD70:DJ70"/>
    <mergeCell ref="DK70:DQ70"/>
    <mergeCell ref="DR70:DX70"/>
    <mergeCell ref="DY70:EE70"/>
    <mergeCell ref="EF70:EL70"/>
    <mergeCell ref="EM70:ES70"/>
    <mergeCell ref="EW70:EZ70"/>
    <mergeCell ref="FC70:FF70"/>
    <mergeCell ref="FI70:FL70"/>
    <mergeCell ref="FO70:FR70"/>
    <mergeCell ref="FU70:FX70"/>
    <mergeCell ref="GA70:GD70"/>
    <mergeCell ref="GG70:GJ70"/>
    <mergeCell ref="GM70:GP70"/>
    <mergeCell ref="GS70:GV70"/>
    <mergeCell ref="GX70:HA70"/>
    <mergeCell ref="HB70:HE70"/>
    <mergeCell ref="C82:I82"/>
    <mergeCell ref="J82:P82"/>
    <mergeCell ref="Q82:W82"/>
    <mergeCell ref="X82:AD82"/>
    <mergeCell ref="AE82:AK82"/>
    <mergeCell ref="AL82:AR82"/>
    <mergeCell ref="AS82:AY82"/>
    <mergeCell ref="AZ82:BF82"/>
    <mergeCell ref="BG82:BM82"/>
    <mergeCell ref="BN82:BT82"/>
    <mergeCell ref="BU82:CA82"/>
    <mergeCell ref="CB82:CH82"/>
    <mergeCell ref="CI82:CO82"/>
    <mergeCell ref="CP82:CV82"/>
    <mergeCell ref="CW82:DC82"/>
    <mergeCell ref="DD82:DJ82"/>
    <mergeCell ref="DK82:DQ82"/>
    <mergeCell ref="DR82:DX82"/>
    <mergeCell ref="DY82:EE82"/>
    <mergeCell ref="EF82:EL82"/>
    <mergeCell ref="EM82:ES82"/>
    <mergeCell ref="EW82:EZ82"/>
    <mergeCell ref="FC82:FF82"/>
    <mergeCell ref="FI82:FL82"/>
    <mergeCell ref="FO82:FR82"/>
    <mergeCell ref="FU82:FX82"/>
    <mergeCell ref="GA82:GD82"/>
    <mergeCell ref="GG82:GJ82"/>
    <mergeCell ref="GM82:GP82"/>
    <mergeCell ref="GS82:GV82"/>
    <mergeCell ref="GX82:HA82"/>
    <mergeCell ref="HB82:HE82"/>
    <mergeCell ref="C93:I93"/>
    <mergeCell ref="J93:P93"/>
    <mergeCell ref="Q93:W93"/>
    <mergeCell ref="X93:AD93"/>
    <mergeCell ref="AE93:AK93"/>
    <mergeCell ref="AL93:AR93"/>
    <mergeCell ref="AS93:AY93"/>
    <mergeCell ref="AZ93:BF93"/>
    <mergeCell ref="BG93:BM93"/>
    <mergeCell ref="BN93:BT93"/>
    <mergeCell ref="BU93:CA93"/>
    <mergeCell ref="CB93:CH93"/>
    <mergeCell ref="CI93:CO93"/>
    <mergeCell ref="CP93:CV93"/>
    <mergeCell ref="CW93:DC93"/>
    <mergeCell ref="DD93:DJ93"/>
    <mergeCell ref="DK93:DQ93"/>
    <mergeCell ref="DR93:DX93"/>
    <mergeCell ref="DY93:EE93"/>
    <mergeCell ref="EF93:EL93"/>
    <mergeCell ref="EM93:ES93"/>
    <mergeCell ref="EW93:EZ93"/>
    <mergeCell ref="FC93:FF93"/>
    <mergeCell ref="FI93:FL93"/>
    <mergeCell ref="FO93:FR93"/>
    <mergeCell ref="FU93:FX93"/>
    <mergeCell ref="GA93:GD93"/>
    <mergeCell ref="GG93:GJ93"/>
    <mergeCell ref="GM93:GP93"/>
    <mergeCell ref="GS93:GV93"/>
    <mergeCell ref="GX93:HA93"/>
    <mergeCell ref="HB93:HE93"/>
    <mergeCell ref="C108:I108"/>
    <mergeCell ref="J108:P108"/>
    <mergeCell ref="Q108:W108"/>
    <mergeCell ref="X108:AD108"/>
    <mergeCell ref="AE108:AK108"/>
    <mergeCell ref="AL108:AR108"/>
    <mergeCell ref="AS108:AY108"/>
    <mergeCell ref="AZ108:BF108"/>
    <mergeCell ref="BG108:BM108"/>
    <mergeCell ref="BN108:BT108"/>
    <mergeCell ref="BU108:CA108"/>
    <mergeCell ref="CB108:CH108"/>
    <mergeCell ref="CI108:CO108"/>
    <mergeCell ref="CP108:CV108"/>
    <mergeCell ref="CW108:DC108"/>
    <mergeCell ref="DD108:DJ108"/>
    <mergeCell ref="DK108:DQ108"/>
    <mergeCell ref="DR108:DX108"/>
    <mergeCell ref="DY108:EE108"/>
    <mergeCell ref="EF108:EL108"/>
    <mergeCell ref="EM108:ES108"/>
    <mergeCell ref="EW108:EZ108"/>
    <mergeCell ref="FC108:FF108"/>
    <mergeCell ref="FI108:FL108"/>
    <mergeCell ref="FO108:FR108"/>
    <mergeCell ref="FU108:FX108"/>
    <mergeCell ref="GA108:GD108"/>
    <mergeCell ref="GG108:GJ108"/>
    <mergeCell ref="GM108:GP108"/>
    <mergeCell ref="GS108:GV108"/>
    <mergeCell ref="GX108:HA108"/>
    <mergeCell ref="HB108:HE108"/>
    <mergeCell ref="C119:I119"/>
    <mergeCell ref="J119:P119"/>
    <mergeCell ref="Q119:W119"/>
    <mergeCell ref="X119:AD119"/>
    <mergeCell ref="AE119:AK119"/>
    <mergeCell ref="AL119:AR119"/>
    <mergeCell ref="AS119:AY119"/>
    <mergeCell ref="AZ119:BF119"/>
    <mergeCell ref="BG119:BM119"/>
    <mergeCell ref="BN119:BT119"/>
    <mergeCell ref="BU119:CA119"/>
    <mergeCell ref="CB119:CH119"/>
    <mergeCell ref="CI119:CO119"/>
    <mergeCell ref="CP119:CV119"/>
    <mergeCell ref="CW119:DC119"/>
    <mergeCell ref="DD119:DJ119"/>
    <mergeCell ref="DK119:DQ119"/>
    <mergeCell ref="DR119:DX119"/>
    <mergeCell ref="DY119:EE119"/>
    <mergeCell ref="EF119:EL119"/>
    <mergeCell ref="EM119:ES119"/>
    <mergeCell ref="EW119:EZ119"/>
    <mergeCell ref="FC119:FF119"/>
    <mergeCell ref="FI119:FL119"/>
    <mergeCell ref="FO119:FR119"/>
    <mergeCell ref="FU119:FX119"/>
    <mergeCell ref="GA119:GD119"/>
    <mergeCell ref="GG119:GJ119"/>
    <mergeCell ref="GM119:GP119"/>
    <mergeCell ref="GS119:GV119"/>
    <mergeCell ref="GX119:HA119"/>
    <mergeCell ref="HB119:HE119"/>
    <mergeCell ref="C127:I127"/>
    <mergeCell ref="J127:P127"/>
    <mergeCell ref="Q127:W127"/>
    <mergeCell ref="X127:AD127"/>
    <mergeCell ref="AE127:AK127"/>
    <mergeCell ref="AL127:AR127"/>
    <mergeCell ref="AS127:AY127"/>
    <mergeCell ref="AZ127:BF127"/>
    <mergeCell ref="BG127:BM127"/>
    <mergeCell ref="BN127:BT127"/>
    <mergeCell ref="BU127:CA127"/>
    <mergeCell ref="CB127:CH127"/>
    <mergeCell ref="CI127:CO127"/>
    <mergeCell ref="CP127:CV127"/>
    <mergeCell ref="CW127:DC127"/>
    <mergeCell ref="DD127:DJ127"/>
    <mergeCell ref="DK127:DQ127"/>
    <mergeCell ref="DR127:DX127"/>
    <mergeCell ref="DY127:EE127"/>
    <mergeCell ref="EF127:EL127"/>
    <mergeCell ref="EM127:ES127"/>
    <mergeCell ref="EW127:EZ127"/>
    <mergeCell ref="FC127:FF127"/>
    <mergeCell ref="FI127:FL127"/>
    <mergeCell ref="FO127:FR127"/>
    <mergeCell ref="FU127:FX127"/>
    <mergeCell ref="GA127:GD127"/>
    <mergeCell ref="GG127:GJ127"/>
    <mergeCell ref="GM127:GP127"/>
    <mergeCell ref="GS127:GV127"/>
    <mergeCell ref="GX127:HA127"/>
    <mergeCell ref="HB127:HE127"/>
    <mergeCell ref="C136:I136"/>
    <mergeCell ref="J136:P136"/>
    <mergeCell ref="Q136:W136"/>
    <mergeCell ref="X136:AD136"/>
    <mergeCell ref="AE136:AK136"/>
    <mergeCell ref="AL136:AR136"/>
    <mergeCell ref="AS136:AY136"/>
    <mergeCell ref="AZ136:BF136"/>
    <mergeCell ref="BG136:BM136"/>
    <mergeCell ref="BN136:BT136"/>
    <mergeCell ref="BU136:CA136"/>
    <mergeCell ref="CB136:CH136"/>
    <mergeCell ref="CI136:CO136"/>
    <mergeCell ref="CP136:CV136"/>
    <mergeCell ref="CW136:DC136"/>
    <mergeCell ref="DD136:DJ136"/>
    <mergeCell ref="DK136:DQ136"/>
    <mergeCell ref="DR136:DX136"/>
    <mergeCell ref="DY136:EE136"/>
    <mergeCell ref="EF136:EL136"/>
    <mergeCell ref="EM136:ES136"/>
    <mergeCell ref="EW136:EZ136"/>
    <mergeCell ref="FC136:FF136"/>
    <mergeCell ref="FI136:FL136"/>
    <mergeCell ref="FO136:FR136"/>
    <mergeCell ref="FU136:FX136"/>
    <mergeCell ref="GA136:GD136"/>
    <mergeCell ref="GG136:GJ136"/>
    <mergeCell ref="GM136:GP136"/>
    <mergeCell ref="GS136:GV136"/>
    <mergeCell ref="GX136:HA136"/>
    <mergeCell ref="HB136:HE136"/>
    <mergeCell ref="C146:I146"/>
    <mergeCell ref="J146:P146"/>
    <mergeCell ref="Q146:W146"/>
    <mergeCell ref="X146:AD146"/>
    <mergeCell ref="AE146:AK146"/>
    <mergeCell ref="AL146:AR146"/>
    <mergeCell ref="AS146:AY146"/>
    <mergeCell ref="AZ146:BF146"/>
    <mergeCell ref="BG146:BM146"/>
    <mergeCell ref="BN146:BT146"/>
    <mergeCell ref="BU146:CA146"/>
    <mergeCell ref="CB146:CH146"/>
    <mergeCell ref="CI146:CO146"/>
    <mergeCell ref="CP146:CV146"/>
    <mergeCell ref="CW146:DC146"/>
    <mergeCell ref="DD146:DJ146"/>
    <mergeCell ref="DK146:DQ146"/>
    <mergeCell ref="DR146:DX146"/>
    <mergeCell ref="DY146:EE146"/>
    <mergeCell ref="EF146:EL146"/>
    <mergeCell ref="EM146:ES146"/>
    <mergeCell ref="EW146:EZ146"/>
    <mergeCell ref="FC146:FF146"/>
    <mergeCell ref="FI146:FL146"/>
    <mergeCell ref="FO146:FR146"/>
    <mergeCell ref="FU146:FX146"/>
    <mergeCell ref="GA146:GD146"/>
    <mergeCell ref="GG146:GJ146"/>
    <mergeCell ref="GM146:GP146"/>
    <mergeCell ref="GS146:GV146"/>
    <mergeCell ref="GX146:HA146"/>
    <mergeCell ref="HB146:HE146"/>
    <mergeCell ref="C157:I157"/>
    <mergeCell ref="J157:P157"/>
    <mergeCell ref="Q157:W157"/>
    <mergeCell ref="X157:AD157"/>
    <mergeCell ref="AE157:AK157"/>
    <mergeCell ref="AL157:AR157"/>
    <mergeCell ref="AS157:AY157"/>
    <mergeCell ref="AZ157:BF157"/>
    <mergeCell ref="BG157:BM157"/>
    <mergeCell ref="BN157:BT157"/>
    <mergeCell ref="BU157:CA157"/>
    <mergeCell ref="CB157:CH157"/>
    <mergeCell ref="CI157:CO157"/>
    <mergeCell ref="CP157:CV157"/>
    <mergeCell ref="CW157:DC157"/>
    <mergeCell ref="DD157:DJ157"/>
    <mergeCell ref="DK157:DQ157"/>
    <mergeCell ref="DR157:DX157"/>
    <mergeCell ref="DY157:EE157"/>
    <mergeCell ref="EF157:EL157"/>
    <mergeCell ref="EM157:ES157"/>
    <mergeCell ref="EW157:EZ157"/>
    <mergeCell ref="FC157:FF157"/>
    <mergeCell ref="FI157:FL157"/>
    <mergeCell ref="FO157:FR157"/>
    <mergeCell ref="FU157:FX157"/>
    <mergeCell ref="GA157:GD157"/>
    <mergeCell ref="GG157:GJ157"/>
    <mergeCell ref="GM157:GP157"/>
    <mergeCell ref="GS157:GV157"/>
    <mergeCell ref="GX157:HA157"/>
    <mergeCell ref="HB157:HE157"/>
    <mergeCell ref="C167:I167"/>
    <mergeCell ref="J167:P167"/>
    <mergeCell ref="Q167:W167"/>
    <mergeCell ref="X167:AD167"/>
    <mergeCell ref="AE167:AK167"/>
    <mergeCell ref="AL167:AR167"/>
    <mergeCell ref="AS167:AY167"/>
    <mergeCell ref="AZ167:BF167"/>
    <mergeCell ref="BG167:BM167"/>
    <mergeCell ref="BN167:BT167"/>
    <mergeCell ref="BU167:CA167"/>
    <mergeCell ref="CB167:CH167"/>
    <mergeCell ref="CI167:CO167"/>
    <mergeCell ref="CP167:CV167"/>
    <mergeCell ref="CW167:DC167"/>
    <mergeCell ref="DD167:DJ167"/>
    <mergeCell ref="DK167:DQ167"/>
    <mergeCell ref="DR167:DX167"/>
    <mergeCell ref="DY167:EE167"/>
    <mergeCell ref="EF167:EL167"/>
    <mergeCell ref="EM167:ES167"/>
    <mergeCell ref="EW167:EZ167"/>
    <mergeCell ref="FC167:FF167"/>
    <mergeCell ref="FI167:FL167"/>
    <mergeCell ref="FO167:FR167"/>
    <mergeCell ref="FU167:FX167"/>
    <mergeCell ref="GA167:GD167"/>
    <mergeCell ref="GG167:GJ167"/>
    <mergeCell ref="GM167:GP167"/>
    <mergeCell ref="GS167:GV167"/>
    <mergeCell ref="GX167:HA167"/>
    <mergeCell ref="HB167:HE167"/>
    <mergeCell ref="C180:I180"/>
    <mergeCell ref="J180:P180"/>
    <mergeCell ref="Q180:W180"/>
    <mergeCell ref="X180:AD180"/>
    <mergeCell ref="AE180:AK180"/>
    <mergeCell ref="AL180:AR180"/>
    <mergeCell ref="AS180:AY180"/>
    <mergeCell ref="AZ180:BF180"/>
    <mergeCell ref="BG180:BM180"/>
    <mergeCell ref="BN180:BT180"/>
    <mergeCell ref="BU180:CA180"/>
    <mergeCell ref="CB180:CH180"/>
    <mergeCell ref="CI180:CO180"/>
    <mergeCell ref="CP180:CV180"/>
    <mergeCell ref="CW180:DC180"/>
    <mergeCell ref="DD180:DJ180"/>
    <mergeCell ref="DK180:DQ180"/>
    <mergeCell ref="DR180:DX180"/>
    <mergeCell ref="DY180:EE180"/>
    <mergeCell ref="EF180:EL180"/>
    <mergeCell ref="EM180:ES180"/>
    <mergeCell ref="EW180:EZ180"/>
    <mergeCell ref="FC180:FF180"/>
    <mergeCell ref="FI180:FL180"/>
    <mergeCell ref="FO180:FR180"/>
    <mergeCell ref="FU180:FX180"/>
    <mergeCell ref="GA180:GD180"/>
    <mergeCell ref="GG180:GJ180"/>
    <mergeCell ref="GM180:GP180"/>
    <mergeCell ref="GS180:GV180"/>
    <mergeCell ref="GX180:HA180"/>
    <mergeCell ref="HB180:HE180"/>
    <mergeCell ref="C190:I190"/>
    <mergeCell ref="J190:P190"/>
    <mergeCell ref="Q190:W190"/>
    <mergeCell ref="X190:AD190"/>
    <mergeCell ref="AE190:AK190"/>
    <mergeCell ref="AL190:AR190"/>
    <mergeCell ref="AS190:AY190"/>
    <mergeCell ref="AZ190:BF190"/>
    <mergeCell ref="BG190:BM190"/>
    <mergeCell ref="BN190:BT190"/>
    <mergeCell ref="BU190:CA190"/>
    <mergeCell ref="CB190:CH190"/>
    <mergeCell ref="CI190:CO190"/>
    <mergeCell ref="CP190:CV190"/>
    <mergeCell ref="CW190:DC190"/>
    <mergeCell ref="DD190:DJ190"/>
    <mergeCell ref="DK190:DQ190"/>
    <mergeCell ref="DR190:DX190"/>
    <mergeCell ref="DY190:EE190"/>
    <mergeCell ref="EF190:EL190"/>
    <mergeCell ref="EM190:ES190"/>
    <mergeCell ref="EW190:EZ190"/>
    <mergeCell ref="FC190:FF190"/>
    <mergeCell ref="FI190:FL190"/>
    <mergeCell ref="FO190:FR190"/>
    <mergeCell ref="FU190:FX190"/>
    <mergeCell ref="GA190:GD190"/>
    <mergeCell ref="GG190:GJ190"/>
    <mergeCell ref="GM190:GP190"/>
    <mergeCell ref="GS190:GV190"/>
    <mergeCell ref="GX190:HA190"/>
    <mergeCell ref="HB190:HE190"/>
    <mergeCell ref="C197:I197"/>
    <mergeCell ref="J197:P197"/>
    <mergeCell ref="Q197:W197"/>
    <mergeCell ref="X197:AD197"/>
    <mergeCell ref="AE197:AK197"/>
    <mergeCell ref="AL197:AR197"/>
    <mergeCell ref="AS197:AY197"/>
    <mergeCell ref="AZ197:BF197"/>
    <mergeCell ref="BG197:BM197"/>
    <mergeCell ref="BN197:BT197"/>
    <mergeCell ref="BU197:CA197"/>
    <mergeCell ref="CB197:CH197"/>
    <mergeCell ref="CI197:CO197"/>
    <mergeCell ref="CP197:CV197"/>
    <mergeCell ref="CW197:DC197"/>
    <mergeCell ref="DD197:DJ197"/>
    <mergeCell ref="DK197:DQ197"/>
    <mergeCell ref="DR197:DX197"/>
    <mergeCell ref="DY197:EE197"/>
    <mergeCell ref="EF197:EL197"/>
    <mergeCell ref="EM197:ES197"/>
    <mergeCell ref="EW197:EZ197"/>
    <mergeCell ref="FC197:FF197"/>
    <mergeCell ref="FI197:FL197"/>
    <mergeCell ref="FO197:FR197"/>
    <mergeCell ref="FU197:FX197"/>
    <mergeCell ref="GA197:GD197"/>
    <mergeCell ref="GG197:GJ197"/>
    <mergeCell ref="GM197:GP197"/>
    <mergeCell ref="GS197:GV197"/>
    <mergeCell ref="GX197:HA197"/>
    <mergeCell ref="HB197:HE197"/>
    <mergeCell ref="C208:I208"/>
    <mergeCell ref="J208:P208"/>
    <mergeCell ref="Q208:W208"/>
    <mergeCell ref="X208:AD208"/>
    <mergeCell ref="AE208:AK208"/>
    <mergeCell ref="AL208:AR208"/>
    <mergeCell ref="AS208:AY208"/>
    <mergeCell ref="AZ208:BF208"/>
    <mergeCell ref="BG208:BM208"/>
    <mergeCell ref="BN208:BT208"/>
    <mergeCell ref="BU208:CA208"/>
    <mergeCell ref="CB208:CH208"/>
    <mergeCell ref="CI208:CO208"/>
    <mergeCell ref="CP208:CV208"/>
    <mergeCell ref="CW208:DC208"/>
    <mergeCell ref="DD208:DJ208"/>
    <mergeCell ref="DK208:DQ208"/>
    <mergeCell ref="DR208:DX208"/>
    <mergeCell ref="DY208:EE208"/>
    <mergeCell ref="EF208:EL208"/>
    <mergeCell ref="EM208:ES208"/>
    <mergeCell ref="EW208:EZ208"/>
    <mergeCell ref="FC208:FF208"/>
    <mergeCell ref="FI208:FL208"/>
    <mergeCell ref="FO208:FR208"/>
    <mergeCell ref="FU208:FX208"/>
    <mergeCell ref="GA208:GD208"/>
    <mergeCell ref="GG208:GJ208"/>
    <mergeCell ref="GM208:GP208"/>
    <mergeCell ref="GS208:GV208"/>
    <mergeCell ref="GX208:HA208"/>
    <mergeCell ref="HB208:HE208"/>
  </mergeCells>
  <conditionalFormatting sqref="B9">
    <cfRule type="duplicateValues" dxfId="0" priority="13"/>
  </conditionalFormatting>
  <conditionalFormatting sqref="B29:B34">
    <cfRule type="duplicateValues" dxfId="0" priority="12"/>
  </conditionalFormatting>
  <hyperlinks>
    <hyperlink ref="B62" r:id="rId1" display="www.bluespringsfordparts.com"/>
    <hyperlink ref="B58" r:id="rId2" display="accessories.ford.com"/>
    <hyperlink ref="B187" r:id="rId3" display="www.mazdapartsprime.com"/>
    <hyperlink ref="B163" r:id="rId4" display="www.erievolvo.com"/>
    <hyperlink ref="B161" r:id="rId5" display="usparts.volvocars.com"/>
    <hyperlink ref="B50" r:id="rId6" display="www.moparpartsprime.com"/>
    <hyperlink ref="B183" r:id="rId7" display="www.realmazdaparts.com"/>
    <hyperlink ref="B176" r:id="rId8" display="www.vwpartsprime.com"/>
    <hyperlink ref="B115" r:id="rId9" display="acura.bernardiparts.com"/>
    <hyperlink ref="B90" r:id="rId10" display="www.hyundaionlineparts.net"/>
    <hyperlink ref="B74" r:id="rId11" display="www.courtesyparts.com"/>
    <hyperlink ref="B34" r:id="rId12" display="www.hondaautomotiveparts.com"/>
    <hyperlink ref="B153" r:id="rId13" display="www.bmwpartsupply.com"/>
    <hyperlink ref="B134" r:id="rId14" display="www.kia.parts"/>
    <hyperlink ref="B79" r:id="rId15" display="www.nissanparts.cc"/>
    <hyperlink ref="B22" r:id="rId16" display="www.oempartsource.com" tooltip="http://www.oempartsource.com"/>
    <hyperlink ref="B91" r:id="rId17" display="www.hyundaioempartsdirect.com" tooltip="http://www.hyundaioempartsdirect.com"/>
    <hyperlink ref="B113" r:id="rId18" display="www.oemacuraparts.com"/>
    <hyperlink ref="B112" r:id="rId19" display="www.acuraoemparts.com"/>
    <hyperlink ref="B114" r:id="rId9" display="www.acurapartsnow.com"/>
    <hyperlink ref="B140" r:id="rId20" display="www.infinitipartsonline.com"/>
  </hyperlinks>
  <pageMargins left="0.7" right="0.7" top="0.75" bottom="0.75" header="0.3" footer="0.3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C185"/>
  <sheetViews>
    <sheetView workbookViewId="0">
      <selection activeCell="D161" sqref="D161"/>
    </sheetView>
  </sheetViews>
  <sheetFormatPr defaultColWidth="21.3333333333333" defaultRowHeight="15.6"/>
  <cols>
    <col min="1" max="1" width="21.2222222222222" style="258" customWidth="1"/>
    <col min="2" max="2" width="20.6666666666667" style="258" customWidth="1"/>
    <col min="3" max="3" width="8.44444444444444" style="258" customWidth="1"/>
    <col min="4" max="4" width="21.4444444444444" style="258" customWidth="1"/>
    <col min="5" max="17" width="21.3333333333333" style="258" hidden="1" customWidth="1"/>
    <col min="18" max="18" width="26.4444444444444" style="258" hidden="1" customWidth="1"/>
    <col min="19" max="20" width="21.3333333333333" style="258" hidden="1" customWidth="1"/>
    <col min="21" max="24" width="30.1111111111111" style="258" hidden="1" customWidth="1"/>
    <col min="25" max="25" width="24.7777777777778" style="258" hidden="1" customWidth="1"/>
    <col min="26" max="32" width="30.1111111111111" style="258" hidden="1" customWidth="1"/>
    <col min="33" max="35" width="16.7777777777778" style="258" hidden="1" customWidth="1"/>
    <col min="36" max="36" width="16.7777777777778" style="258" customWidth="1"/>
    <col min="37" max="37" width="18.6666666666667" style="258" customWidth="1"/>
    <col min="38" max="38" width="30.1111111111111" style="258" customWidth="1"/>
    <col min="39" max="39" width="21.7777777777778" style="258" customWidth="1"/>
    <col min="40" max="41" width="25.3333333333333" style="298" hidden="1" customWidth="1"/>
    <col min="42" max="43" width="25.3333333333333" style="299" hidden="1" customWidth="1"/>
    <col min="44" max="63" width="25.3333333333333" style="300" hidden="1" customWidth="1"/>
    <col min="64" max="70" width="21.3333333333333" style="259" hidden="1" customWidth="1"/>
    <col min="71" max="71" width="26.5555555555556" style="259" hidden="1" customWidth="1"/>
    <col min="72" max="72" width="25.6666666666667" style="259" hidden="1" customWidth="1"/>
    <col min="73" max="73" width="26.2222222222222" style="259" hidden="1" customWidth="1"/>
    <col min="74" max="74" width="25.6666666666667" style="259" hidden="1" customWidth="1"/>
    <col min="75" max="75" width="26.2222222222222" style="259" hidden="1" customWidth="1"/>
    <col min="76" max="76" width="25.6666666666667" style="259" hidden="1" customWidth="1"/>
    <col min="77" max="79" width="26.2222222222222" style="259" hidden="1" customWidth="1"/>
    <col min="80" max="80" width="26.1111111111111" style="259" hidden="1" customWidth="1"/>
    <col min="81" max="81" width="27.5555555555556" style="259" hidden="1" customWidth="1"/>
    <col min="82" max="97" width="26.2222222222222" style="259" hidden="1" customWidth="1"/>
    <col min="98" max="101" width="26.2222222222222" style="259" customWidth="1"/>
    <col min="102" max="102" width="21.3333333333333" style="259" customWidth="1"/>
    <col min="103" max="103" width="21.3333333333333" style="258" customWidth="1"/>
    <col min="104" max="104" width="21.3333333333333" style="260"/>
    <col min="105" max="105" width="31" style="301" hidden="1" customWidth="1"/>
    <col min="106" max="107" width="21.3333333333333" style="258" hidden="1" customWidth="1"/>
    <col min="108" max="16384" width="21.3333333333333" style="258"/>
  </cols>
  <sheetData>
    <row r="1" spans="1:107">
      <c r="A1" s="261" t="s">
        <v>636</v>
      </c>
      <c r="B1" s="262" t="s">
        <v>637</v>
      </c>
      <c r="C1" s="262" t="s">
        <v>4663</v>
      </c>
      <c r="D1" s="262" t="s">
        <v>207</v>
      </c>
      <c r="E1" s="262" t="s">
        <v>4664</v>
      </c>
      <c r="F1" s="262" t="s">
        <v>4665</v>
      </c>
      <c r="G1" s="262" t="s">
        <v>4666</v>
      </c>
      <c r="H1" s="262" t="s">
        <v>4667</v>
      </c>
      <c r="I1" s="262" t="s">
        <v>4668</v>
      </c>
      <c r="J1" s="262" t="s">
        <v>4669</v>
      </c>
      <c r="K1" s="262" t="s">
        <v>4670</v>
      </c>
      <c r="L1" s="262" t="s">
        <v>4671</v>
      </c>
      <c r="M1" s="262" t="s">
        <v>4672</v>
      </c>
      <c r="N1" s="262" t="s">
        <v>4673</v>
      </c>
      <c r="O1" s="262" t="s">
        <v>4674</v>
      </c>
      <c r="P1" s="262" t="s">
        <v>4675</v>
      </c>
      <c r="Q1" s="262" t="s">
        <v>4676</v>
      </c>
      <c r="R1" s="262" t="s">
        <v>4677</v>
      </c>
      <c r="S1" s="262" t="s">
        <v>4666</v>
      </c>
      <c r="T1" s="262" t="s">
        <v>4667</v>
      </c>
      <c r="U1" s="262" t="s">
        <v>4668</v>
      </c>
      <c r="V1" s="262" t="s">
        <v>4678</v>
      </c>
      <c r="W1" s="262" t="s">
        <v>4679</v>
      </c>
      <c r="X1" s="262" t="s">
        <v>4680</v>
      </c>
      <c r="Y1" s="262" t="s">
        <v>4681</v>
      </c>
      <c r="Z1" s="262" t="s">
        <v>4682</v>
      </c>
      <c r="AA1" s="262" t="s">
        <v>4683</v>
      </c>
      <c r="AB1" s="262" t="s">
        <v>4684</v>
      </c>
      <c r="AC1" s="262" t="s">
        <v>4664</v>
      </c>
      <c r="AD1" s="262" t="s">
        <v>4665</v>
      </c>
      <c r="AE1" s="262" t="s">
        <v>4666</v>
      </c>
      <c r="AF1" s="262" t="s">
        <v>4685</v>
      </c>
      <c r="AG1" s="262" t="s">
        <v>4667</v>
      </c>
      <c r="AH1" s="262" t="s">
        <v>4668</v>
      </c>
      <c r="AI1" s="262" t="s">
        <v>4678</v>
      </c>
      <c r="AJ1" s="262" t="s">
        <v>4679</v>
      </c>
      <c r="AK1" s="262" t="s">
        <v>4686</v>
      </c>
      <c r="AL1" s="262" t="s">
        <v>4686</v>
      </c>
      <c r="AM1" s="262" t="s">
        <v>4687</v>
      </c>
      <c r="AN1" s="263" t="s">
        <v>4688</v>
      </c>
      <c r="AO1" s="263" t="s">
        <v>4689</v>
      </c>
      <c r="AP1" s="263" t="s">
        <v>4690</v>
      </c>
      <c r="AQ1" s="263" t="s">
        <v>4691</v>
      </c>
      <c r="AR1" s="263" t="s">
        <v>4692</v>
      </c>
      <c r="AS1" s="263" t="s">
        <v>4693</v>
      </c>
      <c r="AT1" s="263" t="s">
        <v>4694</v>
      </c>
      <c r="AU1" s="263" t="s">
        <v>4695</v>
      </c>
      <c r="AV1" s="263" t="s">
        <v>4696</v>
      </c>
      <c r="AW1" s="263" t="s">
        <v>4697</v>
      </c>
      <c r="AX1" s="263" t="s">
        <v>4698</v>
      </c>
      <c r="AY1" s="263" t="s">
        <v>4699</v>
      </c>
      <c r="AZ1" s="263" t="s">
        <v>4700</v>
      </c>
      <c r="BA1" s="263" t="s">
        <v>4701</v>
      </c>
      <c r="BB1" s="263" t="s">
        <v>4702</v>
      </c>
      <c r="BC1" s="263" t="s">
        <v>4703</v>
      </c>
      <c r="BD1" s="263" t="s">
        <v>4704</v>
      </c>
      <c r="BE1" s="263" t="s">
        <v>4705</v>
      </c>
      <c r="BF1" s="263" t="s">
        <v>4706</v>
      </c>
      <c r="BG1" s="263" t="s">
        <v>4707</v>
      </c>
      <c r="BH1" s="263" t="s">
        <v>4708</v>
      </c>
      <c r="BI1" s="263" t="s">
        <v>4709</v>
      </c>
      <c r="BJ1" s="263" t="s">
        <v>4710</v>
      </c>
      <c r="BK1" s="263" t="s">
        <v>4711</v>
      </c>
      <c r="BL1" s="263" t="s">
        <v>4712</v>
      </c>
      <c r="BM1" s="263" t="s">
        <v>4713</v>
      </c>
      <c r="BN1" s="263" t="s">
        <v>4714</v>
      </c>
      <c r="BO1" s="263" t="s">
        <v>4715</v>
      </c>
      <c r="BP1" s="263" t="s">
        <v>4692</v>
      </c>
      <c r="BQ1" s="263" t="s">
        <v>4693</v>
      </c>
      <c r="BR1" s="263" t="s">
        <v>4694</v>
      </c>
      <c r="BS1" s="263" t="s">
        <v>4695</v>
      </c>
      <c r="BT1" s="263" t="s">
        <v>4696</v>
      </c>
      <c r="BU1" s="263" t="s">
        <v>4697</v>
      </c>
      <c r="BV1" s="263" t="s">
        <v>4716</v>
      </c>
      <c r="BW1" s="263" t="s">
        <v>4717</v>
      </c>
      <c r="BX1" s="263" t="s">
        <v>4718</v>
      </c>
      <c r="BY1" s="263" t="s">
        <v>4719</v>
      </c>
      <c r="BZ1" s="263" t="s">
        <v>4720</v>
      </c>
      <c r="CA1" s="263" t="s">
        <v>4721</v>
      </c>
      <c r="CB1" s="263" t="s">
        <v>4722</v>
      </c>
      <c r="CC1" s="263" t="s">
        <v>4723</v>
      </c>
      <c r="CD1" s="263" t="s">
        <v>4724</v>
      </c>
      <c r="CE1" s="263" t="s">
        <v>4725</v>
      </c>
      <c r="CF1" s="263" t="s">
        <v>4726</v>
      </c>
      <c r="CG1" s="263" t="s">
        <v>4727</v>
      </c>
      <c r="CH1" s="263" t="s">
        <v>4728</v>
      </c>
      <c r="CI1" s="263" t="s">
        <v>4729</v>
      </c>
      <c r="CJ1" s="263" t="s">
        <v>4688</v>
      </c>
      <c r="CK1" s="263" t="s">
        <v>4689</v>
      </c>
      <c r="CL1" s="263" t="s">
        <v>4690</v>
      </c>
      <c r="CM1" s="263" t="s">
        <v>4691</v>
      </c>
      <c r="CN1" s="263" t="s">
        <v>4692</v>
      </c>
      <c r="CO1" s="263" t="s">
        <v>4693</v>
      </c>
      <c r="CP1" s="263" t="s">
        <v>4694</v>
      </c>
      <c r="CQ1" s="263" t="s">
        <v>4695</v>
      </c>
      <c r="CR1" s="263" t="s">
        <v>4696</v>
      </c>
      <c r="CS1" s="263" t="s">
        <v>4697</v>
      </c>
      <c r="CT1" s="263" t="s">
        <v>4716</v>
      </c>
      <c r="CU1" s="263" t="s">
        <v>4717</v>
      </c>
      <c r="CV1" s="263" t="s">
        <v>4718</v>
      </c>
      <c r="CW1" s="263" t="s">
        <v>4719</v>
      </c>
      <c r="CX1" s="267" t="s">
        <v>4687</v>
      </c>
      <c r="CY1" s="263" t="s">
        <v>4730</v>
      </c>
      <c r="CZ1" s="260" t="s">
        <v>4731</v>
      </c>
      <c r="DA1" s="312" t="s">
        <v>207</v>
      </c>
      <c r="DB1" s="258" t="s">
        <v>4732</v>
      </c>
      <c r="DC1" s="258" t="s">
        <v>4733</v>
      </c>
    </row>
    <row r="2" spans="1:107">
      <c r="A2" s="302" t="s">
        <v>4734</v>
      </c>
      <c r="B2" s="264" t="s">
        <v>4735</v>
      </c>
      <c r="C2" s="264" t="s">
        <v>4736</v>
      </c>
      <c r="D2" s="265" t="s">
        <v>4737</v>
      </c>
      <c r="E2" s="303" t="s">
        <v>4738</v>
      </c>
      <c r="F2" s="303" t="s">
        <v>4738</v>
      </c>
      <c r="G2" s="303" t="s">
        <v>4738</v>
      </c>
      <c r="H2" s="303" t="s">
        <v>4738</v>
      </c>
      <c r="I2" s="303" t="s">
        <v>4738</v>
      </c>
      <c r="J2" s="303" t="s">
        <v>4738</v>
      </c>
      <c r="K2" s="303" t="s">
        <v>4738</v>
      </c>
      <c r="L2" s="303" t="s">
        <v>4738</v>
      </c>
      <c r="M2" s="303" t="s">
        <v>4738</v>
      </c>
      <c r="N2" s="303" t="s">
        <v>4738</v>
      </c>
      <c r="O2" s="303" t="s">
        <v>4738</v>
      </c>
      <c r="P2" s="303" t="s">
        <v>4738</v>
      </c>
      <c r="Q2" s="303" t="s">
        <v>4738</v>
      </c>
      <c r="R2" s="303" t="s">
        <v>4738</v>
      </c>
      <c r="S2" s="303" t="s">
        <v>4738</v>
      </c>
      <c r="T2" s="303" t="s">
        <v>4738</v>
      </c>
      <c r="U2" s="303" t="s">
        <v>4738</v>
      </c>
      <c r="V2" s="303" t="s">
        <v>4738</v>
      </c>
      <c r="W2" s="303" t="s">
        <v>4738</v>
      </c>
      <c r="X2" s="303" t="s">
        <v>4738</v>
      </c>
      <c r="Y2" s="303" t="s">
        <v>4738</v>
      </c>
      <c r="Z2" s="303" t="s">
        <v>4738</v>
      </c>
      <c r="AA2" s="303" t="s">
        <v>4738</v>
      </c>
      <c r="AB2" s="303" t="s">
        <v>4738</v>
      </c>
      <c r="AC2" s="303" t="s">
        <v>4738</v>
      </c>
      <c r="AD2" s="303" t="s">
        <v>4738</v>
      </c>
      <c r="AE2" s="303" t="s">
        <v>4738</v>
      </c>
      <c r="AF2" s="303" t="s">
        <v>4738</v>
      </c>
      <c r="AG2" s="303" t="s">
        <v>4738</v>
      </c>
      <c r="AH2" s="303" t="s">
        <v>4738</v>
      </c>
      <c r="AI2" s="303" t="s">
        <v>4738</v>
      </c>
      <c r="AJ2" s="303" t="s">
        <v>4738</v>
      </c>
      <c r="AK2" s="303" t="s">
        <v>4738</v>
      </c>
      <c r="AL2" s="303" t="s">
        <v>4738</v>
      </c>
      <c r="AM2" s="303" t="s">
        <v>4738</v>
      </c>
      <c r="AN2" s="299">
        <v>2700000000</v>
      </c>
      <c r="AO2" s="299">
        <v>3300000000</v>
      </c>
      <c r="AP2" s="299">
        <v>2482800000</v>
      </c>
      <c r="AQ2" s="299">
        <v>3000000000</v>
      </c>
      <c r="AR2" s="300">
        <v>2371620000</v>
      </c>
      <c r="AS2" s="300">
        <v>2900000000</v>
      </c>
      <c r="AT2" s="300">
        <v>2542000000</v>
      </c>
      <c r="AU2" s="300">
        <v>3100000000</v>
      </c>
      <c r="AV2" s="300">
        <v>2720960000</v>
      </c>
      <c r="AW2" s="300">
        <v>3200000000</v>
      </c>
      <c r="AX2" s="300">
        <v>2514000000</v>
      </c>
      <c r="AY2" s="300">
        <v>3000000000</v>
      </c>
      <c r="AZ2" s="300">
        <v>2058250000</v>
      </c>
      <c r="BA2" s="300">
        <v>2500000000</v>
      </c>
      <c r="BB2" s="300">
        <v>2677290000</v>
      </c>
      <c r="BC2" s="300">
        <v>3300000000</v>
      </c>
      <c r="BD2" s="300">
        <v>2536420000</v>
      </c>
      <c r="BE2" s="300">
        <v>3100000000</v>
      </c>
      <c r="BF2" s="300">
        <v>2678610000</v>
      </c>
      <c r="BG2" s="300">
        <v>3300000000</v>
      </c>
      <c r="BH2" s="300">
        <v>3027600000</v>
      </c>
      <c r="BI2" s="300">
        <v>3600000000</v>
      </c>
      <c r="BJ2" s="300">
        <v>3304800000</v>
      </c>
      <c r="BK2" s="300">
        <v>4000000000</v>
      </c>
      <c r="BL2" s="266">
        <v>3488520000</v>
      </c>
      <c r="BM2" s="266">
        <v>4200000000</v>
      </c>
      <c r="BN2" s="266">
        <v>3192150000</v>
      </c>
      <c r="BO2" s="266">
        <v>3900000000</v>
      </c>
      <c r="BP2" s="266">
        <v>3355850000</v>
      </c>
      <c r="BQ2" s="266">
        <v>4100000000</v>
      </c>
      <c r="BR2" s="266">
        <v>2028840000</v>
      </c>
      <c r="BS2" s="266">
        <v>2900000000</v>
      </c>
      <c r="BT2" s="266">
        <v>2083360000</v>
      </c>
      <c r="BU2" s="266">
        <v>2900000000</v>
      </c>
      <c r="BV2" s="266">
        <v>2003610000</v>
      </c>
      <c r="BW2" s="266">
        <v>2900000000</v>
      </c>
      <c r="BX2" s="266">
        <v>2000000000</v>
      </c>
      <c r="BY2" s="266">
        <v>2948477751.75644</v>
      </c>
      <c r="BZ2" s="266">
        <v>2000000000</v>
      </c>
      <c r="CA2" s="266">
        <v>3000000000</v>
      </c>
      <c r="CB2" s="266">
        <v>1900000000</v>
      </c>
      <c r="CC2" s="266">
        <v>2700000000</v>
      </c>
      <c r="CD2" s="311">
        <v>1800000000</v>
      </c>
      <c r="CE2" s="311">
        <v>2700000000</v>
      </c>
      <c r="CF2" s="311">
        <v>1700000000</v>
      </c>
      <c r="CG2" s="311">
        <v>2500000000</v>
      </c>
      <c r="CH2" s="311">
        <v>1900000000</v>
      </c>
      <c r="CI2" s="311">
        <v>2800000000</v>
      </c>
      <c r="CJ2" s="311">
        <v>3000000000</v>
      </c>
      <c r="CK2" s="311">
        <v>3800000000</v>
      </c>
      <c r="CL2" s="311">
        <v>3800000000</v>
      </c>
      <c r="CM2" s="311">
        <v>3100000000</v>
      </c>
      <c r="CN2" s="311">
        <v>3300000000</v>
      </c>
      <c r="CO2" s="311">
        <v>4200000000</v>
      </c>
      <c r="CP2" s="311">
        <v>3800000000</v>
      </c>
      <c r="CQ2" s="311">
        <v>4700000000</v>
      </c>
      <c r="CR2" s="311">
        <v>3900000000</v>
      </c>
      <c r="CS2" s="258">
        <v>4800000000</v>
      </c>
      <c r="CT2" s="258">
        <v>3700000000</v>
      </c>
      <c r="CU2" s="258">
        <v>4500000000</v>
      </c>
      <c r="CV2" s="258">
        <v>3400000000</v>
      </c>
      <c r="CW2" s="258">
        <v>4200000000</v>
      </c>
      <c r="CX2" s="266">
        <f>CV2-CT2</f>
        <v>-300000000</v>
      </c>
      <c r="CY2" s="266">
        <f>CW2-CU2</f>
        <v>-300000000</v>
      </c>
      <c r="DA2" s="301" t="s">
        <v>4737</v>
      </c>
      <c r="DB2" s="258">
        <v>3400000000</v>
      </c>
      <c r="DC2" s="258">
        <f>IF(DA2=D2,1,0)</f>
        <v>1</v>
      </c>
    </row>
    <row r="3" spans="1:107">
      <c r="A3" s="302" t="s">
        <v>4739</v>
      </c>
      <c r="B3" s="264" t="s">
        <v>4735</v>
      </c>
      <c r="C3" s="264" t="s">
        <v>4736</v>
      </c>
      <c r="D3" s="265" t="s">
        <v>4740</v>
      </c>
      <c r="E3" s="303" t="s">
        <v>4741</v>
      </c>
      <c r="F3" s="303" t="s">
        <v>4741</v>
      </c>
      <c r="G3" s="303" t="s">
        <v>4741</v>
      </c>
      <c r="H3" s="303" t="s">
        <v>4741</v>
      </c>
      <c r="I3" s="303" t="s">
        <v>4741</v>
      </c>
      <c r="J3" s="303" t="s">
        <v>4741</v>
      </c>
      <c r="K3" s="303" t="s">
        <v>4741</v>
      </c>
      <c r="L3" s="303" t="s">
        <v>4741</v>
      </c>
      <c r="M3" s="303" t="s">
        <v>4741</v>
      </c>
      <c r="N3" s="303" t="s">
        <v>4741</v>
      </c>
      <c r="O3" s="303" t="s">
        <v>4741</v>
      </c>
      <c r="P3" s="303" t="s">
        <v>4741</v>
      </c>
      <c r="Q3" s="303" t="s">
        <v>4741</v>
      </c>
      <c r="R3" s="303" t="s">
        <v>4741</v>
      </c>
      <c r="S3" s="303" t="s">
        <v>4741</v>
      </c>
      <c r="T3" s="303" t="s">
        <v>4741</v>
      </c>
      <c r="U3" s="303" t="s">
        <v>4741</v>
      </c>
      <c r="V3" s="303" t="s">
        <v>4741</v>
      </c>
      <c r="W3" s="303" t="s">
        <v>4741</v>
      </c>
      <c r="X3" s="303" t="s">
        <v>4741</v>
      </c>
      <c r="Y3" s="303" t="s">
        <v>4741</v>
      </c>
      <c r="Z3" s="303" t="s">
        <v>4741</v>
      </c>
      <c r="AA3" s="303" t="s">
        <v>4741</v>
      </c>
      <c r="AB3" s="303" t="s">
        <v>4741</v>
      </c>
      <c r="AC3" s="303" t="s">
        <v>4741</v>
      </c>
      <c r="AD3" s="303" t="s">
        <v>4741</v>
      </c>
      <c r="AE3" s="303" t="s">
        <v>4741</v>
      </c>
      <c r="AF3" s="303" t="s">
        <v>4741</v>
      </c>
      <c r="AG3" s="303" t="s">
        <v>4741</v>
      </c>
      <c r="AH3" s="303" t="s">
        <v>4741</v>
      </c>
      <c r="AI3" s="303" t="s">
        <v>4741</v>
      </c>
      <c r="AJ3" s="303" t="s">
        <v>4741</v>
      </c>
      <c r="AK3" s="303" t="s">
        <v>4741</v>
      </c>
      <c r="AL3" s="303" t="s">
        <v>4741</v>
      </c>
      <c r="AM3" s="303" t="s">
        <v>4741</v>
      </c>
      <c r="AN3" s="299">
        <v>893900000</v>
      </c>
      <c r="AO3" s="299">
        <v>1100000000</v>
      </c>
      <c r="AP3" s="299">
        <v>859980000</v>
      </c>
      <c r="AQ3" s="299">
        <v>1100000000</v>
      </c>
      <c r="AR3" s="300">
        <v>844470000</v>
      </c>
      <c r="AS3" s="300">
        <v>1100000000</v>
      </c>
      <c r="AT3" s="300">
        <v>849090000</v>
      </c>
      <c r="AU3" s="300">
        <v>1100000000</v>
      </c>
      <c r="AV3" s="300">
        <v>880330000</v>
      </c>
      <c r="AW3" s="300">
        <v>1100000000</v>
      </c>
      <c r="AX3" s="300">
        <v>788400000</v>
      </c>
      <c r="AY3" s="300">
        <v>1000000000</v>
      </c>
      <c r="AZ3" s="300">
        <v>689887560</v>
      </c>
      <c r="BA3" s="300">
        <v>894100000</v>
      </c>
      <c r="BB3" s="300">
        <v>444963570</v>
      </c>
      <c r="BC3" s="300">
        <v>606300000</v>
      </c>
      <c r="BD3" s="300">
        <v>422750580</v>
      </c>
      <c r="BE3" s="300">
        <v>572600000</v>
      </c>
      <c r="BF3" s="300">
        <v>391662920</v>
      </c>
      <c r="BG3" s="300">
        <v>558800000</v>
      </c>
      <c r="BH3" s="300">
        <v>398944440</v>
      </c>
      <c r="BI3" s="300">
        <v>550800000</v>
      </c>
      <c r="BJ3" s="300">
        <v>394346280</v>
      </c>
      <c r="BK3" s="300">
        <v>564400000</v>
      </c>
      <c r="BL3" s="266">
        <v>416496600</v>
      </c>
      <c r="BM3" s="266">
        <v>596700000</v>
      </c>
      <c r="BN3" s="266">
        <v>419225600</v>
      </c>
      <c r="BO3" s="266">
        <v>588800000</v>
      </c>
      <c r="BP3" s="266">
        <v>430617600</v>
      </c>
      <c r="BQ3" s="266">
        <v>604800000</v>
      </c>
      <c r="BR3" s="266">
        <v>462131780</v>
      </c>
      <c r="BS3" s="266">
        <v>665800000</v>
      </c>
      <c r="BT3" s="266">
        <v>476014500</v>
      </c>
      <c r="BU3" s="266">
        <v>669500000</v>
      </c>
      <c r="BV3" s="266">
        <v>481698380</v>
      </c>
      <c r="BW3" s="266">
        <v>696700000</v>
      </c>
      <c r="BX3" s="266">
        <v>495100000</v>
      </c>
      <c r="BY3" s="266">
        <v>743728406.188974</v>
      </c>
      <c r="BZ3" s="266">
        <v>495100000</v>
      </c>
      <c r="CA3" s="266">
        <v>743800000</v>
      </c>
      <c r="CB3" s="266">
        <v>446600000</v>
      </c>
      <c r="CC3" s="266">
        <v>654900000</v>
      </c>
      <c r="CD3" s="311">
        <v>431400000</v>
      </c>
      <c r="CE3" s="311">
        <v>639400000</v>
      </c>
      <c r="CF3" s="311">
        <v>397200000</v>
      </c>
      <c r="CG3" s="311">
        <v>587000000</v>
      </c>
      <c r="CH3" s="311">
        <v>432500000</v>
      </c>
      <c r="CI3" s="311">
        <v>624200000</v>
      </c>
      <c r="CJ3" s="311">
        <v>586900000</v>
      </c>
      <c r="CK3" s="311">
        <v>781600000</v>
      </c>
      <c r="CL3" s="311">
        <v>769400000</v>
      </c>
      <c r="CM3" s="311">
        <v>579500000</v>
      </c>
      <c r="CN3" s="311">
        <v>601300000</v>
      </c>
      <c r="CO3" s="311">
        <v>802900000</v>
      </c>
      <c r="CP3" s="311">
        <v>628300000</v>
      </c>
      <c r="CQ3" s="311">
        <v>838600000</v>
      </c>
      <c r="CR3" s="311">
        <v>656200000</v>
      </c>
      <c r="CS3" s="258">
        <v>852700000</v>
      </c>
      <c r="CT3" s="258">
        <v>707200000</v>
      </c>
      <c r="CU3" s="258">
        <v>908100000</v>
      </c>
      <c r="CV3" s="258">
        <v>674900000</v>
      </c>
      <c r="CW3" s="258">
        <v>872700000</v>
      </c>
      <c r="CX3" s="266">
        <f t="shared" ref="CX3:CX34" si="0">CV3-CT3</f>
        <v>-32300000</v>
      </c>
      <c r="CY3" s="266">
        <f t="shared" ref="CY3:CY34" si="1">CW3-CU3</f>
        <v>-35400000</v>
      </c>
      <c r="DA3" s="301" t="s">
        <v>4740</v>
      </c>
      <c r="DB3" s="258">
        <v>674900000</v>
      </c>
      <c r="DC3" s="258">
        <f t="shared" ref="DC2:DC10" si="2">IF(DA3=D3,1,0)</f>
        <v>1</v>
      </c>
    </row>
    <row r="4" spans="1:107">
      <c r="A4" s="302" t="s">
        <v>4739</v>
      </c>
      <c r="B4" s="264" t="s">
        <v>4742</v>
      </c>
      <c r="C4" s="264" t="s">
        <v>4743</v>
      </c>
      <c r="D4" s="265" t="s">
        <v>4744</v>
      </c>
      <c r="E4" s="304">
        <f t="shared" ref="E4:E66" si="3">AN4/$AN$182</f>
        <v>0.170241982265792</v>
      </c>
      <c r="F4" s="304">
        <f t="shared" ref="F4:F66" si="4">AP4/$AP$182</f>
        <v>0.18348645731775</v>
      </c>
      <c r="G4" s="304">
        <f t="shared" ref="G4:G66" si="5">AR4/$AR$182</f>
        <v>0.183689776384658</v>
      </c>
      <c r="H4" s="304">
        <f t="shared" ref="H4:H66" si="6">AT4/$AT$182</f>
        <v>0.188944357111304</v>
      </c>
      <c r="I4" s="304">
        <f>AV4/$AV$182</f>
        <v>0.203905281282951</v>
      </c>
      <c r="J4" s="304">
        <f t="shared" ref="J4:J66" si="7">AX4/$AX$182</f>
        <v>0.200608777409324</v>
      </c>
      <c r="K4" s="304">
        <f t="shared" ref="K4:K66" si="8">AZ4/$AZ$182</f>
        <v>0.19121323984142</v>
      </c>
      <c r="L4" s="304">
        <f t="shared" ref="L4:L66" si="9">BB4/$BB$182</f>
        <v>0.260072093231834</v>
      </c>
      <c r="M4" s="304">
        <f t="shared" ref="M4:M66" si="10">BD4/$BD$182</f>
        <v>0.259802971229108</v>
      </c>
      <c r="N4" s="304">
        <f t="shared" ref="N4:N66" si="11">BF4/$BF$182</f>
        <v>0.268629391898175</v>
      </c>
      <c r="O4" s="304">
        <f t="shared" ref="O4:O66" si="12">BH4/$BH$182</f>
        <v>0.291924703737303</v>
      </c>
      <c r="P4" s="304">
        <f t="shared" ref="P4:P66" si="13">BJ4/$BJ$182</f>
        <v>0.291792227613251</v>
      </c>
      <c r="Q4" s="304">
        <v>0.266936183233004</v>
      </c>
      <c r="R4" s="304">
        <f t="shared" ref="R4:R66" si="14">BN4/$BN$182</f>
        <v>0.293841252394918</v>
      </c>
      <c r="S4" s="304">
        <f t="shared" ref="S4:S66" si="15">BP4/$BP$182</f>
        <v>0.278978411456135</v>
      </c>
      <c r="T4" s="304">
        <v>0.260334189879623</v>
      </c>
      <c r="U4" s="304">
        <v>0.294151528670268</v>
      </c>
      <c r="V4" s="304">
        <v>0.259532541190847</v>
      </c>
      <c r="W4" s="304">
        <v>0.259532541190847</v>
      </c>
      <c r="X4" s="304">
        <f t="shared" ref="X4:X66" si="16">BY4/BY$182</f>
        <v>0.230716431838319</v>
      </c>
      <c r="Y4" s="304">
        <f>CB4/CB$182</f>
        <v>0.255923896393105</v>
      </c>
      <c r="Z4" s="304">
        <f>CD4/CD$182</f>
        <v>0.277921235116351</v>
      </c>
      <c r="AA4" s="304">
        <f>CF4/$CF$182</f>
        <v>0.267331954406576</v>
      </c>
      <c r="AB4" s="304">
        <f>CH4/$CH$182</f>
        <v>0.30001025545261</v>
      </c>
      <c r="AC4" s="304">
        <f t="shared" ref="AC4:AC66" si="17">CJ4/$CJ$182</f>
        <v>0.287704268987411</v>
      </c>
      <c r="AD4" s="304">
        <f>CL4/$CL$182</f>
        <v>0.256615491266164</v>
      </c>
      <c r="AE4" s="304">
        <f>CN4/$CN$182</f>
        <v>0.286663148249096</v>
      </c>
      <c r="AF4" s="303">
        <f>AE4-AD4</f>
        <v>0.0300476569829323</v>
      </c>
      <c r="AG4" s="303">
        <f>CP4/$CP$182</f>
        <v>0.252013745370151</v>
      </c>
      <c r="AH4" s="303">
        <f>CR4/$CR$182</f>
        <v>0.225926036450377</v>
      </c>
      <c r="AI4" s="303">
        <f>CT4/$CT$182</f>
        <v>0.272460719041141</v>
      </c>
      <c r="AJ4" s="303">
        <f>CV4/$CV$182</f>
        <v>0.237829069703386</v>
      </c>
      <c r="AK4" s="303">
        <f>AJ4-AI4</f>
        <v>-0.0346316493377548</v>
      </c>
      <c r="AL4" s="304">
        <f>AK4</f>
        <v>-0.0346316493377548</v>
      </c>
      <c r="AM4" s="304">
        <f>IF(CV4=0,0,CX4/CV4)</f>
        <v>-0.0904392764857881</v>
      </c>
      <c r="AN4" s="299">
        <v>31900000</v>
      </c>
      <c r="AO4" s="299">
        <v>33600000</v>
      </c>
      <c r="AP4" s="299">
        <v>32282970</v>
      </c>
      <c r="AQ4" s="299">
        <v>33900000</v>
      </c>
      <c r="AR4" s="300">
        <v>32609010</v>
      </c>
      <c r="AS4" s="300">
        <v>34300000</v>
      </c>
      <c r="AT4" s="300">
        <v>31988320</v>
      </c>
      <c r="AU4" s="300">
        <v>33800000</v>
      </c>
      <c r="AV4" s="300">
        <v>27851610</v>
      </c>
      <c r="AW4" s="300">
        <v>29100000</v>
      </c>
      <c r="AX4" s="300">
        <v>28300560</v>
      </c>
      <c r="AY4" s="300">
        <v>29600000</v>
      </c>
      <c r="AZ4" s="300">
        <v>25185600</v>
      </c>
      <c r="BA4" s="300">
        <v>26400000</v>
      </c>
      <c r="BB4" s="300">
        <v>35698130</v>
      </c>
      <c r="BC4" s="300">
        <v>37700000</v>
      </c>
      <c r="BD4" s="300">
        <v>33472320</v>
      </c>
      <c r="BE4" s="300">
        <v>35700000</v>
      </c>
      <c r="BF4" s="300">
        <v>33161250</v>
      </c>
      <c r="BG4" s="300">
        <v>37500000</v>
      </c>
      <c r="BH4" s="300">
        <v>34012320</v>
      </c>
      <c r="BI4" s="300">
        <v>35400000</v>
      </c>
      <c r="BJ4" s="300">
        <v>33308160</v>
      </c>
      <c r="BK4" s="300">
        <v>38400000</v>
      </c>
      <c r="BL4" s="266">
        <v>35339260</v>
      </c>
      <c r="BM4" s="266">
        <v>37400000</v>
      </c>
      <c r="BN4" s="266">
        <v>36795960</v>
      </c>
      <c r="BO4" s="266">
        <v>38700000</v>
      </c>
      <c r="BP4" s="266">
        <v>36700880</v>
      </c>
      <c r="BQ4" s="266">
        <v>38600000</v>
      </c>
      <c r="BR4" s="266">
        <v>31509500</v>
      </c>
      <c r="BS4" s="266">
        <v>33700000</v>
      </c>
      <c r="BT4" s="266">
        <v>33091520</v>
      </c>
      <c r="BU4" s="266">
        <v>35200000</v>
      </c>
      <c r="BV4" s="266">
        <v>33393500</v>
      </c>
      <c r="BW4" s="266">
        <v>35000000</v>
      </c>
      <c r="BX4" s="266">
        <v>35800000</v>
      </c>
      <c r="BY4" s="266">
        <v>38207043.7566702</v>
      </c>
      <c r="BZ4" s="266">
        <v>35800000</v>
      </c>
      <c r="CA4" s="266">
        <v>38200000</v>
      </c>
      <c r="CB4" s="266">
        <v>34500000</v>
      </c>
      <c r="CC4" s="266">
        <v>37300000</v>
      </c>
      <c r="CD4" s="311">
        <v>38800000</v>
      </c>
      <c r="CE4" s="311">
        <v>40900000</v>
      </c>
      <c r="CF4" s="311">
        <v>33100000</v>
      </c>
      <c r="CG4" s="311">
        <v>35400000</v>
      </c>
      <c r="CH4" s="311">
        <v>39200000</v>
      </c>
      <c r="CI4" s="311">
        <v>42400000</v>
      </c>
      <c r="CJ4" s="311">
        <v>44800000</v>
      </c>
      <c r="CK4" s="311">
        <v>47300000</v>
      </c>
      <c r="CL4" s="311">
        <v>44600000</v>
      </c>
      <c r="CM4" s="311">
        <v>42400000</v>
      </c>
      <c r="CN4" s="311">
        <v>43600000</v>
      </c>
      <c r="CO4" s="311">
        <v>46200000</v>
      </c>
      <c r="CP4" s="311">
        <v>40100000</v>
      </c>
      <c r="CQ4" s="311">
        <v>42600000</v>
      </c>
      <c r="CR4" s="311">
        <v>35000000</v>
      </c>
      <c r="CS4" s="258">
        <v>37000000</v>
      </c>
      <c r="CT4" s="258">
        <v>42200000</v>
      </c>
      <c r="CU4" s="258">
        <v>44500000</v>
      </c>
      <c r="CV4" s="258">
        <v>38700000</v>
      </c>
      <c r="CW4" s="258">
        <v>42500000</v>
      </c>
      <c r="CX4" s="266">
        <f t="shared" si="0"/>
        <v>-3500000</v>
      </c>
      <c r="CY4" s="266">
        <f t="shared" si="1"/>
        <v>-2000000</v>
      </c>
      <c r="DA4" s="301" t="s">
        <v>4744</v>
      </c>
      <c r="DB4" s="258">
        <v>38700000</v>
      </c>
      <c r="DC4" s="258">
        <f t="shared" si="2"/>
        <v>1</v>
      </c>
    </row>
    <row r="5" spans="1:107">
      <c r="A5" s="302" t="s">
        <v>4739</v>
      </c>
      <c r="B5" s="264" t="s">
        <v>4742</v>
      </c>
      <c r="C5" s="264" t="s">
        <v>4743</v>
      </c>
      <c r="D5" s="265" t="s">
        <v>4745</v>
      </c>
      <c r="E5" s="304">
        <f t="shared" si="3"/>
        <v>0.13715419887871</v>
      </c>
      <c r="F5" s="304">
        <f t="shared" si="4"/>
        <v>0.147500047943505</v>
      </c>
      <c r="G5" s="304">
        <f t="shared" si="5"/>
        <v>0.147826934278623</v>
      </c>
      <c r="H5" s="304">
        <f t="shared" si="6"/>
        <v>0.141515178886201</v>
      </c>
      <c r="I5" s="304">
        <f t="shared" ref="I5:I67" si="18">AV5/$AT$182</f>
        <v>0.117375339276273</v>
      </c>
      <c r="J5" s="304">
        <f t="shared" si="7"/>
        <v>0.142858622796075</v>
      </c>
      <c r="K5" s="304">
        <f t="shared" si="8"/>
        <v>0.145160303604361</v>
      </c>
      <c r="L5" s="304">
        <f t="shared" si="9"/>
        <v>0.119670465152386</v>
      </c>
      <c r="M5" s="304">
        <f t="shared" si="10"/>
        <v>0.118220398687178</v>
      </c>
      <c r="N5" s="304">
        <f t="shared" si="11"/>
        <v>0.122577062813071</v>
      </c>
      <c r="O5" s="304">
        <f t="shared" si="12"/>
        <v>0.127413737822514</v>
      </c>
      <c r="P5" s="304">
        <f t="shared" si="13"/>
        <v>0.128817572584997</v>
      </c>
      <c r="Q5" s="304">
        <v>0.108442824438408</v>
      </c>
      <c r="R5" s="304">
        <f t="shared" si="14"/>
        <v>0.12566127312444</v>
      </c>
      <c r="S5" s="304">
        <f t="shared" si="15"/>
        <v>0.122531677750188</v>
      </c>
      <c r="T5" s="304">
        <v>0.116560926940397</v>
      </c>
      <c r="U5" s="304">
        <v>0.103551249005316</v>
      </c>
      <c r="V5" s="304">
        <v>0.105538855220311</v>
      </c>
      <c r="W5" s="304">
        <v>0.105538855220311</v>
      </c>
      <c r="X5" s="304">
        <f t="shared" si="16"/>
        <v>0.115840369002521</v>
      </c>
      <c r="Y5" s="304">
        <f t="shared" ref="Y5:Y39" si="19">CB5/CB$182</f>
        <v>0.137976361533674</v>
      </c>
      <c r="Z5" s="304">
        <f t="shared" ref="Z5:Z39" si="20">CD5/CD$182</f>
        <v>0.10386231724709</v>
      </c>
      <c r="AA5" s="304">
        <f t="shared" ref="AA5:AA39" si="21">CF5/$CF$182</f>
        <v>0.13164685368058</v>
      </c>
      <c r="AB5" s="304">
        <f t="shared" ref="AB5:AB39" si="22">CH5/$CH$182</f>
        <v>0.123983830059497</v>
      </c>
      <c r="AC5" s="304">
        <f t="shared" si="17"/>
        <v>0.104035918696341</v>
      </c>
      <c r="AD5" s="304">
        <f t="shared" ref="AD5:AD39" si="23">CL5/$CL$182</f>
        <v>0.0897578848374922</v>
      </c>
      <c r="AE5" s="304">
        <f t="shared" ref="AE5:AE36" si="24">CN5/$CN$182</f>
        <v>0.100595095601174</v>
      </c>
      <c r="AF5" s="303">
        <f t="shared" ref="AF5:AF36" si="25">AE5-AD5</f>
        <v>0.0108372107636815</v>
      </c>
      <c r="AG5" s="303">
        <f t="shared" ref="AG5:AG36" si="26">CP5/$CP$182</f>
        <v>0.102439502482131</v>
      </c>
      <c r="AH5" s="303">
        <f t="shared" ref="AH5:AH36" si="27">CR5/$CR$182</f>
        <v>0.090370414580151</v>
      </c>
      <c r="AI5" s="303">
        <f t="shared" ref="AI5:AI36" si="28">CT5/$CT$182</f>
        <v>0.0839333968610149</v>
      </c>
      <c r="AJ5" s="303">
        <f t="shared" ref="AJ5:AJ36" si="29">CV5/$CV$182</f>
        <v>0.0725163571705415</v>
      </c>
      <c r="AK5" s="303">
        <f t="shared" ref="AK5:AK36" si="30">AJ5-AI5</f>
        <v>-0.0114170396904734</v>
      </c>
      <c r="AL5" s="304">
        <f t="shared" ref="AL5:AL36" si="31">AK5</f>
        <v>-0.0114170396904734</v>
      </c>
      <c r="AM5" s="304">
        <f t="shared" ref="AM5:AM36" si="32">IF(CV5=0,0,CX5/CV5)</f>
        <v>-0.101694915254237</v>
      </c>
      <c r="AN5" s="299">
        <v>25700000</v>
      </c>
      <c r="AO5" s="299">
        <v>26300000</v>
      </c>
      <c r="AP5" s="299">
        <v>25951450</v>
      </c>
      <c r="AQ5" s="299">
        <v>26500000</v>
      </c>
      <c r="AR5" s="300">
        <v>26242560</v>
      </c>
      <c r="AS5" s="300">
        <v>26800000</v>
      </c>
      <c r="AT5" s="300">
        <v>23958550</v>
      </c>
      <c r="AU5" s="300">
        <v>24500000</v>
      </c>
      <c r="AV5" s="300">
        <v>19871670</v>
      </c>
      <c r="AW5" s="300">
        <v>20300000</v>
      </c>
      <c r="AX5" s="300">
        <v>20153550</v>
      </c>
      <c r="AY5" s="300">
        <v>20500000</v>
      </c>
      <c r="AZ5" s="300">
        <v>19119750</v>
      </c>
      <c r="BA5" s="300">
        <v>19500000</v>
      </c>
      <c r="BB5" s="300">
        <v>16426260</v>
      </c>
      <c r="BC5" s="300">
        <v>17100000</v>
      </c>
      <c r="BD5" s="300">
        <v>15231200</v>
      </c>
      <c r="BE5" s="300">
        <v>15800000</v>
      </c>
      <c r="BF5" s="300">
        <v>15131660</v>
      </c>
      <c r="BG5" s="300">
        <v>15800000</v>
      </c>
      <c r="BH5" s="300">
        <v>14845050</v>
      </c>
      <c r="BI5" s="300">
        <v>16500000</v>
      </c>
      <c r="BJ5" s="300">
        <v>14704560</v>
      </c>
      <c r="BK5" s="300">
        <v>15600000</v>
      </c>
      <c r="BL5" s="266">
        <v>15851550</v>
      </c>
      <c r="BM5" s="266">
        <v>16500000</v>
      </c>
      <c r="BN5" s="266">
        <v>15735800</v>
      </c>
      <c r="BO5" s="266">
        <v>16400000</v>
      </c>
      <c r="BP5" s="266">
        <v>16119600</v>
      </c>
      <c r="BQ5" s="266">
        <v>16800000</v>
      </c>
      <c r="BR5" s="266">
        <v>14107930</v>
      </c>
      <c r="BS5" s="266">
        <v>15100000</v>
      </c>
      <c r="BT5" s="266">
        <v>11649330</v>
      </c>
      <c r="BU5" s="266">
        <v>12300000</v>
      </c>
      <c r="BV5" s="266">
        <v>13579460</v>
      </c>
      <c r="BW5" s="266">
        <v>14600000</v>
      </c>
      <c r="BX5" s="266">
        <v>17900000</v>
      </c>
      <c r="BY5" s="266">
        <v>19183367.270389</v>
      </c>
      <c r="BZ5" s="266">
        <v>17900000</v>
      </c>
      <c r="CA5" s="266">
        <v>19200000</v>
      </c>
      <c r="CB5" s="266">
        <v>18600000</v>
      </c>
      <c r="CC5" s="266">
        <v>19500000</v>
      </c>
      <c r="CD5" s="311">
        <v>14500000</v>
      </c>
      <c r="CE5" s="311">
        <v>1530000</v>
      </c>
      <c r="CF5" s="311">
        <v>16300000</v>
      </c>
      <c r="CG5" s="311">
        <v>17100000</v>
      </c>
      <c r="CH5" s="311">
        <v>16200000</v>
      </c>
      <c r="CI5" s="311">
        <v>17300000</v>
      </c>
      <c r="CJ5" s="311">
        <v>16200000</v>
      </c>
      <c r="CK5" s="311">
        <v>16900000</v>
      </c>
      <c r="CL5" s="311">
        <v>15600000</v>
      </c>
      <c r="CM5" s="311">
        <v>14700000</v>
      </c>
      <c r="CN5" s="311">
        <v>15300000</v>
      </c>
      <c r="CO5" s="311">
        <v>16300000</v>
      </c>
      <c r="CP5" s="311">
        <v>16300000</v>
      </c>
      <c r="CQ5" s="311">
        <v>17200000</v>
      </c>
      <c r="CR5" s="311">
        <v>14000000</v>
      </c>
      <c r="CS5" s="258">
        <v>14900000</v>
      </c>
      <c r="CT5" s="258">
        <v>13000000</v>
      </c>
      <c r="CU5" s="258">
        <v>13700000</v>
      </c>
      <c r="CV5" s="258">
        <v>11800000</v>
      </c>
      <c r="CW5" s="258">
        <v>12200000</v>
      </c>
      <c r="CX5" s="266">
        <f t="shared" si="0"/>
        <v>-1200000</v>
      </c>
      <c r="CY5" s="266">
        <f t="shared" si="1"/>
        <v>-1500000</v>
      </c>
      <c r="DA5" s="301" t="s">
        <v>4745</v>
      </c>
      <c r="DB5" s="258">
        <v>11800000</v>
      </c>
      <c r="DC5" s="258">
        <f t="shared" si="2"/>
        <v>1</v>
      </c>
    </row>
    <row r="6" spans="1:107">
      <c r="A6" s="302" t="s">
        <v>4739</v>
      </c>
      <c r="B6" s="264" t="s">
        <v>4746</v>
      </c>
      <c r="C6" s="264" t="s">
        <v>4743</v>
      </c>
      <c r="D6" s="265" t="s">
        <v>4747</v>
      </c>
      <c r="E6" s="304">
        <f t="shared" si="3"/>
        <v>0.126480720366748</v>
      </c>
      <c r="F6" s="304">
        <f t="shared" si="4"/>
        <v>0.115812271642176</v>
      </c>
      <c r="G6" s="304">
        <f t="shared" si="5"/>
        <v>0.113633123027711</v>
      </c>
      <c r="H6" s="304">
        <f t="shared" si="6"/>
        <v>0.109109844679379</v>
      </c>
      <c r="I6" s="304">
        <f t="shared" si="18"/>
        <v>0.0868432454713945</v>
      </c>
      <c r="J6" s="304">
        <f t="shared" si="7"/>
        <v>0.107637805805554</v>
      </c>
      <c r="K6" s="304">
        <f t="shared" si="8"/>
        <v>0.110152069921908</v>
      </c>
      <c r="L6" s="304">
        <f t="shared" si="9"/>
        <v>0.0852604691455195</v>
      </c>
      <c r="M6" s="304">
        <f t="shared" si="10"/>
        <v>0.0910397661858217</v>
      </c>
      <c r="N6" s="304">
        <f t="shared" si="11"/>
        <v>0.0899445203984472</v>
      </c>
      <c r="O6" s="304">
        <f t="shared" si="12"/>
        <v>0.0815933543148962</v>
      </c>
      <c r="P6" s="304">
        <f t="shared" si="13"/>
        <v>0.0841764145783226</v>
      </c>
      <c r="Q6" s="304">
        <v>0.131382652684994</v>
      </c>
      <c r="R6" s="304">
        <f t="shared" si="14"/>
        <v>0.0988053864508996</v>
      </c>
      <c r="S6" s="304">
        <f t="shared" si="15"/>
        <v>0.083250634923947</v>
      </c>
      <c r="T6" s="304">
        <v>0.124871758962482</v>
      </c>
      <c r="U6" s="304">
        <v>0.105828529714394</v>
      </c>
      <c r="V6" s="304">
        <v>0.118859274393875</v>
      </c>
      <c r="W6" s="304">
        <v>0.118859274393875</v>
      </c>
      <c r="X6" s="304">
        <f t="shared" si="16"/>
        <v>0.128017974542154</v>
      </c>
      <c r="Y6" s="304">
        <f t="shared" si="19"/>
        <v>0.118689343254773</v>
      </c>
      <c r="Z6" s="304">
        <f t="shared" si="20"/>
        <v>0.113174111207174</v>
      </c>
      <c r="AA6" s="304">
        <f t="shared" si="21"/>
        <v>0.110647969044413</v>
      </c>
      <c r="AB6" s="304">
        <f t="shared" si="22"/>
        <v>0.110207848941775</v>
      </c>
      <c r="AC6" s="304">
        <f t="shared" si="17"/>
        <v>0.144494331522695</v>
      </c>
      <c r="AD6" s="304">
        <f t="shared" si="23"/>
        <v>0.154199443182358</v>
      </c>
      <c r="AE6" s="304">
        <f t="shared" si="24"/>
        <v>0.120319624150423</v>
      </c>
      <c r="AF6" s="303">
        <f t="shared" si="25"/>
        <v>-0.0338798190319345</v>
      </c>
      <c r="AG6" s="303">
        <f t="shared" si="26"/>
        <v>0.109352597741661</v>
      </c>
      <c r="AH6" s="303">
        <f t="shared" si="27"/>
        <v>0.132973610025079</v>
      </c>
      <c r="AI6" s="303">
        <f t="shared" si="28"/>
        <v>0.150434472835511</v>
      </c>
      <c r="AJ6" s="303">
        <f t="shared" si="29"/>
        <v>0.173301802729599</v>
      </c>
      <c r="AK6" s="303">
        <f t="shared" si="30"/>
        <v>0.0228673298940883</v>
      </c>
      <c r="AL6" s="304">
        <f t="shared" si="31"/>
        <v>0.0228673298940883</v>
      </c>
      <c r="AM6" s="304">
        <f t="shared" si="32"/>
        <v>0.173758865248227</v>
      </c>
      <c r="AN6" s="299">
        <v>23700000</v>
      </c>
      <c r="AO6" s="299">
        <v>27100000</v>
      </c>
      <c r="AP6" s="299">
        <v>20376240</v>
      </c>
      <c r="AQ6" s="299">
        <v>23600000</v>
      </c>
      <c r="AR6" s="300">
        <v>20172400</v>
      </c>
      <c r="AS6" s="300">
        <v>23500000</v>
      </c>
      <c r="AT6" s="300">
        <v>18472320</v>
      </c>
      <c r="AU6" s="300">
        <v>21600000</v>
      </c>
      <c r="AV6" s="300">
        <v>14702580</v>
      </c>
      <c r="AW6" s="300">
        <v>17100000</v>
      </c>
      <c r="AX6" s="300">
        <v>15184830</v>
      </c>
      <c r="AY6" s="300">
        <v>17700000</v>
      </c>
      <c r="AZ6" s="300">
        <v>14508650</v>
      </c>
      <c r="BA6" s="300">
        <v>16900000</v>
      </c>
      <c r="BB6" s="300">
        <v>11703060</v>
      </c>
      <c r="BC6" s="300">
        <v>15800000</v>
      </c>
      <c r="BD6" s="300">
        <v>11729320</v>
      </c>
      <c r="BE6" s="300">
        <v>18800000</v>
      </c>
      <c r="BF6" s="300">
        <v>11103300</v>
      </c>
      <c r="BG6" s="300">
        <v>16900000</v>
      </c>
      <c r="BH6" s="300">
        <v>9506490</v>
      </c>
      <c r="BI6" s="300">
        <v>14700000</v>
      </c>
      <c r="BJ6" s="300">
        <v>9608760</v>
      </c>
      <c r="BK6" s="300">
        <v>18900000</v>
      </c>
      <c r="BL6" s="266">
        <v>11313600</v>
      </c>
      <c r="BM6" s="266">
        <v>16000000</v>
      </c>
      <c r="BN6" s="266">
        <v>12372800</v>
      </c>
      <c r="BO6" s="266">
        <v>20900000</v>
      </c>
      <c r="BP6" s="266">
        <v>10952000</v>
      </c>
      <c r="BQ6" s="266">
        <v>18500000</v>
      </c>
      <c r="BR6" s="266">
        <v>15113830</v>
      </c>
      <c r="BS6" s="266">
        <v>19100000</v>
      </c>
      <c r="BT6" s="266">
        <v>11905520</v>
      </c>
      <c r="BU6" s="266">
        <v>16600000</v>
      </c>
      <c r="BV6" s="266">
        <v>15293370</v>
      </c>
      <c r="BW6" s="266">
        <v>19100000</v>
      </c>
      <c r="BX6" s="266">
        <v>16800000</v>
      </c>
      <c r="BY6" s="266">
        <v>21200000</v>
      </c>
      <c r="BZ6" s="266">
        <v>16800000</v>
      </c>
      <c r="CA6" s="266">
        <v>21200000</v>
      </c>
      <c r="CB6" s="266">
        <v>16000000</v>
      </c>
      <c r="CC6" s="266">
        <v>20700000</v>
      </c>
      <c r="CD6" s="311">
        <v>15800000</v>
      </c>
      <c r="CE6" s="311">
        <v>20200000</v>
      </c>
      <c r="CF6" s="311">
        <v>13700000</v>
      </c>
      <c r="CG6" s="311">
        <v>18800000</v>
      </c>
      <c r="CH6" s="311">
        <v>14400000</v>
      </c>
      <c r="CI6" s="311">
        <v>18800000</v>
      </c>
      <c r="CJ6" s="311">
        <v>22500000</v>
      </c>
      <c r="CK6" s="311">
        <v>28100000</v>
      </c>
      <c r="CL6" s="311">
        <v>26800000</v>
      </c>
      <c r="CM6" s="311">
        <v>21900000</v>
      </c>
      <c r="CN6" s="311">
        <v>18300000</v>
      </c>
      <c r="CO6" s="311">
        <v>23400000</v>
      </c>
      <c r="CP6" s="311">
        <v>17400000</v>
      </c>
      <c r="CQ6" s="311">
        <v>22500000</v>
      </c>
      <c r="CR6" s="311">
        <v>20600000</v>
      </c>
      <c r="CS6" s="258">
        <v>25400000</v>
      </c>
      <c r="CT6" s="258">
        <v>23300000</v>
      </c>
      <c r="CU6" s="258">
        <v>28600000</v>
      </c>
      <c r="CV6" s="258">
        <v>28200000</v>
      </c>
      <c r="CW6" s="258">
        <v>34900000</v>
      </c>
      <c r="CX6" s="266">
        <f t="shared" si="0"/>
        <v>4900000</v>
      </c>
      <c r="CY6" s="266">
        <f t="shared" si="1"/>
        <v>6300000</v>
      </c>
      <c r="DA6" s="301" t="s">
        <v>4747</v>
      </c>
      <c r="DB6" s="258">
        <v>28200000</v>
      </c>
      <c r="DC6" s="258">
        <f t="shared" si="2"/>
        <v>1</v>
      </c>
    </row>
    <row r="7" spans="1:107">
      <c r="A7" s="302" t="s">
        <v>4739</v>
      </c>
      <c r="B7" s="264" t="s">
        <v>4748</v>
      </c>
      <c r="C7" s="264" t="s">
        <v>4749</v>
      </c>
      <c r="D7" s="265" t="s">
        <v>4750</v>
      </c>
      <c r="E7" s="304">
        <f t="shared" si="3"/>
        <v>0.115273567929188</v>
      </c>
      <c r="F7" s="304">
        <f t="shared" si="4"/>
        <v>0.11403418544666</v>
      </c>
      <c r="G7" s="304">
        <f t="shared" si="5"/>
        <v>0.117582601285985</v>
      </c>
      <c r="H7" s="304">
        <f t="shared" si="6"/>
        <v>0.118490458956802</v>
      </c>
      <c r="I7" s="304">
        <f t="shared" si="18"/>
        <v>0.101051083430748</v>
      </c>
      <c r="J7" s="304">
        <f t="shared" si="7"/>
        <v>0.123110957918726</v>
      </c>
      <c r="K7" s="304">
        <f t="shared" si="8"/>
        <v>0.120461471261589</v>
      </c>
      <c r="L7" s="304">
        <f t="shared" si="9"/>
        <v>0.116974097515593</v>
      </c>
      <c r="M7" s="304">
        <f t="shared" si="10"/>
        <v>0.114846298845189</v>
      </c>
      <c r="N7" s="304">
        <f t="shared" si="11"/>
        <v>0.116366092860003</v>
      </c>
      <c r="O7" s="304">
        <f t="shared" si="12"/>
        <v>0.122265450524184</v>
      </c>
      <c r="P7" s="304">
        <f t="shared" si="13"/>
        <v>0.119821009998841</v>
      </c>
      <c r="Q7" s="304">
        <v>0.0966253371598635</v>
      </c>
      <c r="R7" s="304">
        <f t="shared" si="14"/>
        <v>0.118323059808338</v>
      </c>
      <c r="S7" s="304">
        <f t="shared" si="15"/>
        <v>0.133566643666833</v>
      </c>
      <c r="T7" s="304">
        <v>0.131583794777596</v>
      </c>
      <c r="U7" s="304">
        <v>0.128663382237653</v>
      </c>
      <c r="V7" s="304">
        <v>0.110418084092984</v>
      </c>
      <c r="W7" s="304">
        <v>0.110418084092984</v>
      </c>
      <c r="X7" s="304">
        <f t="shared" si="16"/>
        <v>0.113525373650589</v>
      </c>
      <c r="Y7" s="304">
        <f t="shared" si="19"/>
        <v>0.126849235603539</v>
      </c>
      <c r="Z7" s="304">
        <f t="shared" si="20"/>
        <v>0.123918488853424</v>
      </c>
      <c r="AA7" s="304">
        <f t="shared" si="21"/>
        <v>0.155876335953079</v>
      </c>
      <c r="AB7" s="304">
        <f t="shared" si="22"/>
        <v>0.137759811177219</v>
      </c>
      <c r="AC7" s="304">
        <f t="shared" si="17"/>
        <v>0.145778725580675</v>
      </c>
      <c r="AD7" s="304">
        <f t="shared" si="23"/>
        <v>0.132910714086287</v>
      </c>
      <c r="AE7" s="304">
        <f t="shared" si="24"/>
        <v>0.142016605554598</v>
      </c>
      <c r="AF7" s="303">
        <f t="shared" si="25"/>
        <v>0.0091058914683112</v>
      </c>
      <c r="AG7" s="303">
        <f t="shared" si="26"/>
        <v>0.164657359817904</v>
      </c>
      <c r="AH7" s="303">
        <f t="shared" si="27"/>
        <v>0.140074142599234</v>
      </c>
      <c r="AI7" s="303">
        <f t="shared" si="28"/>
        <v>0.163992944636137</v>
      </c>
      <c r="AJ7" s="303">
        <f t="shared" si="29"/>
        <v>0.169614530331097</v>
      </c>
      <c r="AK7" s="303">
        <f t="shared" si="30"/>
        <v>0.00562158569496016</v>
      </c>
      <c r="AL7" s="304">
        <f t="shared" si="31"/>
        <v>0.00562158569496016</v>
      </c>
      <c r="AM7" s="304">
        <f t="shared" si="32"/>
        <v>0.0797101449275362</v>
      </c>
      <c r="AN7" s="299">
        <v>21600000</v>
      </c>
      <c r="AO7" s="299">
        <v>21900000</v>
      </c>
      <c r="AP7" s="299">
        <v>20063400</v>
      </c>
      <c r="AQ7" s="299">
        <v>20400000</v>
      </c>
      <c r="AR7" s="300">
        <v>20873520</v>
      </c>
      <c r="AS7" s="300">
        <v>21200000</v>
      </c>
      <c r="AT7" s="300">
        <v>20060460</v>
      </c>
      <c r="AU7" s="300">
        <v>20300000</v>
      </c>
      <c r="AV7" s="300">
        <v>17107970</v>
      </c>
      <c r="AW7" s="300">
        <v>17300000</v>
      </c>
      <c r="AX7" s="300">
        <v>17367680</v>
      </c>
      <c r="AY7" s="300">
        <v>17600000</v>
      </c>
      <c r="AZ7" s="300">
        <v>15866550</v>
      </c>
      <c r="BA7" s="300">
        <v>16100000</v>
      </c>
      <c r="BB7" s="300">
        <v>16056150</v>
      </c>
      <c r="BC7" s="300">
        <v>16500000</v>
      </c>
      <c r="BD7" s="300">
        <v>14796490</v>
      </c>
      <c r="BE7" s="300">
        <v>15100000</v>
      </c>
      <c r="BF7" s="300">
        <v>14364940</v>
      </c>
      <c r="BG7" s="300">
        <v>14600000</v>
      </c>
      <c r="BH7" s="300">
        <v>14245220</v>
      </c>
      <c r="BI7" s="300">
        <v>14600000</v>
      </c>
      <c r="BJ7" s="300">
        <v>13677600</v>
      </c>
      <c r="BK7" s="300">
        <v>13900000</v>
      </c>
      <c r="BL7" s="266">
        <v>15214680</v>
      </c>
      <c r="BM7" s="266">
        <v>15600000</v>
      </c>
      <c r="BN7" s="266">
        <v>14816880</v>
      </c>
      <c r="BO7" s="266">
        <v>15600000</v>
      </c>
      <c r="BP7" s="266">
        <v>17571300</v>
      </c>
      <c r="BQ7" s="266">
        <v>18500000</v>
      </c>
      <c r="BR7" s="266">
        <v>15926220</v>
      </c>
      <c r="BS7" s="266">
        <v>16200000</v>
      </c>
      <c r="BT7" s="266">
        <v>14474400</v>
      </c>
      <c r="BU7" s="266">
        <v>14800000</v>
      </c>
      <c r="BV7" s="266">
        <v>14207260</v>
      </c>
      <c r="BW7" s="266">
        <v>14600000</v>
      </c>
      <c r="BX7" s="266">
        <v>18400000</v>
      </c>
      <c r="BY7" s="266">
        <v>18800000</v>
      </c>
      <c r="BZ7" s="266">
        <v>18400000</v>
      </c>
      <c r="CA7" s="266">
        <v>18800000</v>
      </c>
      <c r="CB7" s="266">
        <v>17100000</v>
      </c>
      <c r="CC7" s="266">
        <v>17500000</v>
      </c>
      <c r="CD7" s="311">
        <v>17300000</v>
      </c>
      <c r="CE7" s="311">
        <v>17700000</v>
      </c>
      <c r="CF7" s="311">
        <v>19300000</v>
      </c>
      <c r="CG7" s="311">
        <v>19800000</v>
      </c>
      <c r="CH7" s="311">
        <v>18000000</v>
      </c>
      <c r="CI7" s="311">
        <v>18600000</v>
      </c>
      <c r="CJ7" s="311">
        <v>22700000</v>
      </c>
      <c r="CK7" s="311">
        <v>23000000</v>
      </c>
      <c r="CL7" s="311">
        <v>23100000</v>
      </c>
      <c r="CM7" s="311">
        <v>22600000</v>
      </c>
      <c r="CN7" s="311">
        <v>21600000</v>
      </c>
      <c r="CO7" s="311">
        <v>22000000</v>
      </c>
      <c r="CP7" s="311">
        <v>26200000</v>
      </c>
      <c r="CQ7" s="311">
        <v>26600000</v>
      </c>
      <c r="CR7" s="311">
        <v>21700000</v>
      </c>
      <c r="CS7" s="258">
        <v>22000000</v>
      </c>
      <c r="CT7" s="258">
        <v>25400000</v>
      </c>
      <c r="CU7" s="258">
        <v>25800000</v>
      </c>
      <c r="CV7" s="258">
        <v>27600000</v>
      </c>
      <c r="CW7" s="258">
        <v>28100000</v>
      </c>
      <c r="CX7" s="266">
        <f t="shared" si="0"/>
        <v>2200000</v>
      </c>
      <c r="CY7" s="266">
        <f t="shared" si="1"/>
        <v>2300000</v>
      </c>
      <c r="DA7" s="301" t="s">
        <v>4750</v>
      </c>
      <c r="DB7" s="258">
        <v>27600000</v>
      </c>
      <c r="DC7" s="258">
        <f t="shared" si="2"/>
        <v>1</v>
      </c>
    </row>
    <row r="8" spans="1:107">
      <c r="A8" s="302" t="s">
        <v>4739</v>
      </c>
      <c r="B8" s="264" t="s">
        <v>4751</v>
      </c>
      <c r="C8" s="264" t="s">
        <v>4749</v>
      </c>
      <c r="D8" s="265" t="s">
        <v>4752</v>
      </c>
      <c r="E8" s="304">
        <f t="shared" si="3"/>
        <v>0.0827194584677045</v>
      </c>
      <c r="F8" s="304">
        <f t="shared" si="4"/>
        <v>0.0832092504231136</v>
      </c>
      <c r="G8" s="304">
        <f t="shared" si="5"/>
        <v>0.0843732303882446</v>
      </c>
      <c r="H8" s="304">
        <f t="shared" si="6"/>
        <v>0.0849936317378245</v>
      </c>
      <c r="I8" s="304">
        <f t="shared" si="18"/>
        <v>0.0665710324074344</v>
      </c>
      <c r="J8" s="304">
        <f t="shared" si="7"/>
        <v>0.0892816152667145</v>
      </c>
      <c r="K8" s="304">
        <f t="shared" si="8"/>
        <v>0.0868353912825679</v>
      </c>
      <c r="L8" s="304">
        <f t="shared" si="9"/>
        <v>0.0410944174872653</v>
      </c>
      <c r="M8" s="304">
        <f t="shared" si="10"/>
        <v>0.0459090560267687</v>
      </c>
      <c r="N8" s="304">
        <f t="shared" si="11"/>
        <v>0.0340437656454299</v>
      </c>
      <c r="O8" s="304">
        <f t="shared" si="12"/>
        <v>0.0357364934369938</v>
      </c>
      <c r="P8" s="304">
        <f t="shared" si="13"/>
        <v>0.0376731496314424</v>
      </c>
      <c r="Q8" s="304">
        <v>0.036147608146136</v>
      </c>
      <c r="R8" s="304">
        <f t="shared" si="14"/>
        <v>0.0389146828886393</v>
      </c>
      <c r="S8" s="304">
        <f t="shared" si="15"/>
        <v>0.0398914359950129</v>
      </c>
      <c r="T8" s="304">
        <v>0.0454176766331129</v>
      </c>
      <c r="U8" s="304">
        <v>0.0436495839881441</v>
      </c>
      <c r="V8" s="304">
        <v>0.0421450971526324</v>
      </c>
      <c r="W8" s="304">
        <v>0.0421450971526324</v>
      </c>
      <c r="X8" s="304">
        <f t="shared" si="16"/>
        <v>0.0446855194156575</v>
      </c>
      <c r="Y8" s="304">
        <f t="shared" si="19"/>
        <v>0.0437666953251977</v>
      </c>
      <c r="Z8" s="304">
        <f t="shared" si="20"/>
        <v>0.0422612187419193</v>
      </c>
      <c r="AA8" s="304">
        <f t="shared" si="21"/>
        <v>0.0524972115904151</v>
      </c>
      <c r="AB8" s="304">
        <f t="shared" si="22"/>
        <v>0.039031946500212</v>
      </c>
      <c r="AC8" s="304">
        <f t="shared" si="17"/>
        <v>0.0545867474641293</v>
      </c>
      <c r="AD8" s="304">
        <f t="shared" si="23"/>
        <v>0.0638661872882156</v>
      </c>
      <c r="AE8" s="304">
        <f t="shared" si="24"/>
        <v>0.0591735856477492</v>
      </c>
      <c r="AF8" s="303">
        <f t="shared" si="25"/>
        <v>-0.00469260164046635</v>
      </c>
      <c r="AG8" s="303">
        <f t="shared" si="26"/>
        <v>0.0509055196383596</v>
      </c>
      <c r="AH8" s="303">
        <f t="shared" si="27"/>
        <v>0.0477672191352227</v>
      </c>
      <c r="AI8" s="303">
        <f t="shared" si="28"/>
        <v>0.0665010759744964</v>
      </c>
      <c r="AJ8" s="303">
        <f t="shared" si="29"/>
        <v>0.0473199957807771</v>
      </c>
      <c r="AK8" s="303">
        <f t="shared" si="30"/>
        <v>-0.0191810801937193</v>
      </c>
      <c r="AL8" s="304">
        <f t="shared" si="31"/>
        <v>-0.0191810801937193</v>
      </c>
      <c r="AM8" s="304">
        <f t="shared" si="32"/>
        <v>-0.337662337662338</v>
      </c>
      <c r="AN8" s="299">
        <v>15500000</v>
      </c>
      <c r="AO8" s="299">
        <v>16700000</v>
      </c>
      <c r="AP8" s="299">
        <v>14640000</v>
      </c>
      <c r="AQ8" s="299">
        <v>16000000</v>
      </c>
      <c r="AR8" s="300">
        <v>14978120</v>
      </c>
      <c r="AS8" s="300">
        <v>16400000</v>
      </c>
      <c r="AT8" s="300">
        <v>14389440</v>
      </c>
      <c r="AU8" s="300">
        <v>15600000</v>
      </c>
      <c r="AV8" s="300">
        <v>11270490</v>
      </c>
      <c r="AW8" s="300">
        <v>12300000</v>
      </c>
      <c r="AX8" s="300">
        <v>12595260</v>
      </c>
      <c r="AY8" s="300">
        <v>13800000</v>
      </c>
      <c r="AZ8" s="300">
        <v>11437500</v>
      </c>
      <c r="BA8" s="300">
        <v>12500000</v>
      </c>
      <c r="BB8" s="300">
        <v>5640720</v>
      </c>
      <c r="BC8" s="300">
        <v>7600000</v>
      </c>
      <c r="BD8" s="300">
        <v>5914800</v>
      </c>
      <c r="BE8" s="300">
        <v>7200000</v>
      </c>
      <c r="BF8" s="300">
        <v>4202570</v>
      </c>
      <c r="BG8" s="300">
        <v>5900000</v>
      </c>
      <c r="BH8" s="300">
        <v>4163680</v>
      </c>
      <c r="BI8" s="300">
        <v>5300000</v>
      </c>
      <c r="BJ8" s="300">
        <v>4300400</v>
      </c>
      <c r="BK8" s="300">
        <v>5200000</v>
      </c>
      <c r="BL8" s="266">
        <v>4760320</v>
      </c>
      <c r="BM8" s="266">
        <v>6400000</v>
      </c>
      <c r="BN8" s="266">
        <v>4873050</v>
      </c>
      <c r="BO8" s="266">
        <v>6500000</v>
      </c>
      <c r="BP8" s="266">
        <v>5247900</v>
      </c>
      <c r="BQ8" s="266">
        <v>7000000</v>
      </c>
      <c r="BR8" s="266">
        <v>5497120</v>
      </c>
      <c r="BS8" s="266">
        <v>6800000</v>
      </c>
      <c r="BT8" s="266">
        <v>4910500</v>
      </c>
      <c r="BU8" s="266">
        <v>6100000</v>
      </c>
      <c r="BV8" s="266">
        <v>5422720</v>
      </c>
      <c r="BW8" s="266">
        <v>6400000</v>
      </c>
      <c r="BX8" s="266">
        <v>6000000</v>
      </c>
      <c r="BY8" s="266">
        <v>7400000</v>
      </c>
      <c r="BZ8" s="266">
        <v>6000000</v>
      </c>
      <c r="CA8" s="266">
        <v>7400000</v>
      </c>
      <c r="CB8" s="266">
        <v>5900000</v>
      </c>
      <c r="CC8" s="266">
        <v>7100000</v>
      </c>
      <c r="CD8" s="311">
        <v>5900000</v>
      </c>
      <c r="CE8" s="311">
        <v>7300000</v>
      </c>
      <c r="CF8" s="311">
        <v>6500000</v>
      </c>
      <c r="CG8" s="311">
        <v>7800000</v>
      </c>
      <c r="CH8" s="311">
        <v>5100000</v>
      </c>
      <c r="CI8" s="311">
        <v>6500000</v>
      </c>
      <c r="CJ8" s="311">
        <v>8500000</v>
      </c>
      <c r="CK8" s="311">
        <v>9800000</v>
      </c>
      <c r="CL8" s="311">
        <v>11100000</v>
      </c>
      <c r="CM8" s="311">
        <v>9900000</v>
      </c>
      <c r="CN8" s="311">
        <v>9000000</v>
      </c>
      <c r="CO8" s="311">
        <v>10300000</v>
      </c>
      <c r="CP8" s="311">
        <v>8100000</v>
      </c>
      <c r="CQ8" s="311">
        <v>9300000</v>
      </c>
      <c r="CR8" s="311">
        <v>7400000</v>
      </c>
      <c r="CS8" s="258">
        <v>8400000</v>
      </c>
      <c r="CT8" s="258">
        <v>10300000</v>
      </c>
      <c r="CU8" s="258">
        <v>11600000</v>
      </c>
      <c r="CV8" s="258">
        <v>7700000</v>
      </c>
      <c r="CW8" s="258">
        <v>9300000</v>
      </c>
      <c r="CX8" s="266">
        <f t="shared" si="0"/>
        <v>-2600000</v>
      </c>
      <c r="CY8" s="266">
        <f t="shared" si="1"/>
        <v>-2300000</v>
      </c>
      <c r="DA8" s="301" t="s">
        <v>4752</v>
      </c>
      <c r="DB8" s="258">
        <v>7700000</v>
      </c>
      <c r="DC8" s="258">
        <f t="shared" si="2"/>
        <v>1</v>
      </c>
    </row>
    <row r="9" spans="1:107">
      <c r="A9" s="302" t="s">
        <v>4734</v>
      </c>
      <c r="B9" s="264" t="s">
        <v>4753</v>
      </c>
      <c r="C9" s="264" t="s">
        <v>4749</v>
      </c>
      <c r="D9" s="305" t="s">
        <v>4754</v>
      </c>
      <c r="E9" s="304">
        <f t="shared" si="3"/>
        <v>0.0747143495837331</v>
      </c>
      <c r="F9" s="304">
        <f t="shared" si="4"/>
        <v>0.0786865093758671</v>
      </c>
      <c r="G9" s="304">
        <f t="shared" si="5"/>
        <v>0.0763697798882276</v>
      </c>
      <c r="H9" s="304">
        <f t="shared" si="6"/>
        <v>0.078331265656701</v>
      </c>
      <c r="I9" s="304">
        <f t="shared" si="18"/>
        <v>0.057195911330409</v>
      </c>
      <c r="J9" s="304">
        <f t="shared" si="7"/>
        <v>0.0685879179633974</v>
      </c>
      <c r="K9" s="304">
        <f t="shared" si="8"/>
        <v>0.0703324532871063</v>
      </c>
      <c r="L9" s="304">
        <f t="shared" si="9"/>
        <v>0.0704701156789503</v>
      </c>
      <c r="M9" s="304">
        <f t="shared" si="10"/>
        <v>0.074375185562539</v>
      </c>
      <c r="N9" s="304">
        <f t="shared" si="11"/>
        <v>0.0780405393544766</v>
      </c>
      <c r="O9" s="304">
        <f t="shared" si="12"/>
        <v>0.0657854352991888</v>
      </c>
      <c r="P9" s="304">
        <f t="shared" si="13"/>
        <v>0.0668414569559615</v>
      </c>
      <c r="Q9" s="304">
        <v>0.0618680216347328</v>
      </c>
      <c r="R9" s="304">
        <f t="shared" si="14"/>
        <v>0.0586859818662834</v>
      </c>
      <c r="S9" s="304">
        <f t="shared" si="15"/>
        <v>0.0558619209720823</v>
      </c>
      <c r="T9" s="304">
        <v>0.0540626274015683</v>
      </c>
      <c r="U9" s="304">
        <v>0.0450087167428101</v>
      </c>
      <c r="V9" s="304">
        <v>0.0532517546949566</v>
      </c>
      <c r="W9" s="304">
        <v>0.0532517546949566</v>
      </c>
      <c r="X9" s="304">
        <f t="shared" si="16"/>
        <v>0.0307967768945747</v>
      </c>
      <c r="Y9" s="304">
        <f t="shared" si="19"/>
        <v>0.0318977609997203</v>
      </c>
      <c r="Z9" s="304">
        <f t="shared" si="20"/>
        <v>0.0522893045450866</v>
      </c>
      <c r="AA9" s="304">
        <f t="shared" si="21"/>
        <v>0.0314983269542491</v>
      </c>
      <c r="AB9" s="304">
        <f t="shared" si="22"/>
        <v>0.0275519622354438</v>
      </c>
      <c r="AC9" s="304">
        <f t="shared" si="17"/>
        <v>0.0269722752175698</v>
      </c>
      <c r="AD9" s="304">
        <f t="shared" si="23"/>
        <v>0.0270424396625778</v>
      </c>
      <c r="AE9" s="304">
        <f t="shared" si="24"/>
        <v>0.0289293085388996</v>
      </c>
      <c r="AF9" s="303">
        <f t="shared" si="25"/>
        <v>0.00188686887632183</v>
      </c>
      <c r="AG9" s="303">
        <f t="shared" si="26"/>
        <v>0.0270239178327094</v>
      </c>
      <c r="AH9" s="303">
        <f t="shared" si="27"/>
        <v>0.0213015977224642</v>
      </c>
      <c r="AI9" s="303">
        <f t="shared" si="28"/>
        <v>0.020660528458096</v>
      </c>
      <c r="AJ9" s="303">
        <f t="shared" si="29"/>
        <v>0.022738179790763</v>
      </c>
      <c r="AK9" s="303">
        <f t="shared" si="30"/>
        <v>0.00207765133266703</v>
      </c>
      <c r="AL9" s="304">
        <f t="shared" si="31"/>
        <v>0.00207765133266703</v>
      </c>
      <c r="AM9" s="304">
        <f t="shared" si="32"/>
        <v>0.135135135135135</v>
      </c>
      <c r="AN9" s="299">
        <v>14000000</v>
      </c>
      <c r="AO9" s="299">
        <v>15700000</v>
      </c>
      <c r="AP9" s="299">
        <v>13844260</v>
      </c>
      <c r="AQ9" s="299">
        <v>15700000</v>
      </c>
      <c r="AR9" s="300">
        <v>13557330</v>
      </c>
      <c r="AS9" s="300">
        <v>15300000</v>
      </c>
      <c r="AT9" s="300">
        <v>13261500</v>
      </c>
      <c r="AU9" s="300">
        <v>15000000</v>
      </c>
      <c r="AV9" s="300">
        <v>9683280</v>
      </c>
      <c r="AW9" s="300">
        <v>10800000</v>
      </c>
      <c r="AX9" s="300">
        <v>9675930</v>
      </c>
      <c r="AY9" s="300">
        <v>10900000</v>
      </c>
      <c r="AZ9" s="300">
        <v>9263820</v>
      </c>
      <c r="BA9" s="300">
        <v>10300000</v>
      </c>
      <c r="BB9" s="300">
        <v>9672900</v>
      </c>
      <c r="BC9" s="300">
        <v>11400000</v>
      </c>
      <c r="BD9" s="300">
        <v>9582300</v>
      </c>
      <c r="BE9" s="300">
        <v>11700000</v>
      </c>
      <c r="BF9" s="300">
        <v>9633800</v>
      </c>
      <c r="BG9" s="300">
        <v>11000000</v>
      </c>
      <c r="BH9" s="300">
        <v>7664700</v>
      </c>
      <c r="BI9" s="300">
        <v>8700000</v>
      </c>
      <c r="BJ9" s="300">
        <v>7629970</v>
      </c>
      <c r="BK9" s="300">
        <v>8900000</v>
      </c>
      <c r="BL9" s="266">
        <v>8522420</v>
      </c>
      <c r="BM9" s="266">
        <v>9700000</v>
      </c>
      <c r="BN9" s="266">
        <v>7348890</v>
      </c>
      <c r="BO9" s="266">
        <v>8700000</v>
      </c>
      <c r="BP9" s="266">
        <v>7348890</v>
      </c>
      <c r="BQ9" s="266">
        <v>8700000</v>
      </c>
      <c r="BR9" s="266">
        <v>6543460</v>
      </c>
      <c r="BS9" s="266">
        <v>7700000</v>
      </c>
      <c r="BT9" s="266">
        <v>5063400</v>
      </c>
      <c r="BU9" s="266">
        <v>6000000</v>
      </c>
      <c r="BV9" s="266">
        <v>6851790</v>
      </c>
      <c r="BW9" s="266">
        <v>8100000</v>
      </c>
      <c r="BX9" s="266">
        <v>4400000</v>
      </c>
      <c r="BY9" s="266">
        <v>5100000</v>
      </c>
      <c r="BZ9" s="266">
        <v>4400000</v>
      </c>
      <c r="CA9" s="266">
        <v>5100000</v>
      </c>
      <c r="CB9" s="266">
        <v>4300000</v>
      </c>
      <c r="CC9" s="266">
        <v>5000000</v>
      </c>
      <c r="CD9" s="311">
        <v>7300000</v>
      </c>
      <c r="CE9" s="311">
        <v>7900000</v>
      </c>
      <c r="CF9" s="311">
        <v>3900000</v>
      </c>
      <c r="CG9" s="311">
        <v>4900000</v>
      </c>
      <c r="CH9" s="311">
        <v>3600000</v>
      </c>
      <c r="CI9" s="311">
        <v>4200000</v>
      </c>
      <c r="CJ9" s="311">
        <v>4200000</v>
      </c>
      <c r="CK9" s="311">
        <v>4900000</v>
      </c>
      <c r="CL9" s="311">
        <v>4700000</v>
      </c>
      <c r="CM9" s="311">
        <v>4100000</v>
      </c>
      <c r="CN9" s="311">
        <v>4400000</v>
      </c>
      <c r="CO9" s="311">
        <v>5400000</v>
      </c>
      <c r="CP9" s="311">
        <v>4300000</v>
      </c>
      <c r="CQ9" s="311">
        <v>4900000</v>
      </c>
      <c r="CR9" s="311">
        <v>3300000</v>
      </c>
      <c r="CS9" s="258">
        <v>3900000</v>
      </c>
      <c r="CT9" s="258">
        <v>3200000</v>
      </c>
      <c r="CU9" s="258">
        <v>3800000</v>
      </c>
      <c r="CV9" s="258">
        <v>3700000</v>
      </c>
      <c r="CW9" s="258">
        <v>4500000</v>
      </c>
      <c r="CX9" s="266">
        <f t="shared" si="0"/>
        <v>500000</v>
      </c>
      <c r="CY9" s="266">
        <f t="shared" si="1"/>
        <v>700000</v>
      </c>
      <c r="DA9" s="301" t="s">
        <v>4754</v>
      </c>
      <c r="DB9" s="258">
        <v>3700000</v>
      </c>
      <c r="DC9" s="258">
        <f t="shared" si="2"/>
        <v>1</v>
      </c>
    </row>
    <row r="10" spans="1:107">
      <c r="A10" s="302" t="s">
        <v>4739</v>
      </c>
      <c r="B10" s="264" t="s">
        <v>4755</v>
      </c>
      <c r="C10" s="264">
        <v>1</v>
      </c>
      <c r="D10" s="265" t="s">
        <v>4756</v>
      </c>
      <c r="E10" s="304">
        <f t="shared" si="3"/>
        <v>0.0432275879734456</v>
      </c>
      <c r="F10" s="304">
        <f t="shared" si="4"/>
        <v>0.0409822609409741</v>
      </c>
      <c r="G10" s="304">
        <f t="shared" si="5"/>
        <v>0.0388143042429331</v>
      </c>
      <c r="H10" s="304">
        <f t="shared" si="6"/>
        <v>0.0406822877378759</v>
      </c>
      <c r="I10" s="304">
        <f t="shared" si="18"/>
        <v>0.0344899742240306</v>
      </c>
      <c r="J10" s="304">
        <f t="shared" si="7"/>
        <v>0.04015768004604</v>
      </c>
      <c r="K10" s="304">
        <f t="shared" si="8"/>
        <v>0.0423700527435282</v>
      </c>
      <c r="L10" s="304">
        <f t="shared" si="9"/>
        <v>0.0372281012438617</v>
      </c>
      <c r="M10" s="304">
        <f t="shared" si="10"/>
        <v>0.0400775161650605</v>
      </c>
      <c r="N10" s="304">
        <f t="shared" si="11"/>
        <v>0.0374479234910289</v>
      </c>
      <c r="O10" s="304">
        <f t="shared" si="12"/>
        <v>0.0350948350364083</v>
      </c>
      <c r="P10" s="304">
        <f t="shared" si="13"/>
        <v>0.0311719820486618</v>
      </c>
      <c r="Q10" s="304">
        <v>0.0257204134885968</v>
      </c>
      <c r="R10" s="304">
        <f t="shared" si="14"/>
        <v>0.0277874976575825</v>
      </c>
      <c r="S10" s="304">
        <f t="shared" si="15"/>
        <v>0.0292345641781779</v>
      </c>
      <c r="T10" s="304">
        <v>0.0327436371442178</v>
      </c>
      <c r="U10" s="304">
        <v>0.0341232100628628</v>
      </c>
      <c r="V10" s="304">
        <v>0.0674698338474847</v>
      </c>
      <c r="W10" s="304">
        <v>0.0674698338474847</v>
      </c>
      <c r="X10" s="304">
        <f t="shared" si="16"/>
        <v>0.0386469357108389</v>
      </c>
      <c r="Y10" s="304">
        <f t="shared" si="19"/>
        <v>0.033381377790405</v>
      </c>
      <c r="Z10" s="304">
        <f t="shared" si="20"/>
        <v>0.032233132938752</v>
      </c>
      <c r="AA10" s="304">
        <f t="shared" si="21"/>
        <v>0.0347289245905823</v>
      </c>
      <c r="AB10" s="304">
        <f t="shared" si="22"/>
        <v>0.0344399527943047</v>
      </c>
      <c r="AC10" s="304">
        <f t="shared" si="17"/>
        <v>0.028898866304539</v>
      </c>
      <c r="AD10" s="304">
        <f t="shared" si="23"/>
        <v>0.0230148422660236</v>
      </c>
      <c r="AE10" s="304">
        <f t="shared" si="24"/>
        <v>0.0295867928238746</v>
      </c>
      <c r="AF10" s="303">
        <f t="shared" si="25"/>
        <v>0.00657195055785102</v>
      </c>
      <c r="AG10" s="303">
        <f t="shared" si="26"/>
        <v>0.0238816018056502</v>
      </c>
      <c r="AH10" s="303">
        <f t="shared" si="27"/>
        <v>0.0348571599094868</v>
      </c>
      <c r="AI10" s="303">
        <f t="shared" si="28"/>
        <v>0.02582566057262</v>
      </c>
      <c r="AJ10" s="303">
        <f t="shared" si="29"/>
        <v>0.0325709061867687</v>
      </c>
      <c r="AK10" s="303">
        <f t="shared" si="30"/>
        <v>0.00674524561414865</v>
      </c>
      <c r="AL10" s="304">
        <f t="shared" si="31"/>
        <v>0.00674524561414865</v>
      </c>
      <c r="AM10" s="304">
        <f t="shared" si="32"/>
        <v>0.245283018867925</v>
      </c>
      <c r="AN10" s="299">
        <v>8100000</v>
      </c>
      <c r="AO10" s="299">
        <v>8300000</v>
      </c>
      <c r="AP10" s="299">
        <v>7210500</v>
      </c>
      <c r="AQ10" s="299">
        <v>7500000</v>
      </c>
      <c r="AR10" s="300">
        <v>6890400</v>
      </c>
      <c r="AS10" s="300">
        <v>7200000</v>
      </c>
      <c r="AT10" s="300">
        <v>6887520</v>
      </c>
      <c r="AU10" s="300">
        <v>7200000</v>
      </c>
      <c r="AV10" s="300">
        <v>5839160</v>
      </c>
      <c r="AW10" s="300">
        <v>6200000</v>
      </c>
      <c r="AX10" s="300">
        <v>5665180</v>
      </c>
      <c r="AY10" s="300">
        <v>5900000</v>
      </c>
      <c r="AZ10" s="300">
        <v>5580760</v>
      </c>
      <c r="BA10" s="300">
        <v>5800000</v>
      </c>
      <c r="BB10" s="300">
        <v>5110020</v>
      </c>
      <c r="BC10" s="300">
        <v>5400000</v>
      </c>
      <c r="BD10" s="300">
        <v>5163480</v>
      </c>
      <c r="BE10" s="300">
        <v>5400000</v>
      </c>
      <c r="BF10" s="300">
        <v>4622800</v>
      </c>
      <c r="BG10" s="300">
        <v>5200000</v>
      </c>
      <c r="BH10" s="300">
        <v>4088920</v>
      </c>
      <c r="BI10" s="300">
        <v>4400000</v>
      </c>
      <c r="BJ10" s="300">
        <v>3558290</v>
      </c>
      <c r="BK10" s="300">
        <v>3700000</v>
      </c>
      <c r="BL10" s="266">
        <v>4329900</v>
      </c>
      <c r="BM10" s="266">
        <v>4500000</v>
      </c>
      <c r="BN10" s="266">
        <v>3479660</v>
      </c>
      <c r="BO10" s="266">
        <v>3800000</v>
      </c>
      <c r="BP10" s="266">
        <v>3845940</v>
      </c>
      <c r="BQ10" s="266">
        <v>4200000</v>
      </c>
      <c r="BR10" s="266">
        <v>3963120</v>
      </c>
      <c r="BS10" s="266">
        <v>4200000</v>
      </c>
      <c r="BT10" s="266">
        <v>3838800</v>
      </c>
      <c r="BU10" s="266">
        <v>4000000</v>
      </c>
      <c r="BV10" s="266">
        <v>8681200</v>
      </c>
      <c r="BW10" s="266">
        <v>8800000</v>
      </c>
      <c r="BX10" s="266">
        <v>6200000</v>
      </c>
      <c r="BY10" s="266">
        <v>6400000</v>
      </c>
      <c r="BZ10" s="266">
        <v>6200000</v>
      </c>
      <c r="CA10" s="266">
        <v>6400000</v>
      </c>
      <c r="CB10" s="266">
        <v>4500000</v>
      </c>
      <c r="CC10" s="266">
        <v>4700000</v>
      </c>
      <c r="CD10" s="311">
        <v>4500000</v>
      </c>
      <c r="CE10" s="311">
        <v>4600000</v>
      </c>
      <c r="CF10" s="311">
        <v>4300000</v>
      </c>
      <c r="CG10" s="311">
        <v>4500000</v>
      </c>
      <c r="CH10" s="311">
        <v>4500000</v>
      </c>
      <c r="CI10" s="311">
        <v>4700000</v>
      </c>
      <c r="CJ10" s="311">
        <v>4500000</v>
      </c>
      <c r="CK10" s="311">
        <v>4700000</v>
      </c>
      <c r="CL10" s="311">
        <v>4000000</v>
      </c>
      <c r="CM10" s="311">
        <v>3700000</v>
      </c>
      <c r="CN10" s="311">
        <v>4500000</v>
      </c>
      <c r="CO10" s="311">
        <v>4800000</v>
      </c>
      <c r="CP10" s="311">
        <v>3800000</v>
      </c>
      <c r="CQ10" s="311">
        <v>4200000</v>
      </c>
      <c r="CR10" s="311">
        <v>5400000</v>
      </c>
      <c r="CS10" s="258">
        <v>5700000</v>
      </c>
      <c r="CT10" s="258">
        <v>4000000</v>
      </c>
      <c r="CU10" s="258">
        <v>4200000</v>
      </c>
      <c r="CV10" s="258">
        <v>5300000</v>
      </c>
      <c r="CW10" s="258">
        <v>5600000</v>
      </c>
      <c r="CX10" s="266">
        <f t="shared" si="0"/>
        <v>1300000</v>
      </c>
      <c r="CY10" s="266">
        <f t="shared" si="1"/>
        <v>1400000</v>
      </c>
      <c r="DA10" s="301" t="s">
        <v>4756</v>
      </c>
      <c r="DB10" s="258">
        <v>5300000</v>
      </c>
      <c r="DC10" s="258">
        <f t="shared" si="2"/>
        <v>1</v>
      </c>
    </row>
    <row r="11" spans="1:107">
      <c r="A11" s="302" t="s">
        <v>4739</v>
      </c>
      <c r="B11" s="264" t="s">
        <v>4755</v>
      </c>
      <c r="C11" s="264">
        <v>1</v>
      </c>
      <c r="D11" s="305" t="s">
        <v>4757</v>
      </c>
      <c r="E11" s="304">
        <f t="shared" si="3"/>
        <v>0.0325541094614837</v>
      </c>
      <c r="F11" s="304">
        <f t="shared" si="4"/>
        <v>0.033793356828087</v>
      </c>
      <c r="G11" s="304">
        <f t="shared" si="5"/>
        <v>0.032848852572019</v>
      </c>
      <c r="H11" s="304">
        <f t="shared" si="6"/>
        <v>0.0325771591525631</v>
      </c>
      <c r="I11" s="304">
        <f t="shared" si="18"/>
        <v>0.0280396574915536</v>
      </c>
      <c r="J11" s="304">
        <f t="shared" si="7"/>
        <v>0.0336743169577516</v>
      </c>
      <c r="K11" s="304">
        <f t="shared" si="8"/>
        <v>0.0359999982431729</v>
      </c>
      <c r="L11" s="304">
        <f t="shared" si="9"/>
        <v>0.0689078529029272</v>
      </c>
      <c r="M11" s="304">
        <f t="shared" si="10"/>
        <v>0.062505799166168</v>
      </c>
      <c r="N11" s="304">
        <f t="shared" si="11"/>
        <v>0.0701869091250588</v>
      </c>
      <c r="O11" s="304">
        <f t="shared" si="12"/>
        <v>0.0687549507276874</v>
      </c>
      <c r="P11" s="304">
        <f t="shared" si="13"/>
        <v>0.0648815841451657</v>
      </c>
      <c r="Q11" s="304">
        <v>0.0549165585297066</v>
      </c>
      <c r="R11" s="304">
        <f t="shared" si="14"/>
        <v>0.05795169736446</v>
      </c>
      <c r="S11" s="304">
        <f t="shared" si="15"/>
        <v>0.0851883861889957</v>
      </c>
      <c r="T11" s="304">
        <v>0.0439385980481703</v>
      </c>
      <c r="U11" s="304">
        <v>0.0443087055954592</v>
      </c>
      <c r="V11" s="304">
        <v>0.0511596240478797</v>
      </c>
      <c r="W11" s="304">
        <v>0.0511596240478797</v>
      </c>
      <c r="X11" s="304">
        <f t="shared" si="16"/>
        <v>0.0307967768945747</v>
      </c>
      <c r="Y11" s="304">
        <f t="shared" si="19"/>
        <v>0.0393158449531437</v>
      </c>
      <c r="Z11" s="304">
        <f t="shared" si="20"/>
        <v>0.0386797595265024</v>
      </c>
      <c r="AA11" s="304">
        <f t="shared" si="21"/>
        <v>0.0363442234087489</v>
      </c>
      <c r="AB11" s="304">
        <f t="shared" si="22"/>
        <v>0.0336746205099868</v>
      </c>
      <c r="AC11" s="304">
        <f t="shared" si="17"/>
        <v>0.0295410633335288</v>
      </c>
      <c r="AD11" s="304">
        <f t="shared" si="23"/>
        <v>0.0241655843793248</v>
      </c>
      <c r="AE11" s="304">
        <f t="shared" si="24"/>
        <v>0.0368191199585995</v>
      </c>
      <c r="AF11" s="303">
        <f t="shared" si="25"/>
        <v>0.0126535355792747</v>
      </c>
      <c r="AG11" s="303">
        <f t="shared" si="26"/>
        <v>0.0395931819409464</v>
      </c>
      <c r="AH11" s="303">
        <f t="shared" si="27"/>
        <v>0.0748783435092679</v>
      </c>
      <c r="AI11" s="303">
        <f t="shared" si="28"/>
        <v>0</v>
      </c>
      <c r="AJ11" s="303">
        <f t="shared" si="29"/>
        <v>0.0417890871830239</v>
      </c>
      <c r="AK11" s="303">
        <f t="shared" si="30"/>
        <v>0.0417890871830239</v>
      </c>
      <c r="AL11" s="304">
        <f t="shared" si="31"/>
        <v>0.0417890871830239</v>
      </c>
      <c r="AM11" s="304">
        <f t="shared" si="32"/>
        <v>1</v>
      </c>
      <c r="AN11" s="299">
        <v>6100000</v>
      </c>
      <c r="AO11" s="299">
        <v>6200000</v>
      </c>
      <c r="AP11" s="299">
        <v>5945670</v>
      </c>
      <c r="AQ11" s="299">
        <v>6100000</v>
      </c>
      <c r="AR11" s="300">
        <v>5831400</v>
      </c>
      <c r="AS11" s="300">
        <v>6000000</v>
      </c>
      <c r="AT11" s="300">
        <v>5515320</v>
      </c>
      <c r="AU11" s="300">
        <v>5700000</v>
      </c>
      <c r="AV11" s="300">
        <v>4747120</v>
      </c>
      <c r="AW11" s="300">
        <v>4900000</v>
      </c>
      <c r="AX11" s="300">
        <v>4750550</v>
      </c>
      <c r="AY11" s="300">
        <v>4900000</v>
      </c>
      <c r="AZ11" s="300">
        <v>4741730</v>
      </c>
      <c r="BA11" s="300">
        <v>4900000</v>
      </c>
      <c r="BB11" s="300">
        <v>9458460</v>
      </c>
      <c r="BC11" s="300">
        <v>10200000</v>
      </c>
      <c r="BD11" s="300">
        <v>8053080</v>
      </c>
      <c r="BE11" s="300">
        <v>8400000</v>
      </c>
      <c r="BF11" s="300">
        <v>8664300</v>
      </c>
      <c r="BG11" s="300">
        <v>9000000</v>
      </c>
      <c r="BH11" s="300">
        <v>8010680</v>
      </c>
      <c r="BI11" s="300">
        <v>9400000</v>
      </c>
      <c r="BJ11" s="300">
        <v>7406250</v>
      </c>
      <c r="BK11" s="300">
        <v>7900000</v>
      </c>
      <c r="BL11" s="266">
        <v>7798560</v>
      </c>
      <c r="BM11" s="266">
        <v>8400000</v>
      </c>
      <c r="BN11" s="266">
        <v>7256940</v>
      </c>
      <c r="BO11" s="266">
        <v>7900000</v>
      </c>
      <c r="BP11" s="266">
        <v>11206920</v>
      </c>
      <c r="BQ11" s="266">
        <v>12200000</v>
      </c>
      <c r="BR11" s="266">
        <v>5318100</v>
      </c>
      <c r="BS11" s="266">
        <v>5700000</v>
      </c>
      <c r="BT11" s="266">
        <v>4984650</v>
      </c>
      <c r="BU11" s="266">
        <v>5300000</v>
      </c>
      <c r="BV11" s="266">
        <v>6582600</v>
      </c>
      <c r="BW11" s="266">
        <v>6900000</v>
      </c>
      <c r="BX11" s="266">
        <v>4600000</v>
      </c>
      <c r="BY11" s="266">
        <v>5100000</v>
      </c>
      <c r="BZ11" s="266">
        <v>4600000</v>
      </c>
      <c r="CA11" s="266">
        <v>5100000</v>
      </c>
      <c r="CB11" s="266">
        <v>5300000</v>
      </c>
      <c r="CC11" s="266">
        <v>5600000</v>
      </c>
      <c r="CD11" s="311">
        <v>5400000</v>
      </c>
      <c r="CE11" s="311">
        <v>5600000</v>
      </c>
      <c r="CF11" s="311">
        <v>4500000</v>
      </c>
      <c r="CG11" s="311">
        <v>4700000</v>
      </c>
      <c r="CH11" s="311">
        <v>4400000</v>
      </c>
      <c r="CI11" s="311">
        <v>4700000</v>
      </c>
      <c r="CJ11" s="311">
        <v>4600000</v>
      </c>
      <c r="CK11" s="311">
        <v>5100000</v>
      </c>
      <c r="CL11" s="311">
        <v>4200000</v>
      </c>
      <c r="CM11" s="311">
        <v>4600000</v>
      </c>
      <c r="CN11" s="311">
        <v>5600000</v>
      </c>
      <c r="CO11" s="311">
        <v>6000000</v>
      </c>
      <c r="CP11" s="311">
        <v>6300000</v>
      </c>
      <c r="CQ11" s="311">
        <v>6800000</v>
      </c>
      <c r="CR11" s="311">
        <v>11600000</v>
      </c>
      <c r="CS11" s="258">
        <v>12200000</v>
      </c>
      <c r="CT11" s="258"/>
      <c r="CU11" s="258">
        <v>8100000</v>
      </c>
      <c r="CV11" s="258">
        <v>6800000</v>
      </c>
      <c r="CW11" s="258">
        <v>7400000</v>
      </c>
      <c r="CX11" s="266">
        <f t="shared" si="0"/>
        <v>6800000</v>
      </c>
      <c r="CY11" s="266">
        <f t="shared" si="1"/>
        <v>-700000</v>
      </c>
      <c r="DA11" s="301" t="s">
        <v>4757</v>
      </c>
      <c r="DB11" s="258">
        <v>6800000</v>
      </c>
      <c r="DC11" s="258">
        <f t="shared" ref="DC11:DC42" si="33">IF(DA11=D11,1,0)</f>
        <v>1</v>
      </c>
    </row>
    <row r="12" spans="1:107">
      <c r="A12" s="302" t="s">
        <v>4739</v>
      </c>
      <c r="B12" s="264" t="s">
        <v>4755</v>
      </c>
      <c r="C12" s="264">
        <v>2</v>
      </c>
      <c r="D12" s="265" t="s">
        <v>4758</v>
      </c>
      <c r="E12" s="304">
        <f t="shared" si="3"/>
        <v>0.0266836962799047</v>
      </c>
      <c r="F12" s="304">
        <f t="shared" si="4"/>
        <v>0.025305729100331</v>
      </c>
      <c r="G12" s="304">
        <f t="shared" si="5"/>
        <v>0.0266692304832314</v>
      </c>
      <c r="H12" s="304">
        <f t="shared" si="6"/>
        <v>0.027453243582539</v>
      </c>
      <c r="I12" s="304">
        <f t="shared" si="18"/>
        <v>0.0202536661292874</v>
      </c>
      <c r="J12" s="304">
        <f t="shared" si="7"/>
        <v>0.0254878686704295</v>
      </c>
      <c r="K12" s="304">
        <f t="shared" si="8"/>
        <v>0.0266922312791782</v>
      </c>
      <c r="L12" s="304">
        <f t="shared" si="9"/>
        <v>0.0204069664453747</v>
      </c>
      <c r="M12" s="304">
        <f t="shared" si="10"/>
        <v>0.017853211319154</v>
      </c>
      <c r="N12" s="304">
        <f t="shared" si="11"/>
        <v>0.0167451223515566</v>
      </c>
      <c r="O12" s="304">
        <f t="shared" si="12"/>
        <v>0.0145578180787723</v>
      </c>
      <c r="P12" s="304">
        <f t="shared" si="13"/>
        <v>0.0166061813880947</v>
      </c>
      <c r="Q12" s="304">
        <v>0.0139029262100523</v>
      </c>
      <c r="R12" s="304">
        <f t="shared" si="14"/>
        <v>0.0160002150157512</v>
      </c>
      <c r="S12" s="304">
        <f t="shared" si="15"/>
        <v>0.0166807606643679</v>
      </c>
      <c r="T12" s="304">
        <v>0.0193114686699895</v>
      </c>
      <c r="U12" s="304">
        <v>0.0207917977663433</v>
      </c>
      <c r="V12" s="304">
        <v>0.022413520461775</v>
      </c>
      <c r="W12" s="304">
        <v>0.022413520461775</v>
      </c>
      <c r="X12" s="304">
        <f t="shared" si="16"/>
        <v>0.0150964592620464</v>
      </c>
      <c r="Y12" s="304">
        <f t="shared" si="19"/>
        <v>0.0170615930928737</v>
      </c>
      <c r="Z12" s="304">
        <f t="shared" si="20"/>
        <v>0.0143258368616676</v>
      </c>
      <c r="AA12" s="304">
        <f t="shared" si="21"/>
        <v>0.0177682869998328</v>
      </c>
      <c r="AB12" s="304">
        <f t="shared" si="22"/>
        <v>0.0137759811177219</v>
      </c>
      <c r="AC12" s="304">
        <f t="shared" si="17"/>
        <v>0.00899075840585659</v>
      </c>
      <c r="AD12" s="304">
        <f t="shared" si="23"/>
        <v>0.0115074211330118</v>
      </c>
      <c r="AE12" s="304">
        <f t="shared" si="24"/>
        <v>0.0124922014145248</v>
      </c>
      <c r="AF12" s="303">
        <f t="shared" si="25"/>
        <v>0.000984780281513041</v>
      </c>
      <c r="AG12" s="303">
        <f t="shared" si="26"/>
        <v>0.0213677489840028</v>
      </c>
      <c r="AH12" s="303">
        <f t="shared" si="27"/>
        <v>0.0219471006837509</v>
      </c>
      <c r="AI12" s="303">
        <f t="shared" si="28"/>
        <v>0.011621547257679</v>
      </c>
      <c r="AJ12" s="303">
        <f t="shared" si="29"/>
        <v>0.0141345441942581</v>
      </c>
      <c r="AK12" s="303">
        <f t="shared" si="30"/>
        <v>0.0025129969365791</v>
      </c>
      <c r="AL12" s="304">
        <f t="shared" si="31"/>
        <v>0.0025129969365791</v>
      </c>
      <c r="AM12" s="304">
        <f t="shared" si="32"/>
        <v>0.217391304347826</v>
      </c>
      <c r="AN12" s="299">
        <v>5000000</v>
      </c>
      <c r="AO12" s="299">
        <v>5200000</v>
      </c>
      <c r="AP12" s="299">
        <v>4452340</v>
      </c>
      <c r="AQ12" s="299">
        <v>4600000</v>
      </c>
      <c r="AR12" s="300">
        <v>4734380</v>
      </c>
      <c r="AS12" s="300">
        <v>4900000</v>
      </c>
      <c r="AT12" s="300">
        <v>4647840</v>
      </c>
      <c r="AU12" s="300">
        <v>4800000</v>
      </c>
      <c r="AV12" s="300">
        <v>3428950</v>
      </c>
      <c r="AW12" s="300">
        <v>3500000</v>
      </c>
      <c r="AX12" s="300">
        <v>3595660</v>
      </c>
      <c r="AY12" s="300">
        <v>3700000</v>
      </c>
      <c r="AZ12" s="300">
        <v>3515760</v>
      </c>
      <c r="BA12" s="300">
        <v>3600000</v>
      </c>
      <c r="BB12" s="300">
        <v>2801110</v>
      </c>
      <c r="BC12" s="300">
        <v>2900000</v>
      </c>
      <c r="BD12" s="300">
        <v>2300160</v>
      </c>
      <c r="BE12" s="300">
        <v>2400000</v>
      </c>
      <c r="BF12" s="300">
        <v>2067120</v>
      </c>
      <c r="BG12" s="300">
        <v>2200000</v>
      </c>
      <c r="BH12" s="300">
        <v>1696140</v>
      </c>
      <c r="BI12" s="300">
        <v>1800000</v>
      </c>
      <c r="BJ12" s="300">
        <v>1895600</v>
      </c>
      <c r="BK12" s="300">
        <v>2000000</v>
      </c>
      <c r="BL12" s="266">
        <v>1835210</v>
      </c>
      <c r="BM12" s="266">
        <v>1900000</v>
      </c>
      <c r="BN12" s="266">
        <v>2003610</v>
      </c>
      <c r="BO12" s="266">
        <v>2100000</v>
      </c>
      <c r="BP12" s="266">
        <v>2194430</v>
      </c>
      <c r="BQ12" s="266">
        <v>2300000</v>
      </c>
      <c r="BR12" s="266">
        <v>2337360</v>
      </c>
      <c r="BS12" s="266">
        <v>2400000</v>
      </c>
      <c r="BT12" s="266">
        <v>2339040</v>
      </c>
      <c r="BU12" s="266">
        <v>2400000</v>
      </c>
      <c r="BV12" s="266">
        <v>2883900</v>
      </c>
      <c r="BW12" s="266">
        <v>3000000</v>
      </c>
      <c r="BX12" s="266">
        <v>2300000</v>
      </c>
      <c r="BY12" s="266">
        <v>2500000</v>
      </c>
      <c r="BZ12" s="266">
        <v>2300000</v>
      </c>
      <c r="CA12" s="266">
        <v>2500000</v>
      </c>
      <c r="CB12" s="266">
        <v>2300000</v>
      </c>
      <c r="CC12" s="266">
        <v>2400000</v>
      </c>
      <c r="CD12" s="311">
        <v>2000000</v>
      </c>
      <c r="CE12" s="311">
        <v>2000000</v>
      </c>
      <c r="CF12" s="311">
        <v>2200000</v>
      </c>
      <c r="CG12" s="311">
        <v>2300000</v>
      </c>
      <c r="CH12" s="311">
        <v>1800000</v>
      </c>
      <c r="CI12" s="311">
        <v>1900000</v>
      </c>
      <c r="CJ12" s="311">
        <v>1400000</v>
      </c>
      <c r="CK12" s="311">
        <v>1600000</v>
      </c>
      <c r="CL12" s="311">
        <v>2000000</v>
      </c>
      <c r="CM12" s="311">
        <v>1900000</v>
      </c>
      <c r="CN12" s="311">
        <v>1900000</v>
      </c>
      <c r="CO12" s="311">
        <v>2200000</v>
      </c>
      <c r="CP12" s="311">
        <v>3400000</v>
      </c>
      <c r="CQ12" s="311">
        <v>4200000</v>
      </c>
      <c r="CR12" s="311">
        <v>3400000</v>
      </c>
      <c r="CS12" s="258">
        <v>3900000</v>
      </c>
      <c r="CT12" s="258">
        <v>1800000</v>
      </c>
      <c r="CU12" s="258">
        <v>3200000</v>
      </c>
      <c r="CV12" s="258">
        <v>2300000</v>
      </c>
      <c r="CW12" s="258">
        <v>2800000</v>
      </c>
      <c r="CX12" s="266">
        <f t="shared" si="0"/>
        <v>500000</v>
      </c>
      <c r="CY12" s="266">
        <f t="shared" si="1"/>
        <v>-400000</v>
      </c>
      <c r="DA12" s="301" t="s">
        <v>4758</v>
      </c>
      <c r="DB12" s="258">
        <v>2300000</v>
      </c>
      <c r="DC12" s="258">
        <f t="shared" si="33"/>
        <v>1</v>
      </c>
    </row>
    <row r="13" spans="1:107">
      <c r="A13" s="302" t="s">
        <v>4739</v>
      </c>
      <c r="B13" s="264" t="s">
        <v>4759</v>
      </c>
      <c r="C13" s="264">
        <v>2</v>
      </c>
      <c r="D13" s="265" t="s">
        <v>4760</v>
      </c>
      <c r="E13" s="304">
        <f t="shared" si="3"/>
        <v>0.0192122613215314</v>
      </c>
      <c r="F13" s="304">
        <f t="shared" si="4"/>
        <v>0.0169957167465997</v>
      </c>
      <c r="G13" s="304">
        <f t="shared" si="5"/>
        <v>0.0163230305069005</v>
      </c>
      <c r="H13" s="304">
        <f t="shared" si="6"/>
        <v>0.0164544387882591</v>
      </c>
      <c r="I13" s="304">
        <f t="shared" si="18"/>
        <v>0.0135593449791896</v>
      </c>
      <c r="J13" s="304">
        <f t="shared" si="7"/>
        <v>0.0176014769737805</v>
      </c>
      <c r="K13" s="304">
        <f t="shared" si="8"/>
        <v>0.0180864359241877</v>
      </c>
      <c r="L13" s="304">
        <f t="shared" si="9"/>
        <v>0.0110433706696833</v>
      </c>
      <c r="M13" s="304">
        <f t="shared" si="10"/>
        <v>0.0157900669723502</v>
      </c>
      <c r="N13" s="304">
        <f t="shared" si="11"/>
        <v>0.0122327075160796</v>
      </c>
      <c r="O13" s="304">
        <f t="shared" si="12"/>
        <v>0.0123529541605487</v>
      </c>
      <c r="P13" s="304">
        <f t="shared" si="13"/>
        <v>0.0109079028769636</v>
      </c>
      <c r="Q13" s="304">
        <v>0.009036902036534</v>
      </c>
      <c r="R13" s="304">
        <f t="shared" si="14"/>
        <v>0.0117153315449153</v>
      </c>
      <c r="S13" s="304">
        <f t="shared" si="15"/>
        <v>0.0118485447566658</v>
      </c>
      <c r="T13" s="304">
        <v>0.0149381814586062</v>
      </c>
      <c r="U13" s="304">
        <v>0.0110507537558743</v>
      </c>
      <c r="V13" s="304">
        <v>0.0142695294474263</v>
      </c>
      <c r="W13" s="304">
        <v>0.0142695294474263</v>
      </c>
      <c r="X13" s="304">
        <f t="shared" si="16"/>
        <v>0.0138887425210827</v>
      </c>
      <c r="Y13" s="304">
        <f t="shared" si="19"/>
        <v>0.017803401488216</v>
      </c>
      <c r="Z13" s="304">
        <f t="shared" si="20"/>
        <v>0.0222050471355847</v>
      </c>
      <c r="AA13" s="304">
        <f t="shared" si="21"/>
        <v>0.0121147411362496</v>
      </c>
      <c r="AB13" s="304">
        <f t="shared" si="22"/>
        <v>0.0183679748236292</v>
      </c>
      <c r="AC13" s="304">
        <f t="shared" si="17"/>
        <v>0.0128439405797951</v>
      </c>
      <c r="AD13" s="304">
        <f t="shared" si="23"/>
        <v>0.00920593690640946</v>
      </c>
      <c r="AE13" s="304">
        <f t="shared" si="24"/>
        <v>0.0157796228393998</v>
      </c>
      <c r="AF13" s="303">
        <f t="shared" si="25"/>
        <v>0.00657368593299034</v>
      </c>
      <c r="AG13" s="303">
        <f t="shared" si="26"/>
        <v>0.016340043340708</v>
      </c>
      <c r="AH13" s="303">
        <f t="shared" si="27"/>
        <v>0.0232381066063245</v>
      </c>
      <c r="AI13" s="303">
        <f t="shared" si="28"/>
        <v>0.0200148869437805</v>
      </c>
      <c r="AJ13" s="303">
        <f t="shared" si="29"/>
        <v>0.0147490895940084</v>
      </c>
      <c r="AK13" s="303">
        <f t="shared" si="30"/>
        <v>-0.00526579734977205</v>
      </c>
      <c r="AL13" s="304">
        <f t="shared" si="31"/>
        <v>-0.00526579734977205</v>
      </c>
      <c r="AM13" s="304">
        <f t="shared" si="32"/>
        <v>-0.291666666666667</v>
      </c>
      <c r="AN13" s="299">
        <v>3600000</v>
      </c>
      <c r="AO13" s="299">
        <v>3700000</v>
      </c>
      <c r="AP13" s="299">
        <v>2990260</v>
      </c>
      <c r="AQ13" s="299">
        <v>3100000</v>
      </c>
      <c r="AR13" s="300">
        <v>2897700</v>
      </c>
      <c r="AS13" s="300">
        <v>3000000</v>
      </c>
      <c r="AT13" s="300">
        <v>2785740</v>
      </c>
      <c r="AU13" s="300">
        <v>2900000</v>
      </c>
      <c r="AV13" s="300">
        <v>2295600</v>
      </c>
      <c r="AW13" s="300">
        <v>2400000</v>
      </c>
      <c r="AX13" s="300">
        <v>2483100</v>
      </c>
      <c r="AY13" s="300">
        <v>3100000</v>
      </c>
      <c r="AZ13" s="300">
        <v>2382250</v>
      </c>
      <c r="BA13" s="300">
        <v>2500000</v>
      </c>
      <c r="BB13" s="300">
        <v>1515840</v>
      </c>
      <c r="BC13" s="300">
        <v>1600000</v>
      </c>
      <c r="BD13" s="300">
        <v>2034350</v>
      </c>
      <c r="BE13" s="300">
        <v>2300000</v>
      </c>
      <c r="BF13" s="300">
        <v>1510080</v>
      </c>
      <c r="BG13" s="300">
        <v>1600000</v>
      </c>
      <c r="BH13" s="300">
        <v>1439250</v>
      </c>
      <c r="BI13" s="300">
        <v>1500000</v>
      </c>
      <c r="BJ13" s="300">
        <v>1245140</v>
      </c>
      <c r="BK13" s="300">
        <v>1300000</v>
      </c>
      <c r="BL13" s="266">
        <v>1414050</v>
      </c>
      <c r="BM13" s="266">
        <v>1500000</v>
      </c>
      <c r="BN13" s="266">
        <v>1467040</v>
      </c>
      <c r="BO13" s="266">
        <v>1600000</v>
      </c>
      <c r="BP13" s="266">
        <v>1558730</v>
      </c>
      <c r="BQ13" s="266">
        <v>1700000</v>
      </c>
      <c r="BR13" s="266">
        <v>1808040</v>
      </c>
      <c r="BS13" s="266">
        <v>1900000</v>
      </c>
      <c r="BT13" s="266">
        <v>1243190</v>
      </c>
      <c r="BU13" s="266">
        <v>1300000</v>
      </c>
      <c r="BV13" s="266">
        <v>1836030</v>
      </c>
      <c r="BW13" s="266">
        <v>2100000</v>
      </c>
      <c r="BX13" s="266">
        <v>2200000</v>
      </c>
      <c r="BY13" s="266">
        <v>2300000</v>
      </c>
      <c r="BZ13" s="266">
        <v>2200000</v>
      </c>
      <c r="CA13" s="266">
        <v>2300000</v>
      </c>
      <c r="CB13" s="266">
        <v>2400000</v>
      </c>
      <c r="CC13" s="266">
        <v>2500000</v>
      </c>
      <c r="CD13" s="311">
        <v>3100000</v>
      </c>
      <c r="CE13" s="311">
        <v>3200000</v>
      </c>
      <c r="CF13" s="311">
        <v>1500000</v>
      </c>
      <c r="CG13" s="311">
        <v>1600000</v>
      </c>
      <c r="CH13" s="311">
        <v>2400000</v>
      </c>
      <c r="CI13" s="311">
        <v>2400000</v>
      </c>
      <c r="CJ13" s="311">
        <v>2000000</v>
      </c>
      <c r="CK13" s="311">
        <v>2100000</v>
      </c>
      <c r="CL13" s="311">
        <v>1600000</v>
      </c>
      <c r="CM13" s="311">
        <v>1600000</v>
      </c>
      <c r="CN13" s="311">
        <v>2400000</v>
      </c>
      <c r="CO13" s="311">
        <v>2400000</v>
      </c>
      <c r="CP13" s="311">
        <v>2600000</v>
      </c>
      <c r="CQ13" s="311">
        <v>2700000</v>
      </c>
      <c r="CR13" s="311">
        <v>3600000</v>
      </c>
      <c r="CS13" s="258">
        <v>3800000</v>
      </c>
      <c r="CT13" s="258">
        <v>3100000</v>
      </c>
      <c r="CU13" s="258">
        <v>3300000</v>
      </c>
      <c r="CV13" s="258">
        <v>2400000</v>
      </c>
      <c r="CW13" s="258">
        <v>2500000</v>
      </c>
      <c r="CX13" s="266">
        <f t="shared" si="0"/>
        <v>-700000</v>
      </c>
      <c r="CY13" s="266">
        <f t="shared" si="1"/>
        <v>-800000</v>
      </c>
      <c r="DA13" s="301" t="s">
        <v>4760</v>
      </c>
      <c r="DB13" s="258">
        <v>2400000</v>
      </c>
      <c r="DC13" s="258">
        <f t="shared" si="33"/>
        <v>1</v>
      </c>
    </row>
    <row r="14" spans="1:107">
      <c r="A14" s="302" t="s">
        <v>4739</v>
      </c>
      <c r="B14" s="264" t="s">
        <v>4755</v>
      </c>
      <c r="C14" s="264">
        <v>2</v>
      </c>
      <c r="D14" s="265" t="s">
        <v>4761</v>
      </c>
      <c r="E14" s="304">
        <f t="shared" si="3"/>
        <v>0.0192122613215314</v>
      </c>
      <c r="F14" s="304">
        <f t="shared" si="4"/>
        <v>0.0167356310021078</v>
      </c>
      <c r="G14" s="304">
        <f t="shared" si="5"/>
        <v>0.0171814584390351</v>
      </c>
      <c r="H14" s="304">
        <f t="shared" si="6"/>
        <v>0.0184382519981871</v>
      </c>
      <c r="I14" s="304">
        <f t="shared" si="18"/>
        <v>0.0147737557335551</v>
      </c>
      <c r="J14" s="304">
        <f t="shared" si="7"/>
        <v>0.0176689595805182</v>
      </c>
      <c r="K14" s="304">
        <f t="shared" si="8"/>
        <v>0.0167006379813849</v>
      </c>
      <c r="L14" s="304">
        <f t="shared" si="9"/>
        <v>0.0106831847358716</v>
      </c>
      <c r="M14" s="304">
        <f t="shared" si="10"/>
        <v>0.00997862998057996</v>
      </c>
      <c r="N14" s="304">
        <f t="shared" si="11"/>
        <v>0.00948203327090058</v>
      </c>
      <c r="O14" s="304">
        <f t="shared" si="12"/>
        <v>0.00910475162307454</v>
      </c>
      <c r="P14" s="304">
        <f t="shared" si="13"/>
        <v>0.00868434254781916</v>
      </c>
      <c r="Q14" s="304">
        <v>0.00764660941552877</v>
      </c>
      <c r="R14" s="304">
        <f t="shared" si="14"/>
        <v>0.0100664455858452</v>
      </c>
      <c r="S14" s="304">
        <f t="shared" si="15"/>
        <v>0.00958203253832457</v>
      </c>
      <c r="T14" s="304">
        <v>0.00924130811546219</v>
      </c>
      <c r="U14" s="304">
        <v>0.0112101340717093</v>
      </c>
      <c r="V14" s="304">
        <v>0.0106110404266658</v>
      </c>
      <c r="W14" s="304">
        <v>0.0106110404266658</v>
      </c>
      <c r="X14" s="304">
        <f t="shared" si="16"/>
        <v>0.012681025780119</v>
      </c>
      <c r="Y14" s="304">
        <f t="shared" si="19"/>
        <v>0.008901700744108</v>
      </c>
      <c r="Z14" s="304">
        <f t="shared" si="20"/>
        <v>0.0186235879201678</v>
      </c>
      <c r="AA14" s="304">
        <f t="shared" si="21"/>
        <v>0.00888414349991641</v>
      </c>
      <c r="AB14" s="304">
        <f t="shared" si="22"/>
        <v>0.0084186551274967</v>
      </c>
      <c r="AC14" s="304">
        <f t="shared" si="17"/>
        <v>0.0122017435508054</v>
      </c>
      <c r="AD14" s="304">
        <f t="shared" si="23"/>
        <v>0.00920593690640946</v>
      </c>
      <c r="AE14" s="304">
        <f t="shared" si="24"/>
        <v>0.0078898114196999</v>
      </c>
      <c r="AF14" s="303">
        <f t="shared" si="25"/>
        <v>-0.00131612548670956</v>
      </c>
      <c r="AG14" s="303">
        <f t="shared" si="26"/>
        <v>0.00603953140400785</v>
      </c>
      <c r="AH14" s="303">
        <f t="shared" si="27"/>
        <v>0.00617423582470817</v>
      </c>
      <c r="AI14" s="303">
        <f t="shared" si="28"/>
        <v>0.00903898120041699</v>
      </c>
      <c r="AJ14" s="303">
        <f t="shared" si="29"/>
        <v>0.00737454479700422</v>
      </c>
      <c r="AK14" s="303">
        <f t="shared" si="30"/>
        <v>-0.00166443640341277</v>
      </c>
      <c r="AL14" s="304">
        <f t="shared" si="31"/>
        <v>-0.00166443640341277</v>
      </c>
      <c r="AM14" s="304">
        <f t="shared" si="32"/>
        <v>-0.166666666666667</v>
      </c>
      <c r="AN14" s="299">
        <v>3600000</v>
      </c>
      <c r="AO14" s="299">
        <v>3600000</v>
      </c>
      <c r="AP14" s="299">
        <v>2944500</v>
      </c>
      <c r="AQ14" s="299">
        <v>3000000</v>
      </c>
      <c r="AR14" s="300">
        <v>3050090</v>
      </c>
      <c r="AS14" s="300">
        <v>3100000</v>
      </c>
      <c r="AT14" s="300">
        <v>3121600</v>
      </c>
      <c r="AU14" s="300">
        <v>3200000</v>
      </c>
      <c r="AV14" s="300">
        <v>2501200</v>
      </c>
      <c r="AW14" s="300">
        <v>2600000</v>
      </c>
      <c r="AX14" s="300">
        <v>2492620</v>
      </c>
      <c r="AY14" s="300">
        <v>2600000</v>
      </c>
      <c r="AZ14" s="300">
        <v>2199720</v>
      </c>
      <c r="BA14" s="300">
        <v>2300000</v>
      </c>
      <c r="BB14" s="300">
        <v>1466400</v>
      </c>
      <c r="BC14" s="300">
        <v>1600000</v>
      </c>
      <c r="BD14" s="300">
        <v>1285620</v>
      </c>
      <c r="BE14" s="300">
        <v>1400000</v>
      </c>
      <c r="BF14" s="300">
        <v>1170520</v>
      </c>
      <c r="BG14" s="300">
        <v>1300000</v>
      </c>
      <c r="BH14" s="300">
        <v>1060800</v>
      </c>
      <c r="BI14" s="300">
        <v>1200000</v>
      </c>
      <c r="BJ14" s="300">
        <v>991320</v>
      </c>
      <c r="BK14" s="300">
        <v>1100000</v>
      </c>
      <c r="BL14" s="266">
        <v>1107340</v>
      </c>
      <c r="BM14" s="266">
        <v>1300000</v>
      </c>
      <c r="BN14" s="266">
        <v>1260560</v>
      </c>
      <c r="BO14" s="266">
        <v>1400000</v>
      </c>
      <c r="BP14" s="266">
        <v>1260560</v>
      </c>
      <c r="BQ14" s="266">
        <v>1400000</v>
      </c>
      <c r="BR14" s="266">
        <v>1118520</v>
      </c>
      <c r="BS14" s="266">
        <v>1300000</v>
      </c>
      <c r="BT14" s="266">
        <v>1261120</v>
      </c>
      <c r="BU14" s="266">
        <v>1400000</v>
      </c>
      <c r="BV14" s="266">
        <v>1365300</v>
      </c>
      <c r="BW14" s="266">
        <v>1500000</v>
      </c>
      <c r="BX14" s="266">
        <v>2000000</v>
      </c>
      <c r="BY14" s="266">
        <v>2100000</v>
      </c>
      <c r="BZ14" s="266">
        <v>2000000</v>
      </c>
      <c r="CA14" s="266">
        <v>2100000</v>
      </c>
      <c r="CB14" s="266">
        <v>1200000</v>
      </c>
      <c r="CC14" s="266">
        <v>1300000</v>
      </c>
      <c r="CD14" s="311">
        <v>2600000</v>
      </c>
      <c r="CE14" s="311">
        <v>2600000</v>
      </c>
      <c r="CF14" s="311">
        <v>1100000</v>
      </c>
      <c r="CG14" s="311">
        <v>1100000</v>
      </c>
      <c r="CH14" s="311">
        <v>1100000</v>
      </c>
      <c r="CI14" s="311">
        <v>1200000</v>
      </c>
      <c r="CJ14" s="311">
        <v>1900000</v>
      </c>
      <c r="CK14" s="311">
        <v>2000000</v>
      </c>
      <c r="CL14" s="311">
        <v>1600000</v>
      </c>
      <c r="CM14" s="311">
        <v>1600000</v>
      </c>
      <c r="CN14" s="311">
        <v>1200000</v>
      </c>
      <c r="CO14" s="311">
        <v>1300000</v>
      </c>
      <c r="CP14" s="311">
        <v>961000</v>
      </c>
      <c r="CQ14" s="311">
        <v>1000000</v>
      </c>
      <c r="CR14" s="311">
        <v>956500</v>
      </c>
      <c r="CS14" s="258">
        <v>1000000</v>
      </c>
      <c r="CT14" s="258">
        <v>1400000</v>
      </c>
      <c r="CU14" s="258">
        <v>1500000</v>
      </c>
      <c r="CV14" s="258">
        <v>1200000</v>
      </c>
      <c r="CW14" s="258">
        <v>1300000</v>
      </c>
      <c r="CX14" s="266">
        <f t="shared" si="0"/>
        <v>-200000</v>
      </c>
      <c r="CY14" s="266">
        <f t="shared" si="1"/>
        <v>-200000</v>
      </c>
      <c r="DA14" s="301" t="s">
        <v>4761</v>
      </c>
      <c r="DB14" s="258">
        <v>0</v>
      </c>
      <c r="DC14" s="258">
        <f t="shared" si="33"/>
        <v>1</v>
      </c>
    </row>
    <row r="15" spans="1:107">
      <c r="A15" s="302" t="s">
        <v>4739</v>
      </c>
      <c r="B15" s="264" t="s">
        <v>4762</v>
      </c>
      <c r="C15" s="264">
        <v>2</v>
      </c>
      <c r="D15" s="265" t="s">
        <v>4763</v>
      </c>
      <c r="E15" s="304">
        <f t="shared" si="3"/>
        <v>0.017077565619139</v>
      </c>
      <c r="F15" s="304">
        <f t="shared" si="4"/>
        <v>0.0174062498175055</v>
      </c>
      <c r="G15" s="304">
        <f t="shared" si="5"/>
        <v>0.0170138174175749</v>
      </c>
      <c r="H15" s="304">
        <f t="shared" si="6"/>
        <v>0.0162608182409434</v>
      </c>
      <c r="I15" s="304">
        <f t="shared" si="18"/>
        <v>0.0121918924804389</v>
      </c>
      <c r="J15" s="304">
        <f t="shared" si="7"/>
        <v>0.0146283435973105</v>
      </c>
      <c r="K15" s="304">
        <f t="shared" si="8"/>
        <v>0.0164054545922644</v>
      </c>
      <c r="L15" s="304">
        <f t="shared" si="9"/>
        <v>0.00648617890165105</v>
      </c>
      <c r="M15" s="304">
        <f t="shared" si="10"/>
        <v>0.00968259775685964</v>
      </c>
      <c r="N15" s="304">
        <f t="shared" si="11"/>
        <v>0.00661535697839272</v>
      </c>
      <c r="O15" s="304">
        <f t="shared" si="12"/>
        <v>0.00763601785970213</v>
      </c>
      <c r="P15" s="304">
        <f t="shared" si="13"/>
        <v>0.00624053787600274</v>
      </c>
      <c r="Q15" s="304">
        <v>0.00515450989237689</v>
      </c>
      <c r="R15" s="304">
        <f t="shared" si="14"/>
        <v>0.004245351254282</v>
      </c>
      <c r="S15" s="304">
        <f t="shared" si="15"/>
        <v>0.00529154870141578</v>
      </c>
      <c r="T15" s="304">
        <v>0.0110973030507851</v>
      </c>
      <c r="U15" s="304">
        <v>0.0120414361986966</v>
      </c>
      <c r="V15" s="304">
        <v>0.00826531112059659</v>
      </c>
      <c r="W15" s="304">
        <v>0.00826531112059659</v>
      </c>
      <c r="X15" s="304">
        <f t="shared" si="16"/>
        <v>0.00905787555722786</v>
      </c>
      <c r="Y15" s="304">
        <f t="shared" si="19"/>
        <v>0.0103853175347927</v>
      </c>
      <c r="Z15" s="304">
        <f t="shared" si="20"/>
        <v>0.0136095450185842</v>
      </c>
      <c r="AA15" s="304">
        <f t="shared" si="21"/>
        <v>0.0113070917271663</v>
      </c>
      <c r="AB15" s="304">
        <f t="shared" si="22"/>
        <v>0.0114799842647682</v>
      </c>
      <c r="AC15" s="304">
        <f t="shared" si="17"/>
        <v>0.00899075840585659</v>
      </c>
      <c r="AD15" s="304">
        <f t="shared" si="23"/>
        <v>0.00920593690640946</v>
      </c>
      <c r="AE15" s="304">
        <f t="shared" si="24"/>
        <v>0.0078898114196999</v>
      </c>
      <c r="AF15" s="303">
        <f t="shared" si="25"/>
        <v>-0.00131612548670956</v>
      </c>
      <c r="AG15" s="303">
        <f t="shared" si="26"/>
        <v>0.00879848487576586</v>
      </c>
      <c r="AH15" s="303">
        <f t="shared" si="27"/>
        <v>0.0129100592257359</v>
      </c>
      <c r="AI15" s="303">
        <f t="shared" si="28"/>
        <v>0.00903898120041699</v>
      </c>
      <c r="AJ15" s="303">
        <f t="shared" si="29"/>
        <v>0.00983272639600563</v>
      </c>
      <c r="AK15" s="303">
        <f t="shared" si="30"/>
        <v>0.000793745195588641</v>
      </c>
      <c r="AL15" s="304">
        <f t="shared" si="31"/>
        <v>0.000793745195588641</v>
      </c>
      <c r="AM15" s="304">
        <f t="shared" si="32"/>
        <v>0.125</v>
      </c>
      <c r="AN15" s="299">
        <v>3200000</v>
      </c>
      <c r="AO15" s="299">
        <v>3300000</v>
      </c>
      <c r="AP15" s="299">
        <v>3062490</v>
      </c>
      <c r="AQ15" s="299">
        <v>3100000</v>
      </c>
      <c r="AR15" s="300">
        <v>3020330</v>
      </c>
      <c r="AS15" s="300">
        <v>3100000</v>
      </c>
      <c r="AT15" s="300">
        <v>2752960</v>
      </c>
      <c r="AU15" s="300">
        <v>2800000</v>
      </c>
      <c r="AV15" s="300">
        <v>2064090</v>
      </c>
      <c r="AW15" s="300">
        <v>2100000</v>
      </c>
      <c r="AX15" s="300">
        <v>2063670</v>
      </c>
      <c r="AY15" s="300">
        <v>2100000</v>
      </c>
      <c r="AZ15" s="300">
        <v>2160840</v>
      </c>
      <c r="BA15" s="300">
        <v>2200000</v>
      </c>
      <c r="BB15" s="300">
        <v>890308.74</v>
      </c>
      <c r="BC15" s="300">
        <v>924900</v>
      </c>
      <c r="BD15" s="300">
        <v>1247480</v>
      </c>
      <c r="BE15" s="300">
        <v>1300000</v>
      </c>
      <c r="BF15" s="300">
        <v>816640</v>
      </c>
      <c r="BG15" s="300">
        <v>1600000</v>
      </c>
      <c r="BH15" s="300">
        <v>889676.96</v>
      </c>
      <c r="BI15" s="300">
        <v>966200</v>
      </c>
      <c r="BJ15" s="300">
        <v>712359.05</v>
      </c>
      <c r="BK15" s="300">
        <v>741500</v>
      </c>
      <c r="BL15" s="266">
        <v>831805.08</v>
      </c>
      <c r="BM15" s="266">
        <v>875400</v>
      </c>
      <c r="BN15" s="266">
        <v>531619.62</v>
      </c>
      <c r="BO15" s="266">
        <v>644700</v>
      </c>
      <c r="BP15" s="266">
        <v>696127.32</v>
      </c>
      <c r="BQ15" s="266">
        <v>844200</v>
      </c>
      <c r="BR15" s="266">
        <v>1343160</v>
      </c>
      <c r="BS15" s="266">
        <v>1400000</v>
      </c>
      <c r="BT15" s="266">
        <v>1354640</v>
      </c>
      <c r="BU15" s="266">
        <v>1400000</v>
      </c>
      <c r="BV15" s="266">
        <v>1063480</v>
      </c>
      <c r="BW15" s="266">
        <v>1100000</v>
      </c>
      <c r="BX15" s="266">
        <v>1500000</v>
      </c>
      <c r="BY15" s="266">
        <v>1500000</v>
      </c>
      <c r="BZ15" s="266">
        <v>1500000</v>
      </c>
      <c r="CA15" s="266">
        <v>1500000</v>
      </c>
      <c r="CB15" s="266">
        <v>1400000</v>
      </c>
      <c r="CC15" s="266">
        <v>1500000</v>
      </c>
      <c r="CD15" s="311">
        <v>1900000</v>
      </c>
      <c r="CE15" s="311">
        <v>1900000</v>
      </c>
      <c r="CF15" s="311">
        <v>1400000</v>
      </c>
      <c r="CG15" s="311">
        <v>1500000</v>
      </c>
      <c r="CH15" s="311">
        <v>1500000</v>
      </c>
      <c r="CI15" s="311">
        <v>1500000</v>
      </c>
      <c r="CJ15" s="311">
        <v>1400000</v>
      </c>
      <c r="CK15" s="311">
        <v>1400000</v>
      </c>
      <c r="CL15" s="311">
        <v>1600000</v>
      </c>
      <c r="CM15" s="311">
        <v>1500000</v>
      </c>
      <c r="CN15" s="311">
        <v>1200000</v>
      </c>
      <c r="CO15" s="311">
        <v>1400000</v>
      </c>
      <c r="CP15" s="311">
        <v>1400000</v>
      </c>
      <c r="CQ15" s="311">
        <v>1500000</v>
      </c>
      <c r="CR15" s="311">
        <v>2000000</v>
      </c>
      <c r="CS15" s="258">
        <v>2100000</v>
      </c>
      <c r="CT15" s="258">
        <v>1400000</v>
      </c>
      <c r="CU15" s="258">
        <v>1500000</v>
      </c>
      <c r="CV15" s="258">
        <v>1600000</v>
      </c>
      <c r="CW15" s="258">
        <v>1700000</v>
      </c>
      <c r="CX15" s="266">
        <f t="shared" si="0"/>
        <v>200000</v>
      </c>
      <c r="CY15" s="266">
        <f t="shared" si="1"/>
        <v>200000</v>
      </c>
      <c r="DA15" s="301" t="s">
        <v>4763</v>
      </c>
      <c r="DB15" s="258">
        <v>1600000</v>
      </c>
      <c r="DC15" s="258">
        <f t="shared" si="33"/>
        <v>1</v>
      </c>
    </row>
    <row r="16" spans="1:107">
      <c r="A16" s="302" t="s">
        <v>4739</v>
      </c>
      <c r="B16" s="264" t="s">
        <v>4751</v>
      </c>
      <c r="C16" s="264">
        <v>2</v>
      </c>
      <c r="D16" s="258" t="s">
        <v>4764</v>
      </c>
      <c r="E16" s="304">
        <f t="shared" si="3"/>
        <v>0.0154765438423447</v>
      </c>
      <c r="F16" s="304">
        <f t="shared" si="4"/>
        <v>0.0152695794956776</v>
      </c>
      <c r="G16" s="304">
        <f t="shared" si="5"/>
        <v>0.0159433596451256</v>
      </c>
      <c r="H16" s="304">
        <f t="shared" si="6"/>
        <v>0.0130348329413119</v>
      </c>
      <c r="I16" s="304">
        <f t="shared" si="18"/>
        <v>0.00862089875589249</v>
      </c>
      <c r="J16" s="304">
        <f t="shared" si="7"/>
        <v>0.0124755633802684</v>
      </c>
      <c r="K16" s="304">
        <f t="shared" si="8"/>
        <v>0.0118638212750856</v>
      </c>
      <c r="L16" s="304">
        <f t="shared" si="9"/>
        <v>0.0174094239197511</v>
      </c>
      <c r="M16" s="304">
        <f t="shared" si="10"/>
        <v>0.0117791951420545</v>
      </c>
      <c r="N16" s="304">
        <f t="shared" si="11"/>
        <v>0.0122262269547764</v>
      </c>
      <c r="O16" s="304">
        <f t="shared" si="12"/>
        <v>0.0118332589203741</v>
      </c>
      <c r="P16" s="304">
        <f t="shared" si="13"/>
        <v>0.0110012885562193</v>
      </c>
      <c r="Q16" s="304">
        <v>0.009036902036534</v>
      </c>
      <c r="R16" s="304">
        <f t="shared" si="14"/>
        <v>0.0136221553985899</v>
      </c>
      <c r="S16" s="304">
        <f t="shared" si="15"/>
        <v>0.00955436340838272</v>
      </c>
      <c r="T16" s="304">
        <v>0.0122278868602117</v>
      </c>
      <c r="U16" s="304">
        <v>0.0115201834535454</v>
      </c>
      <c r="V16" s="304">
        <v>0.015619283633978</v>
      </c>
      <c r="W16" s="304">
        <v>0.015619283633978</v>
      </c>
      <c r="X16" s="304">
        <f t="shared" si="16"/>
        <v>0.0132848841506009</v>
      </c>
      <c r="Y16" s="304">
        <f t="shared" si="19"/>
        <v>0.0163197846975313</v>
      </c>
      <c r="Z16" s="304">
        <f t="shared" si="20"/>
        <v>0.0114606694893341</v>
      </c>
      <c r="AA16" s="304">
        <f t="shared" si="21"/>
        <v>0.0169606375907495</v>
      </c>
      <c r="AB16" s="304">
        <f t="shared" si="22"/>
        <v>0.0214293039609007</v>
      </c>
      <c r="AC16" s="304">
        <f t="shared" si="17"/>
        <v>0.0179815168117132</v>
      </c>
      <c r="AD16" s="304">
        <f t="shared" si="23"/>
        <v>0.0212887290960719</v>
      </c>
      <c r="AE16" s="304">
        <f t="shared" si="24"/>
        <v>0.0170945914093498</v>
      </c>
      <c r="AF16" s="303">
        <f t="shared" si="25"/>
        <v>-0.00419413768672212</v>
      </c>
      <c r="AG16" s="303">
        <f t="shared" si="26"/>
        <v>0.0238816018056502</v>
      </c>
      <c r="AH16" s="303">
        <f t="shared" si="27"/>
        <v>0.0225926036450377</v>
      </c>
      <c r="AI16" s="303">
        <f t="shared" si="28"/>
        <v>0.024534377543989</v>
      </c>
      <c r="AJ16" s="303">
        <f t="shared" si="29"/>
        <v>0.0184363619925106</v>
      </c>
      <c r="AK16" s="303">
        <f t="shared" si="30"/>
        <v>-0.00609801555147844</v>
      </c>
      <c r="AL16" s="304">
        <f t="shared" si="31"/>
        <v>-0.00609801555147844</v>
      </c>
      <c r="AM16" s="304">
        <f t="shared" si="32"/>
        <v>-0.266666666666667</v>
      </c>
      <c r="AN16" s="299">
        <v>2900000</v>
      </c>
      <c r="AO16" s="299">
        <v>3100000</v>
      </c>
      <c r="AP16" s="299">
        <v>2686560</v>
      </c>
      <c r="AQ16" s="299">
        <v>2900000</v>
      </c>
      <c r="AR16" s="300">
        <v>2830300</v>
      </c>
      <c r="AS16" s="300">
        <v>3100000</v>
      </c>
      <c r="AT16" s="300">
        <v>2206800</v>
      </c>
      <c r="AU16" s="300">
        <v>2400000</v>
      </c>
      <c r="AV16" s="300">
        <v>1459520</v>
      </c>
      <c r="AW16" s="300">
        <v>1600000</v>
      </c>
      <c r="AX16" s="300">
        <v>1759970</v>
      </c>
      <c r="AY16" s="300">
        <v>1900000</v>
      </c>
      <c r="AZ16" s="300">
        <v>1562640</v>
      </c>
      <c r="BA16" s="300">
        <v>1700000</v>
      </c>
      <c r="BB16" s="300">
        <v>2389660</v>
      </c>
      <c r="BC16" s="300">
        <v>2600000</v>
      </c>
      <c r="BD16" s="300">
        <v>1517600</v>
      </c>
      <c r="BE16" s="300">
        <v>1600000</v>
      </c>
      <c r="BF16" s="300">
        <v>1509280</v>
      </c>
      <c r="BG16" s="300">
        <v>1600000</v>
      </c>
      <c r="BH16" s="300">
        <v>1378700</v>
      </c>
      <c r="BI16" s="300">
        <v>1700000</v>
      </c>
      <c r="BJ16" s="300">
        <v>1255800</v>
      </c>
      <c r="BK16" s="300">
        <v>1300000</v>
      </c>
      <c r="BL16" s="266">
        <v>1541050</v>
      </c>
      <c r="BM16" s="266">
        <v>1700000</v>
      </c>
      <c r="BN16" s="266">
        <v>1705820</v>
      </c>
      <c r="BO16" s="266">
        <v>1900000</v>
      </c>
      <c r="BP16" s="266">
        <v>1256920</v>
      </c>
      <c r="BQ16" s="266">
        <v>1400000</v>
      </c>
      <c r="BR16" s="266">
        <v>1480000</v>
      </c>
      <c r="BS16" s="266">
        <v>1600000</v>
      </c>
      <c r="BT16" s="266">
        <v>1296000</v>
      </c>
      <c r="BU16" s="266">
        <v>1500000</v>
      </c>
      <c r="BV16" s="266">
        <v>2009700</v>
      </c>
      <c r="BW16" s="266">
        <v>2200000</v>
      </c>
      <c r="BX16" s="266">
        <v>2000000</v>
      </c>
      <c r="BY16" s="266">
        <v>2200000</v>
      </c>
      <c r="BZ16" s="266">
        <v>2000000</v>
      </c>
      <c r="CA16" s="266">
        <v>2200000</v>
      </c>
      <c r="CB16" s="266">
        <v>2200000</v>
      </c>
      <c r="CC16" s="266">
        <v>2400000</v>
      </c>
      <c r="CD16" s="311">
        <v>1600000</v>
      </c>
      <c r="CE16" s="311">
        <v>1800000</v>
      </c>
      <c r="CF16" s="311">
        <v>2100000</v>
      </c>
      <c r="CG16" s="311">
        <v>2200000</v>
      </c>
      <c r="CH16" s="311">
        <v>2800000</v>
      </c>
      <c r="CI16" s="311">
        <v>2900000</v>
      </c>
      <c r="CJ16" s="311">
        <v>2800000</v>
      </c>
      <c r="CK16" s="311">
        <v>2900000</v>
      </c>
      <c r="CL16" s="311">
        <v>3700000</v>
      </c>
      <c r="CM16" s="311">
        <v>3500000</v>
      </c>
      <c r="CN16" s="311">
        <v>2600000</v>
      </c>
      <c r="CO16" s="311">
        <v>2800000</v>
      </c>
      <c r="CP16" s="311">
        <v>3800000</v>
      </c>
      <c r="CQ16" s="311">
        <v>4000000</v>
      </c>
      <c r="CR16" s="311">
        <v>3500000</v>
      </c>
      <c r="CS16" s="258">
        <v>3700000</v>
      </c>
      <c r="CT16" s="258">
        <v>3800000</v>
      </c>
      <c r="CU16" s="258">
        <v>4000000</v>
      </c>
      <c r="CV16" s="258">
        <v>3000000</v>
      </c>
      <c r="CW16" s="258">
        <v>3200000</v>
      </c>
      <c r="CX16" s="266">
        <f t="shared" si="0"/>
        <v>-800000</v>
      </c>
      <c r="CY16" s="266">
        <f t="shared" si="1"/>
        <v>-800000</v>
      </c>
      <c r="DA16" s="301" t="s">
        <v>4764</v>
      </c>
      <c r="DB16" s="258">
        <v>3000000</v>
      </c>
      <c r="DC16" s="258">
        <f t="shared" si="33"/>
        <v>1</v>
      </c>
    </row>
    <row r="17" spans="1:107">
      <c r="A17" s="302" t="s">
        <v>4739</v>
      </c>
      <c r="B17" s="264" t="s">
        <v>4753</v>
      </c>
      <c r="C17" s="264">
        <v>2</v>
      </c>
      <c r="D17" s="305" t="s">
        <v>4765</v>
      </c>
      <c r="E17" s="304">
        <f t="shared" si="3"/>
        <v>0.0149428699167466</v>
      </c>
      <c r="F17" s="304">
        <f t="shared" si="4"/>
        <v>0.0129901916685133</v>
      </c>
      <c r="G17" s="304">
        <f t="shared" si="5"/>
        <v>0.0112557764459272</v>
      </c>
      <c r="H17" s="304">
        <f t="shared" si="6"/>
        <v>0.0135423337779611</v>
      </c>
      <c r="I17" s="304">
        <f t="shared" si="18"/>
        <v>0.0096587592308417</v>
      </c>
      <c r="J17" s="304">
        <f t="shared" si="7"/>
        <v>0.0114889137970939</v>
      </c>
      <c r="K17" s="304">
        <f t="shared" si="8"/>
        <v>0.0102846508806136</v>
      </c>
      <c r="L17" s="304">
        <f t="shared" si="9"/>
        <v>0.00834197616609551</v>
      </c>
      <c r="M17" s="304">
        <f t="shared" si="10"/>
        <v>0.00714205759555575</v>
      </c>
      <c r="N17" s="304">
        <f t="shared" si="11"/>
        <v>0.00635330867750505</v>
      </c>
      <c r="O17" s="304">
        <f t="shared" si="12"/>
        <v>0.00619661430525365</v>
      </c>
      <c r="P17" s="304">
        <f t="shared" si="13"/>
        <v>0.00620588416746595</v>
      </c>
      <c r="Q17" s="304">
        <v>0.0052365371570162</v>
      </c>
      <c r="R17" s="304">
        <f t="shared" si="14"/>
        <v>0.0155792891202525</v>
      </c>
      <c r="S17" s="304">
        <f t="shared" si="15"/>
        <v>0.00524473146935686</v>
      </c>
      <c r="T17" s="304">
        <v>0.00965573433499477</v>
      </c>
      <c r="U17" s="304">
        <v>0.0062920851762979</v>
      </c>
      <c r="V17" s="304">
        <v>0.0052072096582289</v>
      </c>
      <c r="W17" s="304">
        <v>0.0052072096582289</v>
      </c>
      <c r="X17" s="304">
        <f t="shared" si="16"/>
        <v>0.0453074935372538</v>
      </c>
      <c r="Y17" s="304">
        <f t="shared" si="19"/>
        <v>0.00370904197671167</v>
      </c>
      <c r="Z17" s="304">
        <f t="shared" si="20"/>
        <v>0.0039646753514665</v>
      </c>
      <c r="AA17" s="304">
        <f t="shared" si="21"/>
        <v>0.0035811174798754</v>
      </c>
      <c r="AB17" s="304">
        <f t="shared" si="22"/>
        <v>0.00218119701030596</v>
      </c>
      <c r="AC17" s="304">
        <f t="shared" si="17"/>
        <v>0.00196512290870865</v>
      </c>
      <c r="AD17" s="304">
        <f t="shared" si="23"/>
        <v>0.00128365282738747</v>
      </c>
      <c r="AE17" s="304">
        <f t="shared" si="24"/>
        <v>0.00035701396674142</v>
      </c>
      <c r="AF17" s="303">
        <f t="shared" si="25"/>
        <v>-0.00092663886064605</v>
      </c>
      <c r="AG17" s="303">
        <f t="shared" si="26"/>
        <v>0.000172198918282846</v>
      </c>
      <c r="AH17" s="303">
        <f t="shared" si="27"/>
        <v>0.000363418167204464</v>
      </c>
      <c r="AI17" s="303">
        <f t="shared" si="28"/>
        <v>0.000335087945929744</v>
      </c>
      <c r="AJ17" s="303">
        <f t="shared" si="29"/>
        <v>0.00120205080191169</v>
      </c>
      <c r="AK17" s="303">
        <f t="shared" si="30"/>
        <v>0.000866962855981944</v>
      </c>
      <c r="AL17" s="304">
        <f t="shared" si="31"/>
        <v>0.000866962855981944</v>
      </c>
      <c r="AM17" s="304">
        <f t="shared" si="32"/>
        <v>0.734662576687117</v>
      </c>
      <c r="AN17" s="299">
        <v>2800000</v>
      </c>
      <c r="AO17" s="299">
        <v>2900000</v>
      </c>
      <c r="AP17" s="299">
        <v>2285520</v>
      </c>
      <c r="AQ17" s="299">
        <v>2400000</v>
      </c>
      <c r="AR17" s="300">
        <v>1998150</v>
      </c>
      <c r="AS17" s="300">
        <v>2100000</v>
      </c>
      <c r="AT17" s="300">
        <v>2292720</v>
      </c>
      <c r="AU17" s="300">
        <v>2400000</v>
      </c>
      <c r="AV17" s="300">
        <v>1635230</v>
      </c>
      <c r="AW17" s="300">
        <v>1700000</v>
      </c>
      <c r="AX17" s="300">
        <v>1620780</v>
      </c>
      <c r="AY17" s="300">
        <v>1700000</v>
      </c>
      <c r="AZ17" s="300">
        <v>1354640</v>
      </c>
      <c r="BA17" s="300">
        <v>1400000</v>
      </c>
      <c r="BB17" s="300">
        <v>1145040</v>
      </c>
      <c r="BC17" s="300">
        <v>1200000</v>
      </c>
      <c r="BD17" s="300">
        <v>920163.6</v>
      </c>
      <c r="BE17" s="300">
        <v>987300</v>
      </c>
      <c r="BF17" s="300">
        <v>784291.16</v>
      </c>
      <c r="BG17" s="300">
        <v>833200</v>
      </c>
      <c r="BH17" s="300">
        <v>721971.2</v>
      </c>
      <c r="BI17" s="300">
        <v>755200</v>
      </c>
      <c r="BJ17" s="300">
        <v>708403.32</v>
      </c>
      <c r="BK17" s="300">
        <v>753300</v>
      </c>
      <c r="BL17" s="266">
        <v>723647.27</v>
      </c>
      <c r="BM17" s="266">
        <v>774700</v>
      </c>
      <c r="BN17" s="266">
        <v>1950900</v>
      </c>
      <c r="BO17" s="266">
        <v>2100000</v>
      </c>
      <c r="BP17" s="266">
        <v>689968.3</v>
      </c>
      <c r="BQ17" s="266">
        <v>742700</v>
      </c>
      <c r="BR17" s="266">
        <v>1168680</v>
      </c>
      <c r="BS17" s="266">
        <v>1200000</v>
      </c>
      <c r="BT17" s="266">
        <v>707848.31</v>
      </c>
      <c r="BU17" s="266">
        <v>757300</v>
      </c>
      <c r="BV17" s="266">
        <v>670000.59</v>
      </c>
      <c r="BW17" s="266">
        <v>704300</v>
      </c>
      <c r="BX17" s="266">
        <v>724000</v>
      </c>
      <c r="BY17" s="266">
        <v>7503000</v>
      </c>
      <c r="BZ17" s="266">
        <v>724000</v>
      </c>
      <c r="CA17" s="266">
        <v>750300</v>
      </c>
      <c r="CB17" s="266">
        <v>500000</v>
      </c>
      <c r="CC17" s="266">
        <v>544700</v>
      </c>
      <c r="CD17" s="311">
        <v>553500</v>
      </c>
      <c r="CE17" s="311">
        <v>592100</v>
      </c>
      <c r="CF17" s="311">
        <v>443400</v>
      </c>
      <c r="CG17" s="311">
        <v>468400</v>
      </c>
      <c r="CH17" s="311">
        <v>285000</v>
      </c>
      <c r="CI17" s="311">
        <v>318900</v>
      </c>
      <c r="CJ17" s="311">
        <v>306000</v>
      </c>
      <c r="CK17" s="311">
        <v>336500</v>
      </c>
      <c r="CL17" s="311">
        <v>223100</v>
      </c>
      <c r="CM17" s="311">
        <v>219600</v>
      </c>
      <c r="CN17" s="311">
        <v>54300</v>
      </c>
      <c r="CO17" s="311">
        <v>55500</v>
      </c>
      <c r="CP17" s="311">
        <v>27400</v>
      </c>
      <c r="CQ17" s="311">
        <v>29200</v>
      </c>
      <c r="CR17" s="311">
        <v>56300</v>
      </c>
      <c r="CS17" s="258">
        <v>58100</v>
      </c>
      <c r="CT17" s="258">
        <v>51900</v>
      </c>
      <c r="CU17" s="258">
        <v>54000</v>
      </c>
      <c r="CV17" s="258">
        <v>195600</v>
      </c>
      <c r="CW17" s="258">
        <v>196600</v>
      </c>
      <c r="CX17" s="266">
        <f t="shared" si="0"/>
        <v>143700</v>
      </c>
      <c r="CY17" s="266">
        <f t="shared" si="1"/>
        <v>142600</v>
      </c>
      <c r="DA17" s="301" t="s">
        <v>4765</v>
      </c>
      <c r="DB17" s="258">
        <v>195600</v>
      </c>
      <c r="DC17" s="258">
        <f t="shared" si="33"/>
        <v>1</v>
      </c>
    </row>
    <row r="18" spans="1:107">
      <c r="A18" s="302" t="s">
        <v>4739</v>
      </c>
      <c r="B18" s="264" t="s">
        <v>4766</v>
      </c>
      <c r="C18" s="264">
        <v>2</v>
      </c>
      <c r="D18" s="265" t="s">
        <v>4767</v>
      </c>
      <c r="E18" s="304">
        <f t="shared" si="3"/>
        <v>0.0144091959911485</v>
      </c>
      <c r="F18" s="304">
        <f t="shared" si="4"/>
        <v>0.0134205608243902</v>
      </c>
      <c r="G18" s="304">
        <f t="shared" si="5"/>
        <v>0.0127843741469841</v>
      </c>
      <c r="H18" s="304">
        <f t="shared" si="6"/>
        <v>0.0136606443198383</v>
      </c>
      <c r="I18" s="304">
        <f t="shared" si="18"/>
        <v>0.0111164656027768</v>
      </c>
      <c r="J18" s="304">
        <f t="shared" si="7"/>
        <v>0.0139993801838823</v>
      </c>
      <c r="K18" s="304">
        <f t="shared" si="8"/>
        <v>0.014296578820762</v>
      </c>
      <c r="L18" s="304">
        <f t="shared" si="9"/>
        <v>0.0132490723954284</v>
      </c>
      <c r="M18" s="304">
        <f t="shared" si="10"/>
        <v>0.0158936083951197</v>
      </c>
      <c r="N18" s="304">
        <f t="shared" si="11"/>
        <v>0.0142501062497921</v>
      </c>
      <c r="O18" s="304">
        <f t="shared" si="12"/>
        <v>0.0145652852110424</v>
      </c>
      <c r="P18" s="304">
        <f t="shared" si="13"/>
        <v>0.0160630376625925</v>
      </c>
      <c r="Q18" s="304">
        <v>0.0139029262100523</v>
      </c>
      <c r="R18" s="304">
        <f t="shared" si="14"/>
        <v>0.013448546425565</v>
      </c>
      <c r="S18" s="304">
        <f t="shared" si="15"/>
        <v>0.0149349449847675</v>
      </c>
      <c r="T18" s="304">
        <v>0.0146352107753873</v>
      </c>
      <c r="U18" s="304">
        <v>0.0152762432670451</v>
      </c>
      <c r="V18" s="304">
        <v>0.0204144200306998</v>
      </c>
      <c r="W18" s="304">
        <v>0.0204144200306998</v>
      </c>
      <c r="X18" s="304">
        <f t="shared" si="16"/>
        <v>0.012681025780119</v>
      </c>
      <c r="Y18" s="304">
        <f t="shared" si="19"/>
        <v>0.020028826674243</v>
      </c>
      <c r="Z18" s="304">
        <f t="shared" si="20"/>
        <v>0.0214887552925014</v>
      </c>
      <c r="AA18" s="304">
        <f t="shared" si="21"/>
        <v>0.012922390545333</v>
      </c>
      <c r="AB18" s="304">
        <f t="shared" si="22"/>
        <v>0.0107146519804504</v>
      </c>
      <c r="AC18" s="304">
        <f t="shared" si="17"/>
        <v>0.0122017435508054</v>
      </c>
      <c r="AD18" s="304">
        <f t="shared" si="23"/>
        <v>0.0109320500763612</v>
      </c>
      <c r="AE18" s="304">
        <f t="shared" si="24"/>
        <v>0.0118347171295498</v>
      </c>
      <c r="AF18" s="303">
        <f t="shared" si="25"/>
        <v>0.000902667053188647</v>
      </c>
      <c r="AG18" s="303">
        <f t="shared" si="26"/>
        <v>0.0251385282164739</v>
      </c>
      <c r="AH18" s="303">
        <f t="shared" si="27"/>
        <v>0.0180740829160302</v>
      </c>
      <c r="AI18" s="303">
        <f t="shared" si="28"/>
        <v>0.01291283028631</v>
      </c>
      <c r="AJ18" s="303">
        <f t="shared" si="29"/>
        <v>0.0264254521892651</v>
      </c>
      <c r="AK18" s="303">
        <f t="shared" si="30"/>
        <v>0.0135126219029551</v>
      </c>
      <c r="AL18" s="304">
        <f t="shared" si="31"/>
        <v>0.0135126219029551</v>
      </c>
      <c r="AM18" s="304">
        <f t="shared" si="32"/>
        <v>0.534883720930233</v>
      </c>
      <c r="AN18" s="299">
        <v>2700000</v>
      </c>
      <c r="AO18" s="299">
        <v>2900000</v>
      </c>
      <c r="AP18" s="299">
        <v>2361240</v>
      </c>
      <c r="AQ18" s="299">
        <v>2800000</v>
      </c>
      <c r="AR18" s="300">
        <v>2269510</v>
      </c>
      <c r="AS18" s="300">
        <v>3100000</v>
      </c>
      <c r="AT18" s="300">
        <v>2312750</v>
      </c>
      <c r="AU18" s="300">
        <v>2500000</v>
      </c>
      <c r="AV18" s="300">
        <v>1882020</v>
      </c>
      <c r="AW18" s="300">
        <v>2100000</v>
      </c>
      <c r="AX18" s="300">
        <v>1974940</v>
      </c>
      <c r="AY18" s="300">
        <v>2200000</v>
      </c>
      <c r="AZ18" s="300">
        <v>1883070</v>
      </c>
      <c r="BA18" s="300">
        <v>2100000</v>
      </c>
      <c r="BB18" s="300">
        <v>1818600</v>
      </c>
      <c r="BC18" s="300">
        <v>2000000</v>
      </c>
      <c r="BD18" s="300">
        <v>2047690</v>
      </c>
      <c r="BE18" s="300">
        <v>2300000</v>
      </c>
      <c r="BF18" s="300">
        <v>1759120</v>
      </c>
      <c r="BG18" s="300">
        <v>2200000</v>
      </c>
      <c r="BH18" s="300">
        <v>1697010</v>
      </c>
      <c r="BI18" s="300">
        <v>2100000</v>
      </c>
      <c r="BJ18" s="300">
        <v>1833600</v>
      </c>
      <c r="BK18" s="300">
        <v>2000000</v>
      </c>
      <c r="BL18" s="266">
        <v>1853880</v>
      </c>
      <c r="BM18" s="266">
        <v>2100000</v>
      </c>
      <c r="BN18" s="266">
        <v>1684080</v>
      </c>
      <c r="BO18" s="266">
        <v>1800000</v>
      </c>
      <c r="BP18" s="266">
        <v>1964760</v>
      </c>
      <c r="BQ18" s="266">
        <v>2100000</v>
      </c>
      <c r="BR18" s="266">
        <v>1771370</v>
      </c>
      <c r="BS18" s="266">
        <v>1900000</v>
      </c>
      <c r="BT18" s="266">
        <v>1718550</v>
      </c>
      <c r="BU18" s="266">
        <v>1900000</v>
      </c>
      <c r="BV18" s="266">
        <v>2626680</v>
      </c>
      <c r="BW18" s="266">
        <v>2800000</v>
      </c>
      <c r="BX18" s="266">
        <v>2000000</v>
      </c>
      <c r="BY18" s="266">
        <v>2100000</v>
      </c>
      <c r="BZ18" s="266">
        <v>2000000</v>
      </c>
      <c r="CA18" s="266">
        <v>2100000</v>
      </c>
      <c r="CB18" s="266">
        <v>2700000</v>
      </c>
      <c r="CC18" s="266">
        <v>2800000</v>
      </c>
      <c r="CD18" s="311">
        <v>3000000</v>
      </c>
      <c r="CE18" s="311">
        <v>3200000</v>
      </c>
      <c r="CF18" s="311">
        <v>1600000</v>
      </c>
      <c r="CG18" s="311">
        <v>1800000</v>
      </c>
      <c r="CH18" s="311">
        <v>1400000</v>
      </c>
      <c r="CI18" s="311">
        <v>1500000</v>
      </c>
      <c r="CJ18" s="311">
        <v>1900000</v>
      </c>
      <c r="CK18" s="311">
        <v>2100000</v>
      </c>
      <c r="CL18" s="311">
        <v>1900000</v>
      </c>
      <c r="CM18" s="311">
        <v>1700000</v>
      </c>
      <c r="CN18" s="311">
        <v>1800000</v>
      </c>
      <c r="CO18" s="311">
        <v>1900000</v>
      </c>
      <c r="CP18" s="311">
        <v>4000000</v>
      </c>
      <c r="CQ18" s="311">
        <v>4200000</v>
      </c>
      <c r="CR18" s="311">
        <v>2800000</v>
      </c>
      <c r="CS18" s="258">
        <v>3000000</v>
      </c>
      <c r="CT18" s="258">
        <v>2000000</v>
      </c>
      <c r="CU18" s="258">
        <v>2500000</v>
      </c>
      <c r="CV18" s="258">
        <v>4300000</v>
      </c>
      <c r="CW18" s="258">
        <v>4600000</v>
      </c>
      <c r="CX18" s="266">
        <f t="shared" si="0"/>
        <v>2300000</v>
      </c>
      <c r="CY18" s="266">
        <f t="shared" si="1"/>
        <v>2100000</v>
      </c>
      <c r="DA18" s="301" t="s">
        <v>4767</v>
      </c>
      <c r="DB18" s="258">
        <v>4300000</v>
      </c>
      <c r="DC18" s="258">
        <f t="shared" si="33"/>
        <v>1</v>
      </c>
    </row>
    <row r="19" spans="1:107">
      <c r="A19" s="302" t="s">
        <v>4739</v>
      </c>
      <c r="B19" s="264" t="s">
        <v>4768</v>
      </c>
      <c r="C19" s="264">
        <v>2</v>
      </c>
      <c r="D19" s="258" t="s">
        <v>4769</v>
      </c>
      <c r="E19" s="304">
        <f t="shared" si="3"/>
        <v>0.0117408263631581</v>
      </c>
      <c r="F19" s="304">
        <f t="shared" si="4"/>
        <v>0.0123665769856974</v>
      </c>
      <c r="G19" s="304">
        <f t="shared" si="5"/>
        <v>0.0117570659116445</v>
      </c>
      <c r="H19" s="304">
        <f t="shared" si="6"/>
        <v>0.0130133917397635</v>
      </c>
      <c r="I19" s="304">
        <f t="shared" si="18"/>
        <v>0.00843117660885835</v>
      </c>
      <c r="J19" s="304">
        <f t="shared" si="7"/>
        <v>0.0114383018420407</v>
      </c>
      <c r="K19" s="304">
        <f t="shared" si="8"/>
        <v>0.0115425208371334</v>
      </c>
      <c r="L19" s="304">
        <f t="shared" si="9"/>
        <v>0.00972924569514943</v>
      </c>
      <c r="M19" s="304">
        <f t="shared" si="10"/>
        <v>0.0110837445063613</v>
      </c>
      <c r="N19" s="304">
        <f t="shared" si="11"/>
        <v>0.0118740084479429</v>
      </c>
      <c r="O19" s="304">
        <f t="shared" si="12"/>
        <v>0.0090050182012607</v>
      </c>
      <c r="P19" s="304">
        <f t="shared" si="13"/>
        <v>0.00821886723621407</v>
      </c>
      <c r="Q19" s="304">
        <v>0.00673527260245984</v>
      </c>
      <c r="R19" s="304">
        <f t="shared" si="14"/>
        <v>0.0131751961428308</v>
      </c>
      <c r="S19" s="304">
        <f t="shared" si="15"/>
        <v>0.0154920522741737</v>
      </c>
      <c r="T19" s="304">
        <v>0.0194899297214629</v>
      </c>
      <c r="U19" s="304">
        <v>0.0206232617491525</v>
      </c>
      <c r="V19" s="304">
        <v>0.0197625090433793</v>
      </c>
      <c r="W19" s="304">
        <v>0.0197625090433793</v>
      </c>
      <c r="X19" s="304">
        <f t="shared" si="16"/>
        <v>0.0193234678554194</v>
      </c>
      <c r="Y19" s="304">
        <f t="shared" si="19"/>
        <v>0.02225425186027</v>
      </c>
      <c r="Z19" s="304">
        <f t="shared" si="20"/>
        <v>0.0200561716063346</v>
      </c>
      <c r="AA19" s="304">
        <f t="shared" si="21"/>
        <v>0.010499442318083</v>
      </c>
      <c r="AB19" s="304">
        <f t="shared" si="22"/>
        <v>0.0114799842647682</v>
      </c>
      <c r="AC19" s="304">
        <f t="shared" si="17"/>
        <v>0.0102751524638361</v>
      </c>
      <c r="AD19" s="304">
        <f t="shared" si="23"/>
        <v>0.012658163246313</v>
      </c>
      <c r="AE19" s="304">
        <f t="shared" si="24"/>
        <v>0.0118347171295498</v>
      </c>
      <c r="AF19" s="303">
        <f t="shared" si="25"/>
        <v>-0.000823446116763151</v>
      </c>
      <c r="AG19" s="303">
        <f t="shared" si="26"/>
        <v>0.0119408009028251</v>
      </c>
      <c r="AH19" s="303">
        <f t="shared" si="27"/>
        <v>0.0122645562644491</v>
      </c>
      <c r="AI19" s="303">
        <f t="shared" si="28"/>
        <v>0.014204113314941</v>
      </c>
      <c r="AJ19" s="303">
        <f t="shared" si="29"/>
        <v>0.012290907995007</v>
      </c>
      <c r="AK19" s="303">
        <f t="shared" si="30"/>
        <v>-0.00191320531993396</v>
      </c>
      <c r="AL19" s="304">
        <f t="shared" si="31"/>
        <v>-0.00191320531993396</v>
      </c>
      <c r="AM19" s="304">
        <f t="shared" si="32"/>
        <v>-0.1</v>
      </c>
      <c r="AN19" s="299">
        <v>2200000</v>
      </c>
      <c r="AO19" s="299">
        <v>2300000</v>
      </c>
      <c r="AP19" s="299">
        <v>2175800</v>
      </c>
      <c r="AQ19" s="299">
        <v>2300000</v>
      </c>
      <c r="AR19" s="300">
        <v>2087140</v>
      </c>
      <c r="AS19" s="300">
        <v>2200000</v>
      </c>
      <c r="AT19" s="300">
        <v>2203170</v>
      </c>
      <c r="AU19" s="300">
        <v>2300000</v>
      </c>
      <c r="AV19" s="300">
        <v>1427400</v>
      </c>
      <c r="AW19" s="300">
        <v>1500000</v>
      </c>
      <c r="AX19" s="300">
        <v>1613640</v>
      </c>
      <c r="AY19" s="300">
        <v>1700000</v>
      </c>
      <c r="AZ19" s="300">
        <v>1520320</v>
      </c>
      <c r="BA19" s="300">
        <v>1600000</v>
      </c>
      <c r="BB19" s="300">
        <v>1335460</v>
      </c>
      <c r="BC19" s="300">
        <v>1400000</v>
      </c>
      <c r="BD19" s="300">
        <v>1428000</v>
      </c>
      <c r="BE19" s="300">
        <v>1500000</v>
      </c>
      <c r="BF19" s="300">
        <v>1465800</v>
      </c>
      <c r="BG19" s="300">
        <v>1500000</v>
      </c>
      <c r="BH19" s="300">
        <v>1049180</v>
      </c>
      <c r="BI19" s="300">
        <v>1100000</v>
      </c>
      <c r="BJ19" s="300">
        <v>938185.87</v>
      </c>
      <c r="BK19" s="300">
        <v>968900</v>
      </c>
      <c r="BL19" s="266">
        <v>1269710</v>
      </c>
      <c r="BM19" s="266">
        <v>1300000</v>
      </c>
      <c r="BN19" s="266">
        <v>1649850</v>
      </c>
      <c r="BO19" s="266">
        <v>1700000</v>
      </c>
      <c r="BP19" s="266">
        <v>2038050</v>
      </c>
      <c r="BQ19" s="266">
        <v>2100000</v>
      </c>
      <c r="BR19" s="266">
        <v>2358960</v>
      </c>
      <c r="BS19" s="266">
        <v>2400000</v>
      </c>
      <c r="BT19" s="266">
        <v>2320080</v>
      </c>
      <c r="BU19" s="266">
        <v>2400000</v>
      </c>
      <c r="BV19" s="266">
        <v>2542800</v>
      </c>
      <c r="BW19" s="266">
        <v>2600000</v>
      </c>
      <c r="BX19" s="266">
        <v>3100000</v>
      </c>
      <c r="BY19" s="266">
        <v>3200000</v>
      </c>
      <c r="BZ19" s="266">
        <v>3100000</v>
      </c>
      <c r="CA19" s="266">
        <v>3200000</v>
      </c>
      <c r="CB19" s="266">
        <v>3000000</v>
      </c>
      <c r="CC19" s="266">
        <v>3000000</v>
      </c>
      <c r="CD19" s="311">
        <v>2800000</v>
      </c>
      <c r="CE19" s="311">
        <v>2800000</v>
      </c>
      <c r="CF19" s="311">
        <v>1300000</v>
      </c>
      <c r="CG19" s="311">
        <v>1400000</v>
      </c>
      <c r="CH19" s="311">
        <v>1500000</v>
      </c>
      <c r="CI19" s="311">
        <v>1600000</v>
      </c>
      <c r="CJ19" s="311">
        <v>1600000</v>
      </c>
      <c r="CK19" s="311">
        <v>1600000</v>
      </c>
      <c r="CL19" s="311">
        <v>2200000</v>
      </c>
      <c r="CM19" s="311">
        <v>2100000</v>
      </c>
      <c r="CN19" s="311">
        <v>1800000</v>
      </c>
      <c r="CO19" s="311">
        <v>1800000</v>
      </c>
      <c r="CP19" s="311">
        <v>1900000</v>
      </c>
      <c r="CQ19" s="311">
        <v>1900000</v>
      </c>
      <c r="CR19" s="311">
        <v>1900000</v>
      </c>
      <c r="CS19" s="258">
        <v>1900000</v>
      </c>
      <c r="CT19" s="258">
        <v>2200000</v>
      </c>
      <c r="CU19" s="258">
        <v>2200000</v>
      </c>
      <c r="CV19" s="258">
        <v>2000000</v>
      </c>
      <c r="CW19" s="258">
        <v>2100000</v>
      </c>
      <c r="CX19" s="266">
        <f t="shared" si="0"/>
        <v>-200000</v>
      </c>
      <c r="CY19" s="266">
        <f t="shared" si="1"/>
        <v>-100000</v>
      </c>
      <c r="DA19" s="301" t="s">
        <v>4769</v>
      </c>
      <c r="DB19" s="258">
        <v>2000000</v>
      </c>
      <c r="DC19" s="258">
        <f t="shared" si="33"/>
        <v>1</v>
      </c>
    </row>
    <row r="20" spans="1:107">
      <c r="A20" s="302" t="s">
        <v>4734</v>
      </c>
      <c r="B20" s="264" t="s">
        <v>4770</v>
      </c>
      <c r="C20" s="264">
        <v>3</v>
      </c>
      <c r="D20" s="265" t="s">
        <v>3217</v>
      </c>
      <c r="E20" s="306">
        <f t="shared" si="3"/>
        <v>0.00907245673516759</v>
      </c>
      <c r="F20" s="306">
        <f t="shared" si="4"/>
        <v>0.00965886613176497</v>
      </c>
      <c r="G20" s="304">
        <f t="shared" si="5"/>
        <v>0.0109919784272786</v>
      </c>
      <c r="H20" s="304">
        <f t="shared" si="6"/>
        <v>0.0120200675346972</v>
      </c>
      <c r="I20" s="304">
        <f t="shared" si="18"/>
        <v>0.00847287767853646</v>
      </c>
      <c r="J20" s="304">
        <f t="shared" si="7"/>
        <v>0.0111866597685965</v>
      </c>
      <c r="K20" s="304">
        <f t="shared" si="8"/>
        <v>0.0104557023661302</v>
      </c>
      <c r="L20" s="304">
        <f t="shared" si="9"/>
        <v>0.0120220797786693</v>
      </c>
      <c r="M20" s="304">
        <f t="shared" si="10"/>
        <v>0.0120179458290403</v>
      </c>
      <c r="N20" s="304">
        <f t="shared" si="11"/>
        <v>0.0132796421946252</v>
      </c>
      <c r="O20" s="304">
        <f t="shared" si="12"/>
        <v>0.0129922093461507</v>
      </c>
      <c r="P20" s="304">
        <f t="shared" si="13"/>
        <v>0.0110983535961961</v>
      </c>
      <c r="Q20" s="304">
        <v>0.0111223409680418</v>
      </c>
      <c r="R20" s="304">
        <f t="shared" si="14"/>
        <v>0.0140314221818248</v>
      </c>
      <c r="S20" s="304">
        <f t="shared" si="15"/>
        <v>0.0114481785275347</v>
      </c>
      <c r="T20" s="304">
        <v>0.0147183273576939</v>
      </c>
      <c r="U20" s="304">
        <v>0.0129010054424912</v>
      </c>
      <c r="V20" s="304">
        <v>0.0143676891490222</v>
      </c>
      <c r="W20" s="304">
        <v>0.0143676891490222</v>
      </c>
      <c r="X20" s="304">
        <f t="shared" si="16"/>
        <v>0.0144926008915646</v>
      </c>
      <c r="Y20" s="304">
        <f t="shared" si="19"/>
        <v>0.0140943595115043</v>
      </c>
      <c r="Z20" s="304">
        <f t="shared" si="20"/>
        <v>0.0164747123909177</v>
      </c>
      <c r="AA20" s="304">
        <f t="shared" si="21"/>
        <v>0.0153453387725829</v>
      </c>
      <c r="AB20" s="304">
        <f t="shared" si="22"/>
        <v>0.0153066456863576</v>
      </c>
      <c r="AC20" s="304">
        <f t="shared" si="17"/>
        <v>0.0141283346377746</v>
      </c>
      <c r="AD20" s="304">
        <f t="shared" si="23"/>
        <v>0.0258916975492766</v>
      </c>
      <c r="AE20" s="304">
        <f t="shared" si="24"/>
        <v>0.0276143399689496</v>
      </c>
      <c r="AF20" s="303">
        <f t="shared" si="25"/>
        <v>0.00172264241967305</v>
      </c>
      <c r="AG20" s="303">
        <f t="shared" si="26"/>
        <v>0.0320516234760042</v>
      </c>
      <c r="AH20" s="303">
        <f t="shared" si="27"/>
        <v>0.0264656214127585</v>
      </c>
      <c r="AI20" s="303">
        <f t="shared" si="28"/>
        <v>0.0238887360296735</v>
      </c>
      <c r="AJ20" s="303">
        <f t="shared" si="29"/>
        <v>0.0215090889912623</v>
      </c>
      <c r="AK20" s="303">
        <f t="shared" si="30"/>
        <v>-0.00237964703841118</v>
      </c>
      <c r="AL20" s="304">
        <f t="shared" si="31"/>
        <v>-0.00237964703841118</v>
      </c>
      <c r="AM20" s="304">
        <f t="shared" si="32"/>
        <v>-0.0571428571428571</v>
      </c>
      <c r="AN20" s="299">
        <v>1700000</v>
      </c>
      <c r="AO20" s="299">
        <v>2100000</v>
      </c>
      <c r="AP20" s="299">
        <v>1699400</v>
      </c>
      <c r="AQ20" s="299">
        <v>2000000</v>
      </c>
      <c r="AR20" s="300">
        <v>1951320</v>
      </c>
      <c r="AS20" s="300">
        <v>2300000</v>
      </c>
      <c r="AT20" s="300">
        <v>2035000</v>
      </c>
      <c r="AU20" s="300">
        <v>2500000</v>
      </c>
      <c r="AV20" s="300">
        <v>1434460</v>
      </c>
      <c r="AW20" s="300">
        <v>1700000</v>
      </c>
      <c r="AX20" s="300">
        <v>1578140</v>
      </c>
      <c r="AY20" s="300">
        <v>1900000</v>
      </c>
      <c r="AZ20" s="300">
        <v>1377170</v>
      </c>
      <c r="BA20" s="300">
        <v>1700000</v>
      </c>
      <c r="BB20" s="300">
        <v>1650180</v>
      </c>
      <c r="BC20" s="300">
        <v>2100000</v>
      </c>
      <c r="BD20" s="300">
        <v>1548360</v>
      </c>
      <c r="BE20" s="300">
        <v>1800000</v>
      </c>
      <c r="BF20" s="300">
        <v>1639320</v>
      </c>
      <c r="BG20" s="300">
        <v>1900000</v>
      </c>
      <c r="BH20" s="300">
        <v>1513730</v>
      </c>
      <c r="BI20" s="300">
        <v>1900000</v>
      </c>
      <c r="BJ20" s="300">
        <v>1266880</v>
      </c>
      <c r="BK20" s="300">
        <v>1600000</v>
      </c>
      <c r="BL20" s="266">
        <v>1492920</v>
      </c>
      <c r="BM20" s="266">
        <v>1800000</v>
      </c>
      <c r="BN20" s="266">
        <v>1757070</v>
      </c>
      <c r="BO20" s="266">
        <v>2100000</v>
      </c>
      <c r="BP20" s="266">
        <v>1506060</v>
      </c>
      <c r="BQ20" s="266">
        <v>1800000</v>
      </c>
      <c r="BR20" s="266">
        <v>1781430</v>
      </c>
      <c r="BS20" s="266">
        <v>2100000</v>
      </c>
      <c r="BT20" s="266">
        <v>1451340</v>
      </c>
      <c r="BU20" s="266">
        <v>1800000</v>
      </c>
      <c r="BV20" s="266">
        <v>1848660</v>
      </c>
      <c r="BW20" s="266">
        <v>2200000</v>
      </c>
      <c r="BX20" s="266">
        <v>2000000</v>
      </c>
      <c r="BY20" s="266">
        <v>2400000</v>
      </c>
      <c r="BZ20" s="266">
        <v>2000000</v>
      </c>
      <c r="CA20" s="266">
        <v>2400000</v>
      </c>
      <c r="CB20" s="266">
        <v>1900000</v>
      </c>
      <c r="CC20" s="266">
        <v>2200000</v>
      </c>
      <c r="CD20" s="311">
        <v>2300000</v>
      </c>
      <c r="CE20" s="311">
        <v>2700000</v>
      </c>
      <c r="CF20" s="311">
        <v>1900000</v>
      </c>
      <c r="CG20" s="311">
        <v>2200000</v>
      </c>
      <c r="CH20" s="311">
        <v>2000000</v>
      </c>
      <c r="CI20" s="311">
        <v>2300000</v>
      </c>
      <c r="CJ20" s="311">
        <v>2200000</v>
      </c>
      <c r="CK20" s="311">
        <v>2800000</v>
      </c>
      <c r="CL20" s="311">
        <v>4500000</v>
      </c>
      <c r="CM20" s="311">
        <v>4100000</v>
      </c>
      <c r="CN20" s="311">
        <v>4200000</v>
      </c>
      <c r="CO20" s="311">
        <v>4700000</v>
      </c>
      <c r="CP20" s="311">
        <v>5100000</v>
      </c>
      <c r="CQ20" s="311">
        <v>5600000</v>
      </c>
      <c r="CR20" s="311">
        <v>4100000</v>
      </c>
      <c r="CS20" s="258">
        <v>4500000</v>
      </c>
      <c r="CT20" s="258">
        <v>3700000</v>
      </c>
      <c r="CU20" s="258">
        <v>4000000</v>
      </c>
      <c r="CV20" s="258">
        <v>3500000</v>
      </c>
      <c r="CW20" s="258">
        <v>3900000</v>
      </c>
      <c r="CX20" s="266">
        <f t="shared" si="0"/>
        <v>-200000</v>
      </c>
      <c r="CY20" s="266">
        <f t="shared" si="1"/>
        <v>-100000</v>
      </c>
      <c r="DA20" s="301" t="s">
        <v>3217</v>
      </c>
      <c r="DB20" s="258">
        <v>3500000</v>
      </c>
      <c r="DC20" s="258">
        <f t="shared" si="33"/>
        <v>1</v>
      </c>
    </row>
    <row r="21" spans="1:107">
      <c r="A21" s="302" t="s">
        <v>4734</v>
      </c>
      <c r="B21" s="264" t="s">
        <v>4770</v>
      </c>
      <c r="C21" s="264">
        <v>3</v>
      </c>
      <c r="D21" s="265" t="s">
        <v>4771</v>
      </c>
      <c r="E21" s="306">
        <f t="shared" si="3"/>
        <v>0.0080051088839714</v>
      </c>
      <c r="F21" s="306">
        <f t="shared" si="4"/>
        <v>0.0085846483496633</v>
      </c>
      <c r="G21" s="304">
        <f t="shared" si="5"/>
        <v>0.00872544477826158</v>
      </c>
      <c r="H21" s="304">
        <f t="shared" si="6"/>
        <v>0.00892969931152589</v>
      </c>
      <c r="I21" s="304">
        <f t="shared" si="18"/>
        <v>0.00813247645395435</v>
      </c>
      <c r="J21" s="304">
        <f t="shared" si="7"/>
        <v>0.00914148311986099</v>
      </c>
      <c r="K21" s="304">
        <f t="shared" si="8"/>
        <v>0.00873524177434503</v>
      </c>
      <c r="L21" s="304">
        <f t="shared" si="9"/>
        <v>0.0101669473719983</v>
      </c>
      <c r="M21" s="304">
        <f t="shared" si="10"/>
        <v>0.00923955844563898</v>
      </c>
      <c r="N21" s="304">
        <f t="shared" si="11"/>
        <v>0.00816915255787145</v>
      </c>
      <c r="O21" s="304">
        <f t="shared" si="12"/>
        <v>0.00766539750619143</v>
      </c>
      <c r="P21" s="304">
        <f t="shared" si="13"/>
        <v>0.00747435849352309</v>
      </c>
      <c r="Q21" s="304">
        <v>0.00834175572603138</v>
      </c>
      <c r="R21" s="304">
        <f t="shared" si="14"/>
        <v>0.00575984102914784</v>
      </c>
      <c r="S21" s="304">
        <f t="shared" si="15"/>
        <v>0.00548266850361535</v>
      </c>
      <c r="T21" s="304">
        <v>0.00885365105365061</v>
      </c>
      <c r="U21" s="304">
        <v>0.00706846811761171</v>
      </c>
      <c r="V21" s="304">
        <v>0.0074337126985258</v>
      </c>
      <c r="W21" s="304">
        <v>0.0074337126985258</v>
      </c>
      <c r="X21" s="304">
        <f t="shared" si="16"/>
        <v>0.00785015881626415</v>
      </c>
      <c r="Y21" s="304">
        <f t="shared" si="19"/>
        <v>0.00645299123108296</v>
      </c>
      <c r="Z21" s="304">
        <f t="shared" si="20"/>
        <v>0.00513939397412324</v>
      </c>
      <c r="AA21" s="304">
        <f t="shared" si="21"/>
        <v>0.00616317264071474</v>
      </c>
      <c r="AB21" s="304">
        <f t="shared" si="22"/>
        <v>0.00674410808940918</v>
      </c>
      <c r="AC21" s="304">
        <f t="shared" si="17"/>
        <v>0.00770636434787708</v>
      </c>
      <c r="AD21" s="304">
        <f t="shared" si="23"/>
        <v>0.0109320500763612</v>
      </c>
      <c r="AE21" s="304">
        <f t="shared" si="24"/>
        <v>0.0203820128342247</v>
      </c>
      <c r="AF21" s="303">
        <f t="shared" si="25"/>
        <v>0.00944996275786354</v>
      </c>
      <c r="AG21" s="303">
        <f t="shared" si="26"/>
        <v>0.0213677489840028</v>
      </c>
      <c r="AH21" s="303">
        <f t="shared" si="27"/>
        <v>0.00968254441930189</v>
      </c>
      <c r="AI21" s="303">
        <f t="shared" si="28"/>
        <v>0.015495396343572</v>
      </c>
      <c r="AJ21" s="303">
        <f t="shared" si="29"/>
        <v>0.0172072711930099</v>
      </c>
      <c r="AK21" s="303">
        <f t="shared" si="30"/>
        <v>0.00171187484943785</v>
      </c>
      <c r="AL21" s="304">
        <f t="shared" si="31"/>
        <v>0.00171187484943785</v>
      </c>
      <c r="AM21" s="304">
        <f t="shared" si="32"/>
        <v>0.142857142857143</v>
      </c>
      <c r="AN21" s="299">
        <v>1500000</v>
      </c>
      <c r="AO21" s="299">
        <v>2100000</v>
      </c>
      <c r="AP21" s="299">
        <v>1510400</v>
      </c>
      <c r="AQ21" s="299">
        <v>2000000</v>
      </c>
      <c r="AR21" s="300">
        <v>1548960</v>
      </c>
      <c r="AS21" s="300">
        <v>2100000</v>
      </c>
      <c r="AT21" s="300">
        <v>1511800</v>
      </c>
      <c r="AU21" s="300">
        <v>2000000</v>
      </c>
      <c r="AV21" s="300">
        <v>1376830</v>
      </c>
      <c r="AW21" s="300">
        <v>1700000</v>
      </c>
      <c r="AX21" s="300">
        <v>1289620</v>
      </c>
      <c r="AY21" s="300">
        <v>1700000</v>
      </c>
      <c r="AZ21" s="300">
        <v>1150560</v>
      </c>
      <c r="BA21" s="300">
        <v>1700000</v>
      </c>
      <c r="BB21" s="300">
        <v>1395540</v>
      </c>
      <c r="BC21" s="300">
        <v>1800000</v>
      </c>
      <c r="BD21" s="300">
        <v>1190400</v>
      </c>
      <c r="BE21" s="300">
        <v>1600000</v>
      </c>
      <c r="BF21" s="300">
        <v>1008450</v>
      </c>
      <c r="BG21" s="300">
        <v>1500000</v>
      </c>
      <c r="BH21" s="300">
        <v>893100</v>
      </c>
      <c r="BI21" s="300">
        <v>1300000</v>
      </c>
      <c r="BJ21" s="300">
        <v>853200</v>
      </c>
      <c r="BK21" s="300">
        <v>1200000</v>
      </c>
      <c r="BL21" s="266">
        <v>1105510</v>
      </c>
      <c r="BM21" s="266">
        <v>1700000</v>
      </c>
      <c r="BN21" s="266">
        <v>721270</v>
      </c>
      <c r="BO21" s="266">
        <v>1100000</v>
      </c>
      <c r="BP21" s="266">
        <v>721270</v>
      </c>
      <c r="BQ21" s="266">
        <v>1100000</v>
      </c>
      <c r="BR21" s="266">
        <v>1071600</v>
      </c>
      <c r="BS21" s="266">
        <v>1500000</v>
      </c>
      <c r="BT21" s="266">
        <v>795190</v>
      </c>
      <c r="BU21" s="266">
        <v>1100000</v>
      </c>
      <c r="BV21" s="266">
        <v>956480</v>
      </c>
      <c r="BW21" s="266">
        <v>1400000</v>
      </c>
      <c r="BX21" s="266">
        <v>796500</v>
      </c>
      <c r="BY21" s="266">
        <v>1300000</v>
      </c>
      <c r="BZ21" s="266">
        <v>796500</v>
      </c>
      <c r="CA21" s="266">
        <v>1300000</v>
      </c>
      <c r="CB21" s="266">
        <v>869900</v>
      </c>
      <c r="CC21" s="266">
        <v>1400000</v>
      </c>
      <c r="CD21" s="311">
        <v>717500</v>
      </c>
      <c r="CE21" s="311">
        <v>1200000</v>
      </c>
      <c r="CF21" s="311">
        <v>763100</v>
      </c>
      <c r="CG21" s="311">
        <v>1200000</v>
      </c>
      <c r="CH21" s="311">
        <v>881200</v>
      </c>
      <c r="CI21" s="311">
        <v>1300000</v>
      </c>
      <c r="CJ21" s="311">
        <v>1200000</v>
      </c>
      <c r="CK21" s="311">
        <v>1900000</v>
      </c>
      <c r="CL21" s="311">
        <v>1900000</v>
      </c>
      <c r="CM21" s="311">
        <v>1200000</v>
      </c>
      <c r="CN21" s="311">
        <v>3100000</v>
      </c>
      <c r="CO21" s="311">
        <v>3800000</v>
      </c>
      <c r="CP21" s="311">
        <v>3400000</v>
      </c>
      <c r="CQ21" s="311">
        <v>4100000</v>
      </c>
      <c r="CR21" s="311">
        <v>1500000</v>
      </c>
      <c r="CS21" s="258">
        <v>2100000</v>
      </c>
      <c r="CT21" s="258">
        <v>2400000</v>
      </c>
      <c r="CU21" s="258">
        <v>3000000</v>
      </c>
      <c r="CV21" s="258">
        <v>2800000</v>
      </c>
      <c r="CW21" s="258">
        <v>3300000</v>
      </c>
      <c r="CX21" s="266">
        <f t="shared" si="0"/>
        <v>400000</v>
      </c>
      <c r="CY21" s="266">
        <f t="shared" si="1"/>
        <v>300000</v>
      </c>
      <c r="DA21" s="301" t="s">
        <v>4771</v>
      </c>
      <c r="DB21" s="258">
        <v>2800000</v>
      </c>
      <c r="DC21" s="258">
        <f t="shared" si="33"/>
        <v>1</v>
      </c>
    </row>
    <row r="22" spans="1:107">
      <c r="A22" s="302" t="s">
        <v>4739</v>
      </c>
      <c r="B22" s="264" t="s">
        <v>4753</v>
      </c>
      <c r="C22" s="264">
        <v>3</v>
      </c>
      <c r="D22" s="265" t="s">
        <v>4772</v>
      </c>
      <c r="E22" s="306">
        <f t="shared" si="3"/>
        <v>0.00747143495837331</v>
      </c>
      <c r="F22" s="306">
        <f t="shared" si="4"/>
        <v>0.00709250869709636</v>
      </c>
      <c r="G22" s="304">
        <f t="shared" si="5"/>
        <v>0.00641362101457591</v>
      </c>
      <c r="H22" s="304">
        <f t="shared" si="6"/>
        <v>0.00738227066644482</v>
      </c>
      <c r="I22" s="304">
        <f t="shared" si="18"/>
        <v>0.00449766219559917</v>
      </c>
      <c r="J22" s="304">
        <f t="shared" si="7"/>
        <v>0.00546987017173126</v>
      </c>
      <c r="K22" s="304">
        <f t="shared" si="8"/>
        <v>0.00491780628209949</v>
      </c>
      <c r="L22" s="304">
        <f t="shared" si="9"/>
        <v>0.00392050324473741</v>
      </c>
      <c r="M22" s="304">
        <f t="shared" si="10"/>
        <v>0.00474631739739098</v>
      </c>
      <c r="N22" s="304">
        <f t="shared" si="11"/>
        <v>0.00568834897510119</v>
      </c>
      <c r="O22" s="304">
        <f t="shared" si="12"/>
        <v>0.00479820153048709</v>
      </c>
      <c r="P22" s="304">
        <f t="shared" si="13"/>
        <v>0.00415926149207886</v>
      </c>
      <c r="Q22" s="304">
        <v>0.00365090842275974</v>
      </c>
      <c r="R22" s="304">
        <f t="shared" si="14"/>
        <v>0.00469513728576661</v>
      </c>
      <c r="S22" s="304">
        <f t="shared" si="15"/>
        <v>0.00361771441538736</v>
      </c>
      <c r="T22" s="304">
        <v>0.00419319357177238</v>
      </c>
      <c r="U22" s="304">
        <v>0.00717994624840448</v>
      </c>
      <c r="V22" s="304">
        <v>0.00267674394919532</v>
      </c>
      <c r="W22" s="304">
        <v>0.00267674394919532</v>
      </c>
      <c r="X22" s="304">
        <f t="shared" si="16"/>
        <v>0.00134660416617454</v>
      </c>
      <c r="Y22" s="304">
        <f t="shared" si="19"/>
        <v>0.0018241068441468</v>
      </c>
      <c r="Z22" s="304">
        <f t="shared" si="20"/>
        <v>0.0015128083725921</v>
      </c>
      <c r="AA22" s="304">
        <f t="shared" si="21"/>
        <v>0.00226061069602418</v>
      </c>
      <c r="AB22" s="304">
        <f t="shared" si="22"/>
        <v>0.00169980300347002</v>
      </c>
      <c r="AC22" s="304">
        <f t="shared" si="17"/>
        <v>0.00495840326082991</v>
      </c>
      <c r="AD22" s="304">
        <f t="shared" si="23"/>
        <v>0.00344302040299714</v>
      </c>
      <c r="AE22" s="304">
        <f t="shared" si="24"/>
        <v>0.00159374190677938</v>
      </c>
      <c r="AF22" s="303">
        <f t="shared" si="25"/>
        <v>-0.00184927849621776</v>
      </c>
      <c r="AG22" s="303">
        <f t="shared" si="26"/>
        <v>0.00583465239904359</v>
      </c>
      <c r="AH22" s="303">
        <f t="shared" si="27"/>
        <v>0.00064808497313194</v>
      </c>
      <c r="AI22" s="303">
        <f t="shared" si="28"/>
        <v>0.0011996019335982</v>
      </c>
      <c r="AJ22" s="303">
        <f t="shared" si="29"/>
        <v>0.00123093443569996</v>
      </c>
      <c r="AK22" s="303">
        <f t="shared" si="30"/>
        <v>3.13325021017549e-5</v>
      </c>
      <c r="AL22" s="304">
        <f t="shared" si="31"/>
        <v>3.13325021017549e-5</v>
      </c>
      <c r="AM22" s="304">
        <f t="shared" si="32"/>
        <v>0.072391412880679</v>
      </c>
      <c r="AN22" s="299">
        <v>1400000</v>
      </c>
      <c r="AO22" s="299">
        <v>1500000</v>
      </c>
      <c r="AP22" s="299">
        <v>1247870</v>
      </c>
      <c r="AQ22" s="299">
        <v>1300000</v>
      </c>
      <c r="AR22" s="300">
        <v>1138560</v>
      </c>
      <c r="AS22" s="300">
        <v>1200000</v>
      </c>
      <c r="AT22" s="300">
        <v>1249820</v>
      </c>
      <c r="AU22" s="300">
        <v>1300000</v>
      </c>
      <c r="AV22" s="300">
        <v>761455.17</v>
      </c>
      <c r="AW22" s="300">
        <v>800100</v>
      </c>
      <c r="AX22" s="300">
        <v>771653.12</v>
      </c>
      <c r="AY22" s="300">
        <v>809200</v>
      </c>
      <c r="AZ22" s="300">
        <v>647747.52</v>
      </c>
      <c r="BA22" s="300">
        <v>688800</v>
      </c>
      <c r="BB22" s="300">
        <v>538137.84</v>
      </c>
      <c r="BC22" s="300">
        <v>562200</v>
      </c>
      <c r="BD22" s="300">
        <v>611502.84</v>
      </c>
      <c r="BE22" s="300">
        <v>634800</v>
      </c>
      <c r="BF22" s="300">
        <v>702204.48</v>
      </c>
      <c r="BG22" s="300">
        <v>753600</v>
      </c>
      <c r="BH22" s="300">
        <v>559041.3</v>
      </c>
      <c r="BI22" s="300">
        <v>603000</v>
      </c>
      <c r="BJ22" s="300">
        <v>474780.8</v>
      </c>
      <c r="BK22" s="300">
        <v>525200</v>
      </c>
      <c r="BL22" s="266">
        <v>560882.11</v>
      </c>
      <c r="BM22" s="266">
        <v>589100</v>
      </c>
      <c r="BN22" s="266">
        <v>587943.6</v>
      </c>
      <c r="BO22" s="266">
        <v>609900</v>
      </c>
      <c r="BP22" s="266">
        <v>475926.8</v>
      </c>
      <c r="BQ22" s="266">
        <v>493700</v>
      </c>
      <c r="BR22" s="266">
        <v>507522.4</v>
      </c>
      <c r="BS22" s="266">
        <v>539000</v>
      </c>
      <c r="BT22" s="266">
        <v>807731.09</v>
      </c>
      <c r="BU22" s="266">
        <v>847300</v>
      </c>
      <c r="BV22" s="266">
        <v>344410.95</v>
      </c>
      <c r="BW22" s="266">
        <v>358500</v>
      </c>
      <c r="BX22" s="266">
        <v>184000</v>
      </c>
      <c r="BY22" s="266">
        <v>223000</v>
      </c>
      <c r="BZ22" s="266">
        <v>184000</v>
      </c>
      <c r="CA22" s="266">
        <v>223000</v>
      </c>
      <c r="CB22" s="266">
        <v>245900</v>
      </c>
      <c r="CC22" s="266">
        <v>257800</v>
      </c>
      <c r="CD22" s="311">
        <v>211200</v>
      </c>
      <c r="CE22" s="311">
        <v>228300</v>
      </c>
      <c r="CF22" s="311">
        <v>279900</v>
      </c>
      <c r="CG22" s="311">
        <v>288700</v>
      </c>
      <c r="CH22" s="311">
        <v>222100</v>
      </c>
      <c r="CI22" s="311">
        <v>239400</v>
      </c>
      <c r="CJ22" s="311">
        <v>772100</v>
      </c>
      <c r="CK22" s="311">
        <v>799400</v>
      </c>
      <c r="CL22" s="311">
        <v>598400</v>
      </c>
      <c r="CM22" s="311">
        <v>576600</v>
      </c>
      <c r="CN22" s="311">
        <v>242400</v>
      </c>
      <c r="CO22" s="311">
        <v>278000</v>
      </c>
      <c r="CP22" s="311">
        <v>928400</v>
      </c>
      <c r="CQ22" s="311">
        <v>956400</v>
      </c>
      <c r="CR22" s="311">
        <v>100400</v>
      </c>
      <c r="CS22" s="258">
        <v>106300</v>
      </c>
      <c r="CT22" s="258">
        <v>185800</v>
      </c>
      <c r="CU22" s="258">
        <v>188400</v>
      </c>
      <c r="CV22" s="258">
        <v>200300</v>
      </c>
      <c r="CW22" s="258">
        <v>205900</v>
      </c>
      <c r="CX22" s="266">
        <f t="shared" si="0"/>
        <v>14500</v>
      </c>
      <c r="CY22" s="266">
        <f t="shared" si="1"/>
        <v>17500</v>
      </c>
      <c r="DA22" s="301" t="s">
        <v>4772</v>
      </c>
      <c r="DB22" s="258">
        <v>200300</v>
      </c>
      <c r="DC22" s="258">
        <f t="shared" si="33"/>
        <v>1</v>
      </c>
    </row>
    <row r="23" spans="1:107">
      <c r="A23" s="302" t="s">
        <v>4739</v>
      </c>
      <c r="B23" s="264" t="s">
        <v>4773</v>
      </c>
      <c r="C23" s="264">
        <v>4</v>
      </c>
      <c r="D23" s="265" t="s">
        <v>4774</v>
      </c>
      <c r="E23" s="306">
        <f t="shared" si="3"/>
        <v>0.00497597568227662</v>
      </c>
      <c r="F23" s="306">
        <f t="shared" si="4"/>
        <v>0.00408099234433116</v>
      </c>
      <c r="G23" s="304">
        <f t="shared" si="5"/>
        <v>0.00345467170068612</v>
      </c>
      <c r="H23" s="304">
        <f t="shared" si="6"/>
        <v>0.00272227028218905</v>
      </c>
      <c r="I23" s="304">
        <f t="shared" si="18"/>
        <v>0.00203912843845588</v>
      </c>
      <c r="J23" s="304">
        <f t="shared" si="7"/>
        <v>0.00193253804152226</v>
      </c>
      <c r="K23" s="304">
        <f t="shared" si="8"/>
        <v>0.00251177832115589</v>
      </c>
      <c r="L23" s="304">
        <f t="shared" si="9"/>
        <v>0.00183587346003651</v>
      </c>
      <c r="M23" s="304">
        <f t="shared" si="10"/>
        <v>0.00257525913718022</v>
      </c>
      <c r="N23" s="304">
        <f t="shared" si="11"/>
        <v>0.00329974790230147</v>
      </c>
      <c r="O23" s="304">
        <f t="shared" si="12"/>
        <v>0.00300985116043932</v>
      </c>
      <c r="P23" s="304">
        <f t="shared" si="13"/>
        <v>0.00335694937923192</v>
      </c>
      <c r="Q23" s="304">
        <v>0.00279309787559951</v>
      </c>
      <c r="R23" s="304">
        <f t="shared" si="14"/>
        <v>0.0031994021512604</v>
      </c>
      <c r="S23" s="304">
        <f t="shared" si="15"/>
        <v>0.00165987984683245</v>
      </c>
      <c r="T23" s="304">
        <v>0.00137219760024839</v>
      </c>
      <c r="U23" s="304">
        <v>0.000825188074068325</v>
      </c>
      <c r="V23" s="304">
        <v>0.00225088838165273</v>
      </c>
      <c r="W23" s="304">
        <v>0.00225088838165273</v>
      </c>
      <c r="X23" s="304">
        <f t="shared" si="16"/>
        <v>0.00104890198952699</v>
      </c>
      <c r="Y23" s="304">
        <f t="shared" si="19"/>
        <v>0.00245909483055984</v>
      </c>
      <c r="Z23" s="304">
        <f t="shared" si="20"/>
        <v>0.000890350760952639</v>
      </c>
      <c r="AA23" s="304">
        <f t="shared" si="21"/>
        <v>0.00125104893467005</v>
      </c>
      <c r="AB23" s="304">
        <f t="shared" si="22"/>
        <v>0.00321822225555669</v>
      </c>
      <c r="AC23" s="304">
        <f t="shared" si="17"/>
        <v>0.00237420241617513</v>
      </c>
      <c r="AD23" s="304">
        <f t="shared" si="23"/>
        <v>0.00248330148050395</v>
      </c>
      <c r="AE23" s="304">
        <f t="shared" si="24"/>
        <v>0.00397843740838367</v>
      </c>
      <c r="AF23" s="303">
        <f t="shared" si="25"/>
        <v>0.00149513592787972</v>
      </c>
      <c r="AG23" s="303">
        <f t="shared" si="26"/>
        <v>0.00420316191779444</v>
      </c>
      <c r="AH23" s="303">
        <f t="shared" si="27"/>
        <v>0.00774603553544151</v>
      </c>
      <c r="AI23" s="303">
        <f t="shared" si="28"/>
        <v>0.000493915758451357</v>
      </c>
      <c r="AJ23" s="303">
        <f t="shared" si="29"/>
        <v>0.00158122531355766</v>
      </c>
      <c r="AK23" s="303">
        <f t="shared" si="30"/>
        <v>0.0010873095551063</v>
      </c>
      <c r="AL23" s="304">
        <f t="shared" si="31"/>
        <v>0.0010873095551063</v>
      </c>
      <c r="AM23" s="304">
        <f t="shared" si="32"/>
        <v>0.702681694520015</v>
      </c>
      <c r="AN23" s="299">
        <v>932400</v>
      </c>
      <c r="AO23" s="299">
        <v>970700</v>
      </c>
      <c r="AP23" s="299">
        <v>718017.86</v>
      </c>
      <c r="AQ23" s="299">
        <v>775900</v>
      </c>
      <c r="AR23" s="300">
        <v>613280.86</v>
      </c>
      <c r="AS23" s="300">
        <v>659300</v>
      </c>
      <c r="AT23" s="300">
        <v>460880.94</v>
      </c>
      <c r="AU23" s="300">
        <v>522600</v>
      </c>
      <c r="AV23" s="300">
        <v>345224.88</v>
      </c>
      <c r="AW23" s="300">
        <v>383200</v>
      </c>
      <c r="AX23" s="300">
        <v>272629.69</v>
      </c>
      <c r="AY23" s="300">
        <v>308300</v>
      </c>
      <c r="AZ23" s="300">
        <v>330838.2</v>
      </c>
      <c r="BA23" s="300">
        <v>375100</v>
      </c>
      <c r="BB23" s="300">
        <v>251996.47</v>
      </c>
      <c r="BC23" s="300">
        <v>276100</v>
      </c>
      <c r="BD23" s="300">
        <v>331789.5</v>
      </c>
      <c r="BE23" s="300">
        <v>351100</v>
      </c>
      <c r="BF23" s="300">
        <v>407341</v>
      </c>
      <c r="BG23" s="300">
        <v>418000</v>
      </c>
      <c r="BH23" s="300">
        <v>350679.54</v>
      </c>
      <c r="BI23" s="300">
        <v>363700</v>
      </c>
      <c r="BJ23" s="300">
        <v>383196.66</v>
      </c>
      <c r="BK23" s="300">
        <v>401800</v>
      </c>
      <c r="BL23" s="266">
        <v>324992.98</v>
      </c>
      <c r="BM23" s="266">
        <v>354100</v>
      </c>
      <c r="BN23" s="266">
        <v>400641.75</v>
      </c>
      <c r="BO23" s="266">
        <v>414100</v>
      </c>
      <c r="BP23" s="266">
        <v>218364.75</v>
      </c>
      <c r="BQ23" s="266">
        <v>225700</v>
      </c>
      <c r="BR23" s="266">
        <v>166083.68</v>
      </c>
      <c r="BS23" s="266">
        <v>179900</v>
      </c>
      <c r="BT23" s="266">
        <v>92832.18</v>
      </c>
      <c r="BU23" s="266">
        <v>116200</v>
      </c>
      <c r="BV23" s="266">
        <v>289617.02</v>
      </c>
      <c r="BW23" s="266">
        <v>308300</v>
      </c>
      <c r="BX23" s="266">
        <v>145100</v>
      </c>
      <c r="BY23" s="266">
        <v>173700</v>
      </c>
      <c r="BZ23" s="266">
        <v>145100</v>
      </c>
      <c r="CA23" s="266">
        <v>173700</v>
      </c>
      <c r="CB23" s="266">
        <v>331500</v>
      </c>
      <c r="CC23" s="266">
        <v>346000</v>
      </c>
      <c r="CD23" s="311">
        <v>124300</v>
      </c>
      <c r="CE23" s="311">
        <v>134900</v>
      </c>
      <c r="CF23" s="311">
        <v>154900</v>
      </c>
      <c r="CG23" s="311">
        <v>166900</v>
      </c>
      <c r="CH23" s="311">
        <v>420500</v>
      </c>
      <c r="CI23" s="311">
        <v>444600</v>
      </c>
      <c r="CJ23" s="311">
        <v>369700</v>
      </c>
      <c r="CK23" s="311">
        <v>430300</v>
      </c>
      <c r="CL23" s="311">
        <v>431600</v>
      </c>
      <c r="CM23" s="311">
        <v>406800</v>
      </c>
      <c r="CN23" s="311">
        <v>605100</v>
      </c>
      <c r="CO23" s="311">
        <v>631200</v>
      </c>
      <c r="CP23" s="311">
        <v>668800</v>
      </c>
      <c r="CQ23" s="311">
        <v>676600</v>
      </c>
      <c r="CR23" s="311">
        <v>1200000</v>
      </c>
      <c r="CS23" s="258">
        <v>1200000</v>
      </c>
      <c r="CT23" s="258">
        <v>76500</v>
      </c>
      <c r="CU23" s="258">
        <v>88100</v>
      </c>
      <c r="CV23" s="258">
        <v>257300</v>
      </c>
      <c r="CW23" s="258">
        <v>280700</v>
      </c>
      <c r="CX23" s="266">
        <f t="shared" si="0"/>
        <v>180800</v>
      </c>
      <c r="CY23" s="266">
        <f t="shared" si="1"/>
        <v>192600</v>
      </c>
      <c r="DA23" s="301" t="s">
        <v>4774</v>
      </c>
      <c r="DB23" s="258">
        <v>257300</v>
      </c>
      <c r="DC23" s="258">
        <f t="shared" si="33"/>
        <v>1</v>
      </c>
    </row>
    <row r="24" spans="1:107">
      <c r="A24" s="302" t="s">
        <v>4775</v>
      </c>
      <c r="B24" s="264" t="s">
        <v>4776</v>
      </c>
      <c r="C24" s="264"/>
      <c r="D24" s="258" t="s">
        <v>4777</v>
      </c>
      <c r="E24" s="306">
        <f t="shared" si="3"/>
        <v>0.00430408020994862</v>
      </c>
      <c r="F24" s="306">
        <f t="shared" si="4"/>
        <v>0.00425687430597926</v>
      </c>
      <c r="G24" s="304">
        <f t="shared" si="5"/>
        <v>0.00409528448733609</v>
      </c>
      <c r="H24" s="304">
        <f t="shared" si="6"/>
        <v>0.00378030680966194</v>
      </c>
      <c r="I24" s="304">
        <f t="shared" si="18"/>
        <v>0.00257206350174185</v>
      </c>
      <c r="J24" s="304">
        <f t="shared" si="7"/>
        <v>0.00359568161826759</v>
      </c>
      <c r="K24" s="304">
        <f t="shared" si="8"/>
        <v>0.00432992806381946</v>
      </c>
      <c r="L24" s="304">
        <f t="shared" si="9"/>
        <v>0.00517852736589845</v>
      </c>
      <c r="M24" s="304">
        <f t="shared" si="10"/>
        <v>0.00461710763678371</v>
      </c>
      <c r="N24" s="304">
        <f t="shared" si="11"/>
        <v>0.00414572013181116</v>
      </c>
      <c r="O24" s="304">
        <f t="shared" si="12"/>
        <v>0.00602939706178016</v>
      </c>
      <c r="P24" s="304">
        <f t="shared" si="13"/>
        <v>0.0054398869945214</v>
      </c>
      <c r="Q24" s="304">
        <v>0.005980343709254</v>
      </c>
      <c r="R24" s="304">
        <f t="shared" si="14"/>
        <v>0.00405254227878038</v>
      </c>
      <c r="S24" s="304">
        <f t="shared" si="15"/>
        <v>0.00383820241454103</v>
      </c>
      <c r="T24" s="304">
        <v>0.00311764715062016</v>
      </c>
      <c r="U24" s="304">
        <v>0.00380921665999768</v>
      </c>
      <c r="V24" s="304">
        <v>0.00476846991094668</v>
      </c>
      <c r="W24" s="304">
        <v>0.00476846991094668</v>
      </c>
      <c r="X24" s="304">
        <f t="shared" si="16"/>
        <v>0.00477090382766601</v>
      </c>
      <c r="Y24" s="304">
        <f t="shared" si="19"/>
        <v>0.00627198998261943</v>
      </c>
      <c r="Z24" s="304">
        <f t="shared" si="20"/>
        <v>0.00690935111838227</v>
      </c>
      <c r="AA24" s="304">
        <f t="shared" si="21"/>
        <v>0.00447922362277604</v>
      </c>
      <c r="AB24" s="304">
        <f t="shared" si="22"/>
        <v>0.00385957070981508</v>
      </c>
      <c r="AC24" s="304">
        <f t="shared" si="17"/>
        <v>0.00706416731888732</v>
      </c>
      <c r="AD24" s="304">
        <f t="shared" si="23"/>
        <v>0.0063290816231565</v>
      </c>
      <c r="AE24" s="304">
        <f t="shared" si="24"/>
        <v>0.00534863465827156</v>
      </c>
      <c r="AF24" s="303">
        <f t="shared" si="25"/>
        <v>-0.000980446964884943</v>
      </c>
      <c r="AG24" s="303">
        <f t="shared" si="26"/>
        <v>0.00243843723699797</v>
      </c>
      <c r="AH24" s="303">
        <f t="shared" si="27"/>
        <v>0.0083915384967283</v>
      </c>
      <c r="AI24" s="303">
        <f t="shared" si="28"/>
        <v>0.00968462271473249</v>
      </c>
      <c r="AJ24" s="303">
        <f t="shared" si="29"/>
        <v>0.00614545399750352</v>
      </c>
      <c r="AK24" s="303">
        <f t="shared" si="30"/>
        <v>-0.00353916871722897</v>
      </c>
      <c r="AL24" s="304">
        <f t="shared" si="31"/>
        <v>-0.00353916871722897</v>
      </c>
      <c r="AM24" s="304">
        <f t="shared" si="32"/>
        <v>-0.5</v>
      </c>
      <c r="AN24" s="299">
        <v>806500</v>
      </c>
      <c r="AO24" s="299">
        <v>907900</v>
      </c>
      <c r="AP24" s="299">
        <v>748962.88</v>
      </c>
      <c r="AQ24" s="299">
        <v>902800</v>
      </c>
      <c r="AR24" s="300">
        <v>727003.84</v>
      </c>
      <c r="AS24" s="300">
        <v>877600</v>
      </c>
      <c r="AT24" s="300">
        <v>640006.75</v>
      </c>
      <c r="AU24" s="300">
        <v>782500</v>
      </c>
      <c r="AV24" s="300">
        <v>435450.9</v>
      </c>
      <c r="AW24" s="300">
        <v>536600</v>
      </c>
      <c r="AX24" s="300">
        <v>507254.99</v>
      </c>
      <c r="AY24" s="300">
        <v>625700</v>
      </c>
      <c r="AZ24" s="300">
        <v>570315.3</v>
      </c>
      <c r="BA24" s="300">
        <v>686300</v>
      </c>
      <c r="BB24" s="300">
        <v>710817.3</v>
      </c>
      <c r="BC24" s="300">
        <v>952200</v>
      </c>
      <c r="BD24" s="300">
        <v>594855.8</v>
      </c>
      <c r="BE24" s="300">
        <v>813200</v>
      </c>
      <c r="BF24" s="300">
        <v>511772.97</v>
      </c>
      <c r="BG24" s="300">
        <v>743100</v>
      </c>
      <c r="BH24" s="300">
        <v>702488.62</v>
      </c>
      <c r="BI24" s="300">
        <v>941800</v>
      </c>
      <c r="BJ24" s="300">
        <v>620964.54</v>
      </c>
      <c r="BK24" s="300">
        <v>860300</v>
      </c>
      <c r="BL24" s="266">
        <v>510642.48</v>
      </c>
      <c r="BM24" s="266">
        <v>792800</v>
      </c>
      <c r="BN24" s="266">
        <v>507475.32</v>
      </c>
      <c r="BO24" s="266">
        <v>718600</v>
      </c>
      <c r="BP24" s="266">
        <v>504933</v>
      </c>
      <c r="BQ24" s="266">
        <v>715000</v>
      </c>
      <c r="BR24" s="266">
        <v>377343.84</v>
      </c>
      <c r="BS24" s="266">
        <v>546400</v>
      </c>
      <c r="BT24" s="266">
        <v>428530.05</v>
      </c>
      <c r="BU24" s="266">
        <v>625500</v>
      </c>
      <c r="BV24" s="266">
        <v>613548.88</v>
      </c>
      <c r="BW24" s="266">
        <v>729200</v>
      </c>
      <c r="BX24" s="266">
        <v>544200</v>
      </c>
      <c r="BY24" s="266">
        <v>790070</v>
      </c>
      <c r="BZ24" s="266">
        <v>544200</v>
      </c>
      <c r="CA24" s="266">
        <v>790200</v>
      </c>
      <c r="CB24" s="266">
        <v>845500</v>
      </c>
      <c r="CC24" s="266">
        <v>1000000</v>
      </c>
      <c r="CD24" s="311">
        <v>964600</v>
      </c>
      <c r="CE24" s="311">
        <v>1200000</v>
      </c>
      <c r="CF24" s="311">
        <v>554600</v>
      </c>
      <c r="CG24" s="311">
        <v>740300</v>
      </c>
      <c r="CH24" s="311">
        <v>504300</v>
      </c>
      <c r="CI24" s="311">
        <v>656000</v>
      </c>
      <c r="CJ24" s="311">
        <v>1100000</v>
      </c>
      <c r="CK24" s="311">
        <v>1300000</v>
      </c>
      <c r="CL24" s="311">
        <v>1100000</v>
      </c>
      <c r="CM24" s="311">
        <v>1300000</v>
      </c>
      <c r="CN24" s="311">
        <v>813500</v>
      </c>
      <c r="CO24" s="311">
        <v>1100000</v>
      </c>
      <c r="CP24" s="311">
        <v>388000</v>
      </c>
      <c r="CQ24" s="311">
        <v>619000</v>
      </c>
      <c r="CR24" s="311">
        <v>1300000</v>
      </c>
      <c r="CS24" s="258">
        <v>1400000</v>
      </c>
      <c r="CT24" s="258">
        <v>1500000</v>
      </c>
      <c r="CU24" s="258">
        <v>1700000</v>
      </c>
      <c r="CV24" s="258">
        <v>1000000</v>
      </c>
      <c r="CW24" s="258">
        <v>1200000</v>
      </c>
      <c r="CX24" s="266">
        <f t="shared" si="0"/>
        <v>-500000</v>
      </c>
      <c r="CY24" s="266">
        <f t="shared" si="1"/>
        <v>-500000</v>
      </c>
      <c r="DA24" s="301" t="s">
        <v>4777</v>
      </c>
      <c r="DB24" s="258">
        <v>1000000</v>
      </c>
      <c r="DC24" s="258">
        <f t="shared" si="33"/>
        <v>1</v>
      </c>
    </row>
    <row r="25" spans="1:107">
      <c r="A25" s="302" t="s">
        <v>4778</v>
      </c>
      <c r="B25" s="264" t="s">
        <v>4776</v>
      </c>
      <c r="C25" s="264"/>
      <c r="D25" s="265" t="s">
        <v>4779</v>
      </c>
      <c r="E25" s="306">
        <f t="shared" si="3"/>
        <v>0.00390649313537805</v>
      </c>
      <c r="F25" s="306">
        <f t="shared" si="4"/>
        <v>0.00333686577233181</v>
      </c>
      <c r="G25" s="304">
        <f t="shared" si="5"/>
        <v>0.00370361163251203</v>
      </c>
      <c r="H25" s="304">
        <f t="shared" si="6"/>
        <v>0.00374326669098708</v>
      </c>
      <c r="I25" s="304">
        <f t="shared" si="18"/>
        <v>0.00296002520975855</v>
      </c>
      <c r="J25" s="304">
        <f t="shared" si="7"/>
        <v>0.0034142329392154</v>
      </c>
      <c r="K25" s="304">
        <f t="shared" si="8"/>
        <v>0.00415479419506818</v>
      </c>
      <c r="L25" s="304">
        <f t="shared" si="9"/>
        <v>0.00383652047399544</v>
      </c>
      <c r="M25" s="304">
        <f t="shared" si="10"/>
        <v>0.00386269365359985</v>
      </c>
      <c r="N25" s="304">
        <f t="shared" si="11"/>
        <v>0.00384205374724081</v>
      </c>
      <c r="O25" s="304">
        <f t="shared" si="12"/>
        <v>0.00324930063506336</v>
      </c>
      <c r="P25" s="304">
        <f t="shared" si="13"/>
        <v>0.00357249193692142</v>
      </c>
      <c r="Q25" s="304">
        <v>0.00337076445962718</v>
      </c>
      <c r="R25" s="304">
        <f t="shared" si="14"/>
        <v>0.00325005580334622</v>
      </c>
      <c r="S25" s="304">
        <f t="shared" si="15"/>
        <v>0.00356694156194406</v>
      </c>
      <c r="T25" s="304">
        <v>0.00284486844199285</v>
      </c>
      <c r="U25" s="304">
        <v>0.00238954543017363</v>
      </c>
      <c r="V25" s="304">
        <v>0.00304579178501459</v>
      </c>
      <c r="W25" s="304">
        <v>0.00304579178501459</v>
      </c>
      <c r="X25" s="304">
        <f t="shared" si="16"/>
        <v>0.00246253443482502</v>
      </c>
      <c r="Y25" s="304">
        <f t="shared" si="19"/>
        <v>0.0025740751318379</v>
      </c>
      <c r="Z25" s="304">
        <f t="shared" si="20"/>
        <v>0.00358289179910306</v>
      </c>
      <c r="AA25" s="304">
        <f t="shared" si="21"/>
        <v>0.0027871981107465</v>
      </c>
      <c r="AB25" s="304">
        <f t="shared" si="22"/>
        <v>0.00311949439087969</v>
      </c>
      <c r="AC25" s="304">
        <f t="shared" si="17"/>
        <v>0.00426675706060794</v>
      </c>
      <c r="AD25" s="304">
        <f t="shared" si="23"/>
        <v>0.00329112244404138</v>
      </c>
      <c r="AE25" s="304">
        <f t="shared" si="24"/>
        <v>0.00411519413965847</v>
      </c>
      <c r="AF25" s="303">
        <f t="shared" si="25"/>
        <v>0.000824071695617092</v>
      </c>
      <c r="AG25" s="303">
        <f t="shared" si="26"/>
        <v>0.00419624882253491</v>
      </c>
      <c r="AH25" s="303">
        <f t="shared" si="27"/>
        <v>0.00504137812764985</v>
      </c>
      <c r="AI25" s="303">
        <f t="shared" si="28"/>
        <v>0.00486168060279571</v>
      </c>
      <c r="AJ25" s="303">
        <f t="shared" si="29"/>
        <v>0.00388699965342098</v>
      </c>
      <c r="AK25" s="303">
        <f t="shared" si="30"/>
        <v>-0.000974680949374734</v>
      </c>
      <c r="AL25" s="304">
        <f t="shared" si="31"/>
        <v>-0.000974680949374734</v>
      </c>
      <c r="AM25" s="304">
        <f t="shared" si="32"/>
        <v>-0.190513833992095</v>
      </c>
      <c r="AN25" s="299">
        <v>732000</v>
      </c>
      <c r="AO25" s="299">
        <v>804700</v>
      </c>
      <c r="AP25" s="299">
        <v>587094.76</v>
      </c>
      <c r="AQ25" s="299">
        <v>652400</v>
      </c>
      <c r="AR25" s="300">
        <v>657473.22</v>
      </c>
      <c r="AS25" s="300">
        <v>738900</v>
      </c>
      <c r="AT25" s="300">
        <v>633735.85</v>
      </c>
      <c r="AU25" s="300">
        <v>706900</v>
      </c>
      <c r="AV25" s="300">
        <v>501132.9</v>
      </c>
      <c r="AW25" s="300">
        <v>557000</v>
      </c>
      <c r="AX25" s="300">
        <v>481657.41</v>
      </c>
      <c r="AY25" s="300">
        <v>549900</v>
      </c>
      <c r="AZ25" s="300">
        <v>547247.59</v>
      </c>
      <c r="BA25" s="300">
        <v>613300</v>
      </c>
      <c r="BB25" s="300">
        <v>526610.16</v>
      </c>
      <c r="BC25" s="300">
        <v>834300</v>
      </c>
      <c r="BD25" s="300">
        <v>497659.12</v>
      </c>
      <c r="BE25" s="300">
        <v>610400</v>
      </c>
      <c r="BF25" s="300">
        <v>474286.54</v>
      </c>
      <c r="BG25" s="300">
        <v>525700</v>
      </c>
      <c r="BH25" s="300">
        <v>378577.94</v>
      </c>
      <c r="BI25" s="300">
        <v>439900</v>
      </c>
      <c r="BJ25" s="300">
        <v>407800.9</v>
      </c>
      <c r="BK25" s="300">
        <v>484900</v>
      </c>
      <c r="BL25" s="266">
        <v>364587.45</v>
      </c>
      <c r="BM25" s="266">
        <v>419500</v>
      </c>
      <c r="BN25" s="266">
        <v>406984.8</v>
      </c>
      <c r="BO25" s="266">
        <v>536000</v>
      </c>
      <c r="BP25" s="266">
        <v>469247.4</v>
      </c>
      <c r="BQ25" s="266">
        <v>618000</v>
      </c>
      <c r="BR25" s="266">
        <v>344328.12</v>
      </c>
      <c r="BS25" s="266">
        <v>434100</v>
      </c>
      <c r="BT25" s="266">
        <v>268819.58</v>
      </c>
      <c r="BU25" s="266">
        <v>364600</v>
      </c>
      <c r="BV25" s="266">
        <v>391895.55</v>
      </c>
      <c r="BW25" s="266">
        <v>580500</v>
      </c>
      <c r="BX25" s="266">
        <v>287100</v>
      </c>
      <c r="BY25" s="266">
        <v>407800</v>
      </c>
      <c r="BZ25" s="266">
        <v>287100</v>
      </c>
      <c r="CA25" s="266">
        <v>407800</v>
      </c>
      <c r="CB25" s="266">
        <v>347000</v>
      </c>
      <c r="CC25" s="266">
        <v>583700</v>
      </c>
      <c r="CD25" s="311">
        <v>500200</v>
      </c>
      <c r="CE25" s="311">
        <v>682800</v>
      </c>
      <c r="CF25" s="311">
        <v>345100</v>
      </c>
      <c r="CG25" s="311">
        <v>450400</v>
      </c>
      <c r="CH25" s="311">
        <v>407600</v>
      </c>
      <c r="CI25" s="311">
        <v>533600</v>
      </c>
      <c r="CJ25" s="311">
        <v>664400</v>
      </c>
      <c r="CK25" s="311">
        <v>794700</v>
      </c>
      <c r="CL25" s="311">
        <v>572000</v>
      </c>
      <c r="CM25" s="311">
        <v>404900</v>
      </c>
      <c r="CN25" s="311">
        <v>625900</v>
      </c>
      <c r="CO25" s="311">
        <v>764600</v>
      </c>
      <c r="CP25" s="311">
        <v>667700</v>
      </c>
      <c r="CQ25" s="311">
        <v>761000</v>
      </c>
      <c r="CR25" s="311">
        <v>781000</v>
      </c>
      <c r="CS25" s="258">
        <v>830100</v>
      </c>
      <c r="CT25" s="258">
        <v>753000</v>
      </c>
      <c r="CU25" s="258">
        <v>925700</v>
      </c>
      <c r="CV25" s="258">
        <v>632500</v>
      </c>
      <c r="CW25" s="258">
        <v>682000</v>
      </c>
      <c r="CX25" s="266">
        <f t="shared" si="0"/>
        <v>-120500</v>
      </c>
      <c r="CY25" s="266">
        <f t="shared" si="1"/>
        <v>-243700</v>
      </c>
      <c r="DA25" s="301" t="s">
        <v>4779</v>
      </c>
      <c r="DB25" s="258">
        <v>632500</v>
      </c>
      <c r="DC25" s="258">
        <f t="shared" si="33"/>
        <v>1</v>
      </c>
    </row>
    <row r="26" spans="1:107">
      <c r="A26" s="307" t="s">
        <v>4739</v>
      </c>
      <c r="B26" s="308" t="s">
        <v>4780</v>
      </c>
      <c r="C26" s="308">
        <v>4</v>
      </c>
      <c r="D26" s="265" t="s">
        <v>4781</v>
      </c>
      <c r="E26" s="306">
        <f t="shared" si="3"/>
        <v>0.0036946245869156</v>
      </c>
      <c r="F26" s="306">
        <f t="shared" si="4"/>
        <v>0.0032111600117534</v>
      </c>
      <c r="G26" s="304">
        <f t="shared" si="5"/>
        <v>0.00384525308627907</v>
      </c>
      <c r="H26" s="304">
        <f t="shared" si="6"/>
        <v>0.0028024412383786</v>
      </c>
      <c r="I26" s="304">
        <f t="shared" si="18"/>
        <v>0.00198428680649549</v>
      </c>
      <c r="J26" s="304">
        <f t="shared" si="7"/>
        <v>0.00302902286832672</v>
      </c>
      <c r="K26" s="304">
        <f t="shared" si="8"/>
        <v>0.00294129748412157</v>
      </c>
      <c r="L26" s="304">
        <f t="shared" si="9"/>
        <v>0.00110359760757752</v>
      </c>
      <c r="M26" s="304">
        <f t="shared" si="10"/>
        <v>0.000604922600092382</v>
      </c>
      <c r="N26" s="304">
        <f t="shared" si="11"/>
        <v>0.000978034484867304</v>
      </c>
      <c r="O26" s="304">
        <f t="shared" si="12"/>
        <v>0.000711322796526173</v>
      </c>
      <c r="P26" s="304">
        <f t="shared" si="13"/>
        <v>0.00048589637683422</v>
      </c>
      <c r="Q26" s="304">
        <v>0.000387891641260459</v>
      </c>
      <c r="R26" s="304">
        <f t="shared" si="14"/>
        <v>0.00077622320706275</v>
      </c>
      <c r="S26" s="304">
        <f t="shared" si="15"/>
        <v>0.00112910247107333</v>
      </c>
      <c r="T26" s="304">
        <v>0.000664814758489423</v>
      </c>
      <c r="U26" s="304">
        <v>0.0017574773203395</v>
      </c>
      <c r="V26" s="304">
        <v>0.000889004982377465</v>
      </c>
      <c r="W26" s="304">
        <v>0.000889004982377465</v>
      </c>
      <c r="X26" s="304">
        <f t="shared" si="16"/>
        <v>0.000638278297599323</v>
      </c>
      <c r="Y26" s="304">
        <f t="shared" si="19"/>
        <v>0.0014368828617781</v>
      </c>
      <c r="Z26" s="304">
        <f t="shared" si="20"/>
        <v>0.000660421079322875</v>
      </c>
      <c r="AA26" s="304">
        <f t="shared" si="21"/>
        <v>0.000543548052313068</v>
      </c>
      <c r="AB26" s="304">
        <f t="shared" si="22"/>
        <v>0.000602316507758173</v>
      </c>
      <c r="AC26" s="304">
        <f t="shared" si="17"/>
        <v>0.000104035918696341</v>
      </c>
      <c r="AD26" s="304">
        <f t="shared" si="23"/>
        <v>0.000745105518362516</v>
      </c>
      <c r="AE26" s="304">
        <f t="shared" si="24"/>
        <v>8.67879256166989e-5</v>
      </c>
      <c r="AF26" s="303">
        <f t="shared" si="25"/>
        <v>-0.000658317592745817</v>
      </c>
      <c r="AG26" s="303">
        <f t="shared" si="26"/>
        <v>0.000573158443335605</v>
      </c>
      <c r="AH26" s="303">
        <f t="shared" si="27"/>
        <v>0.000389238285655936</v>
      </c>
      <c r="AI26" s="303">
        <f t="shared" si="28"/>
        <v>6.24980985857403e-6</v>
      </c>
      <c r="AJ26" s="303">
        <f t="shared" si="29"/>
        <v>0.000623149035346857</v>
      </c>
      <c r="AK26" s="303">
        <f t="shared" si="30"/>
        <v>0.000616899225488283</v>
      </c>
      <c r="AL26" s="304">
        <f t="shared" si="31"/>
        <v>0.000616899225488283</v>
      </c>
      <c r="AM26" s="304">
        <f t="shared" si="32"/>
        <v>0.990453648915187</v>
      </c>
      <c r="AN26" s="299">
        <v>692300</v>
      </c>
      <c r="AO26" s="299">
        <v>694800</v>
      </c>
      <c r="AP26" s="299">
        <v>564977.84</v>
      </c>
      <c r="AQ26" s="299">
        <v>570800</v>
      </c>
      <c r="AR26" s="300">
        <v>682617.72</v>
      </c>
      <c r="AS26" s="300">
        <v>686600</v>
      </c>
      <c r="AT26" s="300">
        <v>474453.9</v>
      </c>
      <c r="AU26" s="300">
        <v>475500</v>
      </c>
      <c r="AV26" s="300">
        <v>335940.18</v>
      </c>
      <c r="AW26" s="300">
        <v>337900</v>
      </c>
      <c r="AX26" s="300">
        <v>427314.52</v>
      </c>
      <c r="AY26" s="300">
        <v>427400</v>
      </c>
      <c r="AZ26" s="300">
        <v>387412.2</v>
      </c>
      <c r="BA26" s="300">
        <v>388500</v>
      </c>
      <c r="BB26" s="300">
        <v>151482.5</v>
      </c>
      <c r="BC26" s="300">
        <v>153400</v>
      </c>
      <c r="BD26" s="300">
        <v>77936.61</v>
      </c>
      <c r="BE26" s="300">
        <v>78700</v>
      </c>
      <c r="BF26" s="300">
        <v>120734.54</v>
      </c>
      <c r="BG26" s="300">
        <v>124700</v>
      </c>
      <c r="BH26" s="300">
        <v>82876.64</v>
      </c>
      <c r="BI26" s="300">
        <v>86800</v>
      </c>
      <c r="BJ26" s="300">
        <v>55465.2</v>
      </c>
      <c r="BK26" s="300">
        <v>55800</v>
      </c>
      <c r="BL26" s="266">
        <v>95406.08</v>
      </c>
      <c r="BM26" s="266">
        <v>96800</v>
      </c>
      <c r="BN26" s="266">
        <v>97201.73</v>
      </c>
      <c r="BO26" s="266">
        <v>97700</v>
      </c>
      <c r="BP26" s="266">
        <v>148538.57</v>
      </c>
      <c r="BQ26" s="266">
        <v>149300</v>
      </c>
      <c r="BR26" s="266">
        <v>80465.73</v>
      </c>
      <c r="BS26" s="266">
        <v>83100</v>
      </c>
      <c r="BT26" s="266">
        <v>197713.05</v>
      </c>
      <c r="BU26" s="266">
        <v>200500</v>
      </c>
      <c r="BV26" s="266">
        <v>114386.38</v>
      </c>
      <c r="BW26" s="266">
        <v>115100</v>
      </c>
      <c r="BX26" s="266">
        <v>80300</v>
      </c>
      <c r="BY26" s="266">
        <v>105700</v>
      </c>
      <c r="BZ26" s="266">
        <v>80300</v>
      </c>
      <c r="CA26" s="266">
        <v>105700</v>
      </c>
      <c r="CB26" s="266">
        <v>193700</v>
      </c>
      <c r="CC26" s="266">
        <v>200100</v>
      </c>
      <c r="CD26" s="311">
        <v>92200</v>
      </c>
      <c r="CE26" s="311">
        <v>99300</v>
      </c>
      <c r="CF26" s="311">
        <v>67300</v>
      </c>
      <c r="CG26" s="311">
        <v>69400</v>
      </c>
      <c r="CH26" s="311">
        <v>78700</v>
      </c>
      <c r="CI26" s="311">
        <v>87600</v>
      </c>
      <c r="CJ26" s="311">
        <v>16200</v>
      </c>
      <c r="CK26" s="311">
        <v>16500</v>
      </c>
      <c r="CL26" s="311">
        <v>129500</v>
      </c>
      <c r="CM26" s="311">
        <v>129500</v>
      </c>
      <c r="CN26" s="311">
        <v>13200</v>
      </c>
      <c r="CO26" s="311">
        <v>14300</v>
      </c>
      <c r="CP26" s="311">
        <v>91200</v>
      </c>
      <c r="CQ26" s="311">
        <v>96500</v>
      </c>
      <c r="CR26" s="311">
        <v>60300</v>
      </c>
      <c r="CS26" s="258">
        <v>60300</v>
      </c>
      <c r="CT26" s="258">
        <v>968</v>
      </c>
      <c r="CU26" s="258">
        <v>1400</v>
      </c>
      <c r="CV26" s="258">
        <v>101400</v>
      </c>
      <c r="CW26" s="258">
        <v>101400</v>
      </c>
      <c r="CX26" s="266">
        <f t="shared" si="0"/>
        <v>100432</v>
      </c>
      <c r="CY26" s="266">
        <f t="shared" si="1"/>
        <v>100000</v>
      </c>
      <c r="DA26" s="301" t="s">
        <v>4781</v>
      </c>
      <c r="DB26" s="258">
        <v>101400</v>
      </c>
      <c r="DC26" s="258">
        <f t="shared" si="33"/>
        <v>1</v>
      </c>
    </row>
    <row r="27" spans="1:107">
      <c r="A27" s="264" t="s">
        <v>4782</v>
      </c>
      <c r="B27" s="264" t="s">
        <v>4776</v>
      </c>
      <c r="C27" s="264"/>
      <c r="D27" s="258" t="s">
        <v>4783</v>
      </c>
      <c r="E27" s="306">
        <f t="shared" si="3"/>
        <v>0.00266303288873449</v>
      </c>
      <c r="F27" s="306">
        <f t="shared" si="4"/>
        <v>0.00246018652338694</v>
      </c>
      <c r="G27" s="304">
        <f t="shared" si="5"/>
        <v>0.00269814703353493</v>
      </c>
      <c r="H27" s="304">
        <f t="shared" si="6"/>
        <v>0.00284082571448388</v>
      </c>
      <c r="I27" s="304">
        <f t="shared" si="18"/>
        <v>0.00201732480381467</v>
      </c>
      <c r="J27" s="304">
        <f t="shared" si="7"/>
        <v>0.00239021464990466</v>
      </c>
      <c r="K27" s="304">
        <f t="shared" si="8"/>
        <v>0.00372718635973138</v>
      </c>
      <c r="L27" s="304">
        <f t="shared" si="9"/>
        <v>0.0184695828414396</v>
      </c>
      <c r="M27" s="304">
        <f t="shared" si="10"/>
        <v>0.00182053996293614</v>
      </c>
      <c r="N27" s="304">
        <f t="shared" si="11"/>
        <v>0.0024255639262772</v>
      </c>
      <c r="O27" s="304">
        <f t="shared" si="12"/>
        <v>0.0025083979527423</v>
      </c>
      <c r="P27" s="304">
        <f t="shared" si="13"/>
        <v>0.00209425305116822</v>
      </c>
      <c r="Q27" s="304">
        <v>0.00262695790738938</v>
      </c>
      <c r="R27" s="304">
        <f t="shared" si="14"/>
        <v>0.00234140528477012</v>
      </c>
      <c r="S27" s="304">
        <f t="shared" si="15"/>
        <v>0.00263252007732481</v>
      </c>
      <c r="T27" s="304">
        <v>0.00101255826255127</v>
      </c>
      <c r="U27" s="304">
        <v>0.00125388743423891</v>
      </c>
      <c r="V27" s="304">
        <v>0.00119701209506613</v>
      </c>
      <c r="W27" s="304">
        <v>0.00119701209506613</v>
      </c>
      <c r="X27" s="304">
        <f t="shared" si="16"/>
        <v>0.000995720182838649</v>
      </c>
      <c r="Y27" s="304">
        <f t="shared" si="19"/>
        <v>0.00140646871756906</v>
      </c>
      <c r="Z27" s="304">
        <f t="shared" si="20"/>
        <v>0.00210088397576355</v>
      </c>
      <c r="AA27" s="304">
        <f t="shared" si="21"/>
        <v>0.00107175076585355</v>
      </c>
      <c r="AB27" s="304">
        <f t="shared" si="22"/>
        <v>0.00503359043395871</v>
      </c>
      <c r="AC27" s="304">
        <f t="shared" si="17"/>
        <v>0.00176861061783779</v>
      </c>
      <c r="AD27" s="304">
        <f t="shared" si="23"/>
        <v>0.00158457189001573</v>
      </c>
      <c r="AE27" s="304">
        <f t="shared" si="24"/>
        <v>0.00190670442642748</v>
      </c>
      <c r="AF27" s="303">
        <f t="shared" si="25"/>
        <v>0.000322132536411745</v>
      </c>
      <c r="AG27" s="303">
        <f t="shared" si="26"/>
        <v>0.00113060530653591</v>
      </c>
      <c r="AH27" s="303">
        <f t="shared" si="27"/>
        <v>0.00116771485696781</v>
      </c>
      <c r="AI27" s="303">
        <f t="shared" si="28"/>
        <v>0.000852246798896459</v>
      </c>
      <c r="AJ27" s="303">
        <f t="shared" si="29"/>
        <v>0.000333698152064441</v>
      </c>
      <c r="AK27" s="303">
        <f t="shared" si="30"/>
        <v>-0.000518548646832018</v>
      </c>
      <c r="AL27" s="304">
        <f t="shared" si="31"/>
        <v>-0.000518548646832018</v>
      </c>
      <c r="AM27" s="304">
        <f t="shared" si="32"/>
        <v>-1.43093922651934</v>
      </c>
      <c r="AN27" s="299">
        <v>499000</v>
      </c>
      <c r="AO27" s="299">
        <v>685800</v>
      </c>
      <c r="AP27" s="299">
        <v>432850.08</v>
      </c>
      <c r="AQ27" s="299">
        <v>586200</v>
      </c>
      <c r="AR27" s="300">
        <v>478980.95</v>
      </c>
      <c r="AS27" s="300">
        <v>713300</v>
      </c>
      <c r="AT27" s="300">
        <v>480952.4</v>
      </c>
      <c r="AU27" s="300">
        <v>634000</v>
      </c>
      <c r="AV27" s="300">
        <v>341533.52</v>
      </c>
      <c r="AW27" s="300">
        <v>393200</v>
      </c>
      <c r="AX27" s="300">
        <v>337195.68</v>
      </c>
      <c r="AY27" s="300">
        <v>421600</v>
      </c>
      <c r="AZ27" s="300">
        <v>490925.34</v>
      </c>
      <c r="BA27" s="300">
        <v>600300</v>
      </c>
      <c r="BB27" s="300">
        <v>2535180</v>
      </c>
      <c r="BC27" s="300">
        <v>3100000</v>
      </c>
      <c r="BD27" s="300">
        <v>234553.5</v>
      </c>
      <c r="BE27" s="300">
        <v>423000</v>
      </c>
      <c r="BF27" s="300">
        <v>299426.4</v>
      </c>
      <c r="BG27" s="300">
        <v>731200</v>
      </c>
      <c r="BH27" s="300">
        <v>292254.93</v>
      </c>
      <c r="BI27" s="300">
        <v>513900</v>
      </c>
      <c r="BJ27" s="300">
        <v>239059.54</v>
      </c>
      <c r="BK27" s="300">
        <v>377900</v>
      </c>
      <c r="BL27" s="266">
        <v>91000</v>
      </c>
      <c r="BM27" s="266">
        <v>374200</v>
      </c>
      <c r="BN27" s="266">
        <v>293200</v>
      </c>
      <c r="BO27" s="266">
        <v>2200000</v>
      </c>
      <c r="BP27" s="266">
        <v>346320</v>
      </c>
      <c r="BQ27" s="266">
        <v>1300000</v>
      </c>
      <c r="BR27" s="266">
        <v>122554.8</v>
      </c>
      <c r="BS27" s="266">
        <v>230800</v>
      </c>
      <c r="BT27" s="266">
        <v>141060.09</v>
      </c>
      <c r="BU27" s="266">
        <v>299300</v>
      </c>
      <c r="BV27" s="266">
        <v>154017</v>
      </c>
      <c r="BW27" s="266">
        <v>235500</v>
      </c>
      <c r="BX27" s="266">
        <v>82100</v>
      </c>
      <c r="BY27" s="266">
        <v>164893</v>
      </c>
      <c r="BZ27" s="266">
        <v>82100</v>
      </c>
      <c r="CA27" s="266">
        <v>146900</v>
      </c>
      <c r="CB27" s="266">
        <v>189600</v>
      </c>
      <c r="CC27" s="266">
        <v>264900</v>
      </c>
      <c r="CD27" s="311">
        <v>293300</v>
      </c>
      <c r="CE27" s="311">
        <v>431300</v>
      </c>
      <c r="CF27" s="311">
        <v>132700</v>
      </c>
      <c r="CG27" s="311">
        <v>267600</v>
      </c>
      <c r="CH27" s="311">
        <v>657700</v>
      </c>
      <c r="CI27" s="311">
        <v>736000</v>
      </c>
      <c r="CJ27" s="311">
        <v>275400</v>
      </c>
      <c r="CK27" s="311">
        <v>361700</v>
      </c>
      <c r="CL27" s="311">
        <v>275400</v>
      </c>
      <c r="CM27" s="311">
        <v>361700</v>
      </c>
      <c r="CN27" s="311">
        <v>290000</v>
      </c>
      <c r="CO27" s="311">
        <v>380300</v>
      </c>
      <c r="CP27" s="311">
        <v>179900</v>
      </c>
      <c r="CQ27" s="311">
        <v>315400</v>
      </c>
      <c r="CR27" s="311">
        <v>180900</v>
      </c>
      <c r="CS27" s="258">
        <v>266700</v>
      </c>
      <c r="CT27" s="258">
        <v>132000</v>
      </c>
      <c r="CU27" s="258">
        <v>258800</v>
      </c>
      <c r="CV27" s="258">
        <v>54300</v>
      </c>
      <c r="CW27" s="258">
        <v>153500</v>
      </c>
      <c r="CX27" s="266">
        <f t="shared" si="0"/>
        <v>-77700</v>
      </c>
      <c r="CY27" s="266">
        <f t="shared" si="1"/>
        <v>-105300</v>
      </c>
      <c r="DA27" s="301" t="s">
        <v>4783</v>
      </c>
      <c r="DB27" s="258">
        <v>0</v>
      </c>
      <c r="DC27" s="258">
        <f t="shared" si="33"/>
        <v>1</v>
      </c>
    </row>
    <row r="28" spans="1:107">
      <c r="A28" s="264" t="s">
        <v>4739</v>
      </c>
      <c r="B28" s="264" t="s">
        <v>4784</v>
      </c>
      <c r="C28" s="264">
        <v>4</v>
      </c>
      <c r="D28" s="265" t="s">
        <v>4785</v>
      </c>
      <c r="E28" s="306">
        <f t="shared" si="3"/>
        <v>0.00254348992940051</v>
      </c>
      <c r="F28" s="306">
        <f t="shared" si="4"/>
        <v>0.00305930801770631</v>
      </c>
      <c r="G28" s="304">
        <f t="shared" si="5"/>
        <v>0.00246335806563445</v>
      </c>
      <c r="H28" s="304">
        <f t="shared" si="6"/>
        <v>0.00272931681789791</v>
      </c>
      <c r="I28" s="304">
        <f t="shared" si="18"/>
        <v>0.0018771403379579</v>
      </c>
      <c r="J28" s="304">
        <f t="shared" si="7"/>
        <v>0.00206375633996663</v>
      </c>
      <c r="K28" s="304">
        <f t="shared" si="8"/>
        <v>0.0017631173246926</v>
      </c>
      <c r="L28" s="304">
        <f t="shared" si="9"/>
        <v>0.00269323713728345</v>
      </c>
      <c r="M28" s="304">
        <f t="shared" si="10"/>
        <v>0.00402975610927603</v>
      </c>
      <c r="N28" s="304">
        <f t="shared" si="11"/>
        <v>0.00281888960554163</v>
      </c>
      <c r="O28" s="304">
        <f t="shared" si="12"/>
        <v>0.00301943707003373</v>
      </c>
      <c r="P28" s="304">
        <f t="shared" si="13"/>
        <v>0.00293930882313564</v>
      </c>
      <c r="Q28" s="304">
        <v>0.0029780067941932</v>
      </c>
      <c r="R28" s="304">
        <f t="shared" si="14"/>
        <v>0.00312745592561731</v>
      </c>
      <c r="S28" s="304">
        <f t="shared" si="15"/>
        <v>0.0020852772888275</v>
      </c>
      <c r="T28" s="304">
        <v>0.00262801661778813</v>
      </c>
      <c r="U28" s="304">
        <v>0.00256156825844578</v>
      </c>
      <c r="V28" s="304">
        <v>0.0019133867267981</v>
      </c>
      <c r="W28" s="304">
        <v>0.0019133867267981</v>
      </c>
      <c r="X28" s="304">
        <f t="shared" si="16"/>
        <v>0.0027560096028792</v>
      </c>
      <c r="Y28" s="304">
        <f t="shared" si="19"/>
        <v>0.00134638223754634</v>
      </c>
      <c r="Z28" s="304">
        <f t="shared" si="20"/>
        <v>0.00250487257526257</v>
      </c>
      <c r="AA28" s="304">
        <f t="shared" si="21"/>
        <v>0.00124539538880646</v>
      </c>
      <c r="AB28" s="304">
        <f t="shared" si="22"/>
        <v>0.00305367581442835</v>
      </c>
      <c r="AC28" s="304">
        <f t="shared" si="17"/>
        <v>0.00265869570001759</v>
      </c>
      <c r="AD28" s="304">
        <f t="shared" si="23"/>
        <v>0.00320481678554379</v>
      </c>
      <c r="AE28" s="304">
        <f t="shared" si="24"/>
        <v>0.00107630177450406</v>
      </c>
      <c r="AF28" s="303">
        <f t="shared" si="25"/>
        <v>-0.00212851501103973</v>
      </c>
      <c r="AG28" s="303">
        <f t="shared" si="26"/>
        <v>0.00179614784106706</v>
      </c>
      <c r="AH28" s="303">
        <f t="shared" si="27"/>
        <v>0.00144011710663083</v>
      </c>
      <c r="AI28" s="303">
        <f t="shared" si="28"/>
        <v>0.00310940953294345</v>
      </c>
      <c r="AJ28" s="303">
        <f t="shared" si="29"/>
        <v>0.000640970851939617</v>
      </c>
      <c r="AK28" s="303">
        <f t="shared" si="30"/>
        <v>-0.00246843868100383</v>
      </c>
      <c r="AL28" s="304">
        <f t="shared" si="31"/>
        <v>-0.00246843868100383</v>
      </c>
      <c r="AM28" s="304">
        <f t="shared" si="32"/>
        <v>-3.61744966442953</v>
      </c>
      <c r="AN28" s="299">
        <v>476600</v>
      </c>
      <c r="AO28" s="299">
        <v>595500</v>
      </c>
      <c r="AP28" s="299">
        <v>538260.7</v>
      </c>
      <c r="AQ28" s="299">
        <v>663700</v>
      </c>
      <c r="AR28" s="300">
        <v>437300.7</v>
      </c>
      <c r="AS28" s="300">
        <v>557000</v>
      </c>
      <c r="AT28" s="300">
        <v>462073.92</v>
      </c>
      <c r="AU28" s="300">
        <v>585200</v>
      </c>
      <c r="AV28" s="300">
        <v>317800.26</v>
      </c>
      <c r="AW28" s="300">
        <v>383400</v>
      </c>
      <c r="AX28" s="300">
        <v>291141.1</v>
      </c>
      <c r="AY28" s="300">
        <v>367000</v>
      </c>
      <c r="AZ28" s="300">
        <v>232228.52</v>
      </c>
      <c r="BA28" s="300">
        <v>310300</v>
      </c>
      <c r="BB28" s="300">
        <v>369680.3</v>
      </c>
      <c r="BC28" s="300">
        <v>634100</v>
      </c>
      <c r="BD28" s="300">
        <v>519183</v>
      </c>
      <c r="BE28" s="300">
        <v>723600</v>
      </c>
      <c r="BF28" s="300">
        <v>347980.92</v>
      </c>
      <c r="BG28" s="300">
        <v>418800</v>
      </c>
      <c r="BH28" s="300">
        <v>351796.4</v>
      </c>
      <c r="BI28" s="300">
        <v>451600</v>
      </c>
      <c r="BJ28" s="300">
        <v>335522.88</v>
      </c>
      <c r="BK28" s="300">
        <v>428400</v>
      </c>
      <c r="BL28" s="266">
        <v>396333</v>
      </c>
      <c r="BM28" s="266">
        <v>489300</v>
      </c>
      <c r="BN28" s="266">
        <v>391632.36</v>
      </c>
      <c r="BO28" s="266">
        <v>550200</v>
      </c>
      <c r="BP28" s="266">
        <v>274327.72</v>
      </c>
      <c r="BQ28" s="266">
        <v>385400</v>
      </c>
      <c r="BR28" s="266">
        <v>318081.5</v>
      </c>
      <c r="BS28" s="266">
        <v>383000</v>
      </c>
      <c r="BT28" s="266">
        <v>288171.84</v>
      </c>
      <c r="BU28" s="266">
        <v>376400</v>
      </c>
      <c r="BV28" s="266">
        <v>246191.4</v>
      </c>
      <c r="BW28" s="266">
        <v>421200</v>
      </c>
      <c r="BX28" s="266">
        <v>394300</v>
      </c>
      <c r="BY28" s="266">
        <v>456400</v>
      </c>
      <c r="BZ28" s="266">
        <v>394300</v>
      </c>
      <c r="CA28" s="266">
        <v>456400</v>
      </c>
      <c r="CB28" s="266">
        <v>181500</v>
      </c>
      <c r="CC28" s="266">
        <v>229100</v>
      </c>
      <c r="CD28" s="311">
        <v>349700</v>
      </c>
      <c r="CE28" s="311">
        <v>388200</v>
      </c>
      <c r="CF28" s="311">
        <v>154200</v>
      </c>
      <c r="CG28" s="311">
        <v>266400</v>
      </c>
      <c r="CH28" s="311">
        <v>399000</v>
      </c>
      <c r="CI28" s="311">
        <v>465000</v>
      </c>
      <c r="CJ28" s="311">
        <v>414000</v>
      </c>
      <c r="CK28" s="311">
        <v>586600</v>
      </c>
      <c r="CL28" s="311">
        <v>557000</v>
      </c>
      <c r="CM28" s="311">
        <v>411800</v>
      </c>
      <c r="CN28" s="311">
        <v>163700</v>
      </c>
      <c r="CO28" s="311">
        <v>234000</v>
      </c>
      <c r="CP28" s="311">
        <v>285800</v>
      </c>
      <c r="CQ28" s="311">
        <v>370800</v>
      </c>
      <c r="CR28" s="311">
        <v>223100</v>
      </c>
      <c r="CS28" s="258">
        <v>282500</v>
      </c>
      <c r="CT28" s="258">
        <v>481600</v>
      </c>
      <c r="CU28" s="258">
        <v>569900</v>
      </c>
      <c r="CV28" s="258">
        <v>104300</v>
      </c>
      <c r="CW28" s="258">
        <v>156400</v>
      </c>
      <c r="CX28" s="266">
        <f t="shared" si="0"/>
        <v>-377300</v>
      </c>
      <c r="CY28" s="266">
        <f t="shared" si="1"/>
        <v>-413500</v>
      </c>
      <c r="DA28" s="301" t="s">
        <v>4785</v>
      </c>
      <c r="DB28" s="258">
        <v>104300</v>
      </c>
      <c r="DC28" s="258">
        <f t="shared" si="33"/>
        <v>1</v>
      </c>
    </row>
    <row r="29" spans="1:107">
      <c r="A29" s="264" t="s">
        <v>4786</v>
      </c>
      <c r="B29" s="264" t="s">
        <v>4776</v>
      </c>
      <c r="C29" s="264"/>
      <c r="D29" s="265" t="s">
        <v>4787</v>
      </c>
      <c r="E29" s="306">
        <f t="shared" si="3"/>
        <v>0.0022392957918096</v>
      </c>
      <c r="F29" s="306">
        <f t="shared" si="4"/>
        <v>0.00250988932975255</v>
      </c>
      <c r="G29" s="304">
        <f t="shared" si="5"/>
        <v>0.00255571508700776</v>
      </c>
      <c r="H29" s="304">
        <f t="shared" si="6"/>
        <v>0.00259341504008375</v>
      </c>
      <c r="I29" s="304">
        <f t="shared" si="18"/>
        <v>0.00171104332356318</v>
      </c>
      <c r="J29" s="304">
        <f t="shared" si="7"/>
        <v>0.00210034297089267</v>
      </c>
      <c r="K29" s="304">
        <f t="shared" si="8"/>
        <v>0.00215335523146902</v>
      </c>
      <c r="L29" s="304">
        <f t="shared" si="9"/>
        <v>0.0034422429124072</v>
      </c>
      <c r="M29" s="304">
        <f t="shared" si="10"/>
        <v>0.00443513725919259</v>
      </c>
      <c r="N29" s="304">
        <f t="shared" si="11"/>
        <v>0.00299621331614662</v>
      </c>
      <c r="O29" s="304">
        <f t="shared" si="12"/>
        <v>0.00284286385314228</v>
      </c>
      <c r="P29" s="304">
        <f t="shared" si="13"/>
        <v>0.00261096512528793</v>
      </c>
      <c r="Q29" s="304">
        <v>0.00611520209349151</v>
      </c>
      <c r="R29" s="304">
        <f t="shared" si="14"/>
        <v>0.00267749309088234</v>
      </c>
      <c r="S29" s="304">
        <f t="shared" si="15"/>
        <v>0.00328044839722954</v>
      </c>
      <c r="T29" s="304">
        <v>0.00164993851755695</v>
      </c>
      <c r="U29" s="304">
        <v>0.00327682471523774</v>
      </c>
      <c r="V29" s="304">
        <v>0.00177732245824637</v>
      </c>
      <c r="W29" s="304">
        <v>0.00177732245824637</v>
      </c>
      <c r="X29" s="304">
        <f t="shared" si="16"/>
        <v>0.00664244207530043</v>
      </c>
      <c r="Y29" s="304">
        <f t="shared" si="19"/>
        <v>0.00148584221587069</v>
      </c>
      <c r="Z29" s="304">
        <f t="shared" si="20"/>
        <v>0.00225202155465414</v>
      </c>
      <c r="AA29" s="304">
        <f t="shared" si="21"/>
        <v>0.00255459508093051</v>
      </c>
      <c r="AB29" s="304">
        <f t="shared" si="22"/>
        <v>0.00306974779239903</v>
      </c>
      <c r="AC29" s="304">
        <f t="shared" si="17"/>
        <v>0.00409721704495465</v>
      </c>
      <c r="AD29" s="304">
        <f t="shared" si="23"/>
        <v>0.0063290816231565</v>
      </c>
      <c r="AE29" s="304">
        <f t="shared" si="24"/>
        <v>0.00503961704433331</v>
      </c>
      <c r="AF29" s="303">
        <f t="shared" si="25"/>
        <v>-0.00128946457882319</v>
      </c>
      <c r="AG29" s="303">
        <f t="shared" si="26"/>
        <v>0.0024346664577655</v>
      </c>
      <c r="AH29" s="303">
        <f t="shared" si="27"/>
        <v>0.0019352178779378</v>
      </c>
      <c r="AI29" s="303">
        <f t="shared" si="28"/>
        <v>0.00290603245593406</v>
      </c>
      <c r="AJ29" s="303">
        <f t="shared" si="29"/>
        <v>0.00495077774038884</v>
      </c>
      <c r="AK29" s="303">
        <f t="shared" si="30"/>
        <v>0.00204474528445478</v>
      </c>
      <c r="AL29" s="304">
        <f t="shared" si="31"/>
        <v>0.00204474528445478</v>
      </c>
      <c r="AM29" s="304">
        <f t="shared" si="32"/>
        <v>0.441285998013903</v>
      </c>
      <c r="AN29" s="299">
        <v>419600</v>
      </c>
      <c r="AO29" s="299">
        <v>808900</v>
      </c>
      <c r="AP29" s="299">
        <v>441594.89</v>
      </c>
      <c r="AQ29" s="299">
        <v>814300</v>
      </c>
      <c r="AR29" s="300">
        <v>453696.12</v>
      </c>
      <c r="AS29" s="300">
        <v>844400</v>
      </c>
      <c r="AT29" s="300">
        <v>439065.72</v>
      </c>
      <c r="AU29" s="300">
        <v>807700</v>
      </c>
      <c r="AV29" s="300">
        <v>289680</v>
      </c>
      <c r="AW29" s="300">
        <v>510000</v>
      </c>
      <c r="AX29" s="300">
        <v>296302.5</v>
      </c>
      <c r="AY29" s="300">
        <v>585000</v>
      </c>
      <c r="AZ29" s="300">
        <v>283628.6</v>
      </c>
      <c r="BA29" s="300">
        <v>542000</v>
      </c>
      <c r="BB29" s="300">
        <v>472490.66</v>
      </c>
      <c r="BC29" s="300">
        <v>826900</v>
      </c>
      <c r="BD29" s="300">
        <v>571411.22321</v>
      </c>
      <c r="BE29" s="300">
        <v>1000000</v>
      </c>
      <c r="BF29" s="300">
        <v>369870.84</v>
      </c>
      <c r="BG29" s="300">
        <v>835300</v>
      </c>
      <c r="BH29" s="300">
        <v>331223.75</v>
      </c>
      <c r="BI29" s="300">
        <v>599500</v>
      </c>
      <c r="BJ29" s="300">
        <v>298042.36</v>
      </c>
      <c r="BK29" s="300">
        <v>879700</v>
      </c>
      <c r="BL29" s="266">
        <v>341209.6</v>
      </c>
      <c r="BM29" s="266">
        <v>927200</v>
      </c>
      <c r="BN29" s="266">
        <v>335286.24</v>
      </c>
      <c r="BO29" s="266">
        <v>725100</v>
      </c>
      <c r="BP29" s="266">
        <v>431557.92</v>
      </c>
      <c r="BQ29" s="266">
        <v>933300</v>
      </c>
      <c r="BR29" s="266">
        <v>199700</v>
      </c>
      <c r="BS29" s="266">
        <v>1200000</v>
      </c>
      <c r="BT29" s="266">
        <v>368636.91</v>
      </c>
      <c r="BU29" s="266">
        <v>861100</v>
      </c>
      <c r="BV29" s="266">
        <v>228684.3</v>
      </c>
      <c r="BW29" s="266">
        <v>744900</v>
      </c>
      <c r="BX29" s="266">
        <v>414100</v>
      </c>
      <c r="BY29" s="266">
        <v>1100000</v>
      </c>
      <c r="BZ29" s="266">
        <v>414100</v>
      </c>
      <c r="CA29" s="266">
        <v>1100000</v>
      </c>
      <c r="CB29" s="266">
        <v>200300</v>
      </c>
      <c r="CC29" s="266">
        <v>667800</v>
      </c>
      <c r="CD29" s="311">
        <v>314400</v>
      </c>
      <c r="CE29" s="311">
        <v>603400</v>
      </c>
      <c r="CF29" s="311">
        <v>316300</v>
      </c>
      <c r="CG29" s="311">
        <v>709000</v>
      </c>
      <c r="CH29" s="311">
        <v>401100</v>
      </c>
      <c r="CI29" s="311">
        <v>938300</v>
      </c>
      <c r="CJ29" s="311">
        <v>638000</v>
      </c>
      <c r="CK29" s="311">
        <v>1000000</v>
      </c>
      <c r="CL29" s="311">
        <v>1100000</v>
      </c>
      <c r="CM29" s="311">
        <v>1100000</v>
      </c>
      <c r="CN29" s="311">
        <v>766500</v>
      </c>
      <c r="CO29" s="311">
        <v>1300000</v>
      </c>
      <c r="CP29" s="311">
        <v>387400</v>
      </c>
      <c r="CQ29" s="311">
        <v>917700</v>
      </c>
      <c r="CR29" s="311">
        <v>299800</v>
      </c>
      <c r="CS29" s="258">
        <v>883100</v>
      </c>
      <c r="CT29" s="258">
        <v>450100</v>
      </c>
      <c r="CU29" s="258">
        <v>1200000</v>
      </c>
      <c r="CV29" s="258">
        <v>805600</v>
      </c>
      <c r="CW29" s="258">
        <v>1600000</v>
      </c>
      <c r="CX29" s="266">
        <f t="shared" si="0"/>
        <v>355500</v>
      </c>
      <c r="CY29" s="266">
        <f t="shared" si="1"/>
        <v>400000</v>
      </c>
      <c r="DA29" s="301" t="s">
        <v>4787</v>
      </c>
      <c r="DB29" s="258">
        <v>805600</v>
      </c>
      <c r="DC29" s="258">
        <f t="shared" si="33"/>
        <v>1</v>
      </c>
    </row>
    <row r="30" spans="1:107">
      <c r="A30" s="264" t="s">
        <v>4788</v>
      </c>
      <c r="B30" s="264" t="s">
        <v>4776</v>
      </c>
      <c r="C30" s="264"/>
      <c r="D30" s="265" t="s">
        <v>4789</v>
      </c>
      <c r="E30" s="306">
        <f t="shared" si="3"/>
        <v>0.002127224267434</v>
      </c>
      <c r="F30" s="306">
        <f t="shared" si="4"/>
        <v>0.00212510656633284</v>
      </c>
      <c r="G30" s="304">
        <f t="shared" si="5"/>
        <v>0.00192278657947756</v>
      </c>
      <c r="H30" s="304">
        <f t="shared" si="6"/>
        <v>0.00187740283024352</v>
      </c>
      <c r="I30" s="304">
        <f t="shared" si="18"/>
        <v>0.00147985129380096</v>
      </c>
      <c r="J30" s="304">
        <f t="shared" si="7"/>
        <v>0.00179969562387035</v>
      </c>
      <c r="K30" s="304">
        <f t="shared" si="8"/>
        <v>0.00190052549601483</v>
      </c>
      <c r="L30" s="304">
        <f t="shared" si="9"/>
        <v>0.00201765698410136</v>
      </c>
      <c r="M30" s="304">
        <f t="shared" si="10"/>
        <v>0.00448198974387379</v>
      </c>
      <c r="N30" s="304">
        <f t="shared" si="11"/>
        <v>0.00170655310232329</v>
      </c>
      <c r="O30" s="304">
        <f t="shared" si="12"/>
        <v>0.00226362252456937</v>
      </c>
      <c r="P30" s="304">
        <f t="shared" si="13"/>
        <v>0.0028590593376927</v>
      </c>
      <c r="Q30" s="304">
        <v>0.00276737746211091</v>
      </c>
      <c r="R30" s="304">
        <f t="shared" si="14"/>
        <v>0.00227492534606931</v>
      </c>
      <c r="S30" s="304">
        <f t="shared" si="15"/>
        <v>0.00174121834724077</v>
      </c>
      <c r="T30" s="304">
        <v>0.00151429754296748</v>
      </c>
      <c r="U30" s="304">
        <v>0.00114012340037754</v>
      </c>
      <c r="V30" s="304">
        <v>0.00183495253977379</v>
      </c>
      <c r="W30" s="304">
        <v>0.00183495253977379</v>
      </c>
      <c r="X30" s="304">
        <f t="shared" si="16"/>
        <v>0.00192208119324375</v>
      </c>
      <c r="Y30" s="304">
        <f t="shared" si="19"/>
        <v>0.0024531603633971</v>
      </c>
      <c r="Z30" s="304">
        <f t="shared" si="20"/>
        <v>0.00289095387868452</v>
      </c>
      <c r="AA30" s="304">
        <f t="shared" si="21"/>
        <v>0.00250452081756734</v>
      </c>
      <c r="AB30" s="304">
        <f t="shared" si="22"/>
        <v>0.00224625025447298</v>
      </c>
      <c r="AC30" s="304">
        <f t="shared" si="17"/>
        <v>0.00299970232241115</v>
      </c>
      <c r="AD30" s="304">
        <f t="shared" si="23"/>
        <v>0.00503449674569267</v>
      </c>
      <c r="AE30" s="304">
        <f t="shared" si="24"/>
        <v>0.00181860153224083</v>
      </c>
      <c r="AF30" s="303">
        <f t="shared" si="25"/>
        <v>-0.00321589521345184</v>
      </c>
      <c r="AG30" s="303">
        <f t="shared" si="26"/>
        <v>0.00165662900946563</v>
      </c>
      <c r="AH30" s="303">
        <f t="shared" si="27"/>
        <v>0.00238319693307084</v>
      </c>
      <c r="AI30" s="303">
        <f t="shared" si="28"/>
        <v>0.00135197333097666</v>
      </c>
      <c r="AJ30" s="303">
        <f t="shared" si="29"/>
        <v>0.0020114070933829</v>
      </c>
      <c r="AK30" s="303">
        <f t="shared" si="30"/>
        <v>0.000659433762406242</v>
      </c>
      <c r="AL30" s="304">
        <f t="shared" si="31"/>
        <v>0.000659433762406242</v>
      </c>
      <c r="AM30" s="304">
        <f t="shared" si="32"/>
        <v>0.360219981668194</v>
      </c>
      <c r="AN30" s="299">
        <v>398600</v>
      </c>
      <c r="AO30" s="299">
        <v>441300</v>
      </c>
      <c r="AP30" s="299">
        <v>373895.45</v>
      </c>
      <c r="AQ30" s="299">
        <v>411100</v>
      </c>
      <c r="AR30" s="300">
        <v>341337.27</v>
      </c>
      <c r="AS30" s="300">
        <v>385300</v>
      </c>
      <c r="AT30" s="300">
        <v>317844.7</v>
      </c>
      <c r="AU30" s="300">
        <v>354500</v>
      </c>
      <c r="AV30" s="300">
        <v>250539.14</v>
      </c>
      <c r="AW30" s="300">
        <v>297800</v>
      </c>
      <c r="AX30" s="300">
        <v>253889.16</v>
      </c>
      <c r="AY30" s="300">
        <v>287400</v>
      </c>
      <c r="AZ30" s="300">
        <v>250327.2</v>
      </c>
      <c r="BA30" s="300">
        <v>296000</v>
      </c>
      <c r="BB30" s="300">
        <v>276948.52</v>
      </c>
      <c r="BC30" s="300">
        <v>308200</v>
      </c>
      <c r="BD30" s="300">
        <v>577447.572034746</v>
      </c>
      <c r="BE30" s="300">
        <v>642600</v>
      </c>
      <c r="BF30" s="300">
        <v>210667.32</v>
      </c>
      <c r="BG30" s="300">
        <v>266600</v>
      </c>
      <c r="BH30" s="300">
        <v>263736</v>
      </c>
      <c r="BI30" s="300">
        <v>325600</v>
      </c>
      <c r="BJ30" s="300">
        <v>326362.38</v>
      </c>
      <c r="BK30" s="300">
        <v>398100</v>
      </c>
      <c r="BL30" s="266">
        <v>216087.7</v>
      </c>
      <c r="BM30" s="266">
        <v>277000</v>
      </c>
      <c r="BN30" s="266">
        <v>284875.12</v>
      </c>
      <c r="BO30" s="266">
        <v>396100</v>
      </c>
      <c r="BP30" s="266">
        <v>229065.2</v>
      </c>
      <c r="BQ30" s="266">
        <v>318500</v>
      </c>
      <c r="BR30" s="266">
        <v>183282.72</v>
      </c>
      <c r="BS30" s="266">
        <v>216800</v>
      </c>
      <c r="BT30" s="266">
        <v>128261.84</v>
      </c>
      <c r="BU30" s="266">
        <v>186400</v>
      </c>
      <c r="BV30" s="266">
        <v>236099.44</v>
      </c>
      <c r="BW30" s="266">
        <v>273200</v>
      </c>
      <c r="BX30" s="266">
        <v>235600</v>
      </c>
      <c r="BY30" s="266">
        <v>318300</v>
      </c>
      <c r="BZ30" s="266">
        <v>235600</v>
      </c>
      <c r="CA30" s="266">
        <v>318300</v>
      </c>
      <c r="CB30" s="266">
        <v>330700</v>
      </c>
      <c r="CC30" s="266">
        <v>436100</v>
      </c>
      <c r="CD30" s="311">
        <v>403600</v>
      </c>
      <c r="CE30" s="311">
        <v>522800</v>
      </c>
      <c r="CF30" s="311">
        <v>310100</v>
      </c>
      <c r="CG30" s="311">
        <v>399900</v>
      </c>
      <c r="CH30" s="311">
        <v>293500</v>
      </c>
      <c r="CI30" s="311">
        <v>415400</v>
      </c>
      <c r="CJ30" s="311">
        <v>467100</v>
      </c>
      <c r="CK30" s="311">
        <v>632000</v>
      </c>
      <c r="CL30" s="311">
        <v>875000</v>
      </c>
      <c r="CM30" s="311">
        <v>805600</v>
      </c>
      <c r="CN30" s="311">
        <v>276600</v>
      </c>
      <c r="CO30" s="311">
        <v>459400</v>
      </c>
      <c r="CP30" s="311">
        <v>263600</v>
      </c>
      <c r="CQ30" s="311">
        <v>304200</v>
      </c>
      <c r="CR30" s="311">
        <v>369200</v>
      </c>
      <c r="CS30" s="258">
        <v>416400</v>
      </c>
      <c r="CT30" s="258">
        <v>209400</v>
      </c>
      <c r="CU30" s="258">
        <v>261500</v>
      </c>
      <c r="CV30" s="258">
        <v>327300</v>
      </c>
      <c r="CW30" s="258">
        <v>415800</v>
      </c>
      <c r="CX30" s="266">
        <f t="shared" si="0"/>
        <v>117900</v>
      </c>
      <c r="CY30" s="266">
        <f t="shared" si="1"/>
        <v>154300</v>
      </c>
      <c r="DA30" s="301" t="s">
        <v>4789</v>
      </c>
      <c r="DB30" s="258">
        <v>327300</v>
      </c>
      <c r="DC30" s="258">
        <f t="shared" si="33"/>
        <v>1</v>
      </c>
    </row>
    <row r="31" spans="1:107">
      <c r="A31" s="264" t="s">
        <v>4790</v>
      </c>
      <c r="B31" s="264" t="s">
        <v>4776</v>
      </c>
      <c r="C31" s="264"/>
      <c r="D31" s="258" t="s">
        <v>4791</v>
      </c>
      <c r="E31" s="306">
        <f t="shared" si="3"/>
        <v>0.00192976491496271</v>
      </c>
      <c r="F31" s="306">
        <f t="shared" si="4"/>
        <v>0.000193722047673588</v>
      </c>
      <c r="G31" s="304">
        <f t="shared" si="5"/>
        <v>0.000165793928350811</v>
      </c>
      <c r="H31" s="304">
        <f t="shared" si="6"/>
        <v>0.000277988426741632</v>
      </c>
      <c r="I31" s="304">
        <f t="shared" si="18"/>
        <v>0</v>
      </c>
      <c r="J31" s="304">
        <f t="shared" si="7"/>
        <v>0</v>
      </c>
      <c r="K31" s="304">
        <f t="shared" si="8"/>
        <v>0</v>
      </c>
      <c r="L31" s="304">
        <f t="shared" si="9"/>
        <v>0</v>
      </c>
      <c r="M31" s="304">
        <f t="shared" si="10"/>
        <v>0</v>
      </c>
      <c r="N31" s="304">
        <f t="shared" si="11"/>
        <v>0</v>
      </c>
      <c r="O31" s="304">
        <f t="shared" si="12"/>
        <v>4.04226768256462e-5</v>
      </c>
      <c r="P31" s="304">
        <f t="shared" si="13"/>
        <v>6.86061484408833e-5</v>
      </c>
      <c r="Q31" s="304">
        <v>0.00442599655897015</v>
      </c>
      <c r="R31" s="304">
        <f t="shared" si="14"/>
        <v>0.00019964233328531</v>
      </c>
      <c r="S31" s="304">
        <f t="shared" si="15"/>
        <v>0.000195281421776642</v>
      </c>
      <c r="T31" s="304">
        <v>0.000607214719088395</v>
      </c>
      <c r="U31" s="304">
        <v>0.000574847287508125</v>
      </c>
      <c r="V31" s="304">
        <v>0.000657093633038045</v>
      </c>
      <c r="W31" s="304">
        <v>0.000657093633038045</v>
      </c>
      <c r="X31" s="304">
        <f t="shared" si="16"/>
        <v>0.0019172503262799</v>
      </c>
      <c r="Y31" s="304">
        <f t="shared" si="19"/>
        <v>0.000265567405532555</v>
      </c>
      <c r="Z31" s="304">
        <f t="shared" si="20"/>
        <v>0.000305856616996603</v>
      </c>
      <c r="AA31" s="304">
        <f t="shared" si="21"/>
        <v>0.00022452653572516</v>
      </c>
      <c r="AB31" s="304">
        <f t="shared" si="22"/>
        <v>0.00160566713249892</v>
      </c>
      <c r="AC31" s="304">
        <f t="shared" si="17"/>
        <v>0.000393024581741731</v>
      </c>
      <c r="AD31" s="304">
        <f t="shared" si="23"/>
        <v>0.00118066140824701</v>
      </c>
      <c r="AE31" s="304">
        <f t="shared" si="24"/>
        <v>0.000130839372710023</v>
      </c>
      <c r="AF31" s="303">
        <f t="shared" si="25"/>
        <v>-0.00104982203553699</v>
      </c>
      <c r="AG31" s="303">
        <f t="shared" si="26"/>
        <v>9.0498701579306e-5</v>
      </c>
      <c r="AH31" s="303">
        <f t="shared" si="27"/>
        <v>0.00010069846196074</v>
      </c>
      <c r="AI31" s="303">
        <f t="shared" si="28"/>
        <v>0.00010330264229048</v>
      </c>
      <c r="AJ31" s="303">
        <f t="shared" si="29"/>
        <v>0.000152407259138087</v>
      </c>
      <c r="AK31" s="303">
        <f t="shared" si="30"/>
        <v>4.91046168476073e-5</v>
      </c>
      <c r="AL31" s="304">
        <f t="shared" si="31"/>
        <v>4.91046168476073e-5</v>
      </c>
      <c r="AM31" s="304">
        <f t="shared" si="32"/>
        <v>0.354838709677419</v>
      </c>
      <c r="AN31" s="299">
        <v>361600</v>
      </c>
      <c r="AO31" s="299">
        <v>489000</v>
      </c>
      <c r="AP31" s="299">
        <v>34083.84</v>
      </c>
      <c r="AQ31" s="299">
        <v>221900</v>
      </c>
      <c r="AR31" s="300">
        <v>29432.1</v>
      </c>
      <c r="AS31" s="300">
        <v>147900</v>
      </c>
      <c r="AT31" s="300">
        <v>47063.5</v>
      </c>
      <c r="AU31" s="300">
        <v>236500</v>
      </c>
      <c r="AV31" s="300">
        <v>0</v>
      </c>
      <c r="AW31" s="300">
        <v>140800</v>
      </c>
      <c r="AX31" s="300">
        <v>0</v>
      </c>
      <c r="AY31" s="300">
        <v>379700</v>
      </c>
      <c r="AZ31" s="300">
        <v>0</v>
      </c>
      <c r="BA31" s="300">
        <v>233600</v>
      </c>
      <c r="BB31" s="300">
        <v>0</v>
      </c>
      <c r="BC31" s="300">
        <v>420600</v>
      </c>
      <c r="BD31" s="300">
        <v>0</v>
      </c>
      <c r="BE31" s="300">
        <v>298200</v>
      </c>
      <c r="BF31" s="300">
        <v>0</v>
      </c>
      <c r="BG31" s="300">
        <v>226700</v>
      </c>
      <c r="BH31" s="300">
        <v>4709.67</v>
      </c>
      <c r="BI31" s="300">
        <v>382900</v>
      </c>
      <c r="BJ31" s="300">
        <v>7831.41</v>
      </c>
      <c r="BK31" s="300">
        <v>636700</v>
      </c>
      <c r="BL31" s="266">
        <v>25300</v>
      </c>
      <c r="BM31" s="266">
        <v>366400</v>
      </c>
      <c r="BN31" s="266">
        <v>25000</v>
      </c>
      <c r="BO31" s="266">
        <v>274500</v>
      </c>
      <c r="BP31" s="266">
        <v>25690.16</v>
      </c>
      <c r="BQ31" s="266">
        <v>439900</v>
      </c>
      <c r="BR31" s="266">
        <v>73494.12</v>
      </c>
      <c r="BS31" s="266">
        <v>301700</v>
      </c>
      <c r="BT31" s="266">
        <v>64669.29</v>
      </c>
      <c r="BU31" s="266">
        <v>304900</v>
      </c>
      <c r="BV31" s="266">
        <v>84546.84</v>
      </c>
      <c r="BW31" s="266">
        <v>301200</v>
      </c>
      <c r="BX31" s="266">
        <v>78400</v>
      </c>
      <c r="BY31" s="266">
        <v>317500</v>
      </c>
      <c r="BZ31" s="266">
        <v>47900</v>
      </c>
      <c r="CA31" s="266">
        <v>317500</v>
      </c>
      <c r="CB31" s="266">
        <v>35800</v>
      </c>
      <c r="CC31" s="266">
        <v>240700</v>
      </c>
      <c r="CD31" s="311">
        <v>42700</v>
      </c>
      <c r="CE31" s="311">
        <v>317400</v>
      </c>
      <c r="CF31" s="311">
        <v>27800</v>
      </c>
      <c r="CG31" s="311">
        <v>308000</v>
      </c>
      <c r="CH31" s="311">
        <v>209800</v>
      </c>
      <c r="CI31" s="311">
        <v>456700</v>
      </c>
      <c r="CJ31" s="311">
        <v>61200</v>
      </c>
      <c r="CK31" s="311">
        <v>244400</v>
      </c>
      <c r="CL31" s="311">
        <v>205200</v>
      </c>
      <c r="CM31" s="311">
        <v>205200</v>
      </c>
      <c r="CN31" s="311">
        <v>19900</v>
      </c>
      <c r="CO31" s="311">
        <v>196500</v>
      </c>
      <c r="CP31" s="311">
        <v>14400</v>
      </c>
      <c r="CQ31" s="311">
        <v>274400</v>
      </c>
      <c r="CR31" s="311">
        <v>15600</v>
      </c>
      <c r="CS31" s="258">
        <v>327200</v>
      </c>
      <c r="CT31" s="258">
        <v>16000</v>
      </c>
      <c r="CU31" s="258">
        <v>225000</v>
      </c>
      <c r="CV31" s="258">
        <v>24800</v>
      </c>
      <c r="CW31" s="258">
        <v>224300</v>
      </c>
      <c r="CX31" s="266">
        <f t="shared" si="0"/>
        <v>8800</v>
      </c>
      <c r="CY31" s="266">
        <f t="shared" si="1"/>
        <v>-700</v>
      </c>
      <c r="DA31" s="301" t="s">
        <v>4791</v>
      </c>
      <c r="DB31" s="258">
        <v>0</v>
      </c>
      <c r="DC31" s="258">
        <f t="shared" si="33"/>
        <v>1</v>
      </c>
    </row>
    <row r="32" spans="1:107">
      <c r="A32" s="264" t="s">
        <v>4734</v>
      </c>
      <c r="B32" s="264" t="s">
        <v>4770</v>
      </c>
      <c r="C32" s="264">
        <v>4</v>
      </c>
      <c r="D32" s="265" t="s">
        <v>3907</v>
      </c>
      <c r="E32" s="306">
        <f t="shared" si="3"/>
        <v>0.00179634643356318</v>
      </c>
      <c r="F32" s="306">
        <f t="shared" si="4"/>
        <v>0.00182964864905774</v>
      </c>
      <c r="G32" s="304">
        <f t="shared" si="5"/>
        <v>0.0018826134028016</v>
      </c>
      <c r="H32" s="304">
        <f t="shared" si="6"/>
        <v>0.00198184800271937</v>
      </c>
      <c r="I32" s="304">
        <f t="shared" si="18"/>
        <v>0.00116961630406397</v>
      </c>
      <c r="J32" s="304">
        <f t="shared" si="7"/>
        <v>0.00151195113555752</v>
      </c>
      <c r="K32" s="304">
        <f t="shared" si="8"/>
        <v>0.00128587897295873</v>
      </c>
      <c r="L32" s="304">
        <f t="shared" si="9"/>
        <v>0.0017442602697659</v>
      </c>
      <c r="M32" s="304">
        <f t="shared" si="10"/>
        <v>0.0016333723088042</v>
      </c>
      <c r="N32" s="304">
        <f t="shared" si="11"/>
        <v>0.00097959030562219</v>
      </c>
      <c r="O32" s="304">
        <f t="shared" si="12"/>
        <v>0.000999205807635925</v>
      </c>
      <c r="P32" s="304">
        <f t="shared" si="13"/>
        <v>0.00113844676941784</v>
      </c>
      <c r="Q32" s="304">
        <v>0.00126169055356225</v>
      </c>
      <c r="R32" s="304">
        <f t="shared" si="14"/>
        <v>0.00117323570430978</v>
      </c>
      <c r="S32" s="304">
        <f t="shared" si="15"/>
        <v>0.00121208394009309</v>
      </c>
      <c r="T32" s="304">
        <v>0.00174393874537768</v>
      </c>
      <c r="U32" s="304">
        <v>0.00164312092148944</v>
      </c>
      <c r="V32" s="304">
        <v>0.000978056116508825</v>
      </c>
      <c r="W32" s="304">
        <v>0.000978056116508825</v>
      </c>
      <c r="X32" s="304">
        <f t="shared" si="16"/>
        <v>0.00254707460669248</v>
      </c>
      <c r="Y32" s="304">
        <f t="shared" si="19"/>
        <v>0.00183152492810022</v>
      </c>
      <c r="Z32" s="304">
        <f t="shared" si="20"/>
        <v>0.00254999896137683</v>
      </c>
      <c r="AA32" s="304">
        <f t="shared" si="21"/>
        <v>0.00161449116875754</v>
      </c>
      <c r="AB32" s="304">
        <f t="shared" si="22"/>
        <v>0.00263274305805352</v>
      </c>
      <c r="AC32" s="304">
        <f t="shared" si="17"/>
        <v>0.00142118202515433</v>
      </c>
      <c r="AD32" s="304">
        <f t="shared" si="23"/>
        <v>0.000484462429699798</v>
      </c>
      <c r="AE32" s="304">
        <f t="shared" si="24"/>
        <v>0.000714685417767816</v>
      </c>
      <c r="AF32" s="303">
        <f t="shared" si="25"/>
        <v>0.000230222988068018</v>
      </c>
      <c r="AG32" s="303">
        <f t="shared" si="26"/>
        <v>0.00113940379141168</v>
      </c>
      <c r="AH32" s="303">
        <f t="shared" si="27"/>
        <v>0.000277566273353321</v>
      </c>
      <c r="AI32" s="303">
        <f t="shared" si="28"/>
        <v>0.00177938801345352</v>
      </c>
      <c r="AJ32" s="303">
        <f t="shared" si="29"/>
        <v>0.00260075613174349</v>
      </c>
      <c r="AK32" s="303">
        <f t="shared" si="30"/>
        <v>0.000821368118289969</v>
      </c>
      <c r="AL32" s="304">
        <f t="shared" si="31"/>
        <v>0.000821368118289969</v>
      </c>
      <c r="AM32" s="304">
        <f t="shared" si="32"/>
        <v>0.348771266540643</v>
      </c>
      <c r="AN32" s="299">
        <v>336600</v>
      </c>
      <c r="AO32" s="299">
        <v>405300</v>
      </c>
      <c r="AP32" s="299">
        <v>321912</v>
      </c>
      <c r="AQ32" s="299">
        <v>394500</v>
      </c>
      <c r="AR32" s="300">
        <v>334205.64</v>
      </c>
      <c r="AS32" s="300">
        <v>401400</v>
      </c>
      <c r="AT32" s="300">
        <v>335527.29</v>
      </c>
      <c r="AU32" s="300">
        <v>422100</v>
      </c>
      <c r="AV32" s="300">
        <v>198016.29</v>
      </c>
      <c r="AW32" s="300">
        <v>269300</v>
      </c>
      <c r="AX32" s="300">
        <v>213296.07</v>
      </c>
      <c r="AY32" s="300">
        <v>276900</v>
      </c>
      <c r="AZ32" s="300">
        <v>169369.2</v>
      </c>
      <c r="BA32" s="300">
        <v>258500</v>
      </c>
      <c r="BB32" s="300">
        <v>239421.42</v>
      </c>
      <c r="BC32" s="300">
        <v>343700</v>
      </c>
      <c r="BD32" s="300">
        <v>210439.32</v>
      </c>
      <c r="BE32" s="300">
        <v>275300</v>
      </c>
      <c r="BF32" s="300">
        <v>120926.6</v>
      </c>
      <c r="BG32" s="300">
        <v>162100</v>
      </c>
      <c r="BH32" s="300">
        <v>116418.06</v>
      </c>
      <c r="BI32" s="300">
        <v>155100</v>
      </c>
      <c r="BJ32" s="300">
        <v>129954</v>
      </c>
      <c r="BK32" s="300">
        <v>181500</v>
      </c>
      <c r="BL32" s="266">
        <v>158625.5</v>
      </c>
      <c r="BM32" s="266">
        <v>210100</v>
      </c>
      <c r="BN32" s="266">
        <v>146917.2</v>
      </c>
      <c r="BO32" s="266">
        <v>191000</v>
      </c>
      <c r="BP32" s="266">
        <v>159455.16</v>
      </c>
      <c r="BQ32" s="266">
        <v>207300</v>
      </c>
      <c r="BR32" s="266">
        <v>211077.3</v>
      </c>
      <c r="BS32" s="266">
        <v>242200</v>
      </c>
      <c r="BT32" s="266">
        <v>184848.16</v>
      </c>
      <c r="BU32" s="266">
        <v>211400</v>
      </c>
      <c r="BV32" s="266">
        <v>125844.4</v>
      </c>
      <c r="BW32" s="266">
        <v>162800</v>
      </c>
      <c r="BX32" s="266">
        <v>397900</v>
      </c>
      <c r="BY32" s="266">
        <v>421800</v>
      </c>
      <c r="BZ32" s="266">
        <v>397900</v>
      </c>
      <c r="CA32" s="266">
        <v>421800</v>
      </c>
      <c r="CB32" s="266">
        <v>246900</v>
      </c>
      <c r="CC32" s="266">
        <v>261000</v>
      </c>
      <c r="CD32" s="311">
        <v>356000</v>
      </c>
      <c r="CE32" s="311">
        <v>376600</v>
      </c>
      <c r="CF32" s="311">
        <v>199900</v>
      </c>
      <c r="CG32" s="311">
        <v>212500</v>
      </c>
      <c r="CH32" s="311">
        <v>344000</v>
      </c>
      <c r="CI32" s="311">
        <v>386400</v>
      </c>
      <c r="CJ32" s="311">
        <v>221300</v>
      </c>
      <c r="CK32" s="311">
        <v>245500</v>
      </c>
      <c r="CL32" s="311">
        <v>84200</v>
      </c>
      <c r="CM32" s="311">
        <v>67300</v>
      </c>
      <c r="CN32" s="311">
        <v>108700</v>
      </c>
      <c r="CO32" s="311">
        <v>119700</v>
      </c>
      <c r="CP32" s="311">
        <v>181300</v>
      </c>
      <c r="CQ32" s="311">
        <v>215800</v>
      </c>
      <c r="CR32" s="311">
        <v>43000</v>
      </c>
      <c r="CS32" s="258">
        <v>57500</v>
      </c>
      <c r="CT32" s="258">
        <v>275600</v>
      </c>
      <c r="CU32" s="258">
        <v>310000</v>
      </c>
      <c r="CV32" s="258">
        <v>423200</v>
      </c>
      <c r="CW32" s="258">
        <v>445900</v>
      </c>
      <c r="CX32" s="266">
        <f t="shared" si="0"/>
        <v>147600</v>
      </c>
      <c r="CY32" s="266">
        <f t="shared" si="1"/>
        <v>135900</v>
      </c>
      <c r="DA32" s="301" t="s">
        <v>3907</v>
      </c>
      <c r="DB32" s="258">
        <v>423200</v>
      </c>
      <c r="DC32" s="258">
        <f t="shared" si="33"/>
        <v>1</v>
      </c>
    </row>
    <row r="33" spans="1:107">
      <c r="A33" s="264" t="s">
        <v>4792</v>
      </c>
      <c r="B33" s="264" t="s">
        <v>4776</v>
      </c>
      <c r="C33" s="264"/>
      <c r="D33" s="265" t="s">
        <v>4793</v>
      </c>
      <c r="E33" s="306">
        <f t="shared" si="3"/>
        <v>0.0017360412799706</v>
      </c>
      <c r="F33" s="306">
        <f t="shared" si="4"/>
        <v>0.00105528841651037</v>
      </c>
      <c r="G33" s="304">
        <f t="shared" si="5"/>
        <v>0.00158599402110328</v>
      </c>
      <c r="H33" s="304">
        <f t="shared" si="6"/>
        <v>0.00152326340680263</v>
      </c>
      <c r="I33" s="304">
        <f t="shared" si="18"/>
        <v>0</v>
      </c>
      <c r="J33" s="304">
        <f t="shared" si="7"/>
        <v>0.00140368876121419</v>
      </c>
      <c r="K33" s="304">
        <f t="shared" si="8"/>
        <v>0.00209691499827571</v>
      </c>
      <c r="L33" s="304">
        <f t="shared" si="9"/>
        <v>0.00136437032947551</v>
      </c>
      <c r="M33" s="304">
        <f t="shared" si="10"/>
        <v>0.00102620711326349</v>
      </c>
      <c r="N33" s="304">
        <f t="shared" si="11"/>
        <v>0.00114293406837672</v>
      </c>
      <c r="O33" s="304">
        <f t="shared" si="12"/>
        <v>0.00121511081340874</v>
      </c>
      <c r="P33" s="304">
        <f t="shared" si="13"/>
        <v>0.00104332478231707</v>
      </c>
      <c r="Q33" s="304">
        <v>0.00234264306639381</v>
      </c>
      <c r="R33" s="304">
        <f t="shared" si="14"/>
        <v>0.00130626553638499</v>
      </c>
      <c r="S33" s="304">
        <f t="shared" si="15"/>
        <v>0.00189202734369288</v>
      </c>
      <c r="T33" s="304">
        <v>0.000953470304133582</v>
      </c>
      <c r="U33" s="304">
        <v>0.00215837819338771</v>
      </c>
      <c r="V33" s="304">
        <v>0.00254889431866407</v>
      </c>
      <c r="W33" s="304">
        <v>0.00254889431866407</v>
      </c>
      <c r="X33" s="304">
        <f t="shared" si="16"/>
        <v>0.00259477941796054</v>
      </c>
      <c r="Y33" s="304">
        <f t="shared" si="19"/>
        <v>0.00153999422873068</v>
      </c>
      <c r="Z33" s="304">
        <f t="shared" si="20"/>
        <v>0.00147914265596718</v>
      </c>
      <c r="AA33" s="304">
        <f t="shared" si="21"/>
        <v>0.000662272515448314</v>
      </c>
      <c r="AB33" s="304">
        <f t="shared" si="22"/>
        <v>0.00102248393184869</v>
      </c>
      <c r="AC33" s="304">
        <f t="shared" si="17"/>
        <v>0.000701921352685804</v>
      </c>
      <c r="AD33" s="304">
        <f t="shared" si="23"/>
        <v>0.00317489749059796</v>
      </c>
      <c r="AE33" s="304">
        <f t="shared" si="24"/>
        <v>0.000741642273451791</v>
      </c>
      <c r="AF33" s="303">
        <f t="shared" si="25"/>
        <v>-0.00243325521714617</v>
      </c>
      <c r="AG33" s="303">
        <f t="shared" si="26"/>
        <v>0.000932639396831182</v>
      </c>
      <c r="AH33" s="303">
        <f t="shared" si="27"/>
        <v>0.000345344084288434</v>
      </c>
      <c r="AI33" s="303">
        <f t="shared" si="28"/>
        <v>0.000584951211969842</v>
      </c>
      <c r="AJ33" s="303">
        <f t="shared" si="29"/>
        <v>0.000425265416627244</v>
      </c>
      <c r="AK33" s="303">
        <f t="shared" si="30"/>
        <v>-0.000159685795342598</v>
      </c>
      <c r="AL33" s="304">
        <f t="shared" si="31"/>
        <v>-0.000159685795342598</v>
      </c>
      <c r="AM33" s="304">
        <f t="shared" si="32"/>
        <v>-0.309248554913295</v>
      </c>
      <c r="AN33" s="299">
        <v>325300</v>
      </c>
      <c r="AO33" s="299">
        <v>547000</v>
      </c>
      <c r="AP33" s="299">
        <v>185669.53</v>
      </c>
      <c r="AQ33" s="299">
        <v>387700</v>
      </c>
      <c r="AR33" s="300">
        <v>281549.12</v>
      </c>
      <c r="AS33" s="300">
        <v>486100</v>
      </c>
      <c r="AT33" s="300">
        <v>257888.82</v>
      </c>
      <c r="AU33" s="300">
        <v>376700</v>
      </c>
      <c r="AV33" s="300">
        <v>0</v>
      </c>
      <c r="AW33" s="300">
        <v>393100</v>
      </c>
      <c r="AX33" s="300">
        <v>198023.13</v>
      </c>
      <c r="AY33" s="300">
        <v>428900</v>
      </c>
      <c r="AZ33" s="300">
        <v>276194.59</v>
      </c>
      <c r="BA33" s="300">
        <v>382700</v>
      </c>
      <c r="BB33" s="300">
        <v>187276.8</v>
      </c>
      <c r="BC33" s="300">
        <v>384000</v>
      </c>
      <c r="BD33" s="300">
        <v>132213.78</v>
      </c>
      <c r="BE33" s="300">
        <v>346200</v>
      </c>
      <c r="BF33" s="300">
        <v>141090.75</v>
      </c>
      <c r="BG33" s="300">
        <v>257700</v>
      </c>
      <c r="BH33" s="300">
        <v>141573.28</v>
      </c>
      <c r="BI33" s="300">
        <v>248200</v>
      </c>
      <c r="BJ33" s="300">
        <v>119095.8</v>
      </c>
      <c r="BK33" s="300">
        <v>337000</v>
      </c>
      <c r="BL33" s="266">
        <v>105761.6</v>
      </c>
      <c r="BM33" s="266">
        <v>266000</v>
      </c>
      <c r="BN33" s="266">
        <v>163575.72</v>
      </c>
      <c r="BO33" s="266">
        <v>337200</v>
      </c>
      <c r="BP33" s="266">
        <v>248904.81</v>
      </c>
      <c r="BQ33" s="266">
        <v>513100</v>
      </c>
      <c r="BR33" s="266">
        <v>115403.1</v>
      </c>
      <c r="BS33" s="266">
        <v>245800</v>
      </c>
      <c r="BT33" s="266">
        <v>242813.68</v>
      </c>
      <c r="BU33" s="266">
        <v>345200</v>
      </c>
      <c r="BV33" s="266">
        <v>327960.81</v>
      </c>
      <c r="BW33" s="266">
        <v>493100</v>
      </c>
      <c r="BX33" s="266">
        <v>219400</v>
      </c>
      <c r="BY33" s="266">
        <v>429700</v>
      </c>
      <c r="BZ33" s="266">
        <v>219400</v>
      </c>
      <c r="CA33" s="266">
        <v>429700</v>
      </c>
      <c r="CB33" s="266">
        <v>207600</v>
      </c>
      <c r="CC33" s="266">
        <v>471100</v>
      </c>
      <c r="CD33" s="311">
        <v>206500</v>
      </c>
      <c r="CE33" s="311">
        <v>402300</v>
      </c>
      <c r="CF33" s="311">
        <v>82000</v>
      </c>
      <c r="CG33" s="311">
        <v>281300</v>
      </c>
      <c r="CH33" s="311">
        <v>133600</v>
      </c>
      <c r="CI33" s="311">
        <v>255700</v>
      </c>
      <c r="CJ33" s="311">
        <v>109300</v>
      </c>
      <c r="CK33" s="311">
        <v>271400</v>
      </c>
      <c r="CL33" s="311">
        <v>551800</v>
      </c>
      <c r="CM33" s="311">
        <v>551800</v>
      </c>
      <c r="CN33" s="311">
        <v>112800</v>
      </c>
      <c r="CO33" s="311">
        <v>283300</v>
      </c>
      <c r="CP33" s="311">
        <v>148400</v>
      </c>
      <c r="CQ33" s="311">
        <v>274700</v>
      </c>
      <c r="CR33" s="311">
        <v>53500</v>
      </c>
      <c r="CS33" s="258">
        <v>278100</v>
      </c>
      <c r="CT33" s="258">
        <v>90600</v>
      </c>
      <c r="CU33" s="258">
        <v>306900</v>
      </c>
      <c r="CV33" s="258">
        <v>69200</v>
      </c>
      <c r="CW33" s="258">
        <v>221600</v>
      </c>
      <c r="CX33" s="266">
        <f t="shared" si="0"/>
        <v>-21400</v>
      </c>
      <c r="CY33" s="266">
        <f t="shared" si="1"/>
        <v>-85300</v>
      </c>
      <c r="DA33" s="301" t="s">
        <v>4793</v>
      </c>
      <c r="DB33" s="258">
        <v>69200</v>
      </c>
      <c r="DC33" s="258">
        <f t="shared" si="33"/>
        <v>1</v>
      </c>
    </row>
    <row r="34" spans="1:107">
      <c r="A34" s="264" t="s">
        <v>4794</v>
      </c>
      <c r="B34" s="264" t="s">
        <v>4776</v>
      </c>
      <c r="C34" s="264"/>
      <c r="D34" s="265" t="s">
        <v>4795</v>
      </c>
      <c r="E34" s="306">
        <f t="shared" si="3"/>
        <v>0.00170241982265792</v>
      </c>
      <c r="F34" s="306">
        <f t="shared" si="4"/>
        <v>0.00179493442045687</v>
      </c>
      <c r="G34" s="304">
        <f t="shared" si="5"/>
        <v>0.001637695616209</v>
      </c>
      <c r="H34" s="304">
        <f t="shared" si="6"/>
        <v>0.00165453483014908</v>
      </c>
      <c r="I34" s="304">
        <f t="shared" si="18"/>
        <v>0.00114422052983001</v>
      </c>
      <c r="J34" s="304">
        <f t="shared" si="7"/>
        <v>0</v>
      </c>
      <c r="K34" s="304">
        <f t="shared" si="8"/>
        <v>0</v>
      </c>
      <c r="L34" s="304">
        <f t="shared" si="9"/>
        <v>0.00290378053193107</v>
      </c>
      <c r="M34" s="304">
        <f t="shared" si="10"/>
        <v>0.00228827475727717</v>
      </c>
      <c r="N34" s="304">
        <f t="shared" si="11"/>
        <v>0.00353117360686273</v>
      </c>
      <c r="O34" s="304">
        <f t="shared" si="12"/>
        <v>0.00263308867633034</v>
      </c>
      <c r="P34" s="304">
        <f t="shared" si="13"/>
        <v>0.00204426744650643</v>
      </c>
      <c r="Q34" s="304">
        <v>0.00320392934510655</v>
      </c>
      <c r="R34" s="304">
        <f t="shared" si="14"/>
        <v>0.00246520621077608</v>
      </c>
      <c r="S34" s="304">
        <f t="shared" si="15"/>
        <v>0.00159694967938571</v>
      </c>
      <c r="T34" s="304">
        <v>0.00480739743703082</v>
      </c>
      <c r="U34" s="304">
        <v>0.00473920115845571</v>
      </c>
      <c r="V34" s="304">
        <v>0.00203679655438923</v>
      </c>
      <c r="W34" s="304">
        <v>0.00203679655438923</v>
      </c>
      <c r="X34" s="304">
        <f t="shared" si="16"/>
        <v>0.00280009126392437</v>
      </c>
      <c r="Y34" s="304">
        <f t="shared" si="19"/>
        <v>0.00324986257999476</v>
      </c>
      <c r="Z34" s="304">
        <f t="shared" si="20"/>
        <v>0.00137528033872009</v>
      </c>
      <c r="AA34" s="304">
        <f t="shared" si="21"/>
        <v>0.0023567209757051</v>
      </c>
      <c r="AB34" s="304">
        <f t="shared" si="22"/>
        <v>0.00216589036461961</v>
      </c>
      <c r="AC34" s="304">
        <f t="shared" si="17"/>
        <v>0.00295667512146884</v>
      </c>
      <c r="AD34" s="304">
        <f t="shared" si="23"/>
        <v>0.00300803988416929</v>
      </c>
      <c r="AE34" s="304">
        <f t="shared" si="24"/>
        <v>0.00448996018209422</v>
      </c>
      <c r="AF34" s="303">
        <f t="shared" si="25"/>
        <v>0.00148192029792493</v>
      </c>
      <c r="AG34" s="303">
        <f t="shared" si="26"/>
        <v>0.00754155846494217</v>
      </c>
      <c r="AH34" s="303">
        <f t="shared" si="27"/>
        <v>0.0083915384967283</v>
      </c>
      <c r="AI34" s="303">
        <f t="shared" si="28"/>
        <v>0.00515738441635221</v>
      </c>
      <c r="AJ34" s="303">
        <f t="shared" si="29"/>
        <v>0.00303831245636574</v>
      </c>
      <c r="AK34" s="303">
        <f t="shared" si="30"/>
        <v>-0.00211907195998647</v>
      </c>
      <c r="AL34" s="304">
        <f t="shared" si="31"/>
        <v>-0.00211907195998647</v>
      </c>
      <c r="AM34" s="304">
        <f t="shared" si="32"/>
        <v>-0.615695792880259</v>
      </c>
      <c r="AN34" s="299">
        <v>319000</v>
      </c>
      <c r="AO34" s="299">
        <v>571900</v>
      </c>
      <c r="AP34" s="299">
        <v>315804.31</v>
      </c>
      <c r="AQ34" s="299">
        <v>568300</v>
      </c>
      <c r="AR34" s="300">
        <v>290727.3</v>
      </c>
      <c r="AS34" s="300">
        <v>799800</v>
      </c>
      <c r="AT34" s="300">
        <v>280113.1</v>
      </c>
      <c r="AU34" s="300">
        <v>770600</v>
      </c>
      <c r="AV34" s="300">
        <v>193716.78</v>
      </c>
      <c r="AW34" s="300">
        <v>476900</v>
      </c>
      <c r="AX34" s="300">
        <v>0</v>
      </c>
      <c r="AY34" s="300">
        <v>625700</v>
      </c>
      <c r="AZ34" s="300">
        <v>0</v>
      </c>
      <c r="BA34" s="300">
        <v>1300000</v>
      </c>
      <c r="BB34" s="300">
        <v>398580</v>
      </c>
      <c r="BC34" s="300">
        <v>1300000</v>
      </c>
      <c r="BD34" s="300">
        <v>294815.2</v>
      </c>
      <c r="BE34" s="300">
        <v>641600</v>
      </c>
      <c r="BF34" s="300">
        <v>435909.6</v>
      </c>
      <c r="BG34" s="300">
        <v>864900</v>
      </c>
      <c r="BH34" s="300">
        <v>306782.72</v>
      </c>
      <c r="BI34" s="300">
        <v>937600</v>
      </c>
      <c r="BJ34" s="300">
        <v>233353.67</v>
      </c>
      <c r="BK34" s="300">
        <v>460900</v>
      </c>
      <c r="BL34" s="266">
        <v>433588.32</v>
      </c>
      <c r="BM34" s="266">
        <v>613800</v>
      </c>
      <c r="BN34" s="266">
        <v>308702.84</v>
      </c>
      <c r="BO34" s="266">
        <v>499600</v>
      </c>
      <c r="BP34" s="266">
        <v>210086</v>
      </c>
      <c r="BQ34" s="266">
        <v>340000</v>
      </c>
      <c r="BR34" s="266">
        <v>581862.45</v>
      </c>
      <c r="BS34" s="266">
        <v>669500</v>
      </c>
      <c r="BT34" s="266">
        <v>533151.64</v>
      </c>
      <c r="BU34" s="266">
        <v>669200</v>
      </c>
      <c r="BV34" s="266">
        <v>262070.28</v>
      </c>
      <c r="BW34" s="266">
        <v>408400</v>
      </c>
      <c r="BX34" s="266">
        <v>346300</v>
      </c>
      <c r="BY34" s="266">
        <v>463700</v>
      </c>
      <c r="BZ34" s="266">
        <v>346300</v>
      </c>
      <c r="CA34" s="266">
        <v>463700</v>
      </c>
      <c r="CB34" s="266">
        <v>438100</v>
      </c>
      <c r="CC34" s="266">
        <v>882500</v>
      </c>
      <c r="CD34" s="311">
        <v>192000</v>
      </c>
      <c r="CE34" s="311">
        <v>750600</v>
      </c>
      <c r="CF34" s="311">
        <v>291800</v>
      </c>
      <c r="CG34" s="311">
        <v>510200</v>
      </c>
      <c r="CH34" s="311">
        <v>283000</v>
      </c>
      <c r="CI34" s="311">
        <v>399800</v>
      </c>
      <c r="CJ34" s="311">
        <v>460400</v>
      </c>
      <c r="CK34" s="311">
        <v>647800</v>
      </c>
      <c r="CL34" s="311">
        <v>522800</v>
      </c>
      <c r="CM34" s="311">
        <v>353700</v>
      </c>
      <c r="CN34" s="311">
        <v>682900</v>
      </c>
      <c r="CO34" s="311">
        <v>783200</v>
      </c>
      <c r="CP34" s="311">
        <v>1200000</v>
      </c>
      <c r="CQ34" s="311">
        <v>1300000</v>
      </c>
      <c r="CR34" s="311">
        <v>1300000</v>
      </c>
      <c r="CS34" s="258">
        <v>1500000</v>
      </c>
      <c r="CT34" s="258">
        <v>798800</v>
      </c>
      <c r="CU34" s="258">
        <v>916200</v>
      </c>
      <c r="CV34" s="258">
        <v>494400</v>
      </c>
      <c r="CW34" s="258">
        <v>675600</v>
      </c>
      <c r="CX34" s="266">
        <f t="shared" si="0"/>
        <v>-304400</v>
      </c>
      <c r="CY34" s="266">
        <f t="shared" si="1"/>
        <v>-240600</v>
      </c>
      <c r="DA34" s="301" t="s">
        <v>4795</v>
      </c>
      <c r="DB34" s="258">
        <v>494400</v>
      </c>
      <c r="DC34" s="258">
        <f t="shared" si="33"/>
        <v>1</v>
      </c>
    </row>
    <row r="35" spans="1:107">
      <c r="A35" s="264" t="s">
        <v>4796</v>
      </c>
      <c r="B35" s="264" t="s">
        <v>4776</v>
      </c>
      <c r="C35" s="264"/>
      <c r="D35" s="258" t="s">
        <v>4797</v>
      </c>
      <c r="E35" s="306">
        <f t="shared" si="3"/>
        <v>0.00157113603696079</v>
      </c>
      <c r="F35" s="306">
        <f t="shared" si="4"/>
        <v>0.00171352263761889</v>
      </c>
      <c r="G35" s="304">
        <f t="shared" si="5"/>
        <v>0.00144616248199334</v>
      </c>
      <c r="H35" s="304">
        <f t="shared" si="6"/>
        <v>0.00178402314883343</v>
      </c>
      <c r="I35" s="304">
        <f t="shared" si="18"/>
        <v>0.00128653068704029</v>
      </c>
      <c r="J35" s="304">
        <f t="shared" si="7"/>
        <v>0.00156541288392873</v>
      </c>
      <c r="K35" s="304">
        <f t="shared" si="8"/>
        <v>0.00160813154436848</v>
      </c>
      <c r="L35" s="304">
        <f t="shared" si="9"/>
        <v>0.00205142354115851</v>
      </c>
      <c r="M35" s="304">
        <f t="shared" si="10"/>
        <v>0.00320954015481149</v>
      </c>
      <c r="N35" s="304">
        <f t="shared" si="11"/>
        <v>0.0020277447878191</v>
      </c>
      <c r="O35" s="304">
        <f t="shared" si="12"/>
        <v>0.00297242546435627</v>
      </c>
      <c r="P35" s="304">
        <f t="shared" si="13"/>
        <v>0.00199907473480689</v>
      </c>
      <c r="Q35" s="304">
        <v>0.00280213477763604</v>
      </c>
      <c r="R35" s="304">
        <f t="shared" si="14"/>
        <v>0.00299704029011108</v>
      </c>
      <c r="S35" s="304">
        <f t="shared" si="15"/>
        <v>0.00270347588875064</v>
      </c>
      <c r="T35" s="304">
        <v>0.00277139082198726</v>
      </c>
      <c r="U35" s="304">
        <v>0.00443657198367177</v>
      </c>
      <c r="V35" s="304">
        <v>0.0020027985570301</v>
      </c>
      <c r="W35" s="304">
        <v>0.0020027985570301</v>
      </c>
      <c r="X35" s="304">
        <f t="shared" si="16"/>
        <v>0.00404446220797634</v>
      </c>
      <c r="Y35" s="304">
        <f t="shared" si="19"/>
        <v>0.00328398576618051</v>
      </c>
      <c r="Z35" s="304">
        <f t="shared" si="20"/>
        <v>0.00180505544457011</v>
      </c>
      <c r="AA35" s="304">
        <f t="shared" si="21"/>
        <v>0.00292611380910883</v>
      </c>
      <c r="AB35" s="304">
        <f t="shared" si="22"/>
        <v>0.00203042655029534</v>
      </c>
      <c r="AC35" s="304">
        <f t="shared" si="17"/>
        <v>0.00211668140755024</v>
      </c>
      <c r="AD35" s="304">
        <f t="shared" si="23"/>
        <v>0.00189642300272035</v>
      </c>
      <c r="AE35" s="304">
        <f t="shared" si="24"/>
        <v>0.00334396507338281</v>
      </c>
      <c r="AF35" s="303">
        <f t="shared" si="25"/>
        <v>0.00144754207066246</v>
      </c>
      <c r="AG35" s="303">
        <f t="shared" si="26"/>
        <v>0.0014479792252689</v>
      </c>
      <c r="AH35" s="303">
        <f t="shared" si="27"/>
        <v>0.00968254441930189</v>
      </c>
      <c r="AI35" s="303">
        <f t="shared" si="28"/>
        <v>0.003753114122716</v>
      </c>
      <c r="AJ35" s="303">
        <f t="shared" si="29"/>
        <v>0.00355698877375504</v>
      </c>
      <c r="AK35" s="303">
        <f t="shared" si="30"/>
        <v>-0.000196125348960962</v>
      </c>
      <c r="AL35" s="304">
        <f t="shared" si="31"/>
        <v>-0.000196125348960962</v>
      </c>
      <c r="AM35" s="304">
        <f t="shared" si="32"/>
        <v>-0.00431928127159641</v>
      </c>
      <c r="AN35" s="299">
        <v>294400</v>
      </c>
      <c r="AO35" s="299">
        <v>328100</v>
      </c>
      <c r="AP35" s="299">
        <v>301480.56</v>
      </c>
      <c r="AQ35" s="299">
        <v>338400</v>
      </c>
      <c r="AR35" s="300">
        <v>256725.92</v>
      </c>
      <c r="AS35" s="300">
        <v>318400</v>
      </c>
      <c r="AT35" s="300">
        <v>302035.5</v>
      </c>
      <c r="AU35" s="300">
        <v>351000</v>
      </c>
      <c r="AV35" s="300">
        <v>217809.92</v>
      </c>
      <c r="AW35" s="300">
        <v>243200</v>
      </c>
      <c r="AX35" s="300">
        <v>220838.1</v>
      </c>
      <c r="AY35" s="300">
        <v>249000</v>
      </c>
      <c r="AZ35" s="300">
        <v>211814.61</v>
      </c>
      <c r="BA35" s="300">
        <v>235900</v>
      </c>
      <c r="BB35" s="300">
        <v>281583.4</v>
      </c>
      <c r="BC35" s="300">
        <v>340900</v>
      </c>
      <c r="BD35" s="300">
        <v>413508.57</v>
      </c>
      <c r="BE35" s="300">
        <v>462900</v>
      </c>
      <c r="BF35" s="300">
        <v>250317.18</v>
      </c>
      <c r="BG35" s="300">
        <v>274200</v>
      </c>
      <c r="BH35" s="300">
        <v>346319.05</v>
      </c>
      <c r="BI35" s="300">
        <v>391100</v>
      </c>
      <c r="BJ35" s="300">
        <v>228194.91</v>
      </c>
      <c r="BK35" s="300">
        <v>403100</v>
      </c>
      <c r="BL35" s="266">
        <v>256669.14</v>
      </c>
      <c r="BM35" s="266">
        <v>324200</v>
      </c>
      <c r="BN35" s="266">
        <v>375301.2</v>
      </c>
      <c r="BO35" s="266">
        <v>447000</v>
      </c>
      <c r="BP35" s="266">
        <v>355654.56</v>
      </c>
      <c r="BQ35" s="266">
        <v>423600</v>
      </c>
      <c r="BR35" s="266">
        <v>335434.77</v>
      </c>
      <c r="BS35" s="266">
        <v>380700</v>
      </c>
      <c r="BT35" s="266">
        <v>499106.4</v>
      </c>
      <c r="BU35" s="266">
        <v>564600</v>
      </c>
      <c r="BV35" s="266">
        <v>257695.83</v>
      </c>
      <c r="BW35" s="266">
        <v>296100</v>
      </c>
      <c r="BX35" s="266">
        <v>618600</v>
      </c>
      <c r="BY35" s="266">
        <v>669770</v>
      </c>
      <c r="BZ35" s="266">
        <v>618600</v>
      </c>
      <c r="CA35" s="266">
        <v>669800</v>
      </c>
      <c r="CB35" s="266">
        <v>442700</v>
      </c>
      <c r="CC35" s="266">
        <v>546400</v>
      </c>
      <c r="CD35" s="311">
        <v>252000</v>
      </c>
      <c r="CE35" s="311">
        <v>331200</v>
      </c>
      <c r="CF35" s="311">
        <v>362300</v>
      </c>
      <c r="CG35" s="311">
        <v>381500</v>
      </c>
      <c r="CH35" s="311">
        <v>265300</v>
      </c>
      <c r="CI35" s="311">
        <v>790289</v>
      </c>
      <c r="CJ35" s="311">
        <v>329600</v>
      </c>
      <c r="CK35" s="311">
        <v>451700</v>
      </c>
      <c r="CL35" s="311">
        <v>329600</v>
      </c>
      <c r="CM35" s="311">
        <v>451700</v>
      </c>
      <c r="CN35" s="311">
        <v>508600</v>
      </c>
      <c r="CO35" s="311">
        <v>539800</v>
      </c>
      <c r="CP35" s="311">
        <v>230400</v>
      </c>
      <c r="CQ35" s="311">
        <v>276200</v>
      </c>
      <c r="CR35" s="311">
        <v>1500000</v>
      </c>
      <c r="CS35" s="258">
        <v>1600000</v>
      </c>
      <c r="CT35" s="258">
        <v>581300</v>
      </c>
      <c r="CU35" s="258">
        <v>641700</v>
      </c>
      <c r="CV35" s="258">
        <v>578800</v>
      </c>
      <c r="CW35" s="258">
        <v>647500</v>
      </c>
      <c r="CX35" s="266">
        <f t="shared" ref="CX35:CX66" si="34">CV35-CT35</f>
        <v>-2500</v>
      </c>
      <c r="CY35" s="266">
        <f t="shared" ref="CY35:CY66" si="35">CW35-CU35</f>
        <v>5800</v>
      </c>
      <c r="DA35" s="301" t="s">
        <v>4797</v>
      </c>
      <c r="DB35" s="258">
        <v>578800</v>
      </c>
      <c r="DC35" s="258">
        <f t="shared" si="33"/>
        <v>1</v>
      </c>
    </row>
    <row r="36" spans="1:107">
      <c r="A36" s="264" t="s">
        <v>4798</v>
      </c>
      <c r="B36" s="264" t="s">
        <v>4776</v>
      </c>
      <c r="C36" s="264"/>
      <c r="D36" s="265" t="s">
        <v>4799</v>
      </c>
      <c r="E36" s="306">
        <f t="shared" si="3"/>
        <v>0.00149215229597227</v>
      </c>
      <c r="F36" s="306">
        <f t="shared" si="4"/>
        <v>0.00154199517973575</v>
      </c>
      <c r="G36" s="304">
        <f t="shared" si="5"/>
        <v>0.00152492069578947</v>
      </c>
      <c r="H36" s="304">
        <f t="shared" si="6"/>
        <v>0.00157427043048611</v>
      </c>
      <c r="I36" s="304">
        <f t="shared" si="18"/>
        <v>0.00101699647290918</v>
      </c>
      <c r="J36" s="304">
        <f t="shared" si="7"/>
        <v>0.00123907195970158</v>
      </c>
      <c r="K36" s="304">
        <f t="shared" si="8"/>
        <v>0.00127313279022573</v>
      </c>
      <c r="L36" s="304">
        <f t="shared" si="9"/>
        <v>0.00105783723776078</v>
      </c>
      <c r="M36" s="304">
        <f t="shared" si="10"/>
        <v>0.000710468799030342</v>
      </c>
      <c r="N36" s="304">
        <f t="shared" si="11"/>
        <v>0.00123043914348658</v>
      </c>
      <c r="O36" s="304">
        <f t="shared" si="12"/>
        <v>0.00104716050353618</v>
      </c>
      <c r="P36" s="304">
        <f t="shared" si="13"/>
        <v>0.00127942094982549</v>
      </c>
      <c r="Q36" s="304">
        <v>0.00110736807263067</v>
      </c>
      <c r="R36" s="304">
        <f t="shared" si="14"/>
        <v>0.00122135110377021</v>
      </c>
      <c r="S36" s="304">
        <f t="shared" si="15"/>
        <v>0.00176085126724457</v>
      </c>
      <c r="T36" s="304">
        <v>0.00250384325293126</v>
      </c>
      <c r="U36" s="304">
        <v>0.00344568900432274</v>
      </c>
      <c r="V36" s="304">
        <v>0.00146958021354111</v>
      </c>
      <c r="W36" s="304">
        <v>0.00146958021354111</v>
      </c>
      <c r="X36" s="304">
        <f t="shared" si="16"/>
        <v>0.00106762159901192</v>
      </c>
      <c r="Y36" s="304">
        <f t="shared" si="19"/>
        <v>0.00156595752256767</v>
      </c>
      <c r="Z36" s="304">
        <f t="shared" si="20"/>
        <v>0.00156581396898027</v>
      </c>
      <c r="AA36" s="304">
        <f t="shared" si="21"/>
        <v>0.00220972878325194</v>
      </c>
      <c r="AB36" s="304">
        <f t="shared" si="22"/>
        <v>0.00171128298773478</v>
      </c>
      <c r="AC36" s="304">
        <f t="shared" si="17"/>
        <v>0.00202356283834672</v>
      </c>
      <c r="AD36" s="304">
        <f t="shared" si="23"/>
        <v>0.00111391836567554</v>
      </c>
      <c r="AE36" s="304">
        <f t="shared" si="24"/>
        <v>0.00135639007990341</v>
      </c>
      <c r="AF36" s="303">
        <f t="shared" si="25"/>
        <v>0.000242471714227868</v>
      </c>
      <c r="AG36" s="303">
        <f t="shared" si="26"/>
        <v>0.00479266040447075</v>
      </c>
      <c r="AH36" s="303">
        <f t="shared" si="27"/>
        <v>0.00073458236994437</v>
      </c>
      <c r="AI36" s="303">
        <f t="shared" si="28"/>
        <v>0.00365368532951141</v>
      </c>
      <c r="AJ36" s="303">
        <f t="shared" si="29"/>
        <v>0.00258477795134998</v>
      </c>
      <c r="AK36" s="303">
        <f t="shared" si="30"/>
        <v>-0.00106890737816143</v>
      </c>
      <c r="AL36" s="304">
        <f t="shared" si="31"/>
        <v>-0.00106890737816143</v>
      </c>
      <c r="AM36" s="304">
        <f t="shared" si="32"/>
        <v>-0.345458868283405</v>
      </c>
      <c r="AN36" s="299">
        <v>279600</v>
      </c>
      <c r="AO36" s="299">
        <v>286700</v>
      </c>
      <c r="AP36" s="299">
        <v>271301.68</v>
      </c>
      <c r="AQ36" s="299">
        <v>282400</v>
      </c>
      <c r="AR36" s="300">
        <v>270707.25</v>
      </c>
      <c r="AS36" s="300">
        <v>298300</v>
      </c>
      <c r="AT36" s="300">
        <v>266524.32</v>
      </c>
      <c r="AU36" s="300">
        <v>279200</v>
      </c>
      <c r="AV36" s="300">
        <v>172177.72</v>
      </c>
      <c r="AW36" s="300">
        <v>194200</v>
      </c>
      <c r="AX36" s="300">
        <v>174800.08</v>
      </c>
      <c r="AY36" s="300">
        <v>184700</v>
      </c>
      <c r="AZ36" s="300">
        <v>167690.34</v>
      </c>
      <c r="BA36" s="300">
        <v>177300</v>
      </c>
      <c r="BB36" s="300">
        <v>145201.32</v>
      </c>
      <c r="BC36" s="300">
        <v>162800</v>
      </c>
      <c r="BD36" s="300">
        <v>91534.9</v>
      </c>
      <c r="BE36" s="300">
        <v>109100</v>
      </c>
      <c r="BF36" s="300">
        <v>151892.91</v>
      </c>
      <c r="BG36" s="300">
        <v>256100</v>
      </c>
      <c r="BH36" s="300">
        <v>122005.29</v>
      </c>
      <c r="BI36" s="300">
        <v>137100</v>
      </c>
      <c r="BJ36" s="300">
        <v>146046.24</v>
      </c>
      <c r="BK36" s="300">
        <v>159300</v>
      </c>
      <c r="BL36" s="266">
        <v>203570.64</v>
      </c>
      <c r="BM36" s="266">
        <v>236600</v>
      </c>
      <c r="BN36" s="266">
        <v>152942.4</v>
      </c>
      <c r="BO36" s="266">
        <v>167700</v>
      </c>
      <c r="BP36" s="266">
        <v>231648</v>
      </c>
      <c r="BQ36" s="266">
        <v>254000</v>
      </c>
      <c r="BR36" s="266">
        <v>303052.2</v>
      </c>
      <c r="BS36" s="266">
        <v>314500</v>
      </c>
      <c r="BT36" s="266">
        <v>387633.84</v>
      </c>
      <c r="BU36" s="266">
        <v>394900</v>
      </c>
      <c r="BV36" s="266">
        <v>189087.76</v>
      </c>
      <c r="BW36" s="266">
        <v>201200</v>
      </c>
      <c r="BX36" s="266">
        <v>166300</v>
      </c>
      <c r="BY36" s="266">
        <v>176800</v>
      </c>
      <c r="BZ36" s="266">
        <v>166300</v>
      </c>
      <c r="CA36" s="266">
        <v>176800</v>
      </c>
      <c r="CB36" s="266">
        <v>211100</v>
      </c>
      <c r="CC36" s="266">
        <v>246400</v>
      </c>
      <c r="CD36" s="311">
        <v>218600</v>
      </c>
      <c r="CE36" s="311">
        <v>247300</v>
      </c>
      <c r="CF36" s="311">
        <v>273600</v>
      </c>
      <c r="CG36" s="311">
        <v>304600</v>
      </c>
      <c r="CH36" s="311">
        <v>223600</v>
      </c>
      <c r="CI36" s="311">
        <v>272500</v>
      </c>
      <c r="CJ36" s="311">
        <v>315100</v>
      </c>
      <c r="CK36" s="311">
        <v>352800</v>
      </c>
      <c r="CL36" s="311">
        <v>193600</v>
      </c>
      <c r="CM36" s="311">
        <v>168400</v>
      </c>
      <c r="CN36" s="311">
        <v>206300</v>
      </c>
      <c r="CO36" s="311">
        <v>234600</v>
      </c>
      <c r="CP36" s="311">
        <v>762600</v>
      </c>
      <c r="CQ36" s="311">
        <v>811900</v>
      </c>
      <c r="CR36" s="311">
        <v>113800</v>
      </c>
      <c r="CS36" s="258">
        <v>123900</v>
      </c>
      <c r="CT36" s="258">
        <v>565900</v>
      </c>
      <c r="CU36" s="258">
        <v>582800</v>
      </c>
      <c r="CV36" s="258">
        <v>420600</v>
      </c>
      <c r="CW36" s="258">
        <v>427900</v>
      </c>
      <c r="CX36" s="266">
        <f t="shared" si="34"/>
        <v>-145300</v>
      </c>
      <c r="CY36" s="266">
        <f t="shared" si="35"/>
        <v>-154900</v>
      </c>
      <c r="DA36" s="301" t="s">
        <v>4799</v>
      </c>
      <c r="DB36" s="258">
        <v>420600</v>
      </c>
      <c r="DC36" s="258">
        <f t="shared" si="33"/>
        <v>1</v>
      </c>
    </row>
    <row r="37" spans="1:107">
      <c r="A37" s="264" t="s">
        <v>4800</v>
      </c>
      <c r="B37" s="264" t="s">
        <v>4776</v>
      </c>
      <c r="C37" s="264"/>
      <c r="D37" s="265" t="s">
        <v>4801</v>
      </c>
      <c r="E37" s="306">
        <f t="shared" si="3"/>
        <v>0.00131337153089691</v>
      </c>
      <c r="F37" s="306">
        <f t="shared" si="4"/>
        <v>0.000424189277599256</v>
      </c>
      <c r="G37" s="304">
        <f t="shared" si="5"/>
        <v>0.000520285063637579</v>
      </c>
      <c r="H37" s="304">
        <f t="shared" si="6"/>
        <v>0.000641338234314311</v>
      </c>
      <c r="I37" s="304">
        <f t="shared" si="18"/>
        <v>0</v>
      </c>
      <c r="J37" s="304">
        <f t="shared" si="7"/>
        <v>0</v>
      </c>
      <c r="K37" s="304">
        <f t="shared" si="8"/>
        <v>0</v>
      </c>
      <c r="L37" s="304">
        <f t="shared" si="9"/>
        <v>0</v>
      </c>
      <c r="M37" s="304">
        <f t="shared" si="10"/>
        <v>0.00139169483023688</v>
      </c>
      <c r="N37" s="304">
        <f t="shared" si="11"/>
        <v>0.000473206698029045</v>
      </c>
      <c r="O37" s="304">
        <f t="shared" si="12"/>
        <v>0.00103514614520098</v>
      </c>
      <c r="P37" s="304">
        <f t="shared" si="13"/>
        <v>0.000837454563132847</v>
      </c>
      <c r="Q37" s="304">
        <v>0.00116645550902339</v>
      </c>
      <c r="R37" s="304">
        <f t="shared" si="14"/>
        <v>0.000999808805092835</v>
      </c>
      <c r="S37" s="304">
        <f t="shared" si="15"/>
        <v>0.000616409836280857</v>
      </c>
      <c r="T37" s="304">
        <v>0.000339176795245124</v>
      </c>
      <c r="U37" s="304">
        <v>0.000479067362257513</v>
      </c>
      <c r="V37" s="304">
        <v>0.000697227272362489</v>
      </c>
      <c r="W37" s="304">
        <v>0.000697227272362489</v>
      </c>
      <c r="X37" s="304">
        <f t="shared" si="16"/>
        <v>0.000873783062087248</v>
      </c>
      <c r="Y37" s="304">
        <f t="shared" si="19"/>
        <v>0.000713619676319325</v>
      </c>
      <c r="Z37" s="304">
        <f t="shared" si="20"/>
        <v>0.000616010985051706</v>
      </c>
      <c r="AA37" s="304">
        <f t="shared" si="21"/>
        <v>0.000671964308357314</v>
      </c>
      <c r="AB37" s="304">
        <f t="shared" si="22"/>
        <v>0.000241845001844451</v>
      </c>
      <c r="AC37" s="304">
        <f t="shared" si="17"/>
        <v>0.000301190406596196</v>
      </c>
      <c r="AD37" s="304">
        <f t="shared" si="23"/>
        <v>0.00127559763259436</v>
      </c>
      <c r="AE37" s="304">
        <f t="shared" ref="AE37:AE68" si="36">CN37/$CN$182</f>
        <v>0.00155560781825083</v>
      </c>
      <c r="AF37" s="303">
        <f t="shared" ref="AF37:AF68" si="37">AE37-AD37</f>
        <v>0.00028001018565647</v>
      </c>
      <c r="AG37" s="303">
        <f t="shared" ref="AG37:AG68" si="38">CP37/$CP$182</f>
        <v>0.000381477165684991</v>
      </c>
      <c r="AH37" s="303">
        <f t="shared" ref="AH37:AH68" si="39">CR37/$CR$182</f>
        <v>7.74603553544151e-5</v>
      </c>
      <c r="AI37" s="303">
        <f t="shared" ref="AI37:AI68" si="40">CT37/$CT$182</f>
        <v>0.000120089321662683</v>
      </c>
      <c r="AJ37" s="303">
        <f t="shared" ref="AJ37:AJ68" si="41">CV37/$CV$182</f>
        <v>0.000709799936711657</v>
      </c>
      <c r="AK37" s="303">
        <f t="shared" ref="AK37:AK68" si="42">AJ37-AI37</f>
        <v>0.000589710615048974</v>
      </c>
      <c r="AL37" s="304">
        <f t="shared" ref="AL37:AL68" si="43">AK37</f>
        <v>0.000589710615048974</v>
      </c>
      <c r="AM37" s="304">
        <f t="shared" ref="AM37:AM68" si="44">IF(CV37=0,0,CX37/CV37)</f>
        <v>0.838961038961039</v>
      </c>
      <c r="AN37" s="299">
        <v>246100</v>
      </c>
      <c r="AO37" s="299">
        <v>321500</v>
      </c>
      <c r="AP37" s="299">
        <v>74632.7</v>
      </c>
      <c r="AQ37" s="299">
        <v>438500</v>
      </c>
      <c r="AR37" s="300">
        <v>92362.14</v>
      </c>
      <c r="AS37" s="300">
        <v>230100</v>
      </c>
      <c r="AT37" s="300">
        <v>108578.7</v>
      </c>
      <c r="AU37" s="300">
        <v>270500</v>
      </c>
      <c r="AV37" s="300">
        <v>0</v>
      </c>
      <c r="AW37" s="300">
        <v>138200</v>
      </c>
      <c r="AX37" s="300">
        <v>0</v>
      </c>
      <c r="AY37" s="300">
        <v>260300</v>
      </c>
      <c r="AZ37" s="300">
        <v>0</v>
      </c>
      <c r="BA37" s="300">
        <v>232700</v>
      </c>
      <c r="BB37" s="300">
        <v>0</v>
      </c>
      <c r="BC37" s="300">
        <v>249000</v>
      </c>
      <c r="BD37" s="300">
        <v>179302.24</v>
      </c>
      <c r="BE37" s="300">
        <v>197600</v>
      </c>
      <c r="BF37" s="300">
        <v>58415.52</v>
      </c>
      <c r="BG37" s="300">
        <v>104800</v>
      </c>
      <c r="BH37" s="300">
        <v>120605.49</v>
      </c>
      <c r="BI37" s="300">
        <v>211700</v>
      </c>
      <c r="BJ37" s="300">
        <v>95595.66</v>
      </c>
      <c r="BK37" s="300">
        <v>167800</v>
      </c>
      <c r="BL37" s="266">
        <v>27400</v>
      </c>
      <c r="BM37" s="266">
        <v>211900</v>
      </c>
      <c r="BN37" s="266">
        <v>125200</v>
      </c>
      <c r="BO37" s="266">
        <v>351200</v>
      </c>
      <c r="BP37" s="266">
        <v>81091.52</v>
      </c>
      <c r="BQ37" s="266">
        <v>337600</v>
      </c>
      <c r="BR37" s="266">
        <v>41052.2</v>
      </c>
      <c r="BS37" s="266">
        <v>49700</v>
      </c>
      <c r="BT37" s="266">
        <v>53894.22</v>
      </c>
      <c r="BU37" s="266">
        <v>67800</v>
      </c>
      <c r="BV37" s="266">
        <v>89710.75</v>
      </c>
      <c r="BW37" s="266">
        <v>114500</v>
      </c>
      <c r="BX37" s="266">
        <v>103400</v>
      </c>
      <c r="BY37" s="266">
        <v>144700</v>
      </c>
      <c r="BZ37" s="266">
        <v>103400</v>
      </c>
      <c r="CA37" s="266">
        <v>144700</v>
      </c>
      <c r="CB37" s="266">
        <v>96200</v>
      </c>
      <c r="CC37" s="266">
        <v>101900</v>
      </c>
      <c r="CD37" s="311">
        <v>86000</v>
      </c>
      <c r="CE37" s="311">
        <v>95700</v>
      </c>
      <c r="CF37" s="311">
        <v>83200</v>
      </c>
      <c r="CG37" s="311">
        <v>98900</v>
      </c>
      <c r="CH37" s="311">
        <v>31600</v>
      </c>
      <c r="CI37" s="311">
        <v>44700</v>
      </c>
      <c r="CJ37" s="311">
        <v>46900</v>
      </c>
      <c r="CK37" s="311">
        <v>67300</v>
      </c>
      <c r="CL37" s="311">
        <v>221700</v>
      </c>
      <c r="CM37" s="311">
        <v>179600</v>
      </c>
      <c r="CN37" s="311">
        <v>236600</v>
      </c>
      <c r="CO37" s="311">
        <v>247200</v>
      </c>
      <c r="CP37" s="311">
        <v>60700</v>
      </c>
      <c r="CQ37" s="311">
        <v>121900</v>
      </c>
      <c r="CR37" s="311">
        <v>12000</v>
      </c>
      <c r="CS37" s="258">
        <v>16700</v>
      </c>
      <c r="CT37" s="258">
        <v>18600</v>
      </c>
      <c r="CU37" s="258">
        <v>35000</v>
      </c>
      <c r="CV37" s="258">
        <v>115500</v>
      </c>
      <c r="CW37" s="258">
        <v>145800</v>
      </c>
      <c r="CX37" s="266">
        <f t="shared" si="34"/>
        <v>96900</v>
      </c>
      <c r="CY37" s="266">
        <f t="shared" si="35"/>
        <v>110800</v>
      </c>
      <c r="DA37" s="301" t="s">
        <v>4801</v>
      </c>
      <c r="DB37" s="258">
        <v>115500</v>
      </c>
      <c r="DC37" s="258">
        <f t="shared" si="33"/>
        <v>1</v>
      </c>
    </row>
    <row r="38" spans="1:107">
      <c r="A38" s="264" t="s">
        <v>4802</v>
      </c>
      <c r="B38" s="264" t="s">
        <v>4776</v>
      </c>
      <c r="C38" s="264"/>
      <c r="D38" s="265" t="s">
        <v>4803</v>
      </c>
      <c r="E38" s="306">
        <f t="shared" si="3"/>
        <v>0.00129789498705456</v>
      </c>
      <c r="F38" s="306">
        <f t="shared" si="4"/>
        <v>0.00100044346034675</v>
      </c>
      <c r="G38" s="304">
        <f t="shared" si="5"/>
        <v>0.00121336949000461</v>
      </c>
      <c r="H38" s="304">
        <f t="shared" si="6"/>
        <v>0.0013727094324637</v>
      </c>
      <c r="I38" s="304">
        <f t="shared" si="18"/>
        <v>0.000536679772089722</v>
      </c>
      <c r="J38" s="304">
        <f t="shared" si="7"/>
        <v>0.00173696827258474</v>
      </c>
      <c r="K38" s="304">
        <f t="shared" si="8"/>
        <v>0.00147819459521014</v>
      </c>
      <c r="L38" s="304">
        <f t="shared" si="9"/>
        <v>0.00227534932945133</v>
      </c>
      <c r="M38" s="304">
        <f t="shared" si="10"/>
        <v>0.00197807583154494</v>
      </c>
      <c r="N38" s="304">
        <f t="shared" si="11"/>
        <v>0.00266180954830778</v>
      </c>
      <c r="O38" s="304">
        <f t="shared" si="12"/>
        <v>0.00384647432469737</v>
      </c>
      <c r="P38" s="304">
        <f t="shared" si="13"/>
        <v>0.00238974478838275</v>
      </c>
      <c r="Q38" s="304">
        <v>0.00973204834703661</v>
      </c>
      <c r="R38" s="304">
        <f t="shared" si="14"/>
        <v>0.00186122554475229</v>
      </c>
      <c r="S38" s="304">
        <f t="shared" si="15"/>
        <v>0.00177166047130427</v>
      </c>
      <c r="T38" s="304">
        <v>0.00167307235756275</v>
      </c>
      <c r="U38" s="304">
        <v>0.0021653678158053</v>
      </c>
      <c r="V38" s="304">
        <v>0.00155687659728242</v>
      </c>
      <c r="W38" s="304">
        <v>0.00155687659728242</v>
      </c>
      <c r="X38" s="304">
        <f t="shared" si="16"/>
        <v>0.0114733090391553</v>
      </c>
      <c r="Y38" s="304">
        <f t="shared" si="19"/>
        <v>0.00202884596126128</v>
      </c>
      <c r="Z38" s="304">
        <f t="shared" si="20"/>
        <v>0.00157584205478343</v>
      </c>
      <c r="AA38" s="304">
        <f t="shared" si="21"/>
        <v>0.00219357579507027</v>
      </c>
      <c r="AB38" s="304">
        <f t="shared" si="22"/>
        <v>0.00184980813119632</v>
      </c>
      <c r="AC38" s="304">
        <f t="shared" si="17"/>
        <v>0.000637059452757838</v>
      </c>
      <c r="AD38" s="304">
        <f t="shared" si="23"/>
        <v>0.00747982373645769</v>
      </c>
      <c r="AE38" s="304">
        <f t="shared" si="36"/>
        <v>0</v>
      </c>
      <c r="AF38" s="303">
        <f t="shared" si="37"/>
        <v>-0.00747982373645769</v>
      </c>
      <c r="AG38" s="303">
        <f t="shared" si="38"/>
        <v>3.7079329119299e-5</v>
      </c>
      <c r="AH38" s="303">
        <f t="shared" si="39"/>
        <v>0.00103215923509758</v>
      </c>
      <c r="AI38" s="303">
        <f t="shared" si="40"/>
        <v>0.00130161329286005</v>
      </c>
      <c r="AJ38" s="303">
        <f t="shared" si="41"/>
        <v>0.00110003626555313</v>
      </c>
      <c r="AK38" s="303">
        <f t="shared" si="42"/>
        <v>-0.00020157702730692</v>
      </c>
      <c r="AL38" s="304">
        <f t="shared" si="43"/>
        <v>-0.00020157702730692</v>
      </c>
      <c r="AM38" s="304">
        <f t="shared" si="44"/>
        <v>-0.126256983240223</v>
      </c>
      <c r="AN38" s="299">
        <v>243200</v>
      </c>
      <c r="AO38" s="299">
        <v>1400000</v>
      </c>
      <c r="AP38" s="299">
        <v>176020</v>
      </c>
      <c r="AQ38" s="299">
        <v>1300000</v>
      </c>
      <c r="AR38" s="300">
        <v>215400</v>
      </c>
      <c r="AS38" s="300">
        <v>1500000</v>
      </c>
      <c r="AT38" s="300">
        <v>232400</v>
      </c>
      <c r="AU38" s="300">
        <v>1400000</v>
      </c>
      <c r="AV38" s="300">
        <v>90860</v>
      </c>
      <c r="AW38" s="300">
        <v>1100000</v>
      </c>
      <c r="AX38" s="300">
        <v>245040</v>
      </c>
      <c r="AY38" s="300">
        <v>1200000</v>
      </c>
      <c r="AZ38" s="300">
        <v>194700</v>
      </c>
      <c r="BA38" s="300">
        <v>1100000</v>
      </c>
      <c r="BB38" s="300">
        <v>312320</v>
      </c>
      <c r="BC38" s="300">
        <v>1600000</v>
      </c>
      <c r="BD38" s="300">
        <v>254850</v>
      </c>
      <c r="BE38" s="300">
        <v>1500000</v>
      </c>
      <c r="BF38" s="300">
        <v>328590</v>
      </c>
      <c r="BG38" s="300">
        <v>1800000</v>
      </c>
      <c r="BH38" s="300">
        <v>448155</v>
      </c>
      <c r="BI38" s="300">
        <v>2300000</v>
      </c>
      <c r="BJ38" s="300">
        <v>272790</v>
      </c>
      <c r="BK38" s="300">
        <v>1400000</v>
      </c>
      <c r="BL38" s="266">
        <v>133250</v>
      </c>
      <c r="BM38" s="266">
        <v>1300000</v>
      </c>
      <c r="BN38" s="266">
        <v>233070</v>
      </c>
      <c r="BO38" s="266">
        <v>1700000</v>
      </c>
      <c r="BP38" s="266">
        <v>233070</v>
      </c>
      <c r="BQ38" s="266">
        <v>1700000</v>
      </c>
      <c r="BR38" s="266">
        <v>202500</v>
      </c>
      <c r="BS38" s="266">
        <v>1500000</v>
      </c>
      <c r="BT38" s="266">
        <v>243600</v>
      </c>
      <c r="BU38" s="266">
        <v>1500000</v>
      </c>
      <c r="BV38" s="266">
        <v>200320</v>
      </c>
      <c r="BW38" s="266">
        <v>1600000</v>
      </c>
      <c r="BX38" s="266">
        <v>238900</v>
      </c>
      <c r="BY38" s="266">
        <v>1900000</v>
      </c>
      <c r="BZ38" s="266">
        <v>238900</v>
      </c>
      <c r="CA38" s="266">
        <v>1900000</v>
      </c>
      <c r="CB38" s="266">
        <v>273500</v>
      </c>
      <c r="CC38" s="266">
        <v>1700000</v>
      </c>
      <c r="CD38" s="311">
        <v>220000</v>
      </c>
      <c r="CE38" s="311">
        <v>2000000</v>
      </c>
      <c r="CF38" s="311">
        <v>271600</v>
      </c>
      <c r="CG38" s="311">
        <v>1600000</v>
      </c>
      <c r="CH38" s="311">
        <v>241700</v>
      </c>
      <c r="CI38" s="311">
        <v>1700000</v>
      </c>
      <c r="CJ38" s="311">
        <v>99200</v>
      </c>
      <c r="CK38" s="311">
        <v>1500000</v>
      </c>
      <c r="CL38" s="311">
        <v>1300000</v>
      </c>
      <c r="CM38" s="311">
        <v>146800</v>
      </c>
      <c r="CN38" s="311">
        <v>0</v>
      </c>
      <c r="CO38" s="311">
        <v>2000000</v>
      </c>
      <c r="CP38" s="311">
        <v>5900</v>
      </c>
      <c r="CQ38" s="311">
        <v>1500000</v>
      </c>
      <c r="CR38" s="311">
        <v>159900</v>
      </c>
      <c r="CS38" s="258">
        <v>1400000</v>
      </c>
      <c r="CT38" s="258">
        <v>201600</v>
      </c>
      <c r="CU38" s="258">
        <v>1700000</v>
      </c>
      <c r="CV38" s="258">
        <v>179000</v>
      </c>
      <c r="CW38" s="258">
        <v>1400000</v>
      </c>
      <c r="CX38" s="266">
        <f t="shared" si="34"/>
        <v>-22600</v>
      </c>
      <c r="CY38" s="266">
        <f t="shared" si="35"/>
        <v>-300000</v>
      </c>
      <c r="DA38" s="301" t="s">
        <v>4803</v>
      </c>
      <c r="DB38" s="258">
        <v>179000</v>
      </c>
      <c r="DC38" s="258">
        <f t="shared" si="33"/>
        <v>1</v>
      </c>
    </row>
    <row r="39" spans="1:107">
      <c r="A39" s="264" t="s">
        <v>4804</v>
      </c>
      <c r="B39" s="264" t="s">
        <v>4776</v>
      </c>
      <c r="C39" s="264"/>
      <c r="D39" s="265" t="s">
        <v>4805</v>
      </c>
      <c r="E39" s="306">
        <f t="shared" si="3"/>
        <v>0.00117408263631581</v>
      </c>
      <c r="F39" s="306">
        <f t="shared" si="4"/>
        <v>0.00027259896073041</v>
      </c>
      <c r="G39" s="304">
        <f t="shared" si="5"/>
        <v>0.00251472736423962</v>
      </c>
      <c r="H39" s="304">
        <f t="shared" si="6"/>
        <v>0.000411479162115013</v>
      </c>
      <c r="I39" s="304">
        <f t="shared" si="18"/>
        <v>0</v>
      </c>
      <c r="J39" s="304">
        <f t="shared" si="7"/>
        <v>0.00419077110232147</v>
      </c>
      <c r="K39" s="304">
        <f t="shared" si="8"/>
        <v>0.00458937505467806</v>
      </c>
      <c r="L39" s="304">
        <f t="shared" si="9"/>
        <v>0.00239171503037848</v>
      </c>
      <c r="M39" s="304">
        <f t="shared" si="10"/>
        <v>0.0033225969101459</v>
      </c>
      <c r="N39" s="304">
        <f t="shared" si="11"/>
        <v>0.000351923641294208</v>
      </c>
      <c r="O39" s="304">
        <f t="shared" si="12"/>
        <v>3.67475603121806e-5</v>
      </c>
      <c r="P39" s="304">
        <f t="shared" si="13"/>
        <v>5.62611047870064e-5</v>
      </c>
      <c r="Q39" s="304">
        <v>0.000131382652684994</v>
      </c>
      <c r="R39" s="304">
        <f t="shared" si="14"/>
        <v>2.55542186605197e-5</v>
      </c>
      <c r="S39" s="304">
        <f t="shared" si="15"/>
        <v>0.00010747358993436</v>
      </c>
      <c r="T39" s="304">
        <v>3.13959257221653e-5</v>
      </c>
      <c r="U39" s="304">
        <v>3.8222830902967e-5</v>
      </c>
      <c r="V39" s="304">
        <v>0</v>
      </c>
      <c r="W39" s="304">
        <v>0</v>
      </c>
      <c r="X39" s="304">
        <f t="shared" si="16"/>
        <v>0.000181761369515039</v>
      </c>
      <c r="Y39" s="304">
        <f t="shared" si="19"/>
        <v>5.04429708832787e-5</v>
      </c>
      <c r="Z39" s="304">
        <f t="shared" si="20"/>
        <v>3.00842574095019e-5</v>
      </c>
      <c r="AA39" s="304">
        <f t="shared" si="21"/>
        <v>6.94578491811646e-5</v>
      </c>
      <c r="AB39" s="304">
        <f t="shared" si="22"/>
        <v>3.06132913727153e-5</v>
      </c>
      <c r="AC39" s="304">
        <f t="shared" si="17"/>
        <v>2.76786919494585e-6</v>
      </c>
      <c r="AD39" s="304">
        <f t="shared" si="23"/>
        <v>7.94012058177816e-5</v>
      </c>
      <c r="AE39" s="304">
        <f t="shared" si="36"/>
        <v>1.97245285492497e-5</v>
      </c>
      <c r="AF39" s="303">
        <f t="shared" si="37"/>
        <v>-5.96766772685318e-5</v>
      </c>
      <c r="AG39" s="303">
        <f t="shared" si="38"/>
        <v>0.000111866450563309</v>
      </c>
      <c r="AH39" s="303">
        <f t="shared" si="39"/>
        <v>9.68254441930189e-6</v>
      </c>
      <c r="AI39" s="303">
        <f t="shared" si="40"/>
        <v>7.16662080890204e-5</v>
      </c>
      <c r="AJ39" s="303">
        <f t="shared" si="41"/>
        <v>7.37454479700422e-5</v>
      </c>
      <c r="AK39" s="303">
        <f t="shared" si="42"/>
        <v>2.07923988102184e-6</v>
      </c>
      <c r="AL39" s="304">
        <f t="shared" si="43"/>
        <v>2.07923988102184e-6</v>
      </c>
      <c r="AM39" s="304">
        <f t="shared" si="44"/>
        <v>0.075</v>
      </c>
      <c r="AN39" s="299">
        <v>220000</v>
      </c>
      <c r="AO39" s="299">
        <v>226700</v>
      </c>
      <c r="AP39" s="299">
        <v>47961.6</v>
      </c>
      <c r="AQ39" s="299">
        <v>64000</v>
      </c>
      <c r="AR39" s="300">
        <v>446419.89</v>
      </c>
      <c r="AS39" s="300">
        <v>576100</v>
      </c>
      <c r="AT39" s="300">
        <v>69663.51</v>
      </c>
      <c r="AU39" s="300">
        <v>89900</v>
      </c>
      <c r="AV39" s="300">
        <v>0</v>
      </c>
      <c r="AW39" s="300">
        <v>109700</v>
      </c>
      <c r="AX39" s="300">
        <v>591206.28</v>
      </c>
      <c r="AY39" s="300">
        <v>653700</v>
      </c>
      <c r="AZ39" s="300">
        <v>604488.29</v>
      </c>
      <c r="BA39" s="300">
        <v>634900</v>
      </c>
      <c r="BB39" s="300">
        <v>328292.64</v>
      </c>
      <c r="BC39" s="300">
        <v>340800</v>
      </c>
      <c r="BD39" s="300">
        <v>428074.5</v>
      </c>
      <c r="BE39" s="300">
        <v>442500</v>
      </c>
      <c r="BF39" s="300">
        <v>43443.6</v>
      </c>
      <c r="BG39" s="300">
        <v>61500</v>
      </c>
      <c r="BH39" s="300">
        <v>4281.48</v>
      </c>
      <c r="BI39" s="300">
        <v>12600</v>
      </c>
      <c r="BJ39" s="300">
        <v>6422.22</v>
      </c>
      <c r="BK39" s="300">
        <v>18900</v>
      </c>
      <c r="BL39" s="266">
        <v>1900</v>
      </c>
      <c r="BM39" s="266">
        <v>27800</v>
      </c>
      <c r="BN39" s="266">
        <v>3200</v>
      </c>
      <c r="BO39" s="266">
        <v>33400</v>
      </c>
      <c r="BP39" s="266">
        <v>14138.64</v>
      </c>
      <c r="BQ39" s="266">
        <v>43800</v>
      </c>
      <c r="BR39" s="266">
        <v>3800</v>
      </c>
      <c r="BS39" s="266">
        <v>16100</v>
      </c>
      <c r="BT39" s="266">
        <v>4300</v>
      </c>
      <c r="BU39" s="266">
        <v>23800</v>
      </c>
      <c r="BV39" s="266">
        <v>0</v>
      </c>
      <c r="BW39" s="266">
        <v>7800</v>
      </c>
      <c r="BX39" s="266">
        <v>26500</v>
      </c>
      <c r="BY39" s="266">
        <v>30100</v>
      </c>
      <c r="BZ39" s="266">
        <v>26500</v>
      </c>
      <c r="CA39" s="266">
        <v>30100</v>
      </c>
      <c r="CB39" s="266">
        <v>6800</v>
      </c>
      <c r="CC39" s="266">
        <v>13700</v>
      </c>
      <c r="CD39" s="311">
        <v>4200</v>
      </c>
      <c r="CE39" s="311">
        <v>11900</v>
      </c>
      <c r="CF39" s="311">
        <v>8600</v>
      </c>
      <c r="CG39" s="311">
        <v>14300</v>
      </c>
      <c r="CH39" s="311">
        <v>4000</v>
      </c>
      <c r="CI39" s="311">
        <v>15800</v>
      </c>
      <c r="CJ39" s="311">
        <v>431</v>
      </c>
      <c r="CK39" s="311">
        <v>24000</v>
      </c>
      <c r="CL39" s="311">
        <v>13800</v>
      </c>
      <c r="CM39" s="311">
        <v>13800</v>
      </c>
      <c r="CN39" s="311">
        <v>3000</v>
      </c>
      <c r="CO39" s="311">
        <v>6800</v>
      </c>
      <c r="CP39" s="311">
        <v>17800</v>
      </c>
      <c r="CQ39" s="311">
        <v>22100</v>
      </c>
      <c r="CR39" s="311">
        <v>1500</v>
      </c>
      <c r="CS39" s="258">
        <v>11100</v>
      </c>
      <c r="CT39" s="258">
        <v>11100</v>
      </c>
      <c r="CU39" s="258">
        <v>23300</v>
      </c>
      <c r="CV39" s="258">
        <v>12000</v>
      </c>
      <c r="CW39" s="258">
        <v>14500</v>
      </c>
      <c r="CX39" s="266">
        <f t="shared" si="34"/>
        <v>900</v>
      </c>
      <c r="CY39" s="266">
        <f t="shared" si="35"/>
        <v>-8800</v>
      </c>
      <c r="DA39" s="301" t="s">
        <v>4805</v>
      </c>
      <c r="DB39" s="258">
        <v>12000</v>
      </c>
      <c r="DC39" s="258">
        <f t="shared" si="33"/>
        <v>1</v>
      </c>
    </row>
    <row r="40" spans="1:107">
      <c r="A40" s="309" t="s">
        <v>4806</v>
      </c>
      <c r="B40" s="264" t="s">
        <v>4776</v>
      </c>
      <c r="C40" s="264"/>
      <c r="D40" s="265" t="s">
        <v>4807</v>
      </c>
      <c r="E40" s="306">
        <f t="shared" si="3"/>
        <v>0.000849075215626567</v>
      </c>
      <c r="F40" s="306">
        <f t="shared" si="4"/>
        <v>0.000460501817218671</v>
      </c>
      <c r="G40" s="304">
        <f t="shared" si="5"/>
        <v>0.000533073380953751</v>
      </c>
      <c r="H40" s="304">
        <f t="shared" si="6"/>
        <v>0.000666334068119388</v>
      </c>
      <c r="I40" s="304">
        <f t="shared" si="18"/>
        <v>0.000352001446219823</v>
      </c>
      <c r="J40" s="304">
        <f t="shared" si="7"/>
        <v>0.000413563682022549</v>
      </c>
      <c r="K40" s="304">
        <f t="shared" si="8"/>
        <v>0.000502224775300405</v>
      </c>
      <c r="L40" s="304">
        <f t="shared" si="9"/>
        <v>0.00101842791344687</v>
      </c>
      <c r="M40" s="304">
        <f t="shared" si="10"/>
        <v>0.000998321095117356</v>
      </c>
      <c r="N40" s="304">
        <f t="shared" si="11"/>
        <v>0.00056082607403889</v>
      </c>
      <c r="O40" s="304">
        <f t="shared" si="12"/>
        <v>0.00112191138981851</v>
      </c>
      <c r="P40" s="304">
        <f t="shared" si="13"/>
        <v>0.000505982532633903</v>
      </c>
      <c r="Q40" s="304">
        <v>0.00103854858789091</v>
      </c>
      <c r="R40" s="304">
        <f t="shared" si="14"/>
        <v>0.000861243450114166</v>
      </c>
      <c r="S40" s="304">
        <f t="shared" si="15"/>
        <v>0.00124413361020058</v>
      </c>
      <c r="T40" s="304">
        <v>0.000399884948671789</v>
      </c>
      <c r="U40" s="304">
        <v>0.00118078573679516</v>
      </c>
      <c r="V40" s="304">
        <v>0.000454232736763312</v>
      </c>
      <c r="W40" s="304">
        <v>0.000454232736763312</v>
      </c>
      <c r="X40" s="304">
        <f t="shared" si="16"/>
        <v>0.00165034492652692</v>
      </c>
      <c r="Y40" s="304">
        <f t="shared" ref="Y40:Y99" si="45">CB40/CB$182</f>
        <v>0.00104372441224666</v>
      </c>
      <c r="Z40" s="304">
        <f t="shared" ref="Z40:Z99" si="46">CD40/CD$182</f>
        <v>0.000660421079322875</v>
      </c>
      <c r="AA40" s="304">
        <f t="shared" ref="AA40:AA67" si="47">CF40/$CF$182</f>
        <v>0.000764843990401894</v>
      </c>
      <c r="AB40" s="304">
        <f t="shared" ref="AB40:AB67" si="48">CH40/$CH$182</f>
        <v>0.000338276869668504</v>
      </c>
      <c r="AC40" s="304">
        <f t="shared" si="17"/>
        <v>0.000696141579424896</v>
      </c>
      <c r="AD40" s="304">
        <f t="shared" ref="AD40:AD67" si="49">CL40/$CL$182</f>
        <v>0.00103221567563116</v>
      </c>
      <c r="AE40" s="304">
        <f t="shared" si="36"/>
        <v>0.000647622020700367</v>
      </c>
      <c r="AF40" s="303">
        <f t="shared" si="37"/>
        <v>-0.000384593654930793</v>
      </c>
      <c r="AG40" s="303">
        <f t="shared" si="38"/>
        <v>0.000376449460041697</v>
      </c>
      <c r="AH40" s="303">
        <f t="shared" si="39"/>
        <v>0.000350508107978728</v>
      </c>
      <c r="AI40" s="303">
        <f t="shared" si="40"/>
        <v>0.000103948283804795</v>
      </c>
      <c r="AJ40" s="303">
        <f t="shared" si="41"/>
        <v>0.000310345426873928</v>
      </c>
      <c r="AK40" s="303">
        <f t="shared" si="42"/>
        <v>0.000206397143069133</v>
      </c>
      <c r="AL40" s="304">
        <f t="shared" si="43"/>
        <v>0.000206397143069133</v>
      </c>
      <c r="AM40" s="304">
        <f t="shared" si="44"/>
        <v>0.681188118811881</v>
      </c>
      <c r="AN40" s="299">
        <v>159100</v>
      </c>
      <c r="AO40" s="299">
        <v>213900</v>
      </c>
      <c r="AP40" s="299">
        <v>81021.6</v>
      </c>
      <c r="AQ40" s="299">
        <v>118800</v>
      </c>
      <c r="AR40" s="300">
        <v>94632.35</v>
      </c>
      <c r="AS40" s="300">
        <v>134900</v>
      </c>
      <c r="AT40" s="300">
        <v>112810.5</v>
      </c>
      <c r="AU40" s="300">
        <v>159000</v>
      </c>
      <c r="AV40" s="300">
        <v>59593.92</v>
      </c>
      <c r="AW40" s="300">
        <v>110400</v>
      </c>
      <c r="AX40" s="300">
        <v>58342.83</v>
      </c>
      <c r="AY40" s="300">
        <v>92300</v>
      </c>
      <c r="AZ40" s="300">
        <v>66150.4</v>
      </c>
      <c r="BA40" s="300">
        <v>102400</v>
      </c>
      <c r="BB40" s="300">
        <v>139791.9</v>
      </c>
      <c r="BC40" s="300">
        <v>213000</v>
      </c>
      <c r="BD40" s="300">
        <v>128621.02</v>
      </c>
      <c r="BE40" s="300">
        <v>195800</v>
      </c>
      <c r="BF40" s="300">
        <v>69231.79</v>
      </c>
      <c r="BG40" s="300">
        <v>130700</v>
      </c>
      <c r="BH40" s="300">
        <v>130714.56</v>
      </c>
      <c r="BI40" s="300">
        <v>196800</v>
      </c>
      <c r="BJ40" s="300">
        <v>57758.04</v>
      </c>
      <c r="BK40" s="300">
        <v>149400</v>
      </c>
      <c r="BL40" s="266">
        <v>76881.6</v>
      </c>
      <c r="BM40" s="266">
        <v>144000</v>
      </c>
      <c r="BN40" s="266">
        <v>107848.3</v>
      </c>
      <c r="BO40" s="266">
        <v>150500</v>
      </c>
      <c r="BP40" s="266">
        <v>163671.44</v>
      </c>
      <c r="BQ40" s="266">
        <v>228400</v>
      </c>
      <c r="BR40" s="266">
        <v>48400</v>
      </c>
      <c r="BS40" s="266">
        <v>170000</v>
      </c>
      <c r="BT40" s="266">
        <v>132836.28</v>
      </c>
      <c r="BU40" s="266">
        <v>231100</v>
      </c>
      <c r="BV40" s="266">
        <v>58445.16</v>
      </c>
      <c r="BW40" s="266">
        <v>169800</v>
      </c>
      <c r="BX40" s="266">
        <v>80500</v>
      </c>
      <c r="BY40" s="266">
        <v>273300</v>
      </c>
      <c r="BZ40" s="266">
        <v>80500</v>
      </c>
      <c r="CA40" s="266">
        <v>273300</v>
      </c>
      <c r="CB40" s="266">
        <v>140700</v>
      </c>
      <c r="CC40" s="266">
        <v>280200</v>
      </c>
      <c r="CD40" s="311">
        <v>92200</v>
      </c>
      <c r="CE40" s="311">
        <v>180200</v>
      </c>
      <c r="CF40" s="311">
        <v>94700</v>
      </c>
      <c r="CG40" s="311">
        <v>158100</v>
      </c>
      <c r="CH40" s="311">
        <v>44200</v>
      </c>
      <c r="CI40" s="311">
        <v>156500</v>
      </c>
      <c r="CJ40" s="311">
        <v>108400</v>
      </c>
      <c r="CK40" s="311">
        <v>241000</v>
      </c>
      <c r="CL40" s="311">
        <v>179400</v>
      </c>
      <c r="CM40" s="311">
        <v>75500</v>
      </c>
      <c r="CN40" s="311">
        <v>98500</v>
      </c>
      <c r="CO40" s="311">
        <v>341900</v>
      </c>
      <c r="CP40" s="311">
        <v>59900</v>
      </c>
      <c r="CQ40" s="311">
        <v>206400</v>
      </c>
      <c r="CR40" s="311">
        <v>54300</v>
      </c>
      <c r="CS40" s="258">
        <v>107000</v>
      </c>
      <c r="CT40" s="258">
        <v>16100</v>
      </c>
      <c r="CU40" s="258">
        <v>107600</v>
      </c>
      <c r="CV40" s="258">
        <v>50500</v>
      </c>
      <c r="CW40" s="258">
        <v>153100</v>
      </c>
      <c r="CX40" s="266">
        <f t="shared" si="34"/>
        <v>34400</v>
      </c>
      <c r="CY40" s="266">
        <f t="shared" si="35"/>
        <v>45500</v>
      </c>
      <c r="DA40" s="301" t="s">
        <v>4807</v>
      </c>
      <c r="DB40" s="258">
        <v>50500</v>
      </c>
      <c r="DC40" s="258">
        <f t="shared" si="33"/>
        <v>1</v>
      </c>
    </row>
    <row r="41" spans="1:107">
      <c r="A41" s="264" t="s">
        <v>4808</v>
      </c>
      <c r="B41" s="264" t="s">
        <v>4776</v>
      </c>
      <c r="C41" s="264"/>
      <c r="D41" s="258" t="s">
        <v>4809</v>
      </c>
      <c r="E41" s="306">
        <f t="shared" si="3"/>
        <v>0.000846940519924174</v>
      </c>
      <c r="F41" s="306">
        <f t="shared" si="4"/>
        <v>0.000361997922218297</v>
      </c>
      <c r="G41" s="304">
        <f t="shared" si="5"/>
        <v>0</v>
      </c>
      <c r="H41" s="304">
        <f t="shared" si="6"/>
        <v>0</v>
      </c>
      <c r="I41" s="304">
        <f t="shared" si="18"/>
        <v>0</v>
      </c>
      <c r="J41" s="304">
        <f t="shared" si="7"/>
        <v>0.000538928360528059</v>
      </c>
      <c r="K41" s="304">
        <f t="shared" si="8"/>
        <v>0.000581715885423874</v>
      </c>
      <c r="L41" s="304">
        <f t="shared" si="9"/>
        <v>0.000861522571708423</v>
      </c>
      <c r="M41" s="304">
        <f t="shared" si="10"/>
        <v>0.00250283486140877</v>
      </c>
      <c r="N41" s="304">
        <f t="shared" si="11"/>
        <v>0.00114187571170888</v>
      </c>
      <c r="O41" s="304">
        <f t="shared" si="12"/>
        <v>0.00604374236699111</v>
      </c>
      <c r="P41" s="304">
        <f t="shared" si="13"/>
        <v>0.0111807887971151</v>
      </c>
      <c r="Q41" s="304">
        <v>0.0201592430045758</v>
      </c>
      <c r="R41" s="304">
        <f t="shared" si="14"/>
        <v>0.00218515058092224</v>
      </c>
      <c r="S41" s="304">
        <f t="shared" si="15"/>
        <v>0.00645405260121681</v>
      </c>
      <c r="T41" s="304">
        <v>0.000420540162962687</v>
      </c>
      <c r="U41" s="304">
        <v>0.000690677665386172</v>
      </c>
      <c r="V41" s="304">
        <v>0.000256970907172954</v>
      </c>
      <c r="W41" s="304">
        <v>0.000256970907172954</v>
      </c>
      <c r="X41" s="304">
        <f t="shared" si="16"/>
        <v>0.00157361397392518</v>
      </c>
      <c r="Y41" s="304">
        <f t="shared" si="45"/>
        <v>0.00123214374466362</v>
      </c>
      <c r="Z41" s="304">
        <f t="shared" si="46"/>
        <v>0.000651825577205874</v>
      </c>
      <c r="AA41" s="304">
        <f t="shared" si="47"/>
        <v>0.000338405102405907</v>
      </c>
      <c r="AB41" s="304">
        <f t="shared" si="48"/>
        <v>0.000580887203797273</v>
      </c>
      <c r="AC41" s="304">
        <f t="shared" si="17"/>
        <v>0.00071219650514964</v>
      </c>
      <c r="AD41" s="304">
        <f t="shared" si="49"/>
        <v>0.000638086501825506</v>
      </c>
      <c r="AE41" s="304">
        <f t="shared" si="36"/>
        <v>0.000424734848093845</v>
      </c>
      <c r="AF41" s="303">
        <f t="shared" si="37"/>
        <v>-0.000213351653731661</v>
      </c>
      <c r="AG41" s="303">
        <f t="shared" si="38"/>
        <v>0.000232531386002384</v>
      </c>
      <c r="AH41" s="303">
        <f t="shared" si="39"/>
        <v>0.000854645920743713</v>
      </c>
      <c r="AI41" s="303">
        <f t="shared" si="40"/>
        <v>0.000390613116160877</v>
      </c>
      <c r="AJ41" s="303">
        <f t="shared" si="41"/>
        <v>0.000404370873035732</v>
      </c>
      <c r="AK41" s="303">
        <f t="shared" si="42"/>
        <v>1.37577568748547e-5</v>
      </c>
      <c r="AL41" s="304">
        <f t="shared" si="43"/>
        <v>1.37577568748547e-5</v>
      </c>
      <c r="AM41" s="304">
        <f t="shared" si="44"/>
        <v>0.0805471124620061</v>
      </c>
      <c r="AN41" s="299">
        <v>158700</v>
      </c>
      <c r="AO41" s="299">
        <v>349900</v>
      </c>
      <c r="AP41" s="299">
        <v>63690.63</v>
      </c>
      <c r="AQ41" s="299">
        <v>217300</v>
      </c>
      <c r="AR41" s="300">
        <v>0</v>
      </c>
      <c r="AS41" s="300">
        <v>212900</v>
      </c>
      <c r="AT41" s="300">
        <v>0</v>
      </c>
      <c r="AU41" s="300">
        <v>219300</v>
      </c>
      <c r="AV41" s="300">
        <v>0</v>
      </c>
      <c r="AW41" s="300">
        <v>212300</v>
      </c>
      <c r="AX41" s="300">
        <v>76028.45</v>
      </c>
      <c r="AY41" s="300">
        <v>251500</v>
      </c>
      <c r="AZ41" s="300">
        <v>76620.55</v>
      </c>
      <c r="BA41" s="300">
        <v>245500</v>
      </c>
      <c r="BB41" s="300">
        <v>118254.69</v>
      </c>
      <c r="BC41" s="300">
        <v>378900</v>
      </c>
      <c r="BD41" s="300">
        <v>322458.55</v>
      </c>
      <c r="BE41" s="300">
        <v>593300</v>
      </c>
      <c r="BF41" s="300">
        <v>140960.1</v>
      </c>
      <c r="BG41" s="300">
        <v>329500</v>
      </c>
      <c r="BH41" s="300">
        <v>704160</v>
      </c>
      <c r="BI41" s="300">
        <v>1600000</v>
      </c>
      <c r="BJ41" s="300">
        <v>1276290</v>
      </c>
      <c r="BK41" s="300">
        <v>2900000</v>
      </c>
      <c r="BL41" s="266">
        <v>0</v>
      </c>
      <c r="BM41" s="266">
        <v>515200</v>
      </c>
      <c r="BN41" s="266">
        <v>273633.17</v>
      </c>
      <c r="BO41" s="266">
        <v>580100</v>
      </c>
      <c r="BP41" s="266">
        <v>849060</v>
      </c>
      <c r="BQ41" s="266">
        <v>1800000</v>
      </c>
      <c r="BR41" s="266">
        <v>50900</v>
      </c>
      <c r="BS41" s="266">
        <v>152700</v>
      </c>
      <c r="BT41" s="266">
        <v>77700</v>
      </c>
      <c r="BU41" s="266">
        <v>248100</v>
      </c>
      <c r="BV41" s="266">
        <v>33063.9</v>
      </c>
      <c r="BW41" s="266">
        <v>307000</v>
      </c>
      <c r="BX41" s="266">
        <v>73800</v>
      </c>
      <c r="BY41" s="266">
        <v>260593.220338983</v>
      </c>
      <c r="BZ41" s="266">
        <v>73800</v>
      </c>
      <c r="CA41" s="266">
        <v>260700</v>
      </c>
      <c r="CB41" s="266">
        <v>166100</v>
      </c>
      <c r="CC41" s="266">
        <v>211400</v>
      </c>
      <c r="CD41" s="311">
        <v>91000</v>
      </c>
      <c r="CE41" s="311">
        <v>245400</v>
      </c>
      <c r="CF41" s="311">
        <v>41900</v>
      </c>
      <c r="CG41" s="311">
        <v>163600</v>
      </c>
      <c r="CH41" s="311">
        <v>75900</v>
      </c>
      <c r="CI41" s="311">
        <v>171000</v>
      </c>
      <c r="CJ41" s="311">
        <v>110900</v>
      </c>
      <c r="CK41" s="311">
        <v>156700</v>
      </c>
      <c r="CL41" s="311">
        <v>110900</v>
      </c>
      <c r="CM41" s="311">
        <v>156700</v>
      </c>
      <c r="CN41" s="311">
        <v>64600</v>
      </c>
      <c r="CO41" s="311">
        <v>172300</v>
      </c>
      <c r="CP41" s="311">
        <v>37000</v>
      </c>
      <c r="CQ41" s="311">
        <v>194900</v>
      </c>
      <c r="CR41" s="311">
        <v>132400</v>
      </c>
      <c r="CS41" s="258">
        <v>273900</v>
      </c>
      <c r="CT41" s="258">
        <v>60500</v>
      </c>
      <c r="CU41" s="258">
        <v>165100</v>
      </c>
      <c r="CV41" s="258">
        <v>65800</v>
      </c>
      <c r="CW41" s="258">
        <v>166500</v>
      </c>
      <c r="CX41" s="266">
        <f t="shared" si="34"/>
        <v>5300</v>
      </c>
      <c r="CY41" s="266">
        <f t="shared" si="35"/>
        <v>1400</v>
      </c>
      <c r="DA41" s="301" t="s">
        <v>4809</v>
      </c>
      <c r="DB41" s="258">
        <v>0</v>
      </c>
      <c r="DC41" s="258">
        <f t="shared" si="33"/>
        <v>1</v>
      </c>
    </row>
    <row r="42" spans="1:107">
      <c r="A42" s="264" t="s">
        <v>4810</v>
      </c>
      <c r="B42" s="264" t="s">
        <v>4776</v>
      </c>
      <c r="C42" s="264"/>
      <c r="D42" s="265" t="s">
        <v>4811</v>
      </c>
      <c r="E42" s="306">
        <f t="shared" si="3"/>
        <v>0.000768490452861255</v>
      </c>
      <c r="F42" s="306">
        <f t="shared" si="4"/>
        <v>0.000423736060001665</v>
      </c>
      <c r="G42" s="304">
        <f t="shared" si="5"/>
        <v>0.000414556924542172</v>
      </c>
      <c r="H42" s="304">
        <f t="shared" si="6"/>
        <v>0.000444805109454983</v>
      </c>
      <c r="I42" s="304">
        <f t="shared" si="18"/>
        <v>0</v>
      </c>
      <c r="J42" s="304">
        <f t="shared" si="7"/>
        <v>0</v>
      </c>
      <c r="K42" s="304">
        <f t="shared" si="8"/>
        <v>0</v>
      </c>
      <c r="L42" s="304">
        <f t="shared" si="9"/>
        <v>0</v>
      </c>
      <c r="M42" s="304">
        <f t="shared" si="10"/>
        <v>0</v>
      </c>
      <c r="N42" s="304">
        <f t="shared" si="11"/>
        <v>0</v>
      </c>
      <c r="O42" s="304">
        <f t="shared" si="12"/>
        <v>0.000105569801059405</v>
      </c>
      <c r="P42" s="304">
        <f t="shared" si="13"/>
        <v>7.21727630370718e-5</v>
      </c>
      <c r="Q42" s="304">
        <v>0.00465608998774652</v>
      </c>
      <c r="R42" s="304">
        <f t="shared" si="14"/>
        <v>0.00114514842372454</v>
      </c>
      <c r="S42" s="304">
        <f t="shared" si="15"/>
        <v>0.00109491672893152</v>
      </c>
      <c r="T42" s="304">
        <v>0.000346181391515454</v>
      </c>
      <c r="U42" s="304">
        <v>0</v>
      </c>
      <c r="V42" s="304">
        <v>0</v>
      </c>
      <c r="W42" s="304">
        <v>0</v>
      </c>
      <c r="X42" s="304">
        <f t="shared" si="16"/>
        <v>0.00603858370481858</v>
      </c>
      <c r="Y42" s="304">
        <f t="shared" si="45"/>
        <v>0.000548938212553327</v>
      </c>
      <c r="Z42" s="304">
        <f t="shared" si="46"/>
        <v>0</v>
      </c>
      <c r="AA42" s="304">
        <f t="shared" si="47"/>
        <v>0.000557278092267484</v>
      </c>
      <c r="AB42" s="304">
        <f t="shared" si="48"/>
        <v>0.000495935320237988</v>
      </c>
      <c r="AC42" s="304">
        <f t="shared" si="17"/>
        <v>0.000487427545003225</v>
      </c>
      <c r="AD42" s="304">
        <f t="shared" si="49"/>
        <v>0.00437224465948784</v>
      </c>
      <c r="AE42" s="304">
        <f t="shared" si="36"/>
        <v>0</v>
      </c>
      <c r="AF42" s="303">
        <f t="shared" si="37"/>
        <v>-0.00437224465948784</v>
      </c>
      <c r="AG42" s="303">
        <f t="shared" si="38"/>
        <v>0</v>
      </c>
      <c r="AH42" s="303">
        <f t="shared" si="39"/>
        <v>0.000366000179049611</v>
      </c>
      <c r="AI42" s="303">
        <f t="shared" si="40"/>
        <v>0.00184911729699959</v>
      </c>
      <c r="AJ42" s="303">
        <f t="shared" si="41"/>
        <v>0</v>
      </c>
      <c r="AK42" s="303">
        <f t="shared" si="42"/>
        <v>-0.00184911729699959</v>
      </c>
      <c r="AL42" s="304">
        <f t="shared" si="43"/>
        <v>-0.00184911729699959</v>
      </c>
      <c r="AM42" s="304">
        <f t="shared" si="44"/>
        <v>0</v>
      </c>
      <c r="AN42" s="299">
        <v>144000</v>
      </c>
      <c r="AO42" s="299">
        <v>565200</v>
      </c>
      <c r="AP42" s="299">
        <v>74552.96</v>
      </c>
      <c r="AQ42" s="299">
        <v>613100</v>
      </c>
      <c r="AR42" s="300">
        <v>73593.05</v>
      </c>
      <c r="AS42" s="300">
        <v>631700</v>
      </c>
      <c r="AT42" s="300">
        <v>75305.6</v>
      </c>
      <c r="AU42" s="300">
        <v>646400</v>
      </c>
      <c r="AV42" s="300">
        <v>0</v>
      </c>
      <c r="AW42" s="300">
        <v>432900</v>
      </c>
      <c r="AX42" s="300">
        <v>0</v>
      </c>
      <c r="AY42" s="300">
        <v>572900</v>
      </c>
      <c r="AZ42" s="300">
        <v>0</v>
      </c>
      <c r="BA42" s="300">
        <v>525000</v>
      </c>
      <c r="BB42" s="300">
        <v>0</v>
      </c>
      <c r="BC42" s="300">
        <v>786400</v>
      </c>
      <c r="BD42" s="300">
        <v>0</v>
      </c>
      <c r="BE42" s="300">
        <v>862000</v>
      </c>
      <c r="BF42" s="300">
        <v>0</v>
      </c>
      <c r="BG42" s="300">
        <v>849100</v>
      </c>
      <c r="BH42" s="300">
        <v>12300</v>
      </c>
      <c r="BI42" s="300">
        <v>1000000</v>
      </c>
      <c r="BJ42" s="300">
        <v>8238.54</v>
      </c>
      <c r="BK42" s="300">
        <v>669800</v>
      </c>
      <c r="BL42" s="266">
        <v>0</v>
      </c>
      <c r="BM42" s="266">
        <v>1100000</v>
      </c>
      <c r="BN42" s="266">
        <v>143400</v>
      </c>
      <c r="BO42" s="266">
        <v>956400</v>
      </c>
      <c r="BP42" s="266">
        <v>144041.28</v>
      </c>
      <c r="BQ42" s="266">
        <v>849300</v>
      </c>
      <c r="BR42" s="266">
        <v>41900</v>
      </c>
      <c r="BS42" s="266">
        <v>750300</v>
      </c>
      <c r="BT42" s="266">
        <v>0</v>
      </c>
      <c r="BU42" s="266">
        <v>845800</v>
      </c>
      <c r="BV42" s="266">
        <v>0</v>
      </c>
      <c r="BW42" s="266">
        <v>723500</v>
      </c>
      <c r="BX42" s="266">
        <v>201700</v>
      </c>
      <c r="BY42" s="266">
        <v>1000000</v>
      </c>
      <c r="BZ42" s="266">
        <v>200600</v>
      </c>
      <c r="CA42" s="266">
        <v>1000000</v>
      </c>
      <c r="CB42" s="266">
        <v>74000</v>
      </c>
      <c r="CC42" s="266">
        <v>763400</v>
      </c>
      <c r="CD42" s="311">
        <v>0</v>
      </c>
      <c r="CE42" s="311">
        <v>999200</v>
      </c>
      <c r="CF42" s="311">
        <v>69000</v>
      </c>
      <c r="CG42" s="311">
        <v>671900</v>
      </c>
      <c r="CH42" s="311">
        <v>64800</v>
      </c>
      <c r="CI42" s="311">
        <v>764100</v>
      </c>
      <c r="CJ42" s="311">
        <v>75900</v>
      </c>
      <c r="CK42" s="311">
        <v>703000</v>
      </c>
      <c r="CL42" s="311">
        <v>759900</v>
      </c>
      <c r="CM42" s="311">
        <v>759900</v>
      </c>
      <c r="CN42" s="311">
        <v>0</v>
      </c>
      <c r="CO42" s="311">
        <v>981900</v>
      </c>
      <c r="CP42" s="311">
        <v>0</v>
      </c>
      <c r="CQ42" s="311">
        <v>854400</v>
      </c>
      <c r="CR42" s="311">
        <v>56700</v>
      </c>
      <c r="CS42" s="258">
        <v>769500</v>
      </c>
      <c r="CT42" s="258">
        <v>286400</v>
      </c>
      <c r="CU42" s="258">
        <v>1000000</v>
      </c>
      <c r="CV42" s="258">
        <v>0</v>
      </c>
      <c r="CW42" s="258">
        <v>847700</v>
      </c>
      <c r="CX42" s="266">
        <f t="shared" si="34"/>
        <v>-286400</v>
      </c>
      <c r="CY42" s="266">
        <f t="shared" si="35"/>
        <v>-152300</v>
      </c>
      <c r="DA42" s="301" t="s">
        <v>4811</v>
      </c>
      <c r="DB42" s="258">
        <v>0</v>
      </c>
      <c r="DC42" s="258">
        <f t="shared" si="33"/>
        <v>1</v>
      </c>
    </row>
    <row r="43" spans="1:107">
      <c r="A43" s="264" t="s">
        <v>4812</v>
      </c>
      <c r="B43" s="264" t="s">
        <v>4776</v>
      </c>
      <c r="C43" s="264"/>
      <c r="D43" s="265" t="s">
        <v>4813</v>
      </c>
      <c r="E43" s="306">
        <f t="shared" si="3"/>
        <v>0.000650548515304076</v>
      </c>
      <c r="F43" s="306">
        <f t="shared" si="4"/>
        <v>0.000868372760480168</v>
      </c>
      <c r="G43" s="304">
        <f t="shared" si="5"/>
        <v>0.000978053545707701</v>
      </c>
      <c r="H43" s="304">
        <f t="shared" si="6"/>
        <v>0.000884810106829993</v>
      </c>
      <c r="I43" s="304">
        <f t="shared" si="18"/>
        <v>0.000668609020950341</v>
      </c>
      <c r="J43" s="304">
        <f t="shared" si="7"/>
        <v>0.000431230160624878</v>
      </c>
      <c r="K43" s="304">
        <f t="shared" si="8"/>
        <v>0.0007951349941911</v>
      </c>
      <c r="L43" s="304">
        <f t="shared" si="9"/>
        <v>0.000743151588049039</v>
      </c>
      <c r="M43" s="304">
        <f t="shared" si="10"/>
        <v>0.00115038160946346</v>
      </c>
      <c r="N43" s="304">
        <f t="shared" si="11"/>
        <v>0.00126507328826674</v>
      </c>
      <c r="O43" s="304">
        <f t="shared" si="12"/>
        <v>0.000481901680540817</v>
      </c>
      <c r="P43" s="304">
        <f t="shared" si="13"/>
        <v>0.000819485003389915</v>
      </c>
      <c r="Q43" s="304">
        <v>0.000987802907224216</v>
      </c>
      <c r="R43" s="304">
        <f t="shared" si="14"/>
        <v>0.000690762473167174</v>
      </c>
      <c r="S43" s="304">
        <f t="shared" si="15"/>
        <v>0.0011522093871667</v>
      </c>
      <c r="T43" s="304">
        <v>0.00171073424909221</v>
      </c>
      <c r="U43" s="304">
        <v>0.00216833959646285</v>
      </c>
      <c r="V43" s="304">
        <v>0.00209786976426194</v>
      </c>
      <c r="W43" s="304">
        <v>0.00209786976426194</v>
      </c>
      <c r="X43" s="304">
        <f t="shared" si="16"/>
        <v>0.00147764143256911</v>
      </c>
      <c r="Y43" s="304">
        <f t="shared" si="45"/>
        <v>0.00114535216240856</v>
      </c>
      <c r="Z43" s="304">
        <f t="shared" si="46"/>
        <v>0.000717008134926462</v>
      </c>
      <c r="AA43" s="304">
        <f t="shared" si="47"/>
        <v>0.000851262477173809</v>
      </c>
      <c r="AB43" s="304">
        <f t="shared" si="48"/>
        <v>0.00138295543776241</v>
      </c>
      <c r="AC43" s="304">
        <f t="shared" si="17"/>
        <v>0.000779627193193564</v>
      </c>
      <c r="AD43" s="304">
        <f t="shared" si="49"/>
        <v>0.00130954452493675</v>
      </c>
      <c r="AE43" s="304">
        <f t="shared" si="36"/>
        <v>0.00119859385150941</v>
      </c>
      <c r="AF43" s="303">
        <f t="shared" si="37"/>
        <v>-0.00011095067342734</v>
      </c>
      <c r="AG43" s="303">
        <f t="shared" si="38"/>
        <v>0.00060206775078455</v>
      </c>
      <c r="AH43" s="303">
        <f t="shared" si="39"/>
        <v>0.000351153610940015</v>
      </c>
      <c r="AI43" s="303">
        <f t="shared" si="40"/>
        <v>0.000610776872542462</v>
      </c>
      <c r="AJ43" s="303">
        <f t="shared" si="41"/>
        <v>0.0010434980887761</v>
      </c>
      <c r="AK43" s="303">
        <f t="shared" si="42"/>
        <v>0.000432721216233636</v>
      </c>
      <c r="AL43" s="304">
        <f t="shared" si="43"/>
        <v>0.000432721216233636</v>
      </c>
      <c r="AM43" s="304">
        <f t="shared" si="44"/>
        <v>0.442873969375736</v>
      </c>
      <c r="AN43" s="299">
        <v>121900</v>
      </c>
      <c r="AO43" s="299">
        <v>177000</v>
      </c>
      <c r="AP43" s="299">
        <v>152783.22</v>
      </c>
      <c r="AQ43" s="299">
        <v>215400</v>
      </c>
      <c r="AR43" s="300">
        <v>173626.2</v>
      </c>
      <c r="AS43" s="300">
        <v>237000</v>
      </c>
      <c r="AT43" s="300">
        <v>149798.54</v>
      </c>
      <c r="AU43" s="300">
        <v>237700</v>
      </c>
      <c r="AV43" s="300">
        <v>113195.65</v>
      </c>
      <c r="AW43" s="300">
        <v>128500</v>
      </c>
      <c r="AX43" s="300">
        <v>60835.1</v>
      </c>
      <c r="AY43" s="300">
        <v>77300</v>
      </c>
      <c r="AZ43" s="300">
        <v>104730.99</v>
      </c>
      <c r="BA43" s="300">
        <v>118300</v>
      </c>
      <c r="BB43" s="300">
        <v>102006.8</v>
      </c>
      <c r="BC43" s="300">
        <v>119000</v>
      </c>
      <c r="BD43" s="300">
        <v>148212.09</v>
      </c>
      <c r="BE43" s="300">
        <v>170300</v>
      </c>
      <c r="BF43" s="300">
        <v>156168.36</v>
      </c>
      <c r="BG43" s="300">
        <v>188200</v>
      </c>
      <c r="BH43" s="300">
        <v>56146.65</v>
      </c>
      <c r="BI43" s="300">
        <v>73500</v>
      </c>
      <c r="BJ43" s="300">
        <v>93544.43</v>
      </c>
      <c r="BK43" s="300">
        <v>142100</v>
      </c>
      <c r="BL43" s="266">
        <v>83516.72</v>
      </c>
      <c r="BM43" s="266">
        <v>117200</v>
      </c>
      <c r="BN43" s="266">
        <v>86500</v>
      </c>
      <c r="BO43" s="266">
        <v>273100</v>
      </c>
      <c r="BP43" s="266">
        <v>151578.39</v>
      </c>
      <c r="BQ43" s="266">
        <v>185100</v>
      </c>
      <c r="BR43" s="266">
        <v>207058.4</v>
      </c>
      <c r="BS43" s="266">
        <v>244000</v>
      </c>
      <c r="BT43" s="266">
        <v>243934.32</v>
      </c>
      <c r="BU43" s="266">
        <v>271400</v>
      </c>
      <c r="BV43" s="266">
        <v>269928.44</v>
      </c>
      <c r="BW43" s="266">
        <v>328700</v>
      </c>
      <c r="BX43" s="266">
        <v>200300</v>
      </c>
      <c r="BY43" s="266">
        <v>244700</v>
      </c>
      <c r="BZ43" s="266">
        <v>200300</v>
      </c>
      <c r="CA43" s="266">
        <v>244700</v>
      </c>
      <c r="CB43" s="266">
        <v>154400</v>
      </c>
      <c r="CC43" s="266">
        <v>225300</v>
      </c>
      <c r="CD43" s="311">
        <v>100100</v>
      </c>
      <c r="CE43" s="311">
        <v>151000</v>
      </c>
      <c r="CF43" s="311">
        <v>105400</v>
      </c>
      <c r="CG43" s="311">
        <v>139400</v>
      </c>
      <c r="CH43" s="311">
        <v>180700</v>
      </c>
      <c r="CI43" s="311">
        <v>228700</v>
      </c>
      <c r="CJ43" s="311">
        <v>121400</v>
      </c>
      <c r="CK43" s="311">
        <v>229500</v>
      </c>
      <c r="CL43" s="311">
        <v>227600</v>
      </c>
      <c r="CM43" s="311">
        <v>170800</v>
      </c>
      <c r="CN43" s="311">
        <v>182300</v>
      </c>
      <c r="CO43" s="311">
        <v>417700</v>
      </c>
      <c r="CP43" s="311">
        <v>95800</v>
      </c>
      <c r="CQ43" s="311">
        <v>248600</v>
      </c>
      <c r="CR43" s="311">
        <v>54400</v>
      </c>
      <c r="CS43" s="258">
        <v>130300</v>
      </c>
      <c r="CT43" s="258">
        <v>94600</v>
      </c>
      <c r="CU43" s="258">
        <v>130500</v>
      </c>
      <c r="CV43" s="258">
        <v>169800</v>
      </c>
      <c r="CW43" s="258">
        <v>287200</v>
      </c>
      <c r="CX43" s="266">
        <f t="shared" si="34"/>
        <v>75200</v>
      </c>
      <c r="CY43" s="266">
        <f t="shared" si="35"/>
        <v>156700</v>
      </c>
      <c r="DA43" s="301" t="s">
        <v>4813</v>
      </c>
      <c r="DB43" s="258">
        <v>169800</v>
      </c>
      <c r="DC43" s="258">
        <f t="shared" ref="DC43:DC74" si="50">IF(DA43=D43,1,0)</f>
        <v>1</v>
      </c>
    </row>
    <row r="44" spans="1:107">
      <c r="A44" s="264" t="s">
        <v>4814</v>
      </c>
      <c r="B44" s="264" t="s">
        <v>4776</v>
      </c>
      <c r="C44" s="264"/>
      <c r="D44" s="265" t="s">
        <v>4815</v>
      </c>
      <c r="E44" s="306">
        <f t="shared" si="3"/>
        <v>0.00062706686257776</v>
      </c>
      <c r="F44" s="306">
        <f t="shared" si="4"/>
        <v>0.000648910976987511</v>
      </c>
      <c r="G44" s="304">
        <f t="shared" si="5"/>
        <v>0.000561491519633648</v>
      </c>
      <c r="H44" s="304">
        <f t="shared" si="6"/>
        <v>0.00044221775300147</v>
      </c>
      <c r="I44" s="304">
        <f t="shared" si="18"/>
        <v>0.000457020451403782</v>
      </c>
      <c r="J44" s="304">
        <f t="shared" si="7"/>
        <v>0.000663494660252385</v>
      </c>
      <c r="K44" s="304">
        <f t="shared" si="8"/>
        <v>0.000571505182233847</v>
      </c>
      <c r="L44" s="304">
        <f t="shared" si="9"/>
        <v>0.000631334400186533</v>
      </c>
      <c r="M44" s="304">
        <f t="shared" si="10"/>
        <v>0.000621288121418865</v>
      </c>
      <c r="N44" s="304">
        <f t="shared" si="11"/>
        <v>0.000638405440449622</v>
      </c>
      <c r="O44" s="304">
        <f t="shared" si="12"/>
        <v>0.000530963571915597</v>
      </c>
      <c r="P44" s="304">
        <f t="shared" si="13"/>
        <v>0.000721260001143826</v>
      </c>
      <c r="Q44" s="304">
        <v>0.00121720118969008</v>
      </c>
      <c r="R44" s="304">
        <f t="shared" si="14"/>
        <v>0.000452039913570464</v>
      </c>
      <c r="S44" s="304">
        <f t="shared" si="15"/>
        <v>0.00081530299168403</v>
      </c>
      <c r="T44" s="304">
        <v>0.00121130149514543</v>
      </c>
      <c r="U44" s="304">
        <v>0.000650355423273283</v>
      </c>
      <c r="V44" s="304">
        <v>0.000338754648290202</v>
      </c>
      <c r="W44" s="304">
        <v>0.000338754648290202</v>
      </c>
      <c r="X44" s="304">
        <f t="shared" si="16"/>
        <v>0.00156942790488235</v>
      </c>
      <c r="Y44" s="304">
        <f t="shared" si="45"/>
        <v>0.000973994423084484</v>
      </c>
      <c r="Z44" s="304">
        <f t="shared" si="46"/>
        <v>0.00079508394582255</v>
      </c>
      <c r="AA44" s="304">
        <f t="shared" si="47"/>
        <v>0.000335174504769574</v>
      </c>
      <c r="AB44" s="304">
        <f t="shared" si="48"/>
        <v>0.000724004340964717</v>
      </c>
      <c r="AC44" s="304">
        <f t="shared" si="17"/>
        <v>0.000890727279208792</v>
      </c>
      <c r="AD44" s="304">
        <f t="shared" si="49"/>
        <v>0.000686417670584155</v>
      </c>
      <c r="AE44" s="304">
        <f t="shared" si="36"/>
        <v>0.000234721889736072</v>
      </c>
      <c r="AF44" s="303">
        <f t="shared" si="37"/>
        <v>-0.000451695780848083</v>
      </c>
      <c r="AG44" s="303">
        <f t="shared" si="38"/>
        <v>0.000439924243788293</v>
      </c>
      <c r="AH44" s="303">
        <f t="shared" si="39"/>
        <v>0.000362772664243177</v>
      </c>
      <c r="AI44" s="303">
        <f t="shared" si="40"/>
        <v>0.000305388436271231</v>
      </c>
      <c r="AJ44" s="303">
        <f t="shared" si="41"/>
        <v>0.00132864715426026</v>
      </c>
      <c r="AK44" s="303">
        <f t="shared" si="42"/>
        <v>0.00102325871798903</v>
      </c>
      <c r="AL44" s="304">
        <f t="shared" si="43"/>
        <v>0.00102325871798903</v>
      </c>
      <c r="AM44" s="304">
        <f t="shared" si="44"/>
        <v>0.781221091581869</v>
      </c>
      <c r="AN44" s="299">
        <v>117500</v>
      </c>
      <c r="AO44" s="299">
        <v>181000</v>
      </c>
      <c r="AP44" s="299">
        <v>114170.68</v>
      </c>
      <c r="AQ44" s="299">
        <v>194300</v>
      </c>
      <c r="AR44" s="300">
        <v>99677.2</v>
      </c>
      <c r="AS44" s="300">
        <v>194000</v>
      </c>
      <c r="AT44" s="300">
        <v>74867.56</v>
      </c>
      <c r="AU44" s="300">
        <v>110800</v>
      </c>
      <c r="AV44" s="300">
        <v>77373.66</v>
      </c>
      <c r="AW44" s="300">
        <v>144300</v>
      </c>
      <c r="AX44" s="300">
        <v>93601.44</v>
      </c>
      <c r="AY44" s="300">
        <v>138300</v>
      </c>
      <c r="AZ44" s="300">
        <v>75275.65</v>
      </c>
      <c r="BA44" s="300">
        <v>122300</v>
      </c>
      <c r="BB44" s="300">
        <v>86658.5</v>
      </c>
      <c r="BC44" s="300">
        <v>131800</v>
      </c>
      <c r="BD44" s="300">
        <v>80045.1</v>
      </c>
      <c r="BE44" s="300">
        <v>139500</v>
      </c>
      <c r="BF44" s="300">
        <v>78808.66</v>
      </c>
      <c r="BG44" s="300">
        <v>136300</v>
      </c>
      <c r="BH44" s="300">
        <v>61862.88</v>
      </c>
      <c r="BI44" s="300">
        <v>107700</v>
      </c>
      <c r="BJ44" s="300">
        <v>82332.02</v>
      </c>
      <c r="BK44" s="300">
        <v>175100</v>
      </c>
      <c r="BL44" s="266">
        <v>85798.08</v>
      </c>
      <c r="BM44" s="266">
        <v>148800</v>
      </c>
      <c r="BN44" s="266">
        <v>56606.22</v>
      </c>
      <c r="BO44" s="266">
        <v>101700</v>
      </c>
      <c r="BP44" s="266">
        <v>107256.82</v>
      </c>
      <c r="BQ44" s="266">
        <v>192700</v>
      </c>
      <c r="BR44" s="266">
        <v>146609.65</v>
      </c>
      <c r="BS44" s="266">
        <v>220300</v>
      </c>
      <c r="BT44" s="266">
        <v>73163.82</v>
      </c>
      <c r="BU44" s="266">
        <v>108600</v>
      </c>
      <c r="BV44" s="266">
        <v>43586.84</v>
      </c>
      <c r="BW44" s="266">
        <v>80300</v>
      </c>
      <c r="BX44" s="266">
        <v>172600</v>
      </c>
      <c r="BY44" s="266">
        <v>259900</v>
      </c>
      <c r="BZ44" s="266">
        <v>172600</v>
      </c>
      <c r="CA44" s="266">
        <v>259900</v>
      </c>
      <c r="CB44" s="266">
        <v>131300</v>
      </c>
      <c r="CC44" s="266">
        <v>213500</v>
      </c>
      <c r="CD44" s="311">
        <v>111000</v>
      </c>
      <c r="CE44" s="311">
        <v>165100</v>
      </c>
      <c r="CF44" s="311">
        <v>41500</v>
      </c>
      <c r="CG44" s="311">
        <v>122900</v>
      </c>
      <c r="CH44" s="311">
        <v>94600</v>
      </c>
      <c r="CI44" s="311">
        <v>128900</v>
      </c>
      <c r="CJ44" s="311">
        <v>138700</v>
      </c>
      <c r="CK44" s="311">
        <v>316700</v>
      </c>
      <c r="CL44" s="311">
        <v>119300</v>
      </c>
      <c r="CM44" s="311">
        <v>70400</v>
      </c>
      <c r="CN44" s="311">
        <v>35700</v>
      </c>
      <c r="CO44" s="311">
        <v>92400</v>
      </c>
      <c r="CP44" s="311">
        <v>70000</v>
      </c>
      <c r="CQ44" s="311">
        <v>140800</v>
      </c>
      <c r="CR44" s="311">
        <v>56200</v>
      </c>
      <c r="CS44" s="258">
        <v>109300</v>
      </c>
      <c r="CT44" s="258">
        <v>47300</v>
      </c>
      <c r="CU44" s="258">
        <v>95200</v>
      </c>
      <c r="CV44" s="258">
        <v>216200</v>
      </c>
      <c r="CW44" s="258">
        <v>248300</v>
      </c>
      <c r="CX44" s="266">
        <f t="shared" si="34"/>
        <v>168900</v>
      </c>
      <c r="CY44" s="266">
        <f t="shared" si="35"/>
        <v>153100</v>
      </c>
      <c r="DA44" s="301" t="s">
        <v>4815</v>
      </c>
      <c r="DB44" s="258">
        <v>216200</v>
      </c>
      <c r="DC44" s="258">
        <f t="shared" si="50"/>
        <v>1</v>
      </c>
    </row>
    <row r="45" spans="1:107">
      <c r="A45" s="264" t="s">
        <v>4816</v>
      </c>
      <c r="B45" s="264" t="s">
        <v>4776</v>
      </c>
      <c r="C45" s="264"/>
      <c r="D45" s="265" t="s">
        <v>4817</v>
      </c>
      <c r="E45" s="306">
        <f t="shared" si="3"/>
        <v>0.0005598239479524</v>
      </c>
      <c r="F45" s="306">
        <f t="shared" si="4"/>
        <v>0.000571418781805046</v>
      </c>
      <c r="G45" s="304">
        <f t="shared" si="5"/>
        <v>0.000576004072173568</v>
      </c>
      <c r="H45" s="304">
        <f t="shared" si="6"/>
        <v>0.000530343099632119</v>
      </c>
      <c r="I45" s="304">
        <f t="shared" si="18"/>
        <v>0.000368025407110329</v>
      </c>
      <c r="J45" s="304">
        <f t="shared" si="7"/>
        <v>0.000470350720902872</v>
      </c>
      <c r="K45" s="304">
        <f t="shared" si="8"/>
        <v>0.000411515709408858</v>
      </c>
      <c r="L45" s="304">
        <f t="shared" si="9"/>
        <v>0.000582400256093791</v>
      </c>
      <c r="M45" s="304">
        <f t="shared" si="10"/>
        <v>0.00058031914941512</v>
      </c>
      <c r="N45" s="304">
        <f t="shared" si="11"/>
        <v>0.000557566513717371</v>
      </c>
      <c r="O45" s="304">
        <f t="shared" si="12"/>
        <v>0.000512501731096184</v>
      </c>
      <c r="P45" s="304">
        <f t="shared" si="13"/>
        <v>0.000514445587915493</v>
      </c>
      <c r="Q45" s="304">
        <v>0.000638839459351903</v>
      </c>
      <c r="R45" s="304">
        <f t="shared" si="14"/>
        <v>0.000633033496789727</v>
      </c>
      <c r="S45" s="304">
        <f t="shared" si="15"/>
        <v>0.000619465450801194</v>
      </c>
      <c r="T45" s="304">
        <v>0.001313163262767</v>
      </c>
      <c r="U45" s="304">
        <v>0.00218392277795108</v>
      </c>
      <c r="V45" s="304">
        <v>0.00105640216964429</v>
      </c>
      <c r="W45" s="304">
        <v>0.00105640216964429</v>
      </c>
      <c r="X45" s="304">
        <f t="shared" si="16"/>
        <v>0.000499390872388496</v>
      </c>
      <c r="Y45" s="304">
        <f t="shared" si="45"/>
        <v>0.00042283078534513</v>
      </c>
      <c r="Z45" s="304">
        <f t="shared" si="46"/>
        <v>0.000804395739782634</v>
      </c>
      <c r="AA45" s="304">
        <f t="shared" si="47"/>
        <v>0.000582315223949066</v>
      </c>
      <c r="AB45" s="304">
        <f t="shared" si="48"/>
        <v>0.001288054234507</v>
      </c>
      <c r="AC45" s="304">
        <f t="shared" si="17"/>
        <v>0.000595958842902494</v>
      </c>
      <c r="AD45" s="304">
        <f t="shared" si="49"/>
        <v>0.00183428292860208</v>
      </c>
      <c r="AE45" s="304">
        <f t="shared" si="36"/>
        <v>0.000114402265585649</v>
      </c>
      <c r="AF45" s="303">
        <f t="shared" si="37"/>
        <v>-0.00171988066301643</v>
      </c>
      <c r="AG45" s="303">
        <f t="shared" si="38"/>
        <v>0.000155858874942138</v>
      </c>
      <c r="AH45" s="303">
        <f t="shared" si="39"/>
        <v>0.000152338698863683</v>
      </c>
      <c r="AI45" s="303">
        <f t="shared" si="40"/>
        <v>0.000107176491376373</v>
      </c>
      <c r="AJ45" s="303">
        <f t="shared" si="41"/>
        <v>0.000405599963835232</v>
      </c>
      <c r="AK45" s="303">
        <f t="shared" si="42"/>
        <v>0.000298423472458859</v>
      </c>
      <c r="AL45" s="304">
        <f t="shared" si="43"/>
        <v>0.000298423472458859</v>
      </c>
      <c r="AM45" s="304">
        <f t="shared" si="44"/>
        <v>0.748484848484849</v>
      </c>
      <c r="AN45" s="299">
        <v>104900</v>
      </c>
      <c r="AO45" s="299">
        <v>138400</v>
      </c>
      <c r="AP45" s="299">
        <v>100536.55</v>
      </c>
      <c r="AQ45" s="299">
        <v>158500</v>
      </c>
      <c r="AR45" s="300">
        <v>102253.5</v>
      </c>
      <c r="AS45" s="300">
        <v>155000</v>
      </c>
      <c r="AT45" s="300">
        <v>89787.2</v>
      </c>
      <c r="AU45" s="300">
        <v>136000</v>
      </c>
      <c r="AV45" s="300">
        <v>62306.78</v>
      </c>
      <c r="AW45" s="300">
        <v>97400</v>
      </c>
      <c r="AX45" s="300">
        <v>66353.97</v>
      </c>
      <c r="AY45" s="300">
        <v>107700</v>
      </c>
      <c r="AZ45" s="300">
        <v>54202.68</v>
      </c>
      <c r="BA45" s="300">
        <v>94200</v>
      </c>
      <c r="BB45" s="300">
        <v>79941.68</v>
      </c>
      <c r="BC45" s="300">
        <v>111200</v>
      </c>
      <c r="BD45" s="300">
        <v>74766.76721384</v>
      </c>
      <c r="BE45" s="300">
        <v>104000</v>
      </c>
      <c r="BF45" s="300">
        <v>68829.41</v>
      </c>
      <c r="BG45" s="300">
        <v>107900</v>
      </c>
      <c r="BH45" s="300">
        <v>59711.88</v>
      </c>
      <c r="BI45" s="300">
        <v>106800</v>
      </c>
      <c r="BJ45" s="300">
        <v>58724.1</v>
      </c>
      <c r="BK45" s="300">
        <v>91900</v>
      </c>
      <c r="BL45" s="266">
        <v>75267.36</v>
      </c>
      <c r="BM45" s="266">
        <v>100800</v>
      </c>
      <c r="BN45" s="266">
        <v>79270.95</v>
      </c>
      <c r="BO45" s="266">
        <v>117700</v>
      </c>
      <c r="BP45" s="266">
        <v>81493.5</v>
      </c>
      <c r="BQ45" s="266">
        <v>121000</v>
      </c>
      <c r="BR45" s="266">
        <v>158938.47</v>
      </c>
      <c r="BS45" s="266">
        <v>191700</v>
      </c>
      <c r="BT45" s="266">
        <v>245687.4</v>
      </c>
      <c r="BU45" s="266">
        <v>260400</v>
      </c>
      <c r="BV45" s="266">
        <v>135925.02</v>
      </c>
      <c r="BW45" s="266">
        <v>161700</v>
      </c>
      <c r="BX45" s="266">
        <v>56900</v>
      </c>
      <c r="BY45" s="266">
        <v>82700</v>
      </c>
      <c r="BZ45" s="266">
        <v>56900</v>
      </c>
      <c r="CA45" s="266">
        <v>82700</v>
      </c>
      <c r="CB45" s="266">
        <v>57000</v>
      </c>
      <c r="CC45" s="266">
        <v>78300</v>
      </c>
      <c r="CD45" s="311">
        <v>112300</v>
      </c>
      <c r="CE45" s="311">
        <v>131900</v>
      </c>
      <c r="CF45" s="311">
        <v>72100</v>
      </c>
      <c r="CG45" s="311">
        <v>92500</v>
      </c>
      <c r="CH45" s="311">
        <v>168300</v>
      </c>
      <c r="CI45" s="311">
        <v>181500</v>
      </c>
      <c r="CJ45" s="311">
        <v>92800</v>
      </c>
      <c r="CK45" s="311">
        <v>129100</v>
      </c>
      <c r="CL45" s="311">
        <v>318800</v>
      </c>
      <c r="CM45" s="311">
        <v>272500</v>
      </c>
      <c r="CN45" s="311">
        <v>17400</v>
      </c>
      <c r="CO45" s="311">
        <v>59100</v>
      </c>
      <c r="CP45" s="311">
        <v>24800</v>
      </c>
      <c r="CQ45" s="311">
        <v>110700</v>
      </c>
      <c r="CR45" s="311">
        <v>23600</v>
      </c>
      <c r="CS45" s="258">
        <v>85500</v>
      </c>
      <c r="CT45" s="258">
        <v>16600</v>
      </c>
      <c r="CU45" s="258">
        <v>51100</v>
      </c>
      <c r="CV45" s="258">
        <v>66000</v>
      </c>
      <c r="CW45" s="258">
        <v>228000</v>
      </c>
      <c r="CX45" s="266">
        <f t="shared" si="34"/>
        <v>49400</v>
      </c>
      <c r="CY45" s="266">
        <f t="shared" si="35"/>
        <v>176900</v>
      </c>
      <c r="DA45" s="301" t="s">
        <v>4817</v>
      </c>
      <c r="DB45" s="258">
        <v>0</v>
      </c>
      <c r="DC45" s="258">
        <f t="shared" si="50"/>
        <v>1</v>
      </c>
    </row>
    <row r="46" spans="1:107">
      <c r="A46" s="264" t="s">
        <v>4818</v>
      </c>
      <c r="B46" s="264" t="s">
        <v>4776</v>
      </c>
      <c r="C46" s="264"/>
      <c r="D46" s="265" t="s">
        <v>4819</v>
      </c>
      <c r="E46" s="306">
        <f t="shared" si="3"/>
        <v>0.000542212708407663</v>
      </c>
      <c r="F46" s="306">
        <f t="shared" si="4"/>
        <v>0.000583976615025494</v>
      </c>
      <c r="G46" s="304">
        <f t="shared" si="5"/>
        <v>0.000601765866764762</v>
      </c>
      <c r="H46" s="304">
        <f t="shared" si="6"/>
        <v>0.000594829610155686</v>
      </c>
      <c r="I46" s="304">
        <f t="shared" si="18"/>
        <v>0.000472008855419505</v>
      </c>
      <c r="J46" s="304">
        <f t="shared" si="7"/>
        <v>0.000599981335076535</v>
      </c>
      <c r="K46" s="304">
        <f t="shared" si="8"/>
        <v>0.000597811959277798</v>
      </c>
      <c r="L46" s="304">
        <f t="shared" si="9"/>
        <v>0.000887669637208212</v>
      </c>
      <c r="M46" s="304">
        <f t="shared" si="10"/>
        <v>0.000766255116898158</v>
      </c>
      <c r="N46" s="304">
        <f t="shared" si="11"/>
        <v>0.00147575423005409</v>
      </c>
      <c r="O46" s="304">
        <f t="shared" si="12"/>
        <v>0.00086010163052634</v>
      </c>
      <c r="P46" s="304">
        <f t="shared" si="13"/>
        <v>0.000679769251952717</v>
      </c>
      <c r="Q46" s="304">
        <v>0.000891872716374855</v>
      </c>
      <c r="R46" s="304">
        <f t="shared" si="14"/>
        <v>0.000510657378187964</v>
      </c>
      <c r="S46" s="304">
        <f t="shared" si="15"/>
        <v>0.000520543674399384</v>
      </c>
      <c r="T46" s="304">
        <v>0.000481278803485646</v>
      </c>
      <c r="U46" s="304">
        <v>0.00126202018597141</v>
      </c>
      <c r="V46" s="304">
        <v>0.00086195922554632</v>
      </c>
      <c r="W46" s="304">
        <v>0.00086195922554632</v>
      </c>
      <c r="X46" s="304">
        <f t="shared" si="16"/>
        <v>0.00130191864675888</v>
      </c>
      <c r="Y46" s="304">
        <f t="shared" si="45"/>
        <v>0.000820440085248621</v>
      </c>
      <c r="Z46" s="304">
        <f t="shared" si="46"/>
        <v>0.00107014001356657</v>
      </c>
      <c r="AA46" s="304">
        <f t="shared" si="47"/>
        <v>0.000808457058492393</v>
      </c>
      <c r="AB46" s="304">
        <f t="shared" si="48"/>
        <v>0.001172489059575</v>
      </c>
      <c r="AC46" s="304">
        <f t="shared" si="17"/>
        <v>0.000988983424644225</v>
      </c>
      <c r="AD46" s="304">
        <f t="shared" si="49"/>
        <v>0.00231874535830188</v>
      </c>
      <c r="AE46" s="304">
        <f t="shared" si="36"/>
        <v>0.00123081058147318</v>
      </c>
      <c r="AF46" s="303">
        <f t="shared" si="37"/>
        <v>-0.0010879347768287</v>
      </c>
      <c r="AG46" s="303">
        <f t="shared" si="38"/>
        <v>0.00122361786093687</v>
      </c>
      <c r="AH46" s="303">
        <f t="shared" si="39"/>
        <v>0.000838508346711544</v>
      </c>
      <c r="AI46" s="303">
        <f t="shared" si="40"/>
        <v>0.000590116344084366</v>
      </c>
      <c r="AJ46" s="303">
        <f t="shared" si="41"/>
        <v>0.000408058145434234</v>
      </c>
      <c r="AK46" s="303">
        <f t="shared" si="42"/>
        <v>-0.000182058198650132</v>
      </c>
      <c r="AL46" s="304">
        <f t="shared" si="43"/>
        <v>-0.000182058198650132</v>
      </c>
      <c r="AM46" s="304">
        <f t="shared" si="44"/>
        <v>-0.376506024096386</v>
      </c>
      <c r="AN46" s="299">
        <v>101600</v>
      </c>
      <c r="AO46" s="299">
        <v>151300</v>
      </c>
      <c r="AP46" s="299">
        <v>102746</v>
      </c>
      <c r="AQ46" s="299">
        <v>229600</v>
      </c>
      <c r="AR46" s="300">
        <v>106826.79</v>
      </c>
      <c r="AS46" s="300">
        <v>214900</v>
      </c>
      <c r="AT46" s="300">
        <v>100704.78</v>
      </c>
      <c r="AU46" s="300">
        <v>199100</v>
      </c>
      <c r="AV46" s="300">
        <v>79911.2</v>
      </c>
      <c r="AW46" s="300">
        <v>161600</v>
      </c>
      <c r="AX46" s="300">
        <v>84641.4</v>
      </c>
      <c r="AY46" s="300">
        <v>177000</v>
      </c>
      <c r="AZ46" s="300">
        <v>78740.64</v>
      </c>
      <c r="BA46" s="300">
        <v>165700</v>
      </c>
      <c r="BB46" s="300">
        <v>121843.7</v>
      </c>
      <c r="BC46" s="300">
        <v>282700</v>
      </c>
      <c r="BD46" s="300">
        <v>98722.26</v>
      </c>
      <c r="BE46" s="300">
        <v>191100</v>
      </c>
      <c r="BF46" s="300">
        <v>182176.1</v>
      </c>
      <c r="BG46" s="300">
        <v>384500</v>
      </c>
      <c r="BH46" s="300">
        <v>100210.95</v>
      </c>
      <c r="BI46" s="300">
        <v>182700</v>
      </c>
      <c r="BJ46" s="300">
        <v>77595.84</v>
      </c>
      <c r="BK46" s="300">
        <v>128300</v>
      </c>
      <c r="BL46" s="266">
        <v>71286.52</v>
      </c>
      <c r="BM46" s="266">
        <v>160700</v>
      </c>
      <c r="BN46" s="266">
        <v>63946.53</v>
      </c>
      <c r="BO46" s="266">
        <v>146700</v>
      </c>
      <c r="BP46" s="266">
        <v>68479.89</v>
      </c>
      <c r="BQ46" s="266">
        <v>157100</v>
      </c>
      <c r="BR46" s="266">
        <v>58251.49</v>
      </c>
      <c r="BS46" s="266">
        <v>122300</v>
      </c>
      <c r="BT46" s="266">
        <v>141975.01</v>
      </c>
      <c r="BU46" s="266">
        <v>194300</v>
      </c>
      <c r="BV46" s="266">
        <v>110906.46</v>
      </c>
      <c r="BW46" s="266">
        <v>186900</v>
      </c>
      <c r="BX46" s="266">
        <v>115100</v>
      </c>
      <c r="BY46" s="266">
        <v>215600</v>
      </c>
      <c r="BZ46" s="266">
        <v>115100</v>
      </c>
      <c r="CA46" s="266">
        <v>215600</v>
      </c>
      <c r="CB46" s="266">
        <v>110600</v>
      </c>
      <c r="CC46" s="266">
        <v>201000</v>
      </c>
      <c r="CD46" s="311">
        <v>149400</v>
      </c>
      <c r="CE46" s="311">
        <v>216700</v>
      </c>
      <c r="CF46" s="311">
        <v>100100</v>
      </c>
      <c r="CG46" s="311">
        <v>177800</v>
      </c>
      <c r="CH46" s="311">
        <v>153200</v>
      </c>
      <c r="CI46" s="311">
        <v>199200</v>
      </c>
      <c r="CJ46" s="311">
        <v>154000</v>
      </c>
      <c r="CK46" s="311">
        <v>273400</v>
      </c>
      <c r="CL46" s="311">
        <v>403000</v>
      </c>
      <c r="CM46" s="311">
        <v>267300</v>
      </c>
      <c r="CN46" s="311">
        <v>187200</v>
      </c>
      <c r="CO46" s="311">
        <v>226500</v>
      </c>
      <c r="CP46" s="311">
        <v>194700</v>
      </c>
      <c r="CQ46" s="311">
        <v>446200</v>
      </c>
      <c r="CR46" s="311">
        <v>129900</v>
      </c>
      <c r="CS46" s="258">
        <v>250500</v>
      </c>
      <c r="CT46" s="258">
        <v>91400</v>
      </c>
      <c r="CU46" s="258">
        <v>200400</v>
      </c>
      <c r="CV46" s="258">
        <v>66400</v>
      </c>
      <c r="CW46" s="258">
        <v>132300</v>
      </c>
      <c r="CX46" s="266">
        <f t="shared" si="34"/>
        <v>-25000</v>
      </c>
      <c r="CY46" s="266">
        <f t="shared" si="35"/>
        <v>-68100</v>
      </c>
      <c r="DA46" s="301" t="s">
        <v>4819</v>
      </c>
      <c r="DB46" s="258">
        <v>66400</v>
      </c>
      <c r="DC46" s="258">
        <f t="shared" si="50"/>
        <v>1</v>
      </c>
    </row>
    <row r="47" spans="1:107">
      <c r="A47" s="309" t="s">
        <v>4820</v>
      </c>
      <c r="B47" s="264" t="s">
        <v>4776</v>
      </c>
      <c r="C47" s="264"/>
      <c r="D47" s="265" t="s">
        <v>4821</v>
      </c>
      <c r="E47" s="306">
        <f t="shared" si="3"/>
        <v>0.00046482998919594</v>
      </c>
      <c r="F47" s="306">
        <f t="shared" si="4"/>
        <v>0.000456966390303323</v>
      </c>
      <c r="G47" s="304">
        <f t="shared" si="5"/>
        <v>0.000494388356329182</v>
      </c>
      <c r="H47" s="304">
        <f t="shared" si="6"/>
        <v>0.000485470385991631</v>
      </c>
      <c r="I47" s="304">
        <f t="shared" si="18"/>
        <v>0.0003725896069066</v>
      </c>
      <c r="J47" s="304">
        <f t="shared" si="7"/>
        <v>0.000415343535775256</v>
      </c>
      <c r="K47" s="304">
        <f t="shared" si="8"/>
        <v>0.000438719197103247</v>
      </c>
      <c r="L47" s="304">
        <f t="shared" si="9"/>
        <v>0.000570865563834782</v>
      </c>
      <c r="M47" s="304">
        <f t="shared" si="10"/>
        <v>0.000646562163583707</v>
      </c>
      <c r="N47" s="304">
        <f t="shared" si="11"/>
        <v>0.00059132221841287</v>
      </c>
      <c r="O47" s="304">
        <f t="shared" si="12"/>
        <v>0.000501915912410442</v>
      </c>
      <c r="P47" s="304">
        <f t="shared" si="13"/>
        <v>0.000467400756111992</v>
      </c>
      <c r="Q47" s="304">
        <v>0.000828614402119117</v>
      </c>
      <c r="R47" s="304">
        <f t="shared" si="14"/>
        <v>0.000590805549737885</v>
      </c>
      <c r="S47" s="304">
        <f t="shared" si="15"/>
        <v>0.000306710709109475</v>
      </c>
      <c r="T47" s="304">
        <v>0.000139476234779005</v>
      </c>
      <c r="U47" s="304">
        <v>0.000420892035842588</v>
      </c>
      <c r="V47" s="304">
        <v>0.000909313237600263</v>
      </c>
      <c r="W47" s="304">
        <v>0.000909313237600263</v>
      </c>
      <c r="X47" s="304">
        <f t="shared" si="16"/>
        <v>0.000624389555078241</v>
      </c>
      <c r="Y47" s="304">
        <f t="shared" si="45"/>
        <v>0.000726230419040144</v>
      </c>
      <c r="Z47" s="304">
        <f t="shared" si="46"/>
        <v>0.000494241371727531</v>
      </c>
      <c r="AA47" s="304">
        <f t="shared" si="47"/>
        <v>0.00135281276021454</v>
      </c>
      <c r="AB47" s="304">
        <f t="shared" si="48"/>
        <v>0.00200134392349126</v>
      </c>
      <c r="AC47" s="304">
        <f t="shared" si="17"/>
        <v>0.000630637482467941</v>
      </c>
      <c r="AD47" s="304">
        <f t="shared" si="49"/>
        <v>0.00383772494785944</v>
      </c>
      <c r="AE47" s="304">
        <f t="shared" si="36"/>
        <v>0.000337289438192171</v>
      </c>
      <c r="AF47" s="303">
        <f t="shared" si="37"/>
        <v>-0.00350043550966727</v>
      </c>
      <c r="AG47" s="303">
        <f t="shared" si="38"/>
        <v>0.000145175000450137</v>
      </c>
      <c r="AH47" s="303">
        <f t="shared" si="39"/>
        <v>0.00162537645652014</v>
      </c>
      <c r="AI47" s="303">
        <f t="shared" si="40"/>
        <v>0.000233076586667895</v>
      </c>
      <c r="AJ47" s="303">
        <f t="shared" si="41"/>
        <v>0.000298054518878921</v>
      </c>
      <c r="AK47" s="303">
        <f t="shared" si="42"/>
        <v>6.49779322110257e-5</v>
      </c>
      <c r="AL47" s="304">
        <f t="shared" si="43"/>
        <v>6.49779322110257e-5</v>
      </c>
      <c r="AM47" s="304">
        <f t="shared" si="44"/>
        <v>0.255670103092783</v>
      </c>
      <c r="AN47" s="299">
        <v>87100</v>
      </c>
      <c r="AO47" s="299">
        <v>108400</v>
      </c>
      <c r="AP47" s="299">
        <v>80399.57</v>
      </c>
      <c r="AQ47" s="299">
        <v>98300</v>
      </c>
      <c r="AR47" s="300">
        <v>87764.9</v>
      </c>
      <c r="AS47" s="300">
        <v>106900</v>
      </c>
      <c r="AT47" s="300">
        <v>82190.24</v>
      </c>
      <c r="AU47" s="300">
        <v>90200</v>
      </c>
      <c r="AV47" s="300">
        <v>63079.5</v>
      </c>
      <c r="AW47" s="300">
        <v>82500</v>
      </c>
      <c r="AX47" s="300">
        <v>58593.92</v>
      </c>
      <c r="AY47" s="300">
        <v>70400</v>
      </c>
      <c r="AZ47" s="300">
        <v>57785.78</v>
      </c>
      <c r="BA47" s="300">
        <v>76700</v>
      </c>
      <c r="BB47" s="300">
        <v>78358.4</v>
      </c>
      <c r="BC47" s="300">
        <v>104200</v>
      </c>
      <c r="BD47" s="300">
        <v>83301.34</v>
      </c>
      <c r="BE47" s="300">
        <v>127100</v>
      </c>
      <c r="BF47" s="300">
        <v>72996.42</v>
      </c>
      <c r="BG47" s="300">
        <v>115100</v>
      </c>
      <c r="BH47" s="300">
        <v>58478.52</v>
      </c>
      <c r="BI47" s="300">
        <v>95600</v>
      </c>
      <c r="BJ47" s="300">
        <v>53353.92</v>
      </c>
      <c r="BK47" s="300">
        <v>119200</v>
      </c>
      <c r="BL47" s="266">
        <v>51715.7</v>
      </c>
      <c r="BM47" s="266">
        <v>104900</v>
      </c>
      <c r="BN47" s="266">
        <v>73983</v>
      </c>
      <c r="BO47" s="266">
        <v>130000</v>
      </c>
      <c r="BP47" s="266">
        <v>40349.19</v>
      </c>
      <c r="BQ47" s="266">
        <v>70900</v>
      </c>
      <c r="BR47" s="266">
        <v>16881.48</v>
      </c>
      <c r="BS47" s="266">
        <v>63800</v>
      </c>
      <c r="BT47" s="266">
        <v>47349.6</v>
      </c>
      <c r="BU47" s="266">
        <v>87200</v>
      </c>
      <c r="BV47" s="266">
        <v>116999.4</v>
      </c>
      <c r="BW47" s="266">
        <v>156500</v>
      </c>
      <c r="BX47" s="266">
        <v>59700</v>
      </c>
      <c r="BY47" s="266">
        <v>103400</v>
      </c>
      <c r="BZ47" s="266">
        <v>59700</v>
      </c>
      <c r="CA47" s="266">
        <v>103400</v>
      </c>
      <c r="CB47" s="266">
        <v>97900</v>
      </c>
      <c r="CC47" s="266">
        <v>153800</v>
      </c>
      <c r="CD47" s="311">
        <v>69000</v>
      </c>
      <c r="CE47" s="311">
        <v>171900</v>
      </c>
      <c r="CF47" s="311">
        <v>167500</v>
      </c>
      <c r="CG47" s="311">
        <v>252200</v>
      </c>
      <c r="CH47" s="311">
        <v>261500</v>
      </c>
      <c r="CI47" s="311">
        <v>290900</v>
      </c>
      <c r="CJ47" s="311">
        <v>98200</v>
      </c>
      <c r="CK47" s="311">
        <v>194100</v>
      </c>
      <c r="CL47" s="311">
        <v>667000</v>
      </c>
      <c r="CM47" s="311">
        <v>556200</v>
      </c>
      <c r="CN47" s="311">
        <v>51300</v>
      </c>
      <c r="CO47" s="311">
        <v>171300</v>
      </c>
      <c r="CP47" s="311">
        <v>23100</v>
      </c>
      <c r="CQ47" s="311">
        <v>84700</v>
      </c>
      <c r="CR47" s="311">
        <v>251800</v>
      </c>
      <c r="CS47" s="258">
        <v>343000</v>
      </c>
      <c r="CT47" s="258">
        <v>36100</v>
      </c>
      <c r="CU47" s="258">
        <v>107200</v>
      </c>
      <c r="CV47" s="258">
        <v>48500</v>
      </c>
      <c r="CW47" s="258">
        <v>121500</v>
      </c>
      <c r="CX47" s="266">
        <f t="shared" si="34"/>
        <v>12400</v>
      </c>
      <c r="CY47" s="266">
        <f t="shared" si="35"/>
        <v>14300</v>
      </c>
      <c r="DA47" s="301" t="s">
        <v>4821</v>
      </c>
      <c r="DB47" s="258">
        <v>48500</v>
      </c>
      <c r="DC47" s="258">
        <f t="shared" si="50"/>
        <v>1</v>
      </c>
    </row>
    <row r="48" spans="1:107">
      <c r="A48" s="264" t="s">
        <v>4822</v>
      </c>
      <c r="B48" s="264" t="s">
        <v>4776</v>
      </c>
      <c r="C48" s="264"/>
      <c r="D48" s="265" t="s">
        <v>4823</v>
      </c>
      <c r="E48" s="306">
        <f t="shared" si="3"/>
        <v>0.000402390139900963</v>
      </c>
      <c r="F48" s="306">
        <f t="shared" si="4"/>
        <v>0.000344553932686119</v>
      </c>
      <c r="G48" s="304">
        <f t="shared" si="5"/>
        <v>0.000379050770254648</v>
      </c>
      <c r="H48" s="304">
        <f t="shared" si="6"/>
        <v>0.000346537542891914</v>
      </c>
      <c r="I48" s="304">
        <f t="shared" si="18"/>
        <v>0.000164531983881695</v>
      </c>
      <c r="J48" s="304">
        <f t="shared" si="7"/>
        <v>0.000269244755464495</v>
      </c>
      <c r="K48" s="304">
        <f t="shared" si="8"/>
        <v>0.000407604377659704</v>
      </c>
      <c r="L48" s="304">
        <f t="shared" si="9"/>
        <v>0.000488600961592621</v>
      </c>
      <c r="M48" s="304">
        <f t="shared" si="10"/>
        <v>0.000251495285588395</v>
      </c>
      <c r="N48" s="304">
        <f t="shared" si="11"/>
        <v>0.000172513838005692</v>
      </c>
      <c r="O48" s="304">
        <f t="shared" si="12"/>
        <v>0.00038624436882625</v>
      </c>
      <c r="P48" s="304">
        <f t="shared" si="13"/>
        <v>0.000214791880498559</v>
      </c>
      <c r="Q48" s="304">
        <v>0.000462272296484239</v>
      </c>
      <c r="R48" s="304">
        <f t="shared" si="14"/>
        <v>0.000158217187984075</v>
      </c>
      <c r="S48" s="304">
        <f t="shared" si="15"/>
        <v>0.000267592564485063</v>
      </c>
      <c r="T48" s="304">
        <v>0.000149284817699752</v>
      </c>
      <c r="U48" s="304">
        <v>0.000390279015011184</v>
      </c>
      <c r="V48" s="304">
        <v>0.000144647996376556</v>
      </c>
      <c r="W48" s="304">
        <v>0.000144647996376556</v>
      </c>
      <c r="X48" s="304">
        <f t="shared" si="16"/>
        <v>0.000449270627638502</v>
      </c>
      <c r="Y48" s="304">
        <f t="shared" si="45"/>
        <v>0.000274469106276663</v>
      </c>
      <c r="Z48" s="304">
        <f t="shared" si="46"/>
        <v>0.000164747123909177</v>
      </c>
      <c r="AA48" s="304">
        <f t="shared" si="47"/>
        <v>0.000188989961725494</v>
      </c>
      <c r="AB48" s="304">
        <f t="shared" si="48"/>
        <v>0.000313020904286014</v>
      </c>
      <c r="AC48" s="304">
        <f t="shared" si="17"/>
        <v>0.000944671829643932</v>
      </c>
      <c r="AD48" s="304">
        <f t="shared" si="49"/>
        <v>0.000342345778707102</v>
      </c>
      <c r="AE48" s="304">
        <f t="shared" si="36"/>
        <v>0.000365561262446095</v>
      </c>
      <c r="AF48" s="303">
        <f t="shared" si="37"/>
        <v>2.32154837389933e-5</v>
      </c>
      <c r="AG48" s="303">
        <f t="shared" si="38"/>
        <v>0.000204879004964262</v>
      </c>
      <c r="AH48" s="303">
        <f t="shared" si="39"/>
        <v>4.90582250577962e-5</v>
      </c>
      <c r="AI48" s="303">
        <f t="shared" si="40"/>
        <v>0.00115311574456748</v>
      </c>
      <c r="AJ48" s="303">
        <f t="shared" si="41"/>
        <v>0.000636669034141365</v>
      </c>
      <c r="AK48" s="303">
        <f t="shared" si="42"/>
        <v>-0.000516446710426115</v>
      </c>
      <c r="AL48" s="304">
        <f t="shared" si="43"/>
        <v>-0.000516446710426115</v>
      </c>
      <c r="AM48" s="304">
        <f t="shared" si="44"/>
        <v>-0.723938223938224</v>
      </c>
      <c r="AN48" s="299">
        <v>75400</v>
      </c>
      <c r="AO48" s="299">
        <v>98000</v>
      </c>
      <c r="AP48" s="299">
        <v>60621.5</v>
      </c>
      <c r="AQ48" s="299">
        <v>92200</v>
      </c>
      <c r="AR48" s="300">
        <v>67289.92</v>
      </c>
      <c r="AS48" s="300">
        <v>95800</v>
      </c>
      <c r="AT48" s="300">
        <v>58668.88</v>
      </c>
      <c r="AU48" s="300">
        <v>80800</v>
      </c>
      <c r="AV48" s="300">
        <v>27855.3</v>
      </c>
      <c r="AW48" s="300">
        <v>50600</v>
      </c>
      <c r="AX48" s="300">
        <v>37983.27</v>
      </c>
      <c r="AY48" s="300">
        <v>66300</v>
      </c>
      <c r="AZ48" s="300">
        <v>53687.5</v>
      </c>
      <c r="BA48" s="300">
        <v>85900</v>
      </c>
      <c r="BB48" s="300">
        <v>67066.56</v>
      </c>
      <c r="BC48" s="300">
        <v>92800</v>
      </c>
      <c r="BD48" s="300">
        <v>32401.98</v>
      </c>
      <c r="BE48" s="300">
        <v>45400</v>
      </c>
      <c r="BF48" s="300">
        <v>21296.16</v>
      </c>
      <c r="BG48" s="300">
        <v>41400</v>
      </c>
      <c r="BH48" s="300">
        <v>45001.56</v>
      </c>
      <c r="BI48" s="300">
        <v>60600</v>
      </c>
      <c r="BJ48" s="300">
        <v>24518.55</v>
      </c>
      <c r="BK48" s="300">
        <v>66500</v>
      </c>
      <c r="BL48" s="266">
        <v>47203.92</v>
      </c>
      <c r="BM48" s="266">
        <v>127200</v>
      </c>
      <c r="BN48" s="266">
        <v>19812.58</v>
      </c>
      <c r="BO48" s="266">
        <v>56900</v>
      </c>
      <c r="BP48" s="266">
        <v>35203.02</v>
      </c>
      <c r="BQ48" s="266">
        <v>101100</v>
      </c>
      <c r="BR48" s="266">
        <v>18068.66</v>
      </c>
      <c r="BS48" s="266">
        <v>38600</v>
      </c>
      <c r="BT48" s="266">
        <v>43905.69</v>
      </c>
      <c r="BU48" s="266">
        <v>63900</v>
      </c>
      <c r="BV48" s="266">
        <v>18611.55</v>
      </c>
      <c r="BW48" s="266">
        <v>53100</v>
      </c>
      <c r="BX48" s="266">
        <v>47700</v>
      </c>
      <c r="BY48" s="266">
        <v>74400</v>
      </c>
      <c r="BZ48" s="266">
        <v>47700</v>
      </c>
      <c r="CA48" s="266">
        <v>74400</v>
      </c>
      <c r="CB48" s="266">
        <v>37000</v>
      </c>
      <c r="CC48" s="266">
        <v>60100</v>
      </c>
      <c r="CD48" s="311">
        <v>23000</v>
      </c>
      <c r="CE48" s="311">
        <v>79400</v>
      </c>
      <c r="CF48" s="311">
        <v>23400</v>
      </c>
      <c r="CG48" s="311">
        <v>40500</v>
      </c>
      <c r="CH48" s="311">
        <v>40900</v>
      </c>
      <c r="CI48" s="311">
        <v>59800</v>
      </c>
      <c r="CJ48" s="311">
        <v>147100</v>
      </c>
      <c r="CK48" s="311">
        <v>161100</v>
      </c>
      <c r="CL48" s="311">
        <v>59500</v>
      </c>
      <c r="CM48" s="311">
        <v>29800</v>
      </c>
      <c r="CN48" s="311">
        <v>55600</v>
      </c>
      <c r="CO48" s="311">
        <v>63200</v>
      </c>
      <c r="CP48" s="311">
        <v>32600</v>
      </c>
      <c r="CQ48" s="311">
        <v>53600</v>
      </c>
      <c r="CR48" s="311">
        <v>7600</v>
      </c>
      <c r="CS48" s="258">
        <v>24100</v>
      </c>
      <c r="CT48" s="258">
        <v>178600</v>
      </c>
      <c r="CU48" s="258">
        <v>193600</v>
      </c>
      <c r="CV48" s="258">
        <v>103600</v>
      </c>
      <c r="CW48" s="258">
        <v>128700</v>
      </c>
      <c r="CX48" s="266">
        <f t="shared" si="34"/>
        <v>-75000</v>
      </c>
      <c r="CY48" s="266">
        <f t="shared" si="35"/>
        <v>-64900</v>
      </c>
      <c r="DA48" s="301" t="s">
        <v>4823</v>
      </c>
      <c r="DB48" s="258">
        <v>103600</v>
      </c>
      <c r="DC48" s="258">
        <f t="shared" si="50"/>
        <v>1</v>
      </c>
    </row>
    <row r="49" spans="1:107">
      <c r="A49" s="264" t="s">
        <v>4824</v>
      </c>
      <c r="B49" s="264" t="s">
        <v>4776</v>
      </c>
      <c r="C49" s="264"/>
      <c r="D49" s="265" t="s">
        <v>4825</v>
      </c>
      <c r="E49" s="306">
        <f t="shared" si="3"/>
        <v>0.000394918704942589</v>
      </c>
      <c r="F49" s="306">
        <f t="shared" si="4"/>
        <v>0.000445607588740612</v>
      </c>
      <c r="G49" s="304">
        <f t="shared" si="5"/>
        <v>0.000530373380349043</v>
      </c>
      <c r="H49" s="304">
        <f t="shared" si="6"/>
        <v>0.000509353639983029</v>
      </c>
      <c r="I49" s="304">
        <f t="shared" si="18"/>
        <v>0.000430558110292801</v>
      </c>
      <c r="J49" s="304">
        <f t="shared" si="7"/>
        <v>0.000418225936235103</v>
      </c>
      <c r="K49" s="304">
        <f t="shared" si="8"/>
        <v>0.000501719516695827</v>
      </c>
      <c r="L49" s="304">
        <f t="shared" si="9"/>
        <v>0.000447345101542789</v>
      </c>
      <c r="M49" s="304">
        <f t="shared" si="10"/>
        <v>0.00095080411996458</v>
      </c>
      <c r="N49" s="304">
        <f t="shared" si="11"/>
        <v>0.000512667240839825</v>
      </c>
      <c r="O49" s="304">
        <f t="shared" si="12"/>
        <v>0.000275373075513319</v>
      </c>
      <c r="P49" s="304">
        <f t="shared" si="13"/>
        <v>0.000433359135512318</v>
      </c>
      <c r="Q49" s="304">
        <v>0.000412221762128051</v>
      </c>
      <c r="R49" s="304">
        <f t="shared" si="14"/>
        <v>0.000534083409575663</v>
      </c>
      <c r="S49" s="304">
        <f t="shared" si="15"/>
        <v>0.00122225454975543</v>
      </c>
      <c r="T49" s="304">
        <v>0.000928576474628477</v>
      </c>
      <c r="U49" s="304">
        <v>0.00118976739093492</v>
      </c>
      <c r="V49" s="304">
        <v>0.000401007795288506</v>
      </c>
      <c r="W49" s="304">
        <v>0.000401007795288506</v>
      </c>
      <c r="X49" s="304">
        <f t="shared" si="16"/>
        <v>0.00160264011525885</v>
      </c>
      <c r="Y49" s="304">
        <f t="shared" si="45"/>
        <v>0.000508138750809498</v>
      </c>
      <c r="Z49" s="304">
        <f t="shared" si="46"/>
        <v>0.000714142967554128</v>
      </c>
      <c r="AA49" s="304">
        <f t="shared" si="47"/>
        <v>0.00079311171971981</v>
      </c>
      <c r="AB49" s="304">
        <f t="shared" si="48"/>
        <v>0.000684207062180187</v>
      </c>
      <c r="AC49" s="304">
        <f t="shared" si="17"/>
        <v>0.00217383694313033</v>
      </c>
      <c r="AD49" s="304">
        <f t="shared" si="49"/>
        <v>0.000174337430165129</v>
      </c>
      <c r="AE49" s="304">
        <f t="shared" si="36"/>
        <v>0.000906670828980513</v>
      </c>
      <c r="AF49" s="303">
        <f t="shared" si="37"/>
        <v>0.000732333398815384</v>
      </c>
      <c r="AG49" s="303">
        <f t="shared" si="38"/>
        <v>0.000610866235660316</v>
      </c>
      <c r="AH49" s="303">
        <f t="shared" si="39"/>
        <v>0.00151434994717882</v>
      </c>
      <c r="AI49" s="303">
        <f t="shared" si="40"/>
        <v>0.000165929869179083</v>
      </c>
      <c r="AJ49" s="303">
        <f t="shared" si="41"/>
        <v>0.000222465434709627</v>
      </c>
      <c r="AK49" s="303">
        <f t="shared" si="42"/>
        <v>5.65355655305444e-5</v>
      </c>
      <c r="AL49" s="304">
        <f t="shared" si="43"/>
        <v>5.65355655305444e-5</v>
      </c>
      <c r="AM49" s="304">
        <f t="shared" si="44"/>
        <v>0.290055248618785</v>
      </c>
      <c r="AN49" s="299">
        <v>74000</v>
      </c>
      <c r="AO49" s="299">
        <v>83800</v>
      </c>
      <c r="AP49" s="299">
        <v>78401.08</v>
      </c>
      <c r="AQ49" s="299">
        <v>90700</v>
      </c>
      <c r="AR49" s="300">
        <v>94153.04</v>
      </c>
      <c r="AS49" s="300">
        <v>111200</v>
      </c>
      <c r="AT49" s="300">
        <v>86233.68</v>
      </c>
      <c r="AU49" s="300">
        <v>107900</v>
      </c>
      <c r="AV49" s="300">
        <v>72893.58</v>
      </c>
      <c r="AW49" s="300">
        <v>81300</v>
      </c>
      <c r="AX49" s="300">
        <v>59000.55</v>
      </c>
      <c r="AY49" s="300">
        <v>67700</v>
      </c>
      <c r="AZ49" s="300">
        <v>66083.85</v>
      </c>
      <c r="BA49" s="300">
        <v>72900</v>
      </c>
      <c r="BB49" s="300">
        <v>61403.68</v>
      </c>
      <c r="BC49" s="300">
        <v>84800</v>
      </c>
      <c r="BD49" s="300">
        <v>122499.06</v>
      </c>
      <c r="BE49" s="300">
        <v>137300</v>
      </c>
      <c r="BF49" s="300">
        <v>63286.77</v>
      </c>
      <c r="BG49" s="300">
        <v>75100</v>
      </c>
      <c r="BH49" s="300">
        <v>32083.88</v>
      </c>
      <c r="BI49" s="300">
        <v>51400</v>
      </c>
      <c r="BJ49" s="300">
        <v>49468.06</v>
      </c>
      <c r="BK49" s="300">
        <v>59300</v>
      </c>
      <c r="BL49" s="266">
        <v>84923.9</v>
      </c>
      <c r="BM49" s="266">
        <v>138200</v>
      </c>
      <c r="BN49" s="266">
        <v>66880.03</v>
      </c>
      <c r="BO49" s="266">
        <v>80900</v>
      </c>
      <c r="BP49" s="266">
        <v>160793.15</v>
      </c>
      <c r="BQ49" s="266">
        <v>194500</v>
      </c>
      <c r="BR49" s="266">
        <v>112390.08</v>
      </c>
      <c r="BS49" s="266">
        <v>127600</v>
      </c>
      <c r="BT49" s="266">
        <v>133846.7</v>
      </c>
      <c r="BU49" s="266">
        <v>149000</v>
      </c>
      <c r="BV49" s="266">
        <v>51596.82</v>
      </c>
      <c r="BW49" s="266">
        <v>72600</v>
      </c>
      <c r="BX49" s="266">
        <v>187600</v>
      </c>
      <c r="BY49" s="266">
        <v>265400</v>
      </c>
      <c r="BZ49" s="266">
        <v>187600</v>
      </c>
      <c r="CA49" s="266">
        <v>265400</v>
      </c>
      <c r="CB49" s="266">
        <v>68500</v>
      </c>
      <c r="CC49" s="266">
        <v>108500</v>
      </c>
      <c r="CD49" s="311">
        <v>99700</v>
      </c>
      <c r="CE49" s="311">
        <v>132000</v>
      </c>
      <c r="CF49" s="311">
        <v>98200</v>
      </c>
      <c r="CG49" s="311">
        <v>135700</v>
      </c>
      <c r="CH49" s="311">
        <v>89400</v>
      </c>
      <c r="CI49" s="311">
        <v>105900</v>
      </c>
      <c r="CJ49" s="311">
        <v>338500</v>
      </c>
      <c r="CK49" s="311">
        <v>365500</v>
      </c>
      <c r="CL49" s="311">
        <v>30300</v>
      </c>
      <c r="CM49" s="311">
        <v>15900</v>
      </c>
      <c r="CN49" s="311">
        <v>137900</v>
      </c>
      <c r="CO49" s="311">
        <v>150400</v>
      </c>
      <c r="CP49" s="311">
        <v>97200</v>
      </c>
      <c r="CQ49" s="311">
        <v>143800</v>
      </c>
      <c r="CR49" s="311">
        <v>234600</v>
      </c>
      <c r="CS49" s="258">
        <v>274600</v>
      </c>
      <c r="CT49" s="258">
        <v>25700</v>
      </c>
      <c r="CU49" s="258">
        <v>51600</v>
      </c>
      <c r="CV49" s="258">
        <v>36200</v>
      </c>
      <c r="CW49" s="258">
        <v>75100</v>
      </c>
      <c r="CX49" s="266">
        <f t="shared" si="34"/>
        <v>10500</v>
      </c>
      <c r="CY49" s="266">
        <f t="shared" si="35"/>
        <v>23500</v>
      </c>
      <c r="DA49" s="301" t="s">
        <v>4825</v>
      </c>
      <c r="DB49" s="258">
        <v>36200</v>
      </c>
      <c r="DC49" s="258">
        <f t="shared" si="50"/>
        <v>1</v>
      </c>
    </row>
    <row r="50" spans="1:107">
      <c r="A50" s="264" t="s">
        <v>4826</v>
      </c>
      <c r="B50" s="264" t="s">
        <v>4776</v>
      </c>
      <c r="C50" s="264"/>
      <c r="D50" s="258" t="s">
        <v>4827</v>
      </c>
      <c r="E50" s="306">
        <f t="shared" si="3"/>
        <v>0.000379975835025843</v>
      </c>
      <c r="F50" s="306">
        <f t="shared" si="4"/>
        <v>0.000501110659597295</v>
      </c>
      <c r="G50" s="304">
        <f t="shared" si="5"/>
        <v>0.00049436458465208</v>
      </c>
      <c r="H50" s="304">
        <f t="shared" si="6"/>
        <v>0.000508728183004528</v>
      </c>
      <c r="I50" s="304">
        <f t="shared" si="18"/>
        <v>0.000367328125059974</v>
      </c>
      <c r="J50" s="304">
        <f t="shared" si="7"/>
        <v>0.000580733197436246</v>
      </c>
      <c r="K50" s="304">
        <f t="shared" si="8"/>
        <v>0.000522696897345049</v>
      </c>
      <c r="L50" s="304">
        <f t="shared" si="9"/>
        <v>0.000402318071452944</v>
      </c>
      <c r="M50" s="304">
        <f t="shared" si="10"/>
        <v>0.000365367720691838</v>
      </c>
      <c r="N50" s="304">
        <f t="shared" si="11"/>
        <v>0.000375898396828692</v>
      </c>
      <c r="O50" s="304">
        <f t="shared" si="12"/>
        <v>0.000238548955638094</v>
      </c>
      <c r="P50" s="304">
        <f t="shared" si="13"/>
        <v>0.000626082648424591</v>
      </c>
      <c r="Q50" s="304">
        <v>0.00067776765274005</v>
      </c>
      <c r="R50" s="304">
        <f t="shared" si="14"/>
        <v>0.000775309084747104</v>
      </c>
      <c r="S50" s="304">
        <f t="shared" si="15"/>
        <v>0.00142543649631368</v>
      </c>
      <c r="T50" s="304">
        <v>0.00157126305418549</v>
      </c>
      <c r="U50" s="304">
        <v>0.00117344784216483</v>
      </c>
      <c r="V50" s="304">
        <v>0.00130375482501147</v>
      </c>
      <c r="W50" s="304">
        <v>0.00130375482501147</v>
      </c>
      <c r="X50" s="304">
        <f t="shared" si="16"/>
        <v>0.000873783062087248</v>
      </c>
      <c r="Y50" s="304">
        <f t="shared" si="45"/>
        <v>0.000741808395342333</v>
      </c>
      <c r="Z50" s="304">
        <f t="shared" si="46"/>
        <v>0.000913988391774391</v>
      </c>
      <c r="AA50" s="304">
        <f t="shared" si="47"/>
        <v>0.000810880006719643</v>
      </c>
      <c r="AB50" s="304">
        <f t="shared" si="48"/>
        <v>0.000662012425934968</v>
      </c>
      <c r="AC50" s="304">
        <f t="shared" si="17"/>
        <v>0.000761003479352861</v>
      </c>
      <c r="AD50" s="304">
        <f t="shared" si="49"/>
        <v>0.00054545176170476</v>
      </c>
      <c r="AE50" s="304">
        <f t="shared" si="36"/>
        <v>0.00149183184260826</v>
      </c>
      <c r="AF50" s="303">
        <f t="shared" si="37"/>
        <v>0.000946380080903496</v>
      </c>
      <c r="AG50" s="303">
        <f t="shared" si="38"/>
        <v>0.000387133334533698</v>
      </c>
      <c r="AH50" s="303">
        <f t="shared" si="39"/>
        <v>0.000194296391347325</v>
      </c>
      <c r="AI50" s="303">
        <f t="shared" si="40"/>
        <v>0.0055693037024855</v>
      </c>
      <c r="AJ50" s="303">
        <f t="shared" si="41"/>
        <v>0.000385319965643471</v>
      </c>
      <c r="AK50" s="303">
        <f t="shared" si="42"/>
        <v>-0.00518398373684203</v>
      </c>
      <c r="AL50" s="304">
        <f t="shared" si="43"/>
        <v>-0.00518398373684203</v>
      </c>
      <c r="AM50" s="304">
        <f t="shared" si="44"/>
        <v>-12.7575757575758</v>
      </c>
      <c r="AN50" s="299">
        <v>71200</v>
      </c>
      <c r="AO50" s="299">
        <v>92600</v>
      </c>
      <c r="AP50" s="299">
        <v>88166.4</v>
      </c>
      <c r="AQ50" s="299">
        <v>123000</v>
      </c>
      <c r="AR50" s="300">
        <v>87760.68</v>
      </c>
      <c r="AS50" s="300">
        <v>133700</v>
      </c>
      <c r="AT50" s="300">
        <v>86127.79</v>
      </c>
      <c r="AU50" s="300">
        <v>128300</v>
      </c>
      <c r="AV50" s="300">
        <v>62188.73</v>
      </c>
      <c r="AW50" s="300">
        <v>91900</v>
      </c>
      <c r="AX50" s="300">
        <v>81926</v>
      </c>
      <c r="AY50" s="300">
        <v>109600</v>
      </c>
      <c r="AZ50" s="300">
        <v>68846.88</v>
      </c>
      <c r="BA50" s="300">
        <v>91200</v>
      </c>
      <c r="BB50" s="300">
        <v>55223.16</v>
      </c>
      <c r="BC50" s="300">
        <v>122800</v>
      </c>
      <c r="BD50" s="300">
        <v>47073</v>
      </c>
      <c r="BE50" s="300">
        <v>120700</v>
      </c>
      <c r="BF50" s="300">
        <v>46403.19</v>
      </c>
      <c r="BG50" s="300">
        <v>77300</v>
      </c>
      <c r="BH50" s="300">
        <v>27793.48</v>
      </c>
      <c r="BI50" s="300">
        <v>57200</v>
      </c>
      <c r="BJ50" s="300">
        <v>71467.5</v>
      </c>
      <c r="BK50" s="300">
        <v>97500</v>
      </c>
      <c r="BL50" s="266">
        <v>128350.78</v>
      </c>
      <c r="BM50" s="266">
        <v>162100</v>
      </c>
      <c r="BN50" s="266">
        <v>97087.26</v>
      </c>
      <c r="BO50" s="266">
        <v>129900</v>
      </c>
      <c r="BP50" s="266">
        <v>187522.66</v>
      </c>
      <c r="BQ50" s="266">
        <v>250900</v>
      </c>
      <c r="BR50" s="266">
        <v>190177.53</v>
      </c>
      <c r="BS50" s="266">
        <v>203900</v>
      </c>
      <c r="BT50" s="266">
        <v>132010.78</v>
      </c>
      <c r="BU50" s="266">
        <v>150200</v>
      </c>
      <c r="BV50" s="266">
        <v>167751.36</v>
      </c>
      <c r="BW50" s="266">
        <v>190800</v>
      </c>
      <c r="BX50" s="266">
        <v>111100</v>
      </c>
      <c r="BY50" s="266">
        <v>144700</v>
      </c>
      <c r="BZ50" s="266">
        <v>111100</v>
      </c>
      <c r="CA50" s="266">
        <v>144700</v>
      </c>
      <c r="CB50" s="266">
        <v>100000</v>
      </c>
      <c r="CC50" s="266">
        <v>136300</v>
      </c>
      <c r="CD50" s="311">
        <v>127600</v>
      </c>
      <c r="CE50" s="311">
        <v>159400</v>
      </c>
      <c r="CF50" s="311">
        <v>100400</v>
      </c>
      <c r="CG50" s="311">
        <v>143000</v>
      </c>
      <c r="CH50" s="311">
        <v>86500</v>
      </c>
      <c r="CI50" s="311">
        <v>215000</v>
      </c>
      <c r="CJ50" s="311">
        <v>118500</v>
      </c>
      <c r="CK50" s="311">
        <v>204300</v>
      </c>
      <c r="CL50" s="311">
        <v>94800</v>
      </c>
      <c r="CM50" s="311">
        <v>64400</v>
      </c>
      <c r="CN50" s="311">
        <v>226900</v>
      </c>
      <c r="CO50" s="311">
        <v>318600</v>
      </c>
      <c r="CP50" s="311">
        <v>61600</v>
      </c>
      <c r="CQ50" s="311">
        <v>129400</v>
      </c>
      <c r="CR50" s="311">
        <v>30100</v>
      </c>
      <c r="CS50" s="258">
        <v>63500</v>
      </c>
      <c r="CT50" s="258">
        <v>862600</v>
      </c>
      <c r="CU50" s="258">
        <v>1100000</v>
      </c>
      <c r="CV50" s="258">
        <v>62700</v>
      </c>
      <c r="CW50" s="258">
        <v>139800</v>
      </c>
      <c r="CX50" s="266">
        <f t="shared" si="34"/>
        <v>-799900</v>
      </c>
      <c r="CY50" s="266">
        <f t="shared" si="35"/>
        <v>-960200</v>
      </c>
      <c r="DA50" s="301" t="s">
        <v>4827</v>
      </c>
      <c r="DB50" s="258">
        <v>62700</v>
      </c>
      <c r="DC50" s="258">
        <f t="shared" si="50"/>
        <v>1</v>
      </c>
    </row>
    <row r="51" spans="1:107">
      <c r="A51" s="264" t="s">
        <v>4828</v>
      </c>
      <c r="B51" s="264" t="s">
        <v>4776</v>
      </c>
      <c r="C51" s="264"/>
      <c r="D51" s="265" t="s">
        <v>4829</v>
      </c>
      <c r="E51" s="306">
        <f t="shared" si="3"/>
        <v>0.000350623769117947</v>
      </c>
      <c r="F51" s="306">
        <f t="shared" si="4"/>
        <v>0.000209925912455096</v>
      </c>
      <c r="G51" s="304">
        <f t="shared" si="5"/>
        <v>0.000296050889363447</v>
      </c>
      <c r="H51" s="304">
        <f t="shared" si="6"/>
        <v>0.000394030808454978</v>
      </c>
      <c r="I51" s="304">
        <f t="shared" si="18"/>
        <v>0.000388459640052656</v>
      </c>
      <c r="J51" s="304">
        <f t="shared" si="7"/>
        <v>0.000552571401358926</v>
      </c>
      <c r="K51" s="304">
        <f t="shared" si="8"/>
        <v>0.00028567777032732</v>
      </c>
      <c r="L51" s="304">
        <f t="shared" si="9"/>
        <v>0.000934306138910066</v>
      </c>
      <c r="M51" s="304">
        <f t="shared" si="10"/>
        <v>0.000543462460632024</v>
      </c>
      <c r="N51" s="304">
        <f t="shared" si="11"/>
        <v>0.000866051843672843</v>
      </c>
      <c r="O51" s="304">
        <f t="shared" si="12"/>
        <v>0.000399005697875775</v>
      </c>
      <c r="P51" s="304">
        <f t="shared" si="13"/>
        <v>0.00065784639432257</v>
      </c>
      <c r="Q51" s="304">
        <v>0.000554031609470584</v>
      </c>
      <c r="R51" s="304">
        <f t="shared" si="14"/>
        <v>0.000614679977806142</v>
      </c>
      <c r="S51" s="304">
        <f t="shared" si="15"/>
        <v>0.000480643572797741</v>
      </c>
      <c r="T51" s="304">
        <v>0.000570513460265184</v>
      </c>
      <c r="U51" s="304">
        <v>0.000136284836939095</v>
      </c>
      <c r="V51" s="304">
        <v>0.000213155307545183</v>
      </c>
      <c r="W51" s="304">
        <v>0.000213155307545183</v>
      </c>
      <c r="X51" s="304">
        <f t="shared" si="16"/>
        <v>0.000577288602180656</v>
      </c>
      <c r="Y51" s="304">
        <f t="shared" si="45"/>
        <v>0.000225509752184069</v>
      </c>
      <c r="Z51" s="304">
        <f t="shared" si="46"/>
        <v>0.000471320032748863</v>
      </c>
      <c r="AA51" s="304">
        <f t="shared" si="47"/>
        <v>0.000227757133361493</v>
      </c>
      <c r="AB51" s="304">
        <f t="shared" si="48"/>
        <v>0.000225007691589457</v>
      </c>
      <c r="AC51" s="304">
        <f t="shared" si="17"/>
        <v>0.000223484566088435</v>
      </c>
      <c r="AD51" s="304">
        <f t="shared" si="49"/>
        <v>9.95391928005523e-5</v>
      </c>
      <c r="AE51" s="304">
        <f t="shared" si="36"/>
        <v>0.000132154341279973</v>
      </c>
      <c r="AF51" s="303">
        <f t="shared" si="37"/>
        <v>3.2615148479421e-5</v>
      </c>
      <c r="AG51" s="303">
        <f t="shared" si="38"/>
        <v>1.6340043340708e-5</v>
      </c>
      <c r="AH51" s="303">
        <f t="shared" si="39"/>
        <v>6.58413020512528e-5</v>
      </c>
      <c r="AI51" s="303">
        <f t="shared" si="40"/>
        <v>0.000313136134443017</v>
      </c>
      <c r="AJ51" s="303">
        <f t="shared" si="41"/>
        <v>3.99454509837729e-5</v>
      </c>
      <c r="AK51" s="303">
        <f t="shared" si="42"/>
        <v>-0.000273190683459244</v>
      </c>
      <c r="AL51" s="304">
        <f t="shared" si="43"/>
        <v>-0.000273190683459244</v>
      </c>
      <c r="AM51" s="304">
        <f t="shared" si="44"/>
        <v>-6.46153846153846</v>
      </c>
      <c r="AN51" s="299">
        <v>65700</v>
      </c>
      <c r="AO51" s="299">
        <v>84900</v>
      </c>
      <c r="AP51" s="299">
        <v>36934.78</v>
      </c>
      <c r="AQ51" s="299">
        <v>52900</v>
      </c>
      <c r="AR51" s="300">
        <v>52555.6</v>
      </c>
      <c r="AS51" s="300">
        <v>66400</v>
      </c>
      <c r="AT51" s="300">
        <v>66709.5</v>
      </c>
      <c r="AU51" s="300">
        <v>85800</v>
      </c>
      <c r="AV51" s="300">
        <v>65766.3</v>
      </c>
      <c r="AW51" s="300">
        <v>77100</v>
      </c>
      <c r="AX51" s="300">
        <v>77953.12</v>
      </c>
      <c r="AY51" s="300">
        <v>85400</v>
      </c>
      <c r="AZ51" s="300">
        <v>37627.97</v>
      </c>
      <c r="BA51" s="300">
        <v>56900</v>
      </c>
      <c r="BB51" s="300">
        <v>128245.14</v>
      </c>
      <c r="BC51" s="300">
        <v>145700</v>
      </c>
      <c r="BD51" s="300">
        <v>70018.25</v>
      </c>
      <c r="BE51" s="300">
        <v>117500</v>
      </c>
      <c r="BF51" s="300">
        <v>106910.72</v>
      </c>
      <c r="BG51" s="300">
        <v>125600</v>
      </c>
      <c r="BH51" s="300">
        <v>46488.39</v>
      </c>
      <c r="BI51" s="300">
        <v>59900</v>
      </c>
      <c r="BJ51" s="300">
        <v>75093.34</v>
      </c>
      <c r="BK51" s="300">
        <v>79700</v>
      </c>
      <c r="BL51" s="266">
        <v>38836.16</v>
      </c>
      <c r="BM51" s="266">
        <v>54400</v>
      </c>
      <c r="BN51" s="266">
        <v>76972.65</v>
      </c>
      <c r="BO51" s="266">
        <v>82900</v>
      </c>
      <c r="BP51" s="266">
        <v>63230.85</v>
      </c>
      <c r="BQ51" s="266">
        <v>68100</v>
      </c>
      <c r="BR51" s="266">
        <v>69051.99</v>
      </c>
      <c r="BS51" s="266">
        <v>77700</v>
      </c>
      <c r="BT51" s="266">
        <v>15331.8</v>
      </c>
      <c r="BU51" s="266">
        <v>27600</v>
      </c>
      <c r="BV51" s="266">
        <v>27426.24</v>
      </c>
      <c r="BW51" s="266">
        <v>35600</v>
      </c>
      <c r="BX51" s="266">
        <v>82900</v>
      </c>
      <c r="BY51" s="266">
        <v>95600</v>
      </c>
      <c r="BZ51" s="266">
        <v>82900</v>
      </c>
      <c r="CA51" s="266">
        <v>95600</v>
      </c>
      <c r="CB51" s="266">
        <v>30400</v>
      </c>
      <c r="CC51" s="266">
        <v>38600</v>
      </c>
      <c r="CD51" s="311">
        <v>65800</v>
      </c>
      <c r="CE51" s="311">
        <v>74000</v>
      </c>
      <c r="CF51" s="311">
        <v>28200</v>
      </c>
      <c r="CG51" s="311">
        <v>34300</v>
      </c>
      <c r="CH51" s="311">
        <v>29400</v>
      </c>
      <c r="CI51" s="311">
        <v>39200</v>
      </c>
      <c r="CJ51" s="311">
        <v>34800</v>
      </c>
      <c r="CK51" s="311">
        <v>36400</v>
      </c>
      <c r="CL51" s="311">
        <v>17300</v>
      </c>
      <c r="CM51" s="311">
        <v>15700</v>
      </c>
      <c r="CN51" s="311">
        <v>20100</v>
      </c>
      <c r="CO51" s="311">
        <v>20800</v>
      </c>
      <c r="CP51" s="311">
        <v>2600</v>
      </c>
      <c r="CQ51" s="311">
        <v>15200</v>
      </c>
      <c r="CR51" s="311">
        <v>10200</v>
      </c>
      <c r="CS51" s="258">
        <v>30000</v>
      </c>
      <c r="CT51" s="258">
        <v>48500</v>
      </c>
      <c r="CU51" s="258">
        <v>53600</v>
      </c>
      <c r="CV51" s="258">
        <v>6500</v>
      </c>
      <c r="CW51" s="258">
        <v>14300</v>
      </c>
      <c r="CX51" s="266">
        <f t="shared" si="34"/>
        <v>-42000</v>
      </c>
      <c r="CY51" s="266">
        <f t="shared" si="35"/>
        <v>-39300</v>
      </c>
      <c r="DA51" s="301" t="s">
        <v>4829</v>
      </c>
      <c r="DB51" s="258">
        <v>0</v>
      </c>
      <c r="DC51" s="258">
        <f t="shared" si="50"/>
        <v>1</v>
      </c>
    </row>
    <row r="52" spans="1:107">
      <c r="A52" s="264" t="s">
        <v>4830</v>
      </c>
      <c r="B52" s="264" t="s">
        <v>4776</v>
      </c>
      <c r="C52" s="264"/>
      <c r="D52" s="265" t="s">
        <v>4831</v>
      </c>
      <c r="E52" s="306">
        <f t="shared" si="3"/>
        <v>0.000311131898623689</v>
      </c>
      <c r="F52" s="306">
        <f t="shared" si="4"/>
        <v>0.0004176430853742</v>
      </c>
      <c r="G52" s="304">
        <f t="shared" si="5"/>
        <v>0.000441344281108066</v>
      </c>
      <c r="H52" s="304">
        <f t="shared" si="6"/>
        <v>0.000431373584751691</v>
      </c>
      <c r="I52" s="304">
        <f t="shared" si="18"/>
        <v>0.000317739587478933</v>
      </c>
      <c r="J52" s="304">
        <f t="shared" si="7"/>
        <v>0.000278119072675959</v>
      </c>
      <c r="K52" s="304">
        <f t="shared" si="8"/>
        <v>0.000252322806573234</v>
      </c>
      <c r="L52" s="304">
        <f t="shared" si="9"/>
        <v>0.00042569562476142</v>
      </c>
      <c r="M52" s="304">
        <f t="shared" si="10"/>
        <v>0.00092651566174751</v>
      </c>
      <c r="N52" s="304">
        <f t="shared" si="11"/>
        <v>0.000404154535188192</v>
      </c>
      <c r="O52" s="304">
        <f t="shared" si="12"/>
        <v>0.000859273465477216</v>
      </c>
      <c r="P52" s="304">
        <f t="shared" si="13"/>
        <v>0.000649753027189628</v>
      </c>
      <c r="Q52" s="304">
        <v>0.000703488066228647</v>
      </c>
      <c r="R52" s="304">
        <f t="shared" si="14"/>
        <v>0.000645812682400253</v>
      </c>
      <c r="S52" s="304">
        <f t="shared" si="15"/>
        <v>0.000631380659917637</v>
      </c>
      <c r="T52" s="304">
        <v>0.000359895627596039</v>
      </c>
      <c r="U52" s="304">
        <v>0.000777592293905515</v>
      </c>
      <c r="V52" s="304">
        <v>0.000669043935521638</v>
      </c>
      <c r="W52" s="304">
        <v>0.000669043935521638</v>
      </c>
      <c r="X52" s="304">
        <f t="shared" si="16"/>
        <v>0.000524752923948734</v>
      </c>
      <c r="Y52" s="304">
        <f t="shared" si="45"/>
        <v>0.000614217351343452</v>
      </c>
      <c r="Z52" s="304">
        <f t="shared" si="46"/>
        <v>0.000644662658775041</v>
      </c>
      <c r="AA52" s="304">
        <f t="shared" si="47"/>
        <v>0.00115413100558005</v>
      </c>
      <c r="AB52" s="304">
        <f t="shared" si="48"/>
        <v>0.000362002170482358</v>
      </c>
      <c r="AC52" s="304">
        <f t="shared" si="17"/>
        <v>0.000575408537974822</v>
      </c>
      <c r="AD52" s="304">
        <f t="shared" si="49"/>
        <v>0.00238951599826991</v>
      </c>
      <c r="AE52" s="304">
        <f t="shared" si="36"/>
        <v>0.000123607045575298</v>
      </c>
      <c r="AF52" s="303">
        <f t="shared" si="37"/>
        <v>-0.00226590895269461</v>
      </c>
      <c r="AG52" s="303">
        <f t="shared" si="38"/>
        <v>0.000596411581935843</v>
      </c>
      <c r="AH52" s="303">
        <f t="shared" si="39"/>
        <v>0.00120192651391601</v>
      </c>
      <c r="AI52" s="303">
        <f t="shared" si="40"/>
        <v>0.00126029223594385</v>
      </c>
      <c r="AJ52" s="303">
        <f t="shared" si="41"/>
        <v>0.000310345426873928</v>
      </c>
      <c r="AK52" s="303">
        <f t="shared" si="42"/>
        <v>-0.000949946809069922</v>
      </c>
      <c r="AL52" s="304">
        <f t="shared" si="43"/>
        <v>-0.000949946809069922</v>
      </c>
      <c r="AM52" s="304">
        <f t="shared" si="44"/>
        <v>-2.86534653465347</v>
      </c>
      <c r="AN52" s="299">
        <v>58300</v>
      </c>
      <c r="AO52" s="299">
        <v>72500</v>
      </c>
      <c r="AP52" s="299">
        <v>73480.95</v>
      </c>
      <c r="AQ52" s="299">
        <v>84900</v>
      </c>
      <c r="AR52" s="300">
        <v>78348.4</v>
      </c>
      <c r="AS52" s="300">
        <v>98800</v>
      </c>
      <c r="AT52" s="300">
        <v>73031.64</v>
      </c>
      <c r="AU52" s="300">
        <v>90700</v>
      </c>
      <c r="AV52" s="300">
        <v>53793.38</v>
      </c>
      <c r="AW52" s="300">
        <v>64300</v>
      </c>
      <c r="AX52" s="300">
        <v>39235.2</v>
      </c>
      <c r="AY52" s="300">
        <v>48800</v>
      </c>
      <c r="AZ52" s="300">
        <v>33234.63</v>
      </c>
      <c r="BA52" s="300">
        <v>42900</v>
      </c>
      <c r="BB52" s="300">
        <v>58432.02</v>
      </c>
      <c r="BC52" s="300">
        <v>91400</v>
      </c>
      <c r="BD52" s="300">
        <v>119369.8</v>
      </c>
      <c r="BE52" s="300">
        <v>159500</v>
      </c>
      <c r="BF52" s="300">
        <v>49891.3</v>
      </c>
      <c r="BG52" s="300">
        <v>83000</v>
      </c>
      <c r="BH52" s="300">
        <v>100114.46</v>
      </c>
      <c r="BI52" s="300">
        <v>126200</v>
      </c>
      <c r="BJ52" s="300">
        <v>74169.48</v>
      </c>
      <c r="BK52" s="300">
        <v>101200</v>
      </c>
      <c r="BL52" s="266">
        <v>78486.72</v>
      </c>
      <c r="BM52" s="266">
        <v>124800</v>
      </c>
      <c r="BN52" s="266">
        <v>80871.21</v>
      </c>
      <c r="BO52" s="266">
        <v>107100</v>
      </c>
      <c r="BP52" s="266">
        <v>83061</v>
      </c>
      <c r="BQ52" s="266">
        <v>110000</v>
      </c>
      <c r="BR52" s="266">
        <v>43559.9</v>
      </c>
      <c r="BS52" s="266">
        <v>65900</v>
      </c>
      <c r="BT52" s="266">
        <v>87477.74</v>
      </c>
      <c r="BU52" s="266">
        <v>112700</v>
      </c>
      <c r="BV52" s="266">
        <v>86084.46</v>
      </c>
      <c r="BW52" s="266">
        <v>138600</v>
      </c>
      <c r="BX52" s="266">
        <v>56300</v>
      </c>
      <c r="BY52" s="266">
        <v>86900</v>
      </c>
      <c r="BZ52" s="266">
        <v>56300</v>
      </c>
      <c r="CA52" s="266">
        <v>86900</v>
      </c>
      <c r="CB52" s="266">
        <v>82800</v>
      </c>
      <c r="CC52" s="266">
        <v>117300</v>
      </c>
      <c r="CD52" s="311">
        <v>90000</v>
      </c>
      <c r="CE52" s="311">
        <v>127800</v>
      </c>
      <c r="CF52" s="311">
        <v>142900</v>
      </c>
      <c r="CG52" s="311">
        <v>201300</v>
      </c>
      <c r="CH52" s="311">
        <v>47300</v>
      </c>
      <c r="CI52" s="311">
        <v>84700</v>
      </c>
      <c r="CJ52" s="311">
        <v>89600</v>
      </c>
      <c r="CK52" s="311">
        <v>111300</v>
      </c>
      <c r="CL52" s="311">
        <v>415300</v>
      </c>
      <c r="CM52" s="311">
        <v>171100</v>
      </c>
      <c r="CN52" s="311">
        <v>18800</v>
      </c>
      <c r="CO52" s="311">
        <v>188700</v>
      </c>
      <c r="CP52" s="311">
        <v>94900</v>
      </c>
      <c r="CQ52" s="311">
        <v>218800</v>
      </c>
      <c r="CR52" s="311">
        <v>186200</v>
      </c>
      <c r="CS52" s="258">
        <v>402200</v>
      </c>
      <c r="CT52" s="258">
        <v>195200</v>
      </c>
      <c r="CU52" s="258">
        <v>356900</v>
      </c>
      <c r="CV52" s="258">
        <v>50500</v>
      </c>
      <c r="CW52" s="258">
        <v>181900</v>
      </c>
      <c r="CX52" s="266">
        <f t="shared" si="34"/>
        <v>-144700</v>
      </c>
      <c r="CY52" s="266">
        <f t="shared" si="35"/>
        <v>-175000</v>
      </c>
      <c r="DA52" s="301" t="s">
        <v>4831</v>
      </c>
      <c r="DB52" s="258">
        <v>50500</v>
      </c>
      <c r="DC52" s="258">
        <f t="shared" si="50"/>
        <v>1</v>
      </c>
    </row>
    <row r="53" spans="1:107">
      <c r="A53" s="264" t="s">
        <v>4832</v>
      </c>
      <c r="B53" s="264" t="s">
        <v>4776</v>
      </c>
      <c r="C53" s="264"/>
      <c r="D53" s="265" t="s">
        <v>4833</v>
      </c>
      <c r="E53" s="306">
        <f t="shared" si="3"/>
        <v>0.000306862507218904</v>
      </c>
      <c r="F53" s="306">
        <f t="shared" si="4"/>
        <v>3.5207175205324e-5</v>
      </c>
      <c r="G53" s="304">
        <f t="shared" si="5"/>
        <v>4.19517149725197e-5</v>
      </c>
      <c r="H53" s="304">
        <f t="shared" si="6"/>
        <v>7.27760452555301e-5</v>
      </c>
      <c r="I53" s="304">
        <f t="shared" si="18"/>
        <v>0</v>
      </c>
      <c r="J53" s="304">
        <f t="shared" si="7"/>
        <v>0</v>
      </c>
      <c r="K53" s="304">
        <f t="shared" si="8"/>
        <v>6.19598133302612e-5</v>
      </c>
      <c r="L53" s="304">
        <f t="shared" si="9"/>
        <v>8.18689368282185e-5</v>
      </c>
      <c r="M53" s="304">
        <f t="shared" si="10"/>
        <v>4.51462770691346e-5</v>
      </c>
      <c r="N53" s="304">
        <f t="shared" si="11"/>
        <v>0.000109639432241226</v>
      </c>
      <c r="O53" s="304">
        <f t="shared" si="12"/>
        <v>5.36199319073504e-5</v>
      </c>
      <c r="P53" s="304">
        <f t="shared" si="13"/>
        <v>0.000228433898806639</v>
      </c>
      <c r="Q53" s="304">
        <v>0.000224532258292345</v>
      </c>
      <c r="R53" s="304">
        <f t="shared" si="14"/>
        <v>2.86181694779161e-5</v>
      </c>
      <c r="S53" s="304">
        <f t="shared" si="15"/>
        <v>2.83760610090481e-5</v>
      </c>
      <c r="T53" s="304">
        <v>0.000221301039983826</v>
      </c>
      <c r="U53" s="304">
        <v>9.09436704577339e-5</v>
      </c>
      <c r="V53" s="304">
        <v>4.86967714874123e-5</v>
      </c>
      <c r="W53" s="304">
        <v>4.86967714874123e-5</v>
      </c>
      <c r="X53" s="304">
        <f t="shared" si="16"/>
        <v>8.81633220903512e-5</v>
      </c>
      <c r="Y53" s="304">
        <f t="shared" si="45"/>
        <v>9.1242432627107e-5</v>
      </c>
      <c r="Z53" s="304">
        <f t="shared" si="46"/>
        <v>0.000241390351119099</v>
      </c>
      <c r="AA53" s="304">
        <f t="shared" si="47"/>
        <v>8.56108373628308e-5</v>
      </c>
      <c r="AB53" s="304">
        <f t="shared" si="48"/>
        <v>0.00016607710569698</v>
      </c>
      <c r="AC53" s="304">
        <f t="shared" si="17"/>
        <v>3.91740187683751e-5</v>
      </c>
      <c r="AD53" s="304">
        <f t="shared" si="49"/>
        <v>8.28534321576851e-5</v>
      </c>
      <c r="AE53" s="304">
        <f t="shared" si="36"/>
        <v>2.56418871140247e-5</v>
      </c>
      <c r="AF53" s="303">
        <f t="shared" si="37"/>
        <v>-5.72115450436604e-5</v>
      </c>
      <c r="AG53" s="303">
        <f t="shared" si="38"/>
        <v>0.000270239178327094</v>
      </c>
      <c r="AH53" s="303">
        <f t="shared" si="39"/>
        <v>9.68254441930189e-6</v>
      </c>
      <c r="AI53" s="303">
        <f t="shared" si="40"/>
        <v>2.7116943601251e-5</v>
      </c>
      <c r="AJ53" s="303">
        <f t="shared" si="41"/>
        <v>9.83272639600563e-6</v>
      </c>
      <c r="AK53" s="303">
        <f t="shared" si="42"/>
        <v>-1.72842172052454e-5</v>
      </c>
      <c r="AL53" s="304">
        <f t="shared" si="43"/>
        <v>-1.72842172052454e-5</v>
      </c>
      <c r="AM53" s="304">
        <f t="shared" si="44"/>
        <v>-1.625</v>
      </c>
      <c r="AN53" s="299">
        <v>57500</v>
      </c>
      <c r="AO53" s="299">
        <v>57500</v>
      </c>
      <c r="AP53" s="299">
        <v>6194.42</v>
      </c>
      <c r="AQ53" s="299">
        <v>10300</v>
      </c>
      <c r="AR53" s="300">
        <v>7447.36</v>
      </c>
      <c r="AS53" s="300">
        <v>27200</v>
      </c>
      <c r="AT53" s="300">
        <v>12321</v>
      </c>
      <c r="AU53" s="300">
        <v>45000</v>
      </c>
      <c r="AV53" s="300">
        <v>0</v>
      </c>
      <c r="AW53" s="300">
        <v>9700</v>
      </c>
      <c r="AX53" s="300">
        <v>0</v>
      </c>
      <c r="AY53" s="300">
        <v>14900</v>
      </c>
      <c r="AZ53" s="300">
        <v>8161.02</v>
      </c>
      <c r="BA53" s="300">
        <v>11900</v>
      </c>
      <c r="BB53" s="300">
        <v>11237.53</v>
      </c>
      <c r="BC53" s="300">
        <v>19900</v>
      </c>
      <c r="BD53" s="300">
        <v>5816.525599063</v>
      </c>
      <c r="BE53" s="300">
        <v>10300</v>
      </c>
      <c r="BF53" s="300">
        <v>13534.56</v>
      </c>
      <c r="BG53" s="300">
        <v>15600</v>
      </c>
      <c r="BH53" s="300">
        <v>6247.29</v>
      </c>
      <c r="BI53" s="300">
        <v>7100</v>
      </c>
      <c r="BJ53" s="300">
        <v>26075.79</v>
      </c>
      <c r="BK53" s="300">
        <v>32300</v>
      </c>
      <c r="BL53" s="266">
        <v>29590.08</v>
      </c>
      <c r="BM53" s="266">
        <v>31200</v>
      </c>
      <c r="BN53" s="266">
        <v>3583.68</v>
      </c>
      <c r="BO53" s="266">
        <v>9600</v>
      </c>
      <c r="BP53" s="266">
        <v>3733</v>
      </c>
      <c r="BQ53" s="266">
        <v>10000</v>
      </c>
      <c r="BR53" s="266">
        <v>26785.13</v>
      </c>
      <c r="BS53" s="266">
        <v>37300</v>
      </c>
      <c r="BT53" s="266">
        <v>10231</v>
      </c>
      <c r="BU53" s="266">
        <v>13000</v>
      </c>
      <c r="BV53" s="266">
        <v>6265.71</v>
      </c>
      <c r="BW53" s="266">
        <v>9900</v>
      </c>
      <c r="BX53" s="266">
        <v>8100</v>
      </c>
      <c r="BY53" s="266">
        <v>14600</v>
      </c>
      <c r="BZ53" s="266">
        <v>8100</v>
      </c>
      <c r="CA53" s="266">
        <v>14600</v>
      </c>
      <c r="CB53" s="266">
        <v>12300</v>
      </c>
      <c r="CC53" s="266">
        <v>17300</v>
      </c>
      <c r="CD53" s="311">
        <v>33700</v>
      </c>
      <c r="CE53" s="311">
        <v>44600</v>
      </c>
      <c r="CF53" s="311">
        <v>10600</v>
      </c>
      <c r="CG53" s="311">
        <v>12300</v>
      </c>
      <c r="CH53" s="311">
        <v>21700</v>
      </c>
      <c r="CI53" s="311">
        <v>28200</v>
      </c>
      <c r="CJ53" s="311">
        <v>6100</v>
      </c>
      <c r="CK53" s="311">
        <v>12900</v>
      </c>
      <c r="CL53" s="311">
        <v>14400</v>
      </c>
      <c r="CM53" s="311">
        <v>9700</v>
      </c>
      <c r="CN53" s="311">
        <v>3900</v>
      </c>
      <c r="CO53" s="311">
        <v>9200</v>
      </c>
      <c r="CP53" s="311">
        <v>43000</v>
      </c>
      <c r="CQ53" s="311">
        <v>63900</v>
      </c>
      <c r="CR53" s="311">
        <v>1500</v>
      </c>
      <c r="CS53" s="258">
        <v>19800</v>
      </c>
      <c r="CT53" s="258">
        <v>4200</v>
      </c>
      <c r="CU53" s="258">
        <v>11600</v>
      </c>
      <c r="CV53" s="258">
        <v>1600</v>
      </c>
      <c r="CW53" s="258">
        <v>3000</v>
      </c>
      <c r="CX53" s="266">
        <f t="shared" si="34"/>
        <v>-2600</v>
      </c>
      <c r="CY53" s="266">
        <f t="shared" si="35"/>
        <v>-8600</v>
      </c>
      <c r="DA53" s="301" t="s">
        <v>4833</v>
      </c>
      <c r="DB53" s="258">
        <v>1600</v>
      </c>
      <c r="DC53" s="258">
        <f t="shared" si="50"/>
        <v>1</v>
      </c>
    </row>
    <row r="54" spans="1:107">
      <c r="A54" s="264" t="s">
        <v>4834</v>
      </c>
      <c r="B54" s="264" t="s">
        <v>4776</v>
      </c>
      <c r="C54" s="264"/>
      <c r="D54" s="310" t="s">
        <v>4835</v>
      </c>
      <c r="E54" s="306">
        <f t="shared" si="3"/>
        <v>0.00029672270263254</v>
      </c>
      <c r="F54" s="306">
        <f t="shared" si="4"/>
        <v>0.000268157666989076</v>
      </c>
      <c r="G54" s="304">
        <f t="shared" si="5"/>
        <v>0.000295482509690552</v>
      </c>
      <c r="H54" s="304">
        <f t="shared" si="6"/>
        <v>0</v>
      </c>
      <c r="I54" s="304">
        <f t="shared" si="18"/>
        <v>0.000183637807394758</v>
      </c>
      <c r="J54" s="304">
        <f t="shared" si="7"/>
        <v>0.000238716177080069</v>
      </c>
      <c r="K54" s="304">
        <f t="shared" si="8"/>
        <v>0.000277114035568413</v>
      </c>
      <c r="L54" s="304">
        <f t="shared" si="9"/>
        <v>0</v>
      </c>
      <c r="M54" s="304">
        <f t="shared" si="10"/>
        <v>0</v>
      </c>
      <c r="N54" s="304">
        <f t="shared" si="11"/>
        <v>0</v>
      </c>
      <c r="O54" s="304">
        <f t="shared" si="12"/>
        <v>4.8435424726055e-5</v>
      </c>
      <c r="P54" s="304">
        <f t="shared" si="13"/>
        <v>3.88879518962067e-5</v>
      </c>
      <c r="Q54" s="304">
        <v>0.00250878303460394</v>
      </c>
      <c r="R54" s="304">
        <f t="shared" si="14"/>
        <v>0.000604976801409943</v>
      </c>
      <c r="S54" s="304">
        <f t="shared" si="15"/>
        <v>0.000470354685206314</v>
      </c>
      <c r="T54" s="304">
        <v>0.000213988020053705</v>
      </c>
      <c r="U54" s="304">
        <v>0.000256004076745454</v>
      </c>
      <c r="V54" s="304">
        <v>0.000575808073779253</v>
      </c>
      <c r="W54" s="304">
        <v>0.000575808073779253</v>
      </c>
      <c r="X54" s="304">
        <f t="shared" si="16"/>
        <v>0.00211169272157506</v>
      </c>
      <c r="Y54" s="304">
        <f t="shared" si="45"/>
        <v>0.00115499567154801</v>
      </c>
      <c r="Z54" s="304">
        <f t="shared" si="46"/>
        <v>0.000653974452735125</v>
      </c>
      <c r="AA54" s="304">
        <f t="shared" si="47"/>
        <v>0.000747883352811145</v>
      </c>
      <c r="AB54" s="304">
        <f t="shared" si="48"/>
        <v>0.00041557543038461</v>
      </c>
      <c r="AC54" s="304">
        <f t="shared" si="17"/>
        <v>0.000326236090726796</v>
      </c>
      <c r="AD54" s="304">
        <f t="shared" si="49"/>
        <v>0.00140045315188754</v>
      </c>
      <c r="AE54" s="304">
        <f t="shared" si="36"/>
        <v>0.00040698277239952</v>
      </c>
      <c r="AF54" s="303">
        <f t="shared" si="37"/>
        <v>-0.00099347037948802</v>
      </c>
      <c r="AG54" s="303">
        <f t="shared" si="38"/>
        <v>0.000246986039726856</v>
      </c>
      <c r="AH54" s="303">
        <f t="shared" si="39"/>
        <v>0.000888212074730627</v>
      </c>
      <c r="AI54" s="303">
        <f t="shared" si="40"/>
        <v>0.000371889512245728</v>
      </c>
      <c r="AJ54" s="303">
        <f t="shared" si="41"/>
        <v>0.00118545807611843</v>
      </c>
      <c r="AK54" s="303">
        <f t="shared" si="42"/>
        <v>0.000813568563872701</v>
      </c>
      <c r="AL54" s="304">
        <f t="shared" si="43"/>
        <v>0.000813568563872701</v>
      </c>
      <c r="AM54" s="304">
        <f t="shared" si="44"/>
        <v>0.701399688958009</v>
      </c>
      <c r="AN54" s="299">
        <v>55600</v>
      </c>
      <c r="AO54" s="299">
        <v>262100</v>
      </c>
      <c r="AP54" s="299">
        <v>47180.19</v>
      </c>
      <c r="AQ54" s="299">
        <v>320300</v>
      </c>
      <c r="AR54" s="300">
        <v>52454.7</v>
      </c>
      <c r="AS54" s="300">
        <v>300600</v>
      </c>
      <c r="AT54" s="300">
        <v>0</v>
      </c>
      <c r="AU54" s="300">
        <v>0</v>
      </c>
      <c r="AV54" s="300">
        <v>31089.92</v>
      </c>
      <c r="AW54" s="300">
        <v>181600</v>
      </c>
      <c r="AX54" s="300">
        <v>33676.5</v>
      </c>
      <c r="AY54" s="300">
        <v>195000</v>
      </c>
      <c r="AZ54" s="300">
        <v>36500</v>
      </c>
      <c r="BA54" s="300">
        <v>208100</v>
      </c>
      <c r="BB54" s="300">
        <v>0</v>
      </c>
      <c r="BC54" s="300">
        <v>0</v>
      </c>
      <c r="BD54" s="300">
        <v>0</v>
      </c>
      <c r="BE54" s="300">
        <v>0</v>
      </c>
      <c r="BF54" s="300">
        <v>0</v>
      </c>
      <c r="BG54" s="300">
        <v>411700</v>
      </c>
      <c r="BH54" s="300">
        <v>5643.24</v>
      </c>
      <c r="BI54" s="300">
        <v>458800</v>
      </c>
      <c r="BJ54" s="300">
        <v>4439.07</v>
      </c>
      <c r="BK54" s="300">
        <v>360900</v>
      </c>
      <c r="BL54" s="266">
        <v>69800</v>
      </c>
      <c r="BM54" s="266">
        <v>0</v>
      </c>
      <c r="BN54" s="266">
        <v>75757.58</v>
      </c>
      <c r="BO54" s="266">
        <v>337300</v>
      </c>
      <c r="BP54" s="266">
        <v>61877.3</v>
      </c>
      <c r="BQ54" s="266">
        <v>275500</v>
      </c>
      <c r="BR54" s="266">
        <v>25900</v>
      </c>
      <c r="BS54" s="266">
        <v>415200</v>
      </c>
      <c r="BT54" s="266">
        <v>28800</v>
      </c>
      <c r="BU54" s="266">
        <v>328100</v>
      </c>
      <c r="BV54" s="266">
        <v>74088</v>
      </c>
      <c r="BW54" s="266">
        <v>280000</v>
      </c>
      <c r="BX54" s="266">
        <v>63800</v>
      </c>
      <c r="BY54" s="266">
        <v>349700</v>
      </c>
      <c r="BZ54" s="266">
        <v>63800</v>
      </c>
      <c r="CA54" s="266">
        <v>349700</v>
      </c>
      <c r="CB54" s="266">
        <v>155700</v>
      </c>
      <c r="CC54" s="266">
        <v>487600</v>
      </c>
      <c r="CD54" s="311">
        <v>91300</v>
      </c>
      <c r="CE54" s="311">
        <v>310300</v>
      </c>
      <c r="CF54" s="311">
        <v>92600</v>
      </c>
      <c r="CG54" s="311">
        <v>360900</v>
      </c>
      <c r="CH54" s="311">
        <v>54300</v>
      </c>
      <c r="CI54" s="311">
        <v>278200</v>
      </c>
      <c r="CJ54" s="311">
        <v>50800</v>
      </c>
      <c r="CK54" s="311">
        <v>298300</v>
      </c>
      <c r="CL54" s="311">
        <v>243400</v>
      </c>
      <c r="CM54" s="311">
        <v>62000</v>
      </c>
      <c r="CN54" s="311">
        <v>61900</v>
      </c>
      <c r="CO54" s="311">
        <v>234600</v>
      </c>
      <c r="CP54" s="311">
        <v>39300</v>
      </c>
      <c r="CQ54" s="311">
        <v>229300</v>
      </c>
      <c r="CR54" s="311">
        <v>137600</v>
      </c>
      <c r="CS54" s="258">
        <v>321800</v>
      </c>
      <c r="CT54" s="258">
        <v>57600</v>
      </c>
      <c r="CU54" s="258">
        <v>321400</v>
      </c>
      <c r="CV54" s="258">
        <v>192900</v>
      </c>
      <c r="CW54" s="258">
        <v>499700</v>
      </c>
      <c r="CX54" s="266">
        <f t="shared" si="34"/>
        <v>135300</v>
      </c>
      <c r="CY54" s="266">
        <f t="shared" si="35"/>
        <v>178300</v>
      </c>
      <c r="DA54" s="301" t="s">
        <v>4835</v>
      </c>
      <c r="DB54" s="258">
        <v>192900</v>
      </c>
      <c r="DC54" s="258">
        <f t="shared" si="50"/>
        <v>1</v>
      </c>
    </row>
    <row r="55" spans="1:107">
      <c r="A55" s="264" t="s">
        <v>4836</v>
      </c>
      <c r="B55" s="264" t="s">
        <v>4776</v>
      </c>
      <c r="C55" s="264"/>
      <c r="D55" s="265" t="s">
        <v>4837</v>
      </c>
      <c r="E55" s="306">
        <f t="shared" si="3"/>
        <v>0.000286049224120578</v>
      </c>
      <c r="F55" s="306">
        <f t="shared" si="4"/>
        <v>0.000299719549513296</v>
      </c>
      <c r="G55" s="304">
        <f t="shared" si="5"/>
        <v>0.00028750942159328</v>
      </c>
      <c r="H55" s="304">
        <f t="shared" si="6"/>
        <v>0.000324051392868074</v>
      </c>
      <c r="I55" s="304">
        <f t="shared" si="18"/>
        <v>0.000204484384766862</v>
      </c>
      <c r="J55" s="304">
        <f t="shared" si="7"/>
        <v>0.00030585031270987</v>
      </c>
      <c r="K55" s="304">
        <f t="shared" si="8"/>
        <v>0.000382921716629145</v>
      </c>
      <c r="L55" s="304">
        <f t="shared" si="9"/>
        <v>0.000761471676243193</v>
      </c>
      <c r="M55" s="304">
        <f t="shared" si="10"/>
        <v>0.000846554983032543</v>
      </c>
      <c r="N55" s="304">
        <f t="shared" si="11"/>
        <v>0.0006839806358711</v>
      </c>
      <c r="O55" s="304">
        <f t="shared" si="12"/>
        <v>0.000334287290029245</v>
      </c>
      <c r="P55" s="304">
        <f t="shared" si="13"/>
        <v>0.000497387721196965</v>
      </c>
      <c r="Q55" s="304">
        <v>0.000449064516584689</v>
      </c>
      <c r="R55" s="304">
        <f t="shared" si="14"/>
        <v>0.000542423268406323</v>
      </c>
      <c r="S55" s="304">
        <f t="shared" si="15"/>
        <v>0.000258841670042299</v>
      </c>
      <c r="T55" s="304">
        <v>0.000413877286557587</v>
      </c>
      <c r="U55" s="304">
        <v>0.00103799341844968</v>
      </c>
      <c r="V55" s="304">
        <v>0.000226283759606362</v>
      </c>
      <c r="W55" s="304">
        <v>0.000483241589832469</v>
      </c>
      <c r="X55" s="304">
        <f t="shared" si="16"/>
        <v>0.000461951653418621</v>
      </c>
      <c r="Y55" s="304">
        <f t="shared" si="45"/>
        <v>0.000675045639761523</v>
      </c>
      <c r="Z55" s="304">
        <f t="shared" si="46"/>
        <v>0.000136095450185842</v>
      </c>
      <c r="AA55" s="304">
        <f t="shared" si="47"/>
        <v>0.000615428849721482</v>
      </c>
      <c r="AB55" s="304">
        <f t="shared" si="48"/>
        <v>0.000687268391317458</v>
      </c>
      <c r="AC55" s="304">
        <f t="shared" si="17"/>
        <v>0.000794397724860329</v>
      </c>
      <c r="AD55" s="304">
        <f t="shared" si="49"/>
        <v>0.000945334646076921</v>
      </c>
      <c r="AE55" s="304">
        <f t="shared" si="36"/>
        <v>0.00144975284836986</v>
      </c>
      <c r="AF55" s="303">
        <f t="shared" si="37"/>
        <v>0.000504418202292936</v>
      </c>
      <c r="AG55" s="303">
        <f t="shared" si="38"/>
        <v>0.000258926840629681</v>
      </c>
      <c r="AH55" s="303">
        <f t="shared" si="39"/>
        <v>5.2931242825517e-5</v>
      </c>
      <c r="AI55" s="303">
        <f t="shared" si="40"/>
        <v>0.000108467774405004</v>
      </c>
      <c r="AJ55" s="303">
        <f t="shared" si="41"/>
        <v>0.000932879916821034</v>
      </c>
      <c r="AK55" s="303">
        <f t="shared" si="42"/>
        <v>0.00082441214241603</v>
      </c>
      <c r="AL55" s="304">
        <f t="shared" si="43"/>
        <v>0.00082441214241603</v>
      </c>
      <c r="AM55" s="304">
        <f t="shared" si="44"/>
        <v>0.889328063241107</v>
      </c>
      <c r="AN55" s="299">
        <v>53600</v>
      </c>
      <c r="AO55" s="299">
        <v>58700</v>
      </c>
      <c r="AP55" s="299">
        <v>52733.25</v>
      </c>
      <c r="AQ55" s="299">
        <v>101900</v>
      </c>
      <c r="AR55" s="300">
        <v>51039.3</v>
      </c>
      <c r="AS55" s="300">
        <v>56900</v>
      </c>
      <c r="AT55" s="300">
        <v>54861.97</v>
      </c>
      <c r="AU55" s="300">
        <v>61900</v>
      </c>
      <c r="AV55" s="300">
        <v>34619.25</v>
      </c>
      <c r="AW55" s="300">
        <v>46500</v>
      </c>
      <c r="AX55" s="300">
        <v>43147.34</v>
      </c>
      <c r="AY55" s="300">
        <v>50300</v>
      </c>
      <c r="AZ55" s="300">
        <v>50436.43</v>
      </c>
      <c r="BA55" s="300">
        <v>57100</v>
      </c>
      <c r="BB55" s="300">
        <v>104521.46</v>
      </c>
      <c r="BC55" s="300">
        <v>128200</v>
      </c>
      <c r="BD55" s="300">
        <v>109067.88</v>
      </c>
      <c r="BE55" s="300">
        <v>121200</v>
      </c>
      <c r="BF55" s="300">
        <v>84434.74</v>
      </c>
      <c r="BG55" s="300">
        <v>96200</v>
      </c>
      <c r="BH55" s="300">
        <v>38948.01</v>
      </c>
      <c r="BI55" s="300">
        <v>72300</v>
      </c>
      <c r="BJ55" s="300">
        <v>56776.94</v>
      </c>
      <c r="BK55" s="300">
        <v>64600</v>
      </c>
      <c r="BL55" s="266">
        <v>54491.8</v>
      </c>
      <c r="BM55" s="266">
        <v>62000</v>
      </c>
      <c r="BN55" s="266">
        <v>67924.38</v>
      </c>
      <c r="BO55" s="266">
        <v>113700</v>
      </c>
      <c r="BP55" s="266">
        <v>34051.8</v>
      </c>
      <c r="BQ55" s="266">
        <v>57000</v>
      </c>
      <c r="BR55" s="266">
        <v>50093.56</v>
      </c>
      <c r="BS55" s="266">
        <v>74800</v>
      </c>
      <c r="BT55" s="266">
        <v>116772.4</v>
      </c>
      <c r="BU55" s="266">
        <v>141200</v>
      </c>
      <c r="BV55" s="266">
        <v>29115.45</v>
      </c>
      <c r="BW55" s="266">
        <v>58500</v>
      </c>
      <c r="BX55" s="266">
        <v>66300</v>
      </c>
      <c r="BY55" s="266">
        <v>76500</v>
      </c>
      <c r="BZ55" s="266">
        <v>66300</v>
      </c>
      <c r="CA55" s="266">
        <v>76500</v>
      </c>
      <c r="CB55" s="266">
        <v>91000</v>
      </c>
      <c r="CC55" s="266">
        <v>101700</v>
      </c>
      <c r="CD55" s="311">
        <v>19000</v>
      </c>
      <c r="CE55" s="311">
        <v>28000</v>
      </c>
      <c r="CF55" s="311">
        <v>76200</v>
      </c>
      <c r="CG55" s="311">
        <v>103400</v>
      </c>
      <c r="CH55" s="311">
        <v>89800</v>
      </c>
      <c r="CI55" s="311">
        <v>104200</v>
      </c>
      <c r="CJ55" s="311">
        <v>123700</v>
      </c>
      <c r="CK55" s="311">
        <v>146000</v>
      </c>
      <c r="CL55" s="311">
        <v>164300</v>
      </c>
      <c r="CM55" s="311">
        <v>147700</v>
      </c>
      <c r="CN55" s="311">
        <v>220500</v>
      </c>
      <c r="CO55" s="311">
        <v>229400</v>
      </c>
      <c r="CP55" s="311">
        <v>41200</v>
      </c>
      <c r="CQ55" s="311">
        <v>66900</v>
      </c>
      <c r="CR55" s="311">
        <v>8200</v>
      </c>
      <c r="CS55" s="258">
        <v>59100</v>
      </c>
      <c r="CT55" s="258">
        <v>16800</v>
      </c>
      <c r="CU55" s="258">
        <v>38100</v>
      </c>
      <c r="CV55" s="258">
        <v>151800</v>
      </c>
      <c r="CW55" s="258">
        <v>167000</v>
      </c>
      <c r="CX55" s="266">
        <f t="shared" si="34"/>
        <v>135000</v>
      </c>
      <c r="CY55" s="266">
        <f t="shared" si="35"/>
        <v>128900</v>
      </c>
      <c r="DA55" s="301" t="s">
        <v>4837</v>
      </c>
      <c r="DB55" s="258">
        <v>151800</v>
      </c>
      <c r="DC55" s="258">
        <f t="shared" si="50"/>
        <v>1</v>
      </c>
    </row>
    <row r="56" spans="1:107">
      <c r="A56" s="264" t="s">
        <v>4838</v>
      </c>
      <c r="B56" s="264" t="s">
        <v>4776</v>
      </c>
      <c r="C56" s="264"/>
      <c r="D56" s="265" t="s">
        <v>4839</v>
      </c>
      <c r="E56" s="306">
        <f t="shared" si="3"/>
        <v>0.000281246158790195</v>
      </c>
      <c r="F56" s="306">
        <f t="shared" si="4"/>
        <v>0.000223217851330233</v>
      </c>
      <c r="G56" s="304">
        <f t="shared" si="5"/>
        <v>0.000245582886572572</v>
      </c>
      <c r="H56" s="304">
        <f t="shared" si="6"/>
        <v>0.000242552558849293</v>
      </c>
      <c r="I56" s="304">
        <f t="shared" si="18"/>
        <v>0.000174062509369943</v>
      </c>
      <c r="J56" s="304">
        <f t="shared" si="7"/>
        <v>0.000283524344413539</v>
      </c>
      <c r="K56" s="304">
        <f t="shared" si="8"/>
        <v>0.00020598455676202</v>
      </c>
      <c r="L56" s="304">
        <f t="shared" si="9"/>
        <v>0.000367340695176554</v>
      </c>
      <c r="M56" s="304">
        <f t="shared" si="10"/>
        <v>0.000666446463321925</v>
      </c>
      <c r="N56" s="304">
        <f t="shared" si="11"/>
        <v>0.000444762218356669</v>
      </c>
      <c r="O56" s="304">
        <f t="shared" si="12"/>
        <v>0.00066163212111679</v>
      </c>
      <c r="P56" s="304">
        <f t="shared" si="13"/>
        <v>0.000489877094719191</v>
      </c>
      <c r="Q56" s="304">
        <v>0.000493553880456857</v>
      </c>
      <c r="R56" s="304">
        <f t="shared" si="14"/>
        <v>0.000814310731836122</v>
      </c>
      <c r="S56" s="304">
        <f t="shared" si="15"/>
        <v>0.000404054432935481</v>
      </c>
      <c r="T56" s="304">
        <v>0.000540517544967656</v>
      </c>
      <c r="U56" s="304">
        <v>0.000447664728851897</v>
      </c>
      <c r="V56" s="304">
        <v>0.000270429977896516</v>
      </c>
      <c r="W56" s="304">
        <v>0.000302481538130429</v>
      </c>
      <c r="X56" s="304">
        <f t="shared" si="16"/>
        <v>0.000446855194156575</v>
      </c>
      <c r="Y56" s="304">
        <f t="shared" si="45"/>
        <v>0.000121656576836143</v>
      </c>
      <c r="Z56" s="304">
        <f t="shared" si="46"/>
        <v>0.000244255518491432</v>
      </c>
      <c r="AA56" s="304">
        <f t="shared" si="47"/>
        <v>0.000521741518267818</v>
      </c>
      <c r="AB56" s="304">
        <f t="shared" si="48"/>
        <v>0.000600785843189538</v>
      </c>
      <c r="AC56" s="304">
        <f t="shared" si="17"/>
        <v>0.00029027305710337</v>
      </c>
      <c r="AD56" s="304">
        <f t="shared" si="49"/>
        <v>0.000429226808261341</v>
      </c>
      <c r="AE56" s="304">
        <f t="shared" si="36"/>
        <v>0.000121634592720373</v>
      </c>
      <c r="AF56" s="303">
        <f t="shared" si="37"/>
        <v>-0.000307592215540968</v>
      </c>
      <c r="AG56" s="303">
        <f t="shared" si="38"/>
        <v>0.000447465802253235</v>
      </c>
      <c r="AH56" s="303">
        <f t="shared" si="39"/>
        <v>0.00034405307836586</v>
      </c>
      <c r="AI56" s="303">
        <f t="shared" si="40"/>
        <v>7.55400571749134e-5</v>
      </c>
      <c r="AJ56" s="303">
        <f t="shared" si="41"/>
        <v>0.000131512715546575</v>
      </c>
      <c r="AK56" s="303">
        <f t="shared" si="42"/>
        <v>5.59726583716619e-5</v>
      </c>
      <c r="AL56" s="304">
        <f t="shared" si="43"/>
        <v>5.59726583716619e-5</v>
      </c>
      <c r="AM56" s="304">
        <f t="shared" si="44"/>
        <v>0.453271028037383</v>
      </c>
      <c r="AN56" s="299">
        <v>52700</v>
      </c>
      <c r="AO56" s="299">
        <v>56000</v>
      </c>
      <c r="AP56" s="299">
        <v>39273.39</v>
      </c>
      <c r="AQ56" s="299">
        <v>50100</v>
      </c>
      <c r="AR56" s="300">
        <v>43596.41</v>
      </c>
      <c r="AS56" s="300">
        <v>55900</v>
      </c>
      <c r="AT56" s="300">
        <v>41064.2</v>
      </c>
      <c r="AU56" s="300">
        <v>45200</v>
      </c>
      <c r="AV56" s="300">
        <v>29468.82</v>
      </c>
      <c r="AW56" s="300">
        <v>33400</v>
      </c>
      <c r="AX56" s="300">
        <v>39997.74</v>
      </c>
      <c r="AY56" s="300">
        <v>41900</v>
      </c>
      <c r="AZ56" s="300">
        <v>27131.2</v>
      </c>
      <c r="BA56" s="300">
        <v>31000</v>
      </c>
      <c r="BB56" s="300">
        <v>50422.08</v>
      </c>
      <c r="BC56" s="300">
        <v>63600</v>
      </c>
      <c r="BD56" s="300">
        <v>85863.18</v>
      </c>
      <c r="BE56" s="300">
        <v>120900</v>
      </c>
      <c r="BF56" s="300">
        <v>54904.16</v>
      </c>
      <c r="BG56" s="300">
        <v>83900</v>
      </c>
      <c r="BH56" s="300">
        <v>77087.15</v>
      </c>
      <c r="BI56" s="300">
        <v>85700</v>
      </c>
      <c r="BJ56" s="300">
        <v>55919.6</v>
      </c>
      <c r="BK56" s="300">
        <v>71000</v>
      </c>
      <c r="BL56" s="266">
        <v>71233.06</v>
      </c>
      <c r="BM56" s="266">
        <v>100300</v>
      </c>
      <c r="BN56" s="266">
        <v>101971.2</v>
      </c>
      <c r="BO56" s="266">
        <v>141000</v>
      </c>
      <c r="BP56" s="266">
        <v>53155.2</v>
      </c>
      <c r="BQ56" s="266">
        <v>73500</v>
      </c>
      <c r="BR56" s="266">
        <v>65421.44</v>
      </c>
      <c r="BS56" s="266">
        <v>95200</v>
      </c>
      <c r="BT56" s="266">
        <v>50361.48</v>
      </c>
      <c r="BU56" s="266">
        <v>61200</v>
      </c>
      <c r="BV56" s="266">
        <v>34795.65</v>
      </c>
      <c r="BW56" s="266">
        <v>42100</v>
      </c>
      <c r="BX56" s="266">
        <v>41500</v>
      </c>
      <c r="BY56" s="266">
        <v>74000</v>
      </c>
      <c r="BZ56" s="266">
        <v>41500</v>
      </c>
      <c r="CA56" s="266">
        <v>74000</v>
      </c>
      <c r="CB56" s="266">
        <v>16400</v>
      </c>
      <c r="CC56" s="266">
        <v>29400</v>
      </c>
      <c r="CD56" s="311">
        <v>34100</v>
      </c>
      <c r="CE56" s="311">
        <v>73100</v>
      </c>
      <c r="CF56" s="311">
        <v>64600</v>
      </c>
      <c r="CG56" s="311">
        <v>94700</v>
      </c>
      <c r="CH56" s="311">
        <v>78500</v>
      </c>
      <c r="CI56" s="311">
        <v>92100</v>
      </c>
      <c r="CJ56" s="311">
        <v>45200</v>
      </c>
      <c r="CK56" s="311">
        <v>99100</v>
      </c>
      <c r="CL56" s="311">
        <v>74600</v>
      </c>
      <c r="CM56" s="311">
        <v>74600</v>
      </c>
      <c r="CN56" s="311">
        <v>18500</v>
      </c>
      <c r="CO56" s="311">
        <v>142300</v>
      </c>
      <c r="CP56" s="311">
        <v>71200</v>
      </c>
      <c r="CQ56" s="311">
        <v>88600</v>
      </c>
      <c r="CR56" s="311">
        <v>53300</v>
      </c>
      <c r="CS56" s="258">
        <v>96300</v>
      </c>
      <c r="CT56" s="258">
        <v>11700</v>
      </c>
      <c r="CU56" s="258">
        <v>31500</v>
      </c>
      <c r="CV56" s="258">
        <v>21400</v>
      </c>
      <c r="CW56" s="258">
        <v>26900</v>
      </c>
      <c r="CX56" s="266">
        <f t="shared" si="34"/>
        <v>9700</v>
      </c>
      <c r="CY56" s="266">
        <f t="shared" si="35"/>
        <v>-4600</v>
      </c>
      <c r="DA56" s="301" t="s">
        <v>4839</v>
      </c>
      <c r="DB56" s="258">
        <v>21400</v>
      </c>
      <c r="DC56" s="258">
        <f t="shared" si="50"/>
        <v>1</v>
      </c>
    </row>
    <row r="57" spans="1:107">
      <c r="A57" s="264" t="s">
        <v>4840</v>
      </c>
      <c r="B57" s="264" t="s">
        <v>4776</v>
      </c>
      <c r="C57" s="264"/>
      <c r="D57" s="265" t="s">
        <v>4841</v>
      </c>
      <c r="E57" s="306">
        <f t="shared" si="3"/>
        <v>0.000272173702055028</v>
      </c>
      <c r="F57" s="306">
        <f t="shared" si="4"/>
        <v>0.000257636300601047</v>
      </c>
      <c r="G57" s="304">
        <f t="shared" si="5"/>
        <v>0.000356050715031442</v>
      </c>
      <c r="H57" s="304">
        <f t="shared" si="6"/>
        <v>0.000217181120083758</v>
      </c>
      <c r="I57" s="304">
        <f t="shared" si="18"/>
        <v>0.000219474737982726</v>
      </c>
      <c r="J57" s="304">
        <f t="shared" si="7"/>
        <v>0.000119136218204857</v>
      </c>
      <c r="K57" s="304">
        <f t="shared" si="8"/>
        <v>0.000244170567176733</v>
      </c>
      <c r="L57" s="304">
        <f t="shared" si="9"/>
        <v>0.000614920004479565</v>
      </c>
      <c r="M57" s="304">
        <f t="shared" si="10"/>
        <v>0.000685360392095029</v>
      </c>
      <c r="N57" s="304">
        <f t="shared" si="11"/>
        <v>8.48098906708387e-5</v>
      </c>
      <c r="O57" s="304">
        <f t="shared" si="12"/>
        <v>0.000178985443931099</v>
      </c>
      <c r="P57" s="304">
        <f t="shared" si="13"/>
        <v>0.000142794237511048</v>
      </c>
      <c r="Q57" s="304">
        <v>0.000113308848611926</v>
      </c>
      <c r="R57" s="304">
        <f t="shared" si="14"/>
        <v>0.000517311217585564</v>
      </c>
      <c r="S57" s="304">
        <f t="shared" si="15"/>
        <v>7.36802325418892e-5</v>
      </c>
      <c r="T57" s="304">
        <v>8.90949449100748e-5</v>
      </c>
      <c r="U57" s="304">
        <v>0.000141335584036553</v>
      </c>
      <c r="V57" s="304">
        <v>0.000342790776257957</v>
      </c>
      <c r="W57" s="304">
        <v>9.98553511418525e-5</v>
      </c>
      <c r="X57" s="304">
        <f t="shared" si="16"/>
        <v>8.69556053493875e-5</v>
      </c>
      <c r="Y57" s="304">
        <f t="shared" si="45"/>
        <v>0.000128332852394224</v>
      </c>
      <c r="Z57" s="304">
        <f t="shared" si="46"/>
        <v>5.15730127020033e-5</v>
      </c>
      <c r="AA57" s="304">
        <f t="shared" si="47"/>
        <v>3.55365739996656e-5</v>
      </c>
      <c r="AB57" s="304">
        <f t="shared" si="48"/>
        <v>6.505324416702e-5</v>
      </c>
      <c r="AC57" s="304">
        <f t="shared" si="17"/>
        <v>1.60549257247439e-5</v>
      </c>
      <c r="AD57" s="304">
        <f t="shared" si="49"/>
        <v>4.31528292487943e-5</v>
      </c>
      <c r="AE57" s="304">
        <f t="shared" si="36"/>
        <v>3.35316985337246e-5</v>
      </c>
      <c r="AF57" s="303">
        <f t="shared" si="37"/>
        <v>-9.62113071506973e-6</v>
      </c>
      <c r="AG57" s="303">
        <f t="shared" si="38"/>
        <v>5.42992209475836e-6</v>
      </c>
      <c r="AH57" s="303">
        <f t="shared" si="39"/>
        <v>0.000126518580412211</v>
      </c>
      <c r="AI57" s="303">
        <f t="shared" si="40"/>
        <v>0</v>
      </c>
      <c r="AJ57" s="303">
        <f t="shared" si="41"/>
        <v>1.65927257932595e-5</v>
      </c>
      <c r="AK57" s="303">
        <f t="shared" si="42"/>
        <v>1.65927257932595e-5</v>
      </c>
      <c r="AL57" s="304">
        <f t="shared" si="43"/>
        <v>1.65927257932595e-5</v>
      </c>
      <c r="AM57" s="304">
        <f t="shared" si="44"/>
        <v>1</v>
      </c>
      <c r="AN57" s="299">
        <v>51000</v>
      </c>
      <c r="AO57" s="299">
        <v>54700</v>
      </c>
      <c r="AP57" s="299">
        <v>45329.04</v>
      </c>
      <c r="AQ57" s="299">
        <v>94200</v>
      </c>
      <c r="AR57" s="300">
        <v>63206.9</v>
      </c>
      <c r="AS57" s="300">
        <v>64300</v>
      </c>
      <c r="AT57" s="300">
        <v>36768.81</v>
      </c>
      <c r="AU57" s="300">
        <v>37700</v>
      </c>
      <c r="AV57" s="300">
        <v>37157.12</v>
      </c>
      <c r="AW57" s="300">
        <v>37700</v>
      </c>
      <c r="AX57" s="300">
        <v>16806.95</v>
      </c>
      <c r="AY57" s="300">
        <v>17300</v>
      </c>
      <c r="AZ57" s="300">
        <v>32160.86</v>
      </c>
      <c r="BA57" s="300">
        <v>33400</v>
      </c>
      <c r="BB57" s="300">
        <v>84405.42</v>
      </c>
      <c r="BC57" s="300">
        <v>84600</v>
      </c>
      <c r="BD57" s="300">
        <v>88300</v>
      </c>
      <c r="BE57" s="300">
        <v>88300</v>
      </c>
      <c r="BF57" s="300">
        <v>10469.45</v>
      </c>
      <c r="BG57" s="300">
        <v>11300</v>
      </c>
      <c r="BH57" s="300">
        <v>20853.7</v>
      </c>
      <c r="BI57" s="300">
        <v>21700</v>
      </c>
      <c r="BJ57" s="300">
        <v>16300</v>
      </c>
      <c r="BK57" s="300">
        <v>16300</v>
      </c>
      <c r="BL57" s="266">
        <v>14681.2</v>
      </c>
      <c r="BM57" s="266">
        <v>17000</v>
      </c>
      <c r="BN57" s="266">
        <v>64779.75</v>
      </c>
      <c r="BO57" s="266">
        <v>67500</v>
      </c>
      <c r="BP57" s="266">
        <v>9692.97</v>
      </c>
      <c r="BQ57" s="266">
        <v>10100</v>
      </c>
      <c r="BR57" s="266">
        <v>10783.59</v>
      </c>
      <c r="BS57" s="266">
        <v>11300</v>
      </c>
      <c r="BT57" s="266">
        <v>15900</v>
      </c>
      <c r="BU57" s="266">
        <v>15900</v>
      </c>
      <c r="BV57" s="266">
        <v>44106.16</v>
      </c>
      <c r="BW57" s="266">
        <v>45200</v>
      </c>
      <c r="BX57" s="266">
        <v>13700</v>
      </c>
      <c r="BY57" s="266">
        <v>14400</v>
      </c>
      <c r="BZ57" s="266">
        <v>13700</v>
      </c>
      <c r="CA57" s="266">
        <v>14400</v>
      </c>
      <c r="CB57" s="266">
        <v>17300</v>
      </c>
      <c r="CC57" s="266">
        <v>17600</v>
      </c>
      <c r="CD57" s="311">
        <v>7200</v>
      </c>
      <c r="CE57" s="311">
        <v>7300</v>
      </c>
      <c r="CF57" s="311">
        <v>4400</v>
      </c>
      <c r="CG57" s="311">
        <v>4900</v>
      </c>
      <c r="CH57" s="311">
        <v>8500</v>
      </c>
      <c r="CI57" s="311">
        <v>9000</v>
      </c>
      <c r="CJ57" s="311">
        <v>2500</v>
      </c>
      <c r="CK57" s="311">
        <v>2600</v>
      </c>
      <c r="CL57" s="311">
        <v>7500</v>
      </c>
      <c r="CM57" s="311">
        <v>5900</v>
      </c>
      <c r="CN57" s="311">
        <v>5100</v>
      </c>
      <c r="CO57" s="311">
        <v>144600</v>
      </c>
      <c r="CP57" s="311">
        <v>864</v>
      </c>
      <c r="CQ57" s="311">
        <v>864</v>
      </c>
      <c r="CR57" s="311">
        <v>19600</v>
      </c>
      <c r="CS57" s="258">
        <v>20100</v>
      </c>
      <c r="CT57" s="258">
        <v>0</v>
      </c>
      <c r="CU57" s="258">
        <v>125</v>
      </c>
      <c r="CV57" s="258">
        <v>2700</v>
      </c>
      <c r="CW57" s="258">
        <v>3700</v>
      </c>
      <c r="CX57" s="266">
        <f t="shared" si="34"/>
        <v>2700</v>
      </c>
      <c r="CY57" s="266">
        <f t="shared" si="35"/>
        <v>3575</v>
      </c>
      <c r="DA57" s="301" t="s">
        <v>4841</v>
      </c>
      <c r="DB57" s="258">
        <v>2700</v>
      </c>
      <c r="DC57" s="258">
        <f t="shared" si="50"/>
        <v>1</v>
      </c>
    </row>
    <row r="58" spans="1:107">
      <c r="A58" s="264" t="s">
        <v>4842</v>
      </c>
      <c r="B58" s="264" t="s">
        <v>4776</v>
      </c>
      <c r="C58" s="264"/>
      <c r="D58" s="265" t="s">
        <v>4843</v>
      </c>
      <c r="E58" s="306">
        <f t="shared" si="3"/>
        <v>0.000270039006352635</v>
      </c>
      <c r="F58" s="306">
        <f t="shared" si="4"/>
        <v>0.00026031309217067</v>
      </c>
      <c r="G58" s="304">
        <f t="shared" si="5"/>
        <v>0.000186746239483922</v>
      </c>
      <c r="H58" s="304">
        <f t="shared" si="6"/>
        <v>0.000210699320815675</v>
      </c>
      <c r="I58" s="304">
        <f t="shared" si="18"/>
        <v>0.00018181619126321</v>
      </c>
      <c r="J58" s="304">
        <f t="shared" si="7"/>
        <v>0.000694396023330964</v>
      </c>
      <c r="K58" s="304">
        <f t="shared" si="8"/>
        <v>8.0691431466575e-5</v>
      </c>
      <c r="L58" s="304">
        <f t="shared" si="9"/>
        <v>0.000433630351864002</v>
      </c>
      <c r="M58" s="304">
        <f t="shared" si="10"/>
        <v>0.00222902903820033</v>
      </c>
      <c r="N58" s="304">
        <f t="shared" si="11"/>
        <v>0.00192006880363873</v>
      </c>
      <c r="O58" s="304">
        <f t="shared" si="12"/>
        <v>0.000293535544409077</v>
      </c>
      <c r="P58" s="304">
        <f t="shared" si="13"/>
        <v>0.000456565213995877</v>
      </c>
      <c r="Q58" s="304">
        <v>0.00036425666670337</v>
      </c>
      <c r="R58" s="304">
        <f t="shared" si="14"/>
        <v>0.000603416556646851</v>
      </c>
      <c r="S58" s="304">
        <f t="shared" si="15"/>
        <v>0.000473331017027394</v>
      </c>
      <c r="T58" s="304">
        <v>0.000638276030339048</v>
      </c>
      <c r="U58" s="304">
        <v>0.000814372168496743</v>
      </c>
      <c r="V58" s="304">
        <v>0.000317184073294388</v>
      </c>
      <c r="W58" s="304">
        <v>0.000432949478673433</v>
      </c>
      <c r="X58" s="304">
        <f t="shared" si="16"/>
        <v>0.000382846206885498</v>
      </c>
      <c r="Y58" s="304">
        <f t="shared" si="45"/>
        <v>0.000154296146231205</v>
      </c>
      <c r="Z58" s="304">
        <f t="shared" si="46"/>
        <v>0.000164030832066094</v>
      </c>
      <c r="AA58" s="304">
        <f t="shared" si="47"/>
        <v>0.000251986615633993</v>
      </c>
      <c r="AB58" s="304">
        <f t="shared" si="48"/>
        <v>0.000454607376884822</v>
      </c>
      <c r="AC58" s="304">
        <f t="shared" si="17"/>
        <v>8.28434167396786e-5</v>
      </c>
      <c r="AD58" s="304">
        <f t="shared" si="49"/>
        <v>0.00017491280122178</v>
      </c>
      <c r="AE58" s="304">
        <f t="shared" si="36"/>
        <v>0.000119662139865448</v>
      </c>
      <c r="AF58" s="303">
        <f t="shared" si="37"/>
        <v>-5.52506613563315e-5</v>
      </c>
      <c r="AG58" s="303">
        <f t="shared" si="38"/>
        <v>7.60440478548335e-5</v>
      </c>
      <c r="AH58" s="303">
        <f t="shared" si="39"/>
        <v>9.61799412317321e-5</v>
      </c>
      <c r="AI58" s="303">
        <f t="shared" si="40"/>
        <v>0.000194983737323281</v>
      </c>
      <c r="AJ58" s="303">
        <f t="shared" si="41"/>
        <v>0.00029743997347917</v>
      </c>
      <c r="AK58" s="303">
        <f t="shared" si="42"/>
        <v>0.000102456236155889</v>
      </c>
      <c r="AL58" s="304">
        <f t="shared" si="43"/>
        <v>0.000102456236155889</v>
      </c>
      <c r="AM58" s="304">
        <f t="shared" si="44"/>
        <v>0.37603305785124</v>
      </c>
      <c r="AN58" s="299">
        <v>50600</v>
      </c>
      <c r="AO58" s="299">
        <v>51100</v>
      </c>
      <c r="AP58" s="299">
        <v>45800</v>
      </c>
      <c r="AQ58" s="299">
        <v>45800</v>
      </c>
      <c r="AR58" s="300">
        <v>33151.6</v>
      </c>
      <c r="AS58" s="300">
        <v>33500</v>
      </c>
      <c r="AT58" s="300">
        <v>35671.44</v>
      </c>
      <c r="AU58" s="300">
        <v>35700</v>
      </c>
      <c r="AV58" s="300">
        <v>30781.52</v>
      </c>
      <c r="AW58" s="300">
        <v>30800</v>
      </c>
      <c r="AX58" s="300">
        <v>97960.8</v>
      </c>
      <c r="AY58" s="300">
        <v>98000</v>
      </c>
      <c r="AZ58" s="300">
        <v>10628.25</v>
      </c>
      <c r="BA58" s="300">
        <v>11100</v>
      </c>
      <c r="BB58" s="300">
        <v>59521.16</v>
      </c>
      <c r="BC58" s="300">
        <v>61400</v>
      </c>
      <c r="BD58" s="300">
        <v>287182.14</v>
      </c>
      <c r="BE58" s="300">
        <v>287700</v>
      </c>
      <c r="BF58" s="300">
        <v>237025</v>
      </c>
      <c r="BG58" s="300">
        <v>237500</v>
      </c>
      <c r="BH58" s="300">
        <v>34200</v>
      </c>
      <c r="BI58" s="300">
        <v>34200</v>
      </c>
      <c r="BJ58" s="300">
        <v>52117.04</v>
      </c>
      <c r="BK58" s="300">
        <v>52400</v>
      </c>
      <c r="BL58" s="266">
        <v>51900</v>
      </c>
      <c r="BM58" s="266">
        <v>51900</v>
      </c>
      <c r="BN58" s="266">
        <v>75562.2</v>
      </c>
      <c r="BO58" s="266">
        <v>75600</v>
      </c>
      <c r="BP58" s="266">
        <v>62268.85</v>
      </c>
      <c r="BQ58" s="266">
        <v>62300</v>
      </c>
      <c r="BR58" s="266">
        <v>77253.62</v>
      </c>
      <c r="BS58" s="266">
        <v>77300</v>
      </c>
      <c r="BT58" s="266">
        <v>91615.41</v>
      </c>
      <c r="BU58" s="266">
        <v>92700</v>
      </c>
      <c r="BV58" s="266">
        <v>40811.4</v>
      </c>
      <c r="BW58" s="266">
        <v>41000</v>
      </c>
      <c r="BX58" s="266">
        <v>59400</v>
      </c>
      <c r="BY58" s="266">
        <v>63400</v>
      </c>
      <c r="BZ58" s="266">
        <v>59400</v>
      </c>
      <c r="CA58" s="266">
        <v>63400</v>
      </c>
      <c r="CB58" s="266">
        <v>20800</v>
      </c>
      <c r="CC58" s="266">
        <v>21700</v>
      </c>
      <c r="CD58" s="311">
        <v>22900</v>
      </c>
      <c r="CE58" s="311">
        <v>24400</v>
      </c>
      <c r="CF58" s="311">
        <v>31200</v>
      </c>
      <c r="CG58" s="311">
        <v>31300</v>
      </c>
      <c r="CH58" s="311">
        <v>59400</v>
      </c>
      <c r="CI58" s="311">
        <v>59700</v>
      </c>
      <c r="CJ58" s="311">
        <v>12900</v>
      </c>
      <c r="CK58" s="311">
        <v>16600</v>
      </c>
      <c r="CL58" s="311">
        <v>30400</v>
      </c>
      <c r="CM58" s="311">
        <v>28500</v>
      </c>
      <c r="CN58" s="311">
        <v>18200</v>
      </c>
      <c r="CO58" s="311">
        <v>18400</v>
      </c>
      <c r="CP58" s="311">
        <v>12100</v>
      </c>
      <c r="CQ58" s="311">
        <v>14400</v>
      </c>
      <c r="CR58" s="311">
        <v>14900</v>
      </c>
      <c r="CS58" s="258">
        <v>16100</v>
      </c>
      <c r="CT58" s="258">
        <v>30200</v>
      </c>
      <c r="CU58" s="258">
        <v>30500</v>
      </c>
      <c r="CV58" s="258">
        <v>48400</v>
      </c>
      <c r="CW58" s="258">
        <v>49800</v>
      </c>
      <c r="CX58" s="266">
        <f t="shared" si="34"/>
        <v>18200</v>
      </c>
      <c r="CY58" s="266">
        <f t="shared" si="35"/>
        <v>19300</v>
      </c>
      <c r="DA58" s="301" t="s">
        <v>4843</v>
      </c>
      <c r="DB58" s="258">
        <v>48400</v>
      </c>
      <c r="DC58" s="258">
        <f t="shared" si="50"/>
        <v>1</v>
      </c>
    </row>
    <row r="59" spans="1:107">
      <c r="A59" s="264" t="s">
        <v>4844</v>
      </c>
      <c r="B59" s="264" t="s">
        <v>4776</v>
      </c>
      <c r="C59" s="264"/>
      <c r="D59" s="310" t="s">
        <v>4845</v>
      </c>
      <c r="E59" s="306">
        <f t="shared" si="3"/>
        <v>0.000246023679700721</v>
      </c>
      <c r="F59" s="306">
        <f t="shared" si="4"/>
        <v>0.000284548354725598</v>
      </c>
      <c r="G59" s="304">
        <f t="shared" si="5"/>
        <v>0.000276349295165645</v>
      </c>
      <c r="H59" s="304">
        <f t="shared" si="6"/>
        <v>0</v>
      </c>
      <c r="I59" s="304">
        <f t="shared" si="18"/>
        <v>0.000236982571780389</v>
      </c>
      <c r="J59" s="304">
        <f t="shared" si="7"/>
        <v>0.000348005818163783</v>
      </c>
      <c r="K59" s="304">
        <f t="shared" si="8"/>
        <v>0.000338341204941624</v>
      </c>
      <c r="L59" s="304">
        <f t="shared" si="9"/>
        <v>0.000305354182171654</v>
      </c>
      <c r="M59" s="304">
        <f t="shared" si="10"/>
        <v>0.000493690471269562</v>
      </c>
      <c r="N59" s="304">
        <f t="shared" si="11"/>
        <v>0.000358512427971257</v>
      </c>
      <c r="O59" s="304">
        <f t="shared" si="12"/>
        <v>0.000167574206727643</v>
      </c>
      <c r="P59" s="304">
        <f t="shared" si="13"/>
        <v>0</v>
      </c>
      <c r="Q59" s="304">
        <v>0</v>
      </c>
      <c r="R59" s="304">
        <f t="shared" si="14"/>
        <v>0.000349828948341451</v>
      </c>
      <c r="S59" s="304">
        <f t="shared" si="15"/>
        <v>0.000251741041563925</v>
      </c>
      <c r="T59" s="304">
        <v>0.000556366538755634</v>
      </c>
      <c r="U59" s="304">
        <v>0.000642652900614204</v>
      </c>
      <c r="V59" s="304">
        <v>0.000109269234758868</v>
      </c>
      <c r="W59" s="304">
        <v>0.000354960262818118</v>
      </c>
      <c r="X59" s="304">
        <f t="shared" si="16"/>
        <v>0.00036412659740056</v>
      </c>
      <c r="Y59" s="304">
        <f t="shared" si="45"/>
        <v>0.000381289515205959</v>
      </c>
      <c r="Z59" s="304">
        <f t="shared" si="46"/>
        <v>0.00128574385833466</v>
      </c>
      <c r="AA59" s="304">
        <f t="shared" si="47"/>
        <v>0.000327098010678741</v>
      </c>
      <c r="AB59" s="304">
        <f t="shared" si="48"/>
        <v>0.000211231710471736</v>
      </c>
      <c r="AC59" s="304">
        <f t="shared" si="17"/>
        <v>5.84399296380678e-5</v>
      </c>
      <c r="AD59" s="304">
        <f t="shared" si="49"/>
        <v>5.17833950985532e-5</v>
      </c>
      <c r="AE59" s="304">
        <f t="shared" si="36"/>
        <v>8.1528051336899e-5</v>
      </c>
      <c r="AF59" s="303">
        <f t="shared" si="37"/>
        <v>2.97446562383458e-5</v>
      </c>
      <c r="AG59" s="303">
        <f t="shared" si="38"/>
        <v>0.000814488314213754</v>
      </c>
      <c r="AH59" s="303">
        <f t="shared" si="39"/>
        <v>0.000159439231437838</v>
      </c>
      <c r="AI59" s="303">
        <f t="shared" si="40"/>
        <v>0.00040029773887561</v>
      </c>
      <c r="AJ59" s="303">
        <f t="shared" si="41"/>
        <v>8.23490835665472e-5</v>
      </c>
      <c r="AK59" s="303">
        <f t="shared" si="42"/>
        <v>-0.000317948655309063</v>
      </c>
      <c r="AL59" s="304">
        <f t="shared" si="43"/>
        <v>-0.000317948655309063</v>
      </c>
      <c r="AM59" s="304">
        <f t="shared" si="44"/>
        <v>-3.62686567164179</v>
      </c>
      <c r="AN59" s="299">
        <v>46100</v>
      </c>
      <c r="AO59" s="299">
        <v>52300</v>
      </c>
      <c r="AP59" s="299">
        <v>50064</v>
      </c>
      <c r="AQ59" s="299">
        <v>52500</v>
      </c>
      <c r="AR59" s="300">
        <v>49058.13</v>
      </c>
      <c r="AS59" s="300">
        <v>51700</v>
      </c>
      <c r="AT59" s="300">
        <v>0</v>
      </c>
      <c r="AU59" s="300">
        <v>0</v>
      </c>
      <c r="AV59" s="300">
        <v>40121.2</v>
      </c>
      <c r="AW59" s="300">
        <v>44500</v>
      </c>
      <c r="AX59" s="300">
        <v>49094.36</v>
      </c>
      <c r="AY59" s="300">
        <v>54200</v>
      </c>
      <c r="AZ59" s="300">
        <v>44564.52</v>
      </c>
      <c r="BA59" s="300">
        <v>46200</v>
      </c>
      <c r="BB59" s="300">
        <v>41913.66</v>
      </c>
      <c r="BC59" s="300">
        <v>50100</v>
      </c>
      <c r="BD59" s="300">
        <v>63605.76</v>
      </c>
      <c r="BE59" s="300">
        <v>65600</v>
      </c>
      <c r="BF59" s="300">
        <v>44256.96</v>
      </c>
      <c r="BG59" s="300">
        <v>52800</v>
      </c>
      <c r="BH59" s="300">
        <v>19524.17</v>
      </c>
      <c r="BI59" s="300">
        <v>28300</v>
      </c>
      <c r="BJ59" s="300">
        <v>0</v>
      </c>
      <c r="BK59" s="300">
        <v>0</v>
      </c>
      <c r="BL59" s="266">
        <v>17732.16</v>
      </c>
      <c r="BM59" s="266">
        <v>28200</v>
      </c>
      <c r="BN59" s="266">
        <v>43806.96</v>
      </c>
      <c r="BO59" s="266">
        <v>45900</v>
      </c>
      <c r="BP59" s="266">
        <v>33117.68</v>
      </c>
      <c r="BQ59" s="266">
        <v>34700</v>
      </c>
      <c r="BR59" s="266">
        <v>67339.72</v>
      </c>
      <c r="BS59" s="266">
        <v>73100</v>
      </c>
      <c r="BT59" s="266">
        <v>72297.3</v>
      </c>
      <c r="BU59" s="266">
        <v>79500</v>
      </c>
      <c r="BV59" s="266">
        <v>14059.44</v>
      </c>
      <c r="BW59" s="266">
        <v>28300</v>
      </c>
      <c r="BX59" s="266">
        <v>48700</v>
      </c>
      <c r="BY59" s="266">
        <v>60300</v>
      </c>
      <c r="BZ59" s="266">
        <v>48700</v>
      </c>
      <c r="CA59" s="266">
        <v>60300</v>
      </c>
      <c r="CB59" s="266">
        <v>51400</v>
      </c>
      <c r="CC59" s="266">
        <v>60500</v>
      </c>
      <c r="CD59" s="311">
        <v>179500</v>
      </c>
      <c r="CE59" s="311">
        <v>182400</v>
      </c>
      <c r="CF59" s="311">
        <v>40500</v>
      </c>
      <c r="CG59" s="311">
        <v>40500</v>
      </c>
      <c r="CH59" s="311">
        <v>27600</v>
      </c>
      <c r="CI59" s="311">
        <v>30400</v>
      </c>
      <c r="CJ59" s="311">
        <v>9100</v>
      </c>
      <c r="CK59" s="311">
        <v>29400</v>
      </c>
      <c r="CL59" s="311">
        <v>9000</v>
      </c>
      <c r="CM59" s="311">
        <v>7900</v>
      </c>
      <c r="CN59" s="311">
        <v>12400</v>
      </c>
      <c r="CO59" s="311">
        <v>17800</v>
      </c>
      <c r="CP59" s="311">
        <v>129600</v>
      </c>
      <c r="CQ59" s="311">
        <v>135700</v>
      </c>
      <c r="CR59" s="311">
        <v>24700</v>
      </c>
      <c r="CS59" s="258">
        <v>43700</v>
      </c>
      <c r="CT59" s="258">
        <v>62000</v>
      </c>
      <c r="CU59" s="258">
        <v>77500</v>
      </c>
      <c r="CV59" s="258">
        <v>13400</v>
      </c>
      <c r="CW59" s="258">
        <v>17300</v>
      </c>
      <c r="CX59" s="266">
        <f t="shared" si="34"/>
        <v>-48600</v>
      </c>
      <c r="CY59" s="266">
        <f t="shared" si="35"/>
        <v>-60200</v>
      </c>
      <c r="DA59" s="301" t="s">
        <v>4845</v>
      </c>
      <c r="DB59" s="258">
        <v>13400</v>
      </c>
      <c r="DC59" s="258">
        <f t="shared" si="50"/>
        <v>1</v>
      </c>
    </row>
    <row r="60" spans="1:107">
      <c r="A60" s="309" t="s">
        <v>4846</v>
      </c>
      <c r="B60" s="264" t="s">
        <v>4776</v>
      </c>
      <c r="C60" s="264"/>
      <c r="D60" s="265" t="s">
        <v>4847</v>
      </c>
      <c r="E60" s="306">
        <f t="shared" si="3"/>
        <v>0.000234282853337563</v>
      </c>
      <c r="F60" s="306">
        <f t="shared" si="4"/>
        <v>0.000170999101877716</v>
      </c>
      <c r="G60" s="304">
        <f t="shared" si="5"/>
        <v>0.000379246576770305</v>
      </c>
      <c r="H60" s="304">
        <f t="shared" si="6"/>
        <v>0.000411931849081037</v>
      </c>
      <c r="I60" s="304">
        <f t="shared" si="18"/>
        <v>0.00024295220394482</v>
      </c>
      <c r="J60" s="304">
        <f t="shared" si="7"/>
        <v>0.000413873946066342</v>
      </c>
      <c r="K60" s="304">
        <f t="shared" si="8"/>
        <v>0.000370326010613544</v>
      </c>
      <c r="L60" s="304">
        <f t="shared" si="9"/>
        <v>0.000458614608365092</v>
      </c>
      <c r="M60" s="304">
        <f t="shared" si="10"/>
        <v>0.000868810179547311</v>
      </c>
      <c r="N60" s="304">
        <f t="shared" si="11"/>
        <v>0.000413654876044774</v>
      </c>
      <c r="O60" s="304">
        <f t="shared" si="12"/>
        <v>0.000589586997418524</v>
      </c>
      <c r="P60" s="304">
        <f t="shared" si="13"/>
        <v>0.000479631651979686</v>
      </c>
      <c r="Q60" s="304">
        <v>0.000588788924995715</v>
      </c>
      <c r="R60" s="304">
        <f t="shared" si="14"/>
        <v>0.000510133277134624</v>
      </c>
      <c r="S60" s="304">
        <f t="shared" si="15"/>
        <v>0.000718945854774275</v>
      </c>
      <c r="T60" s="304">
        <v>0.000669310076706837</v>
      </c>
      <c r="U60" s="304">
        <v>0.000999854233323178</v>
      </c>
      <c r="V60" s="304">
        <v>7.35848024314594e-5</v>
      </c>
      <c r="W60" s="304">
        <v>0.000567790646273745</v>
      </c>
      <c r="X60" s="304">
        <f t="shared" si="16"/>
        <v>0.000592385061442702</v>
      </c>
      <c r="Y60" s="304">
        <f t="shared" si="45"/>
        <v>0.000162456038579971</v>
      </c>
      <c r="Z60" s="304">
        <f t="shared" si="46"/>
        <v>0.000535786298626367</v>
      </c>
      <c r="AA60" s="304">
        <f t="shared" si="47"/>
        <v>8.56108373628308e-5</v>
      </c>
      <c r="AB60" s="304">
        <f t="shared" si="48"/>
        <v>3.59706173629405e-5</v>
      </c>
      <c r="AC60" s="304">
        <f t="shared" si="17"/>
        <v>5.266015637716e-5</v>
      </c>
      <c r="AD60" s="304">
        <f t="shared" si="49"/>
        <v>0.000543150277478158</v>
      </c>
      <c r="AE60" s="304">
        <f t="shared" si="36"/>
        <v>7.8898114196999e-5</v>
      </c>
      <c r="AF60" s="303">
        <f t="shared" si="37"/>
        <v>-0.000464252163281159</v>
      </c>
      <c r="AG60" s="303">
        <f t="shared" si="38"/>
        <v>1.06838744920014e-5</v>
      </c>
      <c r="AH60" s="303">
        <f t="shared" si="39"/>
        <v>0.000311132427340234</v>
      </c>
      <c r="AI60" s="303">
        <f t="shared" si="40"/>
        <v>7.42487741462824e-5</v>
      </c>
      <c r="AJ60" s="303">
        <f t="shared" si="41"/>
        <v>0.000135814533344828</v>
      </c>
      <c r="AK60" s="303">
        <f t="shared" si="42"/>
        <v>6.15657591985454e-5</v>
      </c>
      <c r="AL60" s="304">
        <f t="shared" si="43"/>
        <v>6.15657591985454e-5</v>
      </c>
      <c r="AM60" s="304">
        <f t="shared" si="44"/>
        <v>0.479638009049774</v>
      </c>
      <c r="AN60" s="299">
        <v>43900</v>
      </c>
      <c r="AO60" s="299">
        <v>84800</v>
      </c>
      <c r="AP60" s="299">
        <v>30085.92</v>
      </c>
      <c r="AQ60" s="299">
        <v>61200</v>
      </c>
      <c r="AR60" s="300">
        <v>67324.68</v>
      </c>
      <c r="AS60" s="300">
        <v>82800</v>
      </c>
      <c r="AT60" s="300">
        <v>69740.15</v>
      </c>
      <c r="AU60" s="300">
        <v>99700</v>
      </c>
      <c r="AV60" s="300">
        <v>41131.86</v>
      </c>
      <c r="AW60" s="300">
        <v>63800</v>
      </c>
      <c r="AX60" s="300">
        <v>58386.6</v>
      </c>
      <c r="AY60" s="300">
        <v>81500</v>
      </c>
      <c r="AZ60" s="300">
        <v>48777.39</v>
      </c>
      <c r="BA60" s="300">
        <v>72900</v>
      </c>
      <c r="BB60" s="300">
        <v>62950.56</v>
      </c>
      <c r="BC60" s="300">
        <v>93900</v>
      </c>
      <c r="BD60" s="300">
        <v>111935.18</v>
      </c>
      <c r="BE60" s="300">
        <v>135400</v>
      </c>
      <c r="BF60" s="300">
        <v>51064.08</v>
      </c>
      <c r="BG60" s="300">
        <v>78900</v>
      </c>
      <c r="BH60" s="300">
        <v>68693.13</v>
      </c>
      <c r="BI60" s="300">
        <v>90900</v>
      </c>
      <c r="BJ60" s="300">
        <v>54750.08</v>
      </c>
      <c r="BK60" s="300">
        <v>84700</v>
      </c>
      <c r="BL60" s="266">
        <v>39112.08</v>
      </c>
      <c r="BM60" s="266">
        <v>75100</v>
      </c>
      <c r="BN60" s="266">
        <v>63880.9</v>
      </c>
      <c r="BO60" s="266">
        <v>90100</v>
      </c>
      <c r="BP60" s="266">
        <v>94580.6</v>
      </c>
      <c r="BQ60" s="266">
        <v>133400</v>
      </c>
      <c r="BR60" s="266">
        <v>81009.82</v>
      </c>
      <c r="BS60" s="266">
        <v>135400</v>
      </c>
      <c r="BT60" s="266">
        <v>112481.81</v>
      </c>
      <c r="BU60" s="266">
        <v>133700</v>
      </c>
      <c r="BV60" s="266">
        <v>9468</v>
      </c>
      <c r="BW60" s="266">
        <v>22500</v>
      </c>
      <c r="BX60" s="266">
        <v>77900</v>
      </c>
      <c r="BY60" s="266">
        <v>98100</v>
      </c>
      <c r="BZ60" s="266">
        <v>77900</v>
      </c>
      <c r="CA60" s="266">
        <v>98100</v>
      </c>
      <c r="CB60" s="266">
        <v>21900</v>
      </c>
      <c r="CC60" s="266">
        <v>41900</v>
      </c>
      <c r="CD60" s="311">
        <v>74800</v>
      </c>
      <c r="CE60" s="311">
        <v>95400</v>
      </c>
      <c r="CF60" s="311">
        <v>10600</v>
      </c>
      <c r="CG60" s="311">
        <v>50400</v>
      </c>
      <c r="CH60" s="311">
        <v>4700</v>
      </c>
      <c r="CI60" s="311">
        <v>18100</v>
      </c>
      <c r="CJ60" s="311">
        <v>8200</v>
      </c>
      <c r="CK60" s="311">
        <v>13500</v>
      </c>
      <c r="CL60" s="311">
        <v>94400</v>
      </c>
      <c r="CM60" s="311">
        <v>87900</v>
      </c>
      <c r="CN60" s="311">
        <v>12000</v>
      </c>
      <c r="CO60" s="311">
        <v>27800</v>
      </c>
      <c r="CP60" s="311">
        <v>1700</v>
      </c>
      <c r="CQ60" s="311">
        <v>25700</v>
      </c>
      <c r="CR60" s="311">
        <v>48200</v>
      </c>
      <c r="CS60" s="258">
        <v>55800</v>
      </c>
      <c r="CT60" s="258">
        <v>11500</v>
      </c>
      <c r="CU60" s="258">
        <v>73100</v>
      </c>
      <c r="CV60" s="258">
        <v>22100</v>
      </c>
      <c r="CW60" s="258">
        <v>54900</v>
      </c>
      <c r="CX60" s="266">
        <f t="shared" si="34"/>
        <v>10600</v>
      </c>
      <c r="CY60" s="266">
        <f t="shared" si="35"/>
        <v>-18200</v>
      </c>
      <c r="DA60" s="301" t="s">
        <v>4847</v>
      </c>
      <c r="DB60" s="258">
        <v>0</v>
      </c>
      <c r="DC60" s="258">
        <f t="shared" si="50"/>
        <v>1</v>
      </c>
    </row>
    <row r="61" spans="1:107">
      <c r="A61" s="264" t="s">
        <v>4848</v>
      </c>
      <c r="B61" s="264" t="s">
        <v>4776</v>
      </c>
      <c r="C61" s="264"/>
      <c r="D61" s="265" t="s">
        <v>4849</v>
      </c>
      <c r="E61" s="306">
        <f t="shared" si="3"/>
        <v>0.000234282853337563</v>
      </c>
      <c r="F61" s="306">
        <f t="shared" si="4"/>
        <v>3.42890316046853e-5</v>
      </c>
      <c r="G61" s="304">
        <f t="shared" si="5"/>
        <v>3.96629869140756e-5</v>
      </c>
      <c r="H61" s="304">
        <f t="shared" si="6"/>
        <v>3.29953511827629e-5</v>
      </c>
      <c r="I61" s="304">
        <f t="shared" si="18"/>
        <v>0</v>
      </c>
      <c r="J61" s="304">
        <f t="shared" si="7"/>
        <v>0</v>
      </c>
      <c r="K61" s="304">
        <f t="shared" si="8"/>
        <v>0</v>
      </c>
      <c r="L61" s="304">
        <f t="shared" si="9"/>
        <v>0</v>
      </c>
      <c r="M61" s="304">
        <f t="shared" si="10"/>
        <v>3.72837130627243e-9</v>
      </c>
      <c r="N61" s="304">
        <f t="shared" si="11"/>
        <v>0</v>
      </c>
      <c r="O61" s="304">
        <f t="shared" si="12"/>
        <v>1.69967379705642e-5</v>
      </c>
      <c r="P61" s="304">
        <f t="shared" si="13"/>
        <v>2.97505223567267e-5</v>
      </c>
      <c r="Q61" s="304">
        <v>0.00191929896329772</v>
      </c>
      <c r="R61" s="304">
        <f t="shared" si="14"/>
        <v>0</v>
      </c>
      <c r="S61" s="304">
        <f t="shared" si="15"/>
        <v>0</v>
      </c>
      <c r="T61" s="304">
        <v>0</v>
      </c>
      <c r="U61" s="304">
        <v>0</v>
      </c>
      <c r="V61" s="304">
        <v>0</v>
      </c>
      <c r="W61" s="304">
        <v>0.000718666979750851</v>
      </c>
      <c r="X61" s="304">
        <f t="shared" si="16"/>
        <v>0.0010519212813794</v>
      </c>
      <c r="Y61" s="304">
        <f t="shared" si="45"/>
        <v>0.000140201786719701</v>
      </c>
      <c r="Z61" s="304">
        <f t="shared" si="46"/>
        <v>3.72471758403357e-5</v>
      </c>
      <c r="AA61" s="304">
        <f t="shared" si="47"/>
        <v>3.06906775451658e-5</v>
      </c>
      <c r="AB61" s="304">
        <f t="shared" si="48"/>
        <v>6.35225795983842e-5</v>
      </c>
      <c r="AC61" s="304">
        <f t="shared" si="17"/>
        <v>0</v>
      </c>
      <c r="AD61" s="304">
        <f t="shared" si="49"/>
        <v>0.000252012522812959</v>
      </c>
      <c r="AE61" s="304">
        <f t="shared" si="36"/>
        <v>0.000295210443953771</v>
      </c>
      <c r="AF61" s="303">
        <f t="shared" si="37"/>
        <v>4.31979211408122e-5</v>
      </c>
      <c r="AG61" s="303">
        <f t="shared" si="38"/>
        <v>2.70239178327094e-5</v>
      </c>
      <c r="AH61" s="303">
        <f t="shared" si="39"/>
        <v>3.61481658320604e-5</v>
      </c>
      <c r="AI61" s="303">
        <f t="shared" si="40"/>
        <v>6.19815853742879e-5</v>
      </c>
      <c r="AJ61" s="303">
        <f t="shared" si="41"/>
        <v>3.68727239850211e-5</v>
      </c>
      <c r="AK61" s="303">
        <f t="shared" si="42"/>
        <v>-2.51088613892668e-5</v>
      </c>
      <c r="AL61" s="304">
        <f t="shared" si="43"/>
        <v>-2.51088613892668e-5</v>
      </c>
      <c r="AM61" s="304">
        <f t="shared" si="44"/>
        <v>-0.6</v>
      </c>
      <c r="AN61" s="299">
        <v>43900</v>
      </c>
      <c r="AO61" s="299">
        <v>43900</v>
      </c>
      <c r="AP61" s="299">
        <v>6032.88</v>
      </c>
      <c r="AQ61" s="299">
        <v>22800</v>
      </c>
      <c r="AR61" s="300">
        <v>7041.06</v>
      </c>
      <c r="AS61" s="300">
        <v>66300</v>
      </c>
      <c r="AT61" s="300">
        <v>5586.12</v>
      </c>
      <c r="AU61" s="300">
        <v>52600</v>
      </c>
      <c r="AV61" s="300">
        <v>0</v>
      </c>
      <c r="AW61" s="300">
        <v>54400</v>
      </c>
      <c r="AX61" s="300">
        <v>0</v>
      </c>
      <c r="AY61" s="300">
        <v>38000</v>
      </c>
      <c r="AZ61" s="300">
        <v>0</v>
      </c>
      <c r="BA61" s="300">
        <v>56600</v>
      </c>
      <c r="BB61" s="300">
        <v>0</v>
      </c>
      <c r="BC61" s="300">
        <v>127600</v>
      </c>
      <c r="BD61" s="300">
        <v>0.480353388</v>
      </c>
      <c r="BE61" s="300">
        <v>42800</v>
      </c>
      <c r="BF61" s="300">
        <v>0</v>
      </c>
      <c r="BG61" s="300">
        <v>109700</v>
      </c>
      <c r="BH61" s="300">
        <v>1980.3</v>
      </c>
      <c r="BI61" s="300">
        <v>161000</v>
      </c>
      <c r="BJ61" s="300">
        <v>3396.03</v>
      </c>
      <c r="BK61" s="300">
        <v>276100</v>
      </c>
      <c r="BL61" s="266">
        <v>0</v>
      </c>
      <c r="BM61" s="266">
        <v>136000</v>
      </c>
      <c r="BN61" s="266">
        <v>0</v>
      </c>
      <c r="BO61" s="266">
        <v>49900</v>
      </c>
      <c r="BP61" s="266">
        <v>0</v>
      </c>
      <c r="BQ61" s="266">
        <v>113000</v>
      </c>
      <c r="BR61" s="266">
        <v>0</v>
      </c>
      <c r="BS61" s="266">
        <v>41400</v>
      </c>
      <c r="BT61" s="266">
        <v>0</v>
      </c>
      <c r="BU61" s="266">
        <v>41900</v>
      </c>
      <c r="BV61" s="266">
        <v>0</v>
      </c>
      <c r="BW61" s="266">
        <v>47800</v>
      </c>
      <c r="BX61" s="266">
        <v>98600</v>
      </c>
      <c r="BY61" s="266">
        <v>174200</v>
      </c>
      <c r="BZ61" s="266">
        <v>54500</v>
      </c>
      <c r="CA61" s="266">
        <v>174200</v>
      </c>
      <c r="CB61" s="266">
        <v>18900</v>
      </c>
      <c r="CC61" s="266">
        <v>45300</v>
      </c>
      <c r="CD61" s="311">
        <v>5200</v>
      </c>
      <c r="CE61" s="311">
        <v>87900</v>
      </c>
      <c r="CF61" s="311">
        <v>3800</v>
      </c>
      <c r="CG61" s="311">
        <v>23800</v>
      </c>
      <c r="CH61" s="311">
        <v>8300</v>
      </c>
      <c r="CI61" s="311">
        <v>121800</v>
      </c>
      <c r="CJ61" s="311">
        <v>0</v>
      </c>
      <c r="CK61" s="311">
        <v>62800</v>
      </c>
      <c r="CL61" s="311">
        <v>43800</v>
      </c>
      <c r="CM61" s="311">
        <v>43800</v>
      </c>
      <c r="CN61" s="311">
        <v>44900</v>
      </c>
      <c r="CO61" s="311">
        <v>80100</v>
      </c>
      <c r="CP61" s="311">
        <v>4300</v>
      </c>
      <c r="CQ61" s="311">
        <v>45700</v>
      </c>
      <c r="CR61" s="311">
        <v>5600</v>
      </c>
      <c r="CS61" s="258">
        <v>30300</v>
      </c>
      <c r="CT61" s="258">
        <v>9600</v>
      </c>
      <c r="CU61" s="258">
        <v>45900</v>
      </c>
      <c r="CV61" s="258">
        <v>6000</v>
      </c>
      <c r="CW61" s="258">
        <v>30500</v>
      </c>
      <c r="CX61" s="266">
        <f t="shared" si="34"/>
        <v>-3600</v>
      </c>
      <c r="CY61" s="266">
        <f t="shared" si="35"/>
        <v>-15400</v>
      </c>
      <c r="DA61" s="301" t="s">
        <v>4849</v>
      </c>
      <c r="DB61" s="258">
        <v>0</v>
      </c>
      <c r="DC61" s="258">
        <f t="shared" si="50"/>
        <v>1</v>
      </c>
    </row>
    <row r="62" spans="1:107">
      <c r="A62" s="264" t="s">
        <v>4850</v>
      </c>
      <c r="B62" s="264" t="s">
        <v>4776</v>
      </c>
      <c r="C62" s="264"/>
      <c r="D62" s="310" t="s">
        <v>4851</v>
      </c>
      <c r="E62" s="306">
        <f t="shared" si="3"/>
        <v>0.000225210396602396</v>
      </c>
      <c r="F62" s="306">
        <f t="shared" si="4"/>
        <v>0.000202771792537058</v>
      </c>
      <c r="G62" s="304">
        <f t="shared" si="5"/>
        <v>0.000266962693576604</v>
      </c>
      <c r="H62" s="304">
        <f t="shared" si="6"/>
        <v>0</v>
      </c>
      <c r="I62" s="304">
        <f t="shared" si="18"/>
        <v>0.000228817844924106</v>
      </c>
      <c r="J62" s="304">
        <f t="shared" si="7"/>
        <v>0.000301976158940288</v>
      </c>
      <c r="K62" s="304">
        <f t="shared" si="8"/>
        <v>0.00024924015967291</v>
      </c>
      <c r="L62" s="304">
        <f t="shared" si="9"/>
        <v>0.00030843018753116</v>
      </c>
      <c r="M62" s="304">
        <f t="shared" si="10"/>
        <v>0.000354347467102887</v>
      </c>
      <c r="N62" s="304">
        <f t="shared" si="11"/>
        <v>0</v>
      </c>
      <c r="O62" s="304">
        <f t="shared" si="12"/>
        <v>8.74679275128726e-5</v>
      </c>
      <c r="P62" s="304">
        <f t="shared" si="13"/>
        <v>0.000206512267630066</v>
      </c>
      <c r="Q62" s="304">
        <v>0.000168920553452135</v>
      </c>
      <c r="R62" s="304">
        <f t="shared" si="14"/>
        <v>0.000162908143960813</v>
      </c>
      <c r="S62" s="304">
        <f t="shared" si="15"/>
        <v>0.000119875289247583</v>
      </c>
      <c r="T62" s="304">
        <v>0.00108629184197235</v>
      </c>
      <c r="U62" s="304">
        <v>7.28900496289139e-5</v>
      </c>
      <c r="V62" s="304">
        <v>6.38132878136916e-5</v>
      </c>
      <c r="W62" s="304">
        <v>0.000377555269280873</v>
      </c>
      <c r="X62" s="304">
        <f t="shared" si="16"/>
        <v>0.000352049429990923</v>
      </c>
      <c r="Y62" s="304">
        <f t="shared" si="45"/>
        <v>8.4566157069026e-5</v>
      </c>
      <c r="Z62" s="304">
        <f t="shared" si="46"/>
        <v>0.000264311690097767</v>
      </c>
      <c r="AA62" s="304">
        <f t="shared" si="47"/>
        <v>9.61102796809139e-5</v>
      </c>
      <c r="AB62" s="304">
        <f t="shared" si="48"/>
        <v>0.000200517058491285</v>
      </c>
      <c r="AC62" s="304">
        <f t="shared" si="17"/>
        <v>2.50456841306005e-5</v>
      </c>
      <c r="AD62" s="304">
        <f t="shared" si="49"/>
        <v>8.22780611010345e-5</v>
      </c>
      <c r="AE62" s="304">
        <f t="shared" si="36"/>
        <v>0.000535192207969643</v>
      </c>
      <c r="AF62" s="303">
        <f t="shared" si="37"/>
        <v>0.000452914146868609</v>
      </c>
      <c r="AG62" s="303">
        <f t="shared" si="38"/>
        <v>0.000273381494354154</v>
      </c>
      <c r="AH62" s="303">
        <f t="shared" si="39"/>
        <v>0.000372455208662479</v>
      </c>
      <c r="AI62" s="303">
        <f t="shared" si="40"/>
        <v>0.000398360814332663</v>
      </c>
      <c r="AJ62" s="303">
        <f t="shared" si="41"/>
        <v>0.000687676302320644</v>
      </c>
      <c r="AK62" s="303">
        <f t="shared" si="42"/>
        <v>0.000289315487987981</v>
      </c>
      <c r="AL62" s="304">
        <f t="shared" si="43"/>
        <v>0.000289315487987981</v>
      </c>
      <c r="AM62" s="304">
        <f t="shared" si="44"/>
        <v>0.448614834673816</v>
      </c>
      <c r="AN62" s="299">
        <v>42200</v>
      </c>
      <c r="AO62" s="299">
        <v>49500</v>
      </c>
      <c r="AP62" s="299">
        <v>35676.07</v>
      </c>
      <c r="AQ62" s="299">
        <v>36700</v>
      </c>
      <c r="AR62" s="300">
        <v>47391.8</v>
      </c>
      <c r="AS62" s="300">
        <v>58000</v>
      </c>
      <c r="AT62" s="300">
        <v>0</v>
      </c>
      <c r="AU62" s="300">
        <v>0</v>
      </c>
      <c r="AV62" s="300">
        <v>38738.91</v>
      </c>
      <c r="AW62" s="300">
        <v>39900</v>
      </c>
      <c r="AX62" s="300">
        <v>42600.8</v>
      </c>
      <c r="AY62" s="300">
        <v>44000</v>
      </c>
      <c r="AZ62" s="300">
        <v>32828.6</v>
      </c>
      <c r="BA62" s="300">
        <v>35800</v>
      </c>
      <c r="BB62" s="300">
        <v>42335.88</v>
      </c>
      <c r="BC62" s="300">
        <v>42600</v>
      </c>
      <c r="BD62" s="300">
        <v>45653.18</v>
      </c>
      <c r="BE62" s="300">
        <v>49100</v>
      </c>
      <c r="BF62" s="300">
        <v>0</v>
      </c>
      <c r="BG62" s="300">
        <v>0</v>
      </c>
      <c r="BH62" s="300">
        <v>10190.94</v>
      </c>
      <c r="BI62" s="300">
        <v>18600</v>
      </c>
      <c r="BJ62" s="300">
        <v>23573.43</v>
      </c>
      <c r="BK62" s="300">
        <v>24300</v>
      </c>
      <c r="BL62" s="266">
        <v>11434.5</v>
      </c>
      <c r="BM62" s="266">
        <v>18900</v>
      </c>
      <c r="BN62" s="266">
        <v>20400</v>
      </c>
      <c r="BO62" s="266">
        <v>0</v>
      </c>
      <c r="BP62" s="266">
        <v>15770.14</v>
      </c>
      <c r="BQ62" s="266">
        <v>20200</v>
      </c>
      <c r="BR62" s="266">
        <v>131479.13</v>
      </c>
      <c r="BS62" s="266">
        <v>132100</v>
      </c>
      <c r="BT62" s="266">
        <v>8200</v>
      </c>
      <c r="BU62" s="266">
        <v>8200</v>
      </c>
      <c r="BV62" s="266">
        <v>8210.72</v>
      </c>
      <c r="BW62" s="266">
        <v>11200</v>
      </c>
      <c r="BX62" s="266">
        <v>51800</v>
      </c>
      <c r="BY62" s="266">
        <v>58300</v>
      </c>
      <c r="BZ62" s="266">
        <v>51800</v>
      </c>
      <c r="CA62" s="266">
        <v>58300</v>
      </c>
      <c r="CB62" s="266">
        <v>11400</v>
      </c>
      <c r="CC62" s="266">
        <v>44200</v>
      </c>
      <c r="CD62" s="311">
        <v>36900</v>
      </c>
      <c r="CE62" s="311">
        <v>37600</v>
      </c>
      <c r="CF62" s="311">
        <v>11900</v>
      </c>
      <c r="CG62" s="311">
        <v>13400</v>
      </c>
      <c r="CH62" s="311">
        <v>26200</v>
      </c>
      <c r="CI62" s="311">
        <v>27600</v>
      </c>
      <c r="CJ62" s="311">
        <v>3900</v>
      </c>
      <c r="CK62" s="311">
        <v>5000</v>
      </c>
      <c r="CL62" s="311">
        <v>14300</v>
      </c>
      <c r="CM62" s="311">
        <v>14100</v>
      </c>
      <c r="CN62" s="311">
        <v>81400</v>
      </c>
      <c r="CO62" s="311">
        <v>81900</v>
      </c>
      <c r="CP62" s="311">
        <v>43500</v>
      </c>
      <c r="CQ62" s="311">
        <v>46200</v>
      </c>
      <c r="CR62" s="311">
        <v>57700</v>
      </c>
      <c r="CS62" s="258">
        <v>57900</v>
      </c>
      <c r="CT62" s="258">
        <v>61700</v>
      </c>
      <c r="CU62" s="258">
        <v>61700</v>
      </c>
      <c r="CV62" s="258">
        <v>111900</v>
      </c>
      <c r="CW62" s="258">
        <v>115800</v>
      </c>
      <c r="CX62" s="266">
        <f t="shared" si="34"/>
        <v>50200</v>
      </c>
      <c r="CY62" s="266">
        <f t="shared" si="35"/>
        <v>54100</v>
      </c>
      <c r="DA62" s="301" t="s">
        <v>4851</v>
      </c>
      <c r="DB62" s="258">
        <v>111900</v>
      </c>
      <c r="DC62" s="258">
        <f t="shared" si="50"/>
        <v>1</v>
      </c>
    </row>
    <row r="63" spans="1:107">
      <c r="A63" s="264" t="s">
        <v>4852</v>
      </c>
      <c r="B63" s="264" t="s">
        <v>4776</v>
      </c>
      <c r="C63" s="264"/>
      <c r="D63" s="265" t="s">
        <v>4853</v>
      </c>
      <c r="E63" s="306">
        <f t="shared" si="3"/>
        <v>0.000223075700900003</v>
      </c>
      <c r="F63" s="306">
        <f t="shared" si="4"/>
        <v>0.00012126429632632</v>
      </c>
      <c r="G63" s="304">
        <f t="shared" si="5"/>
        <v>0.000255959561613624</v>
      </c>
      <c r="H63" s="304">
        <f t="shared" si="6"/>
        <v>0.00023627672506275</v>
      </c>
      <c r="I63" s="304">
        <f t="shared" si="18"/>
        <v>0.000113254198578664</v>
      </c>
      <c r="J63" s="304">
        <f t="shared" si="7"/>
        <v>0.000145787949186239</v>
      </c>
      <c r="K63" s="304">
        <f t="shared" si="8"/>
        <v>0.000250726781571668</v>
      </c>
      <c r="L63" s="304">
        <f t="shared" si="9"/>
        <v>0.000254522942262476</v>
      </c>
      <c r="M63" s="304">
        <f t="shared" si="10"/>
        <v>0.000291638465954102</v>
      </c>
      <c r="N63" s="304">
        <f t="shared" si="11"/>
        <v>0.000319409855165467</v>
      </c>
      <c r="O63" s="304">
        <f t="shared" si="12"/>
        <v>0.000313845285892563</v>
      </c>
      <c r="P63" s="304">
        <f t="shared" si="13"/>
        <v>0.00038194024464199</v>
      </c>
      <c r="Q63" s="304">
        <v>0.000332975082730753</v>
      </c>
      <c r="R63" s="304">
        <f t="shared" si="14"/>
        <v>0.000199120867510769</v>
      </c>
      <c r="S63" s="304">
        <f t="shared" si="15"/>
        <v>0.000347170426465602</v>
      </c>
      <c r="T63" s="304">
        <v>0.000735848040435821</v>
      </c>
      <c r="U63" s="304">
        <v>9.0961448518619e-5</v>
      </c>
      <c r="V63" s="304">
        <v>8.409107700084e-5</v>
      </c>
      <c r="W63" s="304">
        <v>0.000726684562689248</v>
      </c>
      <c r="X63" s="304">
        <f t="shared" si="16"/>
        <v>0.000635862864117396</v>
      </c>
      <c r="Y63" s="304">
        <f t="shared" si="45"/>
        <v>0.000336781011485419</v>
      </c>
      <c r="Z63" s="304">
        <f t="shared" si="46"/>
        <v>0.000305856616996603</v>
      </c>
      <c r="AA63" s="304">
        <f t="shared" si="47"/>
        <v>0.000594429965085316</v>
      </c>
      <c r="AB63" s="304">
        <f t="shared" si="48"/>
        <v>0.000125514494628133</v>
      </c>
      <c r="AC63" s="304">
        <f t="shared" si="17"/>
        <v>0.000234401915581261</v>
      </c>
      <c r="AD63" s="304">
        <f t="shared" si="49"/>
        <v>0.000727269015606347</v>
      </c>
      <c r="AE63" s="304">
        <f t="shared" si="36"/>
        <v>1.18347171295498e-5</v>
      </c>
      <c r="AF63" s="303">
        <f t="shared" si="37"/>
        <v>-0.000715434298476797</v>
      </c>
      <c r="AG63" s="303">
        <f t="shared" si="38"/>
        <v>1.75969697515317e-5</v>
      </c>
      <c r="AH63" s="303">
        <f t="shared" si="39"/>
        <v>0.000112317515263902</v>
      </c>
      <c r="AI63" s="303">
        <f t="shared" si="40"/>
        <v>0.000388030550103615</v>
      </c>
      <c r="AJ63" s="303">
        <f t="shared" si="41"/>
        <v>3.3185451586519e-5</v>
      </c>
      <c r="AK63" s="303">
        <f t="shared" si="42"/>
        <v>-0.000354845098517096</v>
      </c>
      <c r="AL63" s="304">
        <f t="shared" si="43"/>
        <v>-0.000354845098517096</v>
      </c>
      <c r="AM63" s="304">
        <f t="shared" si="44"/>
        <v>-10.1296296296296</v>
      </c>
      <c r="AN63" s="299">
        <v>41800</v>
      </c>
      <c r="AO63" s="299">
        <v>43500</v>
      </c>
      <c r="AP63" s="299">
        <v>21335.48</v>
      </c>
      <c r="AQ63" s="299">
        <v>26800</v>
      </c>
      <c r="AR63" s="300">
        <v>45438.5</v>
      </c>
      <c r="AS63" s="300">
        <v>47500</v>
      </c>
      <c r="AT63" s="300">
        <v>40001.7</v>
      </c>
      <c r="AU63" s="300">
        <v>47000</v>
      </c>
      <c r="AV63" s="300">
        <v>19173.96</v>
      </c>
      <c r="AW63" s="300">
        <v>22100</v>
      </c>
      <c r="AX63" s="300">
        <v>20566.8</v>
      </c>
      <c r="AY63" s="300">
        <v>23200</v>
      </c>
      <c r="AZ63" s="300">
        <v>33024.41</v>
      </c>
      <c r="BA63" s="300">
        <v>35900</v>
      </c>
      <c r="BB63" s="300">
        <v>34936.44</v>
      </c>
      <c r="BC63" s="300">
        <v>39900</v>
      </c>
      <c r="BD63" s="300">
        <v>37573.92</v>
      </c>
      <c r="BE63" s="300">
        <v>53800</v>
      </c>
      <c r="BF63" s="300">
        <v>39429.9</v>
      </c>
      <c r="BG63" s="300">
        <v>45400</v>
      </c>
      <c r="BH63" s="300">
        <v>36566.3</v>
      </c>
      <c r="BI63" s="300">
        <v>42200</v>
      </c>
      <c r="BJ63" s="300">
        <v>43598.58</v>
      </c>
      <c r="BK63" s="300">
        <v>47900</v>
      </c>
      <c r="BL63" s="266">
        <v>39583.36</v>
      </c>
      <c r="BM63" s="266">
        <v>50800</v>
      </c>
      <c r="BN63" s="266">
        <v>24934.7</v>
      </c>
      <c r="BO63" s="266">
        <v>39800</v>
      </c>
      <c r="BP63" s="266">
        <v>45671.85</v>
      </c>
      <c r="BQ63" s="266">
        <v>72900</v>
      </c>
      <c r="BR63" s="266">
        <v>89063.23</v>
      </c>
      <c r="BS63" s="266">
        <v>92900</v>
      </c>
      <c r="BT63" s="266">
        <v>10233</v>
      </c>
      <c r="BU63" s="266">
        <v>18000</v>
      </c>
      <c r="BV63" s="266">
        <v>10819.82</v>
      </c>
      <c r="BW63" s="266">
        <v>24200</v>
      </c>
      <c r="BX63" s="266">
        <v>99700</v>
      </c>
      <c r="BY63" s="266">
        <v>105300</v>
      </c>
      <c r="BZ63" s="266">
        <v>99700</v>
      </c>
      <c r="CA63" s="266">
        <v>105300</v>
      </c>
      <c r="CB63" s="266">
        <v>45400</v>
      </c>
      <c r="CC63" s="266">
        <v>53400</v>
      </c>
      <c r="CD63" s="311">
        <v>42700</v>
      </c>
      <c r="CE63" s="311">
        <v>47800</v>
      </c>
      <c r="CF63" s="311">
        <v>73600</v>
      </c>
      <c r="CG63" s="311">
        <v>78000</v>
      </c>
      <c r="CH63" s="311">
        <v>16400</v>
      </c>
      <c r="CI63" s="311">
        <v>18300</v>
      </c>
      <c r="CJ63" s="311">
        <v>36500</v>
      </c>
      <c r="CK63" s="311">
        <v>40400</v>
      </c>
      <c r="CL63" s="311">
        <v>126400</v>
      </c>
      <c r="CM63" s="311">
        <v>126000</v>
      </c>
      <c r="CN63" s="311">
        <v>1800</v>
      </c>
      <c r="CO63" s="311">
        <v>5200</v>
      </c>
      <c r="CP63" s="311">
        <v>2800</v>
      </c>
      <c r="CQ63" s="311">
        <v>3700</v>
      </c>
      <c r="CR63" s="311">
        <v>17400</v>
      </c>
      <c r="CS63" s="258">
        <v>19100</v>
      </c>
      <c r="CT63" s="258">
        <v>60100</v>
      </c>
      <c r="CU63" s="258">
        <v>65900</v>
      </c>
      <c r="CV63" s="258">
        <v>5400</v>
      </c>
      <c r="CW63" s="258">
        <v>6100</v>
      </c>
      <c r="CX63" s="266">
        <f t="shared" si="34"/>
        <v>-54700</v>
      </c>
      <c r="CY63" s="266">
        <f t="shared" si="35"/>
        <v>-59800</v>
      </c>
      <c r="DA63" s="301" t="s">
        <v>4853</v>
      </c>
      <c r="DB63" s="258">
        <v>5400</v>
      </c>
      <c r="DC63" s="258">
        <f t="shared" si="50"/>
        <v>1</v>
      </c>
    </row>
    <row r="64" spans="1:107">
      <c r="A64" s="264" t="s">
        <v>4854</v>
      </c>
      <c r="B64" s="264" t="s">
        <v>4776</v>
      </c>
      <c r="C64" s="264"/>
      <c r="D64" s="310" t="s">
        <v>4855</v>
      </c>
      <c r="E64" s="306">
        <f t="shared" si="3"/>
        <v>0.000205464461355266</v>
      </c>
      <c r="F64" s="306">
        <f t="shared" si="4"/>
        <v>0.000261787271356615</v>
      </c>
      <c r="G64" s="304">
        <f t="shared" si="5"/>
        <v>0.000234858311347199</v>
      </c>
      <c r="H64" s="304">
        <f t="shared" si="6"/>
        <v>0</v>
      </c>
      <c r="I64" s="304">
        <f t="shared" si="18"/>
        <v>0.000203327977483352</v>
      </c>
      <c r="J64" s="304">
        <f t="shared" si="7"/>
        <v>0.000185991137460772</v>
      </c>
      <c r="K64" s="304">
        <f t="shared" si="8"/>
        <v>0.000216512916150627</v>
      </c>
      <c r="L64" s="304">
        <f t="shared" si="9"/>
        <v>0.000273249988107575</v>
      </c>
      <c r="M64" s="304">
        <f t="shared" si="10"/>
        <v>0.000119272112539147</v>
      </c>
      <c r="N64" s="304">
        <f t="shared" si="11"/>
        <v>0.000468860914626079</v>
      </c>
      <c r="O64" s="304">
        <f t="shared" si="12"/>
        <v>0.000315730608047092</v>
      </c>
      <c r="P64" s="304">
        <f t="shared" si="13"/>
        <v>0.000256325905980055</v>
      </c>
      <c r="Q64" s="304">
        <v>0.000320462449141706</v>
      </c>
      <c r="R64" s="304">
        <f t="shared" si="14"/>
        <v>0.000307449193259378</v>
      </c>
      <c r="S64" s="304">
        <f t="shared" si="15"/>
        <v>0.000333725053652099</v>
      </c>
      <c r="T64" s="304">
        <v>0.000292278718093354</v>
      </c>
      <c r="U64" s="304">
        <v>0.000619926672042953</v>
      </c>
      <c r="V64" s="304">
        <v>0.000185898153731978</v>
      </c>
      <c r="W64" s="304">
        <v>0.000161809401120374</v>
      </c>
      <c r="X64" s="304">
        <f t="shared" si="16"/>
        <v>0.000222219880337324</v>
      </c>
      <c r="Y64" s="304">
        <f t="shared" si="45"/>
        <v>0.000364969730508428</v>
      </c>
      <c r="Z64" s="304">
        <f t="shared" si="46"/>
        <v>0.000393960513695858</v>
      </c>
      <c r="AA64" s="304">
        <f t="shared" si="47"/>
        <v>0.000304483827224408</v>
      </c>
      <c r="AB64" s="304">
        <f t="shared" si="48"/>
        <v>0.000514303295061617</v>
      </c>
      <c r="AC64" s="304">
        <f t="shared" si="17"/>
        <v>6.93572791308937e-5</v>
      </c>
      <c r="AD64" s="304">
        <f t="shared" si="49"/>
        <v>6.84691557414204e-5</v>
      </c>
      <c r="AE64" s="304">
        <f t="shared" si="36"/>
        <v>7.16657870622741e-5</v>
      </c>
      <c r="AF64" s="303">
        <f t="shared" si="37"/>
        <v>3.19663132085368e-6</v>
      </c>
      <c r="AG64" s="303">
        <f t="shared" si="38"/>
        <v>0.000177855087131553</v>
      </c>
      <c r="AH64" s="303">
        <f t="shared" si="39"/>
        <v>8.97249116188642e-5</v>
      </c>
      <c r="AI64" s="303">
        <f t="shared" si="40"/>
        <v>0.000344126927130161</v>
      </c>
      <c r="AJ64" s="303">
        <f t="shared" si="41"/>
        <v>6.69854485727884e-5</v>
      </c>
      <c r="AK64" s="303">
        <f t="shared" si="42"/>
        <v>-0.000277141478557373</v>
      </c>
      <c r="AL64" s="304">
        <f t="shared" si="43"/>
        <v>-0.000277141478557373</v>
      </c>
      <c r="AM64" s="304">
        <f t="shared" si="44"/>
        <v>-3.88990825688073</v>
      </c>
      <c r="AN64" s="299">
        <v>38500</v>
      </c>
      <c r="AO64" s="299">
        <v>43300</v>
      </c>
      <c r="AP64" s="299">
        <v>46059.37</v>
      </c>
      <c r="AQ64" s="299">
        <v>55300</v>
      </c>
      <c r="AR64" s="300">
        <v>41692.56</v>
      </c>
      <c r="AS64" s="300">
        <v>64400</v>
      </c>
      <c r="AT64" s="300">
        <v>0</v>
      </c>
      <c r="AU64" s="300">
        <v>0</v>
      </c>
      <c r="AV64" s="300">
        <v>34423.47</v>
      </c>
      <c r="AW64" s="300">
        <v>44700</v>
      </c>
      <c r="AX64" s="300">
        <v>26238.4</v>
      </c>
      <c r="AY64" s="300">
        <v>46000</v>
      </c>
      <c r="AZ64" s="300">
        <v>28517.94</v>
      </c>
      <c r="BA64" s="300">
        <v>59400</v>
      </c>
      <c r="BB64" s="300">
        <v>37506.96</v>
      </c>
      <c r="BC64" s="300">
        <v>67800</v>
      </c>
      <c r="BD64" s="300">
        <v>15366.7</v>
      </c>
      <c r="BE64" s="300">
        <v>31000</v>
      </c>
      <c r="BF64" s="300">
        <v>57879.05</v>
      </c>
      <c r="BG64" s="300">
        <v>74500</v>
      </c>
      <c r="BH64" s="300">
        <v>36785.96</v>
      </c>
      <c r="BI64" s="300">
        <v>79900</v>
      </c>
      <c r="BJ64" s="300">
        <v>29259.67</v>
      </c>
      <c r="BK64" s="300">
        <v>46100</v>
      </c>
      <c r="BL64" s="266">
        <v>47665.44</v>
      </c>
      <c r="BM64" s="266">
        <v>94800</v>
      </c>
      <c r="BN64" s="266">
        <v>38500</v>
      </c>
      <c r="BO64" s="266">
        <v>311700</v>
      </c>
      <c r="BP64" s="266">
        <v>43903.05</v>
      </c>
      <c r="BQ64" s="266">
        <v>60100</v>
      </c>
      <c r="BR64" s="266">
        <v>35375.9</v>
      </c>
      <c r="BS64" s="266">
        <v>48500</v>
      </c>
      <c r="BT64" s="266">
        <v>69740.64</v>
      </c>
      <c r="BU64" s="266">
        <v>91200</v>
      </c>
      <c r="BV64" s="266">
        <v>23919.12</v>
      </c>
      <c r="BW64" s="266">
        <v>47800</v>
      </c>
      <c r="BX64" s="266">
        <v>22200</v>
      </c>
      <c r="BY64" s="266">
        <v>36800</v>
      </c>
      <c r="BZ64" s="266">
        <v>22200</v>
      </c>
      <c r="CA64" s="266">
        <v>36800</v>
      </c>
      <c r="CB64" s="266">
        <v>49200</v>
      </c>
      <c r="CC64" s="266">
        <v>68900</v>
      </c>
      <c r="CD64" s="311">
        <v>55000</v>
      </c>
      <c r="CE64" s="311">
        <v>67000</v>
      </c>
      <c r="CF64" s="311">
        <v>37700</v>
      </c>
      <c r="CG64" s="311">
        <v>49600</v>
      </c>
      <c r="CH64" s="311">
        <v>67200</v>
      </c>
      <c r="CI64" s="311">
        <v>79900</v>
      </c>
      <c r="CJ64" s="311">
        <v>10800</v>
      </c>
      <c r="CK64" s="311">
        <v>21300</v>
      </c>
      <c r="CL64" s="311">
        <v>11900</v>
      </c>
      <c r="CM64" s="311">
        <v>10300</v>
      </c>
      <c r="CN64" s="311">
        <v>10900</v>
      </c>
      <c r="CO64" s="311">
        <v>56100</v>
      </c>
      <c r="CP64" s="311">
        <v>28300</v>
      </c>
      <c r="CQ64" s="311">
        <v>44600</v>
      </c>
      <c r="CR64" s="311">
        <v>13900</v>
      </c>
      <c r="CS64" s="258">
        <v>24000</v>
      </c>
      <c r="CT64" s="258">
        <v>53300</v>
      </c>
      <c r="CU64" s="258">
        <v>58800</v>
      </c>
      <c r="CV64" s="258">
        <v>10900</v>
      </c>
      <c r="CW64" s="258">
        <v>12800</v>
      </c>
      <c r="CX64" s="266">
        <f t="shared" si="34"/>
        <v>-42400</v>
      </c>
      <c r="CY64" s="266">
        <f t="shared" si="35"/>
        <v>-46000</v>
      </c>
      <c r="DA64" s="301" t="s">
        <v>4855</v>
      </c>
      <c r="DB64" s="258">
        <v>10900</v>
      </c>
      <c r="DC64" s="258">
        <f t="shared" si="50"/>
        <v>1</v>
      </c>
    </row>
    <row r="65" spans="1:107">
      <c r="A65" s="264" t="s">
        <v>4856</v>
      </c>
      <c r="B65" s="264" t="s">
        <v>4776</v>
      </c>
      <c r="C65" s="264"/>
      <c r="D65" s="265" t="s">
        <v>4857</v>
      </c>
      <c r="E65" s="306">
        <f t="shared" si="3"/>
        <v>0.000196925678545697</v>
      </c>
      <c r="F65" s="306">
        <f t="shared" si="4"/>
        <v>0.000174393630069157</v>
      </c>
      <c r="G65" s="304">
        <f t="shared" si="5"/>
        <v>0.00041276616242113</v>
      </c>
      <c r="H65" s="304">
        <f t="shared" si="6"/>
        <v>0.000226791208377752</v>
      </c>
      <c r="I65" s="304">
        <f t="shared" si="18"/>
        <v>0.000337879963733372</v>
      </c>
      <c r="J65" s="304">
        <f t="shared" si="7"/>
        <v>0.000237483201805284</v>
      </c>
      <c r="K65" s="304">
        <f t="shared" si="8"/>
        <v>0.000262976968141824</v>
      </c>
      <c r="L65" s="304">
        <f t="shared" si="9"/>
        <v>0.000302830695040713</v>
      </c>
      <c r="M65" s="304">
        <f t="shared" si="10"/>
        <v>0.000460113943820323</v>
      </c>
      <c r="N65" s="304">
        <f t="shared" si="11"/>
        <v>0.000628673095498382</v>
      </c>
      <c r="O65" s="304">
        <f t="shared" si="12"/>
        <v>0.000196105775815098</v>
      </c>
      <c r="P65" s="304">
        <f t="shared" si="13"/>
        <v>0.000426112021345239</v>
      </c>
      <c r="Q65" s="304">
        <v>0.00036147608146136</v>
      </c>
      <c r="R65" s="304">
        <f t="shared" si="14"/>
        <v>0.000947734737734161</v>
      </c>
      <c r="S65" s="304">
        <f t="shared" si="15"/>
        <v>0.000703750561520137</v>
      </c>
      <c r="T65" s="304">
        <v>0.000448387192386248</v>
      </c>
      <c r="U65" s="304">
        <v>0.00110986407406744</v>
      </c>
      <c r="V65" s="304">
        <v>0.000536125362870216</v>
      </c>
      <c r="W65" s="304">
        <v>0.000564146290392656</v>
      </c>
      <c r="X65" s="304">
        <f t="shared" si="16"/>
        <v>0.00050724103120476</v>
      </c>
      <c r="Y65" s="304">
        <f t="shared" si="45"/>
        <v>0.000272243681090636</v>
      </c>
      <c r="Z65" s="304">
        <f t="shared" si="46"/>
        <v>0.000368174007344857</v>
      </c>
      <c r="AA65" s="304">
        <f t="shared" si="47"/>
        <v>0.000121147411362496</v>
      </c>
      <c r="AB65" s="304">
        <f t="shared" si="48"/>
        <v>0.000225007691589457</v>
      </c>
      <c r="AC65" s="304">
        <f t="shared" si="17"/>
        <v>3.01832603625186e-5</v>
      </c>
      <c r="AD65" s="304">
        <f t="shared" si="49"/>
        <v>9.03332558941428e-5</v>
      </c>
      <c r="AE65" s="304">
        <f t="shared" si="36"/>
        <v>0.000590420887907542</v>
      </c>
      <c r="AF65" s="303">
        <f t="shared" si="37"/>
        <v>0.0005000876320134</v>
      </c>
      <c r="AG65" s="303">
        <f t="shared" si="38"/>
        <v>5.15339828437715e-5</v>
      </c>
      <c r="AH65" s="303">
        <f t="shared" si="39"/>
        <v>0.000355672131669023</v>
      </c>
      <c r="AI65" s="303">
        <f t="shared" si="40"/>
        <v>0.000368015663159835</v>
      </c>
      <c r="AJ65" s="303">
        <f t="shared" si="41"/>
        <v>0.000373643603048214</v>
      </c>
      <c r="AK65" s="303">
        <f t="shared" si="42"/>
        <v>5.627939888379e-6</v>
      </c>
      <c r="AL65" s="304">
        <f t="shared" si="43"/>
        <v>5.627939888379e-6</v>
      </c>
      <c r="AM65" s="304">
        <f t="shared" si="44"/>
        <v>0.0625</v>
      </c>
      <c r="AN65" s="299">
        <v>36900</v>
      </c>
      <c r="AO65" s="299">
        <v>39400</v>
      </c>
      <c r="AP65" s="299">
        <v>30683.16</v>
      </c>
      <c r="AQ65" s="299">
        <v>34800</v>
      </c>
      <c r="AR65" s="300">
        <v>73275.15</v>
      </c>
      <c r="AS65" s="300">
        <v>79500</v>
      </c>
      <c r="AT65" s="300">
        <v>38395.8</v>
      </c>
      <c r="AU65" s="300">
        <v>41500</v>
      </c>
      <c r="AV65" s="300">
        <v>57203.15</v>
      </c>
      <c r="AW65" s="300">
        <v>58700</v>
      </c>
      <c r="AX65" s="300">
        <v>33502.56</v>
      </c>
      <c r="AY65" s="300">
        <v>36400</v>
      </c>
      <c r="AZ65" s="300">
        <v>34637.94</v>
      </c>
      <c r="BA65" s="300">
        <v>39800</v>
      </c>
      <c r="BB65" s="300">
        <v>41567.28</v>
      </c>
      <c r="BC65" s="300">
        <v>45300</v>
      </c>
      <c r="BD65" s="300">
        <v>59279.85</v>
      </c>
      <c r="BE65" s="300">
        <v>61500</v>
      </c>
      <c r="BF65" s="300">
        <v>77607.24</v>
      </c>
      <c r="BG65" s="300">
        <v>107400</v>
      </c>
      <c r="BH65" s="300">
        <v>22848.4</v>
      </c>
      <c r="BI65" s="300">
        <v>23900</v>
      </c>
      <c r="BJ65" s="300">
        <v>48640.8</v>
      </c>
      <c r="BK65" s="300">
        <v>52000</v>
      </c>
      <c r="BL65" s="266">
        <v>53627.04</v>
      </c>
      <c r="BM65" s="266">
        <v>66900</v>
      </c>
      <c r="BN65" s="266">
        <v>118679.08</v>
      </c>
      <c r="BO65" s="266">
        <v>119600</v>
      </c>
      <c r="BP65" s="266">
        <v>92581.59</v>
      </c>
      <c r="BQ65" s="266">
        <v>93300</v>
      </c>
      <c r="BR65" s="266">
        <v>54270.46</v>
      </c>
      <c r="BS65" s="266">
        <v>58900</v>
      </c>
      <c r="BT65" s="266">
        <v>124857.72</v>
      </c>
      <c r="BU65" s="266">
        <v>140400</v>
      </c>
      <c r="BV65" s="266">
        <v>68982.11</v>
      </c>
      <c r="BW65" s="266">
        <v>85300</v>
      </c>
      <c r="BX65" s="266">
        <v>77400</v>
      </c>
      <c r="BY65" s="266">
        <v>84000</v>
      </c>
      <c r="BZ65" s="266">
        <v>77400</v>
      </c>
      <c r="CA65" s="266">
        <v>84000</v>
      </c>
      <c r="CB65" s="266">
        <v>36700</v>
      </c>
      <c r="CC65" s="266">
        <v>38300</v>
      </c>
      <c r="CD65" s="311">
        <v>51400</v>
      </c>
      <c r="CE65" s="311">
        <v>54000</v>
      </c>
      <c r="CF65" s="311">
        <v>15000</v>
      </c>
      <c r="CG65" s="311">
        <v>15200</v>
      </c>
      <c r="CH65" s="311">
        <v>29400</v>
      </c>
      <c r="CI65" s="311">
        <v>30800</v>
      </c>
      <c r="CJ65" s="311">
        <v>4700</v>
      </c>
      <c r="CK65" s="311">
        <v>5600</v>
      </c>
      <c r="CL65" s="311">
        <v>15700</v>
      </c>
      <c r="CM65" s="311">
        <v>13200</v>
      </c>
      <c r="CN65" s="311">
        <v>89800</v>
      </c>
      <c r="CO65" s="311">
        <v>93600</v>
      </c>
      <c r="CP65" s="311">
        <v>8200</v>
      </c>
      <c r="CQ65" s="311">
        <v>10900</v>
      </c>
      <c r="CR65" s="311">
        <v>55100</v>
      </c>
      <c r="CS65" s="258">
        <v>63300</v>
      </c>
      <c r="CT65" s="258">
        <v>57000</v>
      </c>
      <c r="CU65" s="258">
        <v>65800</v>
      </c>
      <c r="CV65" s="258">
        <v>60800</v>
      </c>
      <c r="CW65" s="258">
        <v>80800</v>
      </c>
      <c r="CX65" s="266">
        <f t="shared" si="34"/>
        <v>3800</v>
      </c>
      <c r="CY65" s="266">
        <f t="shared" si="35"/>
        <v>15000</v>
      </c>
      <c r="DA65" s="301" t="s">
        <v>4857</v>
      </c>
      <c r="DB65" s="258">
        <v>60800</v>
      </c>
      <c r="DC65" s="258">
        <f t="shared" si="50"/>
        <v>1</v>
      </c>
    </row>
    <row r="66" spans="1:107">
      <c r="A66" s="264" t="s">
        <v>4858</v>
      </c>
      <c r="B66" s="264" t="s">
        <v>4776</v>
      </c>
      <c r="C66" s="264"/>
      <c r="D66" s="265" t="s">
        <v>4859</v>
      </c>
      <c r="E66" s="306">
        <f t="shared" si="3"/>
        <v>0.000192122613215314</v>
      </c>
      <c r="F66" s="306">
        <f t="shared" si="4"/>
        <v>7.0542915522982e-5</v>
      </c>
      <c r="G66" s="304">
        <f t="shared" si="5"/>
        <v>7.92948791225577e-5</v>
      </c>
      <c r="H66" s="304">
        <f t="shared" si="6"/>
        <v>6.08821441299441e-5</v>
      </c>
      <c r="I66" s="304">
        <f t="shared" si="18"/>
        <v>7.28628732618004e-5</v>
      </c>
      <c r="J66" s="304">
        <f t="shared" si="7"/>
        <v>0.000135823206618214</v>
      </c>
      <c r="K66" s="304">
        <f t="shared" si="8"/>
        <v>0.000132612959682091</v>
      </c>
      <c r="L66" s="304">
        <f t="shared" si="9"/>
        <v>0.000139973834429905</v>
      </c>
      <c r="M66" s="304">
        <f t="shared" si="10"/>
        <v>0.000276266988856562</v>
      </c>
      <c r="N66" s="304">
        <f t="shared" si="11"/>
        <v>0.000104934058692944</v>
      </c>
      <c r="O66" s="304">
        <f t="shared" si="12"/>
        <v>0.00025225775219485</v>
      </c>
      <c r="P66" s="304">
        <f t="shared" si="13"/>
        <v>0.000377996933591018</v>
      </c>
      <c r="Q66" s="304">
        <v>0.000300998352447632</v>
      </c>
      <c r="R66" s="304">
        <f t="shared" si="14"/>
        <v>0.000106124753530739</v>
      </c>
      <c r="S66" s="304">
        <f t="shared" si="15"/>
        <v>0.000212669189522299</v>
      </c>
      <c r="T66" s="304">
        <v>0.000240279959703733</v>
      </c>
      <c r="U66" s="304">
        <v>4.84662829140489e-5</v>
      </c>
      <c r="V66" s="304">
        <v>5.12948559408146e-5</v>
      </c>
      <c r="W66" s="304">
        <v>0.000647966475657714</v>
      </c>
      <c r="X66" s="304">
        <f t="shared" si="16"/>
        <v>0.000569438443364392</v>
      </c>
      <c r="Y66" s="304">
        <f t="shared" si="45"/>
        <v>0.00222690880281768</v>
      </c>
      <c r="Z66" s="304">
        <f t="shared" si="46"/>
        <v>0.000463440822474946</v>
      </c>
      <c r="AA66" s="304">
        <f t="shared" si="47"/>
        <v>0.000316598568360657</v>
      </c>
      <c r="AB66" s="304">
        <f t="shared" si="48"/>
        <v>0.000139290475745855</v>
      </c>
      <c r="AC66" s="304">
        <f t="shared" si="17"/>
        <v>0.000296695027393267</v>
      </c>
      <c r="AD66" s="304">
        <f t="shared" si="49"/>
        <v>2.18641001527225e-5</v>
      </c>
      <c r="AE66" s="304">
        <f t="shared" si="36"/>
        <v>0.000787008689115065</v>
      </c>
      <c r="AF66" s="303">
        <f t="shared" si="37"/>
        <v>0.000765144588962342</v>
      </c>
      <c r="AG66" s="303">
        <f t="shared" si="38"/>
        <v>2.19962121894147e-5</v>
      </c>
      <c r="AH66" s="303">
        <f t="shared" si="39"/>
        <v>6.45502961286793e-6</v>
      </c>
      <c r="AI66" s="303">
        <f t="shared" si="40"/>
        <v>2.1951811486727e-5</v>
      </c>
      <c r="AJ66" s="303">
        <f t="shared" si="41"/>
        <v>2.39672705902637e-5</v>
      </c>
      <c r="AK66" s="303">
        <f t="shared" si="42"/>
        <v>2.01545910353673e-6</v>
      </c>
      <c r="AL66" s="304">
        <f t="shared" si="43"/>
        <v>2.01545910353673e-6</v>
      </c>
      <c r="AM66" s="304">
        <f t="shared" si="44"/>
        <v>0.128205128205128</v>
      </c>
      <c r="AN66" s="299">
        <v>36000</v>
      </c>
      <c r="AO66" s="299">
        <v>44000</v>
      </c>
      <c r="AP66" s="299">
        <v>12411.46</v>
      </c>
      <c r="AQ66" s="299">
        <v>14600</v>
      </c>
      <c r="AR66" s="300">
        <v>14076.6</v>
      </c>
      <c r="AS66" s="300">
        <v>14500</v>
      </c>
      <c r="AT66" s="300">
        <v>10307.36</v>
      </c>
      <c r="AU66" s="300">
        <v>11200</v>
      </c>
      <c r="AV66" s="300">
        <v>12335.7</v>
      </c>
      <c r="AW66" s="300">
        <v>13000</v>
      </c>
      <c r="AX66" s="300">
        <v>19161.04</v>
      </c>
      <c r="AY66" s="300">
        <v>19300</v>
      </c>
      <c r="AZ66" s="300">
        <v>17467.08</v>
      </c>
      <c r="BA66" s="300">
        <v>18800</v>
      </c>
      <c r="BB66" s="300">
        <v>19213.15</v>
      </c>
      <c r="BC66" s="300">
        <v>19300</v>
      </c>
      <c r="BD66" s="300">
        <v>35593.5</v>
      </c>
      <c r="BE66" s="300">
        <v>36600</v>
      </c>
      <c r="BF66" s="300">
        <v>12953.7</v>
      </c>
      <c r="BG66" s="300">
        <v>18500</v>
      </c>
      <c r="BH66" s="300">
        <v>29390.7</v>
      </c>
      <c r="BI66" s="300">
        <v>31300</v>
      </c>
      <c r="BJ66" s="300">
        <v>43148.45</v>
      </c>
      <c r="BK66" s="300">
        <v>43300</v>
      </c>
      <c r="BL66" s="266">
        <v>17279.55</v>
      </c>
      <c r="BM66" s="266">
        <v>21500</v>
      </c>
      <c r="BN66" s="266">
        <v>13289.36</v>
      </c>
      <c r="BO66" s="266">
        <v>15200</v>
      </c>
      <c r="BP66" s="266">
        <v>27977.6</v>
      </c>
      <c r="BQ66" s="266">
        <v>32000</v>
      </c>
      <c r="BR66" s="266">
        <v>29082.24</v>
      </c>
      <c r="BS66" s="266">
        <v>29700</v>
      </c>
      <c r="BT66" s="266">
        <v>5452.37</v>
      </c>
      <c r="BU66" s="266">
        <v>7700</v>
      </c>
      <c r="BV66" s="266">
        <v>6600</v>
      </c>
      <c r="BW66" s="266">
        <v>6600</v>
      </c>
      <c r="BX66" s="266">
        <v>88900</v>
      </c>
      <c r="BY66" s="266">
        <v>94300</v>
      </c>
      <c r="BZ66" s="266">
        <v>88900</v>
      </c>
      <c r="CA66" s="266">
        <v>94300</v>
      </c>
      <c r="CB66" s="266">
        <v>300200</v>
      </c>
      <c r="CC66" s="266">
        <v>301200</v>
      </c>
      <c r="CD66" s="311">
        <v>64700</v>
      </c>
      <c r="CE66" s="311">
        <v>66300</v>
      </c>
      <c r="CF66" s="311">
        <v>39200</v>
      </c>
      <c r="CG66" s="311">
        <v>45200</v>
      </c>
      <c r="CH66" s="311">
        <v>18200</v>
      </c>
      <c r="CI66" s="311">
        <v>25200</v>
      </c>
      <c r="CJ66" s="311">
        <v>46200</v>
      </c>
      <c r="CK66" s="311">
        <v>50500</v>
      </c>
      <c r="CL66" s="311">
        <v>3800</v>
      </c>
      <c r="CM66" s="311">
        <v>3400</v>
      </c>
      <c r="CN66" s="311">
        <v>119700</v>
      </c>
      <c r="CO66" s="311">
        <v>124300</v>
      </c>
      <c r="CP66" s="311">
        <v>3500</v>
      </c>
      <c r="CQ66" s="311">
        <v>3500</v>
      </c>
      <c r="CR66" s="311">
        <v>1000</v>
      </c>
      <c r="CS66" s="258">
        <v>1900</v>
      </c>
      <c r="CT66" s="258">
        <v>3400</v>
      </c>
      <c r="CU66" s="258">
        <v>6500</v>
      </c>
      <c r="CV66" s="258">
        <v>3900</v>
      </c>
      <c r="CW66" s="258">
        <v>5500</v>
      </c>
      <c r="CX66" s="266">
        <f t="shared" si="34"/>
        <v>500</v>
      </c>
      <c r="CY66" s="266">
        <f t="shared" si="35"/>
        <v>-1000</v>
      </c>
      <c r="DA66" s="301" t="s">
        <v>4859</v>
      </c>
      <c r="DB66" s="258">
        <v>3900</v>
      </c>
      <c r="DC66" s="258">
        <f t="shared" si="50"/>
        <v>1</v>
      </c>
    </row>
    <row r="67" spans="1:107">
      <c r="A67" s="264" t="s">
        <v>4860</v>
      </c>
      <c r="B67" s="264" t="s">
        <v>4776</v>
      </c>
      <c r="C67" s="264"/>
      <c r="D67" s="265" t="s">
        <v>4861</v>
      </c>
      <c r="E67" s="306">
        <f t="shared" ref="E67:E128" si="51">AN67/$AN$182</f>
        <v>0.000175578721521773</v>
      </c>
      <c r="F67" s="306">
        <f t="shared" ref="F67:F128" si="52">AP67/$AP$182</f>
        <v>0.000170653533406013</v>
      </c>
      <c r="G67" s="304">
        <f t="shared" ref="G67:G128" si="53">AR67/$AR$182</f>
        <v>0.000177378396114017</v>
      </c>
      <c r="H67" s="304">
        <f t="shared" ref="H67:H128" si="54">AT67/$AT$182</f>
        <v>0.00015231368859935</v>
      </c>
      <c r="I67" s="304">
        <f t="shared" si="18"/>
        <v>0.000191343586217898</v>
      </c>
      <c r="J67" s="304">
        <f t="shared" ref="J67:J128" si="55">AX67/$AX$182</f>
        <v>0.000228562100433687</v>
      </c>
      <c r="K67" s="304">
        <f t="shared" ref="K67:K128" si="56">AZ67/$AZ$182</f>
        <v>0.000232594033438796</v>
      </c>
      <c r="L67" s="304">
        <f t="shared" ref="L67:L128" si="57">BB67/$BB$182</f>
        <v>8.35776344195655e-5</v>
      </c>
      <c r="M67" s="304">
        <f t="shared" ref="M67:M128" si="58">BD67/$BD$182</f>
        <v>0.000176861324086191</v>
      </c>
      <c r="N67" s="304">
        <f t="shared" ref="N67:N128" si="59">BF67/$BF$182</f>
        <v>0.00992076727113293</v>
      </c>
      <c r="O67" s="304">
        <f t="shared" ref="O67:O128" si="60">BH67/$BH$182</f>
        <v>0.00010938061339033</v>
      </c>
      <c r="P67" s="304">
        <f t="shared" ref="P67:P128" si="61">BJ67/$BJ$182</f>
        <v>0.000208593997363793</v>
      </c>
      <c r="Q67" s="304">
        <v>0.000189774942767214</v>
      </c>
      <c r="R67" s="304">
        <f t="shared" ref="R67:R128" si="62">BN67/$BN$182</f>
        <v>0.000141830704981883</v>
      </c>
      <c r="S67" s="304">
        <f t="shared" ref="S67:S128" si="63">BP67/$BP$182</f>
        <v>7.57738887121871e-5</v>
      </c>
      <c r="T67" s="304">
        <v>0.000732509331597841</v>
      </c>
      <c r="U67" s="304">
        <v>0.000381102779995035</v>
      </c>
      <c r="V67" s="304">
        <v>0.000175205274694243</v>
      </c>
      <c r="W67" s="304">
        <v>6.48695346833932e-5</v>
      </c>
      <c r="X67" s="304">
        <f t="shared" ref="X67:X128" si="64">BY67/BY$182</f>
        <v>9.11826139427605e-5</v>
      </c>
      <c r="Y67" s="304">
        <f t="shared" si="45"/>
        <v>0.000123140193626827</v>
      </c>
      <c r="Z67" s="304">
        <f t="shared" si="46"/>
        <v>8.81038966992556e-5</v>
      </c>
      <c r="AA67" s="304">
        <f t="shared" si="47"/>
        <v>6.86501997720813e-5</v>
      </c>
      <c r="AB67" s="304">
        <f t="shared" si="48"/>
        <v>0.00010102386152996</v>
      </c>
      <c r="AC67" s="304">
        <f t="shared" ref="AC67:AC128" si="65">CJ67/$CJ$182</f>
        <v>2.24768960146415e-5</v>
      </c>
      <c r="AD67" s="304">
        <f t="shared" si="49"/>
        <v>5.0632652985252e-5</v>
      </c>
      <c r="AE67" s="304">
        <f t="shared" si="36"/>
        <v>1.97245285492497e-5</v>
      </c>
      <c r="AF67" s="303">
        <f t="shared" si="37"/>
        <v>-3.09081244360023e-5</v>
      </c>
      <c r="AG67" s="303">
        <f t="shared" si="38"/>
        <v>8.17002167035402e-6</v>
      </c>
      <c r="AH67" s="303">
        <f t="shared" si="39"/>
        <v>3.31143019140125e-6</v>
      </c>
      <c r="AI67" s="303">
        <f t="shared" si="40"/>
        <v>4.7777472059347e-5</v>
      </c>
      <c r="AJ67" s="303">
        <f t="shared" si="41"/>
        <v>0.000595494492358091</v>
      </c>
      <c r="AK67" s="303">
        <f t="shared" si="42"/>
        <v>0.000547717020298744</v>
      </c>
      <c r="AL67" s="304">
        <f t="shared" si="43"/>
        <v>0.000547717020298744</v>
      </c>
      <c r="AM67" s="304">
        <f t="shared" si="44"/>
        <v>0.923632610939113</v>
      </c>
      <c r="AN67" s="299">
        <v>32900</v>
      </c>
      <c r="AO67" s="299">
        <v>32900</v>
      </c>
      <c r="AP67" s="299">
        <v>30025.12</v>
      </c>
      <c r="AQ67" s="299">
        <v>36800</v>
      </c>
      <c r="AR67" s="300">
        <v>31488.6</v>
      </c>
      <c r="AS67" s="300">
        <v>39000</v>
      </c>
      <c r="AT67" s="300">
        <v>25786.74</v>
      </c>
      <c r="AU67" s="300">
        <v>29400</v>
      </c>
      <c r="AV67" s="300">
        <v>32394.51</v>
      </c>
      <c r="AW67" s="300">
        <v>36900</v>
      </c>
      <c r="AX67" s="300">
        <v>32244.03</v>
      </c>
      <c r="AY67" s="300">
        <v>38100</v>
      </c>
      <c r="AZ67" s="300">
        <v>30636.06</v>
      </c>
      <c r="BA67" s="300">
        <v>36200</v>
      </c>
      <c r="BB67" s="300">
        <v>11472.07</v>
      </c>
      <c r="BC67" s="300">
        <v>21100</v>
      </c>
      <c r="BD67" s="300">
        <v>22786.34</v>
      </c>
      <c r="BE67" s="300">
        <v>25400</v>
      </c>
      <c r="BF67" s="300">
        <v>1224680</v>
      </c>
      <c r="BG67" s="300">
        <v>1700000</v>
      </c>
      <c r="BH67" s="300">
        <v>12744</v>
      </c>
      <c r="BI67" s="300">
        <v>18000</v>
      </c>
      <c r="BJ67" s="300">
        <v>23811.06</v>
      </c>
      <c r="BK67" s="300">
        <v>27300</v>
      </c>
      <c r="BL67" s="266">
        <v>12952.16</v>
      </c>
      <c r="BM67" s="266">
        <v>16900</v>
      </c>
      <c r="BN67" s="266">
        <v>17760.6</v>
      </c>
      <c r="BO67" s="266">
        <v>25300</v>
      </c>
      <c r="BP67" s="266">
        <v>9968.4</v>
      </c>
      <c r="BQ67" s="266">
        <v>14200</v>
      </c>
      <c r="BR67" s="266">
        <v>88659.13</v>
      </c>
      <c r="BS67" s="266">
        <v>93100</v>
      </c>
      <c r="BT67" s="266">
        <v>42873.38</v>
      </c>
      <c r="BU67" s="266">
        <v>50600</v>
      </c>
      <c r="BV67" s="266">
        <v>22543.29</v>
      </c>
      <c r="BW67" s="266">
        <v>23100</v>
      </c>
      <c r="BX67" s="266">
        <v>8900</v>
      </c>
      <c r="BY67" s="266">
        <v>15100</v>
      </c>
      <c r="BZ67" s="266">
        <v>8900</v>
      </c>
      <c r="CA67" s="266">
        <v>15100</v>
      </c>
      <c r="CB67" s="266">
        <v>16600</v>
      </c>
      <c r="CC67" s="266">
        <v>20600</v>
      </c>
      <c r="CD67" s="311">
        <v>12300</v>
      </c>
      <c r="CE67" s="311">
        <v>15400</v>
      </c>
      <c r="CF67" s="311">
        <v>8500</v>
      </c>
      <c r="CG67" s="311">
        <v>10800</v>
      </c>
      <c r="CH67" s="311">
        <v>13200</v>
      </c>
      <c r="CI67" s="311">
        <v>13900</v>
      </c>
      <c r="CJ67" s="311">
        <v>3500</v>
      </c>
      <c r="CK67" s="311">
        <v>4900</v>
      </c>
      <c r="CL67" s="311">
        <v>8800</v>
      </c>
      <c r="CM67" s="311">
        <v>6400</v>
      </c>
      <c r="CN67" s="311">
        <v>3000</v>
      </c>
      <c r="CO67" s="311">
        <v>4600</v>
      </c>
      <c r="CP67" s="311">
        <v>1300</v>
      </c>
      <c r="CQ67" s="311">
        <v>5800</v>
      </c>
      <c r="CR67" s="311">
        <v>513</v>
      </c>
      <c r="CS67" s="258">
        <v>1600</v>
      </c>
      <c r="CT67" s="258">
        <v>7400</v>
      </c>
      <c r="CU67" s="258">
        <v>8600</v>
      </c>
      <c r="CV67" s="258">
        <v>96900</v>
      </c>
      <c r="CW67" s="258">
        <v>117700</v>
      </c>
      <c r="CX67" s="266">
        <f t="shared" ref="CX67:CX98" si="66">CV67-CT67</f>
        <v>89500</v>
      </c>
      <c r="CY67" s="266">
        <f t="shared" ref="CY67:CY98" si="67">CW67-CU67</f>
        <v>109100</v>
      </c>
      <c r="DA67" s="301" t="s">
        <v>4861</v>
      </c>
      <c r="DB67" s="258">
        <v>96900</v>
      </c>
      <c r="DC67" s="258">
        <f t="shared" si="50"/>
        <v>1</v>
      </c>
    </row>
    <row r="68" spans="1:107">
      <c r="A68" s="264" t="s">
        <v>4862</v>
      </c>
      <c r="B68" s="264" t="s">
        <v>4776</v>
      </c>
      <c r="C68" s="264"/>
      <c r="D68" s="265" t="s">
        <v>4863</v>
      </c>
      <c r="E68" s="306">
        <f t="shared" si="51"/>
        <v>0.000154231764497849</v>
      </c>
      <c r="F68" s="306">
        <f t="shared" si="52"/>
        <v>0.000115224577892603</v>
      </c>
      <c r="G68" s="304">
        <f t="shared" si="53"/>
        <v>0.00013742012215878</v>
      </c>
      <c r="H68" s="304">
        <f t="shared" si="54"/>
        <v>0.000197843105487262</v>
      </c>
      <c r="I68" s="304">
        <f t="shared" ref="I68:I128" si="68">AV68/$AT$182</f>
        <v>8.59597262075911e-5</v>
      </c>
      <c r="J68" s="304">
        <f t="shared" si="55"/>
        <v>0.000163848761550419</v>
      </c>
      <c r="K68" s="304">
        <f t="shared" si="56"/>
        <v>0.000155823423928073</v>
      </c>
      <c r="L68" s="304">
        <f t="shared" si="57"/>
        <v>0.000244090663747488</v>
      </c>
      <c r="M68" s="304">
        <f t="shared" si="58"/>
        <v>0.000280560154655832</v>
      </c>
      <c r="N68" s="304">
        <f t="shared" si="59"/>
        <v>0.000251679726830484</v>
      </c>
      <c r="O68" s="304">
        <f t="shared" si="60"/>
        <v>0.000347195386850975</v>
      </c>
      <c r="P68" s="304">
        <f t="shared" si="61"/>
        <v>0.000346129026743099</v>
      </c>
      <c r="Q68" s="304">
        <v>0.00030030320613713</v>
      </c>
      <c r="R68" s="304">
        <f t="shared" si="62"/>
        <v>0.000168498129292802</v>
      </c>
      <c r="S68" s="304">
        <f t="shared" si="63"/>
        <v>0.000760831596519713</v>
      </c>
      <c r="T68" s="304">
        <v>0.000245496310141613</v>
      </c>
      <c r="U68" s="304">
        <v>0.000366226809768818</v>
      </c>
      <c r="V68" s="304">
        <v>0.000286029132185511</v>
      </c>
      <c r="W68" s="304">
        <v>0.000409625601034461</v>
      </c>
      <c r="X68" s="304">
        <f t="shared" si="64"/>
        <v>0.000397942666147544</v>
      </c>
      <c r="Y68" s="304">
        <f t="shared" si="45"/>
        <v>0.000283370807020771</v>
      </c>
      <c r="Z68" s="304">
        <f t="shared" si="46"/>
        <v>0.000464157114318029</v>
      </c>
      <c r="AA68" s="304">
        <f t="shared" ref="AA68:AA128" si="69">CF68/$CF$182</f>
        <v>0.000281869643770075</v>
      </c>
      <c r="AB68" s="304">
        <f t="shared" ref="AB68:AB128" si="70">CH68/$CH$182</f>
        <v>0.000276284954638755</v>
      </c>
      <c r="AC68" s="304">
        <f t="shared" si="65"/>
        <v>5.65133385510986e-5</v>
      </c>
      <c r="AD68" s="304">
        <f t="shared" ref="AD68:AD99" si="71">CL68/$CL$182</f>
        <v>0.000336592068140596</v>
      </c>
      <c r="AE68" s="304">
        <f t="shared" si="36"/>
        <v>0.000151221385544248</v>
      </c>
      <c r="AF68" s="303">
        <f t="shared" si="37"/>
        <v>-0.000185370682596348</v>
      </c>
      <c r="AG68" s="303">
        <f t="shared" si="38"/>
        <v>0.000565616884870663</v>
      </c>
      <c r="AH68" s="303">
        <f t="shared" si="39"/>
        <v>0.00032210597768211</v>
      </c>
      <c r="AI68" s="303">
        <f t="shared" si="40"/>
        <v>0.00149336882261175</v>
      </c>
      <c r="AJ68" s="303">
        <f t="shared" si="41"/>
        <v>0.000172072711930099</v>
      </c>
      <c r="AK68" s="303">
        <f t="shared" si="42"/>
        <v>-0.00132129611068165</v>
      </c>
      <c r="AL68" s="304">
        <f t="shared" si="43"/>
        <v>-0.00132129611068165</v>
      </c>
      <c r="AM68" s="304">
        <f t="shared" si="44"/>
        <v>-7.26071428571429</v>
      </c>
      <c r="AN68" s="299">
        <v>28900</v>
      </c>
      <c r="AO68" s="299">
        <v>32600</v>
      </c>
      <c r="AP68" s="299">
        <v>20272.84</v>
      </c>
      <c r="AQ68" s="299">
        <v>23800</v>
      </c>
      <c r="AR68" s="300">
        <v>24395.12</v>
      </c>
      <c r="AS68" s="300">
        <v>24400</v>
      </c>
      <c r="AT68" s="300">
        <v>33494.88</v>
      </c>
      <c r="AU68" s="300">
        <v>37200</v>
      </c>
      <c r="AV68" s="300">
        <v>14553</v>
      </c>
      <c r="AW68" s="300">
        <v>15400</v>
      </c>
      <c r="AX68" s="300">
        <v>23114.7</v>
      </c>
      <c r="AY68" s="300">
        <v>27000</v>
      </c>
      <c r="AZ68" s="300">
        <v>20524.24</v>
      </c>
      <c r="BA68" s="300">
        <v>33200</v>
      </c>
      <c r="BB68" s="300">
        <v>33504.48</v>
      </c>
      <c r="BC68" s="300">
        <v>42400</v>
      </c>
      <c r="BD68" s="300">
        <v>36146.62</v>
      </c>
      <c r="BE68" s="300">
        <v>67400</v>
      </c>
      <c r="BF68" s="300">
        <v>31068.88</v>
      </c>
      <c r="BG68" s="300">
        <v>37600</v>
      </c>
      <c r="BH68" s="300">
        <v>40451.94</v>
      </c>
      <c r="BI68" s="300">
        <v>41400</v>
      </c>
      <c r="BJ68" s="300">
        <v>39510.72</v>
      </c>
      <c r="BK68" s="300">
        <v>43200</v>
      </c>
      <c r="BL68" s="266">
        <v>45170.65</v>
      </c>
      <c r="BM68" s="266">
        <v>51500</v>
      </c>
      <c r="BN68" s="266">
        <v>21100</v>
      </c>
      <c r="BO68" s="266">
        <v>133500</v>
      </c>
      <c r="BP68" s="266">
        <v>100090.86</v>
      </c>
      <c r="BQ68" s="266">
        <v>108300</v>
      </c>
      <c r="BR68" s="266">
        <v>29713.6</v>
      </c>
      <c r="BS68" s="266">
        <v>37900</v>
      </c>
      <c r="BT68" s="266">
        <v>41199.86</v>
      </c>
      <c r="BU68" s="266">
        <v>42200</v>
      </c>
      <c r="BV68" s="266">
        <v>36802.76</v>
      </c>
      <c r="BW68" s="266">
        <v>43600</v>
      </c>
      <c r="BX68" s="266">
        <v>56200</v>
      </c>
      <c r="BY68" s="266">
        <v>65900</v>
      </c>
      <c r="BZ68" s="266">
        <v>56200</v>
      </c>
      <c r="CA68" s="266">
        <v>65900</v>
      </c>
      <c r="CB68" s="266">
        <v>38200</v>
      </c>
      <c r="CC68" s="266">
        <v>47800</v>
      </c>
      <c r="CD68" s="311">
        <v>64800</v>
      </c>
      <c r="CE68" s="311">
        <v>74700</v>
      </c>
      <c r="CF68" s="311">
        <v>34900</v>
      </c>
      <c r="CG68" s="311">
        <v>64500</v>
      </c>
      <c r="CH68" s="311">
        <v>36100</v>
      </c>
      <c r="CI68" s="311">
        <v>53500</v>
      </c>
      <c r="CJ68" s="311">
        <v>8800</v>
      </c>
      <c r="CK68" s="311">
        <v>48800</v>
      </c>
      <c r="CL68" s="311">
        <v>58500</v>
      </c>
      <c r="CM68" s="311">
        <v>57300</v>
      </c>
      <c r="CN68" s="311">
        <v>23000</v>
      </c>
      <c r="CO68" s="311">
        <v>29500</v>
      </c>
      <c r="CP68" s="311">
        <v>90000</v>
      </c>
      <c r="CQ68" s="311">
        <v>97800</v>
      </c>
      <c r="CR68" s="311">
        <v>49900</v>
      </c>
      <c r="CS68" s="258">
        <v>57400</v>
      </c>
      <c r="CT68" s="258">
        <v>231300</v>
      </c>
      <c r="CU68" s="258">
        <v>232600</v>
      </c>
      <c r="CV68" s="258">
        <v>28000</v>
      </c>
      <c r="CW68" s="258">
        <v>28300</v>
      </c>
      <c r="CX68" s="266">
        <f t="shared" si="66"/>
        <v>-203300</v>
      </c>
      <c r="CY68" s="266">
        <f t="shared" si="67"/>
        <v>-204300</v>
      </c>
      <c r="DA68" s="301" t="s">
        <v>4863</v>
      </c>
      <c r="DB68" s="258">
        <v>28000</v>
      </c>
      <c r="DC68" s="258">
        <f t="shared" si="50"/>
        <v>1</v>
      </c>
    </row>
    <row r="69" spans="1:107">
      <c r="A69" s="264" t="s">
        <v>4864</v>
      </c>
      <c r="B69" s="264" t="s">
        <v>4776</v>
      </c>
      <c r="C69" s="264"/>
      <c r="D69" s="265" t="s">
        <v>4865</v>
      </c>
      <c r="E69" s="306">
        <f t="shared" si="51"/>
        <v>0.00014836135131627</v>
      </c>
      <c r="F69" s="306">
        <f t="shared" si="52"/>
        <v>0.000140767032763435</v>
      </c>
      <c r="G69" s="304">
        <f t="shared" si="53"/>
        <v>0.000159569354133285</v>
      </c>
      <c r="H69" s="304">
        <f t="shared" si="54"/>
        <v>0.000137053459763997</v>
      </c>
      <c r="I69" s="304">
        <f t="shared" si="68"/>
        <v>0.000110061054348071</v>
      </c>
      <c r="J69" s="304">
        <f t="shared" si="55"/>
        <v>6.59368864409359e-5</v>
      </c>
      <c r="K69" s="304">
        <f t="shared" si="56"/>
        <v>0.000191169508968958</v>
      </c>
      <c r="L69" s="304">
        <f t="shared" si="57"/>
        <v>0.00052590249880357</v>
      </c>
      <c r="M69" s="304">
        <f t="shared" si="58"/>
        <v>0.000472676064248341</v>
      </c>
      <c r="N69" s="304">
        <f t="shared" si="59"/>
        <v>0.000188448242138207</v>
      </c>
      <c r="O69" s="304">
        <f t="shared" si="60"/>
        <v>0.00011496208018943</v>
      </c>
      <c r="P69" s="304">
        <f t="shared" si="61"/>
        <v>0.000577183418817633</v>
      </c>
      <c r="Q69" s="304">
        <v>0.000470614052210271</v>
      </c>
      <c r="R69" s="304">
        <f t="shared" si="62"/>
        <v>0.00052535121363163</v>
      </c>
      <c r="S69" s="304">
        <f t="shared" si="63"/>
        <v>0.000371682691114913</v>
      </c>
      <c r="T69" s="304">
        <v>0.000128137678825302</v>
      </c>
      <c r="U69" s="304">
        <v>0.000312860182152399</v>
      </c>
      <c r="V69" s="304">
        <v>0.000168375830942596</v>
      </c>
      <c r="W69" s="304">
        <v>0.00274784433434149</v>
      </c>
      <c r="X69" s="304">
        <f t="shared" si="64"/>
        <v>0.00233149716843045</v>
      </c>
      <c r="Y69" s="304">
        <f t="shared" si="45"/>
        <v>0.000625344477273587</v>
      </c>
      <c r="Z69" s="304">
        <f t="shared" si="46"/>
        <v>0.000458426779573362</v>
      </c>
      <c r="AA69" s="304">
        <f t="shared" si="69"/>
        <v>0.000135685100725996</v>
      </c>
      <c r="AB69" s="304">
        <f t="shared" si="70"/>
        <v>0.000148474463157669</v>
      </c>
      <c r="AC69" s="304">
        <f t="shared" si="65"/>
        <v>0.000181099562175111</v>
      </c>
      <c r="AD69" s="304">
        <f t="shared" si="71"/>
        <v>0.000179515769674984</v>
      </c>
      <c r="AE69" s="304">
        <f t="shared" ref="AE69:AE100" si="72">CN69/$CN$182</f>
        <v>0.000138071699844748</v>
      </c>
      <c r="AF69" s="303">
        <f t="shared" ref="AF69:AF100" si="73">AE69-AD69</f>
        <v>-4.14440698302358e-5</v>
      </c>
      <c r="AG69" s="303">
        <f t="shared" ref="AG69:AG100" si="74">CP69/$CP$182</f>
        <v>0.000375192533630873</v>
      </c>
      <c r="AH69" s="303">
        <f t="shared" ref="AH69:AH100" si="75">CR69/$CR$182</f>
        <v>0.000106507988612321</v>
      </c>
      <c r="AI69" s="303">
        <f t="shared" ref="AI69:AI100" si="76">CT69/$CT$182</f>
        <v>0.000888402723698127</v>
      </c>
      <c r="AJ69" s="303">
        <f t="shared" ref="AJ69:AJ100" si="77">CV69/$CV$182</f>
        <v>5.34654497782806e-5</v>
      </c>
      <c r="AK69" s="303">
        <f t="shared" ref="AK69:AK100" si="78">AJ69-AI69</f>
        <v>-0.000834937273919846</v>
      </c>
      <c r="AL69" s="304">
        <f t="shared" ref="AL69:AL100" si="79">AK69</f>
        <v>-0.000834937273919846</v>
      </c>
      <c r="AM69" s="304">
        <f t="shared" ref="AM69:AM100" si="80">IF(CV69=0,0,CX69/CV69)</f>
        <v>-14.816091954023</v>
      </c>
      <c r="AN69" s="299">
        <v>27800</v>
      </c>
      <c r="AO69" s="299">
        <v>36400</v>
      </c>
      <c r="AP69" s="299">
        <v>24766.83</v>
      </c>
      <c r="AQ69" s="299">
        <v>27900</v>
      </c>
      <c r="AR69" s="300">
        <v>28327.1</v>
      </c>
      <c r="AS69" s="300">
        <v>32300</v>
      </c>
      <c r="AT69" s="300">
        <v>23203.18</v>
      </c>
      <c r="AU69" s="300">
        <v>26600</v>
      </c>
      <c r="AV69" s="300">
        <v>18633.36</v>
      </c>
      <c r="AW69" s="300">
        <v>20400</v>
      </c>
      <c r="AX69" s="300">
        <v>9301.94</v>
      </c>
      <c r="AY69" s="300">
        <v>11800</v>
      </c>
      <c r="AZ69" s="300">
        <v>25179.84</v>
      </c>
      <c r="BA69" s="300">
        <v>33600</v>
      </c>
      <c r="BB69" s="300">
        <v>72186.66</v>
      </c>
      <c r="BC69" s="300">
        <v>79100</v>
      </c>
      <c r="BD69" s="300">
        <v>60898.32</v>
      </c>
      <c r="BE69" s="300">
        <v>77400</v>
      </c>
      <c r="BF69" s="300">
        <v>23263.2</v>
      </c>
      <c r="BG69" s="300">
        <v>27000</v>
      </c>
      <c r="BH69" s="300">
        <v>13394.3</v>
      </c>
      <c r="BI69" s="300">
        <v>17000</v>
      </c>
      <c r="BJ69" s="300">
        <v>65885.64</v>
      </c>
      <c r="BK69" s="300">
        <v>67700</v>
      </c>
      <c r="BL69" s="266">
        <v>27458.42</v>
      </c>
      <c r="BM69" s="266">
        <v>41800</v>
      </c>
      <c r="BN69" s="266">
        <v>65786.55</v>
      </c>
      <c r="BO69" s="266">
        <v>77900</v>
      </c>
      <c r="BP69" s="266">
        <v>48896.55</v>
      </c>
      <c r="BQ69" s="266">
        <v>57900</v>
      </c>
      <c r="BR69" s="266">
        <v>15509.12</v>
      </c>
      <c r="BS69" s="266">
        <v>17600</v>
      </c>
      <c r="BT69" s="266">
        <v>35196.21</v>
      </c>
      <c r="BU69" s="266">
        <v>44100</v>
      </c>
      <c r="BV69" s="266">
        <v>21664.56</v>
      </c>
      <c r="BW69" s="266">
        <v>45600</v>
      </c>
      <c r="BX69" s="266">
        <v>377000</v>
      </c>
      <c r="BY69" s="266">
        <v>386100</v>
      </c>
      <c r="BZ69" s="266">
        <v>377000</v>
      </c>
      <c r="CA69" s="266">
        <v>386100</v>
      </c>
      <c r="CB69" s="266">
        <v>84300</v>
      </c>
      <c r="CC69" s="266">
        <v>85400</v>
      </c>
      <c r="CD69" s="311">
        <v>64000</v>
      </c>
      <c r="CE69" s="311">
        <v>70500</v>
      </c>
      <c r="CF69" s="311">
        <v>16800</v>
      </c>
      <c r="CG69" s="311">
        <v>21100</v>
      </c>
      <c r="CH69" s="311">
        <v>19400</v>
      </c>
      <c r="CI69" s="311">
        <v>27100</v>
      </c>
      <c r="CJ69" s="311">
        <v>28200</v>
      </c>
      <c r="CK69" s="311">
        <v>43600</v>
      </c>
      <c r="CL69" s="311">
        <v>31200</v>
      </c>
      <c r="CM69" s="311">
        <v>15300</v>
      </c>
      <c r="CN69" s="311">
        <v>21000</v>
      </c>
      <c r="CO69" s="311">
        <v>25500</v>
      </c>
      <c r="CP69" s="311">
        <v>59700</v>
      </c>
      <c r="CQ69" s="311">
        <v>63900</v>
      </c>
      <c r="CR69" s="311">
        <v>16500</v>
      </c>
      <c r="CS69" s="258">
        <v>19200</v>
      </c>
      <c r="CT69" s="258">
        <v>137600</v>
      </c>
      <c r="CU69" s="258">
        <v>158500</v>
      </c>
      <c r="CV69" s="258">
        <v>8700</v>
      </c>
      <c r="CW69" s="258">
        <v>11400</v>
      </c>
      <c r="CX69" s="266">
        <f t="shared" si="66"/>
        <v>-128900</v>
      </c>
      <c r="CY69" s="266">
        <f t="shared" si="67"/>
        <v>-147100</v>
      </c>
      <c r="DA69" s="301" t="s">
        <v>4865</v>
      </c>
      <c r="DB69" s="258">
        <v>8700</v>
      </c>
      <c r="DC69" s="258">
        <f t="shared" si="50"/>
        <v>1</v>
      </c>
    </row>
    <row r="70" spans="1:107">
      <c r="A70" s="264" t="s">
        <v>4866</v>
      </c>
      <c r="B70" s="264" t="s">
        <v>4776</v>
      </c>
      <c r="C70" s="264"/>
      <c r="D70" s="265" t="s">
        <v>4867</v>
      </c>
      <c r="E70" s="306">
        <f t="shared" si="51"/>
        <v>0.000147294003465074</v>
      </c>
      <c r="F70" s="306">
        <f t="shared" si="52"/>
        <v>0.00015165329217586</v>
      </c>
      <c r="G70" s="304">
        <f t="shared" si="53"/>
        <v>0.000108287988200991</v>
      </c>
      <c r="H70" s="304">
        <f t="shared" si="54"/>
        <v>0.000136223691170742</v>
      </c>
      <c r="I70" s="304">
        <f t="shared" si="68"/>
        <v>0</v>
      </c>
      <c r="J70" s="304">
        <f t="shared" si="55"/>
        <v>0</v>
      </c>
      <c r="K70" s="304">
        <f t="shared" si="56"/>
        <v>0</v>
      </c>
      <c r="L70" s="304">
        <f t="shared" si="57"/>
        <v>0</v>
      </c>
      <c r="M70" s="304">
        <f t="shared" si="58"/>
        <v>0</v>
      </c>
      <c r="N70" s="304">
        <f t="shared" si="59"/>
        <v>0</v>
      </c>
      <c r="O70" s="304">
        <f t="shared" si="60"/>
        <v>7.00983479034449e-6</v>
      </c>
      <c r="P70" s="304">
        <f t="shared" si="61"/>
        <v>6.09880320677555e-6</v>
      </c>
      <c r="Q70" s="304">
        <v>0.00039345281174448</v>
      </c>
      <c r="R70" s="304">
        <f t="shared" si="62"/>
        <v>0.000264231419519107</v>
      </c>
      <c r="S70" s="304">
        <f t="shared" si="63"/>
        <v>0.000297218145158902</v>
      </c>
      <c r="T70" s="304">
        <v>0.000135498205748292</v>
      </c>
      <c r="U70" s="304">
        <v>0.000246226143258648</v>
      </c>
      <c r="V70" s="304">
        <v>0.000170773943177308</v>
      </c>
      <c r="W70" s="304">
        <v>0.000317058961654787</v>
      </c>
      <c r="X70" s="304">
        <f t="shared" si="64"/>
        <v>0.000358691872066223</v>
      </c>
      <c r="Y70" s="304">
        <f t="shared" si="45"/>
        <v>0.000110529450906008</v>
      </c>
      <c r="Z70" s="304">
        <f t="shared" si="46"/>
        <v>0.000109592651991757</v>
      </c>
      <c r="AA70" s="304">
        <f t="shared" si="69"/>
        <v>9.53026302718306e-5</v>
      </c>
      <c r="AB70" s="304">
        <f t="shared" si="70"/>
        <v>9.03092095495101e-5</v>
      </c>
      <c r="AC70" s="304">
        <f t="shared" si="65"/>
        <v>9.5045160290484e-5</v>
      </c>
      <c r="AD70" s="304">
        <f t="shared" si="71"/>
        <v>0.000141541279936045</v>
      </c>
      <c r="AE70" s="304">
        <f t="shared" si="72"/>
        <v>4.01065413834745e-5</v>
      </c>
      <c r="AF70" s="303">
        <f t="shared" si="73"/>
        <v>-0.000101434738552571</v>
      </c>
      <c r="AG70" s="303">
        <f t="shared" si="74"/>
        <v>0</v>
      </c>
      <c r="AH70" s="303">
        <f t="shared" si="75"/>
        <v>0</v>
      </c>
      <c r="AI70" s="303">
        <f t="shared" si="76"/>
        <v>0</v>
      </c>
      <c r="AJ70" s="303">
        <f t="shared" si="77"/>
        <v>6.75999939725387e-6</v>
      </c>
      <c r="AK70" s="303">
        <f t="shared" si="78"/>
        <v>6.75999939725387e-6</v>
      </c>
      <c r="AL70" s="304">
        <f t="shared" si="79"/>
        <v>6.75999939725387e-6</v>
      </c>
      <c r="AM70" s="304">
        <f t="shared" si="80"/>
        <v>1</v>
      </c>
      <c r="AN70" s="299">
        <v>27600</v>
      </c>
      <c r="AO70" s="299">
        <v>90300</v>
      </c>
      <c r="AP70" s="299">
        <v>26682.18</v>
      </c>
      <c r="AQ70" s="299">
        <v>60600</v>
      </c>
      <c r="AR70" s="300">
        <v>19223.52</v>
      </c>
      <c r="AS70" s="300">
        <v>69600</v>
      </c>
      <c r="AT70" s="300">
        <v>23062.7</v>
      </c>
      <c r="AU70" s="300">
        <v>83500</v>
      </c>
      <c r="AV70" s="300">
        <v>0</v>
      </c>
      <c r="AW70" s="300">
        <v>100800</v>
      </c>
      <c r="AX70" s="300">
        <v>0</v>
      </c>
      <c r="AY70" s="300">
        <v>61300</v>
      </c>
      <c r="AZ70" s="300">
        <v>0</v>
      </c>
      <c r="BA70" s="300">
        <v>64500</v>
      </c>
      <c r="BB70" s="300">
        <v>0</v>
      </c>
      <c r="BC70" s="300">
        <v>105400</v>
      </c>
      <c r="BD70" s="300">
        <v>0</v>
      </c>
      <c r="BE70" s="300">
        <v>126700</v>
      </c>
      <c r="BF70" s="300">
        <v>0</v>
      </c>
      <c r="BG70" s="300">
        <v>83500</v>
      </c>
      <c r="BH70" s="300">
        <v>816.72</v>
      </c>
      <c r="BI70" s="300">
        <v>66400</v>
      </c>
      <c r="BJ70" s="300">
        <v>696.18</v>
      </c>
      <c r="BK70" s="300">
        <v>56600</v>
      </c>
      <c r="BL70" s="266">
        <v>14600</v>
      </c>
      <c r="BM70" s="266">
        <v>87000</v>
      </c>
      <c r="BN70" s="266">
        <v>33088.1</v>
      </c>
      <c r="BO70" s="266">
        <v>80900</v>
      </c>
      <c r="BP70" s="266">
        <v>39100.4</v>
      </c>
      <c r="BQ70" s="266">
        <v>95600</v>
      </c>
      <c r="BR70" s="266">
        <v>16400</v>
      </c>
      <c r="BS70" s="266">
        <v>70200</v>
      </c>
      <c r="BT70" s="266">
        <v>27700</v>
      </c>
      <c r="BU70" s="266">
        <v>78000</v>
      </c>
      <c r="BV70" s="266">
        <v>21973.12</v>
      </c>
      <c r="BW70" s="266">
        <v>98800</v>
      </c>
      <c r="BX70" s="266">
        <v>43500</v>
      </c>
      <c r="BY70" s="266">
        <v>59400</v>
      </c>
      <c r="BZ70" s="266">
        <v>12000</v>
      </c>
      <c r="CA70" s="266">
        <v>59400</v>
      </c>
      <c r="CB70" s="266">
        <v>14900</v>
      </c>
      <c r="CC70" s="266">
        <v>93800</v>
      </c>
      <c r="CD70" s="311">
        <v>15300</v>
      </c>
      <c r="CE70" s="311">
        <v>54400</v>
      </c>
      <c r="CF70" s="311">
        <v>11800</v>
      </c>
      <c r="CG70" s="311">
        <v>88700</v>
      </c>
      <c r="CH70" s="311">
        <v>11800</v>
      </c>
      <c r="CI70" s="311">
        <v>65600</v>
      </c>
      <c r="CJ70" s="311">
        <v>14800</v>
      </c>
      <c r="CK70" s="311">
        <v>45700</v>
      </c>
      <c r="CL70" s="311">
        <v>24600</v>
      </c>
      <c r="CM70" s="311">
        <v>12100</v>
      </c>
      <c r="CN70" s="311">
        <v>6100</v>
      </c>
      <c r="CO70" s="311">
        <v>15400</v>
      </c>
      <c r="CP70" s="311">
        <v>0</v>
      </c>
      <c r="CQ70" s="311">
        <v>4300</v>
      </c>
      <c r="CR70" s="311">
        <v>0</v>
      </c>
      <c r="CS70" s="258">
        <v>1400</v>
      </c>
      <c r="CT70" s="258">
        <v>0</v>
      </c>
      <c r="CU70" s="258">
        <v>4400</v>
      </c>
      <c r="CV70" s="258">
        <v>1100</v>
      </c>
      <c r="CW70" s="258">
        <v>1700</v>
      </c>
      <c r="CX70" s="266">
        <f t="shared" si="66"/>
        <v>1100</v>
      </c>
      <c r="CY70" s="266">
        <f t="shared" si="67"/>
        <v>-2700</v>
      </c>
      <c r="DA70" s="301" t="s">
        <v>4867</v>
      </c>
      <c r="DB70" s="258">
        <v>1100</v>
      </c>
      <c r="DC70" s="258">
        <f t="shared" si="50"/>
        <v>1</v>
      </c>
    </row>
    <row r="71" spans="1:107">
      <c r="A71" s="264" t="s">
        <v>4868</v>
      </c>
      <c r="B71" s="264" t="s">
        <v>4776</v>
      </c>
      <c r="C71" s="264"/>
      <c r="D71" s="310" t="s">
        <v>4869</v>
      </c>
      <c r="E71" s="306">
        <f t="shared" si="51"/>
        <v>0.000133418481399523</v>
      </c>
      <c r="F71" s="306">
        <f t="shared" si="52"/>
        <v>0.000175020086597957</v>
      </c>
      <c r="G71" s="304">
        <f t="shared" si="53"/>
        <v>0.000160459102094967</v>
      </c>
      <c r="H71" s="304">
        <f t="shared" si="54"/>
        <v>0</v>
      </c>
      <c r="I71" s="304">
        <f t="shared" si="68"/>
        <v>0.000110793953600998</v>
      </c>
      <c r="J71" s="304">
        <f t="shared" si="55"/>
        <v>0.000179730282673481</v>
      </c>
      <c r="K71" s="304">
        <f t="shared" si="56"/>
        <v>0.000187509022363233</v>
      </c>
      <c r="L71" s="304">
        <f t="shared" si="57"/>
        <v>0.000672401716304992</v>
      </c>
      <c r="M71" s="304">
        <f t="shared" si="58"/>
        <v>0.000154202595444751</v>
      </c>
      <c r="N71" s="304">
        <f t="shared" si="59"/>
        <v>0.000100852520177119</v>
      </c>
      <c r="O71" s="304">
        <f t="shared" si="60"/>
        <v>0.000179782624672757</v>
      </c>
      <c r="P71" s="304">
        <f t="shared" si="61"/>
        <v>0.000164060504460125</v>
      </c>
      <c r="Q71" s="304">
        <v>0.000184213772283193</v>
      </c>
      <c r="R71" s="304">
        <f t="shared" si="62"/>
        <v>6.70798239838643e-5</v>
      </c>
      <c r="S71" s="304">
        <f t="shared" si="63"/>
        <v>0.000305939850189859</v>
      </c>
      <c r="T71" s="304">
        <v>8.67519000217725e-5</v>
      </c>
      <c r="U71" s="304">
        <v>0.000466805211432927</v>
      </c>
      <c r="V71" s="304">
        <v>0.000421596384670968</v>
      </c>
      <c r="W71" s="304">
        <v>6.77850193882648e-5</v>
      </c>
      <c r="X71" s="304">
        <f t="shared" si="64"/>
        <v>0.00012016781572589</v>
      </c>
      <c r="Y71" s="304">
        <f t="shared" si="45"/>
        <v>0.000316010376415834</v>
      </c>
      <c r="Z71" s="304">
        <f t="shared" si="46"/>
        <v>0.00083949404009372</v>
      </c>
      <c r="AA71" s="304">
        <f t="shared" si="69"/>
        <v>0.000324675062451491</v>
      </c>
      <c r="AB71" s="304">
        <f t="shared" si="70"/>
        <v>0.00081660954736718</v>
      </c>
      <c r="AC71" s="304">
        <f t="shared" si="65"/>
        <v>0.000557427021163109</v>
      </c>
      <c r="AD71" s="304">
        <f t="shared" si="71"/>
        <v>0.00125776112983819</v>
      </c>
      <c r="AE71" s="304">
        <f t="shared" si="72"/>
        <v>3.94490570984995e-5</v>
      </c>
      <c r="AF71" s="303">
        <f t="shared" si="73"/>
        <v>-0.00121831207273969</v>
      </c>
      <c r="AG71" s="303">
        <f t="shared" si="74"/>
        <v>0.000358224027084753</v>
      </c>
      <c r="AH71" s="303">
        <f t="shared" si="75"/>
        <v>6.45502961286793e-5</v>
      </c>
      <c r="AI71" s="303">
        <f t="shared" si="76"/>
        <v>8.39333968610149e-5</v>
      </c>
      <c r="AJ71" s="303">
        <f t="shared" si="77"/>
        <v>5.28509043785303e-5</v>
      </c>
      <c r="AK71" s="303">
        <f t="shared" si="78"/>
        <v>-3.10824924824846e-5</v>
      </c>
      <c r="AL71" s="304">
        <f t="shared" si="79"/>
        <v>-3.10824924824846e-5</v>
      </c>
      <c r="AM71" s="304">
        <f t="shared" si="80"/>
        <v>-0.511627906976744</v>
      </c>
      <c r="AN71" s="299">
        <v>25000</v>
      </c>
      <c r="AO71" s="299">
        <v>28800</v>
      </c>
      <c r="AP71" s="299">
        <v>30793.38</v>
      </c>
      <c r="AQ71" s="299">
        <v>31700</v>
      </c>
      <c r="AR71" s="300">
        <v>28485.05</v>
      </c>
      <c r="AS71" s="300">
        <v>33500</v>
      </c>
      <c r="AT71" s="300">
        <v>0</v>
      </c>
      <c r="AU71" s="300">
        <v>0</v>
      </c>
      <c r="AV71" s="300">
        <v>18757.44</v>
      </c>
      <c r="AW71" s="300">
        <v>21600</v>
      </c>
      <c r="AX71" s="300">
        <v>25355.16</v>
      </c>
      <c r="AY71" s="300">
        <v>30600</v>
      </c>
      <c r="AZ71" s="300">
        <v>24697.7</v>
      </c>
      <c r="BA71" s="300">
        <v>31000</v>
      </c>
      <c r="BB71" s="300">
        <v>92295.5</v>
      </c>
      <c r="BC71" s="300">
        <v>97000</v>
      </c>
      <c r="BD71" s="300">
        <v>19867.05</v>
      </c>
      <c r="BE71" s="300">
        <v>24500</v>
      </c>
      <c r="BF71" s="300">
        <v>12449.85</v>
      </c>
      <c r="BG71" s="300">
        <v>21300</v>
      </c>
      <c r="BH71" s="300">
        <v>20946.58</v>
      </c>
      <c r="BI71" s="300">
        <v>35800</v>
      </c>
      <c r="BJ71" s="300">
        <v>18727.55</v>
      </c>
      <c r="BK71" s="300">
        <v>26500</v>
      </c>
      <c r="BL71" s="266">
        <v>8753.12</v>
      </c>
      <c r="BM71" s="266">
        <v>22700</v>
      </c>
      <c r="BN71" s="266">
        <v>8400</v>
      </c>
      <c r="BO71" s="266">
        <v>23100</v>
      </c>
      <c r="BP71" s="266">
        <v>40247.78</v>
      </c>
      <c r="BQ71" s="266">
        <v>53800</v>
      </c>
      <c r="BR71" s="266">
        <v>10500</v>
      </c>
      <c r="BS71" s="266">
        <v>28400</v>
      </c>
      <c r="BT71" s="266">
        <v>52514.75</v>
      </c>
      <c r="BU71" s="266">
        <v>57500</v>
      </c>
      <c r="BV71" s="266">
        <v>54245.91</v>
      </c>
      <c r="BW71" s="266">
        <v>57300</v>
      </c>
      <c r="BX71" s="266">
        <v>9300</v>
      </c>
      <c r="BY71" s="266">
        <v>19900</v>
      </c>
      <c r="BZ71" s="266">
        <v>5200</v>
      </c>
      <c r="CA71" s="266">
        <v>19900</v>
      </c>
      <c r="CB71" s="266">
        <v>42600</v>
      </c>
      <c r="CC71" s="266">
        <v>98000</v>
      </c>
      <c r="CD71" s="311">
        <v>117200</v>
      </c>
      <c r="CE71" s="311">
        <v>145700</v>
      </c>
      <c r="CF71" s="311">
        <v>40200</v>
      </c>
      <c r="CG71" s="311">
        <v>63900</v>
      </c>
      <c r="CH71" s="311">
        <v>106700</v>
      </c>
      <c r="CI71" s="311">
        <v>116700</v>
      </c>
      <c r="CJ71" s="311">
        <v>86800</v>
      </c>
      <c r="CK71" s="311">
        <v>120700</v>
      </c>
      <c r="CL71" s="311">
        <v>218600</v>
      </c>
      <c r="CM71" s="311">
        <v>154800</v>
      </c>
      <c r="CN71" s="311">
        <v>6000</v>
      </c>
      <c r="CO71" s="311">
        <v>64300</v>
      </c>
      <c r="CP71" s="311">
        <v>57000</v>
      </c>
      <c r="CQ71" s="311">
        <v>109600</v>
      </c>
      <c r="CR71" s="311">
        <v>10000</v>
      </c>
      <c r="CS71" s="258">
        <v>35300</v>
      </c>
      <c r="CT71" s="258">
        <v>13000</v>
      </c>
      <c r="CU71" s="258">
        <v>27500</v>
      </c>
      <c r="CV71" s="258">
        <v>8600</v>
      </c>
      <c r="CW71" s="258">
        <v>39000</v>
      </c>
      <c r="CX71" s="266">
        <f t="shared" si="66"/>
        <v>-4400</v>
      </c>
      <c r="CY71" s="266">
        <f t="shared" si="67"/>
        <v>11500</v>
      </c>
      <c r="DA71" s="301" t="s">
        <v>4869</v>
      </c>
      <c r="DB71" s="258">
        <v>0</v>
      </c>
      <c r="DC71" s="258">
        <f t="shared" si="50"/>
        <v>1</v>
      </c>
    </row>
    <row r="72" spans="1:107">
      <c r="A72" s="264" t="s">
        <v>4870</v>
      </c>
      <c r="B72" s="264" t="s">
        <v>4776</v>
      </c>
      <c r="C72" s="264"/>
      <c r="D72" s="265" t="s">
        <v>4871</v>
      </c>
      <c r="E72" s="306">
        <f t="shared" si="51"/>
        <v>0.000132884807473925</v>
      </c>
      <c r="F72" s="306">
        <f t="shared" si="52"/>
        <v>0.000125481368419485</v>
      </c>
      <c r="G72" s="304">
        <f t="shared" si="53"/>
        <v>0.000132341770893094</v>
      </c>
      <c r="H72" s="304">
        <f t="shared" si="54"/>
        <v>0.000128377806204151</v>
      </c>
      <c r="I72" s="304">
        <f t="shared" si="68"/>
        <v>0.000164146278520508</v>
      </c>
      <c r="J72" s="304">
        <f t="shared" si="55"/>
        <v>0.000142303592532676</v>
      </c>
      <c r="K72" s="304">
        <f t="shared" si="56"/>
        <v>0.000125765433902369</v>
      </c>
      <c r="L72" s="304">
        <f t="shared" si="57"/>
        <v>0.000347623575132324</v>
      </c>
      <c r="M72" s="304">
        <f t="shared" si="58"/>
        <v>0.000111942559589394</v>
      </c>
      <c r="N72" s="304">
        <f t="shared" si="59"/>
        <v>0.000162308655100361</v>
      </c>
      <c r="O72" s="304">
        <f t="shared" si="60"/>
        <v>0.00012667320429118</v>
      </c>
      <c r="P72" s="304">
        <f t="shared" si="61"/>
        <v>0.000182923097612374</v>
      </c>
      <c r="Q72" s="304">
        <v>0.000150151603068565</v>
      </c>
      <c r="R72" s="304">
        <f t="shared" si="62"/>
        <v>0.000275936050234958</v>
      </c>
      <c r="S72" s="304">
        <f t="shared" si="63"/>
        <v>0.000337988304071849</v>
      </c>
      <c r="T72" s="304">
        <v>0.000105722309793391</v>
      </c>
      <c r="U72" s="304">
        <v>7.95671337361401e-5</v>
      </c>
      <c r="V72" s="304">
        <v>0.000281391610891589</v>
      </c>
      <c r="W72" s="304">
        <v>0.00026385136579088</v>
      </c>
      <c r="X72" s="304">
        <f t="shared" si="64"/>
        <v>0.000256639807454789</v>
      </c>
      <c r="Y72" s="304">
        <f t="shared" si="45"/>
        <v>0.000248505812439682</v>
      </c>
      <c r="Z72" s="304">
        <f t="shared" si="46"/>
        <v>8.38061456407553e-5</v>
      </c>
      <c r="AA72" s="304">
        <f t="shared" si="69"/>
        <v>9.36873314536639e-5</v>
      </c>
      <c r="AB72" s="304">
        <f t="shared" si="70"/>
        <v>8.11252221376955e-5</v>
      </c>
      <c r="AC72" s="304">
        <f t="shared" si="65"/>
        <v>8.34856137686683e-6</v>
      </c>
      <c r="AD72" s="304">
        <f t="shared" si="71"/>
        <v>1.61103895862166e-5</v>
      </c>
      <c r="AE72" s="304">
        <f t="shared" si="72"/>
        <v>4.01065413834745e-5</v>
      </c>
      <c r="AF72" s="303">
        <f t="shared" si="73"/>
        <v>2.39961517972579e-5</v>
      </c>
      <c r="AG72" s="303">
        <f t="shared" si="74"/>
        <v>1.6340043340708e-5</v>
      </c>
      <c r="AH72" s="303">
        <f t="shared" si="75"/>
        <v>8.84339056962906e-5</v>
      </c>
      <c r="AI72" s="303">
        <f t="shared" si="76"/>
        <v>1.87236039151495e-5</v>
      </c>
      <c r="AJ72" s="303">
        <f t="shared" si="77"/>
        <v>0.000286992701683414</v>
      </c>
      <c r="AK72" s="303">
        <f t="shared" si="78"/>
        <v>0.000268269097768265</v>
      </c>
      <c r="AL72" s="304">
        <f t="shared" si="79"/>
        <v>0.000268269097768265</v>
      </c>
      <c r="AM72" s="304">
        <f t="shared" si="80"/>
        <v>0.937901498929336</v>
      </c>
      <c r="AN72" s="299">
        <v>24900</v>
      </c>
      <c r="AO72" s="299">
        <v>28200</v>
      </c>
      <c r="AP72" s="299">
        <v>22077.44</v>
      </c>
      <c r="AQ72" s="299">
        <v>22400</v>
      </c>
      <c r="AR72" s="300">
        <v>23493.6</v>
      </c>
      <c r="AS72" s="300">
        <v>25100</v>
      </c>
      <c r="AT72" s="300">
        <v>21734.39</v>
      </c>
      <c r="AU72" s="300">
        <v>22900</v>
      </c>
      <c r="AV72" s="300">
        <v>27790</v>
      </c>
      <c r="AW72" s="300">
        <v>28000</v>
      </c>
      <c r="AX72" s="300">
        <v>20075.25</v>
      </c>
      <c r="AY72" s="300">
        <v>21300</v>
      </c>
      <c r="AZ72" s="300">
        <v>16565.16</v>
      </c>
      <c r="BA72" s="300">
        <v>18300</v>
      </c>
      <c r="BB72" s="300">
        <v>47715.66</v>
      </c>
      <c r="BC72" s="300">
        <v>53100</v>
      </c>
      <c r="BD72" s="300">
        <v>14422.38</v>
      </c>
      <c r="BE72" s="300">
        <v>16100</v>
      </c>
      <c r="BF72" s="300">
        <v>20036.37</v>
      </c>
      <c r="BG72" s="300">
        <v>28900</v>
      </c>
      <c r="BH72" s="300">
        <v>14758.77</v>
      </c>
      <c r="BI72" s="300">
        <v>21300</v>
      </c>
      <c r="BJ72" s="300">
        <v>20880.72</v>
      </c>
      <c r="BK72" s="300">
        <v>21600</v>
      </c>
      <c r="BL72" s="266">
        <v>16864.21</v>
      </c>
      <c r="BM72" s="266">
        <v>20900</v>
      </c>
      <c r="BN72" s="266">
        <v>34553.8</v>
      </c>
      <c r="BO72" s="266">
        <v>39400</v>
      </c>
      <c r="BP72" s="266">
        <v>44463.9</v>
      </c>
      <c r="BQ72" s="266">
        <v>50700</v>
      </c>
      <c r="BR72" s="266">
        <v>12796.08</v>
      </c>
      <c r="BS72" s="266">
        <v>13100</v>
      </c>
      <c r="BT72" s="266">
        <v>8951.16</v>
      </c>
      <c r="BU72" s="266">
        <v>9700</v>
      </c>
      <c r="BV72" s="266">
        <v>36206.06</v>
      </c>
      <c r="BW72" s="266">
        <v>39800</v>
      </c>
      <c r="BX72" s="266">
        <v>36200</v>
      </c>
      <c r="BY72" s="266">
        <v>42500</v>
      </c>
      <c r="BZ72" s="266">
        <v>36200</v>
      </c>
      <c r="CA72" s="266">
        <v>42500</v>
      </c>
      <c r="CB72" s="266">
        <v>33500</v>
      </c>
      <c r="CC72" s="266">
        <v>37900</v>
      </c>
      <c r="CD72" s="311">
        <v>11700</v>
      </c>
      <c r="CE72" s="311">
        <v>13200</v>
      </c>
      <c r="CF72" s="311">
        <v>11600</v>
      </c>
      <c r="CG72" s="311">
        <v>11600</v>
      </c>
      <c r="CH72" s="311">
        <v>10600</v>
      </c>
      <c r="CI72" s="311">
        <v>12500</v>
      </c>
      <c r="CJ72" s="311">
        <v>1300</v>
      </c>
      <c r="CK72" s="311">
        <v>5100</v>
      </c>
      <c r="CL72" s="311">
        <v>2800</v>
      </c>
      <c r="CM72" s="311">
        <v>1500</v>
      </c>
      <c r="CN72" s="311">
        <v>6100</v>
      </c>
      <c r="CO72" s="311">
        <v>24600</v>
      </c>
      <c r="CP72" s="311">
        <v>2600</v>
      </c>
      <c r="CQ72" s="311">
        <v>5900</v>
      </c>
      <c r="CR72" s="311">
        <v>13700</v>
      </c>
      <c r="CS72" s="258">
        <v>17300</v>
      </c>
      <c r="CT72" s="258">
        <v>2900</v>
      </c>
      <c r="CU72" s="258">
        <v>8400</v>
      </c>
      <c r="CV72" s="258">
        <v>46700</v>
      </c>
      <c r="CW72" s="258">
        <v>49500</v>
      </c>
      <c r="CX72" s="266">
        <f t="shared" si="66"/>
        <v>43800</v>
      </c>
      <c r="CY72" s="266">
        <f t="shared" si="67"/>
        <v>41100</v>
      </c>
      <c r="DA72" s="301" t="s">
        <v>4871</v>
      </c>
      <c r="DB72" s="258">
        <v>46700</v>
      </c>
      <c r="DC72" s="258">
        <f t="shared" si="50"/>
        <v>1</v>
      </c>
    </row>
    <row r="73" spans="1:107">
      <c r="A73" s="309" t="s">
        <v>4872</v>
      </c>
      <c r="B73" s="264" t="s">
        <v>4776</v>
      </c>
      <c r="C73" s="264"/>
      <c r="D73" s="265" t="s">
        <v>4873</v>
      </c>
      <c r="E73" s="306">
        <f t="shared" si="51"/>
        <v>0.000124879698589954</v>
      </c>
      <c r="F73" s="306">
        <f t="shared" si="52"/>
        <v>3.04254283150597e-5</v>
      </c>
      <c r="G73" s="304">
        <f t="shared" si="53"/>
        <v>7.88633837514604e-6</v>
      </c>
      <c r="H73" s="304">
        <f t="shared" si="54"/>
        <v>2.53986685008343e-5</v>
      </c>
      <c r="I73" s="304">
        <f t="shared" si="68"/>
        <v>1.54270331140649e-5</v>
      </c>
      <c r="J73" s="304">
        <f t="shared" si="55"/>
        <v>2.35279667863006e-5</v>
      </c>
      <c r="K73" s="304">
        <f t="shared" si="56"/>
        <v>3.70537148732151e-5</v>
      </c>
      <c r="L73" s="304">
        <f t="shared" si="57"/>
        <v>2.86610088691338e-5</v>
      </c>
      <c r="M73" s="304">
        <f t="shared" si="58"/>
        <v>4.83481418654095e-5</v>
      </c>
      <c r="N73" s="304">
        <f t="shared" si="59"/>
        <v>2.66156652725891e-5</v>
      </c>
      <c r="O73" s="304">
        <f t="shared" si="60"/>
        <v>2.87067462939291e-5</v>
      </c>
      <c r="P73" s="304">
        <f t="shared" si="61"/>
        <v>6.69960777100762e-5</v>
      </c>
      <c r="Q73" s="304">
        <v>5.76971437717171e-5</v>
      </c>
      <c r="R73" s="304">
        <f t="shared" si="62"/>
        <v>1.83185416467936e-5</v>
      </c>
      <c r="S73" s="304">
        <f t="shared" si="63"/>
        <v>4.26238385908641e-5</v>
      </c>
      <c r="T73" s="304">
        <v>2.38617297574172e-5</v>
      </c>
      <c r="U73" s="304">
        <v>0.000222435542182206</v>
      </c>
      <c r="V73" s="304">
        <v>2.75997412753062e-5</v>
      </c>
      <c r="W73" s="304">
        <v>4.59188841017278e-5</v>
      </c>
      <c r="X73" s="304">
        <f t="shared" si="64"/>
        <v>4.28739443042119e-5</v>
      </c>
      <c r="Y73" s="304">
        <f t="shared" si="45"/>
        <v>2.81887190230087e-5</v>
      </c>
      <c r="Z73" s="304">
        <f t="shared" si="46"/>
        <v>6.87640169360043e-5</v>
      </c>
      <c r="AA73" s="304">
        <f t="shared" si="69"/>
        <v>2.01912352270827e-5</v>
      </c>
      <c r="AB73" s="304">
        <f t="shared" si="70"/>
        <v>1.83679748236292e-5</v>
      </c>
      <c r="AC73" s="304">
        <f t="shared" si="65"/>
        <v>5.5357383898917e-6</v>
      </c>
      <c r="AD73" s="304">
        <f t="shared" si="71"/>
        <v>2.18641001527225e-5</v>
      </c>
      <c r="AE73" s="304">
        <f t="shared" si="72"/>
        <v>1.70945914093498e-5</v>
      </c>
      <c r="AF73" s="303">
        <f t="shared" si="73"/>
        <v>-4.76950874337272e-6</v>
      </c>
      <c r="AG73" s="303">
        <f t="shared" si="74"/>
        <v>5.42992209475836e-6</v>
      </c>
      <c r="AH73" s="303">
        <f t="shared" si="75"/>
        <v>0</v>
      </c>
      <c r="AI73" s="303">
        <f t="shared" si="76"/>
        <v>1.87236039151495e-5</v>
      </c>
      <c r="AJ73" s="303">
        <f t="shared" si="77"/>
        <v>1.41345441942581e-5</v>
      </c>
      <c r="AK73" s="303">
        <f t="shared" si="78"/>
        <v>-4.5890597208914e-6</v>
      </c>
      <c r="AL73" s="304">
        <f t="shared" si="79"/>
        <v>-4.5890597208914e-6</v>
      </c>
      <c r="AM73" s="304">
        <f t="shared" si="80"/>
        <v>-0.260869565217391</v>
      </c>
      <c r="AN73" s="299">
        <v>23400</v>
      </c>
      <c r="AO73" s="299">
        <v>24700</v>
      </c>
      <c r="AP73" s="299">
        <v>5353.11</v>
      </c>
      <c r="AQ73" s="299">
        <v>6300</v>
      </c>
      <c r="AR73" s="300">
        <v>1400</v>
      </c>
      <c r="AS73" s="300">
        <v>1400</v>
      </c>
      <c r="AT73" s="300">
        <v>4300</v>
      </c>
      <c r="AU73" s="300">
        <v>4300</v>
      </c>
      <c r="AV73" s="300">
        <v>2611.8</v>
      </c>
      <c r="AW73" s="300">
        <v>3000</v>
      </c>
      <c r="AX73" s="300">
        <v>3319.17</v>
      </c>
      <c r="AY73" s="300">
        <v>4300</v>
      </c>
      <c r="AZ73" s="300">
        <v>4880.52</v>
      </c>
      <c r="BA73" s="300">
        <v>5400</v>
      </c>
      <c r="BB73" s="300">
        <v>3934.08</v>
      </c>
      <c r="BC73" s="300">
        <v>4800</v>
      </c>
      <c r="BD73" s="300">
        <v>6229.045296396</v>
      </c>
      <c r="BE73" s="300">
        <v>7600</v>
      </c>
      <c r="BF73" s="300">
        <v>3285.6</v>
      </c>
      <c r="BG73" s="300">
        <v>4800</v>
      </c>
      <c r="BH73" s="300">
        <v>3344.64</v>
      </c>
      <c r="BI73" s="300">
        <v>4800</v>
      </c>
      <c r="BJ73" s="300">
        <v>7647.62</v>
      </c>
      <c r="BK73" s="300">
        <v>8300</v>
      </c>
      <c r="BL73" s="266">
        <v>2722.38</v>
      </c>
      <c r="BM73" s="266">
        <v>3400</v>
      </c>
      <c r="BN73" s="266">
        <v>2293.92</v>
      </c>
      <c r="BO73" s="266">
        <v>2700</v>
      </c>
      <c r="BP73" s="266">
        <v>5607.36</v>
      </c>
      <c r="BQ73" s="266">
        <v>6600</v>
      </c>
      <c r="BR73" s="266">
        <v>2888.1</v>
      </c>
      <c r="BS73" s="266">
        <v>3000</v>
      </c>
      <c r="BT73" s="266">
        <v>25023.6</v>
      </c>
      <c r="BU73" s="266">
        <v>25200</v>
      </c>
      <c r="BV73" s="266">
        <v>3551.2</v>
      </c>
      <c r="BW73" s="266">
        <v>4600</v>
      </c>
      <c r="BX73" s="266">
        <v>6300</v>
      </c>
      <c r="BY73" s="266">
        <v>7100</v>
      </c>
      <c r="BZ73" s="266">
        <v>6300</v>
      </c>
      <c r="CA73" s="266">
        <v>7100</v>
      </c>
      <c r="CB73" s="266">
        <v>3800</v>
      </c>
      <c r="CC73" s="266">
        <v>6000</v>
      </c>
      <c r="CD73" s="311">
        <v>9600</v>
      </c>
      <c r="CE73" s="311">
        <v>11100</v>
      </c>
      <c r="CF73" s="311">
        <v>2500</v>
      </c>
      <c r="CG73" s="311">
        <v>7400</v>
      </c>
      <c r="CH73" s="311">
        <v>2400</v>
      </c>
      <c r="CI73" s="311">
        <v>3000</v>
      </c>
      <c r="CJ73" s="311">
        <v>862</v>
      </c>
      <c r="CK73" s="311">
        <v>862</v>
      </c>
      <c r="CL73" s="311">
        <v>3800</v>
      </c>
      <c r="CM73" s="311">
        <v>3800</v>
      </c>
      <c r="CN73" s="311">
        <v>2600</v>
      </c>
      <c r="CO73" s="311">
        <v>2600</v>
      </c>
      <c r="CP73" s="311">
        <v>864</v>
      </c>
      <c r="CQ73" s="311">
        <v>864</v>
      </c>
      <c r="CR73" s="311">
        <v>0</v>
      </c>
      <c r="CS73" s="258">
        <v>2000</v>
      </c>
      <c r="CT73" s="258">
        <v>2900</v>
      </c>
      <c r="CU73" s="258">
        <v>3100</v>
      </c>
      <c r="CV73" s="258">
        <v>2300</v>
      </c>
      <c r="CW73" s="258">
        <v>2300</v>
      </c>
      <c r="CX73" s="266">
        <f t="shared" si="66"/>
        <v>-600</v>
      </c>
      <c r="CY73" s="266">
        <f t="shared" si="67"/>
        <v>-800</v>
      </c>
      <c r="DA73" s="301" t="s">
        <v>4873</v>
      </c>
      <c r="DB73" s="258">
        <v>2300</v>
      </c>
      <c r="DC73" s="258">
        <f t="shared" si="50"/>
        <v>1</v>
      </c>
    </row>
    <row r="74" spans="1:107">
      <c r="A74" s="264" t="s">
        <v>4874</v>
      </c>
      <c r="B74" s="264" t="s">
        <v>4776</v>
      </c>
      <c r="C74" s="264"/>
      <c r="D74" s="265" t="s">
        <v>4875</v>
      </c>
      <c r="E74" s="306">
        <f t="shared" si="51"/>
        <v>0.000117941937557179</v>
      </c>
      <c r="F74" s="306">
        <f t="shared" si="52"/>
        <v>0.000123850830867478</v>
      </c>
      <c r="G74" s="304">
        <f t="shared" si="53"/>
        <v>9.94895384617709e-5</v>
      </c>
      <c r="H74" s="304">
        <f t="shared" si="54"/>
        <v>0.000121761216793</v>
      </c>
      <c r="I74" s="304">
        <f t="shared" si="68"/>
        <v>9.68199015251932e-5</v>
      </c>
      <c r="J74" s="304">
        <f t="shared" si="55"/>
        <v>0.000152104661425325</v>
      </c>
      <c r="K74" s="304">
        <f t="shared" si="56"/>
        <v>0.000156747845982067</v>
      </c>
      <c r="L74" s="304">
        <f t="shared" si="57"/>
        <v>0.000186340415240825</v>
      </c>
      <c r="M74" s="304">
        <f t="shared" si="58"/>
        <v>0.000271952245459442</v>
      </c>
      <c r="N74" s="304">
        <f t="shared" si="59"/>
        <v>0.00021845113478999</v>
      </c>
      <c r="O74" s="304">
        <f t="shared" si="60"/>
        <v>0.000299064312136754</v>
      </c>
      <c r="P74" s="304">
        <f t="shared" si="61"/>
        <v>0.000574541637819852</v>
      </c>
      <c r="Q74" s="304">
        <v>0.000544299561123548</v>
      </c>
      <c r="R74" s="304">
        <f t="shared" si="62"/>
        <v>0.000347721683585158</v>
      </c>
      <c r="S74" s="304">
        <f t="shared" si="63"/>
        <v>0.000337378519015823</v>
      </c>
      <c r="T74" s="304">
        <v>0.000163371178121002</v>
      </c>
      <c r="U74" s="304">
        <v>0.000255173841302119</v>
      </c>
      <c r="V74" s="304">
        <v>0.000342185652396813</v>
      </c>
      <c r="W74" s="304">
        <v>0.000334551869884017</v>
      </c>
      <c r="X74" s="304">
        <f t="shared" si="64"/>
        <v>0.000301929185240929</v>
      </c>
      <c r="Y74" s="304">
        <f t="shared" si="45"/>
        <v>0.000377580473229248</v>
      </c>
      <c r="Z74" s="304">
        <f t="shared" si="46"/>
        <v>0.000141825784930509</v>
      </c>
      <c r="AA74" s="304">
        <f t="shared" si="69"/>
        <v>0.000184144065270995</v>
      </c>
      <c r="AB74" s="304">
        <f t="shared" si="70"/>
        <v>0.00024949832468763</v>
      </c>
      <c r="AC74" s="304">
        <f t="shared" si="65"/>
        <v>0.000516326411307764</v>
      </c>
      <c r="AD74" s="304">
        <f t="shared" si="71"/>
        <v>0.000113923469216817</v>
      </c>
      <c r="AE74" s="304">
        <f t="shared" si="72"/>
        <v>7.6925661342074e-5</v>
      </c>
      <c r="AF74" s="303">
        <f t="shared" si="73"/>
        <v>-3.6997807874743e-5</v>
      </c>
      <c r="AG74" s="303">
        <f t="shared" si="74"/>
        <v>9.61548704280127e-5</v>
      </c>
      <c r="AH74" s="303">
        <f t="shared" si="75"/>
        <v>4.00211835997811e-5</v>
      </c>
      <c r="AI74" s="303">
        <f t="shared" si="76"/>
        <v>1.5495396343572e-5</v>
      </c>
      <c r="AJ74" s="303">
        <f t="shared" si="77"/>
        <v>0.000686447211521143</v>
      </c>
      <c r="AK74" s="303">
        <f t="shared" si="78"/>
        <v>0.000670951815177571</v>
      </c>
      <c r="AL74" s="304">
        <f t="shared" si="79"/>
        <v>0.000670951815177571</v>
      </c>
      <c r="AM74" s="304">
        <f t="shared" si="80"/>
        <v>0.97851387645479</v>
      </c>
      <c r="AN74" s="299">
        <v>22100</v>
      </c>
      <c r="AO74" s="299">
        <v>24100</v>
      </c>
      <c r="AP74" s="299">
        <v>21790.56</v>
      </c>
      <c r="AQ74" s="299">
        <v>26400</v>
      </c>
      <c r="AR74" s="300">
        <v>17661.6</v>
      </c>
      <c r="AS74" s="300">
        <v>22300</v>
      </c>
      <c r="AT74" s="300">
        <v>20614.2</v>
      </c>
      <c r="AU74" s="300">
        <v>23500</v>
      </c>
      <c r="AV74" s="300">
        <v>16391.63</v>
      </c>
      <c r="AW74" s="300">
        <v>19900</v>
      </c>
      <c r="AX74" s="300">
        <v>21457.92</v>
      </c>
      <c r="AY74" s="300">
        <v>38400</v>
      </c>
      <c r="AZ74" s="300">
        <v>20646</v>
      </c>
      <c r="BA74" s="300">
        <v>22500</v>
      </c>
      <c r="BB74" s="300">
        <v>25577.54</v>
      </c>
      <c r="BC74" s="300">
        <v>28300</v>
      </c>
      <c r="BD74" s="300">
        <v>35037.6</v>
      </c>
      <c r="BE74" s="300">
        <v>39000</v>
      </c>
      <c r="BF74" s="300">
        <v>26966.94</v>
      </c>
      <c r="BG74" s="300">
        <v>28600</v>
      </c>
      <c r="BH74" s="300">
        <v>34844.16</v>
      </c>
      <c r="BI74" s="300">
        <v>41600</v>
      </c>
      <c r="BJ74" s="300">
        <v>65584.08</v>
      </c>
      <c r="BK74" s="300">
        <v>78300</v>
      </c>
      <c r="BL74" s="266">
        <v>33548</v>
      </c>
      <c r="BM74" s="266">
        <v>40000</v>
      </c>
      <c r="BN74" s="266">
        <v>43543.08</v>
      </c>
      <c r="BO74" s="266">
        <v>51800</v>
      </c>
      <c r="BP74" s="266">
        <v>44383.68</v>
      </c>
      <c r="BQ74" s="266">
        <v>52800</v>
      </c>
      <c r="BR74" s="266">
        <v>19773.6</v>
      </c>
      <c r="BS74" s="266">
        <v>21000</v>
      </c>
      <c r="BT74" s="266">
        <v>28706.6</v>
      </c>
      <c r="BU74" s="266">
        <v>30500</v>
      </c>
      <c r="BV74" s="266">
        <v>44028.3</v>
      </c>
      <c r="BW74" s="266">
        <v>44500</v>
      </c>
      <c r="BX74" s="266">
        <v>45900</v>
      </c>
      <c r="BY74" s="266">
        <v>50000</v>
      </c>
      <c r="BZ74" s="266">
        <v>45900</v>
      </c>
      <c r="CA74" s="266">
        <v>50000</v>
      </c>
      <c r="CB74" s="266">
        <v>50900</v>
      </c>
      <c r="CC74" s="266">
        <v>71300</v>
      </c>
      <c r="CD74" s="311">
        <v>19800</v>
      </c>
      <c r="CE74" s="311">
        <v>58800</v>
      </c>
      <c r="CF74" s="311">
        <v>22800</v>
      </c>
      <c r="CG74" s="311">
        <v>28000</v>
      </c>
      <c r="CH74" s="311">
        <v>32600</v>
      </c>
      <c r="CI74" s="311">
        <v>39500</v>
      </c>
      <c r="CJ74" s="311">
        <v>80400</v>
      </c>
      <c r="CK74" s="311">
        <v>85400</v>
      </c>
      <c r="CL74" s="311">
        <v>19800</v>
      </c>
      <c r="CM74" s="311">
        <v>14100</v>
      </c>
      <c r="CN74" s="311">
        <v>11700</v>
      </c>
      <c r="CO74" s="311">
        <v>14700</v>
      </c>
      <c r="CP74" s="311">
        <v>15300</v>
      </c>
      <c r="CQ74" s="311">
        <v>22900</v>
      </c>
      <c r="CR74" s="311">
        <v>6200</v>
      </c>
      <c r="CS74" s="258">
        <v>24400</v>
      </c>
      <c r="CT74" s="258">
        <v>2400</v>
      </c>
      <c r="CU74" s="258">
        <v>5600</v>
      </c>
      <c r="CV74" s="258">
        <v>111700</v>
      </c>
      <c r="CW74" s="258">
        <v>114700</v>
      </c>
      <c r="CX74" s="266">
        <f t="shared" si="66"/>
        <v>109300</v>
      </c>
      <c r="CY74" s="266">
        <f t="shared" si="67"/>
        <v>109100</v>
      </c>
      <c r="DA74" s="301" t="s">
        <v>4875</v>
      </c>
      <c r="DB74" s="258">
        <v>111700</v>
      </c>
      <c r="DC74" s="258">
        <f t="shared" si="50"/>
        <v>1</v>
      </c>
    </row>
    <row r="75" spans="1:107">
      <c r="A75" s="309" t="s">
        <v>4876</v>
      </c>
      <c r="B75" s="264" t="s">
        <v>4776</v>
      </c>
      <c r="C75" s="264"/>
      <c r="D75" s="265" t="s">
        <v>4877</v>
      </c>
      <c r="E75" s="306">
        <f t="shared" si="51"/>
        <v>0.000109403154747609</v>
      </c>
      <c r="F75" s="306">
        <f t="shared" si="52"/>
        <v>0.000109722536719134</v>
      </c>
      <c r="G75" s="304">
        <f t="shared" si="53"/>
        <v>0.000130727888075608</v>
      </c>
      <c r="H75" s="304">
        <f t="shared" si="54"/>
        <v>8.29928073266681e-5</v>
      </c>
      <c r="I75" s="304">
        <f t="shared" si="68"/>
        <v>7.14247179579439e-5</v>
      </c>
      <c r="J75" s="304">
        <f t="shared" si="55"/>
        <v>7.0862974962606e-5</v>
      </c>
      <c r="K75" s="304">
        <f t="shared" si="56"/>
        <v>8.40574179780615e-5</v>
      </c>
      <c r="L75" s="304">
        <f t="shared" si="57"/>
        <v>6.4670422754419e-5</v>
      </c>
      <c r="M75" s="304">
        <f t="shared" si="58"/>
        <v>7.99203402549893e-5</v>
      </c>
      <c r="N75" s="304">
        <f t="shared" si="59"/>
        <v>8.84332535025213e-5</v>
      </c>
      <c r="O75" s="304">
        <f t="shared" si="60"/>
        <v>0.000143583684009659</v>
      </c>
      <c r="P75" s="304">
        <f t="shared" si="61"/>
        <v>0.000438874146818005</v>
      </c>
      <c r="Q75" s="304">
        <v>0.000778563867762929</v>
      </c>
      <c r="R75" s="304">
        <f t="shared" si="62"/>
        <v>0.000589091660235097</v>
      </c>
      <c r="S75" s="304">
        <f t="shared" si="63"/>
        <v>0.000352808315747627</v>
      </c>
      <c r="T75" s="304">
        <v>8.67519000217725e-5</v>
      </c>
      <c r="U75" s="304">
        <v>0.000292694438800125</v>
      </c>
      <c r="V75" s="304">
        <v>0.000163642870128833</v>
      </c>
      <c r="W75" s="304">
        <v>0.000244171844032997</v>
      </c>
      <c r="X75" s="304">
        <f t="shared" si="64"/>
        <v>0.000424512434448746</v>
      </c>
      <c r="Y75" s="304">
        <f t="shared" si="45"/>
        <v>8.82751990457377e-5</v>
      </c>
      <c r="Z75" s="304">
        <f t="shared" si="46"/>
        <v>0.00016331454022301</v>
      </c>
      <c r="AA75" s="304">
        <f t="shared" si="69"/>
        <v>7.26884468174979e-5</v>
      </c>
      <c r="AB75" s="304">
        <f t="shared" si="70"/>
        <v>5.89305858924769e-5</v>
      </c>
      <c r="AC75" s="304">
        <f t="shared" si="65"/>
        <v>9.44029632614942e-5</v>
      </c>
      <c r="AD75" s="304">
        <f t="shared" si="71"/>
        <v>9.83884506872511e-5</v>
      </c>
      <c r="AE75" s="304">
        <f t="shared" si="72"/>
        <v>0</v>
      </c>
      <c r="AF75" s="303">
        <f t="shared" si="73"/>
        <v>-9.83884506872511e-5</v>
      </c>
      <c r="AG75" s="303">
        <f t="shared" si="74"/>
        <v>2.71496104737918e-6</v>
      </c>
      <c r="AH75" s="303">
        <f t="shared" si="75"/>
        <v>3.67936687933472e-5</v>
      </c>
      <c r="AI75" s="303">
        <f t="shared" si="76"/>
        <v>8.26421138323839e-5</v>
      </c>
      <c r="AJ75" s="303">
        <f t="shared" si="77"/>
        <v>7.19018117707912e-5</v>
      </c>
      <c r="AK75" s="303">
        <f t="shared" si="78"/>
        <v>-1.07403020615927e-5</v>
      </c>
      <c r="AL75" s="304">
        <f t="shared" si="79"/>
        <v>-1.07403020615927e-5</v>
      </c>
      <c r="AM75" s="304">
        <f t="shared" si="80"/>
        <v>-0.094017094017094</v>
      </c>
      <c r="AN75" s="299">
        <v>20500</v>
      </c>
      <c r="AO75" s="299">
        <v>25300</v>
      </c>
      <c r="AP75" s="299">
        <v>19304.8</v>
      </c>
      <c r="AQ75" s="299">
        <v>29500</v>
      </c>
      <c r="AR75" s="300">
        <v>23207.1</v>
      </c>
      <c r="AS75" s="300">
        <v>30100</v>
      </c>
      <c r="AT75" s="300">
        <v>14050.7</v>
      </c>
      <c r="AU75" s="300">
        <v>23000</v>
      </c>
      <c r="AV75" s="300">
        <v>12092.22</v>
      </c>
      <c r="AW75" s="300">
        <v>18900</v>
      </c>
      <c r="AX75" s="300">
        <v>9996.88</v>
      </c>
      <c r="AY75" s="300">
        <v>13900</v>
      </c>
      <c r="AZ75" s="300">
        <v>11071.6</v>
      </c>
      <c r="BA75" s="300">
        <v>17800</v>
      </c>
      <c r="BB75" s="300">
        <v>8876.82</v>
      </c>
      <c r="BC75" s="300">
        <v>39400</v>
      </c>
      <c r="BD75" s="300">
        <v>10296.722900697</v>
      </c>
      <c r="BE75" s="300">
        <v>45700</v>
      </c>
      <c r="BF75" s="300">
        <v>10916.74</v>
      </c>
      <c r="BG75" s="300">
        <v>17800</v>
      </c>
      <c r="BH75" s="300">
        <v>16729.02</v>
      </c>
      <c r="BI75" s="300">
        <v>37400</v>
      </c>
      <c r="BJ75" s="300">
        <v>50097.6</v>
      </c>
      <c r="BK75" s="300">
        <v>112000</v>
      </c>
      <c r="BL75" s="266">
        <v>8700</v>
      </c>
      <c r="BM75" s="266">
        <v>37800</v>
      </c>
      <c r="BN75" s="266">
        <v>73768.38</v>
      </c>
      <c r="BO75" s="266">
        <v>98700</v>
      </c>
      <c r="BP75" s="266">
        <v>46413.54</v>
      </c>
      <c r="BQ75" s="266">
        <v>62100</v>
      </c>
      <c r="BR75" s="266">
        <v>10500</v>
      </c>
      <c r="BS75" s="266">
        <v>46000</v>
      </c>
      <c r="BT75" s="266">
        <v>32927.6</v>
      </c>
      <c r="BU75" s="266">
        <v>62600</v>
      </c>
      <c r="BV75" s="266">
        <v>21055.58</v>
      </c>
      <c r="BW75" s="266">
        <v>59800</v>
      </c>
      <c r="BX75" s="266">
        <v>33500</v>
      </c>
      <c r="BY75" s="266">
        <v>70300</v>
      </c>
      <c r="BZ75" s="266">
        <v>28700</v>
      </c>
      <c r="CA75" s="266">
        <v>70300</v>
      </c>
      <c r="CB75" s="266">
        <v>11900</v>
      </c>
      <c r="CC75" s="266">
        <v>52600</v>
      </c>
      <c r="CD75" s="311">
        <v>22800</v>
      </c>
      <c r="CE75" s="311">
        <v>99200</v>
      </c>
      <c r="CF75" s="311">
        <v>9000</v>
      </c>
      <c r="CG75" s="311">
        <v>111000</v>
      </c>
      <c r="CH75" s="311">
        <v>7700</v>
      </c>
      <c r="CI75" s="311">
        <v>106700</v>
      </c>
      <c r="CJ75" s="311">
        <v>14700</v>
      </c>
      <c r="CK75" s="311">
        <v>35700</v>
      </c>
      <c r="CL75" s="311">
        <v>17100</v>
      </c>
      <c r="CM75" s="311">
        <v>8200</v>
      </c>
      <c r="CN75" s="311">
        <v>0</v>
      </c>
      <c r="CO75" s="311">
        <v>42100</v>
      </c>
      <c r="CP75" s="311">
        <v>432</v>
      </c>
      <c r="CQ75" s="311">
        <v>12700</v>
      </c>
      <c r="CR75" s="311">
        <v>5700</v>
      </c>
      <c r="CS75" s="258">
        <v>47000</v>
      </c>
      <c r="CT75" s="258">
        <v>12800</v>
      </c>
      <c r="CU75" s="258">
        <v>43400</v>
      </c>
      <c r="CV75" s="258">
        <v>11700</v>
      </c>
      <c r="CW75" s="258">
        <v>25900</v>
      </c>
      <c r="CX75" s="266">
        <f t="shared" si="66"/>
        <v>-1100</v>
      </c>
      <c r="CY75" s="266">
        <f t="shared" si="67"/>
        <v>-17500</v>
      </c>
      <c r="DA75" s="301" t="s">
        <v>4877</v>
      </c>
      <c r="DB75" s="258">
        <v>11700</v>
      </c>
      <c r="DC75" s="258">
        <f t="shared" ref="DC75:DC106" si="81">IF(DA75=D75,1,0)</f>
        <v>1</v>
      </c>
    </row>
    <row r="76" spans="1:107">
      <c r="A76" s="264" t="s">
        <v>4878</v>
      </c>
      <c r="B76" s="264" t="s">
        <v>4776</v>
      </c>
      <c r="C76" s="264"/>
      <c r="D76" s="310" t="s">
        <v>4879</v>
      </c>
      <c r="E76" s="306">
        <f t="shared" si="51"/>
        <v>0.000101398045863638</v>
      </c>
      <c r="F76" s="306">
        <f t="shared" si="52"/>
        <v>9.28661272626895e-5</v>
      </c>
      <c r="G76" s="304">
        <f t="shared" si="53"/>
        <v>7.47008053640931e-5</v>
      </c>
      <c r="H76" s="304">
        <f t="shared" si="54"/>
        <v>0</v>
      </c>
      <c r="I76" s="304">
        <f t="shared" si="68"/>
        <v>4.69061428539989e-5</v>
      </c>
      <c r="J76" s="304">
        <f t="shared" si="55"/>
        <v>0</v>
      </c>
      <c r="K76" s="304">
        <f t="shared" si="56"/>
        <v>0.000149435451917472</v>
      </c>
      <c r="L76" s="304">
        <f t="shared" si="57"/>
        <v>0.000668037157423777</v>
      </c>
      <c r="M76" s="304">
        <f t="shared" si="58"/>
        <v>0.000495420870429399</v>
      </c>
      <c r="N76" s="304">
        <f t="shared" si="59"/>
        <v>0.000661288626439584</v>
      </c>
      <c r="O76" s="304">
        <f t="shared" si="60"/>
        <v>0.000832355226105625</v>
      </c>
      <c r="P76" s="304">
        <f t="shared" si="61"/>
        <v>0.000483724239951345</v>
      </c>
      <c r="Q76" s="304">
        <v>0.00155087141873133</v>
      </c>
      <c r="R76" s="304">
        <f t="shared" si="62"/>
        <v>0.000457840880920269</v>
      </c>
      <c r="S76" s="304">
        <f t="shared" si="63"/>
        <v>0.000735134576213056</v>
      </c>
      <c r="T76" s="304">
        <v>0.000399741436242896</v>
      </c>
      <c r="U76" s="304">
        <v>0.000578781661272302</v>
      </c>
      <c r="V76" s="304">
        <v>0.000388082579664122</v>
      </c>
      <c r="W76" s="304">
        <v>0.000398692533391192</v>
      </c>
      <c r="X76" s="304">
        <f t="shared" si="64"/>
        <v>0.00132667683994864</v>
      </c>
      <c r="Y76" s="304">
        <f t="shared" si="45"/>
        <v>0.000275952723067348</v>
      </c>
      <c r="Z76" s="304">
        <f t="shared" si="46"/>
        <v>0.000500687998315282</v>
      </c>
      <c r="AA76" s="304">
        <f t="shared" si="69"/>
        <v>0.000271370201451992</v>
      </c>
      <c r="AB76" s="304">
        <f t="shared" si="70"/>
        <v>0.00033598087281555</v>
      </c>
      <c r="AC76" s="304">
        <f t="shared" si="65"/>
        <v>0.000279355707610544</v>
      </c>
      <c r="AD76" s="304">
        <f t="shared" si="71"/>
        <v>0.00235729521909747</v>
      </c>
      <c r="AE76" s="304">
        <f t="shared" si="72"/>
        <v>0.000342549312471971</v>
      </c>
      <c r="AF76" s="303">
        <f t="shared" si="73"/>
        <v>-0.0020147459066255</v>
      </c>
      <c r="AG76" s="303">
        <f t="shared" si="74"/>
        <v>0.000151459632504255</v>
      </c>
      <c r="AH76" s="303">
        <f t="shared" si="75"/>
        <v>0.000247873137134128</v>
      </c>
      <c r="AI76" s="303">
        <f t="shared" si="76"/>
        <v>0.000943282252414945</v>
      </c>
      <c r="AJ76" s="303">
        <f t="shared" si="77"/>
        <v>0.000150563622938836</v>
      </c>
      <c r="AK76" s="303">
        <f t="shared" si="78"/>
        <v>-0.000792718629476109</v>
      </c>
      <c r="AL76" s="304">
        <f t="shared" si="79"/>
        <v>-0.000792718629476109</v>
      </c>
      <c r="AM76" s="304">
        <f t="shared" si="80"/>
        <v>-4.96326530612245</v>
      </c>
      <c r="AN76" s="299">
        <v>19000</v>
      </c>
      <c r="AO76" s="299">
        <v>96300</v>
      </c>
      <c r="AP76" s="299">
        <v>16339.05</v>
      </c>
      <c r="AQ76" s="299">
        <v>94500</v>
      </c>
      <c r="AR76" s="300">
        <v>13261.05</v>
      </c>
      <c r="AS76" s="300">
        <v>89300</v>
      </c>
      <c r="AT76" s="300">
        <v>0</v>
      </c>
      <c r="AU76" s="300">
        <v>0</v>
      </c>
      <c r="AV76" s="300">
        <v>7941.22</v>
      </c>
      <c r="AW76" s="300">
        <v>91700</v>
      </c>
      <c r="AX76" s="300">
        <v>0</v>
      </c>
      <c r="AY76" s="300">
        <v>85300</v>
      </c>
      <c r="AZ76" s="300">
        <v>19682.85</v>
      </c>
      <c r="BA76" s="300">
        <v>75500</v>
      </c>
      <c r="BB76" s="300">
        <v>91696.41</v>
      </c>
      <c r="BC76" s="300">
        <v>235300</v>
      </c>
      <c r="BD76" s="300">
        <v>63828.7</v>
      </c>
      <c r="BE76" s="300">
        <v>265400</v>
      </c>
      <c r="BF76" s="300">
        <v>81633.5</v>
      </c>
      <c r="BG76" s="300">
        <v>330500</v>
      </c>
      <c r="BH76" s="300">
        <v>96978.2</v>
      </c>
      <c r="BI76" s="300">
        <v>374000</v>
      </c>
      <c r="BJ76" s="300">
        <v>55217.25</v>
      </c>
      <c r="BK76" s="300">
        <v>223100</v>
      </c>
      <c r="BL76" s="266">
        <v>66226.67</v>
      </c>
      <c r="BM76" s="266">
        <v>262700</v>
      </c>
      <c r="BN76" s="266">
        <v>57332.64</v>
      </c>
      <c r="BO76" s="266">
        <v>148800</v>
      </c>
      <c r="BP76" s="266">
        <v>96710.3</v>
      </c>
      <c r="BQ76" s="266">
        <v>251000</v>
      </c>
      <c r="BR76" s="266">
        <v>48382.63</v>
      </c>
      <c r="BS76" s="266">
        <v>160900</v>
      </c>
      <c r="BT76" s="266">
        <v>65111.9</v>
      </c>
      <c r="BU76" s="266">
        <v>243500</v>
      </c>
      <c r="BV76" s="266">
        <v>49933.76</v>
      </c>
      <c r="BW76" s="266">
        <v>232900</v>
      </c>
      <c r="BX76" s="266">
        <v>54700</v>
      </c>
      <c r="BY76" s="266">
        <v>219700</v>
      </c>
      <c r="BZ76" s="266">
        <v>54700</v>
      </c>
      <c r="CA76" s="266">
        <v>219700</v>
      </c>
      <c r="CB76" s="266">
        <v>37200</v>
      </c>
      <c r="CC76" s="266">
        <v>105900</v>
      </c>
      <c r="CD76" s="311">
        <v>69900</v>
      </c>
      <c r="CE76" s="311">
        <v>161100</v>
      </c>
      <c r="CF76" s="311">
        <v>33600</v>
      </c>
      <c r="CG76" s="311">
        <v>145300</v>
      </c>
      <c r="CH76" s="311">
        <v>43900</v>
      </c>
      <c r="CI76" s="311">
        <v>134500</v>
      </c>
      <c r="CJ76" s="311">
        <v>43500</v>
      </c>
      <c r="CK76" s="311">
        <v>254800</v>
      </c>
      <c r="CL76" s="311">
        <v>409700</v>
      </c>
      <c r="CM76" s="311">
        <v>409700</v>
      </c>
      <c r="CN76" s="311">
        <v>52100</v>
      </c>
      <c r="CO76" s="311">
        <v>520000</v>
      </c>
      <c r="CP76" s="311">
        <v>24100</v>
      </c>
      <c r="CQ76" s="311">
        <v>148400</v>
      </c>
      <c r="CR76" s="311">
        <v>38400</v>
      </c>
      <c r="CS76" s="258">
        <v>181700</v>
      </c>
      <c r="CT76" s="258">
        <v>146100</v>
      </c>
      <c r="CU76" s="258">
        <v>235900</v>
      </c>
      <c r="CV76" s="258">
        <v>24500</v>
      </c>
      <c r="CW76" s="258">
        <v>174500</v>
      </c>
      <c r="CX76" s="266">
        <f t="shared" si="66"/>
        <v>-121600</v>
      </c>
      <c r="CY76" s="266">
        <f t="shared" si="67"/>
        <v>-61400</v>
      </c>
      <c r="DA76" s="301" t="s">
        <v>4879</v>
      </c>
      <c r="DB76" s="258">
        <v>0</v>
      </c>
      <c r="DC76" s="258">
        <f t="shared" si="81"/>
        <v>1</v>
      </c>
    </row>
    <row r="77" spans="1:107">
      <c r="A77" s="309" t="s">
        <v>4880</v>
      </c>
      <c r="B77" s="264" t="s">
        <v>4776</v>
      </c>
      <c r="C77" s="264"/>
      <c r="D77" s="265" t="s">
        <v>4881</v>
      </c>
      <c r="E77" s="306">
        <f t="shared" si="51"/>
        <v>8.80561977236854e-5</v>
      </c>
      <c r="F77" s="306">
        <f t="shared" si="52"/>
        <v>3.02471308979987e-5</v>
      </c>
      <c r="G77" s="304">
        <f t="shared" si="53"/>
        <v>4.38425209289494e-5</v>
      </c>
      <c r="H77" s="304">
        <f t="shared" si="54"/>
        <v>3.69068642652333e-5</v>
      </c>
      <c r="I77" s="304">
        <f t="shared" si="68"/>
        <v>0</v>
      </c>
      <c r="J77" s="304">
        <f t="shared" si="55"/>
        <v>0</v>
      </c>
      <c r="K77" s="304">
        <f t="shared" si="56"/>
        <v>0</v>
      </c>
      <c r="L77" s="304">
        <f t="shared" si="57"/>
        <v>0</v>
      </c>
      <c r="M77" s="304">
        <f t="shared" si="58"/>
        <v>0.000113560646576258</v>
      </c>
      <c r="N77" s="304">
        <f t="shared" si="59"/>
        <v>0.000226769016229772</v>
      </c>
      <c r="O77" s="304">
        <f t="shared" si="60"/>
        <v>0.00012975198017232</v>
      </c>
      <c r="P77" s="304">
        <f t="shared" si="61"/>
        <v>0.000194671296394985</v>
      </c>
      <c r="Q77" s="304">
        <v>0.000327413912246732</v>
      </c>
      <c r="R77" s="304">
        <f t="shared" si="62"/>
        <v>6.63479351900404e-5</v>
      </c>
      <c r="S77" s="304">
        <f t="shared" si="63"/>
        <v>9.55862019760454e-5</v>
      </c>
      <c r="T77" s="304">
        <v>5.7834600014515e-5</v>
      </c>
      <c r="U77" s="304">
        <v>0.000125335329239962</v>
      </c>
      <c r="V77" s="304">
        <v>6.03448229183482e-5</v>
      </c>
      <c r="W77" s="304">
        <v>0.00013192568289544</v>
      </c>
      <c r="X77" s="304">
        <f t="shared" si="64"/>
        <v>0.000362918880659596</v>
      </c>
      <c r="Y77" s="304">
        <f t="shared" si="45"/>
        <v>0.000268534639113925</v>
      </c>
      <c r="Z77" s="304">
        <f t="shared" si="46"/>
        <v>0.000291530780134935</v>
      </c>
      <c r="AA77" s="304">
        <f t="shared" si="69"/>
        <v>0.000260870759133909</v>
      </c>
      <c r="AB77" s="304">
        <f t="shared" si="70"/>
        <v>0.000105615855235868</v>
      </c>
      <c r="AC77" s="304">
        <f t="shared" si="65"/>
        <v>6.93572791308937e-5</v>
      </c>
      <c r="AD77" s="304">
        <f t="shared" si="71"/>
        <v>0.00025258789386961</v>
      </c>
      <c r="AE77" s="304">
        <f t="shared" si="72"/>
        <v>6.77208813524241e-5</v>
      </c>
      <c r="AF77" s="303">
        <f t="shared" si="73"/>
        <v>-0.000184867012517186</v>
      </c>
      <c r="AG77" s="303">
        <f t="shared" si="74"/>
        <v>2.45100650110621e-5</v>
      </c>
      <c r="AH77" s="303">
        <f t="shared" si="75"/>
        <v>2.32381066063245e-5</v>
      </c>
      <c r="AI77" s="303">
        <f t="shared" si="76"/>
        <v>2.1951811486727e-5</v>
      </c>
      <c r="AJ77" s="303">
        <f t="shared" si="77"/>
        <v>1.65927257932595e-5</v>
      </c>
      <c r="AK77" s="303">
        <f t="shared" si="78"/>
        <v>-5.3590856934675e-6</v>
      </c>
      <c r="AL77" s="304">
        <f t="shared" si="79"/>
        <v>-5.3590856934675e-6</v>
      </c>
      <c r="AM77" s="304">
        <f t="shared" si="80"/>
        <v>-0.259259259259259</v>
      </c>
      <c r="AN77" s="299">
        <v>16500</v>
      </c>
      <c r="AO77" s="299">
        <v>53800</v>
      </c>
      <c r="AP77" s="299">
        <v>5321.74</v>
      </c>
      <c r="AQ77" s="299">
        <v>50300</v>
      </c>
      <c r="AR77" s="300">
        <v>7783.02</v>
      </c>
      <c r="AS77" s="300">
        <v>49700</v>
      </c>
      <c r="AT77" s="300">
        <v>6248.34</v>
      </c>
      <c r="AU77" s="300">
        <v>39900</v>
      </c>
      <c r="AV77" s="300">
        <v>0</v>
      </c>
      <c r="AW77" s="300">
        <v>43400</v>
      </c>
      <c r="AX77" s="300">
        <v>0</v>
      </c>
      <c r="AY77" s="300">
        <v>55700</v>
      </c>
      <c r="AZ77" s="300">
        <v>0</v>
      </c>
      <c r="BA77" s="300">
        <v>55600</v>
      </c>
      <c r="BB77" s="300">
        <v>0</v>
      </c>
      <c r="BC77" s="300">
        <v>1200000</v>
      </c>
      <c r="BD77" s="300">
        <v>14630.85</v>
      </c>
      <c r="BE77" s="300">
        <v>53300</v>
      </c>
      <c r="BF77" s="300">
        <v>27993.75</v>
      </c>
      <c r="BG77" s="300">
        <v>62500</v>
      </c>
      <c r="BH77" s="300">
        <v>15117.48</v>
      </c>
      <c r="BI77" s="300">
        <v>58800</v>
      </c>
      <c r="BJ77" s="300">
        <v>22221.78</v>
      </c>
      <c r="BK77" s="300">
        <v>47100</v>
      </c>
      <c r="BL77" s="266">
        <v>13300</v>
      </c>
      <c r="BM77" s="266">
        <v>51200</v>
      </c>
      <c r="BN77" s="266">
        <v>8308.35</v>
      </c>
      <c r="BO77" s="266">
        <v>33300</v>
      </c>
      <c r="BP77" s="266">
        <v>12574.8</v>
      </c>
      <c r="BQ77" s="266">
        <v>50400</v>
      </c>
      <c r="BR77" s="266">
        <v>7000</v>
      </c>
      <c r="BS77" s="266">
        <v>43400</v>
      </c>
      <c r="BT77" s="266">
        <v>14100</v>
      </c>
      <c r="BU77" s="266">
        <v>63200</v>
      </c>
      <c r="BV77" s="266">
        <v>7764.44</v>
      </c>
      <c r="BW77" s="266">
        <v>38900</v>
      </c>
      <c r="BX77" s="266">
        <v>18100</v>
      </c>
      <c r="BY77" s="266">
        <v>60100</v>
      </c>
      <c r="BZ77" s="266">
        <v>16300</v>
      </c>
      <c r="CA77" s="266">
        <v>60100</v>
      </c>
      <c r="CB77" s="266">
        <v>36200</v>
      </c>
      <c r="CC77" s="266">
        <v>59700</v>
      </c>
      <c r="CD77" s="311">
        <v>40700</v>
      </c>
      <c r="CE77" s="311">
        <v>80000</v>
      </c>
      <c r="CF77" s="311">
        <v>32300</v>
      </c>
      <c r="CG77" s="311">
        <v>78400</v>
      </c>
      <c r="CH77" s="311">
        <v>13800</v>
      </c>
      <c r="CI77" s="311">
        <v>46100</v>
      </c>
      <c r="CJ77" s="311">
        <v>10800</v>
      </c>
      <c r="CK77" s="311">
        <v>36000</v>
      </c>
      <c r="CL77" s="311">
        <v>43900</v>
      </c>
      <c r="CM77" s="311">
        <v>43900</v>
      </c>
      <c r="CN77" s="311">
        <v>10300</v>
      </c>
      <c r="CO77" s="311">
        <v>35900</v>
      </c>
      <c r="CP77" s="311">
        <v>3900</v>
      </c>
      <c r="CQ77" s="311">
        <v>92500</v>
      </c>
      <c r="CR77" s="311">
        <v>3600</v>
      </c>
      <c r="CS77" s="258">
        <v>6200</v>
      </c>
      <c r="CT77" s="258">
        <v>3400</v>
      </c>
      <c r="CU77" s="258">
        <v>36500</v>
      </c>
      <c r="CV77" s="258">
        <v>2700</v>
      </c>
      <c r="CW77" s="258">
        <v>41300</v>
      </c>
      <c r="CX77" s="266">
        <f t="shared" si="66"/>
        <v>-700</v>
      </c>
      <c r="CY77" s="266">
        <f t="shared" si="67"/>
        <v>4800</v>
      </c>
      <c r="DA77" s="301" t="s">
        <v>4881</v>
      </c>
      <c r="DB77" s="258">
        <v>0</v>
      </c>
      <c r="DC77" s="258">
        <f t="shared" si="81"/>
        <v>1</v>
      </c>
    </row>
    <row r="78" spans="1:107">
      <c r="A78" s="264" t="s">
        <v>4882</v>
      </c>
      <c r="B78" s="264" t="s">
        <v>4776</v>
      </c>
      <c r="C78" s="264"/>
      <c r="D78" s="265" t="s">
        <v>4883</v>
      </c>
      <c r="E78" s="306">
        <f t="shared" si="51"/>
        <v>8.32531323933026e-5</v>
      </c>
      <c r="F78" s="306">
        <f t="shared" si="52"/>
        <v>3.18286750252347e-5</v>
      </c>
      <c r="G78" s="304">
        <f t="shared" si="53"/>
        <v>2.0330191697289e-5</v>
      </c>
      <c r="H78" s="304">
        <f t="shared" si="54"/>
        <v>7.10583864648225e-6</v>
      </c>
      <c r="I78" s="304">
        <f t="shared" si="68"/>
        <v>0</v>
      </c>
      <c r="J78" s="304">
        <f t="shared" si="55"/>
        <v>3.20611849393378e-5</v>
      </c>
      <c r="K78" s="304">
        <f t="shared" si="56"/>
        <v>2.27764960741162e-5</v>
      </c>
      <c r="L78" s="304">
        <f t="shared" si="57"/>
        <v>2.37264962303809e-5</v>
      </c>
      <c r="M78" s="304">
        <f t="shared" si="58"/>
        <v>0.000314734955933188</v>
      </c>
      <c r="N78" s="304">
        <f t="shared" si="59"/>
        <v>3.29901073845322e-5</v>
      </c>
      <c r="O78" s="304">
        <f t="shared" si="60"/>
        <v>0.000186514201499659</v>
      </c>
      <c r="P78" s="304">
        <f t="shared" si="61"/>
        <v>0.000232816805859961</v>
      </c>
      <c r="Q78" s="304">
        <v>0.000187689503835706</v>
      </c>
      <c r="R78" s="304">
        <f t="shared" si="62"/>
        <v>3.5694132625014e-5</v>
      </c>
      <c r="S78" s="304">
        <f t="shared" si="63"/>
        <v>3.61000050520467e-5</v>
      </c>
      <c r="T78" s="304">
        <v>0</v>
      </c>
      <c r="U78" s="304">
        <v>2.87427688262914e-5</v>
      </c>
      <c r="V78" s="304">
        <v>1.84171848671134e-5</v>
      </c>
      <c r="W78" s="304">
        <v>1.60351658767938e-5</v>
      </c>
      <c r="X78" s="304">
        <f t="shared" si="64"/>
        <v>1.57003176325283e-5</v>
      </c>
      <c r="Y78" s="304">
        <f t="shared" si="45"/>
        <v>2.8930527418351e-5</v>
      </c>
      <c r="Z78" s="304">
        <f t="shared" si="46"/>
        <v>0.000204143175278763</v>
      </c>
      <c r="AA78" s="304">
        <f t="shared" si="69"/>
        <v>3.3921275181499e-5</v>
      </c>
      <c r="AB78" s="304">
        <f t="shared" si="70"/>
        <v>1.83679748236292e-5</v>
      </c>
      <c r="AC78" s="304">
        <f t="shared" si="65"/>
        <v>1.09173494928259e-5</v>
      </c>
      <c r="AD78" s="304">
        <f t="shared" si="71"/>
        <v>5.13806353588978e-6</v>
      </c>
      <c r="AE78" s="304">
        <f t="shared" si="72"/>
        <v>2.03820128342247e-5</v>
      </c>
      <c r="AF78" s="303">
        <f t="shared" si="73"/>
        <v>1.5243949298335e-5</v>
      </c>
      <c r="AG78" s="303">
        <f t="shared" si="74"/>
        <v>0</v>
      </c>
      <c r="AH78" s="303">
        <f t="shared" si="75"/>
        <v>0</v>
      </c>
      <c r="AI78" s="303">
        <f t="shared" si="76"/>
        <v>0</v>
      </c>
      <c r="AJ78" s="303">
        <f t="shared" si="77"/>
        <v>0</v>
      </c>
      <c r="AK78" s="303">
        <f t="shared" si="78"/>
        <v>0</v>
      </c>
      <c r="AL78" s="304">
        <f t="shared" si="79"/>
        <v>0</v>
      </c>
      <c r="AM78" s="304">
        <f t="shared" si="80"/>
        <v>0</v>
      </c>
      <c r="AN78" s="299">
        <v>15600</v>
      </c>
      <c r="AO78" s="299">
        <v>16000</v>
      </c>
      <c r="AP78" s="299">
        <v>5600</v>
      </c>
      <c r="AQ78" s="299">
        <v>5600</v>
      </c>
      <c r="AR78" s="300">
        <v>3609.06</v>
      </c>
      <c r="AS78" s="300">
        <v>3900</v>
      </c>
      <c r="AT78" s="300">
        <v>1203.02</v>
      </c>
      <c r="AU78" s="300">
        <v>1300</v>
      </c>
      <c r="AV78" s="300">
        <v>0</v>
      </c>
      <c r="AW78" s="300">
        <v>158</v>
      </c>
      <c r="AX78" s="300">
        <v>4522.98</v>
      </c>
      <c r="AY78" s="300">
        <v>6600</v>
      </c>
      <c r="AZ78" s="300">
        <v>3000</v>
      </c>
      <c r="BA78" s="300">
        <v>22200</v>
      </c>
      <c r="BB78" s="300">
        <v>3256.75675675676</v>
      </c>
      <c r="BC78" s="300">
        <v>24100</v>
      </c>
      <c r="BD78" s="300">
        <v>40549.61</v>
      </c>
      <c r="BE78" s="300">
        <v>45700</v>
      </c>
      <c r="BF78" s="300">
        <v>4072.5</v>
      </c>
      <c r="BG78" s="300">
        <v>5000</v>
      </c>
      <c r="BH78" s="300">
        <v>21730.88</v>
      </c>
      <c r="BI78" s="300">
        <v>23600</v>
      </c>
      <c r="BJ78" s="300">
        <v>26576.1</v>
      </c>
      <c r="BK78" s="300">
        <v>27000</v>
      </c>
      <c r="BL78" s="266">
        <v>4391.82</v>
      </c>
      <c r="BM78" s="266">
        <v>5400</v>
      </c>
      <c r="BN78" s="266">
        <v>4469.76</v>
      </c>
      <c r="BO78" s="266">
        <v>4800</v>
      </c>
      <c r="BP78" s="266">
        <v>4749.12</v>
      </c>
      <c r="BQ78" s="266">
        <v>5100</v>
      </c>
      <c r="BR78" s="266">
        <v>0</v>
      </c>
      <c r="BS78" s="266">
        <v>563</v>
      </c>
      <c r="BT78" s="266">
        <v>3233.51</v>
      </c>
      <c r="BU78" s="266">
        <v>4900</v>
      </c>
      <c r="BV78" s="266">
        <v>2369.7</v>
      </c>
      <c r="BW78" s="266">
        <v>3000</v>
      </c>
      <c r="BX78" s="266">
        <v>2200</v>
      </c>
      <c r="BY78" s="266">
        <v>2600</v>
      </c>
      <c r="BZ78" s="266">
        <v>2200</v>
      </c>
      <c r="CA78" s="266">
        <v>2600</v>
      </c>
      <c r="CB78" s="266">
        <v>3900</v>
      </c>
      <c r="CC78" s="266">
        <v>5500</v>
      </c>
      <c r="CD78" s="311">
        <v>28500</v>
      </c>
      <c r="CE78" s="311">
        <v>31800</v>
      </c>
      <c r="CF78" s="311">
        <v>4200</v>
      </c>
      <c r="CG78" s="311">
        <v>4700</v>
      </c>
      <c r="CH78" s="311">
        <v>2400</v>
      </c>
      <c r="CI78" s="311">
        <v>3100</v>
      </c>
      <c r="CJ78" s="311">
        <v>1700</v>
      </c>
      <c r="CK78" s="311">
        <v>8900</v>
      </c>
      <c r="CL78" s="311">
        <v>893</v>
      </c>
      <c r="CM78" s="311">
        <v>494</v>
      </c>
      <c r="CN78" s="311">
        <v>3100</v>
      </c>
      <c r="CO78" s="311">
        <v>3300</v>
      </c>
      <c r="CP78" s="311">
        <v>0</v>
      </c>
      <c r="CQ78" s="311">
        <v>3900</v>
      </c>
      <c r="CR78" s="311">
        <v>0</v>
      </c>
      <c r="CS78" s="258">
        <v>20100</v>
      </c>
      <c r="CT78" s="258">
        <v>0</v>
      </c>
      <c r="CU78" s="258">
        <v>216</v>
      </c>
      <c r="CV78" s="258">
        <v>0</v>
      </c>
      <c r="CW78" s="258">
        <v>973</v>
      </c>
      <c r="CX78" s="266">
        <f t="shared" si="66"/>
        <v>0</v>
      </c>
      <c r="CY78" s="266">
        <f t="shared" si="67"/>
        <v>757</v>
      </c>
      <c r="DA78" s="301" t="s">
        <v>4883</v>
      </c>
      <c r="DB78" s="258">
        <v>0</v>
      </c>
      <c r="DC78" s="258">
        <f t="shared" si="81"/>
        <v>1</v>
      </c>
    </row>
    <row r="79" spans="1:107">
      <c r="A79" s="309" t="s">
        <v>4884</v>
      </c>
      <c r="B79" s="264" t="s">
        <v>4776</v>
      </c>
      <c r="C79" s="264"/>
      <c r="D79" s="265" t="s">
        <v>4885</v>
      </c>
      <c r="E79" s="306">
        <f t="shared" si="51"/>
        <v>7.52480235093312e-5</v>
      </c>
      <c r="F79" s="306">
        <f t="shared" si="52"/>
        <v>2.44690896425248e-5</v>
      </c>
      <c r="G79" s="304">
        <f t="shared" si="53"/>
        <v>3.30255065516223e-5</v>
      </c>
      <c r="H79" s="304">
        <f t="shared" si="54"/>
        <v>3.81595502223628e-5</v>
      </c>
      <c r="I79" s="304">
        <f t="shared" si="68"/>
        <v>0</v>
      </c>
      <c r="J79" s="304">
        <f t="shared" si="55"/>
        <v>0</v>
      </c>
      <c r="K79" s="304">
        <f t="shared" si="56"/>
        <v>0</v>
      </c>
      <c r="L79" s="304">
        <f t="shared" si="57"/>
        <v>0</v>
      </c>
      <c r="M79" s="304">
        <f t="shared" si="58"/>
        <v>0.000344902611008653</v>
      </c>
      <c r="N79" s="304">
        <f t="shared" si="59"/>
        <v>7.03158317914861e-5</v>
      </c>
      <c r="O79" s="304">
        <f t="shared" si="60"/>
        <v>0.000124201368937025</v>
      </c>
      <c r="P79" s="304">
        <f t="shared" si="61"/>
        <v>0.000149884891243652</v>
      </c>
      <c r="Q79" s="304">
        <v>0.000428210127269611</v>
      </c>
      <c r="R79" s="304">
        <f t="shared" si="62"/>
        <v>7.66626559815592e-5</v>
      </c>
      <c r="S79" s="304">
        <f t="shared" si="63"/>
        <v>9.15539583856731e-5</v>
      </c>
      <c r="T79" s="304">
        <v>2.56124657207138e-5</v>
      </c>
      <c r="U79" s="304">
        <v>5.06674735225377e-5</v>
      </c>
      <c r="V79" s="304">
        <v>0.000223374486360252</v>
      </c>
      <c r="W79" s="304">
        <v>0.00110496870314634</v>
      </c>
      <c r="X79" s="304">
        <f t="shared" si="64"/>
        <v>0.000942019057951698</v>
      </c>
      <c r="Y79" s="304">
        <f t="shared" si="45"/>
        <v>0.000183226673649556</v>
      </c>
      <c r="Z79" s="304">
        <f t="shared" si="46"/>
        <v>2.57865063510016e-5</v>
      </c>
      <c r="AA79" s="304">
        <f t="shared" si="69"/>
        <v>3.14983269542491e-5</v>
      </c>
      <c r="AB79" s="304">
        <f t="shared" si="70"/>
        <v>3.9031946500212e-5</v>
      </c>
      <c r="AC79" s="304">
        <f t="shared" si="65"/>
        <v>0.000215778201740558</v>
      </c>
      <c r="AD79" s="304">
        <f t="shared" si="71"/>
        <v>0.000322783162780982</v>
      </c>
      <c r="AE79" s="304">
        <f t="shared" si="72"/>
        <v>1.18347171295498e-5</v>
      </c>
      <c r="AF79" s="303">
        <f t="shared" si="73"/>
        <v>-0.000310948445651432</v>
      </c>
      <c r="AG79" s="303">
        <f t="shared" si="74"/>
        <v>5.42992209475836e-6</v>
      </c>
      <c r="AH79" s="303">
        <f t="shared" si="75"/>
        <v>3.31143019140125e-6</v>
      </c>
      <c r="AI79" s="303">
        <f t="shared" si="76"/>
        <v>0</v>
      </c>
      <c r="AJ79" s="303">
        <f t="shared" si="77"/>
        <v>3.35541788263692e-6</v>
      </c>
      <c r="AK79" s="303">
        <f t="shared" si="78"/>
        <v>3.35541788263692e-6</v>
      </c>
      <c r="AL79" s="304">
        <f t="shared" si="79"/>
        <v>3.35541788263692e-6</v>
      </c>
      <c r="AM79" s="304">
        <f t="shared" si="80"/>
        <v>1</v>
      </c>
      <c r="AN79" s="299">
        <v>14100</v>
      </c>
      <c r="AO79" s="299">
        <v>23900</v>
      </c>
      <c r="AP79" s="299">
        <v>4305.14</v>
      </c>
      <c r="AQ79" s="299">
        <v>19100</v>
      </c>
      <c r="AR79" s="300">
        <v>5862.76</v>
      </c>
      <c r="AS79" s="300">
        <v>20600</v>
      </c>
      <c r="AT79" s="300">
        <v>6460.42</v>
      </c>
      <c r="AU79" s="300">
        <v>22700</v>
      </c>
      <c r="AV79" s="300">
        <v>0</v>
      </c>
      <c r="AW79" s="300">
        <v>19600</v>
      </c>
      <c r="AX79" s="300">
        <v>0</v>
      </c>
      <c r="AY79" s="300">
        <v>21300</v>
      </c>
      <c r="AZ79" s="300">
        <v>0</v>
      </c>
      <c r="BA79" s="300">
        <v>20500</v>
      </c>
      <c r="BB79" s="300">
        <v>0</v>
      </c>
      <c r="BC79" s="300">
        <v>94600</v>
      </c>
      <c r="BD79" s="300">
        <v>44436.33</v>
      </c>
      <c r="BE79" s="300">
        <v>83700</v>
      </c>
      <c r="BF79" s="300">
        <v>8680.215</v>
      </c>
      <c r="BG79" s="300">
        <v>32700</v>
      </c>
      <c r="BH79" s="300">
        <v>14470.775</v>
      </c>
      <c r="BI79" s="300">
        <v>52100</v>
      </c>
      <c r="BJ79" s="300">
        <v>17109.4</v>
      </c>
      <c r="BK79" s="300">
        <v>61600</v>
      </c>
      <c r="BL79" s="266">
        <v>1900</v>
      </c>
      <c r="BM79" s="266">
        <v>26500</v>
      </c>
      <c r="BN79" s="266">
        <v>9600</v>
      </c>
      <c r="BO79" s="266">
        <v>36600</v>
      </c>
      <c r="BP79" s="266">
        <v>12044.34</v>
      </c>
      <c r="BQ79" s="266">
        <v>47400</v>
      </c>
      <c r="BR79" s="266">
        <v>3100</v>
      </c>
      <c r="BS79" s="266">
        <v>35000</v>
      </c>
      <c r="BT79" s="266">
        <v>5700</v>
      </c>
      <c r="BU79" s="266">
        <v>68100</v>
      </c>
      <c r="BV79" s="266">
        <v>28741.12</v>
      </c>
      <c r="BW79" s="266">
        <v>82400</v>
      </c>
      <c r="BX79" s="266">
        <v>151600</v>
      </c>
      <c r="BY79" s="266">
        <v>156000</v>
      </c>
      <c r="BZ79" s="266">
        <v>2100</v>
      </c>
      <c r="CA79" s="266">
        <v>156000</v>
      </c>
      <c r="CB79" s="266">
        <v>24700</v>
      </c>
      <c r="CC79" s="266">
        <v>47000</v>
      </c>
      <c r="CD79" s="311">
        <v>3600</v>
      </c>
      <c r="CE79" s="311">
        <v>60000</v>
      </c>
      <c r="CF79" s="311">
        <v>3900</v>
      </c>
      <c r="CG79" s="311">
        <v>50500</v>
      </c>
      <c r="CH79" s="311">
        <v>5100</v>
      </c>
      <c r="CI79" s="311">
        <v>34100</v>
      </c>
      <c r="CJ79" s="311">
        <v>33600</v>
      </c>
      <c r="CK79" s="311">
        <v>51200</v>
      </c>
      <c r="CL79" s="311">
        <v>56100</v>
      </c>
      <c r="CM79" s="311">
        <v>56100</v>
      </c>
      <c r="CN79" s="311">
        <v>1800</v>
      </c>
      <c r="CO79" s="311">
        <v>24100</v>
      </c>
      <c r="CP79" s="311">
        <v>864</v>
      </c>
      <c r="CQ79" s="311">
        <v>67800</v>
      </c>
      <c r="CR79" s="311">
        <v>513</v>
      </c>
      <c r="CS79" s="258">
        <v>69400</v>
      </c>
      <c r="CT79" s="258">
        <v>0</v>
      </c>
      <c r="CU79" s="258">
        <v>84500</v>
      </c>
      <c r="CV79" s="258">
        <v>546</v>
      </c>
      <c r="CW79" s="258">
        <v>10600</v>
      </c>
      <c r="CX79" s="266">
        <f t="shared" si="66"/>
        <v>546</v>
      </c>
      <c r="CY79" s="266">
        <f t="shared" si="67"/>
        <v>-73900</v>
      </c>
      <c r="DA79" s="301" t="s">
        <v>4885</v>
      </c>
      <c r="DB79" s="258">
        <v>0</v>
      </c>
      <c r="DC79" s="258">
        <f t="shared" si="81"/>
        <v>1</v>
      </c>
    </row>
    <row r="80" spans="1:107">
      <c r="A80" s="264" t="s">
        <v>4886</v>
      </c>
      <c r="B80" s="264" t="s">
        <v>4776</v>
      </c>
      <c r="C80" s="264"/>
      <c r="D80" s="258" t="s">
        <v>4887</v>
      </c>
      <c r="E80" s="306">
        <f t="shared" si="51"/>
        <v>7.25796538813407e-5</v>
      </c>
      <c r="F80" s="306">
        <f t="shared" si="52"/>
        <v>5.81806581431809e-5</v>
      </c>
      <c r="G80" s="304">
        <f t="shared" si="53"/>
        <v>8.03862356917011e-5</v>
      </c>
      <c r="H80" s="304">
        <f t="shared" si="54"/>
        <v>5.34481310597627e-5</v>
      </c>
      <c r="I80" s="304">
        <f t="shared" si="68"/>
        <v>6.93706154096066e-5</v>
      </c>
      <c r="J80" s="304">
        <f t="shared" si="55"/>
        <v>9.88121866516839e-5</v>
      </c>
      <c r="K80" s="304">
        <f t="shared" si="56"/>
        <v>4.5612211038025e-5</v>
      </c>
      <c r="L80" s="304">
        <f t="shared" si="57"/>
        <v>0.000154817880662093</v>
      </c>
      <c r="M80" s="304">
        <f t="shared" si="58"/>
        <v>0.000703548444267127</v>
      </c>
      <c r="N80" s="304">
        <f t="shared" si="59"/>
        <v>0.000777312950697855</v>
      </c>
      <c r="O80" s="304">
        <f t="shared" si="60"/>
        <v>0.000595876811834001</v>
      </c>
      <c r="P80" s="304">
        <f t="shared" si="61"/>
        <v>0</v>
      </c>
      <c r="Q80" s="304">
        <v>0</v>
      </c>
      <c r="R80" s="304">
        <f t="shared" si="62"/>
        <v>0.00044400454922653</v>
      </c>
      <c r="S80" s="304">
        <f t="shared" si="63"/>
        <v>0.000576947119771757</v>
      </c>
      <c r="T80" s="304">
        <v>0.000189201762904628</v>
      </c>
      <c r="U80" s="304">
        <v>0.000616009809668748</v>
      </c>
      <c r="V80" s="304">
        <v>0.000411024981178439</v>
      </c>
      <c r="W80" s="304">
        <v>0.000540093541577465</v>
      </c>
      <c r="X80" s="304">
        <f t="shared" si="64"/>
        <v>0.00105916758182518</v>
      </c>
      <c r="Y80" s="304">
        <f t="shared" si="45"/>
        <v>0.000541520128599903</v>
      </c>
      <c r="Z80" s="304">
        <f t="shared" si="46"/>
        <v>0.000835912580878303</v>
      </c>
      <c r="AA80" s="304">
        <f t="shared" si="69"/>
        <v>0.000482974346631819</v>
      </c>
      <c r="AB80" s="304">
        <f t="shared" si="70"/>
        <v>0.000511241965924345</v>
      </c>
      <c r="AC80" s="304">
        <f t="shared" si="65"/>
        <v>0.000442473752973942</v>
      </c>
      <c r="AD80" s="304">
        <f t="shared" si="71"/>
        <v>0.000743954776249214</v>
      </c>
      <c r="AE80" s="304">
        <f t="shared" si="72"/>
        <v>0.000123607045575298</v>
      </c>
      <c r="AF80" s="303">
        <f t="shared" si="73"/>
        <v>-0.000620347730673916</v>
      </c>
      <c r="AG80" s="303">
        <f t="shared" si="74"/>
        <v>0.000577557685773488</v>
      </c>
      <c r="AH80" s="303">
        <f t="shared" si="75"/>
        <v>0.000444106037365313</v>
      </c>
      <c r="AI80" s="303">
        <f t="shared" si="76"/>
        <v>0.000540401947482073</v>
      </c>
      <c r="AJ80" s="303">
        <f t="shared" si="77"/>
        <v>0.000347218150858949</v>
      </c>
      <c r="AK80" s="303">
        <f t="shared" si="78"/>
        <v>-0.000193183796623124</v>
      </c>
      <c r="AL80" s="304">
        <f t="shared" si="79"/>
        <v>-0.000193183796623124</v>
      </c>
      <c r="AM80" s="304">
        <f t="shared" si="80"/>
        <v>-0.48141592920354</v>
      </c>
      <c r="AN80" s="299">
        <v>13600</v>
      </c>
      <c r="AO80" s="299">
        <v>59300</v>
      </c>
      <c r="AP80" s="299">
        <v>10236.42</v>
      </c>
      <c r="AQ80" s="299">
        <v>52200</v>
      </c>
      <c r="AR80" s="300">
        <v>14270.34</v>
      </c>
      <c r="AS80" s="300">
        <v>55700</v>
      </c>
      <c r="AT80" s="300">
        <v>9048.78</v>
      </c>
      <c r="AU80" s="300">
        <v>35100</v>
      </c>
      <c r="AV80" s="300">
        <v>11744.46</v>
      </c>
      <c r="AW80" s="300">
        <v>27300</v>
      </c>
      <c r="AX80" s="300">
        <v>13939.77</v>
      </c>
      <c r="AY80" s="300">
        <v>40300</v>
      </c>
      <c r="AZ80" s="300">
        <v>6007.8</v>
      </c>
      <c r="BA80" s="300">
        <v>31000</v>
      </c>
      <c r="BB80" s="300">
        <v>21250.68</v>
      </c>
      <c r="BC80" s="300">
        <v>56100</v>
      </c>
      <c r="BD80" s="300">
        <v>90643.3</v>
      </c>
      <c r="BE80" s="300">
        <v>209000</v>
      </c>
      <c r="BF80" s="300">
        <v>95956.25</v>
      </c>
      <c r="BG80" s="300">
        <v>236200</v>
      </c>
      <c r="BH80" s="300">
        <v>69425.96</v>
      </c>
      <c r="BI80" s="300">
        <v>156400</v>
      </c>
      <c r="BJ80" s="300">
        <v>0</v>
      </c>
      <c r="BK80" s="300">
        <v>0</v>
      </c>
      <c r="BL80" s="266">
        <v>0</v>
      </c>
      <c r="BM80" s="266">
        <v>190800</v>
      </c>
      <c r="BN80" s="266">
        <v>55600</v>
      </c>
      <c r="BO80" s="266">
        <v>178400</v>
      </c>
      <c r="BP80" s="266">
        <v>75900.02</v>
      </c>
      <c r="BQ80" s="266">
        <v>200900</v>
      </c>
      <c r="BR80" s="266">
        <v>22900</v>
      </c>
      <c r="BS80" s="266">
        <v>247800</v>
      </c>
      <c r="BT80" s="266">
        <v>69300</v>
      </c>
      <c r="BU80" s="266">
        <v>289800</v>
      </c>
      <c r="BV80" s="266">
        <v>52885.71</v>
      </c>
      <c r="BW80" s="266">
        <v>179700</v>
      </c>
      <c r="BX80" s="266">
        <v>74100</v>
      </c>
      <c r="BY80" s="266">
        <v>175400</v>
      </c>
      <c r="BZ80" s="266">
        <v>65300</v>
      </c>
      <c r="CA80" s="266">
        <v>175400</v>
      </c>
      <c r="CB80" s="266">
        <v>73000</v>
      </c>
      <c r="CC80" s="266">
        <v>194700</v>
      </c>
      <c r="CD80" s="311">
        <v>116700</v>
      </c>
      <c r="CE80" s="311">
        <v>272900</v>
      </c>
      <c r="CF80" s="311">
        <v>59800</v>
      </c>
      <c r="CG80" s="311">
        <v>176500</v>
      </c>
      <c r="CH80" s="311">
        <v>66800</v>
      </c>
      <c r="CI80" s="311">
        <v>151500</v>
      </c>
      <c r="CJ80" s="311">
        <v>68900</v>
      </c>
      <c r="CK80" s="311">
        <v>171600</v>
      </c>
      <c r="CL80" s="311">
        <v>129300</v>
      </c>
      <c r="CM80" s="311">
        <v>129300</v>
      </c>
      <c r="CN80" s="311">
        <v>18800</v>
      </c>
      <c r="CO80" s="311">
        <v>131900</v>
      </c>
      <c r="CP80" s="311">
        <v>91900</v>
      </c>
      <c r="CQ80" s="311">
        <v>201200</v>
      </c>
      <c r="CR80" s="311">
        <v>68800</v>
      </c>
      <c r="CS80" s="258">
        <v>169300</v>
      </c>
      <c r="CT80" s="258">
        <v>83700</v>
      </c>
      <c r="CU80" s="258">
        <v>164400</v>
      </c>
      <c r="CV80" s="258">
        <v>56500</v>
      </c>
      <c r="CW80" s="258">
        <v>106700</v>
      </c>
      <c r="CX80" s="266">
        <f t="shared" si="66"/>
        <v>-27200</v>
      </c>
      <c r="CY80" s="266">
        <f t="shared" si="67"/>
        <v>-57700</v>
      </c>
      <c r="DA80" s="301" t="s">
        <v>4887</v>
      </c>
      <c r="DB80" s="258">
        <v>56500</v>
      </c>
      <c r="DC80" s="258">
        <f t="shared" si="81"/>
        <v>1</v>
      </c>
    </row>
    <row r="81" spans="1:107">
      <c r="A81" s="264" t="s">
        <v>4888</v>
      </c>
      <c r="B81" s="264" t="s">
        <v>4776</v>
      </c>
      <c r="C81" s="264"/>
      <c r="D81" s="265" t="s">
        <v>4889</v>
      </c>
      <c r="E81" s="306">
        <f t="shared" si="51"/>
        <v>7.15123060301445e-5</v>
      </c>
      <c r="F81" s="306">
        <f t="shared" si="52"/>
        <v>6.00241636332586e-5</v>
      </c>
      <c r="G81" s="304">
        <f t="shared" si="53"/>
        <v>0.000110286161021299</v>
      </c>
      <c r="H81" s="304">
        <f t="shared" si="54"/>
        <v>8.36182643051688e-5</v>
      </c>
      <c r="I81" s="304">
        <f t="shared" si="68"/>
        <v>8.32485660118044e-5</v>
      </c>
      <c r="J81" s="304">
        <f t="shared" si="55"/>
        <v>0.000132552710284533</v>
      </c>
      <c r="K81" s="304">
        <f t="shared" si="56"/>
        <v>0.00012181477473666</v>
      </c>
      <c r="L81" s="304">
        <f t="shared" si="57"/>
        <v>0.00039617458455154</v>
      </c>
      <c r="M81" s="304">
        <f t="shared" si="58"/>
        <v>0.000382497849631291</v>
      </c>
      <c r="N81" s="304">
        <f t="shared" si="59"/>
        <v>0.000163578359073707</v>
      </c>
      <c r="O81" s="304">
        <f t="shared" si="60"/>
        <v>0.000170668517677068</v>
      </c>
      <c r="P81" s="304">
        <f t="shared" si="61"/>
        <v>0.000137737744634277</v>
      </c>
      <c r="Q81" s="304">
        <v>0.000127906921132481</v>
      </c>
      <c r="R81" s="304">
        <f t="shared" si="62"/>
        <v>0.000348925926139534</v>
      </c>
      <c r="S81" s="304">
        <f t="shared" si="63"/>
        <v>0.000267498002953064</v>
      </c>
      <c r="T81" s="304">
        <v>0.000134250300321693</v>
      </c>
      <c r="U81" s="304">
        <v>0.00019752847888218</v>
      </c>
      <c r="V81" s="304">
        <v>0.000413909850508237</v>
      </c>
      <c r="W81" s="304">
        <v>0.000305397022835301</v>
      </c>
      <c r="X81" s="304">
        <f t="shared" si="64"/>
        <v>0.000293475168054183</v>
      </c>
      <c r="Y81" s="304">
        <f t="shared" si="45"/>
        <v>0.000383514940391986</v>
      </c>
      <c r="Z81" s="304">
        <f t="shared" si="46"/>
        <v>0.000484213285924364</v>
      </c>
      <c r="AA81" s="304">
        <f t="shared" si="69"/>
        <v>0.000108225020817164</v>
      </c>
      <c r="AB81" s="304">
        <f t="shared" si="70"/>
        <v>0.000117861171784954</v>
      </c>
      <c r="AC81" s="304">
        <f t="shared" si="65"/>
        <v>0.000139356755290777</v>
      </c>
      <c r="AD81" s="304">
        <f t="shared" si="71"/>
        <v>0.000120827921896624</v>
      </c>
      <c r="AE81" s="304">
        <f t="shared" si="72"/>
        <v>7.6268177057099e-5</v>
      </c>
      <c r="AF81" s="303">
        <f t="shared" si="73"/>
        <v>-4.4559744839525e-5</v>
      </c>
      <c r="AG81" s="303">
        <f t="shared" si="74"/>
        <v>0.000120036472233663</v>
      </c>
      <c r="AH81" s="303">
        <f t="shared" si="75"/>
        <v>0.00044281503144274</v>
      </c>
      <c r="AI81" s="303">
        <f t="shared" si="76"/>
        <v>5.68164532597639e-5</v>
      </c>
      <c r="AJ81" s="303">
        <f t="shared" si="77"/>
        <v>0.000123523625349821</v>
      </c>
      <c r="AK81" s="303">
        <f t="shared" si="78"/>
        <v>6.67071720900569e-5</v>
      </c>
      <c r="AL81" s="304">
        <f t="shared" si="79"/>
        <v>6.67071720900569e-5</v>
      </c>
      <c r="AM81" s="304">
        <f t="shared" si="80"/>
        <v>0.562189054726368</v>
      </c>
      <c r="AN81" s="299">
        <v>13400</v>
      </c>
      <c r="AO81" s="299">
        <v>15800</v>
      </c>
      <c r="AP81" s="299">
        <v>10560.77</v>
      </c>
      <c r="AQ81" s="299">
        <v>16300</v>
      </c>
      <c r="AR81" s="300">
        <v>19578.24</v>
      </c>
      <c r="AS81" s="300">
        <v>21600</v>
      </c>
      <c r="AT81" s="300">
        <v>14156.59</v>
      </c>
      <c r="AU81" s="300">
        <v>16700</v>
      </c>
      <c r="AV81" s="300">
        <v>14094</v>
      </c>
      <c r="AW81" s="300">
        <v>21600</v>
      </c>
      <c r="AX81" s="300">
        <v>18699.66</v>
      </c>
      <c r="AY81" s="300">
        <v>29100</v>
      </c>
      <c r="AZ81" s="300">
        <v>16044.8</v>
      </c>
      <c r="BA81" s="300">
        <v>23000</v>
      </c>
      <c r="BB81" s="300">
        <v>54379.89</v>
      </c>
      <c r="BC81" s="300">
        <v>65700</v>
      </c>
      <c r="BD81" s="300">
        <v>49280</v>
      </c>
      <c r="BE81" s="300">
        <v>50000</v>
      </c>
      <c r="BF81" s="300">
        <v>20193.11</v>
      </c>
      <c r="BG81" s="300">
        <v>23900</v>
      </c>
      <c r="BH81" s="300">
        <v>19884.69</v>
      </c>
      <c r="BI81" s="300">
        <v>24300</v>
      </c>
      <c r="BJ81" s="300">
        <v>15722.8</v>
      </c>
      <c r="BK81" s="300">
        <v>18400</v>
      </c>
      <c r="BL81" s="266">
        <v>27966.19</v>
      </c>
      <c r="BM81" s="266">
        <v>33100</v>
      </c>
      <c r="BN81" s="266">
        <v>43693.88</v>
      </c>
      <c r="BO81" s="266">
        <v>66800</v>
      </c>
      <c r="BP81" s="266">
        <v>35190.58</v>
      </c>
      <c r="BQ81" s="266">
        <v>53800</v>
      </c>
      <c r="BR81" s="266">
        <v>16248.96</v>
      </c>
      <c r="BS81" s="266">
        <v>18200</v>
      </c>
      <c r="BT81" s="266">
        <v>22221.6</v>
      </c>
      <c r="BU81" s="266">
        <v>24000</v>
      </c>
      <c r="BV81" s="266">
        <v>53256.9</v>
      </c>
      <c r="BW81" s="266">
        <v>56500</v>
      </c>
      <c r="BX81" s="266">
        <v>41900</v>
      </c>
      <c r="BY81" s="266">
        <v>48600</v>
      </c>
      <c r="BZ81" s="266">
        <v>41900</v>
      </c>
      <c r="CA81" s="266">
        <v>48600</v>
      </c>
      <c r="CB81" s="266">
        <v>51700</v>
      </c>
      <c r="CC81" s="266">
        <v>56200</v>
      </c>
      <c r="CD81" s="311">
        <v>67600</v>
      </c>
      <c r="CE81" s="311">
        <v>73100</v>
      </c>
      <c r="CF81" s="311">
        <v>13400</v>
      </c>
      <c r="CG81" s="311">
        <v>19400</v>
      </c>
      <c r="CH81" s="311">
        <v>15400</v>
      </c>
      <c r="CI81" s="311">
        <v>18100</v>
      </c>
      <c r="CJ81" s="311">
        <v>21700</v>
      </c>
      <c r="CK81" s="311">
        <v>25900</v>
      </c>
      <c r="CL81" s="311">
        <v>21000</v>
      </c>
      <c r="CM81" s="311">
        <v>18600</v>
      </c>
      <c r="CN81" s="311">
        <v>11600</v>
      </c>
      <c r="CO81" s="311">
        <v>13000</v>
      </c>
      <c r="CP81" s="311">
        <v>19100</v>
      </c>
      <c r="CQ81" s="311">
        <v>26600</v>
      </c>
      <c r="CR81" s="311">
        <v>68600</v>
      </c>
      <c r="CS81" s="258">
        <v>70700</v>
      </c>
      <c r="CT81" s="258">
        <v>8800</v>
      </c>
      <c r="CU81" s="258">
        <v>59600</v>
      </c>
      <c r="CV81" s="258">
        <v>20100</v>
      </c>
      <c r="CW81" s="258">
        <v>38000</v>
      </c>
      <c r="CX81" s="266">
        <f t="shared" si="66"/>
        <v>11300</v>
      </c>
      <c r="CY81" s="266">
        <f t="shared" si="67"/>
        <v>-21600</v>
      </c>
      <c r="DA81" s="301" t="s">
        <v>4889</v>
      </c>
      <c r="DB81" s="258">
        <v>20100</v>
      </c>
      <c r="DC81" s="258">
        <f t="shared" si="81"/>
        <v>1</v>
      </c>
    </row>
    <row r="82" spans="1:107">
      <c r="A82" s="264" t="s">
        <v>4890</v>
      </c>
      <c r="B82" s="264" t="s">
        <v>4776</v>
      </c>
      <c r="C82" s="264"/>
      <c r="D82" s="265" t="s">
        <v>4891</v>
      </c>
      <c r="E82" s="306">
        <f t="shared" si="51"/>
        <v>7.15123060301445e-5</v>
      </c>
      <c r="F82" s="306">
        <f t="shared" si="52"/>
        <v>1.49449270104202e-5</v>
      </c>
      <c r="G82" s="304">
        <f t="shared" si="53"/>
        <v>3.59970225203889e-5</v>
      </c>
      <c r="H82" s="304">
        <f t="shared" si="54"/>
        <v>1.569602273349e-5</v>
      </c>
      <c r="I82" s="304">
        <f t="shared" si="68"/>
        <v>0</v>
      </c>
      <c r="J82" s="304">
        <f t="shared" si="55"/>
        <v>0</v>
      </c>
      <c r="K82" s="304">
        <f t="shared" si="56"/>
        <v>0</v>
      </c>
      <c r="L82" s="304">
        <f t="shared" si="57"/>
        <v>0</v>
      </c>
      <c r="M82" s="304">
        <f t="shared" si="58"/>
        <v>8.53692495361444e-10</v>
      </c>
      <c r="N82" s="304">
        <f t="shared" si="59"/>
        <v>0</v>
      </c>
      <c r="O82" s="304">
        <f t="shared" si="60"/>
        <v>2.9453974495574e-6</v>
      </c>
      <c r="P82" s="304">
        <f t="shared" si="61"/>
        <v>8.72796925351272e-7</v>
      </c>
      <c r="Q82" s="304">
        <v>5.63068511507118e-5</v>
      </c>
      <c r="R82" s="304">
        <f t="shared" si="62"/>
        <v>4.98254558304148e-5</v>
      </c>
      <c r="S82" s="304">
        <f t="shared" si="63"/>
        <v>6.83517966334717e-5</v>
      </c>
      <c r="T82" s="304">
        <v>1.23931285745389e-5</v>
      </c>
      <c r="U82" s="304">
        <v>0</v>
      </c>
      <c r="V82" s="304">
        <v>0</v>
      </c>
      <c r="W82" s="304">
        <v>4.59188841017278e-5</v>
      </c>
      <c r="X82" s="304">
        <f t="shared" si="64"/>
        <v>6.40089872710769e-5</v>
      </c>
      <c r="Y82" s="304">
        <f t="shared" si="45"/>
        <v>1.3352551116162e-5</v>
      </c>
      <c r="Z82" s="304">
        <f t="shared" si="46"/>
        <v>0</v>
      </c>
      <c r="AA82" s="304">
        <f t="shared" si="69"/>
        <v>4.4420717499582e-5</v>
      </c>
      <c r="AB82" s="304">
        <f t="shared" si="70"/>
        <v>0</v>
      </c>
      <c r="AC82" s="304">
        <f t="shared" si="65"/>
        <v>6.29995285438951e-6</v>
      </c>
      <c r="AD82" s="304">
        <f t="shared" si="71"/>
        <v>1.09320500763612e-5</v>
      </c>
      <c r="AE82" s="304">
        <f t="shared" si="72"/>
        <v>3.90545665275145e-6</v>
      </c>
      <c r="AF82" s="303">
        <f t="shared" si="73"/>
        <v>-7.02659342360975e-6</v>
      </c>
      <c r="AG82" s="303">
        <f t="shared" si="74"/>
        <v>0</v>
      </c>
      <c r="AH82" s="303">
        <f t="shared" si="75"/>
        <v>0</v>
      </c>
      <c r="AI82" s="303">
        <f t="shared" si="76"/>
        <v>0</v>
      </c>
      <c r="AJ82" s="303">
        <f t="shared" si="77"/>
        <v>3.35541788263692e-6</v>
      </c>
      <c r="AK82" s="303">
        <f t="shared" si="78"/>
        <v>3.35541788263692e-6</v>
      </c>
      <c r="AL82" s="304">
        <f t="shared" si="79"/>
        <v>3.35541788263692e-6</v>
      </c>
      <c r="AM82" s="304">
        <f t="shared" si="80"/>
        <v>1</v>
      </c>
      <c r="AN82" s="299">
        <v>13400</v>
      </c>
      <c r="AO82" s="299">
        <v>14400</v>
      </c>
      <c r="AP82" s="299">
        <v>2629.44</v>
      </c>
      <c r="AQ82" s="299">
        <v>9600</v>
      </c>
      <c r="AR82" s="300">
        <v>6390.27</v>
      </c>
      <c r="AS82" s="300">
        <v>10100</v>
      </c>
      <c r="AT82" s="300">
        <v>2657.34</v>
      </c>
      <c r="AU82" s="300">
        <v>4200</v>
      </c>
      <c r="AV82" s="300">
        <v>0</v>
      </c>
      <c r="AW82" s="300">
        <v>4400</v>
      </c>
      <c r="AX82" s="300">
        <v>0</v>
      </c>
      <c r="AY82" s="300">
        <v>8600</v>
      </c>
      <c r="AZ82" s="300">
        <v>0</v>
      </c>
      <c r="BA82" s="300">
        <v>12700</v>
      </c>
      <c r="BB82" s="300">
        <v>0</v>
      </c>
      <c r="BC82" s="300">
        <v>11200</v>
      </c>
      <c r="BD82" s="300">
        <v>0.109987458</v>
      </c>
      <c r="BE82" s="300">
        <v>9800</v>
      </c>
      <c r="BF82" s="300">
        <v>0</v>
      </c>
      <c r="BG82" s="300">
        <v>8800</v>
      </c>
      <c r="BH82" s="300">
        <v>343.17</v>
      </c>
      <c r="BI82" s="300">
        <v>27900</v>
      </c>
      <c r="BJ82" s="300">
        <v>99.63</v>
      </c>
      <c r="BK82" s="300">
        <v>8100</v>
      </c>
      <c r="BL82" s="266">
        <v>1600</v>
      </c>
      <c r="BM82" s="266">
        <v>20700</v>
      </c>
      <c r="BN82" s="266">
        <v>6239.34</v>
      </c>
      <c r="BO82" s="266">
        <v>10200</v>
      </c>
      <c r="BP82" s="266">
        <v>8991.99</v>
      </c>
      <c r="BQ82" s="266">
        <v>14700</v>
      </c>
      <c r="BR82" s="266">
        <v>1500</v>
      </c>
      <c r="BS82" s="266">
        <v>13100</v>
      </c>
      <c r="BT82" s="266">
        <v>0</v>
      </c>
      <c r="BU82" s="266">
        <v>12000</v>
      </c>
      <c r="BV82" s="266">
        <v>0</v>
      </c>
      <c r="BW82" s="266">
        <v>6700</v>
      </c>
      <c r="BX82" s="266">
        <v>6300</v>
      </c>
      <c r="BY82" s="266">
        <v>10600</v>
      </c>
      <c r="BZ82" s="266">
        <v>1800</v>
      </c>
      <c r="CA82" s="266">
        <v>10600</v>
      </c>
      <c r="CB82" s="266">
        <v>1800</v>
      </c>
      <c r="CC82" s="266">
        <v>15500</v>
      </c>
      <c r="CD82" s="311">
        <v>0</v>
      </c>
      <c r="CE82" s="311">
        <v>2100</v>
      </c>
      <c r="CF82" s="311">
        <v>5500</v>
      </c>
      <c r="CG82" s="311">
        <v>2300</v>
      </c>
      <c r="CH82" s="311">
        <v>0</v>
      </c>
      <c r="CI82" s="311">
        <v>2200</v>
      </c>
      <c r="CJ82" s="311">
        <v>981</v>
      </c>
      <c r="CK82" s="311">
        <v>4700</v>
      </c>
      <c r="CL82" s="311">
        <v>1900</v>
      </c>
      <c r="CM82" s="311">
        <v>1900</v>
      </c>
      <c r="CN82" s="311">
        <v>594</v>
      </c>
      <c r="CO82" s="311">
        <v>23200</v>
      </c>
      <c r="CP82" s="311">
        <v>0</v>
      </c>
      <c r="CQ82" s="311">
        <v>1</v>
      </c>
      <c r="CR82" s="311">
        <v>0</v>
      </c>
      <c r="CS82" s="258">
        <v>4200</v>
      </c>
      <c r="CT82" s="258">
        <v>0</v>
      </c>
      <c r="CU82" s="258">
        <v>9100</v>
      </c>
      <c r="CV82" s="258">
        <v>546</v>
      </c>
      <c r="CW82" s="258">
        <v>58300</v>
      </c>
      <c r="CX82" s="266">
        <f t="shared" si="66"/>
        <v>546</v>
      </c>
      <c r="CY82" s="266">
        <f t="shared" si="67"/>
        <v>49200</v>
      </c>
      <c r="DA82" s="301" t="s">
        <v>4891</v>
      </c>
      <c r="DB82" s="258">
        <v>0</v>
      </c>
      <c r="DC82" s="258">
        <f t="shared" si="81"/>
        <v>1</v>
      </c>
    </row>
    <row r="83" spans="1:107">
      <c r="A83" s="264" t="s">
        <v>4892</v>
      </c>
      <c r="B83" s="264" t="s">
        <v>4776</v>
      </c>
      <c r="C83" s="264"/>
      <c r="D83" s="265" t="s">
        <v>4893</v>
      </c>
      <c r="E83" s="306">
        <f t="shared" si="51"/>
        <v>7.04449581789484e-5</v>
      </c>
      <c r="F83" s="306">
        <f t="shared" si="52"/>
        <v>2.31712754183709e-5</v>
      </c>
      <c r="G83" s="304">
        <f t="shared" si="53"/>
        <v>2.90465108554307e-5</v>
      </c>
      <c r="H83" s="304">
        <f t="shared" si="54"/>
        <v>1.57361880697239e-5</v>
      </c>
      <c r="I83" s="304">
        <f t="shared" si="68"/>
        <v>2.21057015963657e-5</v>
      </c>
      <c r="J83" s="304">
        <f t="shared" si="55"/>
        <v>2.8585121841435e-5</v>
      </c>
      <c r="K83" s="304">
        <f t="shared" si="56"/>
        <v>1.20214346279185e-5</v>
      </c>
      <c r="L83" s="304">
        <f t="shared" si="57"/>
        <v>2.8714191662759e-5</v>
      </c>
      <c r="M83" s="304">
        <f t="shared" si="58"/>
        <v>9.00756046013818e-5</v>
      </c>
      <c r="N83" s="304">
        <f t="shared" si="59"/>
        <v>9.13752663201798e-5</v>
      </c>
      <c r="O83" s="304">
        <f t="shared" si="60"/>
        <v>0.0001197650769921</v>
      </c>
      <c r="P83" s="304">
        <f t="shared" si="61"/>
        <v>0.000123866992734699</v>
      </c>
      <c r="Q83" s="304">
        <v>0.00013555353054801</v>
      </c>
      <c r="R83" s="304">
        <f t="shared" si="62"/>
        <v>0.000118188261304904</v>
      </c>
      <c r="S83" s="304">
        <f t="shared" si="63"/>
        <v>4.40617211787215e-5</v>
      </c>
      <c r="T83" s="304">
        <v>5.61821828712431e-5</v>
      </c>
      <c r="U83" s="304">
        <v>3.28583010308878e-5</v>
      </c>
      <c r="V83" s="304">
        <v>4.75162903254653e-5</v>
      </c>
      <c r="W83" s="304">
        <v>2.91548470487161e-5</v>
      </c>
      <c r="X83" s="304">
        <f t="shared" si="64"/>
        <v>3.92507940813207e-5</v>
      </c>
      <c r="Y83" s="304">
        <f t="shared" si="45"/>
        <v>5.26683960693057e-5</v>
      </c>
      <c r="Z83" s="304">
        <f t="shared" si="46"/>
        <v>8.45224374838387e-5</v>
      </c>
      <c r="AA83" s="304">
        <f t="shared" si="69"/>
        <v>0.000155876335953079</v>
      </c>
      <c r="AB83" s="304">
        <f t="shared" si="70"/>
        <v>6.12265827454306e-5</v>
      </c>
      <c r="AC83" s="304">
        <f t="shared" si="65"/>
        <v>6.93572791308937e-5</v>
      </c>
      <c r="AD83" s="304">
        <f t="shared" si="71"/>
        <v>5.92632188350109e-5</v>
      </c>
      <c r="AE83" s="304">
        <f t="shared" si="72"/>
        <v>0.000109142391305849</v>
      </c>
      <c r="AF83" s="303">
        <f t="shared" si="73"/>
        <v>4.98791724708377e-5</v>
      </c>
      <c r="AG83" s="303">
        <f t="shared" si="74"/>
        <v>0.000495229005864536</v>
      </c>
      <c r="AH83" s="303">
        <f t="shared" si="75"/>
        <v>6.71323079738264e-5</v>
      </c>
      <c r="AI83" s="303">
        <f t="shared" si="76"/>
        <v>1.5495396343572e-5</v>
      </c>
      <c r="AJ83" s="303">
        <f t="shared" si="77"/>
        <v>1.96654527920113e-5</v>
      </c>
      <c r="AK83" s="303">
        <f t="shared" si="78"/>
        <v>4.17005644843927e-6</v>
      </c>
      <c r="AL83" s="304">
        <f t="shared" si="79"/>
        <v>4.17005644843927e-6</v>
      </c>
      <c r="AM83" s="304">
        <f t="shared" si="80"/>
        <v>0.25</v>
      </c>
      <c r="AN83" s="299">
        <v>13200</v>
      </c>
      <c r="AO83" s="299">
        <v>13200</v>
      </c>
      <c r="AP83" s="299">
        <v>4076.8</v>
      </c>
      <c r="AQ83" s="299">
        <v>12800</v>
      </c>
      <c r="AR83" s="300">
        <v>5156.4</v>
      </c>
      <c r="AS83" s="300">
        <v>12000</v>
      </c>
      <c r="AT83" s="300">
        <v>2664.14</v>
      </c>
      <c r="AU83" s="300">
        <v>6200</v>
      </c>
      <c r="AV83" s="300">
        <v>3742.5</v>
      </c>
      <c r="AW83" s="300">
        <v>5000</v>
      </c>
      <c r="AX83" s="300">
        <v>4032.6</v>
      </c>
      <c r="AY83" s="300">
        <v>4400</v>
      </c>
      <c r="AZ83" s="300">
        <v>1583.4</v>
      </c>
      <c r="BA83" s="300">
        <v>2800</v>
      </c>
      <c r="BB83" s="300">
        <v>3941.38</v>
      </c>
      <c r="BC83" s="300">
        <v>4300</v>
      </c>
      <c r="BD83" s="300">
        <v>11605.1</v>
      </c>
      <c r="BE83" s="300">
        <v>13000</v>
      </c>
      <c r="BF83" s="300">
        <v>11279.92</v>
      </c>
      <c r="BG83" s="300">
        <v>18100</v>
      </c>
      <c r="BH83" s="300">
        <v>13953.9</v>
      </c>
      <c r="BI83" s="300">
        <v>24100</v>
      </c>
      <c r="BJ83" s="300">
        <v>14139.45</v>
      </c>
      <c r="BK83" s="300">
        <v>19500</v>
      </c>
      <c r="BL83" s="266">
        <v>10826.05</v>
      </c>
      <c r="BM83" s="266">
        <v>20500</v>
      </c>
      <c r="BN83" s="266">
        <v>14800</v>
      </c>
      <c r="BO83" s="266">
        <v>36100</v>
      </c>
      <c r="BP83" s="266">
        <v>5796.52</v>
      </c>
      <c r="BQ83" s="266">
        <v>7600</v>
      </c>
      <c r="BR83" s="266">
        <v>6800</v>
      </c>
      <c r="BS83" s="266">
        <v>17600</v>
      </c>
      <c r="BT83" s="266">
        <v>3696.5</v>
      </c>
      <c r="BU83" s="266">
        <v>5000</v>
      </c>
      <c r="BV83" s="266">
        <v>6113.82</v>
      </c>
      <c r="BW83" s="266">
        <v>11400</v>
      </c>
      <c r="BX83" s="266">
        <v>4000</v>
      </c>
      <c r="BY83" s="266">
        <v>6500</v>
      </c>
      <c r="BZ83" s="266">
        <v>4000</v>
      </c>
      <c r="CA83" s="266">
        <v>6500</v>
      </c>
      <c r="CB83" s="266">
        <v>7100</v>
      </c>
      <c r="CC83" s="266">
        <v>8500</v>
      </c>
      <c r="CD83" s="311">
        <v>11800</v>
      </c>
      <c r="CE83" s="311">
        <v>16100</v>
      </c>
      <c r="CF83" s="311">
        <v>19300</v>
      </c>
      <c r="CG83" s="311">
        <v>20900</v>
      </c>
      <c r="CH83" s="311">
        <v>8000</v>
      </c>
      <c r="CI83" s="311">
        <v>10200</v>
      </c>
      <c r="CJ83" s="311">
        <v>10800</v>
      </c>
      <c r="CK83" s="311">
        <v>15200</v>
      </c>
      <c r="CL83" s="311">
        <v>10300</v>
      </c>
      <c r="CM83" s="311">
        <v>10300</v>
      </c>
      <c r="CN83" s="311">
        <v>16600</v>
      </c>
      <c r="CO83" s="311">
        <v>17000</v>
      </c>
      <c r="CP83" s="311">
        <v>78800</v>
      </c>
      <c r="CQ83" s="311">
        <v>96300</v>
      </c>
      <c r="CR83" s="311">
        <v>10400</v>
      </c>
      <c r="CS83" s="258">
        <v>10900</v>
      </c>
      <c r="CT83" s="258">
        <v>2400</v>
      </c>
      <c r="CU83" s="258">
        <v>4000</v>
      </c>
      <c r="CV83" s="258">
        <v>3200</v>
      </c>
      <c r="CW83" s="258">
        <v>5500</v>
      </c>
      <c r="CX83" s="266">
        <f t="shared" si="66"/>
        <v>800</v>
      </c>
      <c r="CY83" s="266">
        <f t="shared" si="67"/>
        <v>1500</v>
      </c>
      <c r="DA83" s="301" t="s">
        <v>4893</v>
      </c>
      <c r="DB83" s="258">
        <v>3200</v>
      </c>
      <c r="DC83" s="258">
        <f t="shared" si="81"/>
        <v>1</v>
      </c>
    </row>
    <row r="84" spans="1:107">
      <c r="A84" s="264" t="s">
        <v>4894</v>
      </c>
      <c r="B84" s="264" t="s">
        <v>4776</v>
      </c>
      <c r="C84" s="264"/>
      <c r="D84" s="265" t="s">
        <v>4895</v>
      </c>
      <c r="E84" s="306">
        <f t="shared" si="51"/>
        <v>6.35071971461731e-5</v>
      </c>
      <c r="F84" s="306">
        <f t="shared" si="52"/>
        <v>6.58855846499146e-5</v>
      </c>
      <c r="G84" s="304">
        <f t="shared" si="53"/>
        <v>2.73619889784995e-5</v>
      </c>
      <c r="H84" s="304">
        <f t="shared" si="54"/>
        <v>5.16606554640133e-5</v>
      </c>
      <c r="I84" s="304">
        <f t="shared" si="68"/>
        <v>3.8871717073792e-5</v>
      </c>
      <c r="J84" s="304">
        <f t="shared" si="55"/>
        <v>3.97556198092582e-5</v>
      </c>
      <c r="K84" s="304">
        <f t="shared" si="56"/>
        <v>4.12921930276474e-5</v>
      </c>
      <c r="L84" s="304">
        <f t="shared" si="57"/>
        <v>2.88524669261842e-5</v>
      </c>
      <c r="M84" s="304">
        <f t="shared" si="58"/>
        <v>9.60786786042599e-5</v>
      </c>
      <c r="N84" s="304">
        <f t="shared" si="59"/>
        <v>6.07084401628751e-5</v>
      </c>
      <c r="O84" s="304">
        <f t="shared" si="60"/>
        <v>8.6372061480412e-5</v>
      </c>
      <c r="P84" s="304">
        <f t="shared" si="61"/>
        <v>2.53479044423983e-5</v>
      </c>
      <c r="Q84" s="304">
        <v>2.98912913516125e-5</v>
      </c>
      <c r="R84" s="304">
        <f t="shared" si="62"/>
        <v>1.60672149828018e-5</v>
      </c>
      <c r="S84" s="304">
        <f t="shared" si="63"/>
        <v>3.63233344580059e-5</v>
      </c>
      <c r="T84" s="304">
        <v>0.000161304747862483</v>
      </c>
      <c r="U84" s="304">
        <v>0.000236563233825769</v>
      </c>
      <c r="V84" s="304">
        <v>0.000282903565630184</v>
      </c>
      <c r="W84" s="304">
        <v>3.35280741060235e-5</v>
      </c>
      <c r="X84" s="304">
        <f t="shared" si="64"/>
        <v>3.56276438584296e-5</v>
      </c>
      <c r="Y84" s="304">
        <f t="shared" si="45"/>
        <v>4.450850372054e-5</v>
      </c>
      <c r="Z84" s="304">
        <f t="shared" si="46"/>
        <v>3.72471758403357e-5</v>
      </c>
      <c r="AA84" s="304">
        <f t="shared" si="69"/>
        <v>0.000529010362949568</v>
      </c>
      <c r="AB84" s="304">
        <f t="shared" si="70"/>
        <v>0.000133167817471312</v>
      </c>
      <c r="AC84" s="304">
        <f t="shared" si="65"/>
        <v>1.41283346377746e-5</v>
      </c>
      <c r="AD84" s="304">
        <f t="shared" si="71"/>
        <v>4.83311687586497e-5</v>
      </c>
      <c r="AE84" s="304">
        <f t="shared" si="72"/>
        <v>1.97245285492497e-5</v>
      </c>
      <c r="AF84" s="303">
        <f t="shared" si="73"/>
        <v>-2.86066402094e-5</v>
      </c>
      <c r="AG84" s="303">
        <f t="shared" si="74"/>
        <v>0.000300405412186863</v>
      </c>
      <c r="AH84" s="303">
        <f t="shared" si="75"/>
        <v>6.45502961286793e-6</v>
      </c>
      <c r="AI84" s="303">
        <f t="shared" si="76"/>
        <v>2.0660528458096e-5</v>
      </c>
      <c r="AJ84" s="303">
        <f t="shared" si="77"/>
        <v>3.35541788263692e-6</v>
      </c>
      <c r="AK84" s="303">
        <f t="shared" si="78"/>
        <v>-1.73051105754591e-5</v>
      </c>
      <c r="AL84" s="304">
        <f t="shared" si="79"/>
        <v>-1.73051105754591e-5</v>
      </c>
      <c r="AM84" s="304">
        <f t="shared" si="80"/>
        <v>-4.86080586080586</v>
      </c>
      <c r="AN84" s="299">
        <v>11900</v>
      </c>
      <c r="AO84" s="299">
        <v>12700</v>
      </c>
      <c r="AP84" s="299">
        <v>11592.04</v>
      </c>
      <c r="AQ84" s="299">
        <v>17900</v>
      </c>
      <c r="AR84" s="300">
        <v>4857.36</v>
      </c>
      <c r="AS84" s="300">
        <v>7400</v>
      </c>
      <c r="AT84" s="300">
        <v>8746.16</v>
      </c>
      <c r="AU84" s="300">
        <v>10900</v>
      </c>
      <c r="AV84" s="300">
        <v>6580.99</v>
      </c>
      <c r="AW84" s="300">
        <v>7100</v>
      </c>
      <c r="AX84" s="300">
        <v>5608.46</v>
      </c>
      <c r="AY84" s="300">
        <v>7400</v>
      </c>
      <c r="AZ84" s="300">
        <v>5438.79</v>
      </c>
      <c r="BA84" s="300">
        <v>6300</v>
      </c>
      <c r="BB84" s="300">
        <v>3960.36</v>
      </c>
      <c r="BC84" s="300">
        <v>5700</v>
      </c>
      <c r="BD84" s="300">
        <v>12378.52</v>
      </c>
      <c r="BE84" s="300">
        <v>15400</v>
      </c>
      <c r="BF84" s="300">
        <v>7494.22</v>
      </c>
      <c r="BG84" s="300">
        <v>9700</v>
      </c>
      <c r="BH84" s="300">
        <v>10063.26</v>
      </c>
      <c r="BI84" s="300">
        <v>11100</v>
      </c>
      <c r="BJ84" s="300">
        <v>2893.47</v>
      </c>
      <c r="BK84" s="300">
        <v>4300</v>
      </c>
      <c r="BL84" s="266">
        <v>3832.74</v>
      </c>
      <c r="BM84" s="266">
        <v>10700</v>
      </c>
      <c r="BN84" s="266">
        <v>2012</v>
      </c>
      <c r="BO84" s="266">
        <v>4000</v>
      </c>
      <c r="BP84" s="266">
        <v>4778.5</v>
      </c>
      <c r="BQ84" s="266">
        <v>9500</v>
      </c>
      <c r="BR84" s="266">
        <v>19523.49</v>
      </c>
      <c r="BS84" s="266">
        <v>21700</v>
      </c>
      <c r="BT84" s="266">
        <v>26612.94</v>
      </c>
      <c r="BU84" s="266">
        <v>27800</v>
      </c>
      <c r="BV84" s="266">
        <v>36400.6</v>
      </c>
      <c r="BW84" s="266">
        <v>37000</v>
      </c>
      <c r="BX84" s="266">
        <v>4600</v>
      </c>
      <c r="BY84" s="266">
        <v>5900</v>
      </c>
      <c r="BZ84" s="266">
        <v>4600</v>
      </c>
      <c r="CA84" s="266">
        <v>5900</v>
      </c>
      <c r="CB84" s="266">
        <v>6000</v>
      </c>
      <c r="CC84" s="266">
        <v>7200</v>
      </c>
      <c r="CD84" s="311">
        <v>5200</v>
      </c>
      <c r="CE84" s="311">
        <v>5600</v>
      </c>
      <c r="CF84" s="311">
        <v>65500</v>
      </c>
      <c r="CG84" s="311">
        <v>70000</v>
      </c>
      <c r="CH84" s="311">
        <v>17400</v>
      </c>
      <c r="CI84" s="311">
        <v>18300</v>
      </c>
      <c r="CJ84" s="311">
        <v>2200</v>
      </c>
      <c r="CK84" s="311">
        <v>3300</v>
      </c>
      <c r="CL84" s="311">
        <v>8400</v>
      </c>
      <c r="CM84" s="311">
        <v>7300</v>
      </c>
      <c r="CN84" s="311">
        <v>3000</v>
      </c>
      <c r="CO84" s="311">
        <v>11900</v>
      </c>
      <c r="CP84" s="311">
        <v>47800</v>
      </c>
      <c r="CQ84" s="311">
        <v>47800</v>
      </c>
      <c r="CR84" s="311">
        <v>1000</v>
      </c>
      <c r="CS84" s="258">
        <v>1000</v>
      </c>
      <c r="CT84" s="258">
        <v>3200</v>
      </c>
      <c r="CU84" s="258">
        <v>3400</v>
      </c>
      <c r="CV84" s="258">
        <v>546</v>
      </c>
      <c r="CW84" s="258">
        <v>634</v>
      </c>
      <c r="CX84" s="266">
        <f t="shared" si="66"/>
        <v>-2654</v>
      </c>
      <c r="CY84" s="266">
        <f t="shared" si="67"/>
        <v>-2766</v>
      </c>
      <c r="DA84" s="301" t="s">
        <v>4895</v>
      </c>
      <c r="DB84" s="258">
        <v>546</v>
      </c>
      <c r="DC84" s="258">
        <f t="shared" si="81"/>
        <v>1</v>
      </c>
    </row>
    <row r="85" spans="1:107">
      <c r="A85" s="264" t="s">
        <v>4896</v>
      </c>
      <c r="B85" s="264" t="s">
        <v>4776</v>
      </c>
      <c r="C85" s="264"/>
      <c r="D85" s="265" t="s">
        <v>4897</v>
      </c>
      <c r="E85" s="306">
        <f t="shared" si="51"/>
        <v>6.2973523220575e-5</v>
      </c>
      <c r="F85" s="306">
        <f t="shared" si="52"/>
        <v>3.75123669940266e-5</v>
      </c>
      <c r="G85" s="304">
        <f t="shared" si="53"/>
        <v>7.88633837514604e-5</v>
      </c>
      <c r="H85" s="304">
        <f t="shared" si="54"/>
        <v>7.90439641081686e-5</v>
      </c>
      <c r="I85" s="304">
        <f t="shared" si="68"/>
        <v>0.000105729340968589</v>
      </c>
      <c r="J85" s="304">
        <f t="shared" si="55"/>
        <v>5.24549674221641e-5</v>
      </c>
      <c r="K85" s="304">
        <f t="shared" si="56"/>
        <v>0.000116333459113116</v>
      </c>
      <c r="L85" s="304">
        <f t="shared" si="57"/>
        <v>1.82132854880517e-5</v>
      </c>
      <c r="M85" s="304">
        <f t="shared" si="58"/>
        <v>6.57899406056159e-5</v>
      </c>
      <c r="N85" s="304">
        <f t="shared" si="59"/>
        <v>0.000125560875251135</v>
      </c>
      <c r="O85" s="304">
        <f t="shared" si="60"/>
        <v>7.42153984865486e-5</v>
      </c>
      <c r="P85" s="304">
        <f t="shared" si="61"/>
        <v>0.000218852142658168</v>
      </c>
      <c r="Q85" s="304">
        <v>0.000174481723936156</v>
      </c>
      <c r="R85" s="304">
        <f t="shared" si="62"/>
        <v>0.00042432899871193</v>
      </c>
      <c r="S85" s="304">
        <f t="shared" si="63"/>
        <v>9.62764099427268e-5</v>
      </c>
      <c r="T85" s="304">
        <v>2.51320254363075e-5</v>
      </c>
      <c r="U85" s="304">
        <v>4.17784430799872e-5</v>
      </c>
      <c r="V85" s="304">
        <v>0</v>
      </c>
      <c r="W85" s="304">
        <v>0</v>
      </c>
      <c r="X85" s="304">
        <f t="shared" si="64"/>
        <v>0</v>
      </c>
      <c r="Y85" s="304">
        <f t="shared" si="45"/>
        <v>4.2283078534513e-5</v>
      </c>
      <c r="Z85" s="304">
        <f t="shared" si="46"/>
        <v>2.72190900371684e-5</v>
      </c>
      <c r="AA85" s="304">
        <f t="shared" si="69"/>
        <v>4.36130680904987e-5</v>
      </c>
      <c r="AB85" s="304">
        <f t="shared" si="70"/>
        <v>4.82159339120266e-5</v>
      </c>
      <c r="AC85" s="304">
        <f t="shared" si="65"/>
        <v>0.000229264339349343</v>
      </c>
      <c r="AD85" s="304">
        <f t="shared" si="71"/>
        <v>2.84233301985392e-6</v>
      </c>
      <c r="AE85" s="304">
        <f t="shared" si="72"/>
        <v>0</v>
      </c>
      <c r="AF85" s="303">
        <f t="shared" si="73"/>
        <v>-2.84233301985392e-6</v>
      </c>
      <c r="AG85" s="303">
        <f t="shared" si="74"/>
        <v>8.17002167035402e-6</v>
      </c>
      <c r="AH85" s="303">
        <f t="shared" si="75"/>
        <v>0</v>
      </c>
      <c r="AI85" s="303">
        <f t="shared" si="76"/>
        <v>0</v>
      </c>
      <c r="AJ85" s="303">
        <f t="shared" si="77"/>
        <v>4.91636319800282e-5</v>
      </c>
      <c r="AK85" s="303">
        <f t="shared" si="78"/>
        <v>4.91636319800282e-5</v>
      </c>
      <c r="AL85" s="304">
        <f t="shared" si="79"/>
        <v>4.91636319800282e-5</v>
      </c>
      <c r="AM85" s="304">
        <f t="shared" si="80"/>
        <v>1</v>
      </c>
      <c r="AN85" s="299">
        <v>11800</v>
      </c>
      <c r="AO85" s="299">
        <v>11800</v>
      </c>
      <c r="AP85" s="299">
        <v>6600</v>
      </c>
      <c r="AQ85" s="299">
        <v>6600</v>
      </c>
      <c r="AR85" s="300">
        <v>14000</v>
      </c>
      <c r="AS85" s="300">
        <v>14000</v>
      </c>
      <c r="AT85" s="300">
        <v>13382.16</v>
      </c>
      <c r="AU85" s="300">
        <v>13700</v>
      </c>
      <c r="AV85" s="300">
        <v>17900</v>
      </c>
      <c r="AW85" s="300">
        <v>17900</v>
      </c>
      <c r="AX85" s="300">
        <v>7400</v>
      </c>
      <c r="AY85" s="300">
        <v>7400</v>
      </c>
      <c r="AZ85" s="300">
        <v>15322.83</v>
      </c>
      <c r="BA85" s="300">
        <v>15900</v>
      </c>
      <c r="BB85" s="300">
        <v>2500</v>
      </c>
      <c r="BC85" s="300">
        <v>2500</v>
      </c>
      <c r="BD85" s="300">
        <v>8476.2</v>
      </c>
      <c r="BE85" s="300">
        <v>8500</v>
      </c>
      <c r="BF85" s="300">
        <v>15500</v>
      </c>
      <c r="BG85" s="300">
        <v>15500</v>
      </c>
      <c r="BH85" s="300">
        <v>8646.88</v>
      </c>
      <c r="BI85" s="300">
        <v>8800</v>
      </c>
      <c r="BJ85" s="300">
        <v>24982.03</v>
      </c>
      <c r="BK85" s="300">
        <v>25100</v>
      </c>
      <c r="BL85" s="266">
        <v>19414.59</v>
      </c>
      <c r="BM85" s="266">
        <v>20100</v>
      </c>
      <c r="BN85" s="266">
        <v>53136.15</v>
      </c>
      <c r="BO85" s="266">
        <v>53700</v>
      </c>
      <c r="BP85" s="266">
        <v>12665.6</v>
      </c>
      <c r="BQ85" s="266">
        <v>12800</v>
      </c>
      <c r="BR85" s="266">
        <v>3041.85</v>
      </c>
      <c r="BS85" s="266">
        <v>3500</v>
      </c>
      <c r="BT85" s="266">
        <v>4700</v>
      </c>
      <c r="BU85" s="266">
        <v>4700</v>
      </c>
      <c r="BV85" s="266">
        <v>0</v>
      </c>
      <c r="BW85" s="266">
        <v>0</v>
      </c>
      <c r="BX85" s="266">
        <v>0</v>
      </c>
      <c r="BY85" s="266">
        <v>0</v>
      </c>
      <c r="BZ85" s="266">
        <v>0</v>
      </c>
      <c r="CA85" s="266">
        <v>0</v>
      </c>
      <c r="CB85" s="266">
        <v>5700</v>
      </c>
      <c r="CC85" s="266">
        <v>13500</v>
      </c>
      <c r="CD85" s="311">
        <v>3800</v>
      </c>
      <c r="CE85" s="311">
        <v>6900</v>
      </c>
      <c r="CF85" s="311">
        <v>5400</v>
      </c>
      <c r="CG85" s="311">
        <v>5400</v>
      </c>
      <c r="CH85" s="311">
        <v>6300</v>
      </c>
      <c r="CI85" s="311">
        <v>7000</v>
      </c>
      <c r="CJ85" s="311">
        <v>35700</v>
      </c>
      <c r="CK85" s="311">
        <v>65200</v>
      </c>
      <c r="CL85" s="311">
        <v>494</v>
      </c>
      <c r="CM85" s="311">
        <v>494</v>
      </c>
      <c r="CN85" s="311">
        <v>0</v>
      </c>
      <c r="CO85" s="311">
        <v>0</v>
      </c>
      <c r="CP85" s="311">
        <v>1300</v>
      </c>
      <c r="CQ85" s="311">
        <v>1300</v>
      </c>
      <c r="CR85" s="311">
        <v>0</v>
      </c>
      <c r="CS85" s="258">
        <v>284</v>
      </c>
      <c r="CT85" s="258">
        <v>0</v>
      </c>
      <c r="CU85" s="258">
        <v>3000</v>
      </c>
      <c r="CV85" s="258">
        <v>8000</v>
      </c>
      <c r="CW85" s="258">
        <v>8000</v>
      </c>
      <c r="CX85" s="266">
        <f t="shared" si="66"/>
        <v>8000</v>
      </c>
      <c r="CY85" s="266">
        <f t="shared" si="67"/>
        <v>5000</v>
      </c>
      <c r="CZ85" s="260" t="s">
        <v>4898</v>
      </c>
      <c r="DA85" s="301" t="s">
        <v>4897</v>
      </c>
      <c r="DB85" s="258">
        <v>8000</v>
      </c>
      <c r="DC85" s="258">
        <f t="shared" si="81"/>
        <v>1</v>
      </c>
    </row>
    <row r="86" spans="1:107">
      <c r="A86" s="309" t="s">
        <v>4899</v>
      </c>
      <c r="B86" s="264" t="s">
        <v>4776</v>
      </c>
      <c r="C86" s="264"/>
      <c r="D86" s="265" t="s">
        <v>4900</v>
      </c>
      <c r="E86" s="306">
        <f t="shared" si="51"/>
        <v>6.24398492949769e-5</v>
      </c>
      <c r="F86" s="306">
        <f t="shared" si="52"/>
        <v>0.0001540209477393</v>
      </c>
      <c r="G86" s="304">
        <f t="shared" si="53"/>
        <v>5.11823923856862e-5</v>
      </c>
      <c r="H86" s="304">
        <f t="shared" si="54"/>
        <v>5.6046414847398e-5</v>
      </c>
      <c r="I86" s="304">
        <f t="shared" si="68"/>
        <v>0.000420122801539214</v>
      </c>
      <c r="J86" s="304">
        <f t="shared" si="55"/>
        <v>0.000100537033573689</v>
      </c>
      <c r="K86" s="304">
        <f t="shared" si="56"/>
        <v>5.46825709912739e-5</v>
      </c>
      <c r="L86" s="304">
        <f t="shared" si="57"/>
        <v>0.00017153753103384</v>
      </c>
      <c r="M86" s="304">
        <f t="shared" si="58"/>
        <v>7.03362939019436e-5</v>
      </c>
      <c r="N86" s="304">
        <f t="shared" si="59"/>
        <v>0.000497982531947632</v>
      </c>
      <c r="O86" s="304">
        <f t="shared" si="60"/>
        <v>7.81590742744166e-5</v>
      </c>
      <c r="P86" s="304">
        <f t="shared" si="61"/>
        <v>0.000193269810375536</v>
      </c>
      <c r="Q86" s="304">
        <v>0.000326718765936229</v>
      </c>
      <c r="R86" s="304">
        <f t="shared" si="62"/>
        <v>7.66212102331692e-5</v>
      </c>
      <c r="S86" s="304">
        <f t="shared" si="63"/>
        <v>8.34107966184181e-5</v>
      </c>
      <c r="T86" s="304">
        <v>4.70938885832479e-5</v>
      </c>
      <c r="U86" s="304">
        <v>8.23947343199154e-5</v>
      </c>
      <c r="V86" s="304">
        <v>5.91476320684811e-5</v>
      </c>
      <c r="W86" s="304">
        <v>6.55984058596111e-5</v>
      </c>
      <c r="X86" s="304">
        <f t="shared" si="64"/>
        <v>0.000164853335141547</v>
      </c>
      <c r="Y86" s="304">
        <f t="shared" si="45"/>
        <v>5.26683960693057e-5</v>
      </c>
      <c r="Z86" s="304">
        <f t="shared" si="46"/>
        <v>4.51263861142528e-5</v>
      </c>
      <c r="AA86" s="304">
        <f t="shared" si="69"/>
        <v>2.3421832863416e-5</v>
      </c>
      <c r="AB86" s="304">
        <f t="shared" si="70"/>
        <v>4.51546047747551e-5</v>
      </c>
      <c r="AC86" s="304">
        <f t="shared" si="65"/>
        <v>1.92659108696927e-5</v>
      </c>
      <c r="AD86" s="304">
        <f t="shared" si="71"/>
        <v>0.000132335343029636</v>
      </c>
      <c r="AE86" s="304">
        <f t="shared" si="72"/>
        <v>6.37759756425742e-5</v>
      </c>
      <c r="AF86" s="303">
        <f t="shared" si="73"/>
        <v>-6.85593673870618e-5</v>
      </c>
      <c r="AG86" s="303">
        <f t="shared" si="74"/>
        <v>8.17002167035402e-6</v>
      </c>
      <c r="AH86" s="303">
        <f t="shared" si="75"/>
        <v>1.35555621870226e-5</v>
      </c>
      <c r="AI86" s="303">
        <f t="shared" si="76"/>
        <v>1.87236039151495e-5</v>
      </c>
      <c r="AJ86" s="303">
        <f t="shared" si="77"/>
        <v>0.00029743997347917</v>
      </c>
      <c r="AK86" s="303">
        <f t="shared" si="78"/>
        <v>0.000278716369564021</v>
      </c>
      <c r="AL86" s="304">
        <f t="shared" si="79"/>
        <v>0.000278716369564021</v>
      </c>
      <c r="AM86" s="304">
        <f t="shared" si="80"/>
        <v>0.940082644628099</v>
      </c>
      <c r="AN86" s="299">
        <v>11700</v>
      </c>
      <c r="AO86" s="299">
        <v>27200</v>
      </c>
      <c r="AP86" s="299">
        <v>27098.75</v>
      </c>
      <c r="AQ86" s="299">
        <v>47500</v>
      </c>
      <c r="AR86" s="300">
        <v>9086.01</v>
      </c>
      <c r="AS86" s="300">
        <v>26700</v>
      </c>
      <c r="AT86" s="300">
        <v>9488.67</v>
      </c>
      <c r="AU86" s="300">
        <v>21100</v>
      </c>
      <c r="AV86" s="300">
        <v>71126.88</v>
      </c>
      <c r="AW86" s="300">
        <v>83600</v>
      </c>
      <c r="AX86" s="300">
        <v>14183.1</v>
      </c>
      <c r="AY86" s="300">
        <v>25500</v>
      </c>
      <c r="AZ86" s="300">
        <v>7202.5</v>
      </c>
      <c r="BA86" s="300">
        <v>13400</v>
      </c>
      <c r="BB86" s="300">
        <v>23545.66</v>
      </c>
      <c r="BC86" s="300">
        <v>35800</v>
      </c>
      <c r="BD86" s="300">
        <v>9061.94</v>
      </c>
      <c r="BE86" s="300">
        <v>16600</v>
      </c>
      <c r="BF86" s="300">
        <v>61474</v>
      </c>
      <c r="BG86" s="300">
        <v>70000</v>
      </c>
      <c r="BH86" s="300">
        <v>9106.36</v>
      </c>
      <c r="BI86" s="300">
        <v>19400</v>
      </c>
      <c r="BJ86" s="300">
        <v>22061.8</v>
      </c>
      <c r="BK86" s="300">
        <v>47000</v>
      </c>
      <c r="BL86" s="266">
        <v>11300</v>
      </c>
      <c r="BM86" s="266">
        <v>39700</v>
      </c>
      <c r="BN86" s="266">
        <v>9594.81</v>
      </c>
      <c r="BO86" s="266">
        <v>18100</v>
      </c>
      <c r="BP86" s="266">
        <v>10973.07</v>
      </c>
      <c r="BQ86" s="266">
        <v>20700</v>
      </c>
      <c r="BR86" s="266">
        <v>5700</v>
      </c>
      <c r="BS86" s="266">
        <v>22900</v>
      </c>
      <c r="BT86" s="266">
        <v>9269.26</v>
      </c>
      <c r="BU86" s="266">
        <v>14300</v>
      </c>
      <c r="BV86" s="266">
        <v>7610.4</v>
      </c>
      <c r="BW86" s="266">
        <v>16800</v>
      </c>
      <c r="BX86" s="266">
        <v>9000</v>
      </c>
      <c r="BY86" s="266">
        <v>27300</v>
      </c>
      <c r="BZ86" s="266">
        <v>9000</v>
      </c>
      <c r="CA86" s="266">
        <v>27300</v>
      </c>
      <c r="CB86" s="266">
        <v>7100</v>
      </c>
      <c r="CC86" s="266">
        <v>30900</v>
      </c>
      <c r="CD86" s="311">
        <v>6300</v>
      </c>
      <c r="CE86" s="311">
        <v>36800</v>
      </c>
      <c r="CF86" s="311">
        <v>2900</v>
      </c>
      <c r="CG86" s="311">
        <v>18600</v>
      </c>
      <c r="CH86" s="311">
        <v>5900</v>
      </c>
      <c r="CI86" s="311">
        <v>11700</v>
      </c>
      <c r="CJ86" s="311">
        <v>3000</v>
      </c>
      <c r="CK86" s="311">
        <v>27600</v>
      </c>
      <c r="CL86" s="311">
        <v>23000</v>
      </c>
      <c r="CM86" s="311">
        <v>23000</v>
      </c>
      <c r="CN86" s="311">
        <v>9700</v>
      </c>
      <c r="CO86" s="311">
        <v>49900</v>
      </c>
      <c r="CP86" s="311">
        <v>1300</v>
      </c>
      <c r="CQ86" s="311">
        <v>35200</v>
      </c>
      <c r="CR86" s="311">
        <v>2100</v>
      </c>
      <c r="CS86" s="258">
        <v>15900</v>
      </c>
      <c r="CT86" s="258">
        <v>2900</v>
      </c>
      <c r="CU86" s="258">
        <v>18500</v>
      </c>
      <c r="CV86" s="258">
        <v>48400</v>
      </c>
      <c r="CW86" s="258">
        <v>70800</v>
      </c>
      <c r="CX86" s="266">
        <f t="shared" si="66"/>
        <v>45500</v>
      </c>
      <c r="CY86" s="266">
        <f t="shared" si="67"/>
        <v>52300</v>
      </c>
      <c r="DA86" s="301" t="s">
        <v>4900</v>
      </c>
      <c r="DB86" s="258">
        <v>48400</v>
      </c>
      <c r="DC86" s="258">
        <f t="shared" si="81"/>
        <v>1</v>
      </c>
    </row>
    <row r="87" spans="1:107">
      <c r="A87" s="264" t="s">
        <v>4901</v>
      </c>
      <c r="B87" s="264" t="s">
        <v>4776</v>
      </c>
      <c r="C87" s="264"/>
      <c r="D87" s="265" t="s">
        <v>4902</v>
      </c>
      <c r="E87" s="306">
        <f t="shared" si="51"/>
        <v>6.19061753693788e-5</v>
      </c>
      <c r="F87" s="306">
        <f t="shared" si="52"/>
        <v>5.20592082189526e-5</v>
      </c>
      <c r="G87" s="304">
        <f t="shared" si="53"/>
        <v>0.00010487855512845</v>
      </c>
      <c r="H87" s="304">
        <f t="shared" si="54"/>
        <v>3.69929834714524e-5</v>
      </c>
      <c r="I87" s="304">
        <f t="shared" si="68"/>
        <v>6.51291559033092e-5</v>
      </c>
      <c r="J87" s="304">
        <f t="shared" si="55"/>
        <v>9.58434481508627e-5</v>
      </c>
      <c r="K87" s="304">
        <f t="shared" si="56"/>
        <v>8.55192134960983e-5</v>
      </c>
      <c r="L87" s="304">
        <f t="shared" si="57"/>
        <v>2.86085546069283e-5</v>
      </c>
      <c r="M87" s="304">
        <f t="shared" si="58"/>
        <v>1.48272248813039e-5</v>
      </c>
      <c r="N87" s="304">
        <f t="shared" si="59"/>
        <v>4.52548936790631e-5</v>
      </c>
      <c r="O87" s="304">
        <f t="shared" si="60"/>
        <v>5.81578025998804e-5</v>
      </c>
      <c r="P87" s="304">
        <f t="shared" si="61"/>
        <v>0.000143183548916876</v>
      </c>
      <c r="Q87" s="304">
        <v>0.000136248676858513</v>
      </c>
      <c r="R87" s="304">
        <f t="shared" si="62"/>
        <v>2.95512178867583e-5</v>
      </c>
      <c r="S87" s="304">
        <f t="shared" si="63"/>
        <v>4.00147308542593e-5</v>
      </c>
      <c r="T87" s="304">
        <v>0</v>
      </c>
      <c r="U87" s="304">
        <v>7.40891798356139e-5</v>
      </c>
      <c r="V87" s="304">
        <v>5.51000016178786e-5</v>
      </c>
      <c r="W87" s="304">
        <v>3.13414605773698e-5</v>
      </c>
      <c r="X87" s="304">
        <f t="shared" si="64"/>
        <v>5.13279614909579e-5</v>
      </c>
      <c r="Y87" s="304">
        <f t="shared" si="45"/>
        <v>3.63486113717743e-5</v>
      </c>
      <c r="Z87" s="304">
        <f t="shared" si="46"/>
        <v>3.15168410956687e-5</v>
      </c>
      <c r="AA87" s="304">
        <f t="shared" si="69"/>
        <v>3.79595222269156e-5</v>
      </c>
      <c r="AB87" s="304">
        <f t="shared" si="70"/>
        <v>2.21946362452186e-5</v>
      </c>
      <c r="AC87" s="304">
        <f t="shared" si="65"/>
        <v>1.41283346377746e-5</v>
      </c>
      <c r="AD87" s="304">
        <f t="shared" si="71"/>
        <v>2.30148422660236e-5</v>
      </c>
      <c r="AE87" s="304">
        <f t="shared" si="72"/>
        <v>0.000257076355425222</v>
      </c>
      <c r="AF87" s="303">
        <f t="shared" si="73"/>
        <v>0.000234061513159198</v>
      </c>
      <c r="AG87" s="303">
        <f t="shared" si="74"/>
        <v>0</v>
      </c>
      <c r="AH87" s="303">
        <f t="shared" si="75"/>
        <v>2.77566273353321e-5</v>
      </c>
      <c r="AI87" s="303">
        <f t="shared" si="76"/>
        <v>7.29574911176514e-5</v>
      </c>
      <c r="AJ87" s="303">
        <f t="shared" si="77"/>
        <v>3.01127245877672e-5</v>
      </c>
      <c r="AK87" s="303">
        <f t="shared" si="78"/>
        <v>-4.28447665298842e-5</v>
      </c>
      <c r="AL87" s="304">
        <f t="shared" si="79"/>
        <v>-4.28447665298842e-5</v>
      </c>
      <c r="AM87" s="304">
        <f t="shared" si="80"/>
        <v>-1.30612244897959</v>
      </c>
      <c r="AN87" s="299">
        <v>11600</v>
      </c>
      <c r="AO87" s="299">
        <v>28400</v>
      </c>
      <c r="AP87" s="299">
        <v>9159.4</v>
      </c>
      <c r="AQ87" s="299">
        <v>16400</v>
      </c>
      <c r="AR87" s="300">
        <v>18618.27</v>
      </c>
      <c r="AS87" s="300">
        <v>25300</v>
      </c>
      <c r="AT87" s="300">
        <v>6262.92</v>
      </c>
      <c r="AU87" s="300">
        <v>10800</v>
      </c>
      <c r="AV87" s="300">
        <v>11026.38</v>
      </c>
      <c r="AW87" s="300">
        <v>17400</v>
      </c>
      <c r="AX87" s="300">
        <v>13520.96</v>
      </c>
      <c r="AY87" s="300">
        <v>18800</v>
      </c>
      <c r="AZ87" s="300">
        <v>11264.14</v>
      </c>
      <c r="BA87" s="300">
        <v>13700</v>
      </c>
      <c r="BB87" s="300">
        <v>3926.88</v>
      </c>
      <c r="BC87" s="300">
        <v>10100</v>
      </c>
      <c r="BD87" s="300">
        <v>1910.3</v>
      </c>
      <c r="BE87" s="300">
        <v>7000</v>
      </c>
      <c r="BF87" s="300">
        <v>5586.54</v>
      </c>
      <c r="BG87" s="300">
        <v>10200</v>
      </c>
      <c r="BH87" s="300">
        <v>6776</v>
      </c>
      <c r="BI87" s="300">
        <v>12100</v>
      </c>
      <c r="BJ87" s="300">
        <v>16344.44</v>
      </c>
      <c r="BK87" s="300">
        <v>19600</v>
      </c>
      <c r="BL87" s="266">
        <v>24500</v>
      </c>
      <c r="BM87" s="266">
        <v>67300</v>
      </c>
      <c r="BN87" s="266">
        <v>3700.52</v>
      </c>
      <c r="BO87" s="266">
        <v>7100</v>
      </c>
      <c r="BP87" s="266">
        <v>5264.12</v>
      </c>
      <c r="BQ87" s="266">
        <v>10100</v>
      </c>
      <c r="BR87" s="266">
        <v>0</v>
      </c>
      <c r="BS87" s="266">
        <v>5800</v>
      </c>
      <c r="BT87" s="266">
        <v>8334.9</v>
      </c>
      <c r="BU87" s="266">
        <v>12600</v>
      </c>
      <c r="BV87" s="266">
        <v>7089.6</v>
      </c>
      <c r="BW87" s="266">
        <v>16800</v>
      </c>
      <c r="BX87" s="266">
        <v>4300</v>
      </c>
      <c r="BY87" s="266">
        <v>8500</v>
      </c>
      <c r="BZ87" s="266">
        <v>4300</v>
      </c>
      <c r="CA87" s="266">
        <v>8500</v>
      </c>
      <c r="CB87" s="266">
        <v>4900</v>
      </c>
      <c r="CC87" s="266">
        <v>8000</v>
      </c>
      <c r="CD87" s="311">
        <v>4400</v>
      </c>
      <c r="CE87" s="311">
        <v>6500</v>
      </c>
      <c r="CF87" s="311">
        <v>4700</v>
      </c>
      <c r="CG87" s="311">
        <v>13200</v>
      </c>
      <c r="CH87" s="311">
        <v>2900</v>
      </c>
      <c r="CI87" s="311">
        <v>11600</v>
      </c>
      <c r="CJ87" s="311">
        <v>2200</v>
      </c>
      <c r="CK87" s="311">
        <v>6600</v>
      </c>
      <c r="CL87" s="311">
        <v>4000</v>
      </c>
      <c r="CM87" s="311">
        <v>2400</v>
      </c>
      <c r="CN87" s="311">
        <v>39100</v>
      </c>
      <c r="CO87" s="311">
        <v>75900</v>
      </c>
      <c r="CP87" s="311">
        <v>0</v>
      </c>
      <c r="CQ87" s="311">
        <v>6700</v>
      </c>
      <c r="CR87" s="311">
        <v>4300</v>
      </c>
      <c r="CS87" s="258">
        <v>8100</v>
      </c>
      <c r="CT87" s="258">
        <v>11300</v>
      </c>
      <c r="CU87" s="258">
        <v>14400</v>
      </c>
      <c r="CV87" s="258">
        <v>4900</v>
      </c>
      <c r="CW87" s="258">
        <v>10100</v>
      </c>
      <c r="CX87" s="266">
        <f t="shared" si="66"/>
        <v>-6400</v>
      </c>
      <c r="CY87" s="266">
        <f t="shared" si="67"/>
        <v>-4300</v>
      </c>
      <c r="DA87" s="301" t="s">
        <v>4902</v>
      </c>
      <c r="DB87" s="258">
        <v>4900</v>
      </c>
      <c r="DC87" s="258">
        <f t="shared" si="81"/>
        <v>1</v>
      </c>
    </row>
    <row r="88" spans="1:107">
      <c r="A88" s="264" t="s">
        <v>4903</v>
      </c>
      <c r="B88" s="264" t="s">
        <v>4776</v>
      </c>
      <c r="C88" s="264"/>
      <c r="D88" s="265" t="s">
        <v>4904</v>
      </c>
      <c r="E88" s="306">
        <f t="shared" si="51"/>
        <v>6.08388275181827e-5</v>
      </c>
      <c r="F88" s="306">
        <f t="shared" si="52"/>
        <v>4.09544676872467e-5</v>
      </c>
      <c r="G88" s="304">
        <f t="shared" si="53"/>
        <v>1.42027321037541e-5</v>
      </c>
      <c r="H88" s="304">
        <f t="shared" si="54"/>
        <v>2.17900493069041e-5</v>
      </c>
      <c r="I88" s="304">
        <f t="shared" si="68"/>
        <v>0</v>
      </c>
      <c r="J88" s="304">
        <f t="shared" si="55"/>
        <v>0</v>
      </c>
      <c r="K88" s="304">
        <f t="shared" si="56"/>
        <v>0</v>
      </c>
      <c r="L88" s="304">
        <f t="shared" si="57"/>
        <v>0.00124388740608407</v>
      </c>
      <c r="M88" s="304">
        <f t="shared" si="58"/>
        <v>0.000629694070508773</v>
      </c>
      <c r="N88" s="304">
        <f t="shared" si="59"/>
        <v>0.000471076861556721</v>
      </c>
      <c r="O88" s="304">
        <f t="shared" si="60"/>
        <v>0.000515885200305585</v>
      </c>
      <c r="P88" s="304">
        <f t="shared" si="61"/>
        <v>0.000410179338176767</v>
      </c>
      <c r="Q88" s="304">
        <v>0.000633973435178385</v>
      </c>
      <c r="R88" s="304">
        <f t="shared" si="62"/>
        <v>0.000512092966278152</v>
      </c>
      <c r="S88" s="304">
        <f t="shared" si="63"/>
        <v>0.00026771213465374</v>
      </c>
      <c r="T88" s="304">
        <v>0.000294279795253857</v>
      </c>
      <c r="U88" s="304">
        <v>0.000620585882540573</v>
      </c>
      <c r="V88" s="304">
        <v>0.00133681731300552</v>
      </c>
      <c r="W88" s="304">
        <v>0.000387030594571706</v>
      </c>
      <c r="X88" s="304">
        <f t="shared" si="64"/>
        <v>0.000512071898168615</v>
      </c>
      <c r="Y88" s="304">
        <f t="shared" si="45"/>
        <v>0.000818956468457936</v>
      </c>
      <c r="Z88" s="304">
        <f t="shared" si="46"/>
        <v>0.000348834127581605</v>
      </c>
      <c r="AA88" s="304">
        <f t="shared" si="69"/>
        <v>0.000485397294859069</v>
      </c>
      <c r="AB88" s="304">
        <f t="shared" si="70"/>
        <v>0.000508945969071392</v>
      </c>
      <c r="AC88" s="304">
        <f t="shared" si="65"/>
        <v>0.000545225277612303</v>
      </c>
      <c r="AD88" s="304">
        <f t="shared" si="71"/>
        <v>0.000914264609017789</v>
      </c>
      <c r="AE88" s="304">
        <f t="shared" si="72"/>
        <v>0.000544396987959293</v>
      </c>
      <c r="AF88" s="303">
        <f t="shared" si="73"/>
        <v>-0.000369867621058496</v>
      </c>
      <c r="AG88" s="303">
        <f t="shared" si="74"/>
        <v>5.46762988708307e-5</v>
      </c>
      <c r="AH88" s="303">
        <f t="shared" si="75"/>
        <v>6.32592902061057e-5</v>
      </c>
      <c r="AI88" s="303">
        <f t="shared" si="76"/>
        <v>0.000293766889013552</v>
      </c>
      <c r="AJ88" s="303">
        <f t="shared" si="77"/>
        <v>4.97781773797785e-5</v>
      </c>
      <c r="AK88" s="303">
        <f t="shared" si="78"/>
        <v>-0.000243988711633773</v>
      </c>
      <c r="AL88" s="304">
        <f t="shared" si="79"/>
        <v>-0.000243988711633773</v>
      </c>
      <c r="AM88" s="304">
        <f t="shared" si="80"/>
        <v>-4.61728395061728</v>
      </c>
      <c r="AN88" s="299">
        <v>11400</v>
      </c>
      <c r="AO88" s="299">
        <v>40300</v>
      </c>
      <c r="AP88" s="299">
        <v>7205.61</v>
      </c>
      <c r="AQ88" s="299">
        <v>54300</v>
      </c>
      <c r="AR88" s="300">
        <v>2521.3</v>
      </c>
      <c r="AS88" s="300">
        <v>19000</v>
      </c>
      <c r="AT88" s="300">
        <v>3689.06</v>
      </c>
      <c r="AU88" s="300">
        <v>27800</v>
      </c>
      <c r="AV88" s="300">
        <v>0</v>
      </c>
      <c r="AW88" s="300">
        <v>29000</v>
      </c>
      <c r="AX88" s="300">
        <v>0</v>
      </c>
      <c r="AY88" s="300">
        <v>25700</v>
      </c>
      <c r="AZ88" s="300">
        <v>0</v>
      </c>
      <c r="BA88" s="300">
        <v>26700</v>
      </c>
      <c r="BB88" s="300">
        <v>170739.02</v>
      </c>
      <c r="BC88" s="300">
        <v>193100</v>
      </c>
      <c r="BD88" s="300">
        <v>81128.1</v>
      </c>
      <c r="BE88" s="300">
        <v>163400</v>
      </c>
      <c r="BF88" s="300">
        <v>58152.6</v>
      </c>
      <c r="BG88" s="300">
        <v>80100</v>
      </c>
      <c r="BH88" s="300">
        <v>60106.09</v>
      </c>
      <c r="BI88" s="300">
        <v>94700</v>
      </c>
      <c r="BJ88" s="300">
        <v>46822.08</v>
      </c>
      <c r="BK88" s="300">
        <v>91200</v>
      </c>
      <c r="BL88" s="266">
        <v>22149.81</v>
      </c>
      <c r="BM88" s="266">
        <v>46700</v>
      </c>
      <c r="BN88" s="266">
        <v>64126.3</v>
      </c>
      <c r="BO88" s="266">
        <v>113800</v>
      </c>
      <c r="BP88" s="266">
        <v>35218.75</v>
      </c>
      <c r="BQ88" s="266">
        <v>62500</v>
      </c>
      <c r="BR88" s="266">
        <v>35618.1</v>
      </c>
      <c r="BS88" s="266">
        <v>73500</v>
      </c>
      <c r="BT88" s="266">
        <v>69814.8</v>
      </c>
      <c r="BU88" s="266">
        <v>99000</v>
      </c>
      <c r="BV88" s="266">
        <v>172005.44</v>
      </c>
      <c r="BW88" s="266">
        <v>186800</v>
      </c>
      <c r="BX88" s="266">
        <v>53100</v>
      </c>
      <c r="BY88" s="266">
        <v>84800</v>
      </c>
      <c r="BZ88" s="266">
        <v>53100</v>
      </c>
      <c r="CA88" s="266">
        <v>84800</v>
      </c>
      <c r="CB88" s="266">
        <v>110400</v>
      </c>
      <c r="CC88" s="266">
        <v>144700</v>
      </c>
      <c r="CD88" s="311">
        <v>48700</v>
      </c>
      <c r="CE88" s="311">
        <v>77200</v>
      </c>
      <c r="CF88" s="311">
        <v>60100</v>
      </c>
      <c r="CG88" s="311">
        <v>92000</v>
      </c>
      <c r="CH88" s="311">
        <v>66500</v>
      </c>
      <c r="CI88" s="311">
        <v>89600</v>
      </c>
      <c r="CJ88" s="311">
        <v>84900</v>
      </c>
      <c r="CK88" s="311">
        <v>119900</v>
      </c>
      <c r="CL88" s="311">
        <v>158900</v>
      </c>
      <c r="CM88" s="311">
        <v>86700</v>
      </c>
      <c r="CN88" s="311">
        <v>82800</v>
      </c>
      <c r="CO88" s="311">
        <v>173300</v>
      </c>
      <c r="CP88" s="311">
        <v>8700</v>
      </c>
      <c r="CQ88" s="311">
        <v>62700</v>
      </c>
      <c r="CR88" s="311">
        <v>9800</v>
      </c>
      <c r="CS88" s="258">
        <v>45900</v>
      </c>
      <c r="CT88" s="258">
        <v>45500</v>
      </c>
      <c r="CU88" s="258">
        <v>61700</v>
      </c>
      <c r="CV88" s="258">
        <v>8100</v>
      </c>
      <c r="CW88" s="258">
        <v>99500</v>
      </c>
      <c r="CX88" s="266">
        <f t="shared" si="66"/>
        <v>-37400</v>
      </c>
      <c r="CY88" s="266">
        <f t="shared" si="67"/>
        <v>37800</v>
      </c>
      <c r="DA88" s="301" t="s">
        <v>4904</v>
      </c>
      <c r="DB88" s="258">
        <v>0</v>
      </c>
      <c r="DC88" s="258">
        <f t="shared" si="81"/>
        <v>1</v>
      </c>
    </row>
    <row r="89" spans="1:107">
      <c r="A89" s="264" t="s">
        <v>4905</v>
      </c>
      <c r="B89" s="264" t="s">
        <v>4776</v>
      </c>
      <c r="C89" s="264"/>
      <c r="D89" s="265" t="s">
        <v>4906</v>
      </c>
      <c r="E89" s="306">
        <f t="shared" si="51"/>
        <v>5.7103110038996e-5</v>
      </c>
      <c r="F89" s="306">
        <f t="shared" si="52"/>
        <v>5.27704654319273e-5</v>
      </c>
      <c r="G89" s="304">
        <f t="shared" si="53"/>
        <v>4.61556966363565e-5</v>
      </c>
      <c r="H89" s="304">
        <f t="shared" si="54"/>
        <v>6.07236091851621e-5</v>
      </c>
      <c r="I89" s="304">
        <f t="shared" si="68"/>
        <v>4.96543969191311e-5</v>
      </c>
      <c r="J89" s="304">
        <f t="shared" si="55"/>
        <v>4.6986182642948e-5</v>
      </c>
      <c r="K89" s="304">
        <f t="shared" si="56"/>
        <v>2.10354607142107e-5</v>
      </c>
      <c r="L89" s="304">
        <f t="shared" si="57"/>
        <v>0.000446315395234437</v>
      </c>
      <c r="M89" s="304">
        <f t="shared" si="58"/>
        <v>0.000118428180088043</v>
      </c>
      <c r="N89" s="304">
        <f t="shared" si="59"/>
        <v>0.000190755970018307</v>
      </c>
      <c r="O89" s="304">
        <f t="shared" si="60"/>
        <v>0.000100933312723446</v>
      </c>
      <c r="P89" s="304">
        <f t="shared" si="61"/>
        <v>0.000249879578392784</v>
      </c>
      <c r="Q89" s="304">
        <v>0.000202287576356261</v>
      </c>
      <c r="R89" s="304">
        <f t="shared" si="62"/>
        <v>0.000285337447280164</v>
      </c>
      <c r="S89" s="304">
        <f t="shared" si="63"/>
        <v>0.000350972119311156</v>
      </c>
      <c r="T89" s="304">
        <v>0.000403208620513766</v>
      </c>
      <c r="U89" s="304">
        <v>0.00013232779614729</v>
      </c>
      <c r="V89" s="304">
        <v>0.000549351119718725</v>
      </c>
      <c r="W89" s="304">
        <v>0.000107872934080249</v>
      </c>
      <c r="X89" s="304">
        <f t="shared" si="64"/>
        <v>0.000116544665502999</v>
      </c>
      <c r="Y89" s="304">
        <f t="shared" si="45"/>
        <v>5.86028632320443e-5</v>
      </c>
      <c r="Z89" s="304">
        <f t="shared" si="46"/>
        <v>6.08848066620872e-5</v>
      </c>
      <c r="AA89" s="304">
        <f t="shared" si="69"/>
        <v>3.63442234087489e-5</v>
      </c>
      <c r="AB89" s="304">
        <f t="shared" si="70"/>
        <v>5.96959181767948e-5</v>
      </c>
      <c r="AC89" s="304">
        <f t="shared" si="65"/>
        <v>5.5357383898917e-6</v>
      </c>
      <c r="AD89" s="304">
        <f t="shared" si="71"/>
        <v>6.67430425714686e-5</v>
      </c>
      <c r="AE89" s="304">
        <f t="shared" si="72"/>
        <v>1.44646542694498e-5</v>
      </c>
      <c r="AF89" s="303">
        <f t="shared" si="73"/>
        <v>-5.22783883020188e-5</v>
      </c>
      <c r="AG89" s="303">
        <f t="shared" si="74"/>
        <v>1.88538961623554e-5</v>
      </c>
      <c r="AH89" s="303">
        <f t="shared" si="75"/>
        <v>0.000328561007294977</v>
      </c>
      <c r="AI89" s="303">
        <f t="shared" si="76"/>
        <v>1.5495396343572e-5</v>
      </c>
      <c r="AJ89" s="303">
        <f t="shared" si="77"/>
        <v>2.70399975890155e-5</v>
      </c>
      <c r="AK89" s="303">
        <f t="shared" si="78"/>
        <v>1.15446012454435e-5</v>
      </c>
      <c r="AL89" s="304">
        <f t="shared" si="79"/>
        <v>1.15446012454435e-5</v>
      </c>
      <c r="AM89" s="304">
        <f t="shared" si="80"/>
        <v>0.454545454545455</v>
      </c>
      <c r="AN89" s="299">
        <v>10700</v>
      </c>
      <c r="AO89" s="299">
        <v>11000</v>
      </c>
      <c r="AP89" s="299">
        <v>9284.54</v>
      </c>
      <c r="AQ89" s="299">
        <v>10600</v>
      </c>
      <c r="AR89" s="300">
        <v>8193.66</v>
      </c>
      <c r="AS89" s="300">
        <v>8700</v>
      </c>
      <c r="AT89" s="300">
        <v>10280.52</v>
      </c>
      <c r="AU89" s="300">
        <v>10800</v>
      </c>
      <c r="AV89" s="300">
        <v>8406.5</v>
      </c>
      <c r="AW89" s="300">
        <v>8600</v>
      </c>
      <c r="AX89" s="300">
        <v>6628.5</v>
      </c>
      <c r="AY89" s="300">
        <v>9000</v>
      </c>
      <c r="AZ89" s="300">
        <v>2770.68</v>
      </c>
      <c r="BA89" s="300">
        <v>4400</v>
      </c>
      <c r="BB89" s="300">
        <v>61262.34</v>
      </c>
      <c r="BC89" s="300">
        <v>61800</v>
      </c>
      <c r="BD89" s="300">
        <v>15257.97</v>
      </c>
      <c r="BE89" s="300">
        <v>16100</v>
      </c>
      <c r="BF89" s="300">
        <v>23548.08</v>
      </c>
      <c r="BG89" s="300">
        <v>23600</v>
      </c>
      <c r="BH89" s="300">
        <v>11759.8</v>
      </c>
      <c r="BI89" s="300">
        <v>13000</v>
      </c>
      <c r="BJ89" s="300">
        <v>28523.82</v>
      </c>
      <c r="BK89" s="300">
        <v>29100</v>
      </c>
      <c r="BL89" s="266">
        <v>7884.24</v>
      </c>
      <c r="BM89" s="266">
        <v>11400</v>
      </c>
      <c r="BN89" s="266">
        <v>35731.08</v>
      </c>
      <c r="BO89" s="266">
        <v>46200</v>
      </c>
      <c r="BP89" s="266">
        <v>46171.98</v>
      </c>
      <c r="BQ89" s="266">
        <v>59700</v>
      </c>
      <c r="BR89" s="266">
        <v>48802.28</v>
      </c>
      <c r="BS89" s="266">
        <v>52600</v>
      </c>
      <c r="BT89" s="266">
        <v>14886.64</v>
      </c>
      <c r="BU89" s="266">
        <v>21200</v>
      </c>
      <c r="BV89" s="266">
        <v>70683.84</v>
      </c>
      <c r="BW89" s="266">
        <v>72900</v>
      </c>
      <c r="BX89" s="266">
        <v>14800</v>
      </c>
      <c r="BY89" s="266">
        <v>19300</v>
      </c>
      <c r="BZ89" s="266">
        <v>14800</v>
      </c>
      <c r="CA89" s="266">
        <v>19300</v>
      </c>
      <c r="CB89" s="266">
        <v>7900</v>
      </c>
      <c r="CC89" s="266">
        <v>9800</v>
      </c>
      <c r="CD89" s="311">
        <v>8500</v>
      </c>
      <c r="CE89" s="311">
        <v>12000</v>
      </c>
      <c r="CF89" s="311">
        <v>4500</v>
      </c>
      <c r="CG89" s="311">
        <v>7700</v>
      </c>
      <c r="CH89" s="311">
        <v>7800</v>
      </c>
      <c r="CI89" s="311">
        <v>9100</v>
      </c>
      <c r="CJ89" s="311">
        <v>862</v>
      </c>
      <c r="CK89" s="311">
        <v>32900</v>
      </c>
      <c r="CL89" s="311">
        <v>11600</v>
      </c>
      <c r="CM89" s="311">
        <v>6800</v>
      </c>
      <c r="CN89" s="311">
        <v>2200</v>
      </c>
      <c r="CO89" s="311">
        <v>4800</v>
      </c>
      <c r="CP89" s="311">
        <v>3000</v>
      </c>
      <c r="CQ89" s="311">
        <v>5300</v>
      </c>
      <c r="CR89" s="311">
        <v>50900</v>
      </c>
      <c r="CS89" s="258">
        <v>51300</v>
      </c>
      <c r="CT89" s="258">
        <v>2400</v>
      </c>
      <c r="CU89" s="258">
        <v>3500</v>
      </c>
      <c r="CV89" s="258">
        <v>4400</v>
      </c>
      <c r="CW89" s="258">
        <v>8700</v>
      </c>
      <c r="CX89" s="266">
        <f t="shared" si="66"/>
        <v>2000</v>
      </c>
      <c r="CY89" s="266">
        <f t="shared" si="67"/>
        <v>5200</v>
      </c>
      <c r="DA89" s="301" t="s">
        <v>4906</v>
      </c>
      <c r="DB89" s="258">
        <v>4400</v>
      </c>
      <c r="DC89" s="258">
        <f t="shared" si="81"/>
        <v>1</v>
      </c>
    </row>
    <row r="90" spans="1:107">
      <c r="A90" s="264" t="s">
        <v>4907</v>
      </c>
      <c r="B90" s="264" t="s">
        <v>4776</v>
      </c>
      <c r="C90" s="264"/>
      <c r="D90" s="265" t="s">
        <v>4908</v>
      </c>
      <c r="E90" s="306">
        <f t="shared" si="51"/>
        <v>5.39010664854075e-5</v>
      </c>
      <c r="F90" s="306">
        <f t="shared" si="52"/>
        <v>2.50881573717656e-5</v>
      </c>
      <c r="G90" s="304">
        <f t="shared" si="53"/>
        <v>4.09024939826949e-5</v>
      </c>
      <c r="H90" s="304">
        <f t="shared" si="54"/>
        <v>5.3975596431187e-5</v>
      </c>
      <c r="I90" s="304">
        <f t="shared" si="68"/>
        <v>0</v>
      </c>
      <c r="J90" s="304">
        <f t="shared" si="55"/>
        <v>0</v>
      </c>
      <c r="K90" s="304">
        <f t="shared" si="56"/>
        <v>0</v>
      </c>
      <c r="L90" s="304">
        <f t="shared" si="57"/>
        <v>0</v>
      </c>
      <c r="M90" s="304">
        <f t="shared" si="58"/>
        <v>0</v>
      </c>
      <c r="N90" s="304">
        <f t="shared" si="59"/>
        <v>0</v>
      </c>
      <c r="O90" s="304">
        <f t="shared" si="60"/>
        <v>1.18660456390771e-5</v>
      </c>
      <c r="P90" s="304">
        <f t="shared" si="61"/>
        <v>5.5384891312414e-6</v>
      </c>
      <c r="Q90" s="304">
        <v>0.000357305203598344</v>
      </c>
      <c r="R90" s="304">
        <f t="shared" si="62"/>
        <v>5.11084373210395e-5</v>
      </c>
      <c r="S90" s="304">
        <f t="shared" si="63"/>
        <v>0.00042034212472367</v>
      </c>
      <c r="T90" s="304">
        <v>5.86608085861509e-5</v>
      </c>
      <c r="U90" s="304">
        <v>1.68891578408459e-5</v>
      </c>
      <c r="V90" s="304">
        <v>4.97473834004546e-5</v>
      </c>
      <c r="W90" s="304">
        <v>0.000325805415769402</v>
      </c>
      <c r="X90" s="304">
        <f t="shared" si="64"/>
        <v>0.000880425504162548</v>
      </c>
      <c r="Y90" s="304">
        <f t="shared" si="45"/>
        <v>0</v>
      </c>
      <c r="Z90" s="304">
        <f t="shared" si="46"/>
        <v>1.00280858031673e-5</v>
      </c>
      <c r="AA90" s="304">
        <f t="shared" si="69"/>
        <v>7.26884468174979e-5</v>
      </c>
      <c r="AB90" s="304">
        <f t="shared" si="70"/>
        <v>0</v>
      </c>
      <c r="AC90" s="304">
        <f t="shared" si="65"/>
        <v>0.000229264339349343</v>
      </c>
      <c r="AD90" s="304">
        <f t="shared" si="71"/>
        <v>0.000565014377630881</v>
      </c>
      <c r="AE90" s="304">
        <f t="shared" si="72"/>
        <v>3.94490570984995e-5</v>
      </c>
      <c r="AF90" s="303">
        <f t="shared" si="73"/>
        <v>-0.000525565320532381</v>
      </c>
      <c r="AG90" s="303">
        <f t="shared" si="74"/>
        <v>0</v>
      </c>
      <c r="AH90" s="303">
        <f t="shared" si="75"/>
        <v>4.32486984062151e-5</v>
      </c>
      <c r="AI90" s="303">
        <f t="shared" si="76"/>
        <v>3.29277172300905e-5</v>
      </c>
      <c r="AJ90" s="303">
        <f t="shared" si="77"/>
        <v>2.2738179790763e-5</v>
      </c>
      <c r="AK90" s="303">
        <f t="shared" si="78"/>
        <v>-1.01895374393275e-5</v>
      </c>
      <c r="AL90" s="304">
        <f t="shared" si="79"/>
        <v>-1.01895374393275e-5</v>
      </c>
      <c r="AM90" s="304">
        <f t="shared" si="80"/>
        <v>-0.378378378378378</v>
      </c>
      <c r="AN90" s="299">
        <v>10100</v>
      </c>
      <c r="AO90" s="299">
        <v>121500</v>
      </c>
      <c r="AP90" s="299">
        <v>4414.06</v>
      </c>
      <c r="AQ90" s="299">
        <v>76900</v>
      </c>
      <c r="AR90" s="300">
        <v>7261.1</v>
      </c>
      <c r="AS90" s="300">
        <v>126500</v>
      </c>
      <c r="AT90" s="300">
        <v>9138.08</v>
      </c>
      <c r="AU90" s="300">
        <v>159200</v>
      </c>
      <c r="AV90" s="300">
        <v>0</v>
      </c>
      <c r="AW90" s="300">
        <v>81600</v>
      </c>
      <c r="AX90" s="300">
        <v>0</v>
      </c>
      <c r="AY90" s="300">
        <v>63500</v>
      </c>
      <c r="AZ90" s="300">
        <v>0</v>
      </c>
      <c r="BA90" s="300">
        <v>74600</v>
      </c>
      <c r="BB90" s="300">
        <v>0</v>
      </c>
      <c r="BC90" s="300">
        <v>116100</v>
      </c>
      <c r="BD90" s="300">
        <v>0</v>
      </c>
      <c r="BE90" s="300">
        <v>60500</v>
      </c>
      <c r="BF90" s="300">
        <v>0</v>
      </c>
      <c r="BG90" s="300">
        <v>132200</v>
      </c>
      <c r="BH90" s="300">
        <v>1382.52</v>
      </c>
      <c r="BI90" s="300">
        <v>112400</v>
      </c>
      <c r="BJ90" s="300">
        <v>632.22</v>
      </c>
      <c r="BK90" s="300">
        <v>51400</v>
      </c>
      <c r="BL90" s="266">
        <v>9500</v>
      </c>
      <c r="BM90" s="266">
        <v>112700</v>
      </c>
      <c r="BN90" s="266">
        <v>6400</v>
      </c>
      <c r="BO90" s="266">
        <v>95800</v>
      </c>
      <c r="BP90" s="266">
        <v>55297.92</v>
      </c>
      <c r="BQ90" s="266">
        <v>99600</v>
      </c>
      <c r="BR90" s="266">
        <v>7100</v>
      </c>
      <c r="BS90" s="266">
        <v>76900</v>
      </c>
      <c r="BT90" s="266">
        <v>1900</v>
      </c>
      <c r="BU90" s="266">
        <v>185600</v>
      </c>
      <c r="BV90" s="266">
        <v>6400.89</v>
      </c>
      <c r="BW90" s="266">
        <v>135900</v>
      </c>
      <c r="BX90" s="266">
        <v>44700</v>
      </c>
      <c r="BY90" s="266">
        <v>145800</v>
      </c>
      <c r="BZ90" s="266">
        <v>37400</v>
      </c>
      <c r="CA90" s="266">
        <v>145800</v>
      </c>
      <c r="CB90" s="266">
        <v>0</v>
      </c>
      <c r="CC90" s="266">
        <v>79500</v>
      </c>
      <c r="CD90" s="311">
        <v>1400</v>
      </c>
      <c r="CE90" s="311">
        <v>93600</v>
      </c>
      <c r="CF90" s="311">
        <v>9000</v>
      </c>
      <c r="CG90" s="311">
        <v>109000</v>
      </c>
      <c r="CH90" s="311">
        <v>0</v>
      </c>
      <c r="CI90" s="311">
        <v>61400</v>
      </c>
      <c r="CJ90" s="311">
        <v>35700</v>
      </c>
      <c r="CK90" s="311">
        <v>133900</v>
      </c>
      <c r="CL90" s="311">
        <v>98200</v>
      </c>
      <c r="CM90" s="311">
        <v>98200</v>
      </c>
      <c r="CN90" s="311">
        <v>6000</v>
      </c>
      <c r="CO90" s="311">
        <v>184500</v>
      </c>
      <c r="CP90" s="311">
        <v>0</v>
      </c>
      <c r="CQ90" s="311">
        <v>155300</v>
      </c>
      <c r="CR90" s="311">
        <v>6700</v>
      </c>
      <c r="CS90" s="258">
        <v>105300</v>
      </c>
      <c r="CT90" s="258">
        <v>5100</v>
      </c>
      <c r="CU90" s="258">
        <v>84500</v>
      </c>
      <c r="CV90" s="258">
        <v>3700</v>
      </c>
      <c r="CW90" s="258">
        <v>51400</v>
      </c>
      <c r="CX90" s="266">
        <f t="shared" si="66"/>
        <v>-1400</v>
      </c>
      <c r="CY90" s="266">
        <f t="shared" si="67"/>
        <v>-33100</v>
      </c>
      <c r="DA90" s="301" t="s">
        <v>4908</v>
      </c>
      <c r="DB90" s="258">
        <v>0</v>
      </c>
      <c r="DC90" s="258">
        <f t="shared" si="81"/>
        <v>1</v>
      </c>
    </row>
    <row r="91" spans="1:107">
      <c r="A91" s="264" t="s">
        <v>4909</v>
      </c>
      <c r="B91" s="264" t="s">
        <v>4776</v>
      </c>
      <c r="C91" s="264"/>
      <c r="D91" s="265" t="s">
        <v>4910</v>
      </c>
      <c r="E91" s="306">
        <f t="shared" si="51"/>
        <v>4.85643272294265e-5</v>
      </c>
      <c r="F91" s="306">
        <f t="shared" si="52"/>
        <v>1.94382265332683e-5</v>
      </c>
      <c r="G91" s="304">
        <f t="shared" si="53"/>
        <v>8.40176691895023e-5</v>
      </c>
      <c r="H91" s="304">
        <f t="shared" si="54"/>
        <v>0.00014168617689855</v>
      </c>
      <c r="I91" s="304">
        <f t="shared" si="68"/>
        <v>0</v>
      </c>
      <c r="J91" s="304">
        <f t="shared" si="55"/>
        <v>6.48279600755949e-5</v>
      </c>
      <c r="K91" s="304">
        <f t="shared" si="56"/>
        <v>3.17753378296923e-5</v>
      </c>
      <c r="L91" s="304">
        <f t="shared" si="57"/>
        <v>7.82694816437858e-5</v>
      </c>
      <c r="M91" s="304">
        <f t="shared" si="58"/>
        <v>6.08350876780768e-5</v>
      </c>
      <c r="N91" s="304">
        <f t="shared" si="59"/>
        <v>6.66441482745858e-5</v>
      </c>
      <c r="O91" s="304">
        <f t="shared" si="60"/>
        <v>0.000150283074921604</v>
      </c>
      <c r="P91" s="304">
        <f t="shared" si="61"/>
        <v>0.000133144500793062</v>
      </c>
      <c r="Q91" s="304">
        <v>0.000140419554721528</v>
      </c>
      <c r="R91" s="304">
        <f t="shared" si="62"/>
        <v>0.000222800843946406</v>
      </c>
      <c r="S91" s="304">
        <f t="shared" si="63"/>
        <v>0.000227508660805949</v>
      </c>
      <c r="T91" s="304">
        <v>0.000103188493345898</v>
      </c>
      <c r="U91" s="304">
        <v>7.816995593118e-5</v>
      </c>
      <c r="V91" s="304">
        <v>6.44379969834678e-5</v>
      </c>
      <c r="W91" s="304">
        <v>6.34117923309574e-5</v>
      </c>
      <c r="X91" s="304">
        <f t="shared" si="64"/>
        <v>6.88398542349318e-5</v>
      </c>
      <c r="Y91" s="304">
        <f t="shared" si="45"/>
        <v>9.5693282999161e-5</v>
      </c>
      <c r="Z91" s="304">
        <f t="shared" si="46"/>
        <v>7.73595190530049e-5</v>
      </c>
      <c r="AA91" s="304">
        <f t="shared" si="69"/>
        <v>0.000179298168816495</v>
      </c>
      <c r="AB91" s="304">
        <f t="shared" si="70"/>
        <v>6.58185764513379e-5</v>
      </c>
      <c r="AC91" s="304">
        <f t="shared" si="65"/>
        <v>1.92659108696927e-5</v>
      </c>
      <c r="AD91" s="304">
        <f t="shared" si="71"/>
        <v>0.00045741999003722</v>
      </c>
      <c r="AE91" s="304">
        <f t="shared" si="72"/>
        <v>0.000274170946834571</v>
      </c>
      <c r="AF91" s="303">
        <f t="shared" si="73"/>
        <v>-0.000183249043202649</v>
      </c>
      <c r="AG91" s="303">
        <f t="shared" si="74"/>
        <v>0.000271496104737918</v>
      </c>
      <c r="AH91" s="303">
        <f t="shared" si="75"/>
        <v>0.000139428639637947</v>
      </c>
      <c r="AI91" s="303">
        <f t="shared" si="76"/>
        <v>0.000579140438341003</v>
      </c>
      <c r="AJ91" s="303">
        <f t="shared" si="77"/>
        <v>1.96654527920113e-5</v>
      </c>
      <c r="AK91" s="303">
        <f t="shared" si="78"/>
        <v>-0.000559474985548992</v>
      </c>
      <c r="AL91" s="304">
        <f t="shared" si="79"/>
        <v>-0.000559474985548992</v>
      </c>
      <c r="AM91" s="304">
        <f t="shared" si="80"/>
        <v>-27.03125</v>
      </c>
      <c r="AN91" s="299">
        <v>9100</v>
      </c>
      <c r="AO91" s="299">
        <v>13900</v>
      </c>
      <c r="AP91" s="299">
        <v>3420</v>
      </c>
      <c r="AQ91" s="299">
        <v>7200</v>
      </c>
      <c r="AR91" s="300">
        <v>14915</v>
      </c>
      <c r="AS91" s="300">
        <v>31400</v>
      </c>
      <c r="AT91" s="300">
        <v>23987.5</v>
      </c>
      <c r="AU91" s="300">
        <v>50500</v>
      </c>
      <c r="AV91" s="300">
        <v>0</v>
      </c>
      <c r="AW91" s="300">
        <v>19400</v>
      </c>
      <c r="AX91" s="300">
        <v>9145.5</v>
      </c>
      <c r="AY91" s="300">
        <v>15000</v>
      </c>
      <c r="AZ91" s="300">
        <v>4185.28</v>
      </c>
      <c r="BA91" s="300">
        <v>8800</v>
      </c>
      <c r="BB91" s="300">
        <v>10743.46</v>
      </c>
      <c r="BC91" s="300">
        <v>18200</v>
      </c>
      <c r="BD91" s="300">
        <v>7837.83</v>
      </c>
      <c r="BE91" s="300">
        <v>23100</v>
      </c>
      <c r="BF91" s="300">
        <v>8226.96</v>
      </c>
      <c r="BG91" s="300">
        <v>17700</v>
      </c>
      <c r="BH91" s="300">
        <v>17509.57</v>
      </c>
      <c r="BI91" s="300">
        <v>36700</v>
      </c>
      <c r="BJ91" s="300">
        <v>15198.48</v>
      </c>
      <c r="BK91" s="300">
        <v>20200</v>
      </c>
      <c r="BL91" s="266">
        <v>20600</v>
      </c>
      <c r="BM91" s="266">
        <v>0</v>
      </c>
      <c r="BN91" s="266">
        <v>27900</v>
      </c>
      <c r="BO91" s="266">
        <v>0</v>
      </c>
      <c r="BP91" s="266">
        <v>29929.8</v>
      </c>
      <c r="BQ91" s="266">
        <v>49800</v>
      </c>
      <c r="BR91" s="266">
        <v>12489.4</v>
      </c>
      <c r="BS91" s="266">
        <v>30800</v>
      </c>
      <c r="BT91" s="266">
        <v>8793.98</v>
      </c>
      <c r="BU91" s="266">
        <v>22700</v>
      </c>
      <c r="BV91" s="266">
        <v>8291.1</v>
      </c>
      <c r="BW91" s="266">
        <v>43500</v>
      </c>
      <c r="BX91" s="266">
        <v>8700</v>
      </c>
      <c r="BY91" s="266">
        <v>11400</v>
      </c>
      <c r="BZ91" s="266">
        <v>8700</v>
      </c>
      <c r="CA91" s="266">
        <v>11400</v>
      </c>
      <c r="CB91" s="266">
        <v>12900</v>
      </c>
      <c r="CC91" s="266">
        <v>22000</v>
      </c>
      <c r="CD91" s="311">
        <v>10800</v>
      </c>
      <c r="CE91" s="311">
        <v>45000</v>
      </c>
      <c r="CF91" s="311">
        <v>22200</v>
      </c>
      <c r="CG91" s="311">
        <v>29400</v>
      </c>
      <c r="CH91" s="311">
        <v>8600</v>
      </c>
      <c r="CI91" s="311">
        <v>20700</v>
      </c>
      <c r="CJ91" s="311">
        <v>3000</v>
      </c>
      <c r="CK91" s="311">
        <v>46800</v>
      </c>
      <c r="CL91" s="311">
        <v>79500</v>
      </c>
      <c r="CM91" s="311">
        <v>39900</v>
      </c>
      <c r="CN91" s="311">
        <v>41700</v>
      </c>
      <c r="CO91" s="311">
        <v>83500</v>
      </c>
      <c r="CP91" s="311">
        <v>43200</v>
      </c>
      <c r="CQ91" s="311">
        <v>89200</v>
      </c>
      <c r="CR91" s="311">
        <v>21600</v>
      </c>
      <c r="CS91" s="258">
        <v>105000</v>
      </c>
      <c r="CT91" s="258">
        <v>89700</v>
      </c>
      <c r="CU91" s="258">
        <v>98500</v>
      </c>
      <c r="CV91" s="258">
        <v>3200</v>
      </c>
      <c r="CW91" s="258">
        <v>30100</v>
      </c>
      <c r="CX91" s="266">
        <f t="shared" si="66"/>
        <v>-86500</v>
      </c>
      <c r="CY91" s="266">
        <f t="shared" si="67"/>
        <v>-68400</v>
      </c>
      <c r="DA91" s="301" t="s">
        <v>4910</v>
      </c>
      <c r="DB91" s="258">
        <v>0</v>
      </c>
      <c r="DC91" s="258">
        <f t="shared" si="81"/>
        <v>1</v>
      </c>
    </row>
    <row r="92" spans="1:107">
      <c r="A92" s="264" t="s">
        <v>4911</v>
      </c>
      <c r="B92" s="264" t="s">
        <v>4776</v>
      </c>
      <c r="C92" s="264"/>
      <c r="D92" s="310" t="s">
        <v>4912</v>
      </c>
      <c r="E92" s="306">
        <f t="shared" si="51"/>
        <v>4.74969793782303e-5</v>
      </c>
      <c r="F92" s="306">
        <f t="shared" si="52"/>
        <v>7.75528401757719e-6</v>
      </c>
      <c r="G92" s="304">
        <f t="shared" si="53"/>
        <v>8.05747191788671e-6</v>
      </c>
      <c r="H92" s="304">
        <f t="shared" si="54"/>
        <v>0</v>
      </c>
      <c r="I92" s="304">
        <f t="shared" si="68"/>
        <v>5.4341337257599e-5</v>
      </c>
      <c r="J92" s="304">
        <f t="shared" si="55"/>
        <v>0</v>
      </c>
      <c r="K92" s="304">
        <f t="shared" si="56"/>
        <v>1.1288031454332e-5</v>
      </c>
      <c r="L92" s="304">
        <f t="shared" si="57"/>
        <v>0</v>
      </c>
      <c r="M92" s="304">
        <f t="shared" si="58"/>
        <v>0</v>
      </c>
      <c r="N92" s="304">
        <f t="shared" si="59"/>
        <v>6.34790421340617e-5</v>
      </c>
      <c r="O92" s="304">
        <f t="shared" si="60"/>
        <v>3.62734403275854e-5</v>
      </c>
      <c r="P92" s="304">
        <f t="shared" si="61"/>
        <v>4.26837381030264e-5</v>
      </c>
      <c r="Q92" s="304">
        <v>3.96233396986491e-5</v>
      </c>
      <c r="R92" s="304">
        <f t="shared" si="62"/>
        <v>1.27771093302599e-5</v>
      </c>
      <c r="S92" s="304">
        <f t="shared" si="63"/>
        <v>1.26526978491242e-5</v>
      </c>
      <c r="T92" s="304">
        <v>0</v>
      </c>
      <c r="U92" s="304">
        <v>1.60002547965909e-5</v>
      </c>
      <c r="V92" s="304">
        <v>3.34604117249803e-5</v>
      </c>
      <c r="W92" s="304">
        <v>1.38485523481401e-5</v>
      </c>
      <c r="X92" s="304">
        <f t="shared" si="64"/>
        <v>1.2681025780119e-5</v>
      </c>
      <c r="Y92" s="304">
        <f t="shared" si="45"/>
        <v>0</v>
      </c>
      <c r="Z92" s="304">
        <f t="shared" si="46"/>
        <v>0</v>
      </c>
      <c r="AA92" s="304">
        <f t="shared" si="69"/>
        <v>0.000203527651088994</v>
      </c>
      <c r="AB92" s="304">
        <f t="shared" si="70"/>
        <v>6.505324416702e-5</v>
      </c>
      <c r="AC92" s="304">
        <f t="shared" si="65"/>
        <v>1.66971227537337e-5</v>
      </c>
      <c r="AD92" s="304">
        <f t="shared" si="71"/>
        <v>1.03566790197106e-5</v>
      </c>
      <c r="AE92" s="304">
        <f t="shared" si="72"/>
        <v>5.77271202208043e-6</v>
      </c>
      <c r="AF92" s="303">
        <f t="shared" si="73"/>
        <v>-4.58396699763017e-6</v>
      </c>
      <c r="AG92" s="303">
        <f t="shared" si="74"/>
        <v>0</v>
      </c>
      <c r="AH92" s="303">
        <f t="shared" si="75"/>
        <v>9.68254441930189e-6</v>
      </c>
      <c r="AI92" s="303">
        <f t="shared" si="76"/>
        <v>1.74323208865185e-5</v>
      </c>
      <c r="AJ92" s="303">
        <f t="shared" si="77"/>
        <v>9.83272639600563e-6</v>
      </c>
      <c r="AK92" s="303">
        <f t="shared" si="78"/>
        <v>-7.59959449051287e-6</v>
      </c>
      <c r="AL92" s="304">
        <f t="shared" si="79"/>
        <v>-7.59959449051287e-6</v>
      </c>
      <c r="AM92" s="304">
        <f t="shared" si="80"/>
        <v>-0.6875</v>
      </c>
      <c r="AN92" s="299">
        <v>8900</v>
      </c>
      <c r="AO92" s="299">
        <v>10800</v>
      </c>
      <c r="AP92" s="299">
        <v>1364.48</v>
      </c>
      <c r="AQ92" s="299">
        <v>2600</v>
      </c>
      <c r="AR92" s="300">
        <v>1430.38</v>
      </c>
      <c r="AS92" s="300">
        <v>3400</v>
      </c>
      <c r="AT92" s="300">
        <v>0</v>
      </c>
      <c r="AU92" s="300">
        <v>0</v>
      </c>
      <c r="AV92" s="300">
        <v>9200</v>
      </c>
      <c r="AW92" s="300">
        <v>9200</v>
      </c>
      <c r="AX92" s="300">
        <v>0</v>
      </c>
      <c r="AY92" s="300">
        <v>1200</v>
      </c>
      <c r="AZ92" s="300">
        <v>1486.8</v>
      </c>
      <c r="BA92" s="300">
        <v>2000</v>
      </c>
      <c r="BB92" s="300">
        <v>0</v>
      </c>
      <c r="BC92" s="300">
        <v>0</v>
      </c>
      <c r="BD92" s="300">
        <v>0</v>
      </c>
      <c r="BE92" s="300">
        <v>0</v>
      </c>
      <c r="BF92" s="300">
        <v>7836.24</v>
      </c>
      <c r="BG92" s="300">
        <v>10300</v>
      </c>
      <c r="BH92" s="300">
        <v>4226.24</v>
      </c>
      <c r="BI92" s="300">
        <v>4700</v>
      </c>
      <c r="BJ92" s="300">
        <v>4872.36</v>
      </c>
      <c r="BK92" s="300">
        <v>5700</v>
      </c>
      <c r="BL92" s="266">
        <v>6700</v>
      </c>
      <c r="BM92" s="266">
        <v>0</v>
      </c>
      <c r="BN92" s="266">
        <v>1600</v>
      </c>
      <c r="BO92" s="266">
        <v>4400</v>
      </c>
      <c r="BP92" s="266">
        <v>1664.52</v>
      </c>
      <c r="BQ92" s="266">
        <v>3900</v>
      </c>
      <c r="BR92" s="266">
        <v>0</v>
      </c>
      <c r="BS92" s="266">
        <v>1400</v>
      </c>
      <c r="BT92" s="266">
        <v>1800</v>
      </c>
      <c r="BU92" s="266">
        <v>6400</v>
      </c>
      <c r="BV92" s="266">
        <v>4305.28</v>
      </c>
      <c r="BW92" s="266">
        <v>5600</v>
      </c>
      <c r="BX92" s="266">
        <v>1900</v>
      </c>
      <c r="BY92" s="266">
        <v>2100</v>
      </c>
      <c r="BZ92" s="266">
        <v>1900</v>
      </c>
      <c r="CA92" s="266">
        <v>2100</v>
      </c>
      <c r="CB92" s="266">
        <v>0</v>
      </c>
      <c r="CC92" s="266">
        <v>905</v>
      </c>
      <c r="CD92" s="311">
        <v>0</v>
      </c>
      <c r="CE92" s="311">
        <v>2100</v>
      </c>
      <c r="CF92" s="311">
        <v>25200</v>
      </c>
      <c r="CG92" s="311">
        <v>26900</v>
      </c>
      <c r="CH92" s="311">
        <v>8500</v>
      </c>
      <c r="CI92" s="311">
        <v>16200</v>
      </c>
      <c r="CJ92" s="311">
        <v>2600</v>
      </c>
      <c r="CK92" s="311">
        <v>6300</v>
      </c>
      <c r="CL92" s="311">
        <v>1800</v>
      </c>
      <c r="CM92" s="311">
        <v>1800</v>
      </c>
      <c r="CN92" s="311">
        <v>878</v>
      </c>
      <c r="CO92" s="311">
        <v>3500</v>
      </c>
      <c r="CP92" s="311">
        <v>0</v>
      </c>
      <c r="CQ92" s="311">
        <v>2700</v>
      </c>
      <c r="CR92" s="311">
        <v>1500</v>
      </c>
      <c r="CS92" s="258">
        <v>11700</v>
      </c>
      <c r="CT92" s="258">
        <v>2700</v>
      </c>
      <c r="CU92" s="258">
        <v>5900</v>
      </c>
      <c r="CV92" s="258">
        <v>1600</v>
      </c>
      <c r="CW92" s="258">
        <v>2400</v>
      </c>
      <c r="CX92" s="266">
        <f t="shared" si="66"/>
        <v>-1100</v>
      </c>
      <c r="CY92" s="266">
        <f t="shared" si="67"/>
        <v>-3500</v>
      </c>
      <c r="DA92" s="301" t="s">
        <v>4912</v>
      </c>
      <c r="DB92" s="258">
        <v>1600</v>
      </c>
      <c r="DC92" s="258">
        <f t="shared" si="81"/>
        <v>1</v>
      </c>
    </row>
    <row r="93" spans="1:107">
      <c r="A93" s="264" t="s">
        <v>4913</v>
      </c>
      <c r="B93" s="264" t="s">
        <v>4776</v>
      </c>
      <c r="C93" s="264"/>
      <c r="D93" s="265" t="s">
        <v>4914</v>
      </c>
      <c r="E93" s="306">
        <f t="shared" si="51"/>
        <v>4.74969793782303e-5</v>
      </c>
      <c r="F93" s="306">
        <f t="shared" si="52"/>
        <v>1.35476481768124e-5</v>
      </c>
      <c r="G93" s="304">
        <f t="shared" si="53"/>
        <v>1.18340140417906e-5</v>
      </c>
      <c r="H93" s="304">
        <f t="shared" si="54"/>
        <v>1.5027269885196e-5</v>
      </c>
      <c r="I93" s="304">
        <f t="shared" si="68"/>
        <v>0</v>
      </c>
      <c r="J93" s="304">
        <f t="shared" si="55"/>
        <v>0</v>
      </c>
      <c r="K93" s="304">
        <f t="shared" si="56"/>
        <v>2.99009840460997e-5</v>
      </c>
      <c r="L93" s="304">
        <f t="shared" si="57"/>
        <v>4.27781993040647e-5</v>
      </c>
      <c r="M93" s="304">
        <f t="shared" si="58"/>
        <v>1.3664828818788e-5</v>
      </c>
      <c r="N93" s="304">
        <f t="shared" si="59"/>
        <v>3.73489329171213e-5</v>
      </c>
      <c r="O93" s="304">
        <f t="shared" si="60"/>
        <v>3.17484440010383e-5</v>
      </c>
      <c r="P93" s="304">
        <f t="shared" si="61"/>
        <v>1.59559857863726e-5</v>
      </c>
      <c r="Q93" s="304">
        <v>1.52932188310575e-5</v>
      </c>
      <c r="R93" s="304">
        <f t="shared" si="62"/>
        <v>0</v>
      </c>
      <c r="S93" s="304">
        <f t="shared" si="63"/>
        <v>1.62147182586715e-5</v>
      </c>
      <c r="T93" s="304">
        <v>1.62677162920828e-5</v>
      </c>
      <c r="U93" s="304">
        <v>4.08895400357322e-5</v>
      </c>
      <c r="V93" s="304">
        <v>0</v>
      </c>
      <c r="W93" s="304">
        <v>3.93590435157667e-5</v>
      </c>
      <c r="X93" s="304">
        <f t="shared" si="64"/>
        <v>6.15935537891495e-5</v>
      </c>
      <c r="Y93" s="304">
        <f t="shared" si="45"/>
        <v>2.0028826674243e-5</v>
      </c>
      <c r="Z93" s="304">
        <f t="shared" si="46"/>
        <v>1.86235879201678e-5</v>
      </c>
      <c r="AA93" s="304">
        <f t="shared" si="69"/>
        <v>6.7842550362998e-5</v>
      </c>
      <c r="AB93" s="304">
        <f t="shared" si="70"/>
        <v>3.06132913727153e-5</v>
      </c>
      <c r="AC93" s="304">
        <f t="shared" si="65"/>
        <v>2.50456841306005e-5</v>
      </c>
      <c r="AD93" s="304">
        <f t="shared" si="71"/>
        <v>1.23129406123227e-6</v>
      </c>
      <c r="AE93" s="304">
        <f t="shared" si="72"/>
        <v>1.01910064171124e-6</v>
      </c>
      <c r="AF93" s="303">
        <f t="shared" si="73"/>
        <v>-2.12193419521033e-7</v>
      </c>
      <c r="AG93" s="303">
        <f t="shared" si="74"/>
        <v>0</v>
      </c>
      <c r="AH93" s="303">
        <f t="shared" si="75"/>
        <v>0</v>
      </c>
      <c r="AI93" s="303">
        <f t="shared" si="76"/>
        <v>0</v>
      </c>
      <c r="AJ93" s="303">
        <f t="shared" si="77"/>
        <v>3.35541788263692e-6</v>
      </c>
      <c r="AK93" s="303">
        <f t="shared" si="78"/>
        <v>3.35541788263692e-6</v>
      </c>
      <c r="AL93" s="304">
        <f t="shared" si="79"/>
        <v>3.35541788263692e-6</v>
      </c>
      <c r="AM93" s="304">
        <f t="shared" si="80"/>
        <v>1</v>
      </c>
      <c r="AN93" s="299">
        <v>8900</v>
      </c>
      <c r="AO93" s="299">
        <v>10300</v>
      </c>
      <c r="AP93" s="299">
        <v>2383.6</v>
      </c>
      <c r="AQ93" s="299">
        <v>5900</v>
      </c>
      <c r="AR93" s="300">
        <v>2100.8</v>
      </c>
      <c r="AS93" s="300">
        <v>5200</v>
      </c>
      <c r="AT93" s="300">
        <v>2544.12</v>
      </c>
      <c r="AU93" s="300">
        <v>3700</v>
      </c>
      <c r="AV93" s="300">
        <v>0</v>
      </c>
      <c r="AW93" s="300">
        <v>4000</v>
      </c>
      <c r="AX93" s="300">
        <v>0</v>
      </c>
      <c r="AY93" s="300">
        <v>1200</v>
      </c>
      <c r="AZ93" s="300">
        <v>3938.4</v>
      </c>
      <c r="BA93" s="300">
        <v>4500</v>
      </c>
      <c r="BB93" s="300">
        <v>5871.84</v>
      </c>
      <c r="BC93" s="300">
        <v>7800</v>
      </c>
      <c r="BD93" s="300">
        <v>1760.54</v>
      </c>
      <c r="BE93" s="300">
        <v>4100</v>
      </c>
      <c r="BF93" s="300">
        <v>4610.58</v>
      </c>
      <c r="BG93" s="300">
        <v>7800</v>
      </c>
      <c r="BH93" s="300">
        <v>3699.03</v>
      </c>
      <c r="BI93" s="300">
        <v>5100</v>
      </c>
      <c r="BJ93" s="300">
        <v>1821.38</v>
      </c>
      <c r="BK93" s="300">
        <v>2200</v>
      </c>
      <c r="BL93" s="266">
        <v>1986.93</v>
      </c>
      <c r="BM93" s="266">
        <v>2700</v>
      </c>
      <c r="BN93" s="266">
        <v>0</v>
      </c>
      <c r="BO93" s="266">
        <v>1900</v>
      </c>
      <c r="BP93" s="266">
        <v>2133.12</v>
      </c>
      <c r="BQ93" s="266">
        <v>3300</v>
      </c>
      <c r="BR93" s="266">
        <v>1968.96</v>
      </c>
      <c r="BS93" s="266">
        <v>5600</v>
      </c>
      <c r="BT93" s="266">
        <v>4600</v>
      </c>
      <c r="BU93" s="266">
        <v>30900</v>
      </c>
      <c r="BV93" s="266">
        <v>0</v>
      </c>
      <c r="BW93" s="266">
        <v>8400</v>
      </c>
      <c r="BX93" s="266">
        <v>5400</v>
      </c>
      <c r="BY93" s="266">
        <v>10200</v>
      </c>
      <c r="BZ93" s="266">
        <v>5400</v>
      </c>
      <c r="CA93" s="266">
        <v>10200</v>
      </c>
      <c r="CB93" s="266">
        <v>2700</v>
      </c>
      <c r="CC93" s="266">
        <v>5000</v>
      </c>
      <c r="CD93" s="311">
        <v>2600</v>
      </c>
      <c r="CE93" s="311">
        <v>8200</v>
      </c>
      <c r="CF93" s="311">
        <v>8400</v>
      </c>
      <c r="CG93" s="311">
        <v>9300</v>
      </c>
      <c r="CH93" s="311">
        <v>4000</v>
      </c>
      <c r="CI93" s="311">
        <v>4400</v>
      </c>
      <c r="CJ93" s="311">
        <v>3900</v>
      </c>
      <c r="CK93" s="311">
        <v>7900</v>
      </c>
      <c r="CL93" s="311">
        <v>214</v>
      </c>
      <c r="CM93" s="311">
        <v>214</v>
      </c>
      <c r="CN93" s="311">
        <v>155</v>
      </c>
      <c r="CO93" s="311">
        <v>2800</v>
      </c>
      <c r="CP93" s="311">
        <v>0</v>
      </c>
      <c r="CQ93" s="311">
        <v>931</v>
      </c>
      <c r="CR93" s="311">
        <v>0</v>
      </c>
      <c r="CS93" s="258">
        <v>546</v>
      </c>
      <c r="CT93" s="258">
        <v>0</v>
      </c>
      <c r="CU93" s="258">
        <v>818</v>
      </c>
      <c r="CV93" s="258">
        <v>546</v>
      </c>
      <c r="CW93" s="258">
        <v>4700</v>
      </c>
      <c r="CX93" s="266">
        <f t="shared" si="66"/>
        <v>546</v>
      </c>
      <c r="CY93" s="266">
        <f t="shared" si="67"/>
        <v>3882</v>
      </c>
      <c r="DA93" s="301" t="s">
        <v>4914</v>
      </c>
      <c r="DB93" s="258">
        <v>0</v>
      </c>
      <c r="DC93" s="258">
        <f t="shared" si="81"/>
        <v>1</v>
      </c>
    </row>
    <row r="94" spans="1:107">
      <c r="A94" s="309" t="s">
        <v>4915</v>
      </c>
      <c r="B94" s="264" t="s">
        <v>4776</v>
      </c>
      <c r="C94" s="264"/>
      <c r="D94" s="265" t="s">
        <v>4916</v>
      </c>
      <c r="E94" s="306">
        <f t="shared" si="51"/>
        <v>4.69633054526322e-5</v>
      </c>
      <c r="F94" s="306">
        <f t="shared" si="52"/>
        <v>1.93400123360476e-5</v>
      </c>
      <c r="G94" s="304">
        <f t="shared" si="53"/>
        <v>2.33021019829744e-5</v>
      </c>
      <c r="H94" s="304">
        <f t="shared" si="54"/>
        <v>2.21677216008445e-5</v>
      </c>
      <c r="I94" s="304">
        <f t="shared" si="68"/>
        <v>4.06617916030624e-5</v>
      </c>
      <c r="J94" s="304">
        <f t="shared" si="55"/>
        <v>0</v>
      </c>
      <c r="K94" s="304">
        <f t="shared" si="56"/>
        <v>7.70100664061156e-5</v>
      </c>
      <c r="L94" s="304">
        <f t="shared" si="57"/>
        <v>0.00407752915842579</v>
      </c>
      <c r="M94" s="304">
        <f t="shared" si="58"/>
        <v>0.00137017645435656</v>
      </c>
      <c r="N94" s="304">
        <f t="shared" si="59"/>
        <v>0.00020251660914695</v>
      </c>
      <c r="O94" s="304">
        <f t="shared" si="60"/>
        <v>0.00043798498661653</v>
      </c>
      <c r="P94" s="304">
        <f t="shared" si="61"/>
        <v>0.00219002278096355</v>
      </c>
      <c r="Q94" s="304">
        <v>0.0019130426465032</v>
      </c>
      <c r="R94" s="304">
        <f t="shared" si="62"/>
        <v>0.000193108279287682</v>
      </c>
      <c r="S94" s="304">
        <f t="shared" si="63"/>
        <v>0.000150619797374017</v>
      </c>
      <c r="T94" s="304">
        <v>0.000258290480356824</v>
      </c>
      <c r="U94" s="304">
        <v>0.000729885311971869</v>
      </c>
      <c r="V94" s="304">
        <v>4.89555773514773e-5</v>
      </c>
      <c r="W94" s="304">
        <v>0.000290090728134725</v>
      </c>
      <c r="X94" s="304">
        <f t="shared" si="64"/>
        <v>0.000280794142274064</v>
      </c>
      <c r="Y94" s="304">
        <f t="shared" si="45"/>
        <v>0.000716586909900694</v>
      </c>
      <c r="Z94" s="304">
        <f t="shared" si="46"/>
        <v>0.000243539226648349</v>
      </c>
      <c r="AA94" s="304">
        <f t="shared" si="69"/>
        <v>9.1264383226414e-5</v>
      </c>
      <c r="AB94" s="304">
        <f t="shared" si="70"/>
        <v>0.000231130349864</v>
      </c>
      <c r="AC94" s="304">
        <f t="shared" si="65"/>
        <v>0.000128439405797951</v>
      </c>
      <c r="AD94" s="304">
        <f t="shared" si="71"/>
        <v>0.000332564470744042</v>
      </c>
      <c r="AE94" s="304">
        <f t="shared" si="72"/>
        <v>2.89293085388996e-5</v>
      </c>
      <c r="AF94" s="303">
        <f t="shared" si="73"/>
        <v>-0.000303635162205142</v>
      </c>
      <c r="AG94" s="303">
        <f t="shared" si="74"/>
        <v>8.79848487576587e-6</v>
      </c>
      <c r="AH94" s="303">
        <f t="shared" si="75"/>
        <v>0.00166797965196507</v>
      </c>
      <c r="AI94" s="303">
        <f t="shared" si="76"/>
        <v>0.000293766889013552</v>
      </c>
      <c r="AJ94" s="303">
        <f t="shared" si="77"/>
        <v>0.000155479986136839</v>
      </c>
      <c r="AK94" s="303">
        <f t="shared" si="78"/>
        <v>-0.000138286902876713</v>
      </c>
      <c r="AL94" s="304">
        <f t="shared" si="79"/>
        <v>-0.000138286902876713</v>
      </c>
      <c r="AM94" s="304">
        <f t="shared" si="80"/>
        <v>-0.798418972332016</v>
      </c>
      <c r="AN94" s="299">
        <v>8800</v>
      </c>
      <c r="AO94" s="299">
        <v>14400</v>
      </c>
      <c r="AP94" s="299">
        <v>3402.72</v>
      </c>
      <c r="AQ94" s="299">
        <v>20400</v>
      </c>
      <c r="AR94" s="300">
        <v>4136.64</v>
      </c>
      <c r="AS94" s="300">
        <v>24800</v>
      </c>
      <c r="AT94" s="300">
        <v>3753</v>
      </c>
      <c r="AU94" s="300">
        <v>22500</v>
      </c>
      <c r="AV94" s="300">
        <v>6884.05</v>
      </c>
      <c r="AW94" s="300">
        <v>13100</v>
      </c>
      <c r="AX94" s="300">
        <v>0</v>
      </c>
      <c r="AY94" s="300">
        <v>29400</v>
      </c>
      <c r="AZ94" s="300">
        <v>10143.36</v>
      </c>
      <c r="BA94" s="300">
        <v>19200</v>
      </c>
      <c r="BB94" s="300">
        <v>559691.6</v>
      </c>
      <c r="BC94" s="300">
        <v>581800</v>
      </c>
      <c r="BD94" s="300">
        <v>176529.87</v>
      </c>
      <c r="BE94" s="300">
        <v>185100</v>
      </c>
      <c r="BF94" s="300">
        <v>24999.885</v>
      </c>
      <c r="BG94" s="300">
        <v>26100</v>
      </c>
      <c r="BH94" s="300">
        <v>51029.89</v>
      </c>
      <c r="BI94" s="300">
        <v>52600</v>
      </c>
      <c r="BJ94" s="300">
        <v>249991.68</v>
      </c>
      <c r="BK94" s="300">
        <v>275200</v>
      </c>
      <c r="BL94" s="266">
        <v>297823.5</v>
      </c>
      <c r="BM94" s="266">
        <v>339400</v>
      </c>
      <c r="BN94" s="266">
        <v>24181.78</v>
      </c>
      <c r="BO94" s="266">
        <v>37100</v>
      </c>
      <c r="BP94" s="266">
        <v>19814.72</v>
      </c>
      <c r="BQ94" s="266">
        <v>30400</v>
      </c>
      <c r="BR94" s="266">
        <v>31262.14</v>
      </c>
      <c r="BS94" s="266">
        <v>38600</v>
      </c>
      <c r="BT94" s="266">
        <v>82110.79</v>
      </c>
      <c r="BU94" s="266">
        <v>106100</v>
      </c>
      <c r="BV94" s="266">
        <v>6299.01</v>
      </c>
      <c r="BW94" s="266">
        <v>17900</v>
      </c>
      <c r="BX94" s="266">
        <v>39800</v>
      </c>
      <c r="BY94" s="266">
        <v>46500</v>
      </c>
      <c r="BZ94" s="266">
        <v>39800</v>
      </c>
      <c r="CA94" s="266">
        <v>46500</v>
      </c>
      <c r="CB94" s="266">
        <v>96600</v>
      </c>
      <c r="CC94" s="266">
        <v>112900</v>
      </c>
      <c r="CD94" s="311">
        <v>34000</v>
      </c>
      <c r="CE94" s="311">
        <v>48000</v>
      </c>
      <c r="CF94" s="311">
        <v>11300</v>
      </c>
      <c r="CG94" s="311">
        <v>21200</v>
      </c>
      <c r="CH94" s="311">
        <v>30200</v>
      </c>
      <c r="CI94" s="311">
        <v>37000</v>
      </c>
      <c r="CJ94" s="311">
        <v>20000</v>
      </c>
      <c r="CK94" s="311">
        <v>45100</v>
      </c>
      <c r="CL94" s="311">
        <v>57800</v>
      </c>
      <c r="CM94" s="311">
        <v>34500</v>
      </c>
      <c r="CN94" s="311">
        <v>4400</v>
      </c>
      <c r="CO94" s="311">
        <v>63500</v>
      </c>
      <c r="CP94" s="311">
        <v>1400</v>
      </c>
      <c r="CQ94" s="311">
        <v>44000</v>
      </c>
      <c r="CR94" s="311">
        <v>258400</v>
      </c>
      <c r="CS94" s="258">
        <v>286800</v>
      </c>
      <c r="CT94" s="258">
        <v>45500</v>
      </c>
      <c r="CU94" s="258">
        <v>106000</v>
      </c>
      <c r="CV94" s="258">
        <v>25300</v>
      </c>
      <c r="CW94" s="258">
        <v>32300</v>
      </c>
      <c r="CX94" s="266">
        <f t="shared" si="66"/>
        <v>-20200</v>
      </c>
      <c r="CY94" s="266">
        <f t="shared" si="67"/>
        <v>-73700</v>
      </c>
      <c r="DA94" s="301" t="s">
        <v>4916</v>
      </c>
      <c r="DB94" s="258">
        <v>25300</v>
      </c>
      <c r="DC94" s="258">
        <f t="shared" si="81"/>
        <v>1</v>
      </c>
    </row>
    <row r="95" spans="1:107">
      <c r="A95" s="264" t="s">
        <v>4917</v>
      </c>
      <c r="B95" s="264" t="s">
        <v>4776</v>
      </c>
      <c r="C95" s="264"/>
      <c r="D95" s="265" t="s">
        <v>4918</v>
      </c>
      <c r="E95" s="306">
        <f t="shared" si="51"/>
        <v>4.64296315270341e-5</v>
      </c>
      <c r="F95" s="306">
        <f t="shared" si="52"/>
        <v>5.42508398421188e-5</v>
      </c>
      <c r="G95" s="304">
        <f t="shared" si="53"/>
        <v>3.93581236048878e-5</v>
      </c>
      <c r="H95" s="304">
        <f t="shared" si="54"/>
        <v>4.27353861528073e-5</v>
      </c>
      <c r="I95" s="304">
        <f t="shared" si="68"/>
        <v>0</v>
      </c>
      <c r="J95" s="304">
        <f t="shared" si="55"/>
        <v>0</v>
      </c>
      <c r="K95" s="304">
        <f t="shared" si="56"/>
        <v>0</v>
      </c>
      <c r="L95" s="304">
        <f t="shared" si="57"/>
        <v>0.000444338670933848</v>
      </c>
      <c r="M95" s="304">
        <f t="shared" si="58"/>
        <v>0.000193869982016173</v>
      </c>
      <c r="N95" s="304">
        <f t="shared" si="59"/>
        <v>0.000125681413691376</v>
      </c>
      <c r="O95" s="304">
        <f t="shared" si="60"/>
        <v>0.000263066383241202</v>
      </c>
      <c r="P95" s="304">
        <f t="shared" si="61"/>
        <v>0.000170496144380538</v>
      </c>
      <c r="Q95" s="304">
        <v>0.000232178867707874</v>
      </c>
      <c r="R95" s="304">
        <f t="shared" si="62"/>
        <v>0.000352094808967306</v>
      </c>
      <c r="S95" s="304">
        <f t="shared" si="63"/>
        <v>0.000154510502722763</v>
      </c>
      <c r="T95" s="304">
        <v>4.54414714399761e-5</v>
      </c>
      <c r="U95" s="304">
        <v>0.000620454324890023</v>
      </c>
      <c r="V95" s="304">
        <v>0.00027928650109157</v>
      </c>
      <c r="W95" s="304">
        <v>0.000231781034037293</v>
      </c>
      <c r="X95" s="304">
        <f t="shared" si="64"/>
        <v>0.000254828232343344</v>
      </c>
      <c r="Y95" s="304">
        <f t="shared" si="45"/>
        <v>1.48361679068467e-5</v>
      </c>
      <c r="Z95" s="304">
        <f t="shared" si="46"/>
        <v>0</v>
      </c>
      <c r="AA95" s="304">
        <f t="shared" si="69"/>
        <v>1.85759364089161e-5</v>
      </c>
      <c r="AB95" s="304">
        <f t="shared" si="70"/>
        <v>3.67359496472584e-5</v>
      </c>
      <c r="AC95" s="304">
        <f t="shared" si="65"/>
        <v>0</v>
      </c>
      <c r="AD95" s="304">
        <f t="shared" si="71"/>
        <v>5.3509508268505e-5</v>
      </c>
      <c r="AE95" s="304">
        <f t="shared" si="72"/>
        <v>0.000279430821114371</v>
      </c>
      <c r="AF95" s="303">
        <f t="shared" si="73"/>
        <v>0.000225921312845866</v>
      </c>
      <c r="AG95" s="303">
        <f t="shared" si="74"/>
        <v>5.42992209475836e-6</v>
      </c>
      <c r="AH95" s="303">
        <f t="shared" si="75"/>
        <v>0.000281439291121042</v>
      </c>
      <c r="AI95" s="303">
        <f t="shared" si="76"/>
        <v>0.000581723004398265</v>
      </c>
      <c r="AJ95" s="303">
        <f t="shared" si="77"/>
        <v>2.64254521892651e-5</v>
      </c>
      <c r="AK95" s="303">
        <f t="shared" si="78"/>
        <v>-0.000555297552209</v>
      </c>
      <c r="AL95" s="304">
        <f t="shared" si="79"/>
        <v>-0.000555297552209</v>
      </c>
      <c r="AM95" s="304">
        <f t="shared" si="80"/>
        <v>-19.953488372093</v>
      </c>
      <c r="AN95" s="299">
        <v>8700</v>
      </c>
      <c r="AO95" s="299">
        <v>23800</v>
      </c>
      <c r="AP95" s="299">
        <v>9545</v>
      </c>
      <c r="AQ95" s="299">
        <v>50000</v>
      </c>
      <c r="AR95" s="300">
        <v>6986.94</v>
      </c>
      <c r="AS95" s="300">
        <v>36600</v>
      </c>
      <c r="AT95" s="300">
        <v>7235.11</v>
      </c>
      <c r="AU95" s="300">
        <v>37900</v>
      </c>
      <c r="AV95" s="300">
        <v>0</v>
      </c>
      <c r="AW95" s="300">
        <v>20400</v>
      </c>
      <c r="AX95" s="300">
        <v>0</v>
      </c>
      <c r="AY95" s="300">
        <v>204600</v>
      </c>
      <c r="AZ95" s="300">
        <v>0</v>
      </c>
      <c r="BA95" s="300">
        <v>129800</v>
      </c>
      <c r="BB95" s="300">
        <v>60991.01</v>
      </c>
      <c r="BC95" s="300">
        <v>122300</v>
      </c>
      <c r="BD95" s="300">
        <v>24977.69</v>
      </c>
      <c r="BE95" s="300">
        <v>38900</v>
      </c>
      <c r="BF95" s="300">
        <v>15514.88</v>
      </c>
      <c r="BG95" s="300">
        <v>27200</v>
      </c>
      <c r="BH95" s="300">
        <v>30650.02</v>
      </c>
      <c r="BI95" s="300">
        <v>52600</v>
      </c>
      <c r="BJ95" s="300">
        <v>19462.18</v>
      </c>
      <c r="BK95" s="300">
        <v>33400</v>
      </c>
      <c r="BL95" s="266">
        <v>245924.5</v>
      </c>
      <c r="BM95" s="266">
        <v>372500</v>
      </c>
      <c r="BN95" s="266">
        <v>44090.7</v>
      </c>
      <c r="BO95" s="266">
        <v>59000</v>
      </c>
      <c r="BP95" s="266">
        <v>20326.56</v>
      </c>
      <c r="BQ95" s="266">
        <v>27200</v>
      </c>
      <c r="BR95" s="266">
        <v>5500</v>
      </c>
      <c r="BS95" s="266">
        <v>23500</v>
      </c>
      <c r="BT95" s="266">
        <v>69800</v>
      </c>
      <c r="BU95" s="266">
        <v>12600</v>
      </c>
      <c r="BV95" s="266">
        <v>35935.2</v>
      </c>
      <c r="BW95" s="266">
        <v>55800</v>
      </c>
      <c r="BX95" s="266">
        <v>31800</v>
      </c>
      <c r="BY95" s="266">
        <v>42200</v>
      </c>
      <c r="BZ95" s="266">
        <v>5000</v>
      </c>
      <c r="CA95" s="266">
        <v>42200</v>
      </c>
      <c r="CB95" s="266">
        <v>2000</v>
      </c>
      <c r="CC95" s="266">
        <v>20700</v>
      </c>
      <c r="CD95" s="311">
        <v>0</v>
      </c>
      <c r="CE95" s="311">
        <v>24000</v>
      </c>
      <c r="CF95" s="311">
        <v>2300</v>
      </c>
      <c r="CG95" s="311">
        <v>15700</v>
      </c>
      <c r="CH95" s="311">
        <v>4800</v>
      </c>
      <c r="CI95" s="311">
        <v>35800</v>
      </c>
      <c r="CJ95" s="311">
        <v>0</v>
      </c>
      <c r="CK95" s="311">
        <v>21300</v>
      </c>
      <c r="CL95" s="311">
        <v>9300</v>
      </c>
      <c r="CM95" s="311">
        <v>9300</v>
      </c>
      <c r="CN95" s="311">
        <v>42500</v>
      </c>
      <c r="CO95" s="311">
        <v>59600</v>
      </c>
      <c r="CP95" s="311">
        <v>864</v>
      </c>
      <c r="CQ95" s="311">
        <v>27700</v>
      </c>
      <c r="CR95" s="311">
        <v>43600</v>
      </c>
      <c r="CS95" s="258">
        <v>57600</v>
      </c>
      <c r="CT95" s="258">
        <v>90100</v>
      </c>
      <c r="CU95" s="258">
        <v>94900</v>
      </c>
      <c r="CV95" s="258">
        <v>4300</v>
      </c>
      <c r="CW95" s="258">
        <v>9100</v>
      </c>
      <c r="CX95" s="266">
        <f t="shared" si="66"/>
        <v>-85800</v>
      </c>
      <c r="CY95" s="266">
        <f t="shared" si="67"/>
        <v>-85800</v>
      </c>
      <c r="DA95" s="301" t="s">
        <v>4918</v>
      </c>
      <c r="DB95" s="258">
        <v>4300</v>
      </c>
      <c r="DC95" s="258">
        <f t="shared" si="81"/>
        <v>1</v>
      </c>
    </row>
    <row r="96" spans="1:107">
      <c r="A96" s="264" t="s">
        <v>4919</v>
      </c>
      <c r="B96" s="264" t="s">
        <v>4776</v>
      </c>
      <c r="C96" s="264"/>
      <c r="D96" s="265" t="s">
        <v>4920</v>
      </c>
      <c r="E96" s="306">
        <f t="shared" si="51"/>
        <v>4.32275879734456e-5</v>
      </c>
      <c r="F96" s="306">
        <f t="shared" si="52"/>
        <v>4.97879480713037e-5</v>
      </c>
      <c r="G96" s="304">
        <f t="shared" si="53"/>
        <v>4.74528866370912e-5</v>
      </c>
      <c r="H96" s="304">
        <f t="shared" si="54"/>
        <v>1.89450440347851e-5</v>
      </c>
      <c r="I96" s="304">
        <f t="shared" si="68"/>
        <v>2.14117863462545e-5</v>
      </c>
      <c r="J96" s="304">
        <f t="shared" si="55"/>
        <v>2.6384494187893e-5</v>
      </c>
      <c r="K96" s="304">
        <f t="shared" si="56"/>
        <v>1.81373793537402e-5</v>
      </c>
      <c r="L96" s="304">
        <f t="shared" si="57"/>
        <v>3.80719591870941e-5</v>
      </c>
      <c r="M96" s="304">
        <f t="shared" si="58"/>
        <v>3.51541923863267e-5</v>
      </c>
      <c r="N96" s="304">
        <f t="shared" si="59"/>
        <v>2.21747056230897e-5</v>
      </c>
      <c r="O96" s="304">
        <f t="shared" si="60"/>
        <v>3.93959933826732e-5</v>
      </c>
      <c r="P96" s="304">
        <f t="shared" si="61"/>
        <v>3.30582676450348e-5</v>
      </c>
      <c r="Q96" s="304">
        <v>4.79650954246805e-5</v>
      </c>
      <c r="R96" s="304">
        <f t="shared" si="62"/>
        <v>3.27413426587909e-5</v>
      </c>
      <c r="S96" s="304">
        <f t="shared" si="63"/>
        <v>4.18556401645115e-5</v>
      </c>
      <c r="T96" s="304">
        <v>0</v>
      </c>
      <c r="U96" s="304">
        <v>0.000131619162640409</v>
      </c>
      <c r="V96" s="304">
        <v>9.124095816316e-5</v>
      </c>
      <c r="W96" s="304">
        <v>4.15456570444204e-5</v>
      </c>
      <c r="X96" s="304">
        <f t="shared" si="64"/>
        <v>3.8043077340357e-5</v>
      </c>
      <c r="Y96" s="304">
        <f t="shared" si="45"/>
        <v>1.40943595115043e-5</v>
      </c>
      <c r="Z96" s="304">
        <f t="shared" si="46"/>
        <v>2.86516737233351e-5</v>
      </c>
      <c r="AA96" s="304">
        <f t="shared" si="69"/>
        <v>6.21890044994149e-5</v>
      </c>
      <c r="AB96" s="304">
        <f t="shared" si="70"/>
        <v>3.36746205099868e-5</v>
      </c>
      <c r="AC96" s="304">
        <f t="shared" si="65"/>
        <v>1.09173494928259e-5</v>
      </c>
      <c r="AD96" s="304">
        <f t="shared" si="71"/>
        <v>6.90445267980709e-6</v>
      </c>
      <c r="AE96" s="304">
        <f t="shared" si="72"/>
        <v>5.77271202208043e-6</v>
      </c>
      <c r="AF96" s="303">
        <f t="shared" si="73"/>
        <v>-1.13174065772666e-6</v>
      </c>
      <c r="AG96" s="303">
        <f t="shared" si="74"/>
        <v>0.000246357576521444</v>
      </c>
      <c r="AH96" s="303">
        <f t="shared" si="75"/>
        <v>8.19788760834227e-7</v>
      </c>
      <c r="AI96" s="303">
        <f t="shared" si="76"/>
        <v>2.9699509658513e-5</v>
      </c>
      <c r="AJ96" s="303">
        <f t="shared" si="77"/>
        <v>0</v>
      </c>
      <c r="AK96" s="303">
        <f t="shared" si="78"/>
        <v>-2.9699509658513e-5</v>
      </c>
      <c r="AL96" s="304">
        <f t="shared" si="79"/>
        <v>-2.9699509658513e-5</v>
      </c>
      <c r="AM96" s="304">
        <f t="shared" si="80"/>
        <v>0</v>
      </c>
      <c r="AN96" s="299">
        <v>8100</v>
      </c>
      <c r="AO96" s="299">
        <v>11400</v>
      </c>
      <c r="AP96" s="299">
        <v>8759.79</v>
      </c>
      <c r="AQ96" s="299">
        <v>11700</v>
      </c>
      <c r="AR96" s="300">
        <v>8423.94</v>
      </c>
      <c r="AS96" s="300">
        <v>18600</v>
      </c>
      <c r="AT96" s="300">
        <v>3207.4</v>
      </c>
      <c r="AU96" s="300">
        <v>5800</v>
      </c>
      <c r="AV96" s="300">
        <v>3625.02</v>
      </c>
      <c r="AW96" s="300">
        <v>6300</v>
      </c>
      <c r="AX96" s="300">
        <v>3722.15</v>
      </c>
      <c r="AY96" s="300">
        <v>8500</v>
      </c>
      <c r="AZ96" s="300">
        <v>2388.96</v>
      </c>
      <c r="BA96" s="300">
        <v>4800</v>
      </c>
      <c r="BB96" s="300">
        <v>5225.85</v>
      </c>
      <c r="BC96" s="300">
        <v>10500</v>
      </c>
      <c r="BD96" s="300">
        <v>4529.172131211</v>
      </c>
      <c r="BE96" s="300">
        <v>9100</v>
      </c>
      <c r="BF96" s="300">
        <v>2737.3808638275</v>
      </c>
      <c r="BG96" s="300">
        <v>5500</v>
      </c>
      <c r="BH96" s="300">
        <v>4590.050504445</v>
      </c>
      <c r="BI96" s="300">
        <v>9000</v>
      </c>
      <c r="BJ96" s="300">
        <v>3773.61</v>
      </c>
      <c r="BK96" s="300">
        <v>6900</v>
      </c>
      <c r="BL96" s="266">
        <v>7366</v>
      </c>
      <c r="BM96" s="266">
        <v>10000</v>
      </c>
      <c r="BN96" s="266">
        <v>4100</v>
      </c>
      <c r="BO96" s="266">
        <v>11700</v>
      </c>
      <c r="BP96" s="266">
        <v>5506.3</v>
      </c>
      <c r="BQ96" s="266">
        <v>8200</v>
      </c>
      <c r="BR96" s="266">
        <v>0</v>
      </c>
      <c r="BS96" s="266">
        <v>2600</v>
      </c>
      <c r="BT96" s="266">
        <v>14806.92</v>
      </c>
      <c r="BU96" s="266">
        <v>16300</v>
      </c>
      <c r="BV96" s="266">
        <v>11739.78</v>
      </c>
      <c r="BW96" s="266">
        <v>17400</v>
      </c>
      <c r="BX96" s="266">
        <v>5700</v>
      </c>
      <c r="BY96" s="266">
        <v>6300</v>
      </c>
      <c r="BZ96" s="266">
        <v>5700</v>
      </c>
      <c r="CA96" s="266">
        <v>6300</v>
      </c>
      <c r="CB96" s="266">
        <v>1900</v>
      </c>
      <c r="CC96" s="266">
        <v>3200</v>
      </c>
      <c r="CD96" s="311">
        <v>4000</v>
      </c>
      <c r="CE96" s="311">
        <v>4100</v>
      </c>
      <c r="CF96" s="311">
        <v>7700</v>
      </c>
      <c r="CG96" s="311">
        <v>8100</v>
      </c>
      <c r="CH96" s="311">
        <v>4400</v>
      </c>
      <c r="CI96" s="311">
        <v>4600</v>
      </c>
      <c r="CJ96" s="311">
        <v>1700</v>
      </c>
      <c r="CK96" s="311">
        <v>1800</v>
      </c>
      <c r="CL96" s="311">
        <v>1200</v>
      </c>
      <c r="CM96" s="311">
        <v>988</v>
      </c>
      <c r="CN96" s="311">
        <v>878</v>
      </c>
      <c r="CO96" s="311">
        <v>1400</v>
      </c>
      <c r="CP96" s="311">
        <v>39200</v>
      </c>
      <c r="CQ96" s="311">
        <v>39200</v>
      </c>
      <c r="CR96" s="311">
        <v>127</v>
      </c>
      <c r="CS96" s="258">
        <v>411</v>
      </c>
      <c r="CT96" s="258">
        <v>4600</v>
      </c>
      <c r="CU96" s="258">
        <v>5200</v>
      </c>
      <c r="CV96" s="258">
        <v>0</v>
      </c>
      <c r="CW96" s="258">
        <v>4300</v>
      </c>
      <c r="CX96" s="266">
        <f t="shared" si="66"/>
        <v>-4600</v>
      </c>
      <c r="CY96" s="266">
        <f t="shared" si="67"/>
        <v>-900</v>
      </c>
      <c r="DA96" s="301" t="s">
        <v>4920</v>
      </c>
      <c r="DB96" s="258">
        <v>0</v>
      </c>
      <c r="DC96" s="258">
        <f t="shared" si="81"/>
        <v>1</v>
      </c>
    </row>
    <row r="97" spans="1:107">
      <c r="A97" s="264" t="s">
        <v>4921</v>
      </c>
      <c r="B97" s="264" t="s">
        <v>4776</v>
      </c>
      <c r="C97" s="264"/>
      <c r="D97" s="265" t="s">
        <v>4922</v>
      </c>
      <c r="E97" s="306">
        <f t="shared" si="51"/>
        <v>4.0025544419857e-5</v>
      </c>
      <c r="F97" s="306">
        <f t="shared" si="52"/>
        <v>3.5494372160507e-5</v>
      </c>
      <c r="G97" s="304">
        <f t="shared" si="53"/>
        <v>2.99658325860192e-5</v>
      </c>
      <c r="H97" s="304">
        <f t="shared" si="54"/>
        <v>2.37580917156932e-5</v>
      </c>
      <c r="I97" s="304">
        <f t="shared" si="68"/>
        <v>0</v>
      </c>
      <c r="J97" s="304">
        <f t="shared" si="55"/>
        <v>0</v>
      </c>
      <c r="K97" s="304">
        <f t="shared" si="56"/>
        <v>0</v>
      </c>
      <c r="L97" s="304">
        <f t="shared" si="57"/>
        <v>0</v>
      </c>
      <c r="M97" s="304">
        <f t="shared" si="58"/>
        <v>0</v>
      </c>
      <c r="N97" s="304">
        <f t="shared" si="59"/>
        <v>0</v>
      </c>
      <c r="O97" s="304">
        <f t="shared" si="60"/>
        <v>9.226800612592e-6</v>
      </c>
      <c r="P97" s="304">
        <f t="shared" si="61"/>
        <v>8.30773369686211e-6</v>
      </c>
      <c r="Q97" s="304">
        <v>0.000535957805397516</v>
      </c>
      <c r="R97" s="304">
        <f t="shared" si="62"/>
        <v>3.11442039925084e-5</v>
      </c>
      <c r="S97" s="304">
        <f t="shared" si="63"/>
        <v>4.83869230844671e-5</v>
      </c>
      <c r="T97" s="304">
        <v>0.000136324414319928</v>
      </c>
      <c r="U97" s="304">
        <v>3.8222830902967e-5</v>
      </c>
      <c r="V97" s="304">
        <v>0.000537338097615822</v>
      </c>
      <c r="W97" s="304">
        <v>0.000451900129255099</v>
      </c>
      <c r="X97" s="304">
        <f t="shared" si="64"/>
        <v>0.000523545207207771</v>
      </c>
      <c r="Y97" s="304">
        <f t="shared" si="45"/>
        <v>0.000124623810417512</v>
      </c>
      <c r="Z97" s="304">
        <f t="shared" si="46"/>
        <v>5.44381800743368e-5</v>
      </c>
      <c r="AA97" s="304">
        <f t="shared" si="69"/>
        <v>6.38043033175815e-5</v>
      </c>
      <c r="AB97" s="304">
        <f t="shared" si="70"/>
        <v>0.000178322422246067</v>
      </c>
      <c r="AC97" s="304">
        <f t="shared" si="65"/>
        <v>2.24768960146415e-5</v>
      </c>
      <c r="AD97" s="304">
        <f t="shared" si="71"/>
        <v>0.000452817021584015</v>
      </c>
      <c r="AE97" s="304">
        <f t="shared" si="72"/>
        <v>4.01065413834745e-5</v>
      </c>
      <c r="AF97" s="303">
        <f t="shared" si="73"/>
        <v>-0.000412710480200541</v>
      </c>
      <c r="AG97" s="303">
        <f t="shared" si="74"/>
        <v>2.71496104737918e-6</v>
      </c>
      <c r="AH97" s="303">
        <f t="shared" si="75"/>
        <v>0</v>
      </c>
      <c r="AI97" s="303">
        <f t="shared" si="76"/>
        <v>2.38887360296735e-5</v>
      </c>
      <c r="AJ97" s="303">
        <f t="shared" si="77"/>
        <v>2.33527251905134e-5</v>
      </c>
      <c r="AK97" s="303">
        <f t="shared" si="78"/>
        <v>-5.36010839160125e-7</v>
      </c>
      <c r="AL97" s="304">
        <f t="shared" si="79"/>
        <v>-5.36010839160125e-7</v>
      </c>
      <c r="AM97" s="304">
        <f t="shared" si="80"/>
        <v>0.0263157894736842</v>
      </c>
      <c r="AN97" s="299">
        <v>7500</v>
      </c>
      <c r="AO97" s="299">
        <v>114300</v>
      </c>
      <c r="AP97" s="299">
        <v>6244.95</v>
      </c>
      <c r="AQ97" s="299">
        <v>134300</v>
      </c>
      <c r="AR97" s="300">
        <v>5319.6</v>
      </c>
      <c r="AS97" s="300">
        <v>114400</v>
      </c>
      <c r="AT97" s="300">
        <v>4022.25</v>
      </c>
      <c r="AU97" s="300">
        <v>86500</v>
      </c>
      <c r="AV97" s="300">
        <v>0</v>
      </c>
      <c r="AW97" s="300">
        <v>124100</v>
      </c>
      <c r="AX97" s="300">
        <v>0</v>
      </c>
      <c r="AY97" s="300">
        <v>99300</v>
      </c>
      <c r="AZ97" s="300">
        <v>0</v>
      </c>
      <c r="BA97" s="300">
        <v>105300</v>
      </c>
      <c r="BB97" s="300">
        <v>0</v>
      </c>
      <c r="BC97" s="300">
        <v>134600</v>
      </c>
      <c r="BD97" s="300">
        <v>0</v>
      </c>
      <c r="BE97" s="300">
        <v>162700</v>
      </c>
      <c r="BF97" s="300">
        <v>0</v>
      </c>
      <c r="BG97" s="300">
        <v>139100</v>
      </c>
      <c r="BH97" s="300">
        <v>1075.02</v>
      </c>
      <c r="BI97" s="300">
        <v>87400</v>
      </c>
      <c r="BJ97" s="300">
        <v>948.33</v>
      </c>
      <c r="BK97" s="300">
        <v>77100</v>
      </c>
      <c r="BL97" s="266">
        <v>19700</v>
      </c>
      <c r="BM97" s="266">
        <v>129700</v>
      </c>
      <c r="BN97" s="266">
        <v>3900</v>
      </c>
      <c r="BO97" s="266">
        <v>127200</v>
      </c>
      <c r="BP97" s="266">
        <v>6365.52</v>
      </c>
      <c r="BQ97" s="266">
        <v>168400</v>
      </c>
      <c r="BR97" s="266">
        <v>16500</v>
      </c>
      <c r="BS97" s="266">
        <v>92000</v>
      </c>
      <c r="BT97" s="266">
        <v>4300</v>
      </c>
      <c r="BU97" s="266">
        <v>84700</v>
      </c>
      <c r="BV97" s="266">
        <v>69138.15</v>
      </c>
      <c r="BW97" s="266">
        <v>161500</v>
      </c>
      <c r="BX97" s="266">
        <v>62000</v>
      </c>
      <c r="BY97" s="266">
        <v>86700</v>
      </c>
      <c r="BZ97" s="266">
        <v>22300</v>
      </c>
      <c r="CA97" s="266">
        <v>86700</v>
      </c>
      <c r="CB97" s="266">
        <v>16800</v>
      </c>
      <c r="CC97" s="266">
        <v>91500</v>
      </c>
      <c r="CD97" s="311">
        <v>7600</v>
      </c>
      <c r="CE97" s="311">
        <v>74700</v>
      </c>
      <c r="CF97" s="311">
        <v>7900</v>
      </c>
      <c r="CG97" s="311">
        <v>101600</v>
      </c>
      <c r="CH97" s="311">
        <v>23300</v>
      </c>
      <c r="CI97" s="311">
        <v>100200</v>
      </c>
      <c r="CJ97" s="311">
        <v>3500</v>
      </c>
      <c r="CK97" s="311">
        <v>116000</v>
      </c>
      <c r="CL97" s="311">
        <v>78700</v>
      </c>
      <c r="CM97" s="311">
        <v>38900</v>
      </c>
      <c r="CN97" s="311">
        <v>6100</v>
      </c>
      <c r="CO97" s="311">
        <v>39100</v>
      </c>
      <c r="CP97" s="311">
        <v>432</v>
      </c>
      <c r="CQ97" s="311">
        <v>67800</v>
      </c>
      <c r="CR97" s="311">
        <v>0</v>
      </c>
      <c r="CS97" s="258">
        <v>52900</v>
      </c>
      <c r="CT97" s="258">
        <v>3700</v>
      </c>
      <c r="CU97" s="258">
        <v>89200</v>
      </c>
      <c r="CV97" s="258">
        <v>3800</v>
      </c>
      <c r="CW97" s="258">
        <v>38400</v>
      </c>
      <c r="CX97" s="266">
        <f t="shared" si="66"/>
        <v>100</v>
      </c>
      <c r="CY97" s="266">
        <f t="shared" si="67"/>
        <v>-50800</v>
      </c>
      <c r="DA97" s="301" t="s">
        <v>4922</v>
      </c>
      <c r="DB97" s="258">
        <v>0</v>
      </c>
      <c r="DC97" s="258">
        <f t="shared" si="81"/>
        <v>1</v>
      </c>
    </row>
    <row r="98" spans="1:107">
      <c r="A98" s="264" t="s">
        <v>4923</v>
      </c>
      <c r="B98" s="264" t="s">
        <v>4776</v>
      </c>
      <c r="C98" s="264"/>
      <c r="D98" s="265" t="s">
        <v>4924</v>
      </c>
      <c r="E98" s="306">
        <f t="shared" si="51"/>
        <v>3.68235008662685e-5</v>
      </c>
      <c r="F98" s="306">
        <f t="shared" si="52"/>
        <v>2.31683198985471e-5</v>
      </c>
      <c r="G98" s="304">
        <f t="shared" si="53"/>
        <v>3.42262579002267e-5</v>
      </c>
      <c r="H98" s="304">
        <f t="shared" si="54"/>
        <v>3.73449026968663e-5</v>
      </c>
      <c r="I98" s="304">
        <f t="shared" si="68"/>
        <v>4.67053161728296e-5</v>
      </c>
      <c r="J98" s="304">
        <f t="shared" si="55"/>
        <v>0.000103711126183458</v>
      </c>
      <c r="K98" s="304">
        <f t="shared" si="56"/>
        <v>9.28432994953446e-5</v>
      </c>
      <c r="L98" s="304">
        <f t="shared" si="57"/>
        <v>0.000128299191285205</v>
      </c>
      <c r="M98" s="304">
        <f t="shared" si="58"/>
        <v>0.000191796514573996</v>
      </c>
      <c r="N98" s="304">
        <f t="shared" si="59"/>
        <v>7.84795973827742e-5</v>
      </c>
      <c r="O98" s="304">
        <f t="shared" si="60"/>
        <v>0.000127422234904063</v>
      </c>
      <c r="P98" s="304">
        <f t="shared" si="61"/>
        <v>0.000138035948060343</v>
      </c>
      <c r="Q98" s="304">
        <v>0.000120260311716952</v>
      </c>
      <c r="R98" s="304">
        <f t="shared" si="62"/>
        <v>0.000148957936280169</v>
      </c>
      <c r="S98" s="304">
        <f t="shared" si="63"/>
        <v>6.72405466042961e-5</v>
      </c>
      <c r="T98" s="304">
        <v>0.000109885740027578</v>
      </c>
      <c r="U98" s="304">
        <v>2.31114791506312e-5</v>
      </c>
      <c r="V98" s="304">
        <v>0.000296830507615509</v>
      </c>
      <c r="W98" s="304">
        <v>3.64435588108951e-5</v>
      </c>
      <c r="X98" s="304">
        <f t="shared" si="64"/>
        <v>3.32122103765022e-5</v>
      </c>
      <c r="Y98" s="304">
        <f t="shared" si="45"/>
        <v>3.7832228162459e-5</v>
      </c>
      <c r="Z98" s="304">
        <f t="shared" si="46"/>
        <v>1.71910042340011e-5</v>
      </c>
      <c r="AA98" s="304">
        <f t="shared" si="69"/>
        <v>2.09988846361661e-5</v>
      </c>
      <c r="AB98" s="304">
        <f t="shared" si="70"/>
        <v>0.000122453165490861</v>
      </c>
      <c r="AC98" s="304">
        <f t="shared" si="65"/>
        <v>8.34856137686683e-6</v>
      </c>
      <c r="AD98" s="304">
        <f t="shared" si="71"/>
        <v>1.95626159261201e-5</v>
      </c>
      <c r="AE98" s="304">
        <f t="shared" si="72"/>
        <v>1.44646542694498e-5</v>
      </c>
      <c r="AF98" s="303">
        <f t="shared" si="73"/>
        <v>-5.09796165667029e-6</v>
      </c>
      <c r="AG98" s="303">
        <f t="shared" si="74"/>
        <v>1.6340043340708e-6</v>
      </c>
      <c r="AH98" s="303">
        <f t="shared" si="75"/>
        <v>3.31143019140125e-6</v>
      </c>
      <c r="AI98" s="303">
        <f t="shared" si="76"/>
        <v>7.03749250603894e-5</v>
      </c>
      <c r="AJ98" s="303">
        <f t="shared" si="77"/>
        <v>3.3185451586519e-5</v>
      </c>
      <c r="AK98" s="303">
        <f t="shared" si="78"/>
        <v>-3.71894734738704e-5</v>
      </c>
      <c r="AL98" s="304">
        <f t="shared" si="79"/>
        <v>-3.71894734738704e-5</v>
      </c>
      <c r="AM98" s="304">
        <f t="shared" si="80"/>
        <v>-1.01851851851852</v>
      </c>
      <c r="AN98" s="299">
        <v>6900</v>
      </c>
      <c r="AO98" s="299">
        <v>6900</v>
      </c>
      <c r="AP98" s="299">
        <v>4076.28</v>
      </c>
      <c r="AQ98" s="299">
        <v>7800</v>
      </c>
      <c r="AR98" s="300">
        <v>6075.92</v>
      </c>
      <c r="AS98" s="300">
        <v>10600</v>
      </c>
      <c r="AT98" s="300">
        <v>6322.5</v>
      </c>
      <c r="AU98" s="300">
        <v>7500</v>
      </c>
      <c r="AV98" s="300">
        <v>7907.22</v>
      </c>
      <c r="AW98" s="300">
        <v>8100</v>
      </c>
      <c r="AX98" s="300">
        <v>14630.88</v>
      </c>
      <c r="AY98" s="300">
        <v>16300</v>
      </c>
      <c r="AZ98" s="300">
        <v>12228.83</v>
      </c>
      <c r="BA98" s="300">
        <v>12700</v>
      </c>
      <c r="BB98" s="300">
        <v>17610.66</v>
      </c>
      <c r="BC98" s="300">
        <v>22700</v>
      </c>
      <c r="BD98" s="300">
        <v>24710.55</v>
      </c>
      <c r="BE98" s="300">
        <v>25700</v>
      </c>
      <c r="BF98" s="300">
        <v>9688</v>
      </c>
      <c r="BG98" s="300">
        <v>11200</v>
      </c>
      <c r="BH98" s="300">
        <v>14846.04</v>
      </c>
      <c r="BI98" s="300">
        <v>16300</v>
      </c>
      <c r="BJ98" s="300">
        <v>15756.84</v>
      </c>
      <c r="BK98" s="300">
        <v>17300</v>
      </c>
      <c r="BL98" s="266">
        <v>7159.2</v>
      </c>
      <c r="BM98" s="266">
        <v>8000</v>
      </c>
      <c r="BN98" s="266">
        <v>18653.1</v>
      </c>
      <c r="BO98" s="266">
        <v>19400</v>
      </c>
      <c r="BP98" s="266">
        <v>8845.8</v>
      </c>
      <c r="BQ98" s="266">
        <v>9200</v>
      </c>
      <c r="BR98" s="266">
        <v>13300</v>
      </c>
      <c r="BS98" s="266">
        <v>14000</v>
      </c>
      <c r="BT98" s="266">
        <v>2600</v>
      </c>
      <c r="BU98" s="266">
        <v>8900</v>
      </c>
      <c r="BV98" s="266">
        <v>38192.55</v>
      </c>
      <c r="BW98" s="266">
        <v>39500</v>
      </c>
      <c r="BX98" s="266">
        <v>5000</v>
      </c>
      <c r="BY98" s="266">
        <v>5500</v>
      </c>
      <c r="BZ98" s="266">
        <v>5000</v>
      </c>
      <c r="CA98" s="266">
        <v>5500</v>
      </c>
      <c r="CB98" s="266">
        <v>5100</v>
      </c>
      <c r="CC98" s="266">
        <v>7200</v>
      </c>
      <c r="CD98" s="311">
        <v>2400</v>
      </c>
      <c r="CE98" s="311">
        <v>3100</v>
      </c>
      <c r="CF98" s="311">
        <v>2600</v>
      </c>
      <c r="CG98" s="311">
        <v>2600</v>
      </c>
      <c r="CH98" s="311">
        <v>16000</v>
      </c>
      <c r="CI98" s="311">
        <v>16400</v>
      </c>
      <c r="CJ98" s="311">
        <v>1300</v>
      </c>
      <c r="CK98" s="311">
        <v>1300</v>
      </c>
      <c r="CL98" s="311">
        <v>3400</v>
      </c>
      <c r="CM98" s="311">
        <v>3400</v>
      </c>
      <c r="CN98" s="311">
        <v>2200</v>
      </c>
      <c r="CO98" s="311">
        <v>2400</v>
      </c>
      <c r="CP98" s="311">
        <v>260</v>
      </c>
      <c r="CQ98" s="311">
        <v>1000</v>
      </c>
      <c r="CR98" s="311">
        <v>513</v>
      </c>
      <c r="CS98" s="258">
        <v>655</v>
      </c>
      <c r="CT98" s="258">
        <v>10900</v>
      </c>
      <c r="CU98" s="258">
        <v>10900</v>
      </c>
      <c r="CV98" s="258">
        <v>5400</v>
      </c>
      <c r="CW98" s="258">
        <v>5500</v>
      </c>
      <c r="CX98" s="266">
        <f t="shared" si="66"/>
        <v>-5500</v>
      </c>
      <c r="CY98" s="266">
        <f t="shared" si="67"/>
        <v>-5400</v>
      </c>
      <c r="DA98" s="301" t="s">
        <v>4924</v>
      </c>
      <c r="DB98" s="258">
        <v>5400</v>
      </c>
      <c r="DC98" s="258">
        <f t="shared" si="81"/>
        <v>1</v>
      </c>
    </row>
    <row r="99" spans="1:107">
      <c r="A99" s="264" t="s">
        <v>4925</v>
      </c>
      <c r="B99" s="264" t="s">
        <v>4776</v>
      </c>
      <c r="C99" s="264"/>
      <c r="D99" s="265" t="s">
        <v>4926</v>
      </c>
      <c r="E99" s="306">
        <f t="shared" si="51"/>
        <v>3.62898269406704e-5</v>
      </c>
      <c r="F99" s="306">
        <f t="shared" si="52"/>
        <v>2.6713352253322e-5</v>
      </c>
      <c r="G99" s="304">
        <f t="shared" si="53"/>
        <v>0</v>
      </c>
      <c r="H99" s="304">
        <f t="shared" si="54"/>
        <v>7.67866722118247e-6</v>
      </c>
      <c r="I99" s="304">
        <f t="shared" si="68"/>
        <v>1.47666677330432e-5</v>
      </c>
      <c r="J99" s="304">
        <f t="shared" si="55"/>
        <v>9.5212854380339e-6</v>
      </c>
      <c r="K99" s="304">
        <f t="shared" si="56"/>
        <v>1.67027637876852e-5</v>
      </c>
      <c r="L99" s="304">
        <f t="shared" si="57"/>
        <v>1.81729977005522e-5</v>
      </c>
      <c r="M99" s="304">
        <f t="shared" si="58"/>
        <v>1.16425887671862e-5</v>
      </c>
      <c r="N99" s="304">
        <f t="shared" si="59"/>
        <v>0.000269035237049793</v>
      </c>
      <c r="O99" s="304">
        <f t="shared" si="60"/>
        <v>8.32542333557909e-5</v>
      </c>
      <c r="P99" s="304">
        <f t="shared" si="61"/>
        <v>1.3788842321619e-5</v>
      </c>
      <c r="Q99" s="304">
        <v>1.39029262100523e-5</v>
      </c>
      <c r="R99" s="304">
        <f t="shared" si="62"/>
        <v>7.75878784109367e-5</v>
      </c>
      <c r="S99" s="304">
        <f t="shared" si="63"/>
        <v>2.08880647114876e-5</v>
      </c>
      <c r="T99" s="304">
        <v>2.23076314341701e-5</v>
      </c>
      <c r="U99" s="304">
        <v>3.72912605125877e-5</v>
      </c>
      <c r="V99" s="304">
        <v>1.63210905266228e-5</v>
      </c>
      <c r="W99" s="304">
        <v>6.04963076260858e-5</v>
      </c>
      <c r="X99" s="304">
        <f t="shared" si="64"/>
        <v>5.01202447499942e-5</v>
      </c>
      <c r="Y99" s="304">
        <f t="shared" si="45"/>
        <v>0</v>
      </c>
      <c r="Z99" s="304">
        <f t="shared" si="46"/>
        <v>1.43258368616676e-5</v>
      </c>
      <c r="AA99" s="304">
        <f t="shared" si="69"/>
        <v>1.77682869998328e-5</v>
      </c>
      <c r="AB99" s="304">
        <f t="shared" si="70"/>
        <v>1.60719779706755e-5</v>
      </c>
      <c r="AC99" s="304">
        <f t="shared" si="65"/>
        <v>0</v>
      </c>
      <c r="AD99" s="304">
        <f t="shared" si="71"/>
        <v>1.47294990502551e-6</v>
      </c>
      <c r="AE99" s="304">
        <f t="shared" si="72"/>
        <v>0</v>
      </c>
      <c r="AF99" s="303">
        <f t="shared" si="73"/>
        <v>-1.47294990502551e-6</v>
      </c>
      <c r="AG99" s="303">
        <f t="shared" si="74"/>
        <v>0</v>
      </c>
      <c r="AH99" s="303">
        <f t="shared" si="75"/>
        <v>0.00027175674670174</v>
      </c>
      <c r="AI99" s="303">
        <f t="shared" si="76"/>
        <v>3.12490492928702e-6</v>
      </c>
      <c r="AJ99" s="303">
        <f t="shared" si="77"/>
        <v>3.35541788263692e-6</v>
      </c>
      <c r="AK99" s="303">
        <f t="shared" si="78"/>
        <v>2.30512953349902e-7</v>
      </c>
      <c r="AL99" s="304">
        <f t="shared" si="79"/>
        <v>2.30512953349902e-7</v>
      </c>
      <c r="AM99" s="304">
        <f t="shared" si="80"/>
        <v>0.113553113553114</v>
      </c>
      <c r="AN99" s="299">
        <v>6800</v>
      </c>
      <c r="AO99" s="299">
        <v>6800</v>
      </c>
      <c r="AP99" s="299">
        <v>4700</v>
      </c>
      <c r="AQ99" s="299">
        <v>4700</v>
      </c>
      <c r="AR99" s="300">
        <v>0</v>
      </c>
      <c r="AS99" s="300">
        <v>0</v>
      </c>
      <c r="AT99" s="300">
        <v>1300</v>
      </c>
      <c r="AU99" s="300">
        <v>1300</v>
      </c>
      <c r="AV99" s="300">
        <v>2500</v>
      </c>
      <c r="AW99" s="300">
        <v>2500</v>
      </c>
      <c r="AX99" s="300">
        <v>1343.2</v>
      </c>
      <c r="AY99" s="300">
        <v>1600</v>
      </c>
      <c r="AZ99" s="300">
        <v>2200</v>
      </c>
      <c r="BA99" s="300">
        <v>2200</v>
      </c>
      <c r="BB99" s="300">
        <v>2494.47</v>
      </c>
      <c r="BC99" s="300">
        <v>3300</v>
      </c>
      <c r="BD99" s="300">
        <v>1500</v>
      </c>
      <c r="BE99" s="300">
        <v>1500</v>
      </c>
      <c r="BF99" s="300">
        <v>33211.35</v>
      </c>
      <c r="BG99" s="300">
        <v>33700</v>
      </c>
      <c r="BH99" s="300">
        <v>9700</v>
      </c>
      <c r="BI99" s="300">
        <v>9700</v>
      </c>
      <c r="BJ99" s="300">
        <v>1574</v>
      </c>
      <c r="BK99" s="300">
        <v>2000</v>
      </c>
      <c r="BL99" s="266">
        <v>0</v>
      </c>
      <c r="BM99" s="266">
        <v>1600</v>
      </c>
      <c r="BN99" s="266">
        <v>9715.86</v>
      </c>
      <c r="BO99" s="266">
        <v>9900</v>
      </c>
      <c r="BP99" s="266">
        <v>2747.92</v>
      </c>
      <c r="BQ99" s="266">
        <v>2800</v>
      </c>
      <c r="BR99" s="266">
        <v>2700</v>
      </c>
      <c r="BS99" s="266">
        <v>2700</v>
      </c>
      <c r="BT99" s="266">
        <v>4195.2</v>
      </c>
      <c r="BU99" s="266">
        <v>5700</v>
      </c>
      <c r="BV99" s="266">
        <v>2100</v>
      </c>
      <c r="BW99" s="266">
        <v>2100</v>
      </c>
      <c r="BX99" s="266">
        <v>8300</v>
      </c>
      <c r="BY99" s="266">
        <v>8300</v>
      </c>
      <c r="BZ99" s="266">
        <v>8300</v>
      </c>
      <c r="CA99" s="266">
        <v>8300</v>
      </c>
      <c r="CB99" s="266">
        <v>0</v>
      </c>
      <c r="CC99" s="266">
        <v>400</v>
      </c>
      <c r="CD99" s="311">
        <v>2000</v>
      </c>
      <c r="CE99" s="311">
        <v>2400</v>
      </c>
      <c r="CF99" s="311">
        <v>2200</v>
      </c>
      <c r="CG99" s="311">
        <v>2700</v>
      </c>
      <c r="CH99" s="311">
        <v>2100</v>
      </c>
      <c r="CI99" s="311">
        <v>2100</v>
      </c>
      <c r="CJ99" s="311">
        <v>0</v>
      </c>
      <c r="CK99" s="311">
        <v>0</v>
      </c>
      <c r="CL99" s="311">
        <v>256</v>
      </c>
      <c r="CM99" s="311">
        <v>256</v>
      </c>
      <c r="CN99" s="311">
        <v>0</v>
      </c>
      <c r="CO99" s="311">
        <v>0</v>
      </c>
      <c r="CP99" s="311">
        <v>0</v>
      </c>
      <c r="CQ99" s="311">
        <v>0</v>
      </c>
      <c r="CR99" s="311">
        <v>42100</v>
      </c>
      <c r="CS99" s="258">
        <v>42100</v>
      </c>
      <c r="CT99" s="258">
        <v>484</v>
      </c>
      <c r="CU99" s="258">
        <v>10800</v>
      </c>
      <c r="CV99" s="258">
        <v>546</v>
      </c>
      <c r="CW99" s="258">
        <v>546</v>
      </c>
      <c r="CX99" s="266">
        <f t="shared" ref="CX99:CX130" si="82">CV99-CT99</f>
        <v>62</v>
      </c>
      <c r="CY99" s="266">
        <f t="shared" ref="CY99:CY130" si="83">CW99-CU99</f>
        <v>-10254</v>
      </c>
      <c r="CZ99" s="260" t="s">
        <v>4927</v>
      </c>
      <c r="DA99" s="301" t="s">
        <v>4926</v>
      </c>
      <c r="DB99" s="258">
        <v>546</v>
      </c>
      <c r="DC99" s="258">
        <f t="shared" si="81"/>
        <v>1</v>
      </c>
    </row>
    <row r="100" spans="1:107">
      <c r="A100" s="264" t="s">
        <v>4928</v>
      </c>
      <c r="B100" s="264" t="s">
        <v>4776</v>
      </c>
      <c r="C100" s="264"/>
      <c r="D100" s="265" t="s">
        <v>4929</v>
      </c>
      <c r="E100" s="306">
        <f t="shared" si="51"/>
        <v>3.52224790894742e-5</v>
      </c>
      <c r="F100" s="306">
        <f t="shared" si="52"/>
        <v>2.848211719401e-5</v>
      </c>
      <c r="G100" s="304">
        <f t="shared" si="53"/>
        <v>3.76989506727338e-5</v>
      </c>
      <c r="H100" s="304">
        <f t="shared" si="54"/>
        <v>4.22716537193188e-5</v>
      </c>
      <c r="I100" s="304">
        <f t="shared" si="68"/>
        <v>2.72576147684117e-5</v>
      </c>
      <c r="J100" s="304">
        <f t="shared" si="55"/>
        <v>0</v>
      </c>
      <c r="K100" s="304">
        <f t="shared" si="56"/>
        <v>2.36306146768955e-5</v>
      </c>
      <c r="L100" s="304">
        <f t="shared" si="57"/>
        <v>0.000222684735019665</v>
      </c>
      <c r="M100" s="304">
        <f t="shared" si="58"/>
        <v>7.940245539221e-5</v>
      </c>
      <c r="N100" s="304">
        <f t="shared" si="59"/>
        <v>0.000384290804723462</v>
      </c>
      <c r="O100" s="304">
        <f t="shared" si="60"/>
        <v>9.19265779400547e-5</v>
      </c>
      <c r="P100" s="304">
        <f t="shared" si="61"/>
        <v>0.00135733658172148</v>
      </c>
      <c r="Q100" s="304">
        <v>0.00159258019736149</v>
      </c>
      <c r="R100" s="304">
        <f t="shared" si="62"/>
        <v>0.000121136818853661</v>
      </c>
      <c r="S100" s="304">
        <f t="shared" si="63"/>
        <v>0.000145064307369071</v>
      </c>
      <c r="T100" s="304">
        <v>0.00012606786111164</v>
      </c>
      <c r="U100" s="304">
        <v>0.000106435294932402</v>
      </c>
      <c r="V100" s="304">
        <v>0.000116435437011714</v>
      </c>
      <c r="W100" s="304">
        <v>4.81054976303815e-5</v>
      </c>
      <c r="X100" s="304">
        <f t="shared" si="64"/>
        <v>4.34778026746937e-5</v>
      </c>
      <c r="Y100" s="304">
        <f t="shared" ref="Y100:Y128" si="84">CB100/CB$182</f>
        <v>8.08571150923143e-5</v>
      </c>
      <c r="Z100" s="304">
        <f t="shared" ref="Z100:Z128" si="85">CD100/CD$182</f>
        <v>8.81038966992556e-5</v>
      </c>
      <c r="AA100" s="304">
        <f t="shared" si="69"/>
        <v>6.86501997720813e-5</v>
      </c>
      <c r="AB100" s="304">
        <f t="shared" si="70"/>
        <v>0.000136229146608583</v>
      </c>
      <c r="AC100" s="304">
        <f t="shared" si="65"/>
        <v>2.18346989856517e-5</v>
      </c>
      <c r="AD100" s="304">
        <f t="shared" ref="AD100:AD129" si="86">CL100/$CL$182</f>
        <v>5.17833950985532e-5</v>
      </c>
      <c r="AE100" s="304">
        <f t="shared" si="72"/>
        <v>2.36694342590997e-5</v>
      </c>
      <c r="AF100" s="303">
        <f t="shared" si="73"/>
        <v>-2.81139608394535e-5</v>
      </c>
      <c r="AG100" s="303">
        <f t="shared" si="74"/>
        <v>6.78740261844795e-5</v>
      </c>
      <c r="AH100" s="303">
        <f t="shared" si="75"/>
        <v>0.000311132427340234</v>
      </c>
      <c r="AI100" s="303">
        <f t="shared" si="76"/>
        <v>5.29426041738709e-5</v>
      </c>
      <c r="AJ100" s="303">
        <f t="shared" si="77"/>
        <v>6.20690853747855e-5</v>
      </c>
      <c r="AK100" s="303">
        <f t="shared" si="78"/>
        <v>9.12648120091465e-6</v>
      </c>
      <c r="AL100" s="304">
        <f t="shared" si="79"/>
        <v>9.12648120091465e-6</v>
      </c>
      <c r="AM100" s="304">
        <f t="shared" si="80"/>
        <v>0.188118811881188</v>
      </c>
      <c r="AN100" s="299">
        <v>6600</v>
      </c>
      <c r="AO100" s="299">
        <v>6700</v>
      </c>
      <c r="AP100" s="299">
        <v>5011.2</v>
      </c>
      <c r="AQ100" s="299">
        <v>5800</v>
      </c>
      <c r="AR100" s="300">
        <v>6692.4</v>
      </c>
      <c r="AS100" s="300">
        <v>9900</v>
      </c>
      <c r="AT100" s="300">
        <v>7156.6</v>
      </c>
      <c r="AU100" s="300">
        <v>11000</v>
      </c>
      <c r="AV100" s="300">
        <v>4614.72</v>
      </c>
      <c r="AW100" s="300">
        <v>6900</v>
      </c>
      <c r="AX100" s="300">
        <v>0</v>
      </c>
      <c r="AY100" s="300">
        <v>17500</v>
      </c>
      <c r="AZ100" s="300">
        <v>3112.5</v>
      </c>
      <c r="BA100" s="300">
        <v>5000</v>
      </c>
      <c r="BB100" s="300">
        <v>30566.25</v>
      </c>
      <c r="BC100" s="300">
        <v>32500</v>
      </c>
      <c r="BD100" s="300">
        <v>10230</v>
      </c>
      <c r="BE100" s="300">
        <v>16500</v>
      </c>
      <c r="BF100" s="300">
        <v>47439.2</v>
      </c>
      <c r="BG100" s="300">
        <v>60800</v>
      </c>
      <c r="BH100" s="300">
        <v>10710.42</v>
      </c>
      <c r="BI100" s="300">
        <v>14700</v>
      </c>
      <c r="BJ100" s="300">
        <v>154940.33</v>
      </c>
      <c r="BK100" s="300">
        <v>229100</v>
      </c>
      <c r="BL100" s="266">
        <v>71121.75</v>
      </c>
      <c r="BM100" s="266">
        <v>77500</v>
      </c>
      <c r="BN100" s="266">
        <v>15169.23</v>
      </c>
      <c r="BO100" s="266">
        <v>27900</v>
      </c>
      <c r="BP100" s="266">
        <v>19083.87</v>
      </c>
      <c r="BQ100" s="266">
        <v>35100</v>
      </c>
      <c r="BR100" s="266">
        <v>15258.6</v>
      </c>
      <c r="BS100" s="266">
        <v>18000</v>
      </c>
      <c r="BT100" s="266">
        <v>11973.78</v>
      </c>
      <c r="BU100" s="266">
        <v>18200</v>
      </c>
      <c r="BV100" s="266">
        <v>14981.5</v>
      </c>
      <c r="BW100" s="266">
        <v>16600</v>
      </c>
      <c r="BX100" s="266">
        <v>6600</v>
      </c>
      <c r="BY100" s="266">
        <v>7200</v>
      </c>
      <c r="BZ100" s="266">
        <v>6600</v>
      </c>
      <c r="CA100" s="266">
        <v>7200</v>
      </c>
      <c r="CB100" s="266">
        <v>10900</v>
      </c>
      <c r="CC100" s="266">
        <v>19700</v>
      </c>
      <c r="CD100" s="311">
        <v>12300</v>
      </c>
      <c r="CE100" s="311">
        <v>54000</v>
      </c>
      <c r="CF100" s="311">
        <v>8500</v>
      </c>
      <c r="CG100" s="311">
        <v>12800</v>
      </c>
      <c r="CH100" s="311">
        <v>17800</v>
      </c>
      <c r="CI100" s="311">
        <v>20900</v>
      </c>
      <c r="CJ100" s="311">
        <v>3400</v>
      </c>
      <c r="CK100" s="311">
        <v>5400</v>
      </c>
      <c r="CL100" s="311">
        <v>9000</v>
      </c>
      <c r="CM100" s="311">
        <v>6900</v>
      </c>
      <c r="CN100" s="311">
        <v>3600</v>
      </c>
      <c r="CO100" s="311">
        <v>5500</v>
      </c>
      <c r="CP100" s="311">
        <v>10800</v>
      </c>
      <c r="CQ100" s="311">
        <v>24100</v>
      </c>
      <c r="CR100" s="311">
        <v>48200</v>
      </c>
      <c r="CS100" s="258">
        <v>55000</v>
      </c>
      <c r="CT100" s="258">
        <v>8200</v>
      </c>
      <c r="CU100" s="258">
        <v>16900</v>
      </c>
      <c r="CV100" s="258">
        <v>10100</v>
      </c>
      <c r="CW100" s="258">
        <v>18500</v>
      </c>
      <c r="CX100" s="266">
        <f t="shared" si="82"/>
        <v>1900</v>
      </c>
      <c r="CY100" s="266">
        <f t="shared" si="83"/>
        <v>1600</v>
      </c>
      <c r="DA100" s="301" t="s">
        <v>4929</v>
      </c>
      <c r="DB100" s="258">
        <v>0</v>
      </c>
      <c r="DC100" s="258">
        <f t="shared" si="81"/>
        <v>1</v>
      </c>
    </row>
    <row r="101" spans="1:107">
      <c r="A101" s="264" t="s">
        <v>4930</v>
      </c>
      <c r="B101" s="264" t="s">
        <v>4776</v>
      </c>
      <c r="C101" s="264"/>
      <c r="D101" s="265" t="s">
        <v>4931</v>
      </c>
      <c r="E101" s="306">
        <f t="shared" si="51"/>
        <v>3.46888051638761e-5</v>
      </c>
      <c r="F101" s="306">
        <f t="shared" si="52"/>
        <v>3.51843267636094e-5</v>
      </c>
      <c r="G101" s="304">
        <f t="shared" si="53"/>
        <v>3.58265086185206e-5</v>
      </c>
      <c r="H101" s="304">
        <f t="shared" si="54"/>
        <v>4.38274698316722e-5</v>
      </c>
      <c r="I101" s="304">
        <f t="shared" si="68"/>
        <v>0</v>
      </c>
      <c r="J101" s="304">
        <f t="shared" si="55"/>
        <v>0</v>
      </c>
      <c r="K101" s="304">
        <f t="shared" si="56"/>
        <v>0</v>
      </c>
      <c r="L101" s="304">
        <f t="shared" si="57"/>
        <v>0.000247147581583803</v>
      </c>
      <c r="M101" s="304">
        <f t="shared" si="58"/>
        <v>0.000282806887607383</v>
      </c>
      <c r="N101" s="304">
        <f t="shared" si="59"/>
        <v>0.000293235262781328</v>
      </c>
      <c r="O101" s="304">
        <f t="shared" si="60"/>
        <v>0.000248663181591513</v>
      </c>
      <c r="P101" s="304">
        <f t="shared" si="61"/>
        <v>0.000159692669077403</v>
      </c>
      <c r="Q101" s="304">
        <v>0.000260679866438481</v>
      </c>
      <c r="R101" s="304">
        <f t="shared" si="62"/>
        <v>0.000158871855123384</v>
      </c>
      <c r="S101" s="304">
        <f t="shared" si="63"/>
        <v>0.000121550487834557</v>
      </c>
      <c r="T101" s="304">
        <v>2.72648828639856e-5</v>
      </c>
      <c r="U101" s="304">
        <v>8.44457892042295e-5</v>
      </c>
      <c r="V101" s="304">
        <v>4.65850555317034e-5</v>
      </c>
      <c r="W101" s="304">
        <v>8.74645411461482e-5</v>
      </c>
      <c r="X101" s="304">
        <f t="shared" si="64"/>
        <v>0.000477048112680667</v>
      </c>
      <c r="Y101" s="304">
        <f t="shared" si="84"/>
        <v>0.000218091668230646</v>
      </c>
      <c r="Z101" s="304">
        <f t="shared" si="85"/>
        <v>4.22612187419193e-5</v>
      </c>
      <c r="AA101" s="304">
        <f t="shared" si="69"/>
        <v>0.000115493865498913</v>
      </c>
      <c r="AB101" s="304">
        <f t="shared" si="70"/>
        <v>0.000425524750080743</v>
      </c>
      <c r="AC101" s="304">
        <f t="shared" si="65"/>
        <v>2.76786919494585e-6</v>
      </c>
      <c r="AD101" s="304">
        <f t="shared" si="86"/>
        <v>0.000223243969980429</v>
      </c>
      <c r="AE101" s="304">
        <f t="shared" ref="AE101:AE132" si="87">CN101/$CN$182</f>
        <v>0.000760709317716065</v>
      </c>
      <c r="AF101" s="303">
        <f t="shared" ref="AF101:AF130" si="88">AE101-AD101</f>
        <v>0.000537465347735636</v>
      </c>
      <c r="AG101" s="303">
        <f t="shared" ref="AG101:AG132" si="89">CP101/$CP$182</f>
        <v>0.000818887556651637</v>
      </c>
      <c r="AH101" s="303">
        <f t="shared" ref="AH101:AH132" si="90">CR101/$CR$182</f>
        <v>3.35661539869132e-5</v>
      </c>
      <c r="AI101" s="303">
        <f t="shared" ref="AI101:AI132" si="91">CT101/$CT$182</f>
        <v>0.000579786079855318</v>
      </c>
      <c r="AJ101" s="303">
        <f t="shared" ref="AJ101:AJ132" si="92">CV101/$CV$182</f>
        <v>3.99454509837729e-5</v>
      </c>
      <c r="AK101" s="303">
        <f t="shared" ref="AK101:AK132" si="93">AJ101-AI101</f>
        <v>-0.000539840628871545</v>
      </c>
      <c r="AL101" s="304">
        <f t="shared" ref="AL101:AL132" si="94">AK101</f>
        <v>-0.000539840628871545</v>
      </c>
      <c r="AM101" s="304">
        <f t="shared" ref="AM101:AM132" si="95">IF(CV101=0,0,CX101/CV101)</f>
        <v>-12.8153846153846</v>
      </c>
      <c r="AN101" s="299">
        <v>6500</v>
      </c>
      <c r="AO101" s="299">
        <v>95500</v>
      </c>
      <c r="AP101" s="299">
        <v>6190.4</v>
      </c>
      <c r="AQ101" s="299">
        <v>58400</v>
      </c>
      <c r="AR101" s="300">
        <v>6360</v>
      </c>
      <c r="AS101" s="300">
        <v>60000</v>
      </c>
      <c r="AT101" s="300">
        <v>7420</v>
      </c>
      <c r="AU101" s="300">
        <v>70000</v>
      </c>
      <c r="AV101" s="300">
        <v>0</v>
      </c>
      <c r="AW101" s="300">
        <v>52500</v>
      </c>
      <c r="AX101" s="300">
        <v>0</v>
      </c>
      <c r="AY101" s="300">
        <v>52800</v>
      </c>
      <c r="AZ101" s="300">
        <v>0</v>
      </c>
      <c r="BA101" s="300">
        <v>57500</v>
      </c>
      <c r="BB101" s="300">
        <v>33924.08</v>
      </c>
      <c r="BC101" s="300">
        <v>71600</v>
      </c>
      <c r="BD101" s="300">
        <v>36436.083064849</v>
      </c>
      <c r="BE101" s="300">
        <v>76900</v>
      </c>
      <c r="BF101" s="300">
        <v>36198.748726622</v>
      </c>
      <c r="BG101" s="300">
        <v>76400</v>
      </c>
      <c r="BH101" s="300">
        <v>28971.894451658</v>
      </c>
      <c r="BI101" s="300">
        <v>59600</v>
      </c>
      <c r="BJ101" s="300">
        <v>18228.9604351875</v>
      </c>
      <c r="BK101" s="300">
        <v>37500</v>
      </c>
      <c r="BL101" s="266">
        <v>14200</v>
      </c>
      <c r="BM101" s="266">
        <v>46200</v>
      </c>
      <c r="BN101" s="266">
        <v>19894.56</v>
      </c>
      <c r="BO101" s="266">
        <v>37200</v>
      </c>
      <c r="BP101" s="266">
        <v>15990.52</v>
      </c>
      <c r="BQ101" s="266">
        <v>29900</v>
      </c>
      <c r="BR101" s="266">
        <v>3300</v>
      </c>
      <c r="BS101" s="266">
        <v>40000</v>
      </c>
      <c r="BT101" s="266">
        <v>9500</v>
      </c>
      <c r="BU101" s="266">
        <v>43700</v>
      </c>
      <c r="BV101" s="266">
        <v>5994</v>
      </c>
      <c r="BW101" s="266">
        <v>33300</v>
      </c>
      <c r="BX101" s="266">
        <v>12000</v>
      </c>
      <c r="BY101" s="266">
        <v>79000</v>
      </c>
      <c r="BZ101" s="266">
        <v>12000</v>
      </c>
      <c r="CA101" s="266">
        <v>79000</v>
      </c>
      <c r="CB101" s="266">
        <v>29400</v>
      </c>
      <c r="CC101" s="266">
        <v>64900</v>
      </c>
      <c r="CD101" s="311">
        <v>5900</v>
      </c>
      <c r="CE101" s="311">
        <v>54000</v>
      </c>
      <c r="CF101" s="311">
        <v>14300</v>
      </c>
      <c r="CG101" s="311">
        <v>48800</v>
      </c>
      <c r="CH101" s="311">
        <v>55600</v>
      </c>
      <c r="CI101" s="311">
        <v>78400</v>
      </c>
      <c r="CJ101" s="311">
        <v>431</v>
      </c>
      <c r="CK101" s="311">
        <v>43600</v>
      </c>
      <c r="CL101" s="311">
        <v>38800</v>
      </c>
      <c r="CM101" s="311">
        <v>38800</v>
      </c>
      <c r="CN101" s="311">
        <v>115700</v>
      </c>
      <c r="CO101" s="311">
        <v>143500</v>
      </c>
      <c r="CP101" s="311">
        <v>130300</v>
      </c>
      <c r="CQ101" s="311">
        <v>197800</v>
      </c>
      <c r="CR101" s="311">
        <v>5200</v>
      </c>
      <c r="CS101" s="258">
        <v>113500</v>
      </c>
      <c r="CT101" s="258">
        <v>89800</v>
      </c>
      <c r="CU101" s="258">
        <v>180800</v>
      </c>
      <c r="CV101" s="258">
        <v>6500</v>
      </c>
      <c r="CW101" s="258">
        <v>19000</v>
      </c>
      <c r="CX101" s="266">
        <f t="shared" si="82"/>
        <v>-83300</v>
      </c>
      <c r="CY101" s="266">
        <f t="shared" si="83"/>
        <v>-161800</v>
      </c>
      <c r="DA101" s="301" t="s">
        <v>4931</v>
      </c>
      <c r="DB101" s="258">
        <v>0</v>
      </c>
      <c r="DC101" s="258">
        <f t="shared" si="81"/>
        <v>1</v>
      </c>
    </row>
    <row r="102" spans="1:107">
      <c r="A102" s="264" t="s">
        <v>4932</v>
      </c>
      <c r="B102" s="264" t="s">
        <v>4776</v>
      </c>
      <c r="C102" s="264"/>
      <c r="D102" s="265" t="s">
        <v>4933</v>
      </c>
      <c r="E102" s="306">
        <f t="shared" si="51"/>
        <v>2.98857398334932e-5</v>
      </c>
      <c r="F102" s="306">
        <f t="shared" si="52"/>
        <v>1.36519439244397e-5</v>
      </c>
      <c r="G102" s="304">
        <f t="shared" si="53"/>
        <v>8.45218315356277e-6</v>
      </c>
      <c r="H102" s="304">
        <f t="shared" si="54"/>
        <v>3.32668216023672e-5</v>
      </c>
      <c r="I102" s="304">
        <f t="shared" si="68"/>
        <v>5.23850491163254e-5</v>
      </c>
      <c r="J102" s="304">
        <f t="shared" si="55"/>
        <v>3.3982312678629e-5</v>
      </c>
      <c r="K102" s="304">
        <f t="shared" si="56"/>
        <v>1.17868367183551e-5</v>
      </c>
      <c r="L102" s="304">
        <f t="shared" si="57"/>
        <v>0.000264203376352518</v>
      </c>
      <c r="M102" s="304">
        <f t="shared" si="58"/>
        <v>4.2623051773118e-5</v>
      </c>
      <c r="N102" s="304">
        <f t="shared" si="59"/>
        <v>6.27284311211088e-5</v>
      </c>
      <c r="O102" s="304">
        <f t="shared" si="60"/>
        <v>7.11138778921725e-5</v>
      </c>
      <c r="P102" s="304">
        <f t="shared" si="61"/>
        <v>0.00013076693293659</v>
      </c>
      <c r="Q102" s="304">
        <v>0.000123736043269466</v>
      </c>
      <c r="R102" s="304">
        <f t="shared" si="62"/>
        <v>6.57695314220462e-5</v>
      </c>
      <c r="S102" s="304">
        <f t="shared" si="63"/>
        <v>6.97187580723298e-5</v>
      </c>
      <c r="T102" s="304">
        <v>3.67313328152186e-5</v>
      </c>
      <c r="U102" s="304">
        <v>0.000256816356347294</v>
      </c>
      <c r="V102" s="304">
        <v>4.57915396541947e-5</v>
      </c>
      <c r="W102" s="304">
        <v>0.000520414019819582</v>
      </c>
      <c r="X102" s="304">
        <f t="shared" si="64"/>
        <v>0.000442628185563202</v>
      </c>
      <c r="Y102" s="304">
        <f t="shared" si="84"/>
        <v>0.000522974918716345</v>
      </c>
      <c r="Z102" s="304">
        <f t="shared" si="85"/>
        <v>7.66432272099215e-5</v>
      </c>
      <c r="AA102" s="304">
        <f t="shared" si="69"/>
        <v>0.000175259921771078</v>
      </c>
      <c r="AB102" s="304">
        <f t="shared" si="70"/>
        <v>0.000163781108844027</v>
      </c>
      <c r="AC102" s="304">
        <f t="shared" si="65"/>
        <v>9.7613948406443e-5</v>
      </c>
      <c r="AD102" s="304">
        <f t="shared" si="86"/>
        <v>0.000250861780699658</v>
      </c>
      <c r="AE102" s="304">
        <f t="shared" si="87"/>
        <v>0.000244584154010697</v>
      </c>
      <c r="AF102" s="303">
        <f t="shared" si="88"/>
        <v>-6.2776266889611e-6</v>
      </c>
      <c r="AG102" s="303">
        <f t="shared" si="89"/>
        <v>0.000295377706543568</v>
      </c>
      <c r="AH102" s="303">
        <f t="shared" si="90"/>
        <v>0.00136523876312157</v>
      </c>
      <c r="AI102" s="303">
        <f t="shared" si="91"/>
        <v>2.51800190583045e-5</v>
      </c>
      <c r="AJ102" s="303">
        <f t="shared" si="92"/>
        <v>3.3185451586519e-5</v>
      </c>
      <c r="AK102" s="303">
        <f t="shared" si="93"/>
        <v>8.00543252821451e-6</v>
      </c>
      <c r="AL102" s="304">
        <f t="shared" si="94"/>
        <v>8.00543252821451e-6</v>
      </c>
      <c r="AM102" s="304">
        <f t="shared" si="95"/>
        <v>0.277777777777778</v>
      </c>
      <c r="AN102" s="299">
        <v>5600</v>
      </c>
      <c r="AO102" s="299">
        <v>7000</v>
      </c>
      <c r="AP102" s="299">
        <v>2401.95</v>
      </c>
      <c r="AQ102" s="299">
        <v>6700</v>
      </c>
      <c r="AR102" s="300">
        <v>1500.45</v>
      </c>
      <c r="AS102" s="300">
        <v>3500</v>
      </c>
      <c r="AT102" s="300">
        <v>5632.08</v>
      </c>
      <c r="AU102" s="300">
        <v>6200</v>
      </c>
      <c r="AV102" s="300">
        <v>8868.8</v>
      </c>
      <c r="AW102" s="300">
        <v>9200</v>
      </c>
      <c r="AX102" s="300">
        <v>4794</v>
      </c>
      <c r="AY102" s="300">
        <v>5100</v>
      </c>
      <c r="AZ102" s="300">
        <v>1552.5</v>
      </c>
      <c r="BA102" s="300">
        <v>1800</v>
      </c>
      <c r="BB102" s="300">
        <v>36265.2</v>
      </c>
      <c r="BC102" s="300">
        <v>37600</v>
      </c>
      <c r="BD102" s="300">
        <v>5491.44</v>
      </c>
      <c r="BE102" s="300">
        <v>7200</v>
      </c>
      <c r="BF102" s="300">
        <v>7743.58</v>
      </c>
      <c r="BG102" s="300">
        <v>7900</v>
      </c>
      <c r="BH102" s="300">
        <v>8285.52</v>
      </c>
      <c r="BI102" s="300">
        <v>9200</v>
      </c>
      <c r="BJ102" s="300">
        <v>14927.08</v>
      </c>
      <c r="BK102" s="300">
        <v>17800</v>
      </c>
      <c r="BL102" s="266">
        <v>6365.15</v>
      </c>
      <c r="BM102" s="266">
        <v>7100</v>
      </c>
      <c r="BN102" s="266">
        <v>8235.92</v>
      </c>
      <c r="BO102" s="266">
        <v>8800</v>
      </c>
      <c r="BP102" s="266">
        <v>9171.82</v>
      </c>
      <c r="BQ102" s="266">
        <v>9800</v>
      </c>
      <c r="BR102" s="266">
        <v>4445.77</v>
      </c>
      <c r="BS102" s="266">
        <v>4900</v>
      </c>
      <c r="BT102" s="266">
        <v>28891.38</v>
      </c>
      <c r="BU102" s="266">
        <v>29400</v>
      </c>
      <c r="BV102" s="266">
        <v>5891.9</v>
      </c>
      <c r="BW102" s="266">
        <v>7000</v>
      </c>
      <c r="BX102" s="266">
        <v>71400</v>
      </c>
      <c r="BY102" s="266">
        <v>73300</v>
      </c>
      <c r="BZ102" s="266">
        <v>71400</v>
      </c>
      <c r="CA102" s="266">
        <v>73300</v>
      </c>
      <c r="CB102" s="266">
        <v>70500</v>
      </c>
      <c r="CC102" s="266">
        <v>71800</v>
      </c>
      <c r="CD102" s="311">
        <v>10700</v>
      </c>
      <c r="CE102" s="311">
        <v>11300</v>
      </c>
      <c r="CF102" s="311">
        <v>21700</v>
      </c>
      <c r="CG102" s="311">
        <v>26800</v>
      </c>
      <c r="CH102" s="311">
        <v>21400</v>
      </c>
      <c r="CI102" s="311">
        <v>25100</v>
      </c>
      <c r="CJ102" s="311">
        <v>15200</v>
      </c>
      <c r="CK102" s="311">
        <v>15900</v>
      </c>
      <c r="CL102" s="311">
        <v>43600</v>
      </c>
      <c r="CM102" s="311">
        <v>40900</v>
      </c>
      <c r="CN102" s="311">
        <v>37200</v>
      </c>
      <c r="CO102" s="311">
        <v>37900</v>
      </c>
      <c r="CP102" s="311">
        <v>47000</v>
      </c>
      <c r="CQ102" s="311">
        <v>52000</v>
      </c>
      <c r="CR102" s="311">
        <v>211500</v>
      </c>
      <c r="CS102" s="258">
        <v>212000</v>
      </c>
      <c r="CT102" s="258">
        <v>3900</v>
      </c>
      <c r="CU102" s="258">
        <v>8700</v>
      </c>
      <c r="CV102" s="258">
        <v>5400</v>
      </c>
      <c r="CW102" s="258">
        <v>6900</v>
      </c>
      <c r="CX102" s="266">
        <f t="shared" si="82"/>
        <v>1500</v>
      </c>
      <c r="CY102" s="266">
        <f t="shared" si="83"/>
        <v>-1800</v>
      </c>
      <c r="DA102" s="301" t="s">
        <v>4933</v>
      </c>
      <c r="DB102" s="258">
        <v>5400</v>
      </c>
      <c r="DC102" s="258">
        <f t="shared" si="81"/>
        <v>1</v>
      </c>
    </row>
    <row r="103" spans="1:107">
      <c r="A103" s="264" t="s">
        <v>4934</v>
      </c>
      <c r="B103" s="264" t="s">
        <v>4776</v>
      </c>
      <c r="C103" s="264"/>
      <c r="D103" s="265" t="s">
        <v>4935</v>
      </c>
      <c r="E103" s="306">
        <f t="shared" si="51"/>
        <v>2.88183919822971e-5</v>
      </c>
      <c r="F103" s="306">
        <f t="shared" si="52"/>
        <v>6.22872961013921e-5</v>
      </c>
      <c r="G103" s="304">
        <f t="shared" si="53"/>
        <v>3.29177453708248e-5</v>
      </c>
      <c r="H103" s="304">
        <f t="shared" si="54"/>
        <v>3.30983634568686e-5</v>
      </c>
      <c r="I103" s="304">
        <f t="shared" si="68"/>
        <v>0</v>
      </c>
      <c r="J103" s="304">
        <f t="shared" si="55"/>
        <v>7.69539890715948e-5</v>
      </c>
      <c r="K103" s="304">
        <f t="shared" si="56"/>
        <v>5.73468895803704e-5</v>
      </c>
      <c r="L103" s="304">
        <f t="shared" si="57"/>
        <v>0.000133113618317975</v>
      </c>
      <c r="M103" s="304">
        <f t="shared" si="58"/>
        <v>6.38439983190684e-5</v>
      </c>
      <c r="N103" s="304">
        <f t="shared" si="59"/>
        <v>2.60570408882459e-5</v>
      </c>
      <c r="O103" s="304">
        <f t="shared" si="60"/>
        <v>0.000103426819927006</v>
      </c>
      <c r="P103" s="304">
        <f t="shared" si="61"/>
        <v>0.000233265512660287</v>
      </c>
      <c r="Q103" s="304">
        <v>0.000190470089077717</v>
      </c>
      <c r="R103" s="304">
        <f t="shared" si="62"/>
        <v>5.90941306524519e-5</v>
      </c>
      <c r="S103" s="304">
        <f t="shared" si="63"/>
        <v>0.000310878637856293</v>
      </c>
      <c r="T103" s="304">
        <v>7.41728745186155e-5</v>
      </c>
      <c r="U103" s="304">
        <v>0.000120502363388347</v>
      </c>
      <c r="V103" s="304">
        <v>8.29601031468238e-5</v>
      </c>
      <c r="W103" s="304">
        <v>7.79892158553155e-5</v>
      </c>
      <c r="X103" s="304">
        <f t="shared" si="64"/>
        <v>0.000186592236478894</v>
      </c>
      <c r="Y103" s="304">
        <f t="shared" si="84"/>
        <v>0</v>
      </c>
      <c r="Z103" s="304">
        <f t="shared" si="85"/>
        <v>0.000434789148751611</v>
      </c>
      <c r="AA103" s="304">
        <f t="shared" si="69"/>
        <v>0.000430477135041404</v>
      </c>
      <c r="AB103" s="304">
        <f t="shared" si="70"/>
        <v>8.11252221376955e-5</v>
      </c>
      <c r="AC103" s="304">
        <f t="shared" si="65"/>
        <v>1.66971227537337e-5</v>
      </c>
      <c r="AD103" s="304">
        <f t="shared" si="86"/>
        <v>8.22780611010345e-5</v>
      </c>
      <c r="AE103" s="304">
        <f t="shared" si="87"/>
        <v>0.000131496856994998</v>
      </c>
      <c r="AF103" s="303">
        <f t="shared" si="88"/>
        <v>4.92187958939638e-5</v>
      </c>
      <c r="AG103" s="303">
        <f t="shared" si="89"/>
        <v>1.06838744920014e-5</v>
      </c>
      <c r="AH103" s="303">
        <f t="shared" si="90"/>
        <v>3.42116569482e-5</v>
      </c>
      <c r="AI103" s="303">
        <f t="shared" si="91"/>
        <v>6.24980985857403e-6</v>
      </c>
      <c r="AJ103" s="303">
        <f t="shared" si="92"/>
        <v>9.83272639600563e-6</v>
      </c>
      <c r="AK103" s="303">
        <f t="shared" si="93"/>
        <v>3.5829165374316e-6</v>
      </c>
      <c r="AL103" s="304">
        <f t="shared" si="94"/>
        <v>3.5829165374316e-6</v>
      </c>
      <c r="AM103" s="304">
        <f t="shared" si="95"/>
        <v>0.395</v>
      </c>
      <c r="AN103" s="299">
        <v>5400</v>
      </c>
      <c r="AO103" s="299">
        <v>7600</v>
      </c>
      <c r="AP103" s="299">
        <v>10958.95</v>
      </c>
      <c r="AQ103" s="299">
        <v>14900</v>
      </c>
      <c r="AR103" s="300">
        <v>5843.63</v>
      </c>
      <c r="AS103" s="300">
        <v>7900</v>
      </c>
      <c r="AT103" s="300">
        <v>5603.56</v>
      </c>
      <c r="AU103" s="300">
        <v>6200</v>
      </c>
      <c r="AV103" s="300">
        <v>0</v>
      </c>
      <c r="AW103" s="300">
        <v>13400</v>
      </c>
      <c r="AX103" s="300">
        <v>10856.16</v>
      </c>
      <c r="AY103" s="300">
        <v>14400</v>
      </c>
      <c r="AZ103" s="300">
        <v>7553.43</v>
      </c>
      <c r="BA103" s="300">
        <v>8900</v>
      </c>
      <c r="BB103" s="300">
        <v>18271.5</v>
      </c>
      <c r="BC103" s="300">
        <v>19500</v>
      </c>
      <c r="BD103" s="300">
        <v>8225.49</v>
      </c>
      <c r="BE103" s="300">
        <v>13100</v>
      </c>
      <c r="BF103" s="300">
        <v>3216.64</v>
      </c>
      <c r="BG103" s="300">
        <v>5600</v>
      </c>
      <c r="BH103" s="300">
        <v>12050.32</v>
      </c>
      <c r="BI103" s="300">
        <v>12400</v>
      </c>
      <c r="BJ103" s="300">
        <v>26627.32</v>
      </c>
      <c r="BK103" s="300">
        <v>27400</v>
      </c>
      <c r="BL103" s="266">
        <v>3500</v>
      </c>
      <c r="BM103" s="266">
        <v>24000</v>
      </c>
      <c r="BN103" s="266">
        <v>7400</v>
      </c>
      <c r="BO103" s="266">
        <v>170700</v>
      </c>
      <c r="BP103" s="266">
        <v>40897.5</v>
      </c>
      <c r="BQ103" s="266">
        <v>262500</v>
      </c>
      <c r="BR103" s="266">
        <v>8977.5</v>
      </c>
      <c r="BS103" s="266">
        <v>13300</v>
      </c>
      <c r="BT103" s="266">
        <v>13556.3</v>
      </c>
      <c r="BU103" s="266">
        <v>15500</v>
      </c>
      <c r="BV103" s="266">
        <v>10674.3</v>
      </c>
      <c r="BW103" s="266">
        <v>13800</v>
      </c>
      <c r="BX103" s="266">
        <v>10700</v>
      </c>
      <c r="BY103" s="266">
        <v>30900</v>
      </c>
      <c r="BZ103" s="266">
        <v>10700</v>
      </c>
      <c r="CA103" s="266">
        <v>30900</v>
      </c>
      <c r="CB103" s="266">
        <v>0</v>
      </c>
      <c r="CC103" s="266">
        <v>6400</v>
      </c>
      <c r="CD103" s="311">
        <v>60700</v>
      </c>
      <c r="CE103" s="311">
        <v>70900</v>
      </c>
      <c r="CF103" s="311">
        <v>53300</v>
      </c>
      <c r="CG103" s="311">
        <v>55500</v>
      </c>
      <c r="CH103" s="311">
        <v>10600</v>
      </c>
      <c r="CI103" s="311">
        <v>11300</v>
      </c>
      <c r="CJ103" s="311">
        <v>2600</v>
      </c>
      <c r="CK103" s="311">
        <v>3600</v>
      </c>
      <c r="CL103" s="311">
        <v>14300</v>
      </c>
      <c r="CM103" s="311">
        <v>8700</v>
      </c>
      <c r="CN103" s="311">
        <v>20000</v>
      </c>
      <c r="CO103" s="311">
        <v>21800</v>
      </c>
      <c r="CP103" s="311">
        <v>1700</v>
      </c>
      <c r="CQ103" s="311">
        <v>2600</v>
      </c>
      <c r="CR103" s="311">
        <v>5300</v>
      </c>
      <c r="CS103" s="258">
        <v>7100</v>
      </c>
      <c r="CT103" s="258">
        <v>968</v>
      </c>
      <c r="CU103" s="258">
        <v>2100</v>
      </c>
      <c r="CV103" s="258">
        <v>1600</v>
      </c>
      <c r="CW103" s="258">
        <v>3100</v>
      </c>
      <c r="CX103" s="266">
        <f t="shared" si="82"/>
        <v>632</v>
      </c>
      <c r="CY103" s="266">
        <f t="shared" si="83"/>
        <v>1000</v>
      </c>
      <c r="DA103" s="301" t="s">
        <v>4935</v>
      </c>
      <c r="DB103" s="258">
        <v>1600</v>
      </c>
      <c r="DC103" s="258">
        <f t="shared" si="81"/>
        <v>1</v>
      </c>
    </row>
    <row r="104" spans="1:107">
      <c r="A104" s="264" t="s">
        <v>4936</v>
      </c>
      <c r="B104" s="264" t="s">
        <v>4776</v>
      </c>
      <c r="C104" s="264"/>
      <c r="D104" s="265" t="s">
        <v>4937</v>
      </c>
      <c r="E104" s="306">
        <f t="shared" si="51"/>
        <v>2.50826745031104e-5</v>
      </c>
      <c r="F104" s="306">
        <f t="shared" si="52"/>
        <v>1.28683333127024e-5</v>
      </c>
      <c r="G104" s="304">
        <f t="shared" si="53"/>
        <v>4.55492372153078e-9</v>
      </c>
      <c r="H104" s="304">
        <f t="shared" si="54"/>
        <v>0</v>
      </c>
      <c r="I104" s="304">
        <f t="shared" si="68"/>
        <v>8.35527593671051e-6</v>
      </c>
      <c r="J104" s="304">
        <f t="shared" si="55"/>
        <v>1.06327636666549e-5</v>
      </c>
      <c r="K104" s="304">
        <f t="shared" si="56"/>
        <v>1.13882480370581e-5</v>
      </c>
      <c r="L104" s="304">
        <f t="shared" si="57"/>
        <v>5.75539821422435e-5</v>
      </c>
      <c r="M104" s="304">
        <f t="shared" si="58"/>
        <v>6.49311832581482e-5</v>
      </c>
      <c r="N104" s="304">
        <f t="shared" si="59"/>
        <v>1.40898743715684e-5</v>
      </c>
      <c r="O104" s="304">
        <f t="shared" si="60"/>
        <v>2.66070230312322e-5</v>
      </c>
      <c r="P104" s="304">
        <f t="shared" si="61"/>
        <v>7.78868102370078e-5</v>
      </c>
      <c r="Q104" s="304">
        <v>6.46486068767432e-5</v>
      </c>
      <c r="R104" s="304">
        <f t="shared" si="62"/>
        <v>1.55201949896e-5</v>
      </c>
      <c r="S104" s="304">
        <f t="shared" si="63"/>
        <v>2.05542108139475e-5</v>
      </c>
      <c r="T104" s="304">
        <v>5.82536530020487e-5</v>
      </c>
      <c r="U104" s="304">
        <v>0.000268946505069807</v>
      </c>
      <c r="V104" s="304">
        <v>0.000240009097263943</v>
      </c>
      <c r="W104" s="304">
        <v>6.77850193882648e-5</v>
      </c>
      <c r="X104" s="304">
        <f t="shared" si="64"/>
        <v>6.40089872710769e-5</v>
      </c>
      <c r="Y104" s="304">
        <f t="shared" si="84"/>
        <v>3.63486113717743e-5</v>
      </c>
      <c r="Z104" s="304">
        <f t="shared" si="85"/>
        <v>3.50983003110855e-5</v>
      </c>
      <c r="AA104" s="304">
        <f t="shared" si="69"/>
        <v>6.86501997720813e-5</v>
      </c>
      <c r="AB104" s="304">
        <f t="shared" si="70"/>
        <v>0.000435474069776875</v>
      </c>
      <c r="AC104" s="304">
        <f t="shared" si="65"/>
        <v>2.76144722465595e-5</v>
      </c>
      <c r="AD104" s="304">
        <f t="shared" si="86"/>
        <v>7.47982373645769e-6</v>
      </c>
      <c r="AE104" s="304">
        <f t="shared" si="87"/>
        <v>0.000257076355425222</v>
      </c>
      <c r="AF104" s="303">
        <f t="shared" si="88"/>
        <v>0.000249596531688764</v>
      </c>
      <c r="AG104" s="303">
        <f t="shared" si="89"/>
        <v>2.19962121894147e-5</v>
      </c>
      <c r="AH104" s="303">
        <f t="shared" si="90"/>
        <v>0.000284666805927476</v>
      </c>
      <c r="AI104" s="303">
        <f t="shared" si="91"/>
        <v>9.68462271473249e-6</v>
      </c>
      <c r="AJ104" s="303">
        <f t="shared" si="92"/>
        <v>2.64254521892651e-5</v>
      </c>
      <c r="AK104" s="303">
        <f t="shared" si="93"/>
        <v>1.67408294745326e-5</v>
      </c>
      <c r="AL104" s="304">
        <f t="shared" si="94"/>
        <v>1.67408294745326e-5</v>
      </c>
      <c r="AM104" s="304">
        <f t="shared" si="95"/>
        <v>0.651162790697674</v>
      </c>
      <c r="AN104" s="299">
        <v>4700</v>
      </c>
      <c r="AO104" s="299">
        <v>5300</v>
      </c>
      <c r="AP104" s="299">
        <v>2264.08</v>
      </c>
      <c r="AQ104" s="299">
        <v>2800</v>
      </c>
      <c r="AR104" s="300">
        <v>0.8086</v>
      </c>
      <c r="AS104" s="300">
        <v>1</v>
      </c>
      <c r="AT104" s="300">
        <v>0</v>
      </c>
      <c r="AU104" s="300">
        <v>0</v>
      </c>
      <c r="AV104" s="300">
        <v>1414.55</v>
      </c>
      <c r="AW104" s="300">
        <v>1900</v>
      </c>
      <c r="AX104" s="300">
        <v>1500</v>
      </c>
      <c r="AY104" s="300">
        <v>1500</v>
      </c>
      <c r="AZ104" s="300">
        <v>1500</v>
      </c>
      <c r="BA104" s="300">
        <v>1500</v>
      </c>
      <c r="BB104" s="300">
        <v>7900</v>
      </c>
      <c r="BC104" s="300">
        <v>7900</v>
      </c>
      <c r="BD104" s="300">
        <v>8365.56</v>
      </c>
      <c r="BE104" s="300">
        <v>9200</v>
      </c>
      <c r="BF104" s="300">
        <v>1739.34</v>
      </c>
      <c r="BG104" s="300">
        <v>1800</v>
      </c>
      <c r="BH104" s="300">
        <v>3100</v>
      </c>
      <c r="BI104" s="300">
        <v>3100</v>
      </c>
      <c r="BJ104" s="300">
        <v>8890.8</v>
      </c>
      <c r="BK104" s="300">
        <v>9300</v>
      </c>
      <c r="BL104" s="266">
        <v>3150.68</v>
      </c>
      <c r="BM104" s="266">
        <v>5200</v>
      </c>
      <c r="BN104" s="266">
        <v>1943.5</v>
      </c>
      <c r="BO104" s="266">
        <v>2300</v>
      </c>
      <c r="BP104" s="266">
        <v>2704</v>
      </c>
      <c r="BQ104" s="266">
        <v>3200</v>
      </c>
      <c r="BR104" s="266">
        <v>7050.72</v>
      </c>
      <c r="BS104" s="266">
        <v>7400</v>
      </c>
      <c r="BT104" s="266">
        <v>30256</v>
      </c>
      <c r="BU104" s="266">
        <v>31000</v>
      </c>
      <c r="BV104" s="266">
        <v>30881.46</v>
      </c>
      <c r="BW104" s="266">
        <v>30900</v>
      </c>
      <c r="BX104" s="266">
        <v>9300</v>
      </c>
      <c r="BY104" s="266">
        <v>10600</v>
      </c>
      <c r="BZ104" s="266">
        <v>9300</v>
      </c>
      <c r="CA104" s="266">
        <v>10600</v>
      </c>
      <c r="CB104" s="266">
        <v>4900</v>
      </c>
      <c r="CC104" s="266">
        <v>4900</v>
      </c>
      <c r="CD104" s="311">
        <v>4900</v>
      </c>
      <c r="CE104" s="311">
        <v>6300</v>
      </c>
      <c r="CF104" s="311">
        <v>8500</v>
      </c>
      <c r="CG104" s="311">
        <v>9000</v>
      </c>
      <c r="CH104" s="311">
        <v>56900</v>
      </c>
      <c r="CI104" s="311">
        <v>56900</v>
      </c>
      <c r="CJ104" s="311">
        <v>4300</v>
      </c>
      <c r="CK104" s="311">
        <v>5100</v>
      </c>
      <c r="CL104" s="311">
        <v>1300</v>
      </c>
      <c r="CM104" s="311">
        <v>988</v>
      </c>
      <c r="CN104" s="311">
        <v>39100</v>
      </c>
      <c r="CO104" s="311">
        <v>40200</v>
      </c>
      <c r="CP104" s="311">
        <v>3500</v>
      </c>
      <c r="CQ104" s="311">
        <v>3500</v>
      </c>
      <c r="CR104" s="311">
        <v>44100</v>
      </c>
      <c r="CS104" s="258">
        <v>45500</v>
      </c>
      <c r="CT104" s="258">
        <v>1500</v>
      </c>
      <c r="CU104" s="258">
        <v>4300</v>
      </c>
      <c r="CV104" s="258">
        <v>4300</v>
      </c>
      <c r="CW104" s="258">
        <v>7000</v>
      </c>
      <c r="CX104" s="266">
        <f t="shared" si="82"/>
        <v>2800</v>
      </c>
      <c r="CY104" s="266">
        <f t="shared" si="83"/>
        <v>2700</v>
      </c>
      <c r="DA104" s="301" t="s">
        <v>4937</v>
      </c>
      <c r="DB104" s="258">
        <v>4300</v>
      </c>
      <c r="DC104" s="258">
        <f t="shared" si="81"/>
        <v>1</v>
      </c>
    </row>
    <row r="105" spans="1:107">
      <c r="A105" s="264" t="s">
        <v>4938</v>
      </c>
      <c r="B105" s="264" t="s">
        <v>4776</v>
      </c>
      <c r="C105" s="264"/>
      <c r="D105" s="265" t="s">
        <v>4939</v>
      </c>
      <c r="E105" s="306">
        <f t="shared" si="51"/>
        <v>2.45490005775123e-5</v>
      </c>
      <c r="F105" s="306">
        <f t="shared" si="52"/>
        <v>2.29439277396192e-5</v>
      </c>
      <c r="G105" s="304">
        <f t="shared" si="53"/>
        <v>6.75971860726804e-6</v>
      </c>
      <c r="H105" s="304">
        <f t="shared" si="54"/>
        <v>2.00826681169388e-5</v>
      </c>
      <c r="I105" s="304">
        <f t="shared" si="68"/>
        <v>8.09626858467293e-6</v>
      </c>
      <c r="J105" s="304">
        <f t="shared" si="55"/>
        <v>2.33920800666408e-5</v>
      </c>
      <c r="K105" s="304">
        <f t="shared" si="56"/>
        <v>9.21423148678369e-6</v>
      </c>
      <c r="L105" s="304">
        <f t="shared" si="57"/>
        <v>0.000160625150313387</v>
      </c>
      <c r="M105" s="304">
        <f t="shared" si="58"/>
        <v>6.7234320168073e-5</v>
      </c>
      <c r="N105" s="304">
        <f t="shared" si="59"/>
        <v>1.29611226065688e-5</v>
      </c>
      <c r="O105" s="304">
        <f t="shared" si="60"/>
        <v>1.50200936466633e-5</v>
      </c>
      <c r="P105" s="304">
        <f t="shared" si="61"/>
        <v>0</v>
      </c>
      <c r="Q105" s="304">
        <v>0</v>
      </c>
      <c r="R105" s="304">
        <f t="shared" si="62"/>
        <v>1.38998978126565e-5</v>
      </c>
      <c r="S105" s="304">
        <f t="shared" si="63"/>
        <v>1.60095258153609e-6</v>
      </c>
      <c r="T105" s="304">
        <v>2.72648828639856e-5</v>
      </c>
      <c r="U105" s="304">
        <v>2.75559943719065e-5</v>
      </c>
      <c r="V105" s="304">
        <v>2.95334019053175e-5</v>
      </c>
      <c r="W105" s="304">
        <v>2.84259758724982e-5</v>
      </c>
      <c r="X105" s="304">
        <f t="shared" si="64"/>
        <v>2.35504764487924e-5</v>
      </c>
      <c r="Y105" s="304">
        <f t="shared" si="84"/>
        <v>0</v>
      </c>
      <c r="Z105" s="304">
        <f t="shared" si="85"/>
        <v>0</v>
      </c>
      <c r="AA105" s="304">
        <f t="shared" si="69"/>
        <v>1.85759364089161e-5</v>
      </c>
      <c r="AB105" s="304">
        <f t="shared" si="70"/>
        <v>0</v>
      </c>
      <c r="AC105" s="304">
        <f t="shared" si="65"/>
        <v>6.29995285438951e-6</v>
      </c>
      <c r="AD105" s="304">
        <f t="shared" si="86"/>
        <v>1.39239795709443e-6</v>
      </c>
      <c r="AE105" s="304">
        <f t="shared" si="87"/>
        <v>2.88635601104021e-6</v>
      </c>
      <c r="AF105" s="303">
        <f t="shared" si="88"/>
        <v>1.49395805394578e-6</v>
      </c>
      <c r="AG105" s="303">
        <f t="shared" si="89"/>
        <v>0</v>
      </c>
      <c r="AH105" s="303">
        <f t="shared" si="90"/>
        <v>3.31143019140125e-6</v>
      </c>
      <c r="AI105" s="303">
        <f t="shared" si="91"/>
        <v>6.24980985857403e-6</v>
      </c>
      <c r="AJ105" s="303">
        <f t="shared" si="92"/>
        <v>0</v>
      </c>
      <c r="AK105" s="303">
        <f t="shared" si="93"/>
        <v>-6.24980985857403e-6</v>
      </c>
      <c r="AL105" s="304">
        <f t="shared" si="94"/>
        <v>-6.24980985857403e-6</v>
      </c>
      <c r="AM105" s="304">
        <f t="shared" si="95"/>
        <v>0</v>
      </c>
      <c r="AN105" s="299">
        <v>4600</v>
      </c>
      <c r="AO105" s="299">
        <v>4800</v>
      </c>
      <c r="AP105" s="299">
        <v>4036.8</v>
      </c>
      <c r="AQ105" s="299">
        <v>4800</v>
      </c>
      <c r="AR105" s="300">
        <v>1200</v>
      </c>
      <c r="AS105" s="300">
        <v>1200</v>
      </c>
      <c r="AT105" s="300">
        <v>3400</v>
      </c>
      <c r="AU105" s="300">
        <v>3400</v>
      </c>
      <c r="AV105" s="300">
        <v>1370.7</v>
      </c>
      <c r="AW105" s="300">
        <v>1500</v>
      </c>
      <c r="AX105" s="300">
        <v>3300</v>
      </c>
      <c r="AY105" s="300">
        <v>3300</v>
      </c>
      <c r="AZ105" s="300">
        <v>1213.65</v>
      </c>
      <c r="BA105" s="300">
        <v>1500</v>
      </c>
      <c r="BB105" s="300">
        <v>22047.8</v>
      </c>
      <c r="BC105" s="300">
        <v>23000</v>
      </c>
      <c r="BD105" s="300">
        <v>8662.29</v>
      </c>
      <c r="BE105" s="300">
        <v>9100</v>
      </c>
      <c r="BF105" s="300">
        <v>1600</v>
      </c>
      <c r="BG105" s="300">
        <v>1600</v>
      </c>
      <c r="BH105" s="300">
        <v>1750</v>
      </c>
      <c r="BI105" s="300">
        <v>2800</v>
      </c>
      <c r="BJ105" s="300">
        <v>0</v>
      </c>
      <c r="BK105" s="300">
        <v>0</v>
      </c>
      <c r="BL105" s="266">
        <v>0</v>
      </c>
      <c r="BM105" s="266">
        <v>0</v>
      </c>
      <c r="BN105" s="266">
        <v>1740.6</v>
      </c>
      <c r="BO105" s="266">
        <v>2000</v>
      </c>
      <c r="BP105" s="266">
        <v>210.6126</v>
      </c>
      <c r="BQ105" s="266">
        <v>242</v>
      </c>
      <c r="BR105" s="266">
        <v>3300</v>
      </c>
      <c r="BS105" s="266">
        <v>3300</v>
      </c>
      <c r="BT105" s="266">
        <v>3100</v>
      </c>
      <c r="BU105" s="266">
        <v>3100</v>
      </c>
      <c r="BV105" s="266">
        <v>3800</v>
      </c>
      <c r="BW105" s="266">
        <v>3800</v>
      </c>
      <c r="BX105" s="266">
        <v>3900</v>
      </c>
      <c r="BY105" s="266">
        <v>3900</v>
      </c>
      <c r="BZ105" s="266">
        <v>3900</v>
      </c>
      <c r="CA105" s="266">
        <v>3900</v>
      </c>
      <c r="CB105" s="266">
        <v>0</v>
      </c>
      <c r="CC105" s="266">
        <v>0</v>
      </c>
      <c r="CD105" s="311">
        <v>0</v>
      </c>
      <c r="CE105" s="311">
        <v>255</v>
      </c>
      <c r="CF105" s="311">
        <v>2300</v>
      </c>
      <c r="CG105" s="311">
        <v>2800</v>
      </c>
      <c r="CH105" s="311">
        <v>0</v>
      </c>
      <c r="CI105" s="311">
        <v>0</v>
      </c>
      <c r="CJ105" s="311">
        <v>981</v>
      </c>
      <c r="CK105" s="311">
        <v>550</v>
      </c>
      <c r="CL105" s="311">
        <v>242</v>
      </c>
      <c r="CM105" s="311">
        <v>242</v>
      </c>
      <c r="CN105" s="311">
        <v>439</v>
      </c>
      <c r="CO105" s="311">
        <v>19500</v>
      </c>
      <c r="CP105" s="311">
        <v>0</v>
      </c>
      <c r="CQ105" s="311">
        <v>0</v>
      </c>
      <c r="CR105" s="311">
        <v>513</v>
      </c>
      <c r="CS105" s="258">
        <v>513</v>
      </c>
      <c r="CT105" s="258">
        <v>968</v>
      </c>
      <c r="CU105" s="258">
        <v>968</v>
      </c>
      <c r="CV105" s="258">
        <v>0</v>
      </c>
      <c r="CW105" s="258">
        <v>321</v>
      </c>
      <c r="CX105" s="266">
        <f t="shared" si="82"/>
        <v>-968</v>
      </c>
      <c r="CY105" s="266">
        <f t="shared" si="83"/>
        <v>-647</v>
      </c>
      <c r="DA105" s="301" t="s">
        <v>4939</v>
      </c>
      <c r="DB105" s="258">
        <v>0</v>
      </c>
      <c r="DC105" s="258">
        <f t="shared" si="81"/>
        <v>1</v>
      </c>
    </row>
    <row r="106" spans="1:107">
      <c r="A106" s="264" t="s">
        <v>4940</v>
      </c>
      <c r="B106" s="264" t="s">
        <v>4776</v>
      </c>
      <c r="C106" s="264"/>
      <c r="D106" s="265" t="s">
        <v>4941</v>
      </c>
      <c r="E106" s="306">
        <f t="shared" si="51"/>
        <v>2.45490005775123e-5</v>
      </c>
      <c r="F106" s="306">
        <f t="shared" si="52"/>
        <v>2.27347678751676e-5</v>
      </c>
      <c r="G106" s="304">
        <f t="shared" si="53"/>
        <v>0</v>
      </c>
      <c r="H106" s="304">
        <f t="shared" si="54"/>
        <v>0</v>
      </c>
      <c r="I106" s="304">
        <f t="shared" si="68"/>
        <v>1.47666677330432e-5</v>
      </c>
      <c r="J106" s="304">
        <f t="shared" si="55"/>
        <v>1.70124218666478e-5</v>
      </c>
      <c r="K106" s="304">
        <f t="shared" si="56"/>
        <v>0</v>
      </c>
      <c r="L106" s="304">
        <f t="shared" si="57"/>
        <v>0</v>
      </c>
      <c r="M106" s="304">
        <f t="shared" si="58"/>
        <v>2.17328323654143e-5</v>
      </c>
      <c r="N106" s="304">
        <f t="shared" si="59"/>
        <v>0</v>
      </c>
      <c r="O106" s="304">
        <f t="shared" si="60"/>
        <v>0</v>
      </c>
      <c r="P106" s="304">
        <f t="shared" si="61"/>
        <v>7.00830613551157e-5</v>
      </c>
      <c r="Q106" s="304">
        <v>5.56117048402092e-5</v>
      </c>
      <c r="R106" s="304">
        <f t="shared" si="62"/>
        <v>1.27771093302599e-5</v>
      </c>
      <c r="S106" s="304">
        <f t="shared" si="63"/>
        <v>3.84212474175257e-5</v>
      </c>
      <c r="T106" s="304">
        <v>2.23076314341701e-5</v>
      </c>
      <c r="U106" s="304">
        <v>6.57788252748735e-5</v>
      </c>
      <c r="V106" s="304">
        <v>1.70982853136049e-5</v>
      </c>
      <c r="W106" s="304">
        <v>1.38485523481401e-5</v>
      </c>
      <c r="X106" s="304">
        <f t="shared" si="64"/>
        <v>1.57003176325283e-5</v>
      </c>
      <c r="Y106" s="304">
        <f t="shared" si="84"/>
        <v>0</v>
      </c>
      <c r="Z106" s="304">
        <f t="shared" si="85"/>
        <v>1.50421287047509e-5</v>
      </c>
      <c r="AA106" s="304">
        <f t="shared" si="69"/>
        <v>4.4420717499582e-5</v>
      </c>
      <c r="AB106" s="304">
        <f t="shared" si="70"/>
        <v>0.000107146519804504</v>
      </c>
      <c r="AC106" s="304">
        <f t="shared" si="65"/>
        <v>1.34861376087849e-5</v>
      </c>
      <c r="AD106" s="304">
        <f t="shared" si="86"/>
        <v>6.3290816231565e-6</v>
      </c>
      <c r="AE106" s="304">
        <f t="shared" si="87"/>
        <v>0</v>
      </c>
      <c r="AF106" s="303">
        <f t="shared" si="88"/>
        <v>-6.3290816231565e-6</v>
      </c>
      <c r="AG106" s="303">
        <f t="shared" si="89"/>
        <v>5.42992209475836e-6</v>
      </c>
      <c r="AH106" s="303">
        <f t="shared" si="90"/>
        <v>0</v>
      </c>
      <c r="AI106" s="303">
        <f t="shared" si="91"/>
        <v>3.12490492928702e-6</v>
      </c>
      <c r="AJ106" s="303">
        <f t="shared" si="92"/>
        <v>3.35541788263692e-6</v>
      </c>
      <c r="AK106" s="303">
        <f t="shared" si="93"/>
        <v>2.30512953349902e-7</v>
      </c>
      <c r="AL106" s="304">
        <f t="shared" si="94"/>
        <v>2.30512953349902e-7</v>
      </c>
      <c r="AM106" s="304">
        <f t="shared" si="95"/>
        <v>0.113553113553114</v>
      </c>
      <c r="AN106" s="299">
        <v>4600</v>
      </c>
      <c r="AO106" s="299">
        <v>4600</v>
      </c>
      <c r="AP106" s="299">
        <v>4000</v>
      </c>
      <c r="AQ106" s="299">
        <v>4000</v>
      </c>
      <c r="AR106" s="300">
        <v>0</v>
      </c>
      <c r="AS106" s="300">
        <v>0</v>
      </c>
      <c r="AT106" s="300">
        <v>0</v>
      </c>
      <c r="AU106" s="300">
        <v>0</v>
      </c>
      <c r="AV106" s="300">
        <v>2500</v>
      </c>
      <c r="AW106" s="300">
        <v>2500</v>
      </c>
      <c r="AX106" s="300">
        <v>2400</v>
      </c>
      <c r="AY106" s="300">
        <v>2400</v>
      </c>
      <c r="AZ106" s="300">
        <v>0</v>
      </c>
      <c r="BA106" s="300">
        <v>0</v>
      </c>
      <c r="BB106" s="300">
        <v>0</v>
      </c>
      <c r="BC106" s="300">
        <v>0</v>
      </c>
      <c r="BD106" s="300">
        <v>2800</v>
      </c>
      <c r="BE106" s="300">
        <v>2800</v>
      </c>
      <c r="BF106" s="300">
        <v>0</v>
      </c>
      <c r="BG106" s="300">
        <v>0</v>
      </c>
      <c r="BH106" s="300">
        <v>0</v>
      </c>
      <c r="BI106" s="300">
        <v>4200</v>
      </c>
      <c r="BJ106" s="300">
        <v>8000</v>
      </c>
      <c r="BK106" s="300">
        <v>8000</v>
      </c>
      <c r="BL106" s="266">
        <v>0</v>
      </c>
      <c r="BM106" s="266">
        <v>0</v>
      </c>
      <c r="BN106" s="266">
        <v>1600</v>
      </c>
      <c r="BO106" s="266">
        <v>0</v>
      </c>
      <c r="BP106" s="266">
        <v>5054.49</v>
      </c>
      <c r="BQ106" s="266">
        <v>6300</v>
      </c>
      <c r="BR106" s="266">
        <v>2700</v>
      </c>
      <c r="BS106" s="266">
        <v>2700</v>
      </c>
      <c r="BT106" s="266">
        <v>7400</v>
      </c>
      <c r="BU106" s="266">
        <v>7400</v>
      </c>
      <c r="BV106" s="266">
        <v>2200</v>
      </c>
      <c r="BW106" s="266">
        <v>2200</v>
      </c>
      <c r="BX106" s="266">
        <v>1900</v>
      </c>
      <c r="BY106" s="266">
        <v>2600</v>
      </c>
      <c r="BZ106" s="266">
        <v>1900</v>
      </c>
      <c r="CA106" s="266">
        <v>2600</v>
      </c>
      <c r="CB106" s="266">
        <v>0</v>
      </c>
      <c r="CC106" s="266">
        <v>0</v>
      </c>
      <c r="CD106" s="311">
        <v>2100</v>
      </c>
      <c r="CE106" s="311">
        <v>2100</v>
      </c>
      <c r="CF106" s="311">
        <v>5500</v>
      </c>
      <c r="CG106" s="311">
        <v>6300</v>
      </c>
      <c r="CH106" s="311">
        <v>14000</v>
      </c>
      <c r="CI106" s="311">
        <v>15000</v>
      </c>
      <c r="CJ106" s="311">
        <v>2100</v>
      </c>
      <c r="CK106" s="311">
        <v>2100</v>
      </c>
      <c r="CL106" s="311">
        <v>1100</v>
      </c>
      <c r="CM106" s="311">
        <v>988</v>
      </c>
      <c r="CN106" s="311">
        <v>0</v>
      </c>
      <c r="CO106" s="311">
        <v>189</v>
      </c>
      <c r="CP106" s="311">
        <v>864</v>
      </c>
      <c r="CQ106" s="311">
        <v>1100</v>
      </c>
      <c r="CR106" s="311">
        <v>0</v>
      </c>
      <c r="CS106" s="258">
        <v>0</v>
      </c>
      <c r="CT106" s="258">
        <v>484</v>
      </c>
      <c r="CU106" s="258">
        <v>484</v>
      </c>
      <c r="CV106" s="258">
        <v>546</v>
      </c>
      <c r="CW106" s="258">
        <v>546</v>
      </c>
      <c r="CX106" s="266">
        <f t="shared" si="82"/>
        <v>62</v>
      </c>
      <c r="CY106" s="266">
        <f t="shared" si="83"/>
        <v>62</v>
      </c>
      <c r="DA106" s="301" t="s">
        <v>4941</v>
      </c>
      <c r="DB106" s="258">
        <v>546</v>
      </c>
      <c r="DC106" s="258">
        <f t="shared" si="81"/>
        <v>1</v>
      </c>
    </row>
    <row r="107" spans="1:107">
      <c r="A107" s="264" t="s">
        <v>4942</v>
      </c>
      <c r="B107" s="264" t="s">
        <v>4776</v>
      </c>
      <c r="C107" s="264"/>
      <c r="D107" s="310" t="s">
        <v>4943</v>
      </c>
      <c r="E107" s="306">
        <f t="shared" si="51"/>
        <v>2.40153266519142e-5</v>
      </c>
      <c r="F107" s="306">
        <f t="shared" si="52"/>
        <v>1.89798367759853e-5</v>
      </c>
      <c r="G107" s="304">
        <f t="shared" si="53"/>
        <v>1.46086532061205e-5</v>
      </c>
      <c r="H107" s="304">
        <f t="shared" si="54"/>
        <v>1.72679640470079e-5</v>
      </c>
      <c r="I107" s="304">
        <f t="shared" si="68"/>
        <v>8.69343262779719e-6</v>
      </c>
      <c r="J107" s="304">
        <f t="shared" si="55"/>
        <v>1.84301236888685e-5</v>
      </c>
      <c r="K107" s="304">
        <f t="shared" si="56"/>
        <v>3.94792598618013e-5</v>
      </c>
      <c r="L107" s="304">
        <f t="shared" si="57"/>
        <v>1.81235304171666e-5</v>
      </c>
      <c r="M107" s="304">
        <f t="shared" si="58"/>
        <v>1.31319087222847e-5</v>
      </c>
      <c r="N107" s="304">
        <f t="shared" si="59"/>
        <v>3.48330170051537e-5</v>
      </c>
      <c r="O107" s="304">
        <f t="shared" si="60"/>
        <v>0.000174803849859868</v>
      </c>
      <c r="P107" s="304">
        <f t="shared" si="61"/>
        <v>0.000105494104973668</v>
      </c>
      <c r="Q107" s="304">
        <v>0.00010357680026489</v>
      </c>
      <c r="R107" s="304">
        <f t="shared" si="62"/>
        <v>0.000235847630140468</v>
      </c>
      <c r="S107" s="304">
        <f t="shared" si="63"/>
        <v>7.41585892306916e-5</v>
      </c>
      <c r="T107" s="304">
        <v>0.000177955411827519</v>
      </c>
      <c r="U107" s="304">
        <v>3.31338609746069e-5</v>
      </c>
      <c r="V107" s="304">
        <v>0.000244126597525896</v>
      </c>
      <c r="W107" s="304">
        <v>0.000196066346402615</v>
      </c>
      <c r="X107" s="304">
        <f t="shared" si="64"/>
        <v>0.000165457193512029</v>
      </c>
      <c r="Y107" s="304">
        <f t="shared" si="84"/>
        <v>0.000606057458994686</v>
      </c>
      <c r="Z107" s="304">
        <f t="shared" si="85"/>
        <v>5.73033474466703e-5</v>
      </c>
      <c r="AA107" s="304">
        <f t="shared" si="69"/>
        <v>6.70349009539147e-5</v>
      </c>
      <c r="AB107" s="304">
        <f t="shared" si="70"/>
        <v>1.91333071079471e-5</v>
      </c>
      <c r="AC107" s="304">
        <f t="shared" si="65"/>
        <v>2.76144722465595e-5</v>
      </c>
      <c r="AD107" s="304">
        <f t="shared" si="86"/>
        <v>1.43842764162648e-5</v>
      </c>
      <c r="AE107" s="304">
        <f t="shared" si="87"/>
        <v>5.77271202208043e-6</v>
      </c>
      <c r="AF107" s="303">
        <f t="shared" si="88"/>
        <v>-8.61156439418438e-6</v>
      </c>
      <c r="AG107" s="303">
        <f t="shared" si="89"/>
        <v>9.11271647847179e-7</v>
      </c>
      <c r="AH107" s="303">
        <f t="shared" si="90"/>
        <v>0</v>
      </c>
      <c r="AI107" s="303">
        <f t="shared" si="91"/>
        <v>0</v>
      </c>
      <c r="AJ107" s="303">
        <f t="shared" si="92"/>
        <v>0</v>
      </c>
      <c r="AK107" s="303">
        <f t="shared" si="93"/>
        <v>0</v>
      </c>
      <c r="AL107" s="304">
        <f t="shared" si="94"/>
        <v>0</v>
      </c>
      <c r="AM107" s="304">
        <f t="shared" si="95"/>
        <v>0</v>
      </c>
      <c r="AN107" s="299">
        <v>4500</v>
      </c>
      <c r="AO107" s="299">
        <v>4500</v>
      </c>
      <c r="AP107" s="299">
        <v>3339.35</v>
      </c>
      <c r="AQ107" s="299">
        <v>4700</v>
      </c>
      <c r="AR107" s="300">
        <v>2593.36</v>
      </c>
      <c r="AS107" s="300">
        <v>2800</v>
      </c>
      <c r="AT107" s="300">
        <v>2923.47</v>
      </c>
      <c r="AU107" s="300">
        <v>3300</v>
      </c>
      <c r="AV107" s="300">
        <v>1471.8</v>
      </c>
      <c r="AW107" s="300">
        <v>2200</v>
      </c>
      <c r="AX107" s="300">
        <v>2600</v>
      </c>
      <c r="AY107" s="300">
        <v>2600</v>
      </c>
      <c r="AZ107" s="300">
        <v>5200</v>
      </c>
      <c r="BA107" s="300">
        <v>5200</v>
      </c>
      <c r="BB107" s="300">
        <v>2487.68</v>
      </c>
      <c r="BC107" s="300">
        <v>2600</v>
      </c>
      <c r="BD107" s="300">
        <v>1691.88</v>
      </c>
      <c r="BE107" s="300">
        <v>2300</v>
      </c>
      <c r="BF107" s="300">
        <v>4300</v>
      </c>
      <c r="BG107" s="300">
        <v>4300</v>
      </c>
      <c r="BH107" s="300">
        <v>20366.5</v>
      </c>
      <c r="BI107" s="300">
        <v>23000</v>
      </c>
      <c r="BJ107" s="300">
        <v>12042.18</v>
      </c>
      <c r="BK107" s="300">
        <v>14900</v>
      </c>
      <c r="BL107" s="266">
        <v>8499</v>
      </c>
      <c r="BM107" s="266">
        <v>10000</v>
      </c>
      <c r="BN107" s="266">
        <v>29533.77</v>
      </c>
      <c r="BO107" s="266">
        <v>33300</v>
      </c>
      <c r="BP107" s="266">
        <v>9755.9</v>
      </c>
      <c r="BQ107" s="266">
        <v>11000</v>
      </c>
      <c r="BR107" s="266">
        <v>21538.8</v>
      </c>
      <c r="BS107" s="266">
        <v>27900</v>
      </c>
      <c r="BT107" s="266">
        <v>3727.5</v>
      </c>
      <c r="BU107" s="266">
        <v>5000</v>
      </c>
      <c r="BV107" s="266">
        <v>31411.25</v>
      </c>
      <c r="BW107" s="266">
        <v>32500</v>
      </c>
      <c r="BX107" s="266">
        <v>26900</v>
      </c>
      <c r="BY107" s="266">
        <v>27400</v>
      </c>
      <c r="BZ107" s="266">
        <v>26900</v>
      </c>
      <c r="CA107" s="266">
        <v>27400</v>
      </c>
      <c r="CB107" s="266">
        <v>81700</v>
      </c>
      <c r="CC107" s="266">
        <v>83100</v>
      </c>
      <c r="CD107" s="311">
        <v>8000</v>
      </c>
      <c r="CE107" s="311">
        <v>8400</v>
      </c>
      <c r="CF107" s="311">
        <v>8300</v>
      </c>
      <c r="CG107" s="311">
        <v>8900</v>
      </c>
      <c r="CH107" s="311">
        <v>2500</v>
      </c>
      <c r="CI107" s="311">
        <v>2500</v>
      </c>
      <c r="CJ107" s="311">
        <v>4300</v>
      </c>
      <c r="CK107" s="311">
        <v>4300</v>
      </c>
      <c r="CL107" s="311">
        <v>2500</v>
      </c>
      <c r="CM107" s="311">
        <v>2400</v>
      </c>
      <c r="CN107" s="311">
        <v>878</v>
      </c>
      <c r="CO107" s="311">
        <v>1300</v>
      </c>
      <c r="CP107" s="311">
        <v>145</v>
      </c>
      <c r="CQ107" s="311">
        <v>308</v>
      </c>
      <c r="CR107" s="311">
        <v>0</v>
      </c>
      <c r="CS107" s="258">
        <v>1600</v>
      </c>
      <c r="CT107" s="258">
        <v>0</v>
      </c>
      <c r="CU107" s="258">
        <v>377</v>
      </c>
      <c r="CV107" s="258">
        <v>0</v>
      </c>
      <c r="CW107" s="258">
        <v>1500</v>
      </c>
      <c r="CX107" s="266">
        <f t="shared" si="82"/>
        <v>0</v>
      </c>
      <c r="CY107" s="266">
        <f t="shared" si="83"/>
        <v>1123</v>
      </c>
      <c r="DA107" s="301" t="s">
        <v>4943</v>
      </c>
      <c r="DB107" s="258">
        <v>0</v>
      </c>
      <c r="DC107" s="258">
        <f t="shared" ref="DC107:DC138" si="96">IF(DA107=D107,1,0)</f>
        <v>1</v>
      </c>
    </row>
    <row r="108" spans="1:107">
      <c r="A108" s="264" t="s">
        <v>4944</v>
      </c>
      <c r="B108" s="264" t="s">
        <v>4776</v>
      </c>
      <c r="C108" s="264"/>
      <c r="D108" s="265" t="s">
        <v>4945</v>
      </c>
      <c r="E108" s="306">
        <f t="shared" si="51"/>
        <v>2.34816527263161e-5</v>
      </c>
      <c r="F108" s="306">
        <f t="shared" si="52"/>
        <v>3.0757014904519e-5</v>
      </c>
      <c r="G108" s="304">
        <f t="shared" si="53"/>
        <v>2.52984158806658e-5</v>
      </c>
      <c r="H108" s="304">
        <f t="shared" si="54"/>
        <v>2.48475173943662e-5</v>
      </c>
      <c r="I108" s="304">
        <f t="shared" si="68"/>
        <v>3.64032618288656e-5</v>
      </c>
      <c r="J108" s="304">
        <f t="shared" si="55"/>
        <v>7.84249964823309e-5</v>
      </c>
      <c r="K108" s="304">
        <f t="shared" si="56"/>
        <v>6.90887047581523e-5</v>
      </c>
      <c r="L108" s="304">
        <f t="shared" si="57"/>
        <v>2.86513922543962e-5</v>
      </c>
      <c r="M108" s="304">
        <f t="shared" si="58"/>
        <v>6.69593222213921e-5</v>
      </c>
      <c r="N108" s="304">
        <f t="shared" si="59"/>
        <v>3.65160997826329e-5</v>
      </c>
      <c r="O108" s="304">
        <f t="shared" si="60"/>
        <v>0.000112436129583594</v>
      </c>
      <c r="P108" s="304">
        <f t="shared" si="61"/>
        <v>3.86774399006612e-5</v>
      </c>
      <c r="Q108" s="304">
        <v>3.89281933881465e-5</v>
      </c>
      <c r="R108" s="304">
        <f t="shared" si="62"/>
        <v>0.000121679925857131</v>
      </c>
      <c r="S108" s="304">
        <f t="shared" si="63"/>
        <v>5.08497797056649e-5</v>
      </c>
      <c r="T108" s="304">
        <v>2.64485887952093e-5</v>
      </c>
      <c r="U108" s="304">
        <v>2.05168600547552e-5</v>
      </c>
      <c r="V108" s="304">
        <v>0.000227694834461607</v>
      </c>
      <c r="W108" s="304">
        <v>4.88343688065994e-5</v>
      </c>
      <c r="X108" s="304">
        <f t="shared" si="64"/>
        <v>4.40816610451756e-5</v>
      </c>
      <c r="Y108" s="304">
        <f t="shared" si="84"/>
        <v>3.04141442090357e-5</v>
      </c>
      <c r="Z108" s="304">
        <f t="shared" si="85"/>
        <v>6.51825577205874e-5</v>
      </c>
      <c r="AA108" s="304">
        <f t="shared" si="69"/>
        <v>2.18065340452494e-5</v>
      </c>
      <c r="AB108" s="304">
        <f t="shared" si="70"/>
        <v>9.64318678240532e-5</v>
      </c>
      <c r="AC108" s="304">
        <f t="shared" si="65"/>
        <v>1.09173494928259e-5</v>
      </c>
      <c r="AD108" s="304">
        <f t="shared" si="86"/>
        <v>4.54543134753967e-6</v>
      </c>
      <c r="AE108" s="304">
        <f t="shared" si="87"/>
        <v>1.70945914093498e-5</v>
      </c>
      <c r="AF108" s="303">
        <f t="shared" si="88"/>
        <v>1.25491600618101e-5</v>
      </c>
      <c r="AG108" s="303">
        <f t="shared" si="89"/>
        <v>4.27354979680056e-5</v>
      </c>
      <c r="AH108" s="303">
        <f t="shared" si="90"/>
        <v>2.00105917998906e-5</v>
      </c>
      <c r="AI108" s="303">
        <f t="shared" si="91"/>
        <v>4.7777472059347e-5</v>
      </c>
      <c r="AJ108" s="303">
        <f t="shared" si="92"/>
        <v>4.97781773797785e-5</v>
      </c>
      <c r="AK108" s="303">
        <f t="shared" si="93"/>
        <v>2.00070532043151e-6</v>
      </c>
      <c r="AL108" s="304">
        <f t="shared" si="94"/>
        <v>2.00070532043151e-6</v>
      </c>
      <c r="AM108" s="304">
        <f t="shared" si="95"/>
        <v>0.0864197530864197</v>
      </c>
      <c r="AN108" s="299">
        <v>4400</v>
      </c>
      <c r="AO108" s="299">
        <v>4900</v>
      </c>
      <c r="AP108" s="299">
        <v>5411.45</v>
      </c>
      <c r="AQ108" s="299">
        <v>5500</v>
      </c>
      <c r="AR108" s="300">
        <v>4491.03</v>
      </c>
      <c r="AS108" s="300">
        <v>5700</v>
      </c>
      <c r="AT108" s="300">
        <v>4206.69</v>
      </c>
      <c r="AU108" s="300">
        <v>4300</v>
      </c>
      <c r="AV108" s="300">
        <v>6163.08</v>
      </c>
      <c r="AW108" s="300">
        <v>6600</v>
      </c>
      <c r="AX108" s="300">
        <v>11063.68</v>
      </c>
      <c r="AY108" s="300">
        <v>11800</v>
      </c>
      <c r="AZ108" s="300">
        <v>9100</v>
      </c>
      <c r="BA108" s="300">
        <v>9100</v>
      </c>
      <c r="BB108" s="300">
        <v>3932.76</v>
      </c>
      <c r="BC108" s="300">
        <v>5200</v>
      </c>
      <c r="BD108" s="300">
        <v>8626.86</v>
      </c>
      <c r="BE108" s="300">
        <v>9900</v>
      </c>
      <c r="BF108" s="300">
        <v>4507.77</v>
      </c>
      <c r="BG108" s="300">
        <v>4700</v>
      </c>
      <c r="BH108" s="300">
        <v>13100</v>
      </c>
      <c r="BI108" s="300">
        <v>13100</v>
      </c>
      <c r="BJ108" s="300">
        <v>4415.04</v>
      </c>
      <c r="BK108" s="300">
        <v>5600</v>
      </c>
      <c r="BL108" s="266">
        <v>8025.6</v>
      </c>
      <c r="BM108" s="266">
        <v>15200</v>
      </c>
      <c r="BN108" s="266">
        <v>15237.24</v>
      </c>
      <c r="BO108" s="266">
        <v>16400</v>
      </c>
      <c r="BP108" s="266">
        <v>6689.52</v>
      </c>
      <c r="BQ108" s="266">
        <v>7200</v>
      </c>
      <c r="BR108" s="266">
        <v>3201.2</v>
      </c>
      <c r="BS108" s="266">
        <v>4000</v>
      </c>
      <c r="BT108" s="266">
        <v>2308.11</v>
      </c>
      <c r="BU108" s="266">
        <v>2900</v>
      </c>
      <c r="BV108" s="266">
        <v>29297.01</v>
      </c>
      <c r="BW108" s="266">
        <v>30700</v>
      </c>
      <c r="BX108" s="266">
        <v>6700</v>
      </c>
      <c r="BY108" s="266">
        <v>7300</v>
      </c>
      <c r="BZ108" s="266">
        <v>6700</v>
      </c>
      <c r="CA108" s="266">
        <v>7300</v>
      </c>
      <c r="CB108" s="266">
        <v>4100</v>
      </c>
      <c r="CC108" s="266">
        <v>4800</v>
      </c>
      <c r="CD108" s="311">
        <v>9100</v>
      </c>
      <c r="CE108" s="311">
        <v>9400</v>
      </c>
      <c r="CF108" s="311">
        <v>2700</v>
      </c>
      <c r="CG108" s="311">
        <v>3500</v>
      </c>
      <c r="CH108" s="311">
        <v>12600</v>
      </c>
      <c r="CI108" s="311">
        <v>13000</v>
      </c>
      <c r="CJ108" s="311">
        <v>1700</v>
      </c>
      <c r="CK108" s="311">
        <v>1900</v>
      </c>
      <c r="CL108" s="311">
        <v>790</v>
      </c>
      <c r="CM108" s="311">
        <v>790</v>
      </c>
      <c r="CN108" s="311">
        <v>2600</v>
      </c>
      <c r="CO108" s="311">
        <v>3300</v>
      </c>
      <c r="CP108" s="311">
        <v>6800</v>
      </c>
      <c r="CQ108" s="311">
        <v>6800</v>
      </c>
      <c r="CR108" s="311">
        <v>3100</v>
      </c>
      <c r="CS108" s="258">
        <v>3700</v>
      </c>
      <c r="CT108" s="258">
        <v>7400</v>
      </c>
      <c r="CU108" s="258">
        <v>25300</v>
      </c>
      <c r="CV108" s="258">
        <v>8100</v>
      </c>
      <c r="CW108" s="258">
        <v>8300</v>
      </c>
      <c r="CX108" s="266">
        <f t="shared" si="82"/>
        <v>700</v>
      </c>
      <c r="CY108" s="266">
        <f t="shared" si="83"/>
        <v>-17000</v>
      </c>
      <c r="DA108" s="301" t="s">
        <v>4945</v>
      </c>
      <c r="DB108" s="258">
        <v>8100</v>
      </c>
      <c r="DC108" s="258">
        <f t="shared" si="96"/>
        <v>1</v>
      </c>
    </row>
    <row r="109" spans="1:107">
      <c r="A109" s="264" t="s">
        <v>4946</v>
      </c>
      <c r="B109" s="264" t="s">
        <v>4776</v>
      </c>
      <c r="C109" s="264"/>
      <c r="D109" s="265" t="s">
        <v>4947</v>
      </c>
      <c r="E109" s="306">
        <f t="shared" si="51"/>
        <v>2.34816527263161e-5</v>
      </c>
      <c r="F109" s="306">
        <f t="shared" si="52"/>
        <v>1.30724915282214e-5</v>
      </c>
      <c r="G109" s="304">
        <f t="shared" si="53"/>
        <v>0</v>
      </c>
      <c r="H109" s="304">
        <f t="shared" si="54"/>
        <v>0</v>
      </c>
      <c r="I109" s="304">
        <f t="shared" si="68"/>
        <v>1.65386678610084e-5</v>
      </c>
      <c r="J109" s="304">
        <f t="shared" si="55"/>
        <v>0</v>
      </c>
      <c r="K109" s="304">
        <f t="shared" si="56"/>
        <v>0</v>
      </c>
      <c r="L109" s="304">
        <f t="shared" si="57"/>
        <v>0</v>
      </c>
      <c r="M109" s="304">
        <f t="shared" si="58"/>
        <v>0</v>
      </c>
      <c r="N109" s="304">
        <f t="shared" si="59"/>
        <v>0</v>
      </c>
      <c r="O109" s="304">
        <f t="shared" si="60"/>
        <v>1.45909481139015e-5</v>
      </c>
      <c r="P109" s="304">
        <f t="shared" si="61"/>
        <v>0</v>
      </c>
      <c r="Q109" s="304">
        <v>0</v>
      </c>
      <c r="R109" s="304">
        <f t="shared" si="62"/>
        <v>0</v>
      </c>
      <c r="S109" s="304">
        <f t="shared" si="63"/>
        <v>0</v>
      </c>
      <c r="T109" s="304">
        <v>0</v>
      </c>
      <c r="U109" s="304">
        <v>0</v>
      </c>
      <c r="V109" s="304">
        <v>0</v>
      </c>
      <c r="W109" s="304">
        <v>0</v>
      </c>
      <c r="X109" s="304">
        <f t="shared" si="64"/>
        <v>0</v>
      </c>
      <c r="Y109" s="304">
        <f t="shared" si="84"/>
        <v>0</v>
      </c>
      <c r="Z109" s="304">
        <f t="shared" si="85"/>
        <v>0</v>
      </c>
      <c r="AA109" s="304">
        <f t="shared" si="69"/>
        <v>0</v>
      </c>
      <c r="AB109" s="304">
        <f t="shared" si="70"/>
        <v>0</v>
      </c>
      <c r="AC109" s="304">
        <f t="shared" si="65"/>
        <v>0</v>
      </c>
      <c r="AD109" s="304">
        <f t="shared" si="86"/>
        <v>0</v>
      </c>
      <c r="AE109" s="304">
        <f t="shared" si="87"/>
        <v>1.38071699844748e-5</v>
      </c>
      <c r="AF109" s="303">
        <f t="shared" si="88"/>
        <v>1.38071699844748e-5</v>
      </c>
      <c r="AG109" s="303">
        <f t="shared" si="89"/>
        <v>0</v>
      </c>
      <c r="AH109" s="303">
        <f t="shared" si="90"/>
        <v>0</v>
      </c>
      <c r="AI109" s="303">
        <f t="shared" si="91"/>
        <v>0</v>
      </c>
      <c r="AJ109" s="303">
        <f t="shared" si="92"/>
        <v>0</v>
      </c>
      <c r="AK109" s="303">
        <f t="shared" si="93"/>
        <v>0</v>
      </c>
      <c r="AL109" s="304">
        <f t="shared" si="94"/>
        <v>0</v>
      </c>
      <c r="AM109" s="304">
        <f t="shared" si="95"/>
        <v>0</v>
      </c>
      <c r="AN109" s="299">
        <v>4400</v>
      </c>
      <c r="AO109" s="299">
        <v>4400</v>
      </c>
      <c r="AP109" s="299">
        <v>2300</v>
      </c>
      <c r="AQ109" s="299">
        <v>2300</v>
      </c>
      <c r="AR109" s="300">
        <v>0</v>
      </c>
      <c r="AS109" s="300">
        <v>0</v>
      </c>
      <c r="AT109" s="300">
        <v>0</v>
      </c>
      <c r="AU109" s="300">
        <v>0</v>
      </c>
      <c r="AV109" s="300">
        <v>2800</v>
      </c>
      <c r="AW109" s="300">
        <v>2800</v>
      </c>
      <c r="AX109" s="300">
        <v>0</v>
      </c>
      <c r="AY109" s="300">
        <v>0</v>
      </c>
      <c r="AZ109" s="300">
        <v>0</v>
      </c>
      <c r="BA109" s="300">
        <v>0</v>
      </c>
      <c r="BB109" s="300">
        <v>0</v>
      </c>
      <c r="BC109" s="300">
        <v>0</v>
      </c>
      <c r="BD109" s="300">
        <v>0</v>
      </c>
      <c r="BE109" s="300">
        <v>0</v>
      </c>
      <c r="BF109" s="300">
        <v>0</v>
      </c>
      <c r="BG109" s="300">
        <v>0</v>
      </c>
      <c r="BH109" s="300">
        <v>1700</v>
      </c>
      <c r="BI109" s="300">
        <v>1700</v>
      </c>
      <c r="BJ109" s="300">
        <v>0</v>
      </c>
      <c r="BK109" s="300">
        <v>0</v>
      </c>
      <c r="BL109" s="266">
        <v>0</v>
      </c>
      <c r="BM109" s="266">
        <v>0</v>
      </c>
      <c r="BN109" s="266">
        <v>0</v>
      </c>
      <c r="BO109" s="266">
        <v>0</v>
      </c>
      <c r="BP109" s="266">
        <v>0</v>
      </c>
      <c r="BQ109" s="266">
        <v>0</v>
      </c>
      <c r="BR109" s="266">
        <v>0</v>
      </c>
      <c r="BS109" s="266">
        <v>0</v>
      </c>
      <c r="BT109" s="266">
        <v>0</v>
      </c>
      <c r="BU109" s="266">
        <v>0</v>
      </c>
      <c r="BV109" s="266">
        <v>0</v>
      </c>
      <c r="BW109" s="266">
        <v>0</v>
      </c>
      <c r="BX109" s="266">
        <v>0</v>
      </c>
      <c r="BY109" s="266">
        <v>0</v>
      </c>
      <c r="BZ109" s="266">
        <v>0</v>
      </c>
      <c r="CA109" s="266">
        <v>0</v>
      </c>
      <c r="CB109" s="266">
        <v>0</v>
      </c>
      <c r="CC109" s="266">
        <v>0</v>
      </c>
      <c r="CD109" s="311">
        <v>0</v>
      </c>
      <c r="CE109" s="311">
        <v>0</v>
      </c>
      <c r="CF109" s="311">
        <v>0</v>
      </c>
      <c r="CG109" s="311">
        <v>0</v>
      </c>
      <c r="CH109" s="311">
        <v>0</v>
      </c>
      <c r="CI109" s="311">
        <v>0</v>
      </c>
      <c r="CJ109" s="311">
        <v>0</v>
      </c>
      <c r="CK109" s="311">
        <v>0</v>
      </c>
      <c r="CL109" s="311">
        <v>0</v>
      </c>
      <c r="CM109" s="311">
        <v>0</v>
      </c>
      <c r="CN109" s="311">
        <v>2100</v>
      </c>
      <c r="CO109" s="311">
        <v>3800</v>
      </c>
      <c r="CP109" s="311">
        <v>0</v>
      </c>
      <c r="CQ109" s="311">
        <v>0</v>
      </c>
      <c r="CR109" s="311">
        <v>0</v>
      </c>
      <c r="CS109" s="258">
        <v>0</v>
      </c>
      <c r="CT109" s="258">
        <v>0</v>
      </c>
      <c r="CU109" s="258">
        <v>0</v>
      </c>
      <c r="CV109" s="258">
        <v>0</v>
      </c>
      <c r="CW109" s="258">
        <v>0</v>
      </c>
      <c r="CX109" s="266">
        <f t="shared" si="82"/>
        <v>0</v>
      </c>
      <c r="CY109" s="266">
        <f t="shared" si="83"/>
        <v>0</v>
      </c>
      <c r="CZ109" s="260" t="s">
        <v>4948</v>
      </c>
      <c r="DA109" s="301" t="s">
        <v>4947</v>
      </c>
      <c r="DB109" s="258">
        <v>0</v>
      </c>
      <c r="DC109" s="258">
        <f t="shared" si="96"/>
        <v>1</v>
      </c>
    </row>
    <row r="110" spans="1:107">
      <c r="A110" s="264" t="s">
        <v>4949</v>
      </c>
      <c r="B110" s="264" t="s">
        <v>4776</v>
      </c>
      <c r="C110" s="264"/>
      <c r="D110" s="265" t="s">
        <v>4950</v>
      </c>
      <c r="E110" s="306">
        <f t="shared" si="51"/>
        <v>1.81449134703352e-5</v>
      </c>
      <c r="F110" s="306">
        <f t="shared" si="52"/>
        <v>0</v>
      </c>
      <c r="G110" s="304">
        <f t="shared" si="53"/>
        <v>0</v>
      </c>
      <c r="H110" s="304">
        <f t="shared" si="54"/>
        <v>1.56043512602033e-5</v>
      </c>
      <c r="I110" s="304">
        <f t="shared" si="68"/>
        <v>1.65386678610084e-5</v>
      </c>
      <c r="J110" s="304">
        <f t="shared" si="55"/>
        <v>0</v>
      </c>
      <c r="K110" s="304">
        <f t="shared" si="56"/>
        <v>8.76211803971249e-6</v>
      </c>
      <c r="L110" s="304">
        <f t="shared" si="57"/>
        <v>1.80092966905856e-5</v>
      </c>
      <c r="M110" s="304">
        <f t="shared" si="58"/>
        <v>7.89249540182385e-5</v>
      </c>
      <c r="N110" s="304">
        <f t="shared" si="59"/>
        <v>7.29063146619496e-5</v>
      </c>
      <c r="O110" s="304">
        <f t="shared" si="60"/>
        <v>1.381468392551e-6</v>
      </c>
      <c r="P110" s="304">
        <f t="shared" si="61"/>
        <v>2.34031870936206e-5</v>
      </c>
      <c r="Q110" s="304">
        <v>2.01592430045758e-5</v>
      </c>
      <c r="R110" s="304">
        <f t="shared" si="62"/>
        <v>1.27771093302599e-5</v>
      </c>
      <c r="S110" s="304">
        <f t="shared" si="63"/>
        <v>9.78575030822612e-6</v>
      </c>
      <c r="T110" s="304">
        <v>0</v>
      </c>
      <c r="U110" s="304">
        <v>0</v>
      </c>
      <c r="V110" s="304">
        <v>0</v>
      </c>
      <c r="W110" s="304">
        <v>2.62393623438445e-5</v>
      </c>
      <c r="X110" s="304">
        <f t="shared" si="64"/>
        <v>2.17389013373469e-5</v>
      </c>
      <c r="Y110" s="304">
        <f t="shared" si="84"/>
        <v>0</v>
      </c>
      <c r="Z110" s="304">
        <f t="shared" si="85"/>
        <v>1.28932531755008e-5</v>
      </c>
      <c r="AA110" s="304">
        <f t="shared" si="69"/>
        <v>0</v>
      </c>
      <c r="AB110" s="304">
        <f t="shared" si="70"/>
        <v>1.68373102549934e-5</v>
      </c>
      <c r="AC110" s="304">
        <f t="shared" si="65"/>
        <v>0</v>
      </c>
      <c r="AD110" s="304">
        <f t="shared" si="86"/>
        <v>1.62254637975467e-6</v>
      </c>
      <c r="AE110" s="304">
        <f t="shared" si="87"/>
        <v>0</v>
      </c>
      <c r="AF110" s="303">
        <f t="shared" si="88"/>
        <v>-1.62254637975467e-6</v>
      </c>
      <c r="AG110" s="303">
        <f t="shared" si="89"/>
        <v>0</v>
      </c>
      <c r="AH110" s="303">
        <f t="shared" si="90"/>
        <v>0</v>
      </c>
      <c r="AI110" s="303">
        <f t="shared" si="91"/>
        <v>0</v>
      </c>
      <c r="AJ110" s="303">
        <f t="shared" si="92"/>
        <v>0</v>
      </c>
      <c r="AK110" s="303">
        <f t="shared" si="93"/>
        <v>0</v>
      </c>
      <c r="AL110" s="304">
        <f t="shared" si="94"/>
        <v>0</v>
      </c>
      <c r="AM110" s="304">
        <f t="shared" si="95"/>
        <v>0</v>
      </c>
      <c r="AN110" s="299">
        <v>3400</v>
      </c>
      <c r="AO110" s="299">
        <v>4400</v>
      </c>
      <c r="AP110" s="299">
        <v>0</v>
      </c>
      <c r="AQ110" s="299">
        <v>1300</v>
      </c>
      <c r="AR110" s="300">
        <v>0</v>
      </c>
      <c r="AS110" s="300">
        <v>476</v>
      </c>
      <c r="AT110" s="300">
        <v>2641.82</v>
      </c>
      <c r="AU110" s="300">
        <v>3100</v>
      </c>
      <c r="AV110" s="300">
        <v>2800</v>
      </c>
      <c r="AW110" s="300">
        <v>2800</v>
      </c>
      <c r="AX110" s="300">
        <v>0</v>
      </c>
      <c r="AY110" s="300">
        <v>287</v>
      </c>
      <c r="AZ110" s="300">
        <v>1154.1</v>
      </c>
      <c r="BA110" s="300">
        <v>1500</v>
      </c>
      <c r="BB110" s="300">
        <v>2472</v>
      </c>
      <c r="BC110" s="300">
        <v>3200</v>
      </c>
      <c r="BD110" s="300">
        <v>10168.48</v>
      </c>
      <c r="BE110" s="300">
        <v>11200</v>
      </c>
      <c r="BF110" s="300">
        <v>9000</v>
      </c>
      <c r="BG110" s="300">
        <v>9000</v>
      </c>
      <c r="BH110" s="300">
        <v>160.9557</v>
      </c>
      <c r="BI110" s="300">
        <v>159</v>
      </c>
      <c r="BJ110" s="300">
        <v>2671.48</v>
      </c>
      <c r="BK110" s="300">
        <v>2900</v>
      </c>
      <c r="BL110" s="266">
        <v>1652.76</v>
      </c>
      <c r="BM110" s="266">
        <v>1800</v>
      </c>
      <c r="BN110" s="266">
        <v>1600</v>
      </c>
      <c r="BO110" s="266">
        <v>7100</v>
      </c>
      <c r="BP110" s="266">
        <v>1287.36</v>
      </c>
      <c r="BQ110" s="266">
        <v>1800</v>
      </c>
      <c r="BR110" s="266">
        <v>0</v>
      </c>
      <c r="BS110" s="266">
        <v>1200</v>
      </c>
      <c r="BT110" s="266">
        <v>0</v>
      </c>
      <c r="BU110" s="266">
        <v>436</v>
      </c>
      <c r="BV110" s="266">
        <v>0</v>
      </c>
      <c r="BW110" s="266">
        <v>0</v>
      </c>
      <c r="BX110" s="266">
        <v>3600</v>
      </c>
      <c r="BY110" s="266">
        <v>3600</v>
      </c>
      <c r="BZ110" s="266">
        <v>3600</v>
      </c>
      <c r="CA110" s="266">
        <v>3600</v>
      </c>
      <c r="CB110" s="266">
        <v>0</v>
      </c>
      <c r="CC110" s="266">
        <v>0</v>
      </c>
      <c r="CD110" s="311">
        <v>1800</v>
      </c>
      <c r="CE110" s="311">
        <v>1800</v>
      </c>
      <c r="CF110" s="311">
        <v>0</v>
      </c>
      <c r="CG110" s="311">
        <v>0</v>
      </c>
      <c r="CH110" s="311">
        <v>2200</v>
      </c>
      <c r="CI110" s="311">
        <v>2200</v>
      </c>
      <c r="CJ110" s="311">
        <v>0</v>
      </c>
      <c r="CK110" s="311">
        <v>160</v>
      </c>
      <c r="CL110" s="311">
        <v>282</v>
      </c>
      <c r="CM110" s="311">
        <v>282</v>
      </c>
      <c r="CN110" s="311">
        <v>0</v>
      </c>
      <c r="CO110" s="311">
        <v>0</v>
      </c>
      <c r="CP110" s="311">
        <v>0</v>
      </c>
      <c r="CQ110" s="311">
        <v>0</v>
      </c>
      <c r="CR110" s="311">
        <v>0</v>
      </c>
      <c r="CS110" s="258">
        <v>0</v>
      </c>
      <c r="CT110" s="258">
        <v>0</v>
      </c>
      <c r="CU110" s="258">
        <v>0</v>
      </c>
      <c r="CV110" s="258">
        <v>0</v>
      </c>
      <c r="CW110" s="258">
        <v>0</v>
      </c>
      <c r="CX110" s="266">
        <f t="shared" si="82"/>
        <v>0</v>
      </c>
      <c r="CY110" s="266">
        <f t="shared" si="83"/>
        <v>0</v>
      </c>
      <c r="CZ110" s="260" t="s">
        <v>4951</v>
      </c>
      <c r="DA110" s="301" t="s">
        <v>4950</v>
      </c>
      <c r="DB110" s="258">
        <v>0</v>
      </c>
      <c r="DC110" s="258">
        <f t="shared" si="96"/>
        <v>1</v>
      </c>
    </row>
    <row r="111" spans="1:107">
      <c r="A111" s="264" t="s">
        <v>4952</v>
      </c>
      <c r="B111" s="264" t="s">
        <v>4776</v>
      </c>
      <c r="C111" s="264"/>
      <c r="D111" s="310" t="s">
        <v>4953</v>
      </c>
      <c r="E111" s="306">
        <f t="shared" si="51"/>
        <v>1.81449134703352e-5</v>
      </c>
      <c r="F111" s="306">
        <f t="shared" si="52"/>
        <v>7.5270269481105e-6</v>
      </c>
      <c r="G111" s="304">
        <f t="shared" si="53"/>
        <v>2.51525186207256e-5</v>
      </c>
      <c r="H111" s="304">
        <f t="shared" si="54"/>
        <v>6.99356471837438e-5</v>
      </c>
      <c r="I111" s="304">
        <f t="shared" si="68"/>
        <v>2.77699000054064e-5</v>
      </c>
      <c r="J111" s="304">
        <f t="shared" si="55"/>
        <v>0</v>
      </c>
      <c r="K111" s="304">
        <f t="shared" si="56"/>
        <v>0</v>
      </c>
      <c r="L111" s="304">
        <f t="shared" si="57"/>
        <v>2.89948948187008e-5</v>
      </c>
      <c r="M111" s="304">
        <f t="shared" si="58"/>
        <v>3.18472322559679e-6</v>
      </c>
      <c r="N111" s="304">
        <f t="shared" si="59"/>
        <v>3.72261493672293e-5</v>
      </c>
      <c r="O111" s="304">
        <f t="shared" si="60"/>
        <v>3.57339185637972e-5</v>
      </c>
      <c r="P111" s="304">
        <f t="shared" si="61"/>
        <v>1.2747408029882e-5</v>
      </c>
      <c r="Q111" s="304">
        <v>1.66835114520628e-5</v>
      </c>
      <c r="R111" s="304">
        <f t="shared" si="62"/>
        <v>1.16189442264051e-5</v>
      </c>
      <c r="S111" s="304">
        <f t="shared" si="63"/>
        <v>2.31250834616491e-5</v>
      </c>
      <c r="T111" s="304">
        <v>1.1566920002903e-5</v>
      </c>
      <c r="U111" s="304">
        <v>1.50135724174677e-5</v>
      </c>
      <c r="V111" s="304">
        <v>1.58629341996969e-5</v>
      </c>
      <c r="W111" s="304">
        <v>3.86301723395488e-5</v>
      </c>
      <c r="X111" s="304">
        <f t="shared" si="64"/>
        <v>3.50237854879477e-5</v>
      </c>
      <c r="Y111" s="304">
        <f t="shared" si="84"/>
        <v>0</v>
      </c>
      <c r="Z111" s="304">
        <f t="shared" si="85"/>
        <v>0</v>
      </c>
      <c r="AA111" s="304">
        <f t="shared" si="69"/>
        <v>0</v>
      </c>
      <c r="AB111" s="304">
        <f t="shared" si="70"/>
        <v>0</v>
      </c>
      <c r="AC111" s="304">
        <f t="shared" si="65"/>
        <v>0</v>
      </c>
      <c r="AD111" s="304">
        <f t="shared" si="86"/>
        <v>8.63056584975887e-6</v>
      </c>
      <c r="AE111" s="304">
        <f t="shared" si="87"/>
        <v>0</v>
      </c>
      <c r="AF111" s="303">
        <f t="shared" si="88"/>
        <v>-8.63056584975887e-6</v>
      </c>
      <c r="AG111" s="303">
        <f t="shared" si="89"/>
        <v>0</v>
      </c>
      <c r="AH111" s="303">
        <f t="shared" si="90"/>
        <v>0</v>
      </c>
      <c r="AI111" s="303">
        <f t="shared" si="91"/>
        <v>6.24980985857403e-6</v>
      </c>
      <c r="AJ111" s="303">
        <f t="shared" si="92"/>
        <v>0</v>
      </c>
      <c r="AK111" s="303">
        <f t="shared" si="93"/>
        <v>-6.24980985857403e-6</v>
      </c>
      <c r="AL111" s="304">
        <f t="shared" si="94"/>
        <v>-6.24980985857403e-6</v>
      </c>
      <c r="AM111" s="304">
        <f t="shared" si="95"/>
        <v>0</v>
      </c>
      <c r="AN111" s="299">
        <v>3400</v>
      </c>
      <c r="AO111" s="299">
        <v>4400</v>
      </c>
      <c r="AP111" s="299">
        <v>1324.32</v>
      </c>
      <c r="AQ111" s="299">
        <v>4800</v>
      </c>
      <c r="AR111" s="300">
        <v>4465.13</v>
      </c>
      <c r="AS111" s="300">
        <v>8900</v>
      </c>
      <c r="AT111" s="300">
        <v>11840.12</v>
      </c>
      <c r="AU111" s="300">
        <v>23600</v>
      </c>
      <c r="AV111" s="300">
        <v>4701.45</v>
      </c>
      <c r="AW111" s="300">
        <v>6500</v>
      </c>
      <c r="AX111" s="300">
        <v>0</v>
      </c>
      <c r="AY111" s="300">
        <v>139</v>
      </c>
      <c r="AZ111" s="300">
        <v>0</v>
      </c>
      <c r="BA111" s="300">
        <v>14400</v>
      </c>
      <c r="BB111" s="300">
        <v>3979.91</v>
      </c>
      <c r="BC111" s="300">
        <v>9700</v>
      </c>
      <c r="BD111" s="300">
        <v>410.31122321</v>
      </c>
      <c r="BE111" s="300">
        <v>1000</v>
      </c>
      <c r="BF111" s="300">
        <v>4595.422849976</v>
      </c>
      <c r="BG111" s="300">
        <v>11200</v>
      </c>
      <c r="BH111" s="300">
        <v>4163.38</v>
      </c>
      <c r="BI111" s="300">
        <v>6700</v>
      </c>
      <c r="BJ111" s="300">
        <v>1455.12</v>
      </c>
      <c r="BK111" s="300">
        <v>2400</v>
      </c>
      <c r="BL111" s="266">
        <v>4448.52</v>
      </c>
      <c r="BM111" s="266">
        <v>5400</v>
      </c>
      <c r="BN111" s="266">
        <v>1454.97</v>
      </c>
      <c r="BO111" s="266">
        <v>3300</v>
      </c>
      <c r="BP111" s="266">
        <v>3042.21</v>
      </c>
      <c r="BQ111" s="266">
        <v>6900</v>
      </c>
      <c r="BR111" s="266">
        <v>1400</v>
      </c>
      <c r="BS111" s="266">
        <v>4500</v>
      </c>
      <c r="BT111" s="266">
        <v>1689</v>
      </c>
      <c r="BU111" s="266">
        <v>2000</v>
      </c>
      <c r="BV111" s="266">
        <v>2041.05</v>
      </c>
      <c r="BW111" s="266">
        <v>3300</v>
      </c>
      <c r="BX111" s="266">
        <v>5300</v>
      </c>
      <c r="BY111" s="266">
        <v>5800</v>
      </c>
      <c r="BZ111" s="266">
        <v>5300</v>
      </c>
      <c r="CA111" s="266">
        <v>5800</v>
      </c>
      <c r="CB111" s="266">
        <v>0</v>
      </c>
      <c r="CC111" s="266">
        <v>756</v>
      </c>
      <c r="CD111" s="311">
        <v>0</v>
      </c>
      <c r="CE111" s="311">
        <v>4900</v>
      </c>
      <c r="CF111" s="311">
        <v>0</v>
      </c>
      <c r="CG111" s="311">
        <v>4000</v>
      </c>
      <c r="CH111" s="311">
        <v>0</v>
      </c>
      <c r="CI111" s="311">
        <v>3700</v>
      </c>
      <c r="CJ111" s="311">
        <v>0</v>
      </c>
      <c r="CK111" s="311">
        <v>11000</v>
      </c>
      <c r="CL111" s="311">
        <v>1500</v>
      </c>
      <c r="CM111" s="311">
        <v>1500</v>
      </c>
      <c r="CN111" s="311">
        <v>0</v>
      </c>
      <c r="CO111" s="311">
        <v>235</v>
      </c>
      <c r="CP111" s="311">
        <v>0</v>
      </c>
      <c r="CQ111" s="311">
        <v>3000</v>
      </c>
      <c r="CR111" s="311">
        <v>0</v>
      </c>
      <c r="CS111" s="258">
        <v>32900</v>
      </c>
      <c r="CT111" s="258">
        <v>968</v>
      </c>
      <c r="CU111" s="258">
        <v>1100</v>
      </c>
      <c r="CV111" s="258">
        <v>0</v>
      </c>
      <c r="CW111" s="258">
        <v>5800</v>
      </c>
      <c r="CX111" s="266">
        <f t="shared" si="82"/>
        <v>-968</v>
      </c>
      <c r="CY111" s="266">
        <f t="shared" si="83"/>
        <v>4700</v>
      </c>
      <c r="CZ111" s="260" t="s">
        <v>4954</v>
      </c>
      <c r="DA111" s="301" t="s">
        <v>4953</v>
      </c>
      <c r="DB111" s="258">
        <v>0</v>
      </c>
      <c r="DC111" s="258">
        <f t="shared" si="96"/>
        <v>1</v>
      </c>
    </row>
    <row r="112" spans="1:107">
      <c r="A112" s="309" t="s">
        <v>4955</v>
      </c>
      <c r="B112" s="264" t="s">
        <v>4776</v>
      </c>
      <c r="C112" s="264"/>
      <c r="D112" s="265" t="s">
        <v>4956</v>
      </c>
      <c r="E112" s="306">
        <f t="shared" si="51"/>
        <v>1.81449134703352e-5</v>
      </c>
      <c r="F112" s="306">
        <f t="shared" si="52"/>
        <v>7.95716875630868e-6</v>
      </c>
      <c r="G112" s="304">
        <f t="shared" si="53"/>
        <v>7.61144315178381e-6</v>
      </c>
      <c r="H112" s="304">
        <f t="shared" si="54"/>
        <v>7.98085230967146e-6</v>
      </c>
      <c r="I112" s="304">
        <f t="shared" si="68"/>
        <v>1.71293345703301e-5</v>
      </c>
      <c r="J112" s="304">
        <f t="shared" si="55"/>
        <v>2.64316327734818e-5</v>
      </c>
      <c r="K112" s="304">
        <f t="shared" si="56"/>
        <v>0</v>
      </c>
      <c r="L112" s="304">
        <f t="shared" si="57"/>
        <v>0</v>
      </c>
      <c r="M112" s="304">
        <f t="shared" si="58"/>
        <v>0</v>
      </c>
      <c r="N112" s="304">
        <f t="shared" si="59"/>
        <v>3.2402806516422e-5</v>
      </c>
      <c r="O112" s="304">
        <f t="shared" si="60"/>
        <v>0</v>
      </c>
      <c r="P112" s="304">
        <f t="shared" si="61"/>
        <v>0</v>
      </c>
      <c r="Q112" s="304">
        <v>0</v>
      </c>
      <c r="R112" s="304">
        <f t="shared" si="62"/>
        <v>0</v>
      </c>
      <c r="S112" s="304">
        <f t="shared" si="63"/>
        <v>2.88853554338019e-5</v>
      </c>
      <c r="T112" s="304">
        <v>0</v>
      </c>
      <c r="U112" s="304">
        <v>1.68891578408459e-5</v>
      </c>
      <c r="V112" s="304">
        <v>3.42744455448653e-5</v>
      </c>
      <c r="W112" s="304">
        <v>3.35280741060235e-5</v>
      </c>
      <c r="X112" s="304">
        <f t="shared" si="64"/>
        <v>3.01929185240929e-5</v>
      </c>
      <c r="Y112" s="304">
        <f t="shared" si="84"/>
        <v>0</v>
      </c>
      <c r="Z112" s="304">
        <f t="shared" si="85"/>
        <v>1.50421287047509e-5</v>
      </c>
      <c r="AA112" s="304">
        <f t="shared" si="69"/>
        <v>2.98830281360825e-5</v>
      </c>
      <c r="AB112" s="304">
        <f t="shared" si="70"/>
        <v>2.75519622354438e-5</v>
      </c>
      <c r="AC112" s="304">
        <f t="shared" si="65"/>
        <v>2.76786919494585e-6</v>
      </c>
      <c r="AD112" s="304">
        <f t="shared" si="86"/>
        <v>4.56269247923919e-6</v>
      </c>
      <c r="AE112" s="304">
        <f t="shared" si="87"/>
        <v>5.77271202208043e-6</v>
      </c>
      <c r="AF112" s="303">
        <f t="shared" si="88"/>
        <v>1.21001954284124e-6</v>
      </c>
      <c r="AG112" s="303">
        <f t="shared" si="89"/>
        <v>2.71496104737918e-6</v>
      </c>
      <c r="AH112" s="303">
        <f t="shared" si="90"/>
        <v>9.68254441930189e-6</v>
      </c>
      <c r="AI112" s="303">
        <f t="shared" si="91"/>
        <v>0</v>
      </c>
      <c r="AJ112" s="303">
        <f t="shared" si="92"/>
        <v>0</v>
      </c>
      <c r="AK112" s="303">
        <f t="shared" si="93"/>
        <v>0</v>
      </c>
      <c r="AL112" s="304">
        <f t="shared" si="94"/>
        <v>0</v>
      </c>
      <c r="AM112" s="304">
        <f t="shared" si="95"/>
        <v>0</v>
      </c>
      <c r="AN112" s="299">
        <v>3400</v>
      </c>
      <c r="AO112" s="299">
        <v>3400</v>
      </c>
      <c r="AP112" s="299">
        <v>1400</v>
      </c>
      <c r="AQ112" s="299">
        <v>1400</v>
      </c>
      <c r="AR112" s="300">
        <v>1351.2</v>
      </c>
      <c r="AS112" s="300">
        <v>2000</v>
      </c>
      <c r="AT112" s="300">
        <v>1351.16</v>
      </c>
      <c r="AU112" s="300">
        <v>1700</v>
      </c>
      <c r="AV112" s="300">
        <v>2900</v>
      </c>
      <c r="AW112" s="300">
        <v>2900</v>
      </c>
      <c r="AX112" s="300">
        <v>3728.8</v>
      </c>
      <c r="AY112" s="300">
        <v>4000</v>
      </c>
      <c r="AZ112" s="300">
        <v>0</v>
      </c>
      <c r="BA112" s="300">
        <v>341</v>
      </c>
      <c r="BB112" s="300">
        <v>0</v>
      </c>
      <c r="BC112" s="300">
        <v>0</v>
      </c>
      <c r="BD112" s="300">
        <v>0</v>
      </c>
      <c r="BE112" s="300">
        <v>10000</v>
      </c>
      <c r="BF112" s="300">
        <v>4000</v>
      </c>
      <c r="BG112" s="300">
        <v>4000</v>
      </c>
      <c r="BH112" s="300">
        <v>0</v>
      </c>
      <c r="BI112" s="300">
        <v>0</v>
      </c>
      <c r="BJ112" s="300">
        <v>0</v>
      </c>
      <c r="BK112" s="300">
        <v>0</v>
      </c>
      <c r="BL112" s="266">
        <v>0</v>
      </c>
      <c r="BM112" s="266">
        <v>0</v>
      </c>
      <c r="BN112" s="266">
        <v>0</v>
      </c>
      <c r="BO112" s="266">
        <v>690</v>
      </c>
      <c r="BP112" s="266">
        <v>3800</v>
      </c>
      <c r="BQ112" s="266">
        <v>3800</v>
      </c>
      <c r="BR112" s="266">
        <v>0</v>
      </c>
      <c r="BS112" s="266">
        <v>734</v>
      </c>
      <c r="BT112" s="266">
        <v>1900</v>
      </c>
      <c r="BU112" s="266">
        <v>1900</v>
      </c>
      <c r="BV112" s="266">
        <v>4410.02</v>
      </c>
      <c r="BW112" s="266">
        <v>4600</v>
      </c>
      <c r="BX112" s="266">
        <v>4600</v>
      </c>
      <c r="BY112" s="266">
        <v>5000</v>
      </c>
      <c r="BZ112" s="266">
        <v>4600</v>
      </c>
      <c r="CA112" s="266">
        <v>5000</v>
      </c>
      <c r="CB112" s="266">
        <v>0</v>
      </c>
      <c r="CC112" s="266">
        <v>0</v>
      </c>
      <c r="CD112" s="311">
        <v>2100</v>
      </c>
      <c r="CE112" s="311">
        <v>7300</v>
      </c>
      <c r="CF112" s="311">
        <v>3700</v>
      </c>
      <c r="CG112" s="311">
        <v>3700</v>
      </c>
      <c r="CH112" s="311">
        <v>3600</v>
      </c>
      <c r="CI112" s="311">
        <v>3600</v>
      </c>
      <c r="CJ112" s="311">
        <v>431</v>
      </c>
      <c r="CK112" s="311">
        <v>1400</v>
      </c>
      <c r="CL112" s="311">
        <v>793</v>
      </c>
      <c r="CM112" s="311">
        <v>793</v>
      </c>
      <c r="CN112" s="311">
        <v>878</v>
      </c>
      <c r="CO112" s="311">
        <v>878</v>
      </c>
      <c r="CP112" s="311">
        <v>432</v>
      </c>
      <c r="CQ112" s="311">
        <v>432</v>
      </c>
      <c r="CR112" s="311">
        <v>1500</v>
      </c>
      <c r="CS112" s="258">
        <v>1500</v>
      </c>
      <c r="CT112" s="258">
        <v>0</v>
      </c>
      <c r="CU112" s="258">
        <v>469</v>
      </c>
      <c r="CV112" s="258">
        <v>0</v>
      </c>
      <c r="CW112" s="258">
        <v>0</v>
      </c>
      <c r="CX112" s="266">
        <f t="shared" si="82"/>
        <v>0</v>
      </c>
      <c r="CY112" s="266">
        <f t="shared" si="83"/>
        <v>-469</v>
      </c>
      <c r="DA112" s="301" t="s">
        <v>4956</v>
      </c>
      <c r="DB112" s="258">
        <v>0</v>
      </c>
      <c r="DC112" s="258">
        <f t="shared" si="96"/>
        <v>1</v>
      </c>
    </row>
    <row r="113" spans="1:107">
      <c r="A113" s="264" t="s">
        <v>4957</v>
      </c>
      <c r="B113" s="264" t="s">
        <v>4776</v>
      </c>
      <c r="C113" s="264"/>
      <c r="D113" s="258" t="s">
        <v>4958</v>
      </c>
      <c r="E113" s="306">
        <f t="shared" si="51"/>
        <v>1.7077565619139e-5</v>
      </c>
      <c r="F113" s="306">
        <f t="shared" si="52"/>
        <v>1.40185420564268e-5</v>
      </c>
      <c r="G113" s="304">
        <f t="shared" si="53"/>
        <v>1.45885993742523e-5</v>
      </c>
      <c r="H113" s="304">
        <f t="shared" si="54"/>
        <v>2.46083564437618e-5</v>
      </c>
      <c r="I113" s="304">
        <f t="shared" si="68"/>
        <v>0</v>
      </c>
      <c r="J113" s="304">
        <f t="shared" si="55"/>
        <v>0</v>
      </c>
      <c r="K113" s="304">
        <f t="shared" si="56"/>
        <v>0</v>
      </c>
      <c r="L113" s="304">
        <f t="shared" si="57"/>
        <v>0</v>
      </c>
      <c r="M113" s="304">
        <f t="shared" si="58"/>
        <v>0</v>
      </c>
      <c r="N113" s="304">
        <f t="shared" si="59"/>
        <v>0</v>
      </c>
      <c r="O113" s="304">
        <f t="shared" si="60"/>
        <v>3.81106981824452e-6</v>
      </c>
      <c r="P113" s="304">
        <f t="shared" si="61"/>
        <v>4.34243408538966e-6</v>
      </c>
      <c r="Q113" s="304">
        <v>0.000280143963132554</v>
      </c>
      <c r="R113" s="304">
        <f t="shared" si="62"/>
        <v>0</v>
      </c>
      <c r="S113" s="304">
        <f t="shared" si="63"/>
        <v>0</v>
      </c>
      <c r="T113" s="304">
        <v>7.18801457323258e-5</v>
      </c>
      <c r="U113" s="304">
        <v>0</v>
      </c>
      <c r="V113" s="304">
        <v>0</v>
      </c>
      <c r="W113" s="304">
        <v>3.7172429987113e-5</v>
      </c>
      <c r="X113" s="304">
        <f t="shared" si="64"/>
        <v>0.000196253970406604</v>
      </c>
      <c r="Y113" s="304">
        <f t="shared" si="84"/>
        <v>1.70615930928737e-5</v>
      </c>
      <c r="Z113" s="304">
        <f t="shared" si="85"/>
        <v>0.000215603844768097</v>
      </c>
      <c r="AA113" s="304">
        <f t="shared" si="69"/>
        <v>8.64184867719142e-5</v>
      </c>
      <c r="AB113" s="304">
        <f t="shared" si="70"/>
        <v>2.90826268040795e-5</v>
      </c>
      <c r="AC113" s="304">
        <f t="shared" si="65"/>
        <v>0</v>
      </c>
      <c r="AD113" s="304">
        <f t="shared" si="86"/>
        <v>0.00022381934103708</v>
      </c>
      <c r="AE113" s="304">
        <f t="shared" si="87"/>
        <v>0</v>
      </c>
      <c r="AF113" s="303">
        <f t="shared" si="88"/>
        <v>-0.00022381934103708</v>
      </c>
      <c r="AG113" s="303">
        <f t="shared" si="89"/>
        <v>0</v>
      </c>
      <c r="AH113" s="303">
        <f t="shared" si="90"/>
        <v>0.00027175674670174</v>
      </c>
      <c r="AI113" s="303">
        <f t="shared" si="91"/>
        <v>0</v>
      </c>
      <c r="AJ113" s="303">
        <f t="shared" si="92"/>
        <v>0</v>
      </c>
      <c r="AK113" s="303">
        <f t="shared" si="93"/>
        <v>0</v>
      </c>
      <c r="AL113" s="304">
        <f t="shared" si="94"/>
        <v>0</v>
      </c>
      <c r="AM113" s="304">
        <f t="shared" si="95"/>
        <v>0</v>
      </c>
      <c r="AN113" s="299">
        <v>3200</v>
      </c>
      <c r="AO113" s="299">
        <v>12500</v>
      </c>
      <c r="AP113" s="299">
        <v>2466.45</v>
      </c>
      <c r="AQ113" s="299">
        <v>10500</v>
      </c>
      <c r="AR113" s="300">
        <v>2589.8</v>
      </c>
      <c r="AS113" s="300">
        <v>9200</v>
      </c>
      <c r="AT113" s="300">
        <v>4166.2</v>
      </c>
      <c r="AU113" s="300">
        <v>14800</v>
      </c>
      <c r="AV113" s="300">
        <v>0</v>
      </c>
      <c r="AW113" s="300">
        <v>15600</v>
      </c>
      <c r="AX113" s="300">
        <v>0</v>
      </c>
      <c r="AY113" s="300">
        <v>10800</v>
      </c>
      <c r="AZ113" s="300">
        <v>0</v>
      </c>
      <c r="BA113" s="300">
        <v>19200</v>
      </c>
      <c r="BB113" s="300">
        <v>0</v>
      </c>
      <c r="BC113" s="300">
        <v>61900</v>
      </c>
      <c r="BD113" s="300">
        <v>0</v>
      </c>
      <c r="BE113" s="300">
        <v>136100</v>
      </c>
      <c r="BF113" s="300">
        <v>0</v>
      </c>
      <c r="BG113" s="300">
        <v>57100</v>
      </c>
      <c r="BH113" s="300">
        <v>444.03</v>
      </c>
      <c r="BI113" s="300">
        <v>36100</v>
      </c>
      <c r="BJ113" s="300">
        <v>495.69</v>
      </c>
      <c r="BK113" s="300">
        <v>40300</v>
      </c>
      <c r="BL113" s="266">
        <v>0</v>
      </c>
      <c r="BM113" s="266">
        <v>84700</v>
      </c>
      <c r="BN113" s="266">
        <v>0</v>
      </c>
      <c r="BO113" s="266">
        <v>45000</v>
      </c>
      <c r="BP113" s="266">
        <v>0</v>
      </c>
      <c r="BQ113" s="266">
        <v>37300</v>
      </c>
      <c r="BR113" s="266">
        <v>8700</v>
      </c>
      <c r="BS113" s="266">
        <v>49100</v>
      </c>
      <c r="BT113" s="266">
        <v>0</v>
      </c>
      <c r="BU113" s="266">
        <v>32300</v>
      </c>
      <c r="BV113" s="266">
        <v>0</v>
      </c>
      <c r="BW113" s="266">
        <v>19400</v>
      </c>
      <c r="BX113" s="266">
        <v>5100</v>
      </c>
      <c r="BY113" s="266">
        <v>32500</v>
      </c>
      <c r="BZ113" s="266">
        <v>2300</v>
      </c>
      <c r="CA113" s="266">
        <v>32500</v>
      </c>
      <c r="CB113" s="266">
        <v>2300</v>
      </c>
      <c r="CC113" s="266">
        <v>66500</v>
      </c>
      <c r="CD113" s="311">
        <v>30100</v>
      </c>
      <c r="CE113" s="311">
        <v>71000</v>
      </c>
      <c r="CF113" s="311">
        <v>10700</v>
      </c>
      <c r="CG113" s="311">
        <v>87200</v>
      </c>
      <c r="CH113" s="311">
        <v>3800</v>
      </c>
      <c r="CI113" s="311">
        <v>47700</v>
      </c>
      <c r="CJ113" s="311">
        <v>0</v>
      </c>
      <c r="CK113" s="311">
        <v>53500</v>
      </c>
      <c r="CL113" s="311">
        <v>38900</v>
      </c>
      <c r="CM113" s="311">
        <v>38900</v>
      </c>
      <c r="CN113" s="311">
        <v>0</v>
      </c>
      <c r="CO113" s="311">
        <v>112300</v>
      </c>
      <c r="CP113" s="311">
        <v>0</v>
      </c>
      <c r="CQ113" s="311">
        <v>20900</v>
      </c>
      <c r="CR113" s="311">
        <v>42100</v>
      </c>
      <c r="CS113" s="258">
        <v>131300</v>
      </c>
      <c r="CT113" s="258">
        <v>0</v>
      </c>
      <c r="CU113" s="258">
        <v>44600</v>
      </c>
      <c r="CV113" s="258">
        <v>0</v>
      </c>
      <c r="CW113" s="258">
        <v>58800</v>
      </c>
      <c r="CX113" s="266">
        <f t="shared" si="82"/>
        <v>0</v>
      </c>
      <c r="CY113" s="266">
        <f t="shared" si="83"/>
        <v>14200</v>
      </c>
      <c r="DA113" s="301" t="s">
        <v>4958</v>
      </c>
      <c r="DB113" s="258">
        <v>0</v>
      </c>
      <c r="DC113" s="258">
        <f t="shared" si="96"/>
        <v>1</v>
      </c>
    </row>
    <row r="114" spans="1:107">
      <c r="A114" s="264" t="s">
        <v>4959</v>
      </c>
      <c r="B114" s="264" t="s">
        <v>4776</v>
      </c>
      <c r="C114" s="264"/>
      <c r="D114" s="310" t="s">
        <v>4960</v>
      </c>
      <c r="E114" s="306">
        <f t="shared" si="51"/>
        <v>1.7077565619139e-5</v>
      </c>
      <c r="F114" s="306">
        <f t="shared" si="52"/>
        <v>1.36408607251006e-5</v>
      </c>
      <c r="G114" s="304">
        <f t="shared" si="53"/>
        <v>0.000117731765743252</v>
      </c>
      <c r="H114" s="304">
        <f t="shared" si="54"/>
        <v>0</v>
      </c>
      <c r="I114" s="304">
        <f t="shared" si="68"/>
        <v>2.71250691588399e-5</v>
      </c>
      <c r="J114" s="304">
        <f t="shared" si="55"/>
        <v>9.92391275554456e-6</v>
      </c>
      <c r="K114" s="304">
        <f t="shared" si="56"/>
        <v>1.82211968592929e-5</v>
      </c>
      <c r="L114" s="304">
        <f t="shared" si="57"/>
        <v>2.87418758567008e-5</v>
      </c>
      <c r="M114" s="304">
        <f t="shared" si="58"/>
        <v>1.24187613516653e-5</v>
      </c>
      <c r="N114" s="304">
        <f t="shared" si="59"/>
        <v>3.48330170051537e-5</v>
      </c>
      <c r="O114" s="304">
        <f t="shared" si="60"/>
        <v>6.25570592853282e-5</v>
      </c>
      <c r="P114" s="304">
        <f t="shared" si="61"/>
        <v>0.00139052362699176</v>
      </c>
      <c r="Q114" s="304">
        <v>0.0010899894148681</v>
      </c>
      <c r="R114" s="304">
        <f t="shared" si="62"/>
        <v>0</v>
      </c>
      <c r="S114" s="304">
        <f t="shared" si="63"/>
        <v>4.37451984944416e-5</v>
      </c>
      <c r="T114" s="304">
        <v>0</v>
      </c>
      <c r="U114" s="304">
        <v>4.35596270000655e-5</v>
      </c>
      <c r="V114" s="304">
        <v>0</v>
      </c>
      <c r="W114" s="304">
        <v>2.47816199914087e-5</v>
      </c>
      <c r="X114" s="304">
        <f t="shared" si="64"/>
        <v>2.35504764487924e-5</v>
      </c>
      <c r="Y114" s="304">
        <f t="shared" si="84"/>
        <v>1.63197846975313e-5</v>
      </c>
      <c r="Z114" s="304">
        <f t="shared" si="85"/>
        <v>0</v>
      </c>
      <c r="AA114" s="304">
        <f t="shared" si="69"/>
        <v>1.93835858179994e-5</v>
      </c>
      <c r="AB114" s="304">
        <f t="shared" si="70"/>
        <v>1.76026425393113e-5</v>
      </c>
      <c r="AC114" s="304">
        <f t="shared" si="65"/>
        <v>1.09173494928259e-5</v>
      </c>
      <c r="AD114" s="304">
        <f t="shared" si="86"/>
        <v>0.000109895871820263</v>
      </c>
      <c r="AE114" s="304">
        <f t="shared" si="87"/>
        <v>5.98310699327242e-5</v>
      </c>
      <c r="AF114" s="303">
        <f t="shared" si="88"/>
        <v>-5.00648018875388e-5</v>
      </c>
      <c r="AG114" s="303">
        <f t="shared" si="89"/>
        <v>2.19962121894147e-5</v>
      </c>
      <c r="AH114" s="303">
        <f t="shared" si="90"/>
        <v>4.19576924836415e-5</v>
      </c>
      <c r="AI114" s="303">
        <f t="shared" si="91"/>
        <v>0</v>
      </c>
      <c r="AJ114" s="303">
        <f t="shared" si="92"/>
        <v>0</v>
      </c>
      <c r="AK114" s="303">
        <f t="shared" si="93"/>
        <v>0</v>
      </c>
      <c r="AL114" s="304">
        <f t="shared" si="94"/>
        <v>0</v>
      </c>
      <c r="AM114" s="304">
        <f t="shared" si="95"/>
        <v>0</v>
      </c>
      <c r="AN114" s="299">
        <v>3200</v>
      </c>
      <c r="AO114" s="299">
        <v>3200</v>
      </c>
      <c r="AP114" s="299">
        <v>2400</v>
      </c>
      <c r="AQ114" s="299">
        <v>2400</v>
      </c>
      <c r="AR114" s="300">
        <v>20900</v>
      </c>
      <c r="AS114" s="300">
        <v>20900</v>
      </c>
      <c r="AT114" s="300">
        <v>0</v>
      </c>
      <c r="AU114" s="300">
        <v>0</v>
      </c>
      <c r="AV114" s="300">
        <v>4592.28</v>
      </c>
      <c r="AW114" s="300">
        <v>4900</v>
      </c>
      <c r="AX114" s="300">
        <v>1400</v>
      </c>
      <c r="AY114" s="300">
        <v>1400</v>
      </c>
      <c r="AZ114" s="300">
        <v>2400</v>
      </c>
      <c r="BA114" s="300">
        <v>2400</v>
      </c>
      <c r="BB114" s="300">
        <v>3945.18</v>
      </c>
      <c r="BC114" s="300">
        <v>9400</v>
      </c>
      <c r="BD114" s="300">
        <v>1600</v>
      </c>
      <c r="BE114" s="300">
        <v>1600</v>
      </c>
      <c r="BF114" s="300">
        <v>4300</v>
      </c>
      <c r="BG114" s="300">
        <v>4300</v>
      </c>
      <c r="BH114" s="300">
        <v>7288.56</v>
      </c>
      <c r="BI114" s="300">
        <v>7200</v>
      </c>
      <c r="BJ114" s="300">
        <v>158728.64</v>
      </c>
      <c r="BK114" s="300">
        <v>156800</v>
      </c>
      <c r="BL114" s="266">
        <v>4200</v>
      </c>
      <c r="BM114" s="266">
        <v>17900</v>
      </c>
      <c r="BN114" s="266">
        <v>0</v>
      </c>
      <c r="BO114" s="266">
        <v>30200</v>
      </c>
      <c r="BP114" s="266">
        <v>5754.88</v>
      </c>
      <c r="BQ114" s="266">
        <v>6400</v>
      </c>
      <c r="BR114" s="266">
        <v>0</v>
      </c>
      <c r="BS114" s="266">
        <v>68000</v>
      </c>
      <c r="BT114" s="266">
        <v>4900.38</v>
      </c>
      <c r="BU114" s="266">
        <v>5300</v>
      </c>
      <c r="BV114" s="266">
        <v>0</v>
      </c>
      <c r="BW114" s="266">
        <v>0</v>
      </c>
      <c r="BX114" s="266">
        <v>3400</v>
      </c>
      <c r="BY114" s="266">
        <v>3900</v>
      </c>
      <c r="BZ114" s="266">
        <v>3400</v>
      </c>
      <c r="CA114" s="266">
        <v>3900</v>
      </c>
      <c r="CB114" s="266">
        <v>2200</v>
      </c>
      <c r="CC114" s="266">
        <v>2700</v>
      </c>
      <c r="CD114" s="311">
        <v>0</v>
      </c>
      <c r="CE114" s="311">
        <v>2400</v>
      </c>
      <c r="CF114" s="311">
        <v>2400</v>
      </c>
      <c r="CG114" s="311">
        <v>2400</v>
      </c>
      <c r="CH114" s="311">
        <v>2300</v>
      </c>
      <c r="CI114" s="311">
        <v>8700</v>
      </c>
      <c r="CJ114" s="311">
        <v>1700</v>
      </c>
      <c r="CK114" s="311">
        <v>1700</v>
      </c>
      <c r="CL114" s="311">
        <v>19100</v>
      </c>
      <c r="CM114" s="311">
        <v>11000</v>
      </c>
      <c r="CN114" s="311">
        <v>9100</v>
      </c>
      <c r="CO114" s="311">
        <v>9100</v>
      </c>
      <c r="CP114" s="311">
        <v>3500</v>
      </c>
      <c r="CQ114" s="311">
        <v>20000</v>
      </c>
      <c r="CR114" s="311">
        <v>6500</v>
      </c>
      <c r="CS114" s="258">
        <v>6500</v>
      </c>
      <c r="CT114" s="258">
        <v>0</v>
      </c>
      <c r="CU114" s="258">
        <v>0</v>
      </c>
      <c r="CV114" s="258">
        <v>0</v>
      </c>
      <c r="CW114" s="258">
        <v>370</v>
      </c>
      <c r="CX114" s="266">
        <f t="shared" si="82"/>
        <v>0</v>
      </c>
      <c r="CY114" s="266">
        <f t="shared" si="83"/>
        <v>370</v>
      </c>
      <c r="DA114" s="301" t="s">
        <v>4960</v>
      </c>
      <c r="DB114" s="258">
        <v>0</v>
      </c>
      <c r="DC114" s="258">
        <f t="shared" si="96"/>
        <v>1</v>
      </c>
    </row>
    <row r="115" spans="1:107">
      <c r="A115" s="264" t="s">
        <v>4961</v>
      </c>
      <c r="B115" s="264" t="s">
        <v>4776</v>
      </c>
      <c r="C115" s="264"/>
      <c r="D115" s="310" t="s">
        <v>4962</v>
      </c>
      <c r="E115" s="306">
        <f t="shared" si="51"/>
        <v>1.33418481399523e-5</v>
      </c>
      <c r="F115" s="306">
        <f t="shared" si="52"/>
        <v>2.84616559029224e-5</v>
      </c>
      <c r="G115" s="304">
        <f t="shared" si="53"/>
        <v>0</v>
      </c>
      <c r="H115" s="304">
        <f t="shared" si="54"/>
        <v>0</v>
      </c>
      <c r="I115" s="304">
        <f t="shared" si="68"/>
        <v>2.68881527417309e-5</v>
      </c>
      <c r="J115" s="304">
        <f t="shared" si="55"/>
        <v>1.02604042830486e-5</v>
      </c>
      <c r="K115" s="304">
        <f t="shared" si="56"/>
        <v>1.94420170488656e-5</v>
      </c>
      <c r="L115" s="304">
        <f t="shared" si="57"/>
        <v>4.04011469884481e-5</v>
      </c>
      <c r="M115" s="304">
        <f t="shared" si="58"/>
        <v>4.20032779644115e-5</v>
      </c>
      <c r="N115" s="304">
        <f t="shared" si="59"/>
        <v>0.000103431540554778</v>
      </c>
      <c r="O115" s="304">
        <f t="shared" si="60"/>
        <v>2.63494498824685e-5</v>
      </c>
      <c r="P115" s="304">
        <f t="shared" si="61"/>
        <v>4.92327373751819e-5</v>
      </c>
      <c r="Q115" s="304">
        <v>4.24039249406595e-5</v>
      </c>
      <c r="R115" s="304">
        <f t="shared" si="62"/>
        <v>4.21173451992022e-5</v>
      </c>
      <c r="S115" s="304">
        <f t="shared" si="63"/>
        <v>4.87254898557885e-5</v>
      </c>
      <c r="T115" s="304">
        <v>3.85208179605249e-5</v>
      </c>
      <c r="U115" s="304">
        <v>3.16997048030058e-5</v>
      </c>
      <c r="V115" s="304">
        <v>5.69912274125207e-5</v>
      </c>
      <c r="W115" s="304">
        <v>2.69682335200624e-5</v>
      </c>
      <c r="X115" s="304">
        <f t="shared" si="64"/>
        <v>7.12552877168592e-5</v>
      </c>
      <c r="Y115" s="304">
        <f t="shared" si="84"/>
        <v>0</v>
      </c>
      <c r="Z115" s="304">
        <f t="shared" si="85"/>
        <v>2.86516737233351e-5</v>
      </c>
      <c r="AA115" s="304">
        <f t="shared" si="69"/>
        <v>6.94578491811646e-5</v>
      </c>
      <c r="AB115" s="304">
        <f t="shared" si="70"/>
        <v>4.59199370590729e-5</v>
      </c>
      <c r="AC115" s="304">
        <f t="shared" si="65"/>
        <v>5.5357383898917e-6</v>
      </c>
      <c r="AD115" s="304">
        <f t="shared" si="86"/>
        <v>5.75371056650591e-6</v>
      </c>
      <c r="AE115" s="304">
        <f t="shared" si="87"/>
        <v>1.38071699844748e-5</v>
      </c>
      <c r="AF115" s="303">
        <f t="shared" si="88"/>
        <v>8.05345941796891e-6</v>
      </c>
      <c r="AG115" s="303">
        <f t="shared" si="89"/>
        <v>0.000495229005864536</v>
      </c>
      <c r="AH115" s="303">
        <f t="shared" si="90"/>
        <v>0</v>
      </c>
      <c r="AI115" s="303">
        <f t="shared" si="91"/>
        <v>9.68462271473249e-6</v>
      </c>
      <c r="AJ115" s="303">
        <f t="shared" si="92"/>
        <v>0.000570298130968327</v>
      </c>
      <c r="AK115" s="303">
        <f t="shared" si="93"/>
        <v>0.000560613508253594</v>
      </c>
      <c r="AL115" s="304">
        <f t="shared" si="94"/>
        <v>0.000560613508253594</v>
      </c>
      <c r="AM115" s="304">
        <f t="shared" si="95"/>
        <v>0.983836206896552</v>
      </c>
      <c r="AN115" s="299">
        <v>2500</v>
      </c>
      <c r="AO115" s="299">
        <v>2500</v>
      </c>
      <c r="AP115" s="299">
        <v>5007.6</v>
      </c>
      <c r="AQ115" s="299">
        <v>7200</v>
      </c>
      <c r="AR115" s="300">
        <v>0</v>
      </c>
      <c r="AS115" s="300">
        <v>0</v>
      </c>
      <c r="AT115" s="300">
        <v>0</v>
      </c>
      <c r="AU115" s="300">
        <v>0</v>
      </c>
      <c r="AV115" s="300">
        <v>4552.17</v>
      </c>
      <c r="AW115" s="300">
        <v>5300</v>
      </c>
      <c r="AX115" s="300">
        <v>1447.47</v>
      </c>
      <c r="AY115" s="300">
        <v>2700</v>
      </c>
      <c r="AZ115" s="300">
        <v>2560.8</v>
      </c>
      <c r="BA115" s="300">
        <v>4400</v>
      </c>
      <c r="BB115" s="300">
        <v>5545.56</v>
      </c>
      <c r="BC115" s="300">
        <v>7400</v>
      </c>
      <c r="BD115" s="300">
        <v>5411.59</v>
      </c>
      <c r="BE115" s="300">
        <v>6700</v>
      </c>
      <c r="BF115" s="300">
        <v>12768.22</v>
      </c>
      <c r="BG115" s="300">
        <v>16400</v>
      </c>
      <c r="BH115" s="300">
        <v>3069.99</v>
      </c>
      <c r="BI115" s="300">
        <v>6300</v>
      </c>
      <c r="BJ115" s="300">
        <v>5619.93</v>
      </c>
      <c r="BK115" s="300">
        <v>6100</v>
      </c>
      <c r="BL115" s="266">
        <v>3149.1</v>
      </c>
      <c r="BM115" s="266">
        <v>4500</v>
      </c>
      <c r="BN115" s="266">
        <v>5274.1</v>
      </c>
      <c r="BO115" s="266">
        <v>6500</v>
      </c>
      <c r="BP115" s="266">
        <v>6410.06</v>
      </c>
      <c r="BQ115" s="266">
        <v>7900</v>
      </c>
      <c r="BR115" s="266">
        <v>4662.36</v>
      </c>
      <c r="BS115" s="266">
        <v>8100</v>
      </c>
      <c r="BT115" s="266">
        <v>3566.16</v>
      </c>
      <c r="BU115" s="266">
        <v>3900</v>
      </c>
      <c r="BV115" s="266">
        <v>7332.94</v>
      </c>
      <c r="BW115" s="266">
        <v>9400</v>
      </c>
      <c r="BX115" s="266">
        <v>3700</v>
      </c>
      <c r="BY115" s="266">
        <v>11800</v>
      </c>
      <c r="BZ115" s="266">
        <v>3700</v>
      </c>
      <c r="CA115" s="266">
        <v>11800</v>
      </c>
      <c r="CB115" s="266">
        <v>0</v>
      </c>
      <c r="CC115" s="266">
        <v>975</v>
      </c>
      <c r="CD115" s="311">
        <v>4000</v>
      </c>
      <c r="CE115" s="311">
        <v>5600</v>
      </c>
      <c r="CF115" s="311">
        <v>8600</v>
      </c>
      <c r="CG115" s="311">
        <v>11300</v>
      </c>
      <c r="CH115" s="311">
        <v>6000</v>
      </c>
      <c r="CI115" s="311">
        <v>7300</v>
      </c>
      <c r="CJ115" s="311">
        <v>862</v>
      </c>
      <c r="CK115" s="311">
        <v>1100</v>
      </c>
      <c r="CL115" s="311">
        <v>1000</v>
      </c>
      <c r="CM115" s="311">
        <v>494</v>
      </c>
      <c r="CN115" s="311">
        <v>2100</v>
      </c>
      <c r="CO115" s="311">
        <v>3000</v>
      </c>
      <c r="CP115" s="311">
        <v>78800</v>
      </c>
      <c r="CQ115" s="311">
        <v>95900</v>
      </c>
      <c r="CR115" s="311">
        <v>0</v>
      </c>
      <c r="CS115" s="258">
        <v>20300</v>
      </c>
      <c r="CT115" s="258">
        <v>1500</v>
      </c>
      <c r="CU115" s="258">
        <v>2700</v>
      </c>
      <c r="CV115" s="258">
        <v>92800</v>
      </c>
      <c r="CW115" s="258">
        <v>93800</v>
      </c>
      <c r="CX115" s="266">
        <f t="shared" si="82"/>
        <v>91300</v>
      </c>
      <c r="CY115" s="266">
        <f t="shared" si="83"/>
        <v>91100</v>
      </c>
      <c r="DA115" s="301" t="s">
        <v>4962</v>
      </c>
      <c r="DB115" s="258">
        <v>92800</v>
      </c>
      <c r="DC115" s="258">
        <f t="shared" si="96"/>
        <v>1</v>
      </c>
    </row>
    <row r="116" spans="1:107">
      <c r="A116" s="264" t="s">
        <v>4963</v>
      </c>
      <c r="B116" s="264" t="s">
        <v>4776</v>
      </c>
      <c r="C116" s="264"/>
      <c r="D116" s="265" t="s">
        <v>4964</v>
      </c>
      <c r="E116" s="306">
        <f t="shared" si="51"/>
        <v>1.22745002887562e-5</v>
      </c>
      <c r="F116" s="306">
        <f t="shared" si="52"/>
        <v>7.38879955942948e-6</v>
      </c>
      <c r="G116" s="304">
        <f t="shared" si="53"/>
        <v>6.19640872332903e-6</v>
      </c>
      <c r="H116" s="304">
        <f t="shared" si="54"/>
        <v>3.50856025337107e-6</v>
      </c>
      <c r="I116" s="304">
        <f t="shared" si="68"/>
        <v>0</v>
      </c>
      <c r="J116" s="304">
        <f t="shared" si="55"/>
        <v>0</v>
      </c>
      <c r="K116" s="304">
        <f t="shared" si="56"/>
        <v>0</v>
      </c>
      <c r="L116" s="304">
        <f t="shared" si="57"/>
        <v>0</v>
      </c>
      <c r="M116" s="304">
        <f t="shared" si="58"/>
        <v>0</v>
      </c>
      <c r="N116" s="304">
        <f t="shared" si="59"/>
        <v>0</v>
      </c>
      <c r="O116" s="304">
        <f t="shared" si="60"/>
        <v>0</v>
      </c>
      <c r="P116" s="304">
        <f t="shared" si="61"/>
        <v>0</v>
      </c>
      <c r="Q116" s="304">
        <v>1.55017627242083e-6</v>
      </c>
      <c r="R116" s="304">
        <f t="shared" si="62"/>
        <v>0</v>
      </c>
      <c r="S116" s="304">
        <f t="shared" si="63"/>
        <v>0</v>
      </c>
      <c r="T116" s="304">
        <v>0</v>
      </c>
      <c r="U116" s="304">
        <v>0</v>
      </c>
      <c r="V116" s="304">
        <v>0</v>
      </c>
      <c r="W116" s="304">
        <v>2.59478138733573e-6</v>
      </c>
      <c r="X116" s="304">
        <f t="shared" si="64"/>
        <v>2.14973579891541e-6</v>
      </c>
      <c r="Y116" s="304">
        <f t="shared" si="84"/>
        <v>0</v>
      </c>
      <c r="Z116" s="304">
        <f t="shared" si="85"/>
        <v>0</v>
      </c>
      <c r="AA116" s="304">
        <f t="shared" si="69"/>
        <v>1.2922390545333e-5</v>
      </c>
      <c r="AB116" s="304">
        <f t="shared" si="70"/>
        <v>0</v>
      </c>
      <c r="AC116" s="304">
        <f t="shared" si="65"/>
        <v>0</v>
      </c>
      <c r="AD116" s="304">
        <f t="shared" si="86"/>
        <v>0</v>
      </c>
      <c r="AE116" s="304">
        <f t="shared" si="87"/>
        <v>0</v>
      </c>
      <c r="AF116" s="303">
        <f t="shared" si="88"/>
        <v>0</v>
      </c>
      <c r="AG116" s="303">
        <f t="shared" si="89"/>
        <v>0</v>
      </c>
      <c r="AH116" s="303">
        <f t="shared" si="90"/>
        <v>0</v>
      </c>
      <c r="AI116" s="303">
        <f t="shared" si="91"/>
        <v>0</v>
      </c>
      <c r="AJ116" s="303">
        <f t="shared" si="92"/>
        <v>0</v>
      </c>
      <c r="AK116" s="303">
        <f t="shared" si="93"/>
        <v>0</v>
      </c>
      <c r="AL116" s="304">
        <f t="shared" si="94"/>
        <v>0</v>
      </c>
      <c r="AM116" s="304">
        <f t="shared" si="95"/>
        <v>0</v>
      </c>
      <c r="AN116" s="299">
        <v>2300</v>
      </c>
      <c r="AO116" s="299">
        <v>2300</v>
      </c>
      <c r="AP116" s="299">
        <v>1300</v>
      </c>
      <c r="AQ116" s="299">
        <v>1300</v>
      </c>
      <c r="AR116" s="300">
        <v>1100</v>
      </c>
      <c r="AS116" s="300">
        <v>1100</v>
      </c>
      <c r="AT116" s="300">
        <v>594</v>
      </c>
      <c r="AU116" s="300">
        <v>594</v>
      </c>
      <c r="AV116" s="300">
        <v>0</v>
      </c>
      <c r="AW116" s="300">
        <v>281</v>
      </c>
      <c r="AX116" s="300">
        <v>0</v>
      </c>
      <c r="AY116" s="300">
        <v>3700</v>
      </c>
      <c r="AZ116" s="300">
        <v>0</v>
      </c>
      <c r="BA116" s="300">
        <v>0</v>
      </c>
      <c r="BB116" s="300">
        <v>0</v>
      </c>
      <c r="BC116" s="300">
        <v>176</v>
      </c>
      <c r="BD116" s="300">
        <v>0</v>
      </c>
      <c r="BE116" s="300">
        <v>0</v>
      </c>
      <c r="BF116" s="300">
        <v>0</v>
      </c>
      <c r="BG116" s="300">
        <v>0</v>
      </c>
      <c r="BH116" s="300">
        <v>0</v>
      </c>
      <c r="BI116" s="300">
        <v>0</v>
      </c>
      <c r="BJ116" s="300">
        <v>0</v>
      </c>
      <c r="BK116" s="300">
        <v>223</v>
      </c>
      <c r="BL116" s="266">
        <v>0</v>
      </c>
      <c r="BM116" s="266">
        <v>278</v>
      </c>
      <c r="BN116" s="266">
        <v>0</v>
      </c>
      <c r="BO116" s="266">
        <v>774</v>
      </c>
      <c r="BP116" s="266">
        <v>0</v>
      </c>
      <c r="BQ116" s="266">
        <v>2200</v>
      </c>
      <c r="BR116" s="266">
        <v>0</v>
      </c>
      <c r="BS116" s="266">
        <v>0</v>
      </c>
      <c r="BT116" s="266">
        <v>0</v>
      </c>
      <c r="BU116" s="266">
        <v>289</v>
      </c>
      <c r="BV116" s="266">
        <v>0</v>
      </c>
      <c r="BW116" s="266">
        <v>0</v>
      </c>
      <c r="BX116" s="266">
        <v>356</v>
      </c>
      <c r="BY116" s="266">
        <v>356</v>
      </c>
      <c r="BZ116" s="266">
        <v>0</v>
      </c>
      <c r="CA116" s="266">
        <v>356</v>
      </c>
      <c r="CB116" s="266">
        <v>0</v>
      </c>
      <c r="CC116" s="266">
        <v>0</v>
      </c>
      <c r="CD116" s="311">
        <v>0</v>
      </c>
      <c r="CE116" s="311">
        <v>14100</v>
      </c>
      <c r="CF116" s="311">
        <v>1600</v>
      </c>
      <c r="CG116" s="311">
        <v>1600</v>
      </c>
      <c r="CH116" s="311">
        <v>0</v>
      </c>
      <c r="CI116" s="311">
        <v>0</v>
      </c>
      <c r="CJ116" s="311">
        <v>0</v>
      </c>
      <c r="CK116" s="311">
        <v>0</v>
      </c>
      <c r="CL116" s="311">
        <v>0</v>
      </c>
      <c r="CM116" s="311">
        <v>0</v>
      </c>
      <c r="CN116" s="311">
        <v>0</v>
      </c>
      <c r="CO116" s="311">
        <v>0</v>
      </c>
      <c r="CP116" s="311">
        <v>0</v>
      </c>
      <c r="CQ116" s="311">
        <v>0</v>
      </c>
      <c r="CR116" s="311">
        <v>0</v>
      </c>
      <c r="CS116" s="258">
        <v>0</v>
      </c>
      <c r="CT116" s="258">
        <v>0</v>
      </c>
      <c r="CU116" s="258">
        <v>0</v>
      </c>
      <c r="CV116" s="258">
        <v>0</v>
      </c>
      <c r="CW116" s="258">
        <v>0</v>
      </c>
      <c r="CX116" s="266">
        <f t="shared" si="82"/>
        <v>0</v>
      </c>
      <c r="CY116" s="266">
        <f t="shared" si="83"/>
        <v>0</v>
      </c>
      <c r="CZ116" s="260" t="s">
        <v>4965</v>
      </c>
      <c r="DA116" s="301" t="s">
        <v>4964</v>
      </c>
      <c r="DB116" s="258">
        <v>0</v>
      </c>
      <c r="DC116" s="258">
        <f t="shared" si="96"/>
        <v>1</v>
      </c>
    </row>
    <row r="117" spans="1:107">
      <c r="A117" s="264" t="s">
        <v>4966</v>
      </c>
      <c r="B117" s="264" t="s">
        <v>4776</v>
      </c>
      <c r="C117" s="264"/>
      <c r="D117" s="265" t="s">
        <v>4967</v>
      </c>
      <c r="E117" s="306">
        <f t="shared" si="51"/>
        <v>1.17408263631581e-5</v>
      </c>
      <c r="F117" s="306">
        <f t="shared" si="52"/>
        <v>2.64782747534928e-5</v>
      </c>
      <c r="G117" s="304">
        <f t="shared" si="53"/>
        <v>2.46858163818821e-5</v>
      </c>
      <c r="H117" s="304">
        <f t="shared" si="54"/>
        <v>2.51850834187436e-5</v>
      </c>
      <c r="I117" s="304">
        <f t="shared" si="68"/>
        <v>0</v>
      </c>
      <c r="J117" s="304">
        <f t="shared" si="55"/>
        <v>0</v>
      </c>
      <c r="K117" s="304">
        <f t="shared" si="56"/>
        <v>0</v>
      </c>
      <c r="L117" s="304">
        <f t="shared" si="57"/>
        <v>0</v>
      </c>
      <c r="M117" s="304">
        <f t="shared" si="58"/>
        <v>9.14670530744404e-10</v>
      </c>
      <c r="N117" s="304">
        <f t="shared" si="59"/>
        <v>0</v>
      </c>
      <c r="O117" s="304">
        <f t="shared" si="60"/>
        <v>0</v>
      </c>
      <c r="P117" s="304">
        <f t="shared" si="61"/>
        <v>0</v>
      </c>
      <c r="Q117" s="304">
        <v>0.000172396285004649</v>
      </c>
      <c r="R117" s="304">
        <f t="shared" si="62"/>
        <v>0</v>
      </c>
      <c r="S117" s="304">
        <f t="shared" si="63"/>
        <v>0</v>
      </c>
      <c r="T117" s="304">
        <v>0</v>
      </c>
      <c r="U117" s="304">
        <v>0</v>
      </c>
      <c r="V117" s="304">
        <v>2.81999688092924e-5</v>
      </c>
      <c r="W117" s="304">
        <v>0</v>
      </c>
      <c r="X117" s="304">
        <f t="shared" si="64"/>
        <v>3.98546524518026e-5</v>
      </c>
      <c r="Y117" s="304">
        <f t="shared" si="84"/>
        <v>0</v>
      </c>
      <c r="Z117" s="304">
        <f t="shared" si="85"/>
        <v>2.43539226648349e-5</v>
      </c>
      <c r="AA117" s="304">
        <f t="shared" si="69"/>
        <v>1.85759364089161e-5</v>
      </c>
      <c r="AB117" s="304">
        <f t="shared" si="70"/>
        <v>0</v>
      </c>
      <c r="AC117" s="304">
        <f t="shared" si="65"/>
        <v>0</v>
      </c>
      <c r="AD117" s="304">
        <f t="shared" si="86"/>
        <v>0.000118526437670022</v>
      </c>
      <c r="AE117" s="304">
        <f t="shared" si="87"/>
        <v>2.88635601104021e-6</v>
      </c>
      <c r="AF117" s="303">
        <f t="shared" si="88"/>
        <v>-0.000115640081658982</v>
      </c>
      <c r="AG117" s="303">
        <f t="shared" si="89"/>
        <v>0</v>
      </c>
      <c r="AH117" s="303">
        <f t="shared" si="90"/>
        <v>9.68254441930189e-6</v>
      </c>
      <c r="AI117" s="303">
        <f t="shared" si="91"/>
        <v>0.000572684023197848</v>
      </c>
      <c r="AJ117" s="303">
        <f t="shared" si="92"/>
        <v>0</v>
      </c>
      <c r="AK117" s="303">
        <f t="shared" si="93"/>
        <v>-0.000572684023197848</v>
      </c>
      <c r="AL117" s="304">
        <f t="shared" si="94"/>
        <v>-0.000572684023197848</v>
      </c>
      <c r="AM117" s="304">
        <f t="shared" si="95"/>
        <v>0</v>
      </c>
      <c r="AN117" s="299">
        <v>2200</v>
      </c>
      <c r="AO117" s="299">
        <v>7700</v>
      </c>
      <c r="AP117" s="299">
        <v>4658.64</v>
      </c>
      <c r="AQ117" s="299">
        <v>11800</v>
      </c>
      <c r="AR117" s="300">
        <v>4382.28</v>
      </c>
      <c r="AS117" s="300">
        <v>11100</v>
      </c>
      <c r="AT117" s="300">
        <v>4263.84</v>
      </c>
      <c r="AU117" s="300">
        <v>10800</v>
      </c>
      <c r="AV117" s="300">
        <v>0</v>
      </c>
      <c r="AW117" s="300">
        <v>8900</v>
      </c>
      <c r="AX117" s="300">
        <v>0</v>
      </c>
      <c r="AY117" s="300">
        <v>13700</v>
      </c>
      <c r="AZ117" s="300">
        <v>0</v>
      </c>
      <c r="BA117" s="300">
        <v>6500</v>
      </c>
      <c r="BB117" s="300">
        <v>0</v>
      </c>
      <c r="BC117" s="300">
        <v>29000</v>
      </c>
      <c r="BD117" s="300">
        <v>0.117843705</v>
      </c>
      <c r="BE117" s="300">
        <v>10500</v>
      </c>
      <c r="BF117" s="300">
        <v>0</v>
      </c>
      <c r="BG117" s="300">
        <v>0</v>
      </c>
      <c r="BH117" s="300">
        <v>0</v>
      </c>
      <c r="BI117" s="300">
        <v>16400</v>
      </c>
      <c r="BJ117" s="300">
        <v>0</v>
      </c>
      <c r="BK117" s="300">
        <v>24800</v>
      </c>
      <c r="BL117" s="266">
        <v>0</v>
      </c>
      <c r="BM117" s="266">
        <v>33000</v>
      </c>
      <c r="BN117" s="266">
        <v>0</v>
      </c>
      <c r="BO117" s="266">
        <v>27300</v>
      </c>
      <c r="BP117" s="266">
        <v>0</v>
      </c>
      <c r="BQ117" s="266">
        <v>24100</v>
      </c>
      <c r="BR117" s="266">
        <v>0</v>
      </c>
      <c r="BS117" s="266">
        <v>12100</v>
      </c>
      <c r="BT117" s="266">
        <v>0</v>
      </c>
      <c r="BU117" s="266">
        <v>10600</v>
      </c>
      <c r="BV117" s="266">
        <v>3628.43</v>
      </c>
      <c r="BW117" s="266">
        <v>24700</v>
      </c>
      <c r="BX117" s="266">
        <v>0</v>
      </c>
      <c r="BY117" s="266">
        <v>6600</v>
      </c>
      <c r="BZ117" s="266">
        <v>0</v>
      </c>
      <c r="CA117" s="266">
        <v>6600</v>
      </c>
      <c r="CB117" s="266">
        <v>0</v>
      </c>
      <c r="CC117" s="266">
        <v>12800</v>
      </c>
      <c r="CD117" s="311">
        <v>3400</v>
      </c>
      <c r="CE117" s="311">
        <v>23500</v>
      </c>
      <c r="CF117" s="311">
        <v>2300</v>
      </c>
      <c r="CG117" s="311">
        <v>7600</v>
      </c>
      <c r="CH117" s="311">
        <v>0</v>
      </c>
      <c r="CI117" s="311">
        <v>13100</v>
      </c>
      <c r="CJ117" s="311">
        <v>0</v>
      </c>
      <c r="CK117" s="311">
        <v>6500</v>
      </c>
      <c r="CL117" s="311">
        <v>20600</v>
      </c>
      <c r="CM117" s="311">
        <v>20600</v>
      </c>
      <c r="CN117" s="311">
        <v>439</v>
      </c>
      <c r="CO117" s="311">
        <v>10700</v>
      </c>
      <c r="CP117" s="311">
        <v>0</v>
      </c>
      <c r="CQ117" s="311">
        <v>8900</v>
      </c>
      <c r="CR117" s="311">
        <v>1500</v>
      </c>
      <c r="CS117" s="258">
        <v>13400</v>
      </c>
      <c r="CT117" s="258">
        <v>88700</v>
      </c>
      <c r="CU117" s="258">
        <v>89600</v>
      </c>
      <c r="CV117" s="258">
        <v>0</v>
      </c>
      <c r="CW117" s="258">
        <v>4500</v>
      </c>
      <c r="CX117" s="266">
        <f t="shared" si="82"/>
        <v>-88700</v>
      </c>
      <c r="CY117" s="266">
        <f t="shared" si="83"/>
        <v>-85100</v>
      </c>
      <c r="DA117" s="301" t="s">
        <v>4967</v>
      </c>
      <c r="DB117" s="258">
        <v>0</v>
      </c>
      <c r="DC117" s="258">
        <f t="shared" si="96"/>
        <v>1</v>
      </c>
    </row>
    <row r="118" spans="1:107">
      <c r="A118" s="264" t="s">
        <v>4968</v>
      </c>
      <c r="B118" s="264" t="s">
        <v>4776</v>
      </c>
      <c r="C118" s="264"/>
      <c r="D118" s="265" t="s">
        <v>4969</v>
      </c>
      <c r="E118" s="306">
        <f t="shared" si="51"/>
        <v>1.17408263631581e-5</v>
      </c>
      <c r="F118" s="306">
        <f t="shared" si="52"/>
        <v>0</v>
      </c>
      <c r="G118" s="304">
        <f t="shared" si="53"/>
        <v>0</v>
      </c>
      <c r="H118" s="304">
        <f t="shared" si="54"/>
        <v>0</v>
      </c>
      <c r="I118" s="304">
        <f t="shared" si="68"/>
        <v>0</v>
      </c>
      <c r="J118" s="304">
        <f t="shared" si="55"/>
        <v>0</v>
      </c>
      <c r="K118" s="304">
        <f t="shared" si="56"/>
        <v>0</v>
      </c>
      <c r="L118" s="304">
        <f t="shared" si="57"/>
        <v>0</v>
      </c>
      <c r="M118" s="304">
        <f t="shared" si="58"/>
        <v>0</v>
      </c>
      <c r="N118" s="304">
        <f t="shared" si="59"/>
        <v>0</v>
      </c>
      <c r="O118" s="304">
        <f t="shared" si="60"/>
        <v>0</v>
      </c>
      <c r="P118" s="304">
        <f t="shared" si="61"/>
        <v>0</v>
      </c>
      <c r="Q118" s="304">
        <v>0</v>
      </c>
      <c r="R118" s="304">
        <f t="shared" si="62"/>
        <v>0</v>
      </c>
      <c r="S118" s="304">
        <f t="shared" si="63"/>
        <v>1.06419730545586e-5</v>
      </c>
      <c r="T118" s="304">
        <v>0</v>
      </c>
      <c r="U118" s="304">
        <v>0</v>
      </c>
      <c r="V118" s="304">
        <v>0</v>
      </c>
      <c r="W118" s="304">
        <v>0</v>
      </c>
      <c r="X118" s="304">
        <f t="shared" si="64"/>
        <v>0</v>
      </c>
      <c r="Y118" s="304">
        <f t="shared" si="84"/>
        <v>0</v>
      </c>
      <c r="Z118" s="304">
        <f t="shared" si="85"/>
        <v>0</v>
      </c>
      <c r="AA118" s="304">
        <f t="shared" si="69"/>
        <v>0</v>
      </c>
      <c r="AB118" s="304">
        <f t="shared" si="70"/>
        <v>3.13786236570332e-5</v>
      </c>
      <c r="AC118" s="304">
        <f t="shared" si="65"/>
        <v>0</v>
      </c>
      <c r="AD118" s="304">
        <f t="shared" si="86"/>
        <v>0</v>
      </c>
      <c r="AE118" s="304">
        <f t="shared" si="87"/>
        <v>0</v>
      </c>
      <c r="AF118" s="303">
        <f t="shared" si="88"/>
        <v>0</v>
      </c>
      <c r="AG118" s="303">
        <f t="shared" si="89"/>
        <v>0</v>
      </c>
      <c r="AH118" s="303">
        <f t="shared" si="90"/>
        <v>0</v>
      </c>
      <c r="AI118" s="303">
        <f t="shared" si="91"/>
        <v>0</v>
      </c>
      <c r="AJ118" s="303">
        <f t="shared" si="92"/>
        <v>0</v>
      </c>
      <c r="AK118" s="303">
        <f t="shared" si="93"/>
        <v>0</v>
      </c>
      <c r="AL118" s="304">
        <f t="shared" si="94"/>
        <v>0</v>
      </c>
      <c r="AM118" s="304">
        <f t="shared" si="95"/>
        <v>0</v>
      </c>
      <c r="AN118" s="299">
        <v>2200</v>
      </c>
      <c r="AO118" s="299">
        <v>2200</v>
      </c>
      <c r="AP118" s="299">
        <v>0</v>
      </c>
      <c r="AQ118" s="299">
        <v>0</v>
      </c>
      <c r="AR118" s="300">
        <v>0</v>
      </c>
      <c r="AS118" s="300">
        <v>0</v>
      </c>
      <c r="AT118" s="300">
        <v>0</v>
      </c>
      <c r="AU118" s="300">
        <v>0</v>
      </c>
      <c r="AV118" s="300">
        <v>0</v>
      </c>
      <c r="AW118" s="300">
        <v>245</v>
      </c>
      <c r="AX118" s="300">
        <v>0</v>
      </c>
      <c r="AY118" s="300">
        <v>0</v>
      </c>
      <c r="AZ118" s="300">
        <v>0</v>
      </c>
      <c r="BA118" s="300">
        <v>0</v>
      </c>
      <c r="BB118" s="300">
        <v>0</v>
      </c>
      <c r="BC118" s="300">
        <v>0</v>
      </c>
      <c r="BD118" s="300">
        <v>0</v>
      </c>
      <c r="BE118" s="300">
        <v>0</v>
      </c>
      <c r="BF118" s="300">
        <v>0</v>
      </c>
      <c r="BG118" s="300">
        <v>0</v>
      </c>
      <c r="BH118" s="300">
        <v>0</v>
      </c>
      <c r="BI118" s="300">
        <v>0</v>
      </c>
      <c r="BJ118" s="300">
        <v>0</v>
      </c>
      <c r="BK118" s="300">
        <v>0</v>
      </c>
      <c r="BL118" s="266">
        <v>0</v>
      </c>
      <c r="BM118" s="266">
        <v>456</v>
      </c>
      <c r="BN118" s="266">
        <v>0</v>
      </c>
      <c r="BO118" s="266">
        <v>248</v>
      </c>
      <c r="BP118" s="266">
        <v>1400</v>
      </c>
      <c r="BQ118" s="266">
        <v>1400</v>
      </c>
      <c r="BR118" s="266">
        <v>0</v>
      </c>
      <c r="BS118" s="266">
        <v>1400</v>
      </c>
      <c r="BT118" s="266">
        <v>0</v>
      </c>
      <c r="BU118" s="266">
        <v>0</v>
      </c>
      <c r="BV118" s="266">
        <v>0</v>
      </c>
      <c r="BW118" s="266">
        <v>0</v>
      </c>
      <c r="BX118" s="266">
        <v>0</v>
      </c>
      <c r="BY118" s="266">
        <v>0</v>
      </c>
      <c r="BZ118" s="266">
        <v>0</v>
      </c>
      <c r="CA118" s="266">
        <v>0</v>
      </c>
      <c r="CB118" s="266">
        <v>0</v>
      </c>
      <c r="CC118" s="266">
        <v>0</v>
      </c>
      <c r="CD118" s="311">
        <v>0</v>
      </c>
      <c r="CE118" s="311">
        <v>0</v>
      </c>
      <c r="CF118" s="311">
        <v>0</v>
      </c>
      <c r="CG118" s="311">
        <v>0</v>
      </c>
      <c r="CH118" s="311">
        <v>4100</v>
      </c>
      <c r="CI118" s="311">
        <v>4100</v>
      </c>
      <c r="CJ118" s="311">
        <v>0</v>
      </c>
      <c r="CK118" s="311">
        <v>0</v>
      </c>
      <c r="CL118" s="311">
        <v>0</v>
      </c>
      <c r="CM118" s="311">
        <v>0</v>
      </c>
      <c r="CN118" s="311">
        <v>0</v>
      </c>
      <c r="CO118" s="311">
        <v>0</v>
      </c>
      <c r="CP118" s="311">
        <v>0</v>
      </c>
      <c r="CQ118" s="311">
        <v>0</v>
      </c>
      <c r="CR118" s="311">
        <v>0</v>
      </c>
      <c r="CS118" s="258">
        <v>132</v>
      </c>
      <c r="CT118" s="258">
        <v>0</v>
      </c>
      <c r="CU118" s="258">
        <v>0</v>
      </c>
      <c r="CV118" s="258">
        <v>0</v>
      </c>
      <c r="CW118" s="258">
        <v>0</v>
      </c>
      <c r="CX118" s="266">
        <f t="shared" si="82"/>
        <v>0</v>
      </c>
      <c r="CY118" s="266">
        <f t="shared" si="83"/>
        <v>0</v>
      </c>
      <c r="CZ118" s="260" t="s">
        <v>4970</v>
      </c>
      <c r="DA118" s="301" t="s">
        <v>4969</v>
      </c>
      <c r="DB118" s="258">
        <v>0</v>
      </c>
      <c r="DC118" s="258">
        <f t="shared" si="96"/>
        <v>1</v>
      </c>
    </row>
    <row r="119" spans="1:107">
      <c r="A119" s="264" t="s">
        <v>4971</v>
      </c>
      <c r="B119" s="264" t="s">
        <v>4776</v>
      </c>
      <c r="C119" s="264"/>
      <c r="D119" s="258" t="s">
        <v>4972</v>
      </c>
      <c r="E119" s="306">
        <f t="shared" si="51"/>
        <v>1.17408263631581e-5</v>
      </c>
      <c r="F119" s="306">
        <f t="shared" si="52"/>
        <v>1.84663152066049e-5</v>
      </c>
      <c r="G119" s="304">
        <f t="shared" si="53"/>
        <v>2.16763896579264e-5</v>
      </c>
      <c r="H119" s="304">
        <f t="shared" si="54"/>
        <v>1.33566281645504e-5</v>
      </c>
      <c r="I119" s="304">
        <f t="shared" si="68"/>
        <v>8.28280113147673e-6</v>
      </c>
      <c r="J119" s="304">
        <f t="shared" si="55"/>
        <v>3.33159928221853e-5</v>
      </c>
      <c r="K119" s="304">
        <f t="shared" si="56"/>
        <v>3.41647441111742e-5</v>
      </c>
      <c r="L119" s="304">
        <f t="shared" si="57"/>
        <v>0</v>
      </c>
      <c r="M119" s="304">
        <f t="shared" si="58"/>
        <v>1.16425887671862e-5</v>
      </c>
      <c r="N119" s="304">
        <f t="shared" si="59"/>
        <v>1.29611226065688e-5</v>
      </c>
      <c r="O119" s="304">
        <f t="shared" si="60"/>
        <v>0</v>
      </c>
      <c r="P119" s="304">
        <f t="shared" si="61"/>
        <v>0</v>
      </c>
      <c r="Q119" s="304">
        <v>0</v>
      </c>
      <c r="R119" s="304">
        <f t="shared" si="62"/>
        <v>0</v>
      </c>
      <c r="S119" s="304">
        <f t="shared" si="63"/>
        <v>0</v>
      </c>
      <c r="T119" s="304">
        <v>0</v>
      </c>
      <c r="U119" s="304">
        <v>0</v>
      </c>
      <c r="V119" s="304">
        <v>0</v>
      </c>
      <c r="W119" s="304">
        <v>0</v>
      </c>
      <c r="X119" s="304">
        <f t="shared" si="64"/>
        <v>0</v>
      </c>
      <c r="Y119" s="304">
        <f t="shared" si="84"/>
        <v>1.40943595115043e-5</v>
      </c>
      <c r="Z119" s="304">
        <f t="shared" si="85"/>
        <v>0</v>
      </c>
      <c r="AA119" s="304">
        <f t="shared" si="69"/>
        <v>0</v>
      </c>
      <c r="AB119" s="304">
        <f t="shared" si="70"/>
        <v>0</v>
      </c>
      <c r="AC119" s="304">
        <f t="shared" si="65"/>
        <v>0</v>
      </c>
      <c r="AD119" s="304">
        <f t="shared" si="86"/>
        <v>1.09320500763612e-5</v>
      </c>
      <c r="AE119" s="304">
        <f t="shared" si="87"/>
        <v>0</v>
      </c>
      <c r="AF119" s="303">
        <f t="shared" si="88"/>
        <v>-1.09320500763612e-5</v>
      </c>
      <c r="AG119" s="303">
        <f t="shared" si="89"/>
        <v>2.71496104737918e-6</v>
      </c>
      <c r="AH119" s="303">
        <f t="shared" si="90"/>
        <v>0</v>
      </c>
      <c r="AI119" s="303">
        <f t="shared" si="91"/>
        <v>0</v>
      </c>
      <c r="AJ119" s="303">
        <f t="shared" si="92"/>
        <v>0</v>
      </c>
      <c r="AK119" s="303">
        <f t="shared" si="93"/>
        <v>0</v>
      </c>
      <c r="AL119" s="304">
        <f t="shared" si="94"/>
        <v>0</v>
      </c>
      <c r="AM119" s="304">
        <f t="shared" si="95"/>
        <v>0</v>
      </c>
      <c r="AN119" s="299">
        <v>2200</v>
      </c>
      <c r="AO119" s="299">
        <v>2400</v>
      </c>
      <c r="AP119" s="299">
        <v>3249</v>
      </c>
      <c r="AQ119" s="299">
        <v>3600</v>
      </c>
      <c r="AR119" s="300">
        <v>3848.04</v>
      </c>
      <c r="AS119" s="300">
        <v>4200</v>
      </c>
      <c r="AT119" s="300">
        <v>2261.28</v>
      </c>
      <c r="AU119" s="300">
        <v>2800</v>
      </c>
      <c r="AV119" s="300">
        <v>1402.28</v>
      </c>
      <c r="AW119" s="300">
        <v>2200</v>
      </c>
      <c r="AX119" s="300">
        <v>4700</v>
      </c>
      <c r="AY119" s="300">
        <v>4700</v>
      </c>
      <c r="AZ119" s="300">
        <v>4500</v>
      </c>
      <c r="BA119" s="300">
        <v>4500</v>
      </c>
      <c r="BB119" s="300">
        <v>0</v>
      </c>
      <c r="BC119" s="300">
        <v>0</v>
      </c>
      <c r="BD119" s="300">
        <v>1500</v>
      </c>
      <c r="BE119" s="300">
        <v>1500</v>
      </c>
      <c r="BF119" s="300">
        <v>1600</v>
      </c>
      <c r="BG119" s="300">
        <v>1600</v>
      </c>
      <c r="BH119" s="300">
        <v>0</v>
      </c>
      <c r="BI119" s="300">
        <v>0</v>
      </c>
      <c r="BJ119" s="300">
        <v>0</v>
      </c>
      <c r="BK119" s="300">
        <v>0</v>
      </c>
      <c r="BL119" s="266">
        <v>3298.72</v>
      </c>
      <c r="BM119" s="266">
        <v>5300</v>
      </c>
      <c r="BN119" s="266">
        <v>0</v>
      </c>
      <c r="BO119" s="266">
        <v>484</v>
      </c>
      <c r="BP119" s="266">
        <v>0</v>
      </c>
      <c r="BQ119" s="266">
        <v>0</v>
      </c>
      <c r="BR119" s="266">
        <v>0</v>
      </c>
      <c r="BS119" s="266">
        <v>0</v>
      </c>
      <c r="BT119" s="266">
        <v>0</v>
      </c>
      <c r="BU119" s="266">
        <v>688</v>
      </c>
      <c r="BV119" s="266">
        <v>0</v>
      </c>
      <c r="BW119" s="266">
        <v>0</v>
      </c>
      <c r="BX119" s="266">
        <v>0</v>
      </c>
      <c r="BY119" s="266">
        <v>0</v>
      </c>
      <c r="BZ119" s="266">
        <v>0</v>
      </c>
      <c r="CA119" s="266">
        <v>0</v>
      </c>
      <c r="CB119" s="266">
        <v>1900</v>
      </c>
      <c r="CC119" s="266">
        <v>2400</v>
      </c>
      <c r="CD119" s="311">
        <v>0</v>
      </c>
      <c r="CE119" s="311">
        <v>0</v>
      </c>
      <c r="CF119" s="311">
        <v>0</v>
      </c>
      <c r="CG119" s="311">
        <v>0</v>
      </c>
      <c r="CH119" s="311">
        <v>0</v>
      </c>
      <c r="CI119" s="311">
        <v>0</v>
      </c>
      <c r="CJ119" s="311">
        <v>0</v>
      </c>
      <c r="CK119" s="311">
        <v>0</v>
      </c>
      <c r="CL119" s="311">
        <v>1900</v>
      </c>
      <c r="CM119" s="311">
        <v>1900</v>
      </c>
      <c r="CN119" s="311">
        <v>0</v>
      </c>
      <c r="CO119" s="311">
        <v>0</v>
      </c>
      <c r="CP119" s="311">
        <v>432</v>
      </c>
      <c r="CQ119" s="311">
        <v>432</v>
      </c>
      <c r="CR119" s="311">
        <v>0</v>
      </c>
      <c r="CS119" s="258">
        <v>0</v>
      </c>
      <c r="CT119" s="258">
        <v>0</v>
      </c>
      <c r="CU119" s="258">
        <v>0</v>
      </c>
      <c r="CV119" s="258">
        <v>0</v>
      </c>
      <c r="CW119" s="258">
        <v>0</v>
      </c>
      <c r="CX119" s="266">
        <f t="shared" si="82"/>
        <v>0</v>
      </c>
      <c r="CY119" s="266">
        <f t="shared" si="83"/>
        <v>0</v>
      </c>
      <c r="CZ119" s="260" t="s">
        <v>4973</v>
      </c>
      <c r="DA119" s="301" t="s">
        <v>4972</v>
      </c>
      <c r="DB119" s="258">
        <v>0</v>
      </c>
      <c r="DC119" s="258">
        <f t="shared" si="96"/>
        <v>1</v>
      </c>
    </row>
    <row r="120" spans="1:107">
      <c r="A120" s="264" t="s">
        <v>4974</v>
      </c>
      <c r="B120" s="264" t="s">
        <v>4776</v>
      </c>
      <c r="C120" s="264"/>
      <c r="D120" s="265" t="s">
        <v>4975</v>
      </c>
      <c r="E120" s="306">
        <f t="shared" si="51"/>
        <v>1.120715243756e-5</v>
      </c>
      <c r="F120" s="306">
        <f t="shared" si="52"/>
        <v>1.56469766424054e-5</v>
      </c>
      <c r="G120" s="304">
        <f t="shared" si="53"/>
        <v>3.77417622239132e-5</v>
      </c>
      <c r="H120" s="304">
        <f t="shared" si="54"/>
        <v>3.43278952789927e-5</v>
      </c>
      <c r="I120" s="304">
        <f t="shared" si="68"/>
        <v>3.72120026872689e-5</v>
      </c>
      <c r="J120" s="304">
        <f t="shared" si="55"/>
        <v>5.23599814000753e-5</v>
      </c>
      <c r="K120" s="304">
        <f t="shared" si="56"/>
        <v>3.4901184150904e-5</v>
      </c>
      <c r="L120" s="304">
        <f t="shared" si="57"/>
        <v>0.000104502440997936</v>
      </c>
      <c r="M120" s="304">
        <f t="shared" si="58"/>
        <v>1.31949339361444e-5</v>
      </c>
      <c r="N120" s="304">
        <f t="shared" si="59"/>
        <v>9.31661694363424e-5</v>
      </c>
      <c r="O120" s="304">
        <f t="shared" si="60"/>
        <v>1.54492391794251e-5</v>
      </c>
      <c r="P120" s="304">
        <f t="shared" si="61"/>
        <v>2.58385734757108e-5</v>
      </c>
      <c r="Q120" s="304">
        <v>2.50252671780941e-5</v>
      </c>
      <c r="R120" s="304">
        <f t="shared" si="62"/>
        <v>8.62454879792541e-5</v>
      </c>
      <c r="S120" s="304">
        <f t="shared" si="63"/>
        <v>3.95273284883605e-5</v>
      </c>
      <c r="T120" s="304">
        <v>1.63189412235242e-5</v>
      </c>
      <c r="U120" s="304">
        <v>0</v>
      </c>
      <c r="V120" s="304">
        <v>2.01417800994265e-5</v>
      </c>
      <c r="W120" s="304">
        <v>0</v>
      </c>
      <c r="X120" s="304">
        <f t="shared" si="64"/>
        <v>6.64244207530043e-6</v>
      </c>
      <c r="Y120" s="304">
        <f t="shared" si="84"/>
        <v>3.04141442090357e-5</v>
      </c>
      <c r="Z120" s="304">
        <f t="shared" si="85"/>
        <v>3.72471758403357e-5</v>
      </c>
      <c r="AA120" s="304">
        <f t="shared" si="69"/>
        <v>0</v>
      </c>
      <c r="AB120" s="304">
        <f t="shared" si="70"/>
        <v>3.13786236570332e-5</v>
      </c>
      <c r="AC120" s="304">
        <f t="shared" si="65"/>
        <v>0</v>
      </c>
      <c r="AD120" s="304">
        <f t="shared" si="86"/>
        <v>2.84233301985392e-6</v>
      </c>
      <c r="AE120" s="304">
        <f t="shared" si="87"/>
        <v>0</v>
      </c>
      <c r="AF120" s="303">
        <f t="shared" si="88"/>
        <v>-2.84233301985392e-6</v>
      </c>
      <c r="AG120" s="303">
        <f t="shared" si="89"/>
        <v>2.71496104737918e-6</v>
      </c>
      <c r="AH120" s="303">
        <f t="shared" si="90"/>
        <v>0</v>
      </c>
      <c r="AI120" s="303">
        <f t="shared" si="91"/>
        <v>3.12490492928702e-6</v>
      </c>
      <c r="AJ120" s="303">
        <f t="shared" si="92"/>
        <v>0</v>
      </c>
      <c r="AK120" s="303">
        <f t="shared" si="93"/>
        <v>-3.12490492928702e-6</v>
      </c>
      <c r="AL120" s="304">
        <f t="shared" si="94"/>
        <v>-3.12490492928702e-6</v>
      </c>
      <c r="AM120" s="304">
        <f t="shared" si="95"/>
        <v>0</v>
      </c>
      <c r="AN120" s="299">
        <v>2100</v>
      </c>
      <c r="AO120" s="299">
        <v>2100</v>
      </c>
      <c r="AP120" s="299">
        <v>2752.96</v>
      </c>
      <c r="AQ120" s="299">
        <v>3200</v>
      </c>
      <c r="AR120" s="300">
        <v>6700</v>
      </c>
      <c r="AS120" s="300">
        <v>6700</v>
      </c>
      <c r="AT120" s="300">
        <v>5811.72</v>
      </c>
      <c r="AU120" s="300">
        <v>7600</v>
      </c>
      <c r="AV120" s="300">
        <v>6300</v>
      </c>
      <c r="AW120" s="300">
        <v>6300</v>
      </c>
      <c r="AX120" s="300">
        <v>7386.6</v>
      </c>
      <c r="AY120" s="300">
        <v>7800</v>
      </c>
      <c r="AZ120" s="300">
        <v>4597</v>
      </c>
      <c r="BA120" s="300">
        <v>5000</v>
      </c>
      <c r="BB120" s="300">
        <v>14344.26</v>
      </c>
      <c r="BC120" s="300">
        <v>14700</v>
      </c>
      <c r="BD120" s="300">
        <v>1700</v>
      </c>
      <c r="BE120" s="300">
        <v>1700</v>
      </c>
      <c r="BF120" s="300">
        <v>11501</v>
      </c>
      <c r="BG120" s="300">
        <v>12400</v>
      </c>
      <c r="BH120" s="300">
        <v>1800</v>
      </c>
      <c r="BI120" s="300">
        <v>1800</v>
      </c>
      <c r="BJ120" s="300">
        <v>2949.48</v>
      </c>
      <c r="BK120" s="300">
        <v>3600</v>
      </c>
      <c r="BL120" s="266">
        <v>3205.18</v>
      </c>
      <c r="BM120" s="266">
        <v>3400</v>
      </c>
      <c r="BN120" s="266">
        <v>10800</v>
      </c>
      <c r="BO120" s="266">
        <v>10800</v>
      </c>
      <c r="BP120" s="266">
        <v>5200</v>
      </c>
      <c r="BQ120" s="266">
        <v>5200</v>
      </c>
      <c r="BR120" s="266">
        <v>1975.16</v>
      </c>
      <c r="BS120" s="266">
        <v>2200</v>
      </c>
      <c r="BT120" s="266">
        <v>0</v>
      </c>
      <c r="BU120" s="266">
        <v>1100</v>
      </c>
      <c r="BV120" s="266">
        <v>2591.6</v>
      </c>
      <c r="BW120" s="266">
        <v>3100</v>
      </c>
      <c r="BX120" s="266">
        <v>0</v>
      </c>
      <c r="BY120" s="266">
        <v>1100</v>
      </c>
      <c r="BZ120" s="266">
        <v>0</v>
      </c>
      <c r="CA120" s="266">
        <v>1100</v>
      </c>
      <c r="CB120" s="266">
        <v>4100</v>
      </c>
      <c r="CC120" s="266">
        <v>4600</v>
      </c>
      <c r="CD120" s="311">
        <v>5200</v>
      </c>
      <c r="CE120" s="311">
        <v>5600</v>
      </c>
      <c r="CF120" s="311">
        <v>0</v>
      </c>
      <c r="CG120" s="311">
        <v>0</v>
      </c>
      <c r="CH120" s="311">
        <v>4100</v>
      </c>
      <c r="CI120" s="311">
        <v>4500</v>
      </c>
      <c r="CJ120" s="311">
        <v>0</v>
      </c>
      <c r="CK120" s="311">
        <v>727</v>
      </c>
      <c r="CL120" s="311">
        <v>494</v>
      </c>
      <c r="CM120" s="311">
        <v>494</v>
      </c>
      <c r="CN120" s="311">
        <v>0</v>
      </c>
      <c r="CO120" s="311">
        <v>164</v>
      </c>
      <c r="CP120" s="311">
        <v>432</v>
      </c>
      <c r="CQ120" s="311">
        <v>1300</v>
      </c>
      <c r="CR120" s="311">
        <v>0</v>
      </c>
      <c r="CS120" s="258">
        <v>0</v>
      </c>
      <c r="CT120" s="258">
        <v>484</v>
      </c>
      <c r="CU120" s="258">
        <v>484</v>
      </c>
      <c r="CV120" s="258">
        <v>0</v>
      </c>
      <c r="CW120" s="258">
        <v>114</v>
      </c>
      <c r="CX120" s="266">
        <f t="shared" si="82"/>
        <v>-484</v>
      </c>
      <c r="CY120" s="266">
        <f t="shared" si="83"/>
        <v>-370</v>
      </c>
      <c r="CZ120" s="260" t="s">
        <v>4951</v>
      </c>
      <c r="DA120" s="301" t="s">
        <v>4975</v>
      </c>
      <c r="DB120" s="258">
        <v>0</v>
      </c>
      <c r="DC120" s="258">
        <f t="shared" si="96"/>
        <v>1</v>
      </c>
    </row>
    <row r="121" spans="1:107">
      <c r="A121" s="264" t="s">
        <v>4976</v>
      </c>
      <c r="B121" s="264" t="s">
        <v>4776</v>
      </c>
      <c r="C121" s="264"/>
      <c r="D121" s="265" t="s">
        <v>4977</v>
      </c>
      <c r="E121" s="306">
        <f t="shared" si="51"/>
        <v>1.120715243756e-5</v>
      </c>
      <c r="F121" s="306">
        <f t="shared" si="52"/>
        <v>0</v>
      </c>
      <c r="G121" s="304">
        <f t="shared" si="53"/>
        <v>0</v>
      </c>
      <c r="H121" s="304">
        <f t="shared" si="54"/>
        <v>3.72774485586617e-5</v>
      </c>
      <c r="I121" s="304">
        <f t="shared" si="68"/>
        <v>3.66213359779471e-5</v>
      </c>
      <c r="J121" s="304">
        <f t="shared" si="55"/>
        <v>3.00697391896645e-5</v>
      </c>
      <c r="K121" s="304">
        <f t="shared" si="56"/>
        <v>3.64032181453384e-5</v>
      </c>
      <c r="L121" s="304">
        <f t="shared" si="57"/>
        <v>6.50632468958253e-5</v>
      </c>
      <c r="M121" s="304">
        <f t="shared" si="58"/>
        <v>1.06644227977795e-5</v>
      </c>
      <c r="N121" s="304">
        <f t="shared" si="59"/>
        <v>5.30978309823305e-5</v>
      </c>
      <c r="O121" s="304">
        <f t="shared" si="60"/>
        <v>1.50702178448899e-5</v>
      </c>
      <c r="P121" s="304">
        <f t="shared" si="61"/>
        <v>0</v>
      </c>
      <c r="Q121" s="304">
        <v>0</v>
      </c>
      <c r="R121" s="304">
        <f t="shared" si="62"/>
        <v>0.000112977276978424</v>
      </c>
      <c r="S121" s="304">
        <f t="shared" si="63"/>
        <v>5.52849740043387e-5</v>
      </c>
      <c r="T121" s="304">
        <v>5.70026906037348e-5</v>
      </c>
      <c r="U121" s="304">
        <v>1.65967976295904e-5</v>
      </c>
      <c r="V121" s="304">
        <v>1.74057435713349e-5</v>
      </c>
      <c r="W121" s="304">
        <v>2.40527488151907e-5</v>
      </c>
      <c r="X121" s="304">
        <f t="shared" si="64"/>
        <v>2.1135042966865e-5</v>
      </c>
      <c r="Y121" s="304">
        <f t="shared" si="84"/>
        <v>0.000193611991184349</v>
      </c>
      <c r="Z121" s="304">
        <f t="shared" si="85"/>
        <v>2.50702145079182e-5</v>
      </c>
      <c r="AA121" s="304">
        <f t="shared" si="69"/>
        <v>1.85759364089161e-5</v>
      </c>
      <c r="AB121" s="304">
        <f t="shared" si="70"/>
        <v>2.75519622354438e-5</v>
      </c>
      <c r="AC121" s="304">
        <f t="shared" si="65"/>
        <v>8.34856137686683e-6</v>
      </c>
      <c r="AD121" s="304">
        <f t="shared" si="86"/>
        <v>2.5316326492626e-5</v>
      </c>
      <c r="AE121" s="304">
        <f t="shared" si="87"/>
        <v>2.88635601104021e-6</v>
      </c>
      <c r="AF121" s="303">
        <f t="shared" si="88"/>
        <v>-2.24299704815858e-5</v>
      </c>
      <c r="AG121" s="303">
        <f t="shared" si="89"/>
        <v>2.32531386002384e-5</v>
      </c>
      <c r="AH121" s="303">
        <f t="shared" si="90"/>
        <v>6.45502961286793e-6</v>
      </c>
      <c r="AI121" s="303">
        <f t="shared" si="91"/>
        <v>6.24980985857403e-6</v>
      </c>
      <c r="AJ121" s="303">
        <f t="shared" si="92"/>
        <v>3.35541788263692e-6</v>
      </c>
      <c r="AK121" s="303">
        <f t="shared" si="93"/>
        <v>-2.89439197593711e-6</v>
      </c>
      <c r="AL121" s="304">
        <f t="shared" si="94"/>
        <v>-2.89439197593711e-6</v>
      </c>
      <c r="AM121" s="304">
        <f t="shared" si="95"/>
        <v>-0.772893772893773</v>
      </c>
      <c r="AN121" s="299">
        <v>2100</v>
      </c>
      <c r="AO121" s="299">
        <v>2100</v>
      </c>
      <c r="AP121" s="299">
        <v>0</v>
      </c>
      <c r="AQ121" s="299">
        <v>0</v>
      </c>
      <c r="AR121" s="300">
        <v>0</v>
      </c>
      <c r="AS121" s="300">
        <v>126</v>
      </c>
      <c r="AT121" s="300">
        <v>6311.08</v>
      </c>
      <c r="AU121" s="300">
        <v>6800</v>
      </c>
      <c r="AV121" s="300">
        <v>6200</v>
      </c>
      <c r="AW121" s="300">
        <v>6200</v>
      </c>
      <c r="AX121" s="300">
        <v>4242.04</v>
      </c>
      <c r="AY121" s="300">
        <v>6200</v>
      </c>
      <c r="AZ121" s="300">
        <v>4794.84</v>
      </c>
      <c r="BA121" s="300">
        <v>5700</v>
      </c>
      <c r="BB121" s="300">
        <v>8930.74</v>
      </c>
      <c r="BC121" s="300">
        <v>9100</v>
      </c>
      <c r="BD121" s="300">
        <v>1373.975712494</v>
      </c>
      <c r="BE121" s="300">
        <v>1400</v>
      </c>
      <c r="BF121" s="300">
        <v>6554.72</v>
      </c>
      <c r="BG121" s="300">
        <v>7100</v>
      </c>
      <c r="BH121" s="300">
        <v>1755.84</v>
      </c>
      <c r="BI121" s="300">
        <v>2400</v>
      </c>
      <c r="BJ121" s="300">
        <v>0</v>
      </c>
      <c r="BK121" s="300">
        <v>0</v>
      </c>
      <c r="BL121" s="266">
        <v>1723.2</v>
      </c>
      <c r="BM121" s="266">
        <v>2000</v>
      </c>
      <c r="BN121" s="266">
        <v>14147.46</v>
      </c>
      <c r="BO121" s="266">
        <v>14200</v>
      </c>
      <c r="BP121" s="266">
        <v>7272.99</v>
      </c>
      <c r="BQ121" s="266">
        <v>7300</v>
      </c>
      <c r="BR121" s="266">
        <v>6899.31</v>
      </c>
      <c r="BS121" s="266">
        <v>6900</v>
      </c>
      <c r="BT121" s="266">
        <v>1867.11</v>
      </c>
      <c r="BU121" s="266">
        <v>2100</v>
      </c>
      <c r="BV121" s="266">
        <v>2239.56</v>
      </c>
      <c r="BW121" s="266">
        <v>3600</v>
      </c>
      <c r="BX121" s="266">
        <v>3300</v>
      </c>
      <c r="BY121" s="266">
        <v>3500</v>
      </c>
      <c r="BZ121" s="266">
        <v>3300</v>
      </c>
      <c r="CA121" s="266">
        <v>3500</v>
      </c>
      <c r="CB121" s="266">
        <v>26100</v>
      </c>
      <c r="CC121" s="266">
        <v>27500</v>
      </c>
      <c r="CD121" s="311">
        <v>3500</v>
      </c>
      <c r="CE121" s="311">
        <v>5100</v>
      </c>
      <c r="CF121" s="311">
        <v>2300</v>
      </c>
      <c r="CG121" s="311">
        <v>4000</v>
      </c>
      <c r="CH121" s="311">
        <v>3600</v>
      </c>
      <c r="CI121" s="311">
        <v>4500</v>
      </c>
      <c r="CJ121" s="311">
        <v>1300</v>
      </c>
      <c r="CK121" s="311">
        <v>2300</v>
      </c>
      <c r="CL121" s="311">
        <v>4400</v>
      </c>
      <c r="CM121" s="311">
        <v>3500</v>
      </c>
      <c r="CN121" s="311">
        <v>439</v>
      </c>
      <c r="CO121" s="311">
        <v>439</v>
      </c>
      <c r="CP121" s="311">
        <v>3700</v>
      </c>
      <c r="CQ121" s="311">
        <v>4200</v>
      </c>
      <c r="CR121" s="311">
        <v>1000</v>
      </c>
      <c r="CS121" s="258">
        <v>1200</v>
      </c>
      <c r="CT121" s="258">
        <v>968</v>
      </c>
      <c r="CU121" s="258">
        <v>2500</v>
      </c>
      <c r="CV121" s="258">
        <v>546</v>
      </c>
      <c r="CW121" s="258">
        <v>2700</v>
      </c>
      <c r="CX121" s="266">
        <f t="shared" si="82"/>
        <v>-422</v>
      </c>
      <c r="CY121" s="266">
        <f t="shared" si="83"/>
        <v>200</v>
      </c>
      <c r="DA121" s="301" t="s">
        <v>4977</v>
      </c>
      <c r="DB121" s="258">
        <v>0</v>
      </c>
      <c r="DC121" s="258">
        <f t="shared" si="96"/>
        <v>1</v>
      </c>
    </row>
    <row r="122" spans="1:107">
      <c r="A122" s="309" t="s">
        <v>4978</v>
      </c>
      <c r="B122" s="264" t="s">
        <v>4776</v>
      </c>
      <c r="C122" s="264"/>
      <c r="D122" s="265" t="s">
        <v>4979</v>
      </c>
      <c r="E122" s="306">
        <f t="shared" si="51"/>
        <v>1.120715243756e-5</v>
      </c>
      <c r="F122" s="306">
        <f t="shared" si="52"/>
        <v>7.67440508086128e-6</v>
      </c>
      <c r="G122" s="304">
        <f t="shared" si="53"/>
        <v>2.65908966107708e-6</v>
      </c>
      <c r="H122" s="304">
        <f t="shared" si="54"/>
        <v>2.14663639501958e-5</v>
      </c>
      <c r="I122" s="304">
        <f t="shared" si="68"/>
        <v>0</v>
      </c>
      <c r="J122" s="304">
        <f t="shared" si="55"/>
        <v>2.02524376111509e-5</v>
      </c>
      <c r="K122" s="304">
        <f t="shared" si="56"/>
        <v>1.85362717216515e-5</v>
      </c>
      <c r="L122" s="304">
        <f t="shared" si="57"/>
        <v>6.4364002439368e-5</v>
      </c>
      <c r="M122" s="304">
        <f t="shared" si="58"/>
        <v>6.91499917238258e-5</v>
      </c>
      <c r="N122" s="304">
        <f t="shared" si="59"/>
        <v>9.15196208232105e-5</v>
      </c>
      <c r="O122" s="304">
        <f t="shared" si="60"/>
        <v>4.11979711451337e-5</v>
      </c>
      <c r="P122" s="304">
        <f t="shared" si="61"/>
        <v>5.60461249962996e-5</v>
      </c>
      <c r="Q122" s="304">
        <v>4.79650954246805e-5</v>
      </c>
      <c r="R122" s="304">
        <f t="shared" si="62"/>
        <v>0</v>
      </c>
      <c r="S122" s="304">
        <f t="shared" si="63"/>
        <v>1.40250562886028e-5</v>
      </c>
      <c r="T122" s="304">
        <v>0.000110291243194537</v>
      </c>
      <c r="U122" s="304">
        <v>4.53340552570074e-5</v>
      </c>
      <c r="V122" s="304">
        <v>1.84525472299211e-5</v>
      </c>
      <c r="W122" s="304">
        <v>1.53062947005759e-5</v>
      </c>
      <c r="X122" s="304">
        <f t="shared" si="64"/>
        <v>1.2681025780119e-5</v>
      </c>
      <c r="Y122" s="304">
        <f t="shared" si="84"/>
        <v>1.70615930928737e-5</v>
      </c>
      <c r="Z122" s="304">
        <f t="shared" si="85"/>
        <v>0.000185519587358595</v>
      </c>
      <c r="AA122" s="304">
        <f t="shared" si="69"/>
        <v>1.93835858179994e-5</v>
      </c>
      <c r="AB122" s="304">
        <f t="shared" si="70"/>
        <v>5.43385921865696e-5</v>
      </c>
      <c r="AC122" s="304">
        <f t="shared" si="65"/>
        <v>0</v>
      </c>
      <c r="AD122" s="304">
        <f t="shared" si="86"/>
        <v>0</v>
      </c>
      <c r="AE122" s="304">
        <f t="shared" si="87"/>
        <v>1.18347171295498e-5</v>
      </c>
      <c r="AF122" s="303">
        <f t="shared" si="88"/>
        <v>1.18347171295498e-5</v>
      </c>
      <c r="AG122" s="303">
        <f t="shared" si="89"/>
        <v>0</v>
      </c>
      <c r="AH122" s="303">
        <f t="shared" si="90"/>
        <v>0</v>
      </c>
      <c r="AI122" s="303">
        <f t="shared" si="91"/>
        <v>0</v>
      </c>
      <c r="AJ122" s="303">
        <f t="shared" si="92"/>
        <v>2.02799981917616e-5</v>
      </c>
      <c r="AK122" s="303">
        <f t="shared" si="93"/>
        <v>2.02799981917616e-5</v>
      </c>
      <c r="AL122" s="304">
        <f t="shared" si="94"/>
        <v>2.02799981917616e-5</v>
      </c>
      <c r="AM122" s="304">
        <f t="shared" si="95"/>
        <v>1</v>
      </c>
      <c r="AN122" s="299">
        <v>2100</v>
      </c>
      <c r="AO122" s="299">
        <v>2100</v>
      </c>
      <c r="AP122" s="299">
        <v>1350.25</v>
      </c>
      <c r="AQ122" s="299">
        <v>2500</v>
      </c>
      <c r="AR122" s="300">
        <v>472.0474</v>
      </c>
      <c r="AS122" s="300">
        <v>874</v>
      </c>
      <c r="AT122" s="300">
        <v>3634.26</v>
      </c>
      <c r="AU122" s="300">
        <v>4200</v>
      </c>
      <c r="AV122" s="300">
        <v>0</v>
      </c>
      <c r="AW122" s="300">
        <v>3700</v>
      </c>
      <c r="AX122" s="300">
        <v>2857.08</v>
      </c>
      <c r="AY122" s="300">
        <v>2900</v>
      </c>
      <c r="AZ122" s="300">
        <v>2441.5</v>
      </c>
      <c r="BA122" s="300">
        <v>2500</v>
      </c>
      <c r="BB122" s="300">
        <v>8834.76</v>
      </c>
      <c r="BC122" s="300">
        <v>9700</v>
      </c>
      <c r="BD122" s="300">
        <v>8909.1</v>
      </c>
      <c r="BE122" s="300">
        <v>9000</v>
      </c>
      <c r="BF122" s="300">
        <v>11297.74</v>
      </c>
      <c r="BG122" s="300">
        <v>11300</v>
      </c>
      <c r="BH122" s="300">
        <v>4800</v>
      </c>
      <c r="BI122" s="300">
        <v>4800</v>
      </c>
      <c r="BJ122" s="300">
        <v>6397.68</v>
      </c>
      <c r="BK122" s="300">
        <v>6900</v>
      </c>
      <c r="BL122" s="266">
        <v>0</v>
      </c>
      <c r="BM122" s="266">
        <v>0</v>
      </c>
      <c r="BN122" s="266">
        <v>0</v>
      </c>
      <c r="BO122" s="266">
        <v>0</v>
      </c>
      <c r="BP122" s="266">
        <v>1845.06</v>
      </c>
      <c r="BQ122" s="266">
        <v>2100</v>
      </c>
      <c r="BR122" s="266">
        <v>13349.08</v>
      </c>
      <c r="BS122" s="266">
        <v>13400</v>
      </c>
      <c r="BT122" s="266">
        <v>5100</v>
      </c>
      <c r="BU122" s="266">
        <v>5100</v>
      </c>
      <c r="BV122" s="266">
        <v>2374.25</v>
      </c>
      <c r="BW122" s="266">
        <v>2500</v>
      </c>
      <c r="BX122" s="266">
        <v>2100</v>
      </c>
      <c r="BY122" s="266">
        <v>2100</v>
      </c>
      <c r="BZ122" s="266">
        <v>2100</v>
      </c>
      <c r="CA122" s="266">
        <v>2100</v>
      </c>
      <c r="CB122" s="266">
        <v>2300</v>
      </c>
      <c r="CC122" s="266">
        <v>3300</v>
      </c>
      <c r="CD122" s="311">
        <v>25900</v>
      </c>
      <c r="CE122" s="311">
        <v>25900</v>
      </c>
      <c r="CF122" s="311">
        <v>2400</v>
      </c>
      <c r="CG122" s="311">
        <v>2700</v>
      </c>
      <c r="CH122" s="311">
        <v>7100</v>
      </c>
      <c r="CI122" s="311">
        <v>11700</v>
      </c>
      <c r="CJ122" s="311">
        <v>0</v>
      </c>
      <c r="CK122" s="311">
        <v>0</v>
      </c>
      <c r="CL122" s="311">
        <v>0</v>
      </c>
      <c r="CM122" s="311">
        <v>0</v>
      </c>
      <c r="CN122" s="311">
        <v>1800</v>
      </c>
      <c r="CO122" s="311">
        <v>2300</v>
      </c>
      <c r="CP122" s="311">
        <v>0</v>
      </c>
      <c r="CQ122" s="311">
        <v>26300</v>
      </c>
      <c r="CR122" s="311">
        <v>0</v>
      </c>
      <c r="CS122" s="258">
        <v>0</v>
      </c>
      <c r="CT122" s="258">
        <v>0</v>
      </c>
      <c r="CU122" s="258">
        <v>22200</v>
      </c>
      <c r="CV122" s="258">
        <v>3300</v>
      </c>
      <c r="CW122" s="258">
        <v>12200</v>
      </c>
      <c r="CX122" s="266">
        <f t="shared" si="82"/>
        <v>3300</v>
      </c>
      <c r="CY122" s="266">
        <f t="shared" si="83"/>
        <v>-10000</v>
      </c>
      <c r="CZ122" s="260" t="s">
        <v>4980</v>
      </c>
      <c r="DA122" s="301" t="s">
        <v>4979</v>
      </c>
      <c r="DB122" s="258">
        <v>0</v>
      </c>
      <c r="DC122" s="258">
        <f t="shared" si="96"/>
        <v>1</v>
      </c>
    </row>
    <row r="123" spans="1:107">
      <c r="A123" s="264" t="s">
        <v>4981</v>
      </c>
      <c r="B123" s="264" t="s">
        <v>4776</v>
      </c>
      <c r="C123" s="264"/>
      <c r="D123" s="265" t="s">
        <v>4982</v>
      </c>
      <c r="E123" s="306">
        <f t="shared" si="51"/>
        <v>1.120715243756e-5</v>
      </c>
      <c r="F123" s="306">
        <f t="shared" si="52"/>
        <v>0</v>
      </c>
      <c r="G123" s="304">
        <f t="shared" si="53"/>
        <v>0</v>
      </c>
      <c r="H123" s="304">
        <f t="shared" si="54"/>
        <v>8.04842458121787e-6</v>
      </c>
      <c r="I123" s="304">
        <f t="shared" si="68"/>
        <v>0</v>
      </c>
      <c r="J123" s="304">
        <f t="shared" si="55"/>
        <v>9.92391275554456e-6</v>
      </c>
      <c r="K123" s="304">
        <f t="shared" si="56"/>
        <v>0</v>
      </c>
      <c r="L123" s="304">
        <f t="shared" si="57"/>
        <v>4.29833537518021e-5</v>
      </c>
      <c r="M123" s="304">
        <f t="shared" si="58"/>
        <v>0</v>
      </c>
      <c r="N123" s="304">
        <f t="shared" si="59"/>
        <v>1.23342903145086e-5</v>
      </c>
      <c r="O123" s="304">
        <f t="shared" si="60"/>
        <v>2.57487319657085e-5</v>
      </c>
      <c r="P123" s="304">
        <f t="shared" si="61"/>
        <v>6.04466404187873e-5</v>
      </c>
      <c r="Q123" s="304">
        <v>4.79650954246805e-5</v>
      </c>
      <c r="R123" s="304">
        <f t="shared" si="62"/>
        <v>3.33770038479713e-5</v>
      </c>
      <c r="S123" s="304">
        <f t="shared" si="63"/>
        <v>1.23553307163425e-6</v>
      </c>
      <c r="T123" s="304">
        <v>0</v>
      </c>
      <c r="U123" s="304">
        <v>0</v>
      </c>
      <c r="V123" s="304">
        <v>1.6755231534631e-5</v>
      </c>
      <c r="W123" s="304">
        <v>1.31196811719222e-5</v>
      </c>
      <c r="X123" s="304">
        <f t="shared" si="64"/>
        <v>1.14733090391553e-5</v>
      </c>
      <c r="Y123" s="304">
        <f t="shared" si="84"/>
        <v>3.26395693950627e-5</v>
      </c>
      <c r="Z123" s="304">
        <f t="shared" si="85"/>
        <v>0</v>
      </c>
      <c r="AA123" s="304">
        <f t="shared" si="69"/>
        <v>4.4420717499582e-5</v>
      </c>
      <c r="AB123" s="304">
        <f t="shared" si="70"/>
        <v>1.60719779706755e-5</v>
      </c>
      <c r="AC123" s="304">
        <f t="shared" si="65"/>
        <v>0</v>
      </c>
      <c r="AD123" s="304">
        <f t="shared" si="86"/>
        <v>7.47982373645769e-6</v>
      </c>
      <c r="AE123" s="304">
        <f t="shared" si="87"/>
        <v>8.54729570467489e-6</v>
      </c>
      <c r="AF123" s="303">
        <f t="shared" si="88"/>
        <v>1.0674719682172e-6</v>
      </c>
      <c r="AG123" s="303">
        <f t="shared" si="89"/>
        <v>0</v>
      </c>
      <c r="AH123" s="303">
        <f t="shared" si="90"/>
        <v>3.31143019140125e-6</v>
      </c>
      <c r="AI123" s="303">
        <f t="shared" si="91"/>
        <v>3.12490492928702e-6</v>
      </c>
      <c r="AJ123" s="303">
        <f t="shared" si="92"/>
        <v>0.000273472702888907</v>
      </c>
      <c r="AK123" s="303">
        <f t="shared" si="93"/>
        <v>0.00027034779795962</v>
      </c>
      <c r="AL123" s="304">
        <f t="shared" si="94"/>
        <v>0.00027034779795962</v>
      </c>
      <c r="AM123" s="304">
        <f t="shared" si="95"/>
        <v>0.989123595505618</v>
      </c>
      <c r="AN123" s="299">
        <v>2100</v>
      </c>
      <c r="AO123" s="299">
        <v>2100</v>
      </c>
      <c r="AP123" s="299">
        <v>0</v>
      </c>
      <c r="AQ123" s="299">
        <v>353</v>
      </c>
      <c r="AR123" s="300">
        <v>0</v>
      </c>
      <c r="AS123" s="300">
        <v>0</v>
      </c>
      <c r="AT123" s="300">
        <v>1362.6</v>
      </c>
      <c r="AU123" s="300">
        <v>1500</v>
      </c>
      <c r="AV123" s="300">
        <v>0</v>
      </c>
      <c r="AW123" s="300">
        <v>1</v>
      </c>
      <c r="AX123" s="300">
        <v>1400</v>
      </c>
      <c r="AY123" s="300">
        <v>1400</v>
      </c>
      <c r="AZ123" s="300">
        <v>0</v>
      </c>
      <c r="BA123" s="300">
        <v>0</v>
      </c>
      <c r="BB123" s="300">
        <v>5900</v>
      </c>
      <c r="BC123" s="300">
        <v>5900</v>
      </c>
      <c r="BD123" s="300">
        <v>0</v>
      </c>
      <c r="BE123" s="300">
        <v>0</v>
      </c>
      <c r="BF123" s="300">
        <v>1522.62</v>
      </c>
      <c r="BG123" s="300">
        <v>1800</v>
      </c>
      <c r="BH123" s="300">
        <v>3000</v>
      </c>
      <c r="BI123" s="300">
        <v>3000</v>
      </c>
      <c r="BJ123" s="300">
        <v>6900</v>
      </c>
      <c r="BK123" s="300">
        <v>6900</v>
      </c>
      <c r="BL123" s="266">
        <v>0</v>
      </c>
      <c r="BM123" s="266">
        <v>227</v>
      </c>
      <c r="BN123" s="266">
        <v>4179.6</v>
      </c>
      <c r="BO123" s="266">
        <v>4500</v>
      </c>
      <c r="BP123" s="266">
        <v>162.54</v>
      </c>
      <c r="BQ123" s="266">
        <v>175</v>
      </c>
      <c r="BR123" s="266">
        <v>0</v>
      </c>
      <c r="BS123" s="266">
        <v>472</v>
      </c>
      <c r="BT123" s="266">
        <v>0</v>
      </c>
      <c r="BU123" s="266">
        <v>0</v>
      </c>
      <c r="BV123" s="266">
        <v>2155.86</v>
      </c>
      <c r="BW123" s="266">
        <v>2900</v>
      </c>
      <c r="BX123" s="266">
        <v>1800</v>
      </c>
      <c r="BY123" s="266">
        <v>1900</v>
      </c>
      <c r="BZ123" s="266">
        <v>1800</v>
      </c>
      <c r="CA123" s="266">
        <v>1900</v>
      </c>
      <c r="CB123" s="266">
        <v>4400</v>
      </c>
      <c r="CC123" s="266">
        <v>4400</v>
      </c>
      <c r="CD123" s="311">
        <v>0</v>
      </c>
      <c r="CE123" s="311">
        <v>868</v>
      </c>
      <c r="CF123" s="311">
        <v>5500</v>
      </c>
      <c r="CG123" s="311">
        <v>6100</v>
      </c>
      <c r="CH123" s="311">
        <v>2100</v>
      </c>
      <c r="CI123" s="311">
        <v>3200</v>
      </c>
      <c r="CJ123" s="311">
        <v>0</v>
      </c>
      <c r="CK123" s="311">
        <v>943</v>
      </c>
      <c r="CL123" s="311">
        <v>1300</v>
      </c>
      <c r="CM123" s="311">
        <v>1300</v>
      </c>
      <c r="CN123" s="311">
        <v>1300</v>
      </c>
      <c r="CO123" s="311">
        <v>2100</v>
      </c>
      <c r="CP123" s="311">
        <v>0</v>
      </c>
      <c r="CQ123" s="311">
        <v>2100</v>
      </c>
      <c r="CR123" s="311">
        <v>513</v>
      </c>
      <c r="CS123" s="258">
        <v>1500</v>
      </c>
      <c r="CT123" s="258">
        <v>484</v>
      </c>
      <c r="CU123" s="258">
        <v>484</v>
      </c>
      <c r="CV123" s="258">
        <v>44500</v>
      </c>
      <c r="CW123" s="258">
        <v>44700</v>
      </c>
      <c r="CX123" s="266">
        <f t="shared" si="82"/>
        <v>44016</v>
      </c>
      <c r="CY123" s="266">
        <f t="shared" si="83"/>
        <v>44216</v>
      </c>
      <c r="DA123" s="301" t="s">
        <v>4982</v>
      </c>
      <c r="DB123" s="258">
        <v>44500</v>
      </c>
      <c r="DC123" s="258">
        <f t="shared" si="96"/>
        <v>1</v>
      </c>
    </row>
    <row r="124" spans="1:107">
      <c r="A124" s="264" t="s">
        <v>4983</v>
      </c>
      <c r="B124" s="264" t="s">
        <v>4776</v>
      </c>
      <c r="C124" s="264"/>
      <c r="D124" s="265" t="s">
        <v>4984</v>
      </c>
      <c r="E124" s="306">
        <f t="shared" si="51"/>
        <v>1.120715243756e-5</v>
      </c>
      <c r="F124" s="306">
        <f t="shared" si="52"/>
        <v>1.32407288104976e-5</v>
      </c>
      <c r="G124" s="304">
        <f t="shared" si="53"/>
        <v>3.28071676406075e-6</v>
      </c>
      <c r="H124" s="304">
        <f t="shared" si="54"/>
        <v>8.99703531638856e-6</v>
      </c>
      <c r="I124" s="304">
        <f t="shared" si="68"/>
        <v>0</v>
      </c>
      <c r="J124" s="304">
        <f t="shared" si="55"/>
        <v>0</v>
      </c>
      <c r="K124" s="304">
        <f t="shared" si="56"/>
        <v>0</v>
      </c>
      <c r="L124" s="304">
        <f t="shared" si="57"/>
        <v>3.6305343347895e-5</v>
      </c>
      <c r="M124" s="304">
        <f t="shared" si="58"/>
        <v>2.1340957020168e-5</v>
      </c>
      <c r="N124" s="304">
        <f t="shared" si="59"/>
        <v>0.000120887499474288</v>
      </c>
      <c r="O124" s="304">
        <f t="shared" si="60"/>
        <v>1.40457616290809e-5</v>
      </c>
      <c r="P124" s="304">
        <f t="shared" si="61"/>
        <v>6.0011424607772e-5</v>
      </c>
      <c r="Q124" s="304">
        <v>6.39534605662406e-5</v>
      </c>
      <c r="R124" s="304">
        <f t="shared" si="62"/>
        <v>4.42726838293505e-5</v>
      </c>
      <c r="S124" s="304">
        <f t="shared" si="63"/>
        <v>1.63886385040203e-5</v>
      </c>
      <c r="T124" s="304">
        <v>0</v>
      </c>
      <c r="U124" s="304">
        <v>0</v>
      </c>
      <c r="V124" s="304">
        <v>1.78093408242147e-5</v>
      </c>
      <c r="W124" s="304">
        <v>3.79013011633309e-5</v>
      </c>
      <c r="X124" s="304">
        <f t="shared" si="64"/>
        <v>6.58205623825225e-5</v>
      </c>
      <c r="Y124" s="304">
        <f t="shared" si="84"/>
        <v>2.59632938369817e-5</v>
      </c>
      <c r="Z124" s="304">
        <f t="shared" si="85"/>
        <v>1.71910042340011e-5</v>
      </c>
      <c r="AA124" s="304">
        <f t="shared" si="69"/>
        <v>0</v>
      </c>
      <c r="AB124" s="304">
        <f t="shared" si="70"/>
        <v>0.000143117137167444</v>
      </c>
      <c r="AC124" s="304">
        <f t="shared" si="65"/>
        <v>7.51370523918015e-5</v>
      </c>
      <c r="AD124" s="304">
        <f t="shared" si="86"/>
        <v>0.000605290351596422</v>
      </c>
      <c r="AE124" s="304">
        <f t="shared" si="87"/>
        <v>5.58861642228743e-5</v>
      </c>
      <c r="AF124" s="303">
        <f t="shared" si="88"/>
        <v>-0.000549404187373548</v>
      </c>
      <c r="AG124" s="303">
        <f t="shared" si="89"/>
        <v>0.000329314719635808</v>
      </c>
      <c r="AH124" s="303">
        <f t="shared" si="90"/>
        <v>0</v>
      </c>
      <c r="AI124" s="303">
        <f t="shared" si="91"/>
        <v>0</v>
      </c>
      <c r="AJ124" s="303">
        <f t="shared" si="92"/>
        <v>8.60363559650493e-5</v>
      </c>
      <c r="AK124" s="303">
        <f t="shared" si="93"/>
        <v>8.60363559650493e-5</v>
      </c>
      <c r="AL124" s="304">
        <f t="shared" si="94"/>
        <v>8.60363559650493e-5</v>
      </c>
      <c r="AM124" s="304">
        <f t="shared" si="95"/>
        <v>1</v>
      </c>
      <c r="AN124" s="299">
        <v>2100</v>
      </c>
      <c r="AO124" s="299">
        <v>3700</v>
      </c>
      <c r="AP124" s="299">
        <v>2329.6</v>
      </c>
      <c r="AQ124" s="299">
        <v>5200</v>
      </c>
      <c r="AR124" s="300">
        <v>582.4</v>
      </c>
      <c r="AS124" s="300">
        <v>1300</v>
      </c>
      <c r="AT124" s="300">
        <v>1523.2</v>
      </c>
      <c r="AU124" s="300">
        <v>3400</v>
      </c>
      <c r="AV124" s="300">
        <v>0</v>
      </c>
      <c r="AW124" s="300">
        <v>3700</v>
      </c>
      <c r="AX124" s="300">
        <v>0</v>
      </c>
      <c r="AY124" s="300">
        <v>2800</v>
      </c>
      <c r="AZ124" s="300">
        <v>0</v>
      </c>
      <c r="BA124" s="300">
        <v>1000</v>
      </c>
      <c r="BB124" s="300">
        <v>4983.36</v>
      </c>
      <c r="BC124" s="300">
        <v>11600</v>
      </c>
      <c r="BD124" s="300">
        <v>2749.511828544</v>
      </c>
      <c r="BE124" s="300">
        <v>6400</v>
      </c>
      <c r="BF124" s="300">
        <v>14923.09</v>
      </c>
      <c r="BG124" s="300">
        <v>29900</v>
      </c>
      <c r="BH124" s="300">
        <v>1636.48</v>
      </c>
      <c r="BI124" s="300">
        <v>3200</v>
      </c>
      <c r="BJ124" s="300">
        <v>6850.32</v>
      </c>
      <c r="BK124" s="300">
        <v>9200</v>
      </c>
      <c r="BL124" s="266">
        <v>7325.44</v>
      </c>
      <c r="BM124" s="266">
        <v>11800</v>
      </c>
      <c r="BN124" s="266">
        <v>5544</v>
      </c>
      <c r="BO124" s="266">
        <v>9000</v>
      </c>
      <c r="BP124" s="266">
        <v>2156</v>
      </c>
      <c r="BQ124" s="266">
        <v>3500</v>
      </c>
      <c r="BR124" s="266">
        <v>0</v>
      </c>
      <c r="BS124" s="266">
        <v>2600</v>
      </c>
      <c r="BT124" s="266">
        <v>0</v>
      </c>
      <c r="BU124" s="266">
        <v>1300</v>
      </c>
      <c r="BV124" s="266">
        <v>2291.49</v>
      </c>
      <c r="BW124" s="266">
        <v>20700</v>
      </c>
      <c r="BX124" s="266">
        <v>5200</v>
      </c>
      <c r="BY124" s="266">
        <v>10900</v>
      </c>
      <c r="BZ124" s="266">
        <v>5200</v>
      </c>
      <c r="CA124" s="266">
        <v>10900</v>
      </c>
      <c r="CB124" s="266">
        <v>3500</v>
      </c>
      <c r="CC124" s="266">
        <v>8100</v>
      </c>
      <c r="CD124" s="311">
        <v>2400</v>
      </c>
      <c r="CE124" s="311">
        <v>37200</v>
      </c>
      <c r="CF124" s="311">
        <v>0</v>
      </c>
      <c r="CG124" s="311">
        <v>75900</v>
      </c>
      <c r="CH124" s="311">
        <v>18700</v>
      </c>
      <c r="CI124" s="311">
        <v>67000</v>
      </c>
      <c r="CJ124" s="311">
        <v>11700</v>
      </c>
      <c r="CK124" s="311">
        <v>63700</v>
      </c>
      <c r="CL124" s="311">
        <v>105200</v>
      </c>
      <c r="CM124" s="311">
        <v>0</v>
      </c>
      <c r="CN124" s="311">
        <v>8500</v>
      </c>
      <c r="CO124" s="311">
        <v>150800</v>
      </c>
      <c r="CP124" s="311">
        <v>52400</v>
      </c>
      <c r="CQ124" s="311">
        <v>100800</v>
      </c>
      <c r="CR124" s="311">
        <v>0</v>
      </c>
      <c r="CS124" s="258">
        <v>58700</v>
      </c>
      <c r="CT124" s="258">
        <v>0</v>
      </c>
      <c r="CU124" s="258">
        <v>43700</v>
      </c>
      <c r="CV124" s="258">
        <v>14000</v>
      </c>
      <c r="CW124" s="258">
        <v>108500</v>
      </c>
      <c r="CX124" s="266">
        <f t="shared" si="82"/>
        <v>14000</v>
      </c>
      <c r="CY124" s="266">
        <f t="shared" si="83"/>
        <v>64800</v>
      </c>
      <c r="CZ124" s="260" t="s">
        <v>4980</v>
      </c>
      <c r="DA124" s="301" t="s">
        <v>4984</v>
      </c>
      <c r="DB124" s="258">
        <v>0</v>
      </c>
      <c r="DC124" s="258">
        <f t="shared" si="96"/>
        <v>1</v>
      </c>
    </row>
    <row r="125" spans="1:107">
      <c r="A125" s="309" t="s">
        <v>4985</v>
      </c>
      <c r="B125" s="264" t="s">
        <v>4776</v>
      </c>
      <c r="C125" s="264"/>
      <c r="D125" s="265" t="s">
        <v>4986</v>
      </c>
      <c r="E125" s="306">
        <f t="shared" si="51"/>
        <v>1.120715243756e-5</v>
      </c>
      <c r="F125" s="306">
        <f t="shared" si="52"/>
        <v>0</v>
      </c>
      <c r="G125" s="304">
        <f t="shared" si="53"/>
        <v>7.32302849120704e-6</v>
      </c>
      <c r="H125" s="304">
        <f t="shared" si="54"/>
        <v>0</v>
      </c>
      <c r="I125" s="304">
        <f t="shared" si="68"/>
        <v>8.26933393050419e-6</v>
      </c>
      <c r="J125" s="304">
        <f t="shared" si="55"/>
        <v>0</v>
      </c>
      <c r="K125" s="304">
        <f t="shared" si="56"/>
        <v>0</v>
      </c>
      <c r="L125" s="304">
        <f t="shared" si="57"/>
        <v>3.84279924918145e-5</v>
      </c>
      <c r="M125" s="304">
        <f t="shared" si="58"/>
        <v>1.53909340608417e-6</v>
      </c>
      <c r="N125" s="304">
        <f t="shared" si="59"/>
        <v>0</v>
      </c>
      <c r="O125" s="304">
        <f t="shared" si="60"/>
        <v>3.89519950848715e-5</v>
      </c>
      <c r="P125" s="304">
        <f t="shared" si="61"/>
        <v>4.80916975324939e-5</v>
      </c>
      <c r="Q125" s="304">
        <v>3.89281933881465e-5</v>
      </c>
      <c r="R125" s="304">
        <f t="shared" si="62"/>
        <v>0</v>
      </c>
      <c r="S125" s="304">
        <f t="shared" si="63"/>
        <v>2.06989416474895e-6</v>
      </c>
      <c r="T125" s="304">
        <v>4.31816257548375e-5</v>
      </c>
      <c r="U125" s="304">
        <v>4.00321041592438e-5</v>
      </c>
      <c r="V125" s="304">
        <v>3.57509602011738e-5</v>
      </c>
      <c r="W125" s="304">
        <v>6.19540499785216e-5</v>
      </c>
      <c r="X125" s="304">
        <f t="shared" si="64"/>
        <v>5.37433949728853e-5</v>
      </c>
      <c r="Y125" s="304">
        <f t="shared" si="84"/>
        <v>1.63197846975313e-5</v>
      </c>
      <c r="Z125" s="304">
        <f t="shared" si="85"/>
        <v>1.57584205478343e-5</v>
      </c>
      <c r="AA125" s="304">
        <f t="shared" si="69"/>
        <v>3.87671716359989e-5</v>
      </c>
      <c r="AB125" s="304">
        <f t="shared" si="70"/>
        <v>1.76026425393113e-5</v>
      </c>
      <c r="AC125" s="304">
        <f t="shared" si="65"/>
        <v>0.000243392673987118</v>
      </c>
      <c r="AD125" s="304">
        <f t="shared" si="86"/>
        <v>0.000215188775187321</v>
      </c>
      <c r="AE125" s="304">
        <f t="shared" si="87"/>
        <v>8.54729570467489e-6</v>
      </c>
      <c r="AF125" s="303">
        <f t="shared" si="88"/>
        <v>-0.000206641479482646</v>
      </c>
      <c r="AG125" s="303">
        <f t="shared" si="89"/>
        <v>2.71496104737918e-6</v>
      </c>
      <c r="AH125" s="303">
        <f t="shared" si="90"/>
        <v>0</v>
      </c>
      <c r="AI125" s="303">
        <f t="shared" si="91"/>
        <v>2.7116943601251e-5</v>
      </c>
      <c r="AJ125" s="303">
        <f t="shared" si="92"/>
        <v>0</v>
      </c>
      <c r="AK125" s="303">
        <f t="shared" si="93"/>
        <v>-2.7116943601251e-5</v>
      </c>
      <c r="AL125" s="304">
        <f t="shared" si="94"/>
        <v>-2.7116943601251e-5</v>
      </c>
      <c r="AM125" s="304">
        <f t="shared" si="95"/>
        <v>0</v>
      </c>
      <c r="AN125" s="299">
        <v>2100</v>
      </c>
      <c r="AO125" s="299">
        <v>2400</v>
      </c>
      <c r="AP125" s="299">
        <v>0</v>
      </c>
      <c r="AQ125" s="299">
        <v>703</v>
      </c>
      <c r="AR125" s="300">
        <v>1300</v>
      </c>
      <c r="AS125" s="300">
        <v>1300</v>
      </c>
      <c r="AT125" s="300">
        <v>0</v>
      </c>
      <c r="AU125" s="300">
        <v>0</v>
      </c>
      <c r="AV125" s="300">
        <v>1400</v>
      </c>
      <c r="AW125" s="300">
        <v>1400</v>
      </c>
      <c r="AX125" s="300">
        <v>0</v>
      </c>
      <c r="AY125" s="300">
        <v>0</v>
      </c>
      <c r="AZ125" s="300">
        <v>0</v>
      </c>
      <c r="BA125" s="300">
        <v>1400</v>
      </c>
      <c r="BB125" s="300">
        <v>5274.72</v>
      </c>
      <c r="BC125" s="300">
        <v>5400</v>
      </c>
      <c r="BD125" s="300">
        <v>198.29267831163</v>
      </c>
      <c r="BE125" s="300">
        <v>203</v>
      </c>
      <c r="BF125" s="300">
        <v>0</v>
      </c>
      <c r="BG125" s="300">
        <v>0</v>
      </c>
      <c r="BH125" s="300">
        <v>4538.32</v>
      </c>
      <c r="BI125" s="300">
        <v>4700</v>
      </c>
      <c r="BJ125" s="300">
        <v>5489.68</v>
      </c>
      <c r="BK125" s="300">
        <v>5600</v>
      </c>
      <c r="BL125" s="266">
        <v>0</v>
      </c>
      <c r="BM125" s="266">
        <v>0</v>
      </c>
      <c r="BN125" s="266">
        <v>0</v>
      </c>
      <c r="BO125" s="266">
        <v>0</v>
      </c>
      <c r="BP125" s="266">
        <v>272.304</v>
      </c>
      <c r="BQ125" s="266">
        <v>288</v>
      </c>
      <c r="BR125" s="266">
        <v>5226.48</v>
      </c>
      <c r="BS125" s="266">
        <v>5600</v>
      </c>
      <c r="BT125" s="266">
        <v>4503.54</v>
      </c>
      <c r="BU125" s="266">
        <v>4700</v>
      </c>
      <c r="BV125" s="266">
        <v>4600</v>
      </c>
      <c r="BW125" s="266">
        <v>4600</v>
      </c>
      <c r="BX125" s="266">
        <v>8500</v>
      </c>
      <c r="BY125" s="266">
        <v>8900</v>
      </c>
      <c r="BZ125" s="266">
        <v>8500</v>
      </c>
      <c r="CA125" s="266">
        <v>8900</v>
      </c>
      <c r="CB125" s="266">
        <v>2200</v>
      </c>
      <c r="CC125" s="266">
        <v>2200</v>
      </c>
      <c r="CD125" s="311">
        <v>2200</v>
      </c>
      <c r="CE125" s="311">
        <v>13300</v>
      </c>
      <c r="CF125" s="311">
        <v>4800</v>
      </c>
      <c r="CG125" s="311">
        <v>5600</v>
      </c>
      <c r="CH125" s="311">
        <v>2300</v>
      </c>
      <c r="CI125" s="311">
        <v>2500</v>
      </c>
      <c r="CJ125" s="311">
        <v>37900</v>
      </c>
      <c r="CK125" s="311">
        <v>37900</v>
      </c>
      <c r="CL125" s="311">
        <v>37400</v>
      </c>
      <c r="CM125" s="311">
        <v>37000</v>
      </c>
      <c r="CN125" s="311">
        <v>1300</v>
      </c>
      <c r="CO125" s="311">
        <v>1300</v>
      </c>
      <c r="CP125" s="311">
        <v>432</v>
      </c>
      <c r="CQ125" s="311">
        <v>432</v>
      </c>
      <c r="CR125" s="311">
        <v>0</v>
      </c>
      <c r="CS125" s="258">
        <v>217</v>
      </c>
      <c r="CT125" s="258">
        <v>4200</v>
      </c>
      <c r="CU125" s="258">
        <v>4300</v>
      </c>
      <c r="CV125" s="258">
        <v>0</v>
      </c>
      <c r="CW125" s="258">
        <v>239</v>
      </c>
      <c r="CX125" s="266">
        <f t="shared" si="82"/>
        <v>-4200</v>
      </c>
      <c r="CY125" s="266">
        <f t="shared" si="83"/>
        <v>-4061</v>
      </c>
      <c r="DA125" s="301" t="s">
        <v>4986</v>
      </c>
      <c r="DB125" s="258">
        <v>0</v>
      </c>
      <c r="DC125" s="258">
        <f t="shared" si="96"/>
        <v>1</v>
      </c>
    </row>
    <row r="126" spans="1:107">
      <c r="A126" s="264" t="s">
        <v>4987</v>
      </c>
      <c r="B126" s="264" t="s">
        <v>4776</v>
      </c>
      <c r="C126" s="264"/>
      <c r="D126" s="265" t="s">
        <v>4988</v>
      </c>
      <c r="E126" s="306">
        <f t="shared" si="51"/>
        <v>1.120715243756e-5</v>
      </c>
      <c r="F126" s="306">
        <f t="shared" si="52"/>
        <v>7.78807892023712e-6</v>
      </c>
      <c r="G126" s="304">
        <f t="shared" si="53"/>
        <v>5.71759532198088e-6</v>
      </c>
      <c r="H126" s="304">
        <f t="shared" si="54"/>
        <v>1.52879311040196e-5</v>
      </c>
      <c r="I126" s="304">
        <f t="shared" si="68"/>
        <v>3.03756261935792e-5</v>
      </c>
      <c r="J126" s="304">
        <f t="shared" si="55"/>
        <v>1.75640496456739e-5</v>
      </c>
      <c r="K126" s="304">
        <f t="shared" si="56"/>
        <v>1.79456771784497e-5</v>
      </c>
      <c r="L126" s="304">
        <f t="shared" si="57"/>
        <v>2.5630318163922e-5</v>
      </c>
      <c r="M126" s="304">
        <f t="shared" si="58"/>
        <v>4.22404073027702e-5</v>
      </c>
      <c r="N126" s="304">
        <f t="shared" si="59"/>
        <v>5.16548132641019e-5</v>
      </c>
      <c r="O126" s="304">
        <f t="shared" si="60"/>
        <v>8.44137691625739e-5</v>
      </c>
      <c r="P126" s="304">
        <f t="shared" si="61"/>
        <v>6.35116564380524e-5</v>
      </c>
      <c r="Q126" s="304">
        <v>8.96738740548374e-5</v>
      </c>
      <c r="R126" s="304">
        <f t="shared" si="62"/>
        <v>0</v>
      </c>
      <c r="S126" s="304">
        <f t="shared" si="63"/>
        <v>1.22992323155264e-5</v>
      </c>
      <c r="T126" s="304">
        <v>0.000127693509097191</v>
      </c>
      <c r="U126" s="304">
        <v>2.75559943719065e-5</v>
      </c>
      <c r="V126" s="304">
        <v>0</v>
      </c>
      <c r="W126" s="304">
        <v>2.40527488151907e-5</v>
      </c>
      <c r="X126" s="304">
        <f t="shared" si="64"/>
        <v>0.000106882931575289</v>
      </c>
      <c r="Y126" s="304">
        <f t="shared" si="84"/>
        <v>3.41231861857473e-5</v>
      </c>
      <c r="Z126" s="304">
        <f t="shared" si="85"/>
        <v>2.43539226648349e-5</v>
      </c>
      <c r="AA126" s="304">
        <f t="shared" si="69"/>
        <v>0</v>
      </c>
      <c r="AB126" s="304">
        <f t="shared" si="70"/>
        <v>2.75519622354438e-5</v>
      </c>
      <c r="AC126" s="304">
        <f t="shared" si="65"/>
        <v>1.09173494928259e-5</v>
      </c>
      <c r="AD126" s="304">
        <f t="shared" si="86"/>
        <v>0.000288260899381946</v>
      </c>
      <c r="AE126" s="304">
        <f t="shared" si="87"/>
        <v>0</v>
      </c>
      <c r="AF126" s="303">
        <f t="shared" si="88"/>
        <v>-0.000288260899381946</v>
      </c>
      <c r="AG126" s="303">
        <f t="shared" si="89"/>
        <v>0</v>
      </c>
      <c r="AH126" s="303">
        <f t="shared" si="90"/>
        <v>0</v>
      </c>
      <c r="AI126" s="303">
        <f t="shared" si="91"/>
        <v>0</v>
      </c>
      <c r="AJ126" s="303">
        <f t="shared" si="92"/>
        <v>6.75999939725387e-6</v>
      </c>
      <c r="AK126" s="303">
        <f t="shared" si="93"/>
        <v>6.75999939725387e-6</v>
      </c>
      <c r="AL126" s="304">
        <f t="shared" si="94"/>
        <v>6.75999939725387e-6</v>
      </c>
      <c r="AM126" s="304">
        <f t="shared" si="95"/>
        <v>1</v>
      </c>
      <c r="AN126" s="299">
        <v>2100</v>
      </c>
      <c r="AO126" s="299">
        <v>5200</v>
      </c>
      <c r="AP126" s="299">
        <v>1370.25</v>
      </c>
      <c r="AQ126" s="299">
        <v>2700</v>
      </c>
      <c r="AR126" s="300">
        <v>1015</v>
      </c>
      <c r="AS126" s="300">
        <v>2000</v>
      </c>
      <c r="AT126" s="300">
        <v>2588.25</v>
      </c>
      <c r="AU126" s="300">
        <v>5100</v>
      </c>
      <c r="AV126" s="300">
        <v>5142.6</v>
      </c>
      <c r="AW126" s="300">
        <v>9000</v>
      </c>
      <c r="AX126" s="300">
        <v>2477.82</v>
      </c>
      <c r="AY126" s="300">
        <v>6100</v>
      </c>
      <c r="AZ126" s="300">
        <v>2363.71</v>
      </c>
      <c r="BA126" s="300">
        <v>4300</v>
      </c>
      <c r="BB126" s="300">
        <v>3518.08</v>
      </c>
      <c r="BC126" s="300">
        <v>6400</v>
      </c>
      <c r="BD126" s="300">
        <v>5442.141109779</v>
      </c>
      <c r="BE126" s="300">
        <v>9900</v>
      </c>
      <c r="BF126" s="300">
        <v>6376.585094618</v>
      </c>
      <c r="BG126" s="300">
        <v>11600</v>
      </c>
      <c r="BH126" s="300">
        <v>9835.0982030875</v>
      </c>
      <c r="BI126" s="300">
        <v>17500</v>
      </c>
      <c r="BJ126" s="300">
        <v>7249.8723897045</v>
      </c>
      <c r="BK126" s="300">
        <v>12900</v>
      </c>
      <c r="BL126" s="266">
        <v>2563.72</v>
      </c>
      <c r="BM126" s="266">
        <v>10700</v>
      </c>
      <c r="BN126" s="266">
        <v>0</v>
      </c>
      <c r="BO126" s="266">
        <v>25200</v>
      </c>
      <c r="BP126" s="266">
        <v>1618.02</v>
      </c>
      <c r="BQ126" s="266">
        <v>20200</v>
      </c>
      <c r="BR126" s="266">
        <v>15455.36</v>
      </c>
      <c r="BS126" s="266">
        <v>24800</v>
      </c>
      <c r="BT126" s="266">
        <v>3100</v>
      </c>
      <c r="BU126" s="266">
        <v>14100</v>
      </c>
      <c r="BV126" s="266">
        <v>0</v>
      </c>
      <c r="BW126" s="266">
        <v>5900</v>
      </c>
      <c r="BX126" s="266">
        <v>3300</v>
      </c>
      <c r="BY126" s="266">
        <v>17700</v>
      </c>
      <c r="BZ126" s="266">
        <v>3300</v>
      </c>
      <c r="CA126" s="266">
        <v>17700</v>
      </c>
      <c r="CB126" s="266">
        <v>4600</v>
      </c>
      <c r="CC126" s="266">
        <v>323800</v>
      </c>
      <c r="CD126" s="311">
        <v>3400</v>
      </c>
      <c r="CE126" s="311">
        <v>15500</v>
      </c>
      <c r="CF126" s="311">
        <v>0</v>
      </c>
      <c r="CG126" s="311">
        <v>6900</v>
      </c>
      <c r="CH126" s="311">
        <v>3600</v>
      </c>
      <c r="CI126" s="311">
        <v>14600</v>
      </c>
      <c r="CJ126" s="311">
        <v>1700</v>
      </c>
      <c r="CK126" s="311">
        <v>11200</v>
      </c>
      <c r="CL126" s="311">
        <v>50100</v>
      </c>
      <c r="CM126" s="311">
        <v>50100</v>
      </c>
      <c r="CN126" s="311">
        <v>0</v>
      </c>
      <c r="CO126" s="311">
        <v>12500</v>
      </c>
      <c r="CP126" s="311">
        <v>0</v>
      </c>
      <c r="CQ126" s="311">
        <v>7300</v>
      </c>
      <c r="CR126" s="311">
        <v>0</v>
      </c>
      <c r="CS126" s="258">
        <v>10700</v>
      </c>
      <c r="CT126" s="258">
        <v>0</v>
      </c>
      <c r="CU126" s="258">
        <v>30000</v>
      </c>
      <c r="CV126" s="258">
        <v>1100</v>
      </c>
      <c r="CW126" s="258">
        <v>7800</v>
      </c>
      <c r="CX126" s="266">
        <f t="shared" si="82"/>
        <v>1100</v>
      </c>
      <c r="CY126" s="266">
        <f t="shared" si="83"/>
        <v>-22200</v>
      </c>
      <c r="DA126" s="301" t="s">
        <v>4988</v>
      </c>
      <c r="DB126" s="258">
        <v>0</v>
      </c>
      <c r="DC126" s="258">
        <f t="shared" si="96"/>
        <v>1</v>
      </c>
    </row>
    <row r="127" spans="1:107">
      <c r="A127" s="264" t="s">
        <v>4989</v>
      </c>
      <c r="B127" s="264" t="s">
        <v>4776</v>
      </c>
      <c r="C127" s="264"/>
      <c r="D127" s="265" t="s">
        <v>4990</v>
      </c>
      <c r="E127" s="306">
        <f t="shared" si="51"/>
        <v>1.120715243756e-5</v>
      </c>
      <c r="F127" s="306">
        <f t="shared" si="52"/>
        <v>1.34209018459083e-5</v>
      </c>
      <c r="G127" s="304">
        <f t="shared" si="53"/>
        <v>2.16305362333738e-5</v>
      </c>
      <c r="H127" s="304">
        <f t="shared" si="54"/>
        <v>1.41760010237215e-5</v>
      </c>
      <c r="I127" s="304">
        <f t="shared" si="68"/>
        <v>8.86000063982592e-6</v>
      </c>
      <c r="J127" s="304">
        <f t="shared" si="55"/>
        <v>0</v>
      </c>
      <c r="K127" s="304">
        <f t="shared" si="56"/>
        <v>0</v>
      </c>
      <c r="L127" s="304">
        <f t="shared" si="57"/>
        <v>3.61538088126344e-5</v>
      </c>
      <c r="M127" s="304">
        <f t="shared" si="58"/>
        <v>1.25071674090375e-5</v>
      </c>
      <c r="N127" s="304">
        <f t="shared" si="59"/>
        <v>1.29611226065688e-5</v>
      </c>
      <c r="O127" s="304">
        <f t="shared" si="60"/>
        <v>6.55869984048397e-5</v>
      </c>
      <c r="P127" s="304">
        <f t="shared" si="61"/>
        <v>1.48926505379621e-5</v>
      </c>
      <c r="Q127" s="304">
        <v>1.18174872785445e-5</v>
      </c>
      <c r="R127" s="304">
        <f t="shared" si="62"/>
        <v>0.000221600115097095</v>
      </c>
      <c r="S127" s="304">
        <f t="shared" si="63"/>
        <v>0.00019533896444523</v>
      </c>
      <c r="T127" s="304">
        <v>0</v>
      </c>
      <c r="U127" s="304">
        <v>3.10098271503595e-5</v>
      </c>
      <c r="V127" s="304">
        <v>0.000198961865467402</v>
      </c>
      <c r="W127" s="304">
        <v>0.000190235376992872</v>
      </c>
      <c r="X127" s="304">
        <f t="shared" si="64"/>
        <v>0.000164853335141547</v>
      </c>
      <c r="Y127" s="304">
        <f t="shared" si="84"/>
        <v>0.000203997308719142</v>
      </c>
      <c r="Z127" s="304">
        <f t="shared" si="85"/>
        <v>0.000376053217618774</v>
      </c>
      <c r="AA127" s="304">
        <f t="shared" si="69"/>
        <v>6.62272515448314e-5</v>
      </c>
      <c r="AB127" s="304">
        <f t="shared" si="70"/>
        <v>3.9031946500212e-5</v>
      </c>
      <c r="AC127" s="304">
        <f t="shared" si="65"/>
        <v>0.000223484566088435</v>
      </c>
      <c r="AD127" s="304">
        <f t="shared" si="86"/>
        <v>6.90445267980709e-6</v>
      </c>
      <c r="AE127" s="304">
        <f t="shared" si="87"/>
        <v>1.70945914093498e-5</v>
      </c>
      <c r="AF127" s="303">
        <f t="shared" si="88"/>
        <v>1.01901387295427e-5</v>
      </c>
      <c r="AG127" s="303">
        <f t="shared" si="89"/>
        <v>7.54155846494217e-5</v>
      </c>
      <c r="AH127" s="303">
        <f t="shared" si="90"/>
        <v>1.67830769934566e-5</v>
      </c>
      <c r="AI127" s="303">
        <f t="shared" si="91"/>
        <v>1.5495396343572e-5</v>
      </c>
      <c r="AJ127" s="303">
        <f t="shared" si="92"/>
        <v>0.000603483582554846</v>
      </c>
      <c r="AK127" s="303">
        <f t="shared" si="93"/>
        <v>0.000587988186211274</v>
      </c>
      <c r="AL127" s="304">
        <f t="shared" si="94"/>
        <v>0.000587988186211274</v>
      </c>
      <c r="AM127" s="304">
        <f t="shared" si="95"/>
        <v>0.975560081466395</v>
      </c>
      <c r="AN127" s="299">
        <v>2100</v>
      </c>
      <c r="AO127" s="299">
        <v>2100</v>
      </c>
      <c r="AP127" s="299">
        <v>2361.3</v>
      </c>
      <c r="AQ127" s="299">
        <v>3000</v>
      </c>
      <c r="AR127" s="300">
        <v>3839.9</v>
      </c>
      <c r="AS127" s="300">
        <v>4700</v>
      </c>
      <c r="AT127" s="300">
        <v>2400</v>
      </c>
      <c r="AU127" s="300">
        <v>2400</v>
      </c>
      <c r="AV127" s="300">
        <v>1500</v>
      </c>
      <c r="AW127" s="300">
        <v>1500</v>
      </c>
      <c r="AX127" s="300">
        <v>0</v>
      </c>
      <c r="AY127" s="300">
        <v>385</v>
      </c>
      <c r="AZ127" s="300">
        <v>0</v>
      </c>
      <c r="BA127" s="300">
        <v>122</v>
      </c>
      <c r="BB127" s="300">
        <v>4962.56</v>
      </c>
      <c r="BC127" s="300">
        <v>6400</v>
      </c>
      <c r="BD127" s="300">
        <v>1611.39</v>
      </c>
      <c r="BE127" s="300">
        <v>1900</v>
      </c>
      <c r="BF127" s="300">
        <v>1600</v>
      </c>
      <c r="BG127" s="300">
        <v>1600</v>
      </c>
      <c r="BH127" s="300">
        <v>7641.58</v>
      </c>
      <c r="BI127" s="300">
        <v>8200</v>
      </c>
      <c r="BJ127" s="300">
        <v>1700</v>
      </c>
      <c r="BK127" s="300">
        <v>1700</v>
      </c>
      <c r="BL127" s="266">
        <v>1750.65</v>
      </c>
      <c r="BM127" s="266">
        <v>3300</v>
      </c>
      <c r="BN127" s="266">
        <v>27749.64</v>
      </c>
      <c r="BO127" s="266">
        <v>28400</v>
      </c>
      <c r="BP127" s="266">
        <v>25697.73</v>
      </c>
      <c r="BQ127" s="266">
        <v>26300</v>
      </c>
      <c r="BR127" s="266">
        <v>0</v>
      </c>
      <c r="BS127" s="266">
        <v>959</v>
      </c>
      <c r="BT127" s="266">
        <v>3488.55</v>
      </c>
      <c r="BU127" s="266">
        <v>3900</v>
      </c>
      <c r="BV127" s="266">
        <v>25600</v>
      </c>
      <c r="BW127" s="266">
        <v>25600</v>
      </c>
      <c r="BX127" s="266">
        <v>26100</v>
      </c>
      <c r="BY127" s="266">
        <v>27300</v>
      </c>
      <c r="BZ127" s="266">
        <v>26100</v>
      </c>
      <c r="CA127" s="266">
        <v>27300</v>
      </c>
      <c r="CB127" s="266">
        <v>27500</v>
      </c>
      <c r="CC127" s="266">
        <v>42500</v>
      </c>
      <c r="CD127" s="311">
        <v>52500</v>
      </c>
      <c r="CE127" s="311">
        <v>52700</v>
      </c>
      <c r="CF127" s="311">
        <v>8200</v>
      </c>
      <c r="CG127" s="311">
        <v>9000</v>
      </c>
      <c r="CH127" s="311">
        <v>5100</v>
      </c>
      <c r="CI127" s="311">
        <v>7000</v>
      </c>
      <c r="CJ127" s="311">
        <v>34800</v>
      </c>
      <c r="CK127" s="311">
        <v>50200</v>
      </c>
      <c r="CL127" s="311">
        <v>1200</v>
      </c>
      <c r="CM127" s="311">
        <v>988</v>
      </c>
      <c r="CN127" s="311">
        <v>2600</v>
      </c>
      <c r="CO127" s="311">
        <v>3400</v>
      </c>
      <c r="CP127" s="311">
        <v>12000</v>
      </c>
      <c r="CQ127" s="311">
        <v>14500</v>
      </c>
      <c r="CR127" s="311">
        <v>2600</v>
      </c>
      <c r="CS127" s="258">
        <v>3000</v>
      </c>
      <c r="CT127" s="258">
        <v>2400</v>
      </c>
      <c r="CU127" s="258">
        <v>4600</v>
      </c>
      <c r="CV127" s="258">
        <v>98200</v>
      </c>
      <c r="CW127" s="258">
        <v>98500</v>
      </c>
      <c r="CX127" s="266">
        <f t="shared" si="82"/>
        <v>95800</v>
      </c>
      <c r="CY127" s="266">
        <f t="shared" si="83"/>
        <v>93900</v>
      </c>
      <c r="DA127" s="301" t="s">
        <v>4990</v>
      </c>
      <c r="DB127" s="258">
        <v>98200</v>
      </c>
      <c r="DC127" s="258">
        <f t="shared" si="96"/>
        <v>1</v>
      </c>
    </row>
    <row r="128" spans="1:107">
      <c r="A128" s="264" t="s">
        <v>4991</v>
      </c>
      <c r="B128" s="264" t="s">
        <v>4776</v>
      </c>
      <c r="C128" s="264"/>
      <c r="D128" s="265" t="s">
        <v>4992</v>
      </c>
      <c r="E128" s="306">
        <f t="shared" si="51"/>
        <v>1.120715243756e-5</v>
      </c>
      <c r="F128" s="306">
        <f t="shared" si="52"/>
        <v>0</v>
      </c>
      <c r="G128" s="304">
        <f t="shared" si="53"/>
        <v>1.29526348093166e-5</v>
      </c>
      <c r="H128" s="304">
        <f t="shared" si="54"/>
        <v>0</v>
      </c>
      <c r="I128" s="304">
        <f t="shared" si="68"/>
        <v>0</v>
      </c>
      <c r="J128" s="304">
        <f t="shared" si="55"/>
        <v>8.50621093332391e-6</v>
      </c>
      <c r="K128" s="304">
        <f t="shared" si="56"/>
        <v>0</v>
      </c>
      <c r="L128" s="304">
        <f t="shared" si="57"/>
        <v>0</v>
      </c>
      <c r="M128" s="304">
        <f t="shared" si="58"/>
        <v>2.05806041637551e-5</v>
      </c>
      <c r="N128" s="304">
        <f t="shared" si="59"/>
        <v>1.13409822807477e-5</v>
      </c>
      <c r="O128" s="304">
        <f t="shared" si="60"/>
        <v>0</v>
      </c>
      <c r="P128" s="304">
        <f t="shared" si="61"/>
        <v>1.22645357371452e-5</v>
      </c>
      <c r="Q128" s="304">
        <v>9.73204834703661e-6</v>
      </c>
      <c r="R128" s="304">
        <f t="shared" si="62"/>
        <v>3.03408432433683e-5</v>
      </c>
      <c r="S128" s="304">
        <f t="shared" si="63"/>
        <v>2.10042142459688e-5</v>
      </c>
      <c r="T128" s="304">
        <v>0</v>
      </c>
      <c r="U128" s="304">
        <v>0</v>
      </c>
      <c r="V128" s="304">
        <v>0</v>
      </c>
      <c r="W128" s="304">
        <v>0</v>
      </c>
      <c r="X128" s="304">
        <f t="shared" si="64"/>
        <v>2.83813434126473e-6</v>
      </c>
      <c r="Y128" s="304">
        <f t="shared" si="84"/>
        <v>3.5606802976432e-5</v>
      </c>
      <c r="Z128" s="304">
        <f t="shared" si="85"/>
        <v>1.79072960770845e-5</v>
      </c>
      <c r="AA128" s="304">
        <f t="shared" si="69"/>
        <v>0</v>
      </c>
      <c r="AB128" s="304">
        <f t="shared" si="70"/>
        <v>3.75012819315762e-5</v>
      </c>
      <c r="AC128" s="304">
        <f t="shared" si="65"/>
        <v>5.5357383898917e-6</v>
      </c>
      <c r="AD128" s="304">
        <f t="shared" si="86"/>
        <v>1.38089053596142e-5</v>
      </c>
      <c r="AE128" s="304">
        <f t="shared" si="87"/>
        <v>5.32562270829743e-5</v>
      </c>
      <c r="AF128" s="303">
        <f t="shared" si="88"/>
        <v>3.94473217233601e-5</v>
      </c>
      <c r="AG128" s="303">
        <f t="shared" si="89"/>
        <v>0</v>
      </c>
      <c r="AH128" s="303">
        <f t="shared" si="90"/>
        <v>0</v>
      </c>
      <c r="AI128" s="303">
        <f t="shared" si="91"/>
        <v>0.000287956115384713</v>
      </c>
      <c r="AJ128" s="303">
        <f t="shared" si="92"/>
        <v>3.35541788263692e-6</v>
      </c>
      <c r="AK128" s="303">
        <f t="shared" si="93"/>
        <v>-0.000284600697502076</v>
      </c>
      <c r="AL128" s="304">
        <f t="shared" si="94"/>
        <v>-0.000284600697502076</v>
      </c>
      <c r="AM128" s="304">
        <f t="shared" si="95"/>
        <v>-80.6849816849817</v>
      </c>
      <c r="AN128" s="299">
        <v>2100</v>
      </c>
      <c r="AO128" s="299">
        <v>3000</v>
      </c>
      <c r="AP128" s="299">
        <v>0</v>
      </c>
      <c r="AQ128" s="299">
        <v>0</v>
      </c>
      <c r="AR128" s="300">
        <v>2299.38</v>
      </c>
      <c r="AS128" s="300">
        <v>3800</v>
      </c>
      <c r="AT128" s="300">
        <v>0</v>
      </c>
      <c r="AU128" s="300">
        <v>0</v>
      </c>
      <c r="AV128" s="300">
        <v>0</v>
      </c>
      <c r="AW128" s="300">
        <v>7400</v>
      </c>
      <c r="AX128" s="300">
        <v>1200</v>
      </c>
      <c r="AY128" s="300">
        <v>1200</v>
      </c>
      <c r="AZ128" s="300">
        <v>0</v>
      </c>
      <c r="BA128" s="300">
        <v>0</v>
      </c>
      <c r="BB128" s="300">
        <v>0</v>
      </c>
      <c r="BC128" s="300">
        <v>445</v>
      </c>
      <c r="BD128" s="300">
        <v>2651.55</v>
      </c>
      <c r="BE128" s="300">
        <v>3300</v>
      </c>
      <c r="BF128" s="300">
        <v>1400</v>
      </c>
      <c r="BG128" s="300">
        <v>1400</v>
      </c>
      <c r="BH128" s="300">
        <v>0</v>
      </c>
      <c r="BI128" s="300">
        <v>0</v>
      </c>
      <c r="BJ128" s="300">
        <v>1400</v>
      </c>
      <c r="BK128" s="300">
        <v>1400</v>
      </c>
      <c r="BL128" s="266">
        <v>0</v>
      </c>
      <c r="BM128" s="266">
        <v>0</v>
      </c>
      <c r="BN128" s="266">
        <v>3799.4</v>
      </c>
      <c r="BO128" s="266">
        <v>4400</v>
      </c>
      <c r="BP128" s="266">
        <v>2763.2</v>
      </c>
      <c r="BQ128" s="266">
        <v>3200</v>
      </c>
      <c r="BR128" s="266">
        <v>0</v>
      </c>
      <c r="BS128" s="266">
        <v>0</v>
      </c>
      <c r="BT128" s="266">
        <v>0</v>
      </c>
      <c r="BU128" s="266">
        <v>0</v>
      </c>
      <c r="BV128" s="266">
        <v>0</v>
      </c>
      <c r="BW128" s="266">
        <v>0</v>
      </c>
      <c r="BX128" s="266">
        <v>0</v>
      </c>
      <c r="BY128" s="266">
        <v>470</v>
      </c>
      <c r="BZ128" s="266">
        <v>0</v>
      </c>
      <c r="CA128" s="266">
        <v>470</v>
      </c>
      <c r="CB128" s="266">
        <v>4800</v>
      </c>
      <c r="CC128" s="266">
        <v>7000</v>
      </c>
      <c r="CD128" s="311">
        <v>2500</v>
      </c>
      <c r="CE128" s="311">
        <v>19100</v>
      </c>
      <c r="CF128" s="311">
        <v>0</v>
      </c>
      <c r="CG128" s="311">
        <v>214</v>
      </c>
      <c r="CH128" s="311">
        <v>4900</v>
      </c>
      <c r="CI128" s="311">
        <v>7300</v>
      </c>
      <c r="CJ128" s="311">
        <v>862</v>
      </c>
      <c r="CK128" s="311">
        <v>2000</v>
      </c>
      <c r="CL128" s="311">
        <v>2400</v>
      </c>
      <c r="CM128" s="311">
        <v>2400</v>
      </c>
      <c r="CN128" s="311">
        <v>8100</v>
      </c>
      <c r="CO128" s="311">
        <v>8100</v>
      </c>
      <c r="CP128" s="311">
        <v>0</v>
      </c>
      <c r="CQ128" s="311">
        <v>0</v>
      </c>
      <c r="CR128" s="311">
        <v>0</v>
      </c>
      <c r="CS128" s="258">
        <v>986</v>
      </c>
      <c r="CT128" s="258">
        <v>44600</v>
      </c>
      <c r="CU128" s="258">
        <v>44600</v>
      </c>
      <c r="CV128" s="258">
        <v>546</v>
      </c>
      <c r="CW128" s="258">
        <v>871</v>
      </c>
      <c r="CX128" s="266">
        <f t="shared" si="82"/>
        <v>-44054</v>
      </c>
      <c r="CY128" s="266">
        <f t="shared" si="83"/>
        <v>-43729</v>
      </c>
      <c r="CZ128" s="260" t="s">
        <v>4993</v>
      </c>
      <c r="DA128" s="301" t="s">
        <v>4992</v>
      </c>
      <c r="DB128" s="258">
        <v>546</v>
      </c>
      <c r="DC128" s="258">
        <f t="shared" si="96"/>
        <v>1</v>
      </c>
    </row>
    <row r="129" spans="1:107">
      <c r="A129" s="264" t="s">
        <v>4994</v>
      </c>
      <c r="B129" s="264" t="s">
        <v>4776</v>
      </c>
      <c r="C129" s="264"/>
      <c r="D129" s="258" t="s">
        <v>4995</v>
      </c>
      <c r="E129" s="306">
        <f t="shared" ref="E129:E161" si="97">AN129/$AN$182</f>
        <v>1.06734785119619e-5</v>
      </c>
      <c r="F129" s="306">
        <f t="shared" ref="F129:F161" si="98">AP129/$AP$182</f>
        <v>2.56127621404851e-5</v>
      </c>
      <c r="G129" s="304">
        <f t="shared" ref="G129:G161" si="99">AR129/$AR$182</f>
        <v>0.000126324945360764</v>
      </c>
      <c r="H129" s="304">
        <f t="shared" ref="H129:H161" si="100">AT129/$AT$182</f>
        <v>2.60153245453662e-5</v>
      </c>
      <c r="I129" s="304">
        <f t="shared" ref="I129:I161" si="101">AV129/$AT$182</f>
        <v>2.72577919684244e-5</v>
      </c>
      <c r="J129" s="304">
        <f t="shared" ref="J129:J161" si="102">AX129/$AX$182</f>
        <v>4.01841910701155e-5</v>
      </c>
      <c r="K129" s="304">
        <f t="shared" ref="K129:K161" si="103">AZ129/$AZ$182</f>
        <v>5.19141638151186e-5</v>
      </c>
      <c r="L129" s="304">
        <f t="shared" ref="L129:L161" si="104">BB129/$BB$182</f>
        <v>9.95305783254081e-5</v>
      </c>
      <c r="M129" s="304">
        <f t="shared" ref="M129:M161" si="105">BD129/$BD$182</f>
        <v>9.9555543696434e-5</v>
      </c>
      <c r="N129" s="304">
        <f t="shared" ref="N129:N161" si="106">BF129/$BF$182</f>
        <v>7.33997283981784e-5</v>
      </c>
      <c r="O129" s="304">
        <f t="shared" ref="O129:O161" si="107">BH129/$BH$182</f>
        <v>0.000221085564815204</v>
      </c>
      <c r="P129" s="304">
        <f t="shared" ref="P129:P161" si="108">BJ129/$BJ$182</f>
        <v>0.000114195530267693</v>
      </c>
      <c r="Q129" s="304">
        <v>9.80156297808687e-5</v>
      </c>
      <c r="R129" s="304">
        <f t="shared" ref="R129:R161" si="109">BN129/$BN$182</f>
        <v>1.68054124743576e-5</v>
      </c>
      <c r="S129" s="304">
        <f t="shared" ref="S129:S161" si="110">BP129/$BP$182</f>
        <v>2.13289464523193e-5</v>
      </c>
      <c r="T129" s="304">
        <v>0.000165404312174084</v>
      </c>
      <c r="U129" s="304">
        <v>4.88896674340276e-5</v>
      </c>
      <c r="V129" s="304">
        <v>3.51117952083598e-5</v>
      </c>
      <c r="W129" s="304">
        <v>6.77850193882648e-5</v>
      </c>
      <c r="X129" s="304">
        <f t="shared" ref="X129:X161" si="111">BY129/BY$182</f>
        <v>5.73665451957765e-5</v>
      </c>
      <c r="Y129" s="304">
        <f t="shared" ref="Y129:Y161" si="112">CB129/CB$182</f>
        <v>4.6733928906567e-5</v>
      </c>
      <c r="Z129" s="304">
        <f t="shared" ref="Z129:Z160" si="113">CD129/CD$182</f>
        <v>0</v>
      </c>
      <c r="AA129" s="304">
        <f t="shared" ref="AA129:AA146" si="114">CF129/$CF$182</f>
        <v>3.47289245905823e-5</v>
      </c>
      <c r="AB129" s="304">
        <f t="shared" ref="AB129:AB146" si="115">CH129/$CH$182</f>
        <v>5.73999213238412e-5</v>
      </c>
      <c r="AC129" s="304">
        <f t="shared" ref="AC129:AC160" si="116">CJ129/$CJ$182</f>
        <v>1.41283346377746e-5</v>
      </c>
      <c r="AD129" s="304">
        <f t="shared" si="86"/>
        <v>3.04946660024813e-5</v>
      </c>
      <c r="AE129" s="304">
        <f t="shared" si="87"/>
        <v>1.38071699844748e-5</v>
      </c>
      <c r="AF129" s="303">
        <f t="shared" si="88"/>
        <v>-1.66874960180065e-5</v>
      </c>
      <c r="AG129" s="303">
        <f t="shared" si="89"/>
        <v>5.42992209475836e-6</v>
      </c>
      <c r="AH129" s="303">
        <f t="shared" si="90"/>
        <v>0</v>
      </c>
      <c r="AI129" s="303">
        <f t="shared" si="91"/>
        <v>1.74323208865185e-5</v>
      </c>
      <c r="AJ129" s="303">
        <f t="shared" si="92"/>
        <v>0</v>
      </c>
      <c r="AK129" s="303">
        <f t="shared" si="93"/>
        <v>-1.74323208865185e-5</v>
      </c>
      <c r="AL129" s="304">
        <f t="shared" si="94"/>
        <v>-1.74323208865185e-5</v>
      </c>
      <c r="AM129" s="304">
        <f t="shared" si="95"/>
        <v>0</v>
      </c>
      <c r="AN129" s="299">
        <v>2000</v>
      </c>
      <c r="AO129" s="299">
        <v>4100</v>
      </c>
      <c r="AP129" s="299">
        <v>4506.36</v>
      </c>
      <c r="AQ129" s="299">
        <v>6800</v>
      </c>
      <c r="AR129" s="300">
        <v>22425.48</v>
      </c>
      <c r="AS129" s="300">
        <v>23100</v>
      </c>
      <c r="AT129" s="300">
        <v>4404.4</v>
      </c>
      <c r="AU129" s="300">
        <v>9100</v>
      </c>
      <c r="AV129" s="300">
        <v>4614.75</v>
      </c>
      <c r="AW129" s="300">
        <v>7500</v>
      </c>
      <c r="AX129" s="300">
        <v>5668.92</v>
      </c>
      <c r="AY129" s="300">
        <v>5800</v>
      </c>
      <c r="AZ129" s="300">
        <v>6837.86</v>
      </c>
      <c r="BA129" s="300">
        <v>8600</v>
      </c>
      <c r="BB129" s="300">
        <v>13661.81</v>
      </c>
      <c r="BC129" s="300">
        <v>14900</v>
      </c>
      <c r="BD129" s="300">
        <v>12826.47</v>
      </c>
      <c r="BE129" s="300">
        <v>12900</v>
      </c>
      <c r="BF129" s="300">
        <v>9060.91</v>
      </c>
      <c r="BG129" s="300">
        <v>10300</v>
      </c>
      <c r="BH129" s="300">
        <v>25758.81</v>
      </c>
      <c r="BI129" s="300">
        <v>29700</v>
      </c>
      <c r="BJ129" s="300">
        <v>13035.45</v>
      </c>
      <c r="BK129" s="300">
        <v>14100</v>
      </c>
      <c r="BL129" s="266">
        <v>11790.66</v>
      </c>
      <c r="BM129" s="266">
        <v>13400</v>
      </c>
      <c r="BN129" s="266">
        <v>2104.44</v>
      </c>
      <c r="BO129" s="266">
        <v>3900</v>
      </c>
      <c r="BP129" s="266">
        <v>2805.92</v>
      </c>
      <c r="BQ129" s="266">
        <v>5200</v>
      </c>
      <c r="BR129" s="266">
        <v>20019.68</v>
      </c>
      <c r="BS129" s="266">
        <v>21100</v>
      </c>
      <c r="BT129" s="266">
        <v>5500</v>
      </c>
      <c r="BU129" s="266">
        <v>11700</v>
      </c>
      <c r="BV129" s="266">
        <v>4517.76</v>
      </c>
      <c r="BW129" s="266">
        <v>4800</v>
      </c>
      <c r="BX129" s="266">
        <v>9300</v>
      </c>
      <c r="BY129" s="266">
        <v>9500</v>
      </c>
      <c r="BZ129" s="266">
        <v>9300</v>
      </c>
      <c r="CA129" s="266">
        <v>9500</v>
      </c>
      <c r="CB129" s="266">
        <v>6300</v>
      </c>
      <c r="CC129" s="266">
        <v>6600</v>
      </c>
      <c r="CD129" s="311">
        <v>0</v>
      </c>
      <c r="CE129" s="311">
        <v>195</v>
      </c>
      <c r="CF129" s="311">
        <v>4300</v>
      </c>
      <c r="CG129" s="311">
        <v>5500</v>
      </c>
      <c r="CH129" s="311">
        <v>7500</v>
      </c>
      <c r="CI129" s="311">
        <v>7600</v>
      </c>
      <c r="CJ129" s="311">
        <v>2200</v>
      </c>
      <c r="CK129" s="311">
        <v>2200</v>
      </c>
      <c r="CL129" s="311">
        <v>5300</v>
      </c>
      <c r="CM129" s="311">
        <v>4300</v>
      </c>
      <c r="CN129" s="311">
        <v>2100</v>
      </c>
      <c r="CO129" s="311">
        <v>2100</v>
      </c>
      <c r="CP129" s="311">
        <v>864</v>
      </c>
      <c r="CQ129" s="311">
        <v>1200</v>
      </c>
      <c r="CR129" s="311">
        <v>0</v>
      </c>
      <c r="CS129" s="258">
        <v>0</v>
      </c>
      <c r="CT129" s="258">
        <v>2700</v>
      </c>
      <c r="CU129" s="258">
        <v>3100</v>
      </c>
      <c r="CV129" s="258">
        <v>0</v>
      </c>
      <c r="CW129" s="258">
        <v>272</v>
      </c>
      <c r="CX129" s="266">
        <f t="shared" si="82"/>
        <v>-2700</v>
      </c>
      <c r="CY129" s="266">
        <f t="shared" si="83"/>
        <v>-2828</v>
      </c>
      <c r="DA129" s="301" t="s">
        <v>4995</v>
      </c>
      <c r="DB129" s="258">
        <v>0</v>
      </c>
      <c r="DC129" s="258">
        <f t="shared" si="96"/>
        <v>1</v>
      </c>
    </row>
    <row r="130" spans="1:107">
      <c r="A130" s="264" t="s">
        <v>4996</v>
      </c>
      <c r="B130" s="264" t="s">
        <v>4776</v>
      </c>
      <c r="C130" s="264"/>
      <c r="D130" s="265" t="s">
        <v>4997</v>
      </c>
      <c r="E130" s="306">
        <f t="shared" si="97"/>
        <v>4.70631024767191e-6</v>
      </c>
      <c r="F130" s="306">
        <f t="shared" si="98"/>
        <v>7.74624694734681e-6</v>
      </c>
      <c r="G130" s="304">
        <f t="shared" si="99"/>
        <v>3.45026627940779e-6</v>
      </c>
      <c r="H130" s="304">
        <f t="shared" si="100"/>
        <v>6.06128001104934e-7</v>
      </c>
      <c r="I130" s="304">
        <f t="shared" si="101"/>
        <v>0</v>
      </c>
      <c r="J130" s="304">
        <f t="shared" si="102"/>
        <v>0</v>
      </c>
      <c r="K130" s="304">
        <f t="shared" si="103"/>
        <v>0</v>
      </c>
      <c r="L130" s="304">
        <f t="shared" si="104"/>
        <v>0</v>
      </c>
      <c r="M130" s="304">
        <f t="shared" si="105"/>
        <v>2.78756733179247e-10</v>
      </c>
      <c r="N130" s="304">
        <f t="shared" si="106"/>
        <v>0</v>
      </c>
      <c r="O130" s="304">
        <f t="shared" si="107"/>
        <v>3.11430913125245e-8</v>
      </c>
      <c r="P130" s="304">
        <f t="shared" si="108"/>
        <v>0</v>
      </c>
      <c r="Q130" s="304">
        <v>0</v>
      </c>
      <c r="R130" s="304">
        <f t="shared" si="109"/>
        <v>0</v>
      </c>
      <c r="S130" s="304">
        <f t="shared" si="110"/>
        <v>0</v>
      </c>
      <c r="T130" s="304">
        <v>0</v>
      </c>
      <c r="U130" s="304">
        <v>0</v>
      </c>
      <c r="V130" s="304">
        <v>0</v>
      </c>
      <c r="W130" s="304">
        <v>0</v>
      </c>
      <c r="X130" s="304">
        <f t="shared" si="111"/>
        <v>8.39363134969782e-7</v>
      </c>
      <c r="Y130" s="304">
        <f t="shared" si="112"/>
        <v>1.3352551116162e-5</v>
      </c>
      <c r="Z130" s="304">
        <f t="shared" si="113"/>
        <v>0</v>
      </c>
      <c r="AA130" s="304">
        <f t="shared" si="114"/>
        <v>0</v>
      </c>
      <c r="AB130" s="304">
        <f t="shared" si="115"/>
        <v>0</v>
      </c>
      <c r="AC130" s="304">
        <f t="shared" si="116"/>
        <v>0</v>
      </c>
      <c r="AD130" s="304">
        <f t="shared" ref="AD130:AD168" si="117">CL130/$CL$182</f>
        <v>2.41655843793248e-5</v>
      </c>
      <c r="AE130" s="304">
        <f t="shared" si="87"/>
        <v>5.77271202208043e-6</v>
      </c>
      <c r="AF130" s="303">
        <f t="shared" si="88"/>
        <v>-1.83928723572444e-5</v>
      </c>
      <c r="AG130" s="303">
        <f t="shared" si="89"/>
        <v>0</v>
      </c>
      <c r="AH130" s="303">
        <f t="shared" si="90"/>
        <v>0</v>
      </c>
      <c r="AI130" s="303">
        <f t="shared" si="91"/>
        <v>0</v>
      </c>
      <c r="AJ130" s="303">
        <f t="shared" si="92"/>
        <v>1.65927257932595e-5</v>
      </c>
      <c r="AK130" s="303">
        <f t="shared" si="93"/>
        <v>1.65927257932595e-5</v>
      </c>
      <c r="AL130" s="304">
        <f t="shared" si="94"/>
        <v>1.65927257932595e-5</v>
      </c>
      <c r="AM130" s="304">
        <f t="shared" si="95"/>
        <v>1</v>
      </c>
      <c r="AN130" s="299">
        <v>881.87</v>
      </c>
      <c r="AO130" s="299">
        <v>1100</v>
      </c>
      <c r="AP130" s="299">
        <v>1362.89</v>
      </c>
      <c r="AQ130" s="299">
        <v>1700</v>
      </c>
      <c r="AR130" s="300">
        <v>612.4988</v>
      </c>
      <c r="AS130" s="300">
        <v>764</v>
      </c>
      <c r="AT130" s="300">
        <v>102.6176</v>
      </c>
      <c r="AU130" s="300">
        <v>128</v>
      </c>
      <c r="AV130" s="300">
        <v>0</v>
      </c>
      <c r="AW130" s="300">
        <v>655</v>
      </c>
      <c r="AX130" s="300">
        <v>0</v>
      </c>
      <c r="AY130" s="300">
        <v>62</v>
      </c>
      <c r="AZ130" s="300">
        <v>0</v>
      </c>
      <c r="BA130" s="300">
        <v>193</v>
      </c>
      <c r="BB130" s="300">
        <v>0</v>
      </c>
      <c r="BC130" s="300">
        <v>1000</v>
      </c>
      <c r="BD130" s="300">
        <v>0.035914272</v>
      </c>
      <c r="BE130" s="300">
        <v>3200</v>
      </c>
      <c r="BF130" s="300">
        <v>0</v>
      </c>
      <c r="BG130" s="300">
        <v>611</v>
      </c>
      <c r="BH130" s="300">
        <v>3.6285</v>
      </c>
      <c r="BI130" s="300">
        <v>295</v>
      </c>
      <c r="BJ130" s="300">
        <v>0</v>
      </c>
      <c r="BK130" s="300">
        <v>0</v>
      </c>
      <c r="BL130" s="266">
        <v>0</v>
      </c>
      <c r="BM130" s="266">
        <v>3900</v>
      </c>
      <c r="BN130" s="266">
        <v>0</v>
      </c>
      <c r="BO130" s="266">
        <v>14000</v>
      </c>
      <c r="BP130" s="266">
        <v>0</v>
      </c>
      <c r="BQ130" s="266">
        <v>400</v>
      </c>
      <c r="BR130" s="266">
        <v>0</v>
      </c>
      <c r="BS130" s="266">
        <v>486</v>
      </c>
      <c r="BT130" s="266">
        <v>0</v>
      </c>
      <c r="BU130" s="266">
        <v>680</v>
      </c>
      <c r="BV130" s="266">
        <v>0</v>
      </c>
      <c r="BW130" s="266">
        <v>814</v>
      </c>
      <c r="BX130" s="266">
        <v>0</v>
      </c>
      <c r="BY130" s="266">
        <v>139</v>
      </c>
      <c r="BZ130" s="266">
        <v>0</v>
      </c>
      <c r="CA130" s="266">
        <v>139</v>
      </c>
      <c r="CB130" s="266">
        <v>1800</v>
      </c>
      <c r="CC130" s="266">
        <v>12100</v>
      </c>
      <c r="CD130" s="311">
        <v>0</v>
      </c>
      <c r="CE130" s="311">
        <v>0</v>
      </c>
      <c r="CF130" s="311">
        <v>0</v>
      </c>
      <c r="CG130" s="311">
        <v>2000</v>
      </c>
      <c r="CH130" s="311">
        <v>0</v>
      </c>
      <c r="CI130" s="311">
        <v>1200</v>
      </c>
      <c r="CJ130" s="311">
        <v>0</v>
      </c>
      <c r="CK130" s="311">
        <v>12800</v>
      </c>
      <c r="CL130" s="311">
        <v>4200</v>
      </c>
      <c r="CM130" s="311">
        <v>4200</v>
      </c>
      <c r="CN130" s="311">
        <v>878</v>
      </c>
      <c r="CO130" s="311">
        <v>9400</v>
      </c>
      <c r="CP130" s="311">
        <v>0</v>
      </c>
      <c r="CQ130" s="311">
        <f>3800+892</f>
        <v>4692</v>
      </c>
      <c r="CR130" s="311">
        <v>0</v>
      </c>
      <c r="CS130" s="258">
        <v>5800</v>
      </c>
      <c r="CT130" s="258">
        <v>0</v>
      </c>
      <c r="CU130" s="258">
        <v>1300</v>
      </c>
      <c r="CV130" s="258">
        <v>2700</v>
      </c>
      <c r="CW130" s="258">
        <v>36200</v>
      </c>
      <c r="CX130" s="266">
        <f t="shared" si="82"/>
        <v>2700</v>
      </c>
      <c r="CY130" s="266">
        <f t="shared" si="83"/>
        <v>34900</v>
      </c>
      <c r="CZ130" s="260" t="s">
        <v>4998</v>
      </c>
      <c r="DA130" s="301" t="s">
        <v>4997</v>
      </c>
      <c r="DB130" s="258">
        <v>0</v>
      </c>
      <c r="DC130" s="258">
        <f t="shared" si="96"/>
        <v>1</v>
      </c>
    </row>
    <row r="131" spans="1:107">
      <c r="A131" s="264" t="s">
        <v>4999</v>
      </c>
      <c r="B131" s="264" t="s">
        <v>4776</v>
      </c>
      <c r="C131" s="264"/>
      <c r="D131" s="265" t="s">
        <v>5000</v>
      </c>
      <c r="E131" s="306">
        <f t="shared" si="97"/>
        <v>3.89149689806874e-6</v>
      </c>
      <c r="F131" s="306">
        <f t="shared" si="98"/>
        <v>7.53543881222432e-6</v>
      </c>
      <c r="G131" s="304">
        <f t="shared" si="99"/>
        <v>7.06953904343449e-6</v>
      </c>
      <c r="H131" s="304">
        <f t="shared" si="100"/>
        <v>7.59124854820285e-6</v>
      </c>
      <c r="I131" s="304">
        <f t="shared" si="101"/>
        <v>0</v>
      </c>
      <c r="J131" s="304">
        <f t="shared" si="102"/>
        <v>0</v>
      </c>
      <c r="K131" s="304">
        <f t="shared" si="103"/>
        <v>0</v>
      </c>
      <c r="L131" s="304">
        <f t="shared" si="104"/>
        <v>0</v>
      </c>
      <c r="M131" s="304">
        <f t="shared" si="105"/>
        <v>3.34508079815096e-11</v>
      </c>
      <c r="N131" s="304">
        <f t="shared" si="106"/>
        <v>0</v>
      </c>
      <c r="O131" s="304">
        <f t="shared" si="107"/>
        <v>1.06625499069999e-6</v>
      </c>
      <c r="P131" s="304">
        <f t="shared" si="108"/>
        <v>2.14243042524322e-5</v>
      </c>
      <c r="Q131" s="304">
        <v>2.15495356255811e-5</v>
      </c>
      <c r="R131" s="304">
        <f t="shared" si="109"/>
        <v>0</v>
      </c>
      <c r="S131" s="304">
        <f t="shared" si="110"/>
        <v>0</v>
      </c>
      <c r="T131" s="304">
        <v>2.76614629783709e-5</v>
      </c>
      <c r="U131" s="304">
        <v>0</v>
      </c>
      <c r="V131" s="304">
        <v>0</v>
      </c>
      <c r="W131" s="304">
        <v>0</v>
      </c>
      <c r="X131" s="304">
        <f t="shared" si="111"/>
        <v>1.2681025780119e-5</v>
      </c>
      <c r="Y131" s="304">
        <f t="shared" si="112"/>
        <v>0</v>
      </c>
      <c r="Z131" s="304">
        <f t="shared" si="113"/>
        <v>0</v>
      </c>
      <c r="AA131" s="304">
        <f t="shared" si="114"/>
        <v>0</v>
      </c>
      <c r="AB131" s="304">
        <f t="shared" si="115"/>
        <v>0</v>
      </c>
      <c r="AC131" s="304">
        <f t="shared" si="116"/>
        <v>0</v>
      </c>
      <c r="AD131" s="304">
        <f t="shared" si="117"/>
        <v>9.26347401207452e-5</v>
      </c>
      <c r="AE131" s="304">
        <f t="shared" si="87"/>
        <v>0</v>
      </c>
      <c r="AF131" s="303">
        <f t="shared" ref="AF131:AF167" si="118">AE131-AD131</f>
        <v>-9.26347401207452e-5</v>
      </c>
      <c r="AG131" s="303">
        <f t="shared" si="89"/>
        <v>0</v>
      </c>
      <c r="AH131" s="303">
        <f t="shared" si="90"/>
        <v>0</v>
      </c>
      <c r="AI131" s="303">
        <f t="shared" si="91"/>
        <v>0</v>
      </c>
      <c r="AJ131" s="303">
        <f t="shared" si="92"/>
        <v>0</v>
      </c>
      <c r="AK131" s="303">
        <f t="shared" si="93"/>
        <v>0</v>
      </c>
      <c r="AL131" s="304">
        <f t="shared" si="94"/>
        <v>0</v>
      </c>
      <c r="AM131" s="304">
        <f t="shared" si="95"/>
        <v>0</v>
      </c>
      <c r="AN131" s="299">
        <v>729.19</v>
      </c>
      <c r="AO131" s="299">
        <v>1100</v>
      </c>
      <c r="AP131" s="299">
        <v>1325.8</v>
      </c>
      <c r="AQ131" s="299">
        <v>2000</v>
      </c>
      <c r="AR131" s="300">
        <v>1255</v>
      </c>
      <c r="AS131" s="300">
        <v>2500</v>
      </c>
      <c r="AT131" s="300">
        <v>1285.2</v>
      </c>
      <c r="AU131" s="300">
        <v>3000</v>
      </c>
      <c r="AV131" s="300">
        <v>0</v>
      </c>
      <c r="AW131" s="300">
        <v>4000</v>
      </c>
      <c r="AX131" s="300">
        <v>0</v>
      </c>
      <c r="AY131" s="300">
        <v>1500</v>
      </c>
      <c r="AZ131" s="300">
        <v>0</v>
      </c>
      <c r="BA131" s="300">
        <v>2200</v>
      </c>
      <c r="BB131" s="300">
        <v>0</v>
      </c>
      <c r="BC131" s="300">
        <v>2100</v>
      </c>
      <c r="BD131" s="300">
        <v>0.00430971264</v>
      </c>
      <c r="BE131" s="300">
        <v>384</v>
      </c>
      <c r="BF131" s="300">
        <v>0</v>
      </c>
      <c r="BG131" s="300">
        <v>1300</v>
      </c>
      <c r="BH131" s="300">
        <v>124.23</v>
      </c>
      <c r="BI131" s="300">
        <v>10100</v>
      </c>
      <c r="BJ131" s="300">
        <v>2445.59</v>
      </c>
      <c r="BK131" s="300">
        <v>3100</v>
      </c>
      <c r="BL131" s="266">
        <v>0</v>
      </c>
      <c r="BM131" s="266">
        <v>3400</v>
      </c>
      <c r="BN131" s="266">
        <v>0</v>
      </c>
      <c r="BO131" s="266">
        <v>354</v>
      </c>
      <c r="BP131" s="266">
        <v>0</v>
      </c>
      <c r="BQ131" s="266">
        <v>1200</v>
      </c>
      <c r="BR131" s="266">
        <v>3348</v>
      </c>
      <c r="BS131" s="266">
        <v>4000</v>
      </c>
      <c r="BT131" s="266">
        <v>0</v>
      </c>
      <c r="BU131" s="266">
        <v>1100</v>
      </c>
      <c r="BV131" s="266">
        <v>0</v>
      </c>
      <c r="BW131" s="266">
        <v>3500</v>
      </c>
      <c r="BX131" s="266">
        <v>0</v>
      </c>
      <c r="BY131" s="266">
        <v>2100</v>
      </c>
      <c r="BZ131" s="266">
        <v>0</v>
      </c>
      <c r="CA131" s="266">
        <v>2100</v>
      </c>
      <c r="CB131" s="266">
        <v>0</v>
      </c>
      <c r="CC131" s="266">
        <v>2100</v>
      </c>
      <c r="CD131" s="311">
        <v>0</v>
      </c>
      <c r="CE131" s="311">
        <v>362</v>
      </c>
      <c r="CF131" s="311">
        <v>0</v>
      </c>
      <c r="CG131" s="311">
        <v>217</v>
      </c>
      <c r="CH131" s="311">
        <v>0</v>
      </c>
      <c r="CI131" s="311">
        <v>1300</v>
      </c>
      <c r="CJ131" s="311">
        <v>0</v>
      </c>
      <c r="CK131" s="311">
        <v>996</v>
      </c>
      <c r="CL131" s="311">
        <v>16100</v>
      </c>
      <c r="CM131" s="311">
        <v>16100</v>
      </c>
      <c r="CN131" s="311">
        <v>0</v>
      </c>
      <c r="CO131" s="311">
        <v>480</v>
      </c>
      <c r="CP131" s="311">
        <v>0</v>
      </c>
      <c r="CQ131" s="311">
        <v>214</v>
      </c>
      <c r="CR131" s="311">
        <v>0</v>
      </c>
      <c r="CS131" s="258">
        <v>2300</v>
      </c>
      <c r="CT131" s="258">
        <v>0</v>
      </c>
      <c r="CU131" s="258">
        <v>8700</v>
      </c>
      <c r="CV131" s="258">
        <v>0</v>
      </c>
      <c r="CW131" s="258">
        <v>1800</v>
      </c>
      <c r="CX131" s="266">
        <f t="shared" ref="CX131:CX168" si="119">CV131-CT131</f>
        <v>0</v>
      </c>
      <c r="CY131" s="266">
        <f t="shared" ref="CY131:CY168" si="120">CW131-CU131</f>
        <v>-6900</v>
      </c>
      <c r="DA131" s="301" t="s">
        <v>5000</v>
      </c>
      <c r="DB131" s="258">
        <v>0</v>
      </c>
      <c r="DC131" s="258">
        <f t="shared" si="96"/>
        <v>1</v>
      </c>
    </row>
    <row r="132" spans="1:107">
      <c r="A132" s="264" t="s">
        <v>5001</v>
      </c>
      <c r="B132" s="264" t="s">
        <v>4776</v>
      </c>
      <c r="C132" s="264"/>
      <c r="D132" s="265" t="s">
        <v>5002</v>
      </c>
      <c r="E132" s="306">
        <f t="shared" si="97"/>
        <v>3.77782435191634e-6</v>
      </c>
      <c r="F132" s="306">
        <f t="shared" si="98"/>
        <v>2.40018333257704e-5</v>
      </c>
      <c r="G132" s="304">
        <f t="shared" si="99"/>
        <v>3.57510250940728e-6</v>
      </c>
      <c r="H132" s="304">
        <f t="shared" si="100"/>
        <v>1.54274465807614e-5</v>
      </c>
      <c r="I132" s="304">
        <f t="shared" si="101"/>
        <v>0</v>
      </c>
      <c r="J132" s="304">
        <f t="shared" si="102"/>
        <v>2.63720184118575e-5</v>
      </c>
      <c r="K132" s="304">
        <f t="shared" si="103"/>
        <v>3.51402614380286e-5</v>
      </c>
      <c r="L132" s="304">
        <f t="shared" si="104"/>
        <v>5.22422595625081e-5</v>
      </c>
      <c r="M132" s="304">
        <f t="shared" si="105"/>
        <v>4.9081575040073e-5</v>
      </c>
      <c r="N132" s="304">
        <f t="shared" si="106"/>
        <v>7.53076056458653e-5</v>
      </c>
      <c r="O132" s="304">
        <f t="shared" si="107"/>
        <v>5.56883275461558e-5</v>
      </c>
      <c r="P132" s="304">
        <f t="shared" si="108"/>
        <v>4.68464967398669e-5</v>
      </c>
      <c r="Q132" s="304">
        <v>7.57709478447851e-5</v>
      </c>
      <c r="R132" s="304">
        <f t="shared" si="109"/>
        <v>7.19850361126844e-5</v>
      </c>
      <c r="S132" s="304">
        <f t="shared" si="110"/>
        <v>3.97690533048855e-5</v>
      </c>
      <c r="T132" s="304">
        <v>5.38972204455268e-5</v>
      </c>
      <c r="U132" s="304">
        <v>3.13007651167441e-5</v>
      </c>
      <c r="V132" s="304">
        <v>2.11719517895712e-5</v>
      </c>
      <c r="W132" s="304">
        <v>2.84259758724982e-5</v>
      </c>
      <c r="X132" s="304">
        <f t="shared" si="111"/>
        <v>7.85015881626415e-5</v>
      </c>
      <c r="Y132" s="304">
        <f t="shared" si="112"/>
        <v>3.18977609997203e-5</v>
      </c>
      <c r="Z132" s="304">
        <f t="shared" si="113"/>
        <v>1.93398797632512e-5</v>
      </c>
      <c r="AA132" s="304">
        <f t="shared" si="114"/>
        <v>2.3421832863416e-5</v>
      </c>
      <c r="AB132" s="304">
        <f t="shared" si="115"/>
        <v>0.000136229146608583</v>
      </c>
      <c r="AC132" s="304">
        <f t="shared" si="116"/>
        <v>0</v>
      </c>
      <c r="AD132" s="304">
        <f t="shared" si="117"/>
        <v>0.000135212198312889</v>
      </c>
      <c r="AE132" s="304">
        <f t="shared" si="87"/>
        <v>0</v>
      </c>
      <c r="AF132" s="303">
        <f t="shared" si="118"/>
        <v>-0.000135212198312889</v>
      </c>
      <c r="AG132" s="303">
        <f t="shared" si="89"/>
        <v>0</v>
      </c>
      <c r="AH132" s="303">
        <f t="shared" si="90"/>
        <v>2.00105917998906e-5</v>
      </c>
      <c r="AI132" s="303">
        <f t="shared" si="91"/>
        <v>0</v>
      </c>
      <c r="AJ132" s="303">
        <f t="shared" si="92"/>
        <v>1.65927257932595e-5</v>
      </c>
      <c r="AK132" s="303">
        <f t="shared" si="93"/>
        <v>1.65927257932595e-5</v>
      </c>
      <c r="AL132" s="304">
        <f t="shared" si="94"/>
        <v>1.65927257932595e-5</v>
      </c>
      <c r="AM132" s="304">
        <f t="shared" si="95"/>
        <v>1</v>
      </c>
      <c r="AN132" s="299">
        <v>707.89</v>
      </c>
      <c r="AO132" s="299">
        <v>2900</v>
      </c>
      <c r="AP132" s="299">
        <v>4222.93</v>
      </c>
      <c r="AQ132" s="299">
        <v>17300</v>
      </c>
      <c r="AR132" s="300">
        <v>634.66</v>
      </c>
      <c r="AS132" s="300">
        <v>2600</v>
      </c>
      <c r="AT132" s="300">
        <v>2611.87</v>
      </c>
      <c r="AU132" s="300">
        <v>10700</v>
      </c>
      <c r="AV132" s="300">
        <v>0</v>
      </c>
      <c r="AW132" s="300">
        <v>3500</v>
      </c>
      <c r="AX132" s="300">
        <v>3720.39</v>
      </c>
      <c r="AY132" s="300">
        <v>5700</v>
      </c>
      <c r="AZ132" s="300">
        <v>4628.49</v>
      </c>
      <c r="BA132" s="300">
        <v>7100</v>
      </c>
      <c r="BB132" s="300">
        <v>7170.9</v>
      </c>
      <c r="BC132" s="300">
        <v>11000</v>
      </c>
      <c r="BD132" s="300">
        <v>6323.538865137</v>
      </c>
      <c r="BE132" s="300">
        <v>9700</v>
      </c>
      <c r="BF132" s="300">
        <v>9296.43</v>
      </c>
      <c r="BG132" s="300">
        <v>19700</v>
      </c>
      <c r="BH132" s="300">
        <v>6488.28</v>
      </c>
      <c r="BI132" s="300">
        <v>13400</v>
      </c>
      <c r="BJ132" s="300">
        <v>5347.54</v>
      </c>
      <c r="BK132" s="300">
        <v>10900</v>
      </c>
      <c r="BL132" s="266">
        <v>11396.56</v>
      </c>
      <c r="BM132" s="266">
        <v>32900</v>
      </c>
      <c r="BN132" s="266">
        <v>9014.25</v>
      </c>
      <c r="BO132" s="266">
        <v>25500</v>
      </c>
      <c r="BP132" s="266">
        <v>5231.8</v>
      </c>
      <c r="BQ132" s="266">
        <v>14800</v>
      </c>
      <c r="BR132" s="266">
        <v>6523.44</v>
      </c>
      <c r="BS132" s="266">
        <v>13200</v>
      </c>
      <c r="BT132" s="266">
        <v>3521.28</v>
      </c>
      <c r="BU132" s="266">
        <v>9600</v>
      </c>
      <c r="BV132" s="266">
        <v>2724.15</v>
      </c>
      <c r="BW132" s="266">
        <v>12700</v>
      </c>
      <c r="BX132" s="266">
        <v>3900</v>
      </c>
      <c r="BY132" s="266">
        <v>13000</v>
      </c>
      <c r="BZ132" s="266">
        <v>3900</v>
      </c>
      <c r="CA132" s="266">
        <v>13000</v>
      </c>
      <c r="CB132" s="266">
        <v>4300</v>
      </c>
      <c r="CC132" s="266">
        <v>8800</v>
      </c>
      <c r="CD132" s="311">
        <v>2700</v>
      </c>
      <c r="CE132" s="311">
        <v>13300</v>
      </c>
      <c r="CF132" s="311">
        <v>2900</v>
      </c>
      <c r="CG132" s="311">
        <v>17300</v>
      </c>
      <c r="CH132" s="311">
        <v>17800</v>
      </c>
      <c r="CI132" s="311">
        <v>31700</v>
      </c>
      <c r="CJ132" s="311">
        <v>0</v>
      </c>
      <c r="CK132" s="311">
        <v>9100</v>
      </c>
      <c r="CL132" s="311">
        <v>23500</v>
      </c>
      <c r="CM132" s="311">
        <v>23500</v>
      </c>
      <c r="CN132" s="311">
        <v>0</v>
      </c>
      <c r="CO132" s="311">
        <v>12800</v>
      </c>
      <c r="CP132" s="311">
        <v>0</v>
      </c>
      <c r="CQ132" s="311">
        <v>15700</v>
      </c>
      <c r="CR132" s="311">
        <v>3100</v>
      </c>
      <c r="CS132" s="258">
        <v>13500</v>
      </c>
      <c r="CT132" s="258">
        <v>0</v>
      </c>
      <c r="CU132" s="258">
        <v>60800</v>
      </c>
      <c r="CV132" s="258">
        <v>2700</v>
      </c>
      <c r="CW132" s="258">
        <v>15800</v>
      </c>
      <c r="CX132" s="266">
        <f t="shared" si="119"/>
        <v>2700</v>
      </c>
      <c r="CY132" s="266">
        <f t="shared" si="120"/>
        <v>-45000</v>
      </c>
      <c r="DA132" s="301" t="s">
        <v>5002</v>
      </c>
      <c r="DB132" s="258">
        <v>0</v>
      </c>
      <c r="DC132" s="258">
        <f t="shared" si="96"/>
        <v>1</v>
      </c>
    </row>
    <row r="133" spans="1:107">
      <c r="A133" s="264" t="s">
        <v>5003</v>
      </c>
      <c r="B133" s="264" t="s">
        <v>4776</v>
      </c>
      <c r="C133" s="264"/>
      <c r="D133" s="265" t="s">
        <v>5004</v>
      </c>
      <c r="E133" s="306">
        <f t="shared" si="97"/>
        <v>2.76443093459812e-6</v>
      </c>
      <c r="F133" s="306">
        <f t="shared" si="98"/>
        <v>1.98929218907717e-5</v>
      </c>
      <c r="G133" s="304">
        <f t="shared" si="99"/>
        <v>2.14057755896821e-5</v>
      </c>
      <c r="H133" s="304">
        <f t="shared" si="100"/>
        <v>1.06320007677911e-5</v>
      </c>
      <c r="I133" s="304">
        <f t="shared" si="101"/>
        <v>8.62964062319045e-6</v>
      </c>
      <c r="J133" s="304">
        <f t="shared" si="102"/>
        <v>2.41009309777511e-5</v>
      </c>
      <c r="K133" s="304">
        <f t="shared" si="103"/>
        <v>1.74619803234891e-5</v>
      </c>
      <c r="L133" s="304">
        <f t="shared" si="104"/>
        <v>1.81801373084635e-5</v>
      </c>
      <c r="M133" s="304">
        <f t="shared" si="105"/>
        <v>7.91696036168663e-5</v>
      </c>
      <c r="N133" s="304">
        <f t="shared" si="106"/>
        <v>2.29193151192282e-5</v>
      </c>
      <c r="O133" s="304">
        <f t="shared" si="107"/>
        <v>2.57487319657085e-5</v>
      </c>
      <c r="P133" s="304">
        <f t="shared" si="108"/>
        <v>3.50415306775578e-5</v>
      </c>
      <c r="Q133" s="304">
        <v>2.78058524201046e-5</v>
      </c>
      <c r="R133" s="304">
        <f t="shared" si="109"/>
        <v>2.23599413279548e-5</v>
      </c>
      <c r="S133" s="304">
        <f t="shared" si="110"/>
        <v>1.21622549194955e-5</v>
      </c>
      <c r="T133" s="304">
        <v>0</v>
      </c>
      <c r="U133" s="304">
        <v>4.88896674340276e-5</v>
      </c>
      <c r="V133" s="304">
        <v>3.88597393491019e-5</v>
      </c>
      <c r="W133" s="304">
        <v>3.49858164584593e-5</v>
      </c>
      <c r="X133" s="304">
        <f t="shared" si="111"/>
        <v>2.89852017831292e-5</v>
      </c>
      <c r="Y133" s="304">
        <f t="shared" si="112"/>
        <v>5.04429708832787e-5</v>
      </c>
      <c r="Z133" s="304">
        <f t="shared" si="113"/>
        <v>0</v>
      </c>
      <c r="AA133" s="304">
        <f t="shared" si="114"/>
        <v>0.000109032670226247</v>
      </c>
      <c r="AB133" s="304">
        <f t="shared" si="115"/>
        <v>2.75519622354438e-5</v>
      </c>
      <c r="AC133" s="304">
        <f t="shared" si="116"/>
        <v>0</v>
      </c>
      <c r="AD133" s="304">
        <f t="shared" si="117"/>
        <v>0</v>
      </c>
      <c r="AE133" s="304">
        <f t="shared" ref="AE133:AE168" si="121">CN133/$CN$182</f>
        <v>0</v>
      </c>
      <c r="AF133" s="303">
        <f t="shared" si="118"/>
        <v>0</v>
      </c>
      <c r="AG133" s="303">
        <f t="shared" ref="AG133:AG168" si="122">CP133/$CP$182</f>
        <v>0</v>
      </c>
      <c r="AH133" s="303">
        <f t="shared" ref="AH133:AH168" si="123">CR133/$CR$182</f>
        <v>0</v>
      </c>
      <c r="AI133" s="303">
        <f t="shared" ref="AI133:AI168" si="124">CT133/$CT$182</f>
        <v>0</v>
      </c>
      <c r="AJ133" s="303">
        <f t="shared" ref="AJ133:AJ164" si="125">CV133/$CV$182</f>
        <v>0</v>
      </c>
      <c r="AK133" s="303">
        <f t="shared" ref="AK133:AK168" si="126">AJ133-AI133</f>
        <v>0</v>
      </c>
      <c r="AL133" s="304">
        <f t="shared" ref="AL133:AL168" si="127">AK133</f>
        <v>0</v>
      </c>
      <c r="AM133" s="304">
        <f t="shared" ref="AM133:AM168" si="128">IF(CV133=0,0,CX133/CV133)</f>
        <v>0</v>
      </c>
      <c r="AN133" s="299">
        <v>518</v>
      </c>
      <c r="AO133" s="299">
        <v>518</v>
      </c>
      <c r="AP133" s="299">
        <v>3500</v>
      </c>
      <c r="AQ133" s="299">
        <v>3500</v>
      </c>
      <c r="AR133" s="300">
        <v>3800</v>
      </c>
      <c r="AS133" s="300">
        <v>3800</v>
      </c>
      <c r="AT133" s="300">
        <v>1800</v>
      </c>
      <c r="AU133" s="300">
        <v>1800</v>
      </c>
      <c r="AV133" s="300">
        <v>1461</v>
      </c>
      <c r="AW133" s="300">
        <v>1500</v>
      </c>
      <c r="AX133" s="300">
        <v>3400</v>
      </c>
      <c r="AY133" s="300">
        <v>3400</v>
      </c>
      <c r="AZ133" s="300">
        <v>2300</v>
      </c>
      <c r="BA133" s="300">
        <v>2300</v>
      </c>
      <c r="BB133" s="300">
        <v>2495.45</v>
      </c>
      <c r="BC133" s="300">
        <v>2900</v>
      </c>
      <c r="BD133" s="300">
        <v>10200</v>
      </c>
      <c r="BE133" s="300">
        <v>10200</v>
      </c>
      <c r="BF133" s="300">
        <v>2829.3</v>
      </c>
      <c r="BG133" s="300">
        <v>3000</v>
      </c>
      <c r="BH133" s="300">
        <v>3000</v>
      </c>
      <c r="BI133" s="300">
        <v>3000</v>
      </c>
      <c r="BJ133" s="300">
        <v>4000</v>
      </c>
      <c r="BK133" s="300">
        <v>4000</v>
      </c>
      <c r="BL133" s="266">
        <v>2940.48</v>
      </c>
      <c r="BM133" s="266">
        <v>3600</v>
      </c>
      <c r="BN133" s="266">
        <v>2800</v>
      </c>
      <c r="BO133" s="266">
        <v>2800</v>
      </c>
      <c r="BP133" s="266">
        <v>1600</v>
      </c>
      <c r="BQ133" s="266">
        <v>1600</v>
      </c>
      <c r="BR133" s="266">
        <v>0</v>
      </c>
      <c r="BS133" s="266">
        <v>0</v>
      </c>
      <c r="BT133" s="266">
        <v>5500</v>
      </c>
      <c r="BU133" s="266">
        <v>5500</v>
      </c>
      <c r="BV133" s="266">
        <v>5000</v>
      </c>
      <c r="BW133" s="266">
        <v>5000</v>
      </c>
      <c r="BX133" s="266">
        <v>4800</v>
      </c>
      <c r="BY133" s="266">
        <v>4800</v>
      </c>
      <c r="BZ133" s="266">
        <v>4800</v>
      </c>
      <c r="CA133" s="266">
        <v>4800</v>
      </c>
      <c r="CB133" s="266">
        <v>6800</v>
      </c>
      <c r="CC133" s="266">
        <v>6800</v>
      </c>
      <c r="CD133" s="311">
        <v>0</v>
      </c>
      <c r="CE133" s="311">
        <v>0</v>
      </c>
      <c r="CF133" s="311">
        <v>13500</v>
      </c>
      <c r="CG133" s="311">
        <v>13500</v>
      </c>
      <c r="CH133" s="311">
        <v>3600</v>
      </c>
      <c r="CI133" s="311">
        <v>3800</v>
      </c>
      <c r="CJ133" s="311">
        <v>0</v>
      </c>
      <c r="CK133" s="311">
        <v>0</v>
      </c>
      <c r="CL133" s="311">
        <v>0</v>
      </c>
      <c r="CM133" s="311">
        <v>0</v>
      </c>
      <c r="CN133" s="311">
        <v>0</v>
      </c>
      <c r="CO133" s="311">
        <v>446</v>
      </c>
      <c r="CP133" s="311">
        <v>0</v>
      </c>
      <c r="CQ133" s="311">
        <v>0</v>
      </c>
      <c r="CR133" s="311">
        <v>0</v>
      </c>
      <c r="CS133" s="258">
        <v>0</v>
      </c>
      <c r="CT133" s="258">
        <v>0</v>
      </c>
      <c r="CU133" s="258">
        <v>0</v>
      </c>
      <c r="CV133" s="258">
        <v>0</v>
      </c>
      <c r="CW133" s="258">
        <v>0</v>
      </c>
      <c r="CX133" s="266">
        <f t="shared" si="119"/>
        <v>0</v>
      </c>
      <c r="CY133" s="266">
        <f t="shared" si="120"/>
        <v>0</v>
      </c>
      <c r="CZ133" s="260" t="s">
        <v>5005</v>
      </c>
      <c r="DA133" s="301" t="s">
        <v>5004</v>
      </c>
      <c r="DB133" s="258">
        <v>0</v>
      </c>
      <c r="DC133" s="258">
        <f t="shared" si="96"/>
        <v>1</v>
      </c>
    </row>
    <row r="134" spans="1:107">
      <c r="A134" s="264" t="s">
        <v>5006</v>
      </c>
      <c r="B134" s="264" t="s">
        <v>4776</v>
      </c>
      <c r="C134" s="264"/>
      <c r="D134" s="265" t="s">
        <v>5007</v>
      </c>
      <c r="E134" s="306">
        <f t="shared" si="97"/>
        <v>0</v>
      </c>
      <c r="F134" s="306">
        <f t="shared" si="98"/>
        <v>1.88149528719706e-5</v>
      </c>
      <c r="G134" s="304">
        <f t="shared" si="99"/>
        <v>1.71007361326667e-5</v>
      </c>
      <c r="H134" s="304">
        <f t="shared" si="100"/>
        <v>8.23294886120997e-6</v>
      </c>
      <c r="I134" s="304">
        <f t="shared" si="101"/>
        <v>3.85823494528953e-5</v>
      </c>
      <c r="J134" s="304">
        <f t="shared" si="102"/>
        <v>9.70558667492258e-6</v>
      </c>
      <c r="K134" s="304">
        <f t="shared" si="103"/>
        <v>1.84546559440526e-5</v>
      </c>
      <c r="L134" s="304">
        <f t="shared" si="104"/>
        <v>2.87338620110861e-5</v>
      </c>
      <c r="M134" s="304">
        <f t="shared" si="105"/>
        <v>3.35083018790633e-5</v>
      </c>
      <c r="N134" s="304">
        <f t="shared" si="106"/>
        <v>2.89958134252528e-5</v>
      </c>
      <c r="O134" s="304">
        <f t="shared" si="107"/>
        <v>3.51899336864683e-5</v>
      </c>
      <c r="P134" s="304">
        <f t="shared" si="108"/>
        <v>3.31982585600916e-5</v>
      </c>
      <c r="Q134" s="304">
        <v>2.98912913516125e-5</v>
      </c>
      <c r="R134" s="304">
        <f t="shared" si="109"/>
        <v>4.68408828047327e-5</v>
      </c>
      <c r="S134" s="304">
        <f t="shared" si="110"/>
        <v>6.65372642135762e-5</v>
      </c>
      <c r="T134" s="304">
        <v>2.42203868983644e-5</v>
      </c>
      <c r="U134" s="304">
        <v>0</v>
      </c>
      <c r="V134" s="304">
        <v>1.81297782348874e-5</v>
      </c>
      <c r="W134" s="304">
        <v>9.98553511418525e-5</v>
      </c>
      <c r="X134" s="304">
        <f t="shared" si="111"/>
        <v>9.42019057951698e-5</v>
      </c>
      <c r="Y134" s="304">
        <f t="shared" si="112"/>
        <v>0</v>
      </c>
      <c r="Z134" s="304">
        <f t="shared" si="113"/>
        <v>7.87921027391716e-5</v>
      </c>
      <c r="AA134" s="304">
        <f t="shared" si="114"/>
        <v>0.00024148717331591</v>
      </c>
      <c r="AB134" s="304">
        <f t="shared" si="115"/>
        <v>1.76026425393113e-5</v>
      </c>
      <c r="AC134" s="304">
        <f t="shared" si="116"/>
        <v>0.00023761290072621</v>
      </c>
      <c r="AD134" s="304">
        <f t="shared" si="117"/>
        <v>3.68237476256378e-5</v>
      </c>
      <c r="AE134" s="304">
        <f t="shared" si="121"/>
        <v>2.56418871140247e-5</v>
      </c>
      <c r="AF134" s="303">
        <f t="shared" si="118"/>
        <v>-1.11818605116131e-5</v>
      </c>
      <c r="AG134" s="303">
        <f t="shared" si="122"/>
        <v>5.15339828437715e-5</v>
      </c>
      <c r="AH134" s="303">
        <f t="shared" si="123"/>
        <v>3.31143019140125e-6</v>
      </c>
      <c r="AI134" s="303">
        <f t="shared" si="124"/>
        <v>2.38887360296735e-5</v>
      </c>
      <c r="AJ134" s="303">
        <f t="shared" si="125"/>
        <v>1.65927257932595e-5</v>
      </c>
      <c r="AK134" s="303">
        <f t="shared" si="126"/>
        <v>-7.296010236414e-6</v>
      </c>
      <c r="AL134" s="304">
        <f t="shared" si="127"/>
        <v>-7.296010236414e-6</v>
      </c>
      <c r="AM134" s="304">
        <f t="shared" si="128"/>
        <v>-0.37037037037037</v>
      </c>
      <c r="AN134" s="299">
        <v>0</v>
      </c>
      <c r="AO134" s="299">
        <v>0</v>
      </c>
      <c r="AP134" s="299">
        <v>3310.34</v>
      </c>
      <c r="AQ134" s="299">
        <v>4100</v>
      </c>
      <c r="AR134" s="300">
        <v>3035.76</v>
      </c>
      <c r="AS134" s="300">
        <v>3900</v>
      </c>
      <c r="AT134" s="300">
        <v>1393.84</v>
      </c>
      <c r="AU134" s="300">
        <v>1400</v>
      </c>
      <c r="AV134" s="300">
        <v>6532</v>
      </c>
      <c r="AW134" s="300">
        <v>9200</v>
      </c>
      <c r="AX134" s="300">
        <v>1369.2</v>
      </c>
      <c r="AY134" s="300">
        <v>2000</v>
      </c>
      <c r="AZ134" s="300">
        <v>2430.75</v>
      </c>
      <c r="BA134" s="300">
        <v>2500</v>
      </c>
      <c r="BB134" s="300">
        <v>3944.08</v>
      </c>
      <c r="BC134" s="300">
        <v>5600</v>
      </c>
      <c r="BD134" s="300">
        <v>4317.12</v>
      </c>
      <c r="BE134" s="300">
        <v>4800</v>
      </c>
      <c r="BF134" s="300">
        <v>3579.42</v>
      </c>
      <c r="BG134" s="300">
        <v>3900</v>
      </c>
      <c r="BH134" s="300">
        <v>4100</v>
      </c>
      <c r="BI134" s="300">
        <v>4100</v>
      </c>
      <c r="BJ134" s="300">
        <v>3789.59</v>
      </c>
      <c r="BK134" s="300">
        <v>4300</v>
      </c>
      <c r="BL134" s="266">
        <v>10586.24</v>
      </c>
      <c r="BM134" s="266">
        <v>11200</v>
      </c>
      <c r="BN134" s="266">
        <v>5865.6</v>
      </c>
      <c r="BO134" s="266">
        <v>6500</v>
      </c>
      <c r="BP134" s="266">
        <v>8753.28</v>
      </c>
      <c r="BQ134" s="266">
        <v>9700</v>
      </c>
      <c r="BR134" s="266">
        <v>2931.51</v>
      </c>
      <c r="BS134" s="266">
        <v>3700</v>
      </c>
      <c r="BT134" s="266">
        <v>0</v>
      </c>
      <c r="BU134" s="266">
        <v>796</v>
      </c>
      <c r="BV134" s="266">
        <v>2332.72</v>
      </c>
      <c r="BW134" s="266">
        <v>2600</v>
      </c>
      <c r="BX134" s="266">
        <v>13700</v>
      </c>
      <c r="BY134" s="266">
        <v>15600</v>
      </c>
      <c r="BZ134" s="266">
        <v>13700</v>
      </c>
      <c r="CA134" s="266">
        <v>15600</v>
      </c>
      <c r="CB134" s="266">
        <v>0</v>
      </c>
      <c r="CC134" s="266">
        <v>1000</v>
      </c>
      <c r="CD134" s="311">
        <v>11000</v>
      </c>
      <c r="CE134" s="311">
        <v>11300</v>
      </c>
      <c r="CF134" s="311">
        <v>29900</v>
      </c>
      <c r="CG134" s="311">
        <v>31400</v>
      </c>
      <c r="CH134" s="311">
        <v>2300</v>
      </c>
      <c r="CI134" s="311">
        <v>2900</v>
      </c>
      <c r="CJ134" s="311">
        <v>37000</v>
      </c>
      <c r="CK134" s="311">
        <v>37600</v>
      </c>
      <c r="CL134" s="311">
        <v>6400</v>
      </c>
      <c r="CM134" s="311">
        <v>6400</v>
      </c>
      <c r="CN134" s="311">
        <v>3900</v>
      </c>
      <c r="CO134" s="311">
        <v>4500</v>
      </c>
      <c r="CP134" s="311">
        <v>8200</v>
      </c>
      <c r="CQ134" s="311">
        <v>9000</v>
      </c>
      <c r="CR134" s="311">
        <v>513</v>
      </c>
      <c r="CS134" s="258">
        <v>1400</v>
      </c>
      <c r="CT134" s="258">
        <v>3700</v>
      </c>
      <c r="CU134" s="258">
        <v>4500</v>
      </c>
      <c r="CV134" s="258">
        <v>2700</v>
      </c>
      <c r="CW134" s="258">
        <v>3600</v>
      </c>
      <c r="CX134" s="266">
        <f t="shared" si="119"/>
        <v>-1000</v>
      </c>
      <c r="CY134" s="266">
        <f t="shared" si="120"/>
        <v>-900</v>
      </c>
      <c r="DA134" s="301" t="s">
        <v>5007</v>
      </c>
      <c r="DB134" s="258">
        <v>2700</v>
      </c>
      <c r="DC134" s="258">
        <f t="shared" si="96"/>
        <v>1</v>
      </c>
    </row>
    <row r="135" spans="1:107">
      <c r="A135" s="264" t="s">
        <v>5008</v>
      </c>
      <c r="B135" s="264" t="s">
        <v>4776</v>
      </c>
      <c r="C135" s="264"/>
      <c r="D135" s="265" t="s">
        <v>5009</v>
      </c>
      <c r="E135" s="306">
        <f t="shared" si="97"/>
        <v>0</v>
      </c>
      <c r="F135" s="306">
        <f t="shared" si="98"/>
        <v>0</v>
      </c>
      <c r="G135" s="304">
        <f t="shared" si="99"/>
        <v>1.23928174466581e-5</v>
      </c>
      <c r="H135" s="304">
        <f t="shared" si="100"/>
        <v>7.67866722118247e-6</v>
      </c>
      <c r="I135" s="304">
        <f t="shared" si="101"/>
        <v>0</v>
      </c>
      <c r="J135" s="304">
        <f t="shared" si="102"/>
        <v>0</v>
      </c>
      <c r="K135" s="304">
        <f t="shared" si="103"/>
        <v>0</v>
      </c>
      <c r="L135" s="304">
        <f t="shared" si="104"/>
        <v>0</v>
      </c>
      <c r="M135" s="304">
        <f t="shared" si="105"/>
        <v>0</v>
      </c>
      <c r="N135" s="304">
        <f t="shared" si="106"/>
        <v>0</v>
      </c>
      <c r="O135" s="304">
        <f t="shared" si="107"/>
        <v>3.00401872933266e-5</v>
      </c>
      <c r="P135" s="304">
        <f t="shared" si="108"/>
        <v>0</v>
      </c>
      <c r="Q135" s="304">
        <v>0</v>
      </c>
      <c r="R135" s="304">
        <f t="shared" si="109"/>
        <v>3.83313279907796e-5</v>
      </c>
      <c r="S135" s="304">
        <f t="shared" si="110"/>
        <v>0</v>
      </c>
      <c r="T135" s="304">
        <v>2.47862571490778e-5</v>
      </c>
      <c r="U135" s="304">
        <v>2.66670913276514e-5</v>
      </c>
      <c r="V135" s="304">
        <v>0</v>
      </c>
      <c r="W135" s="304">
        <v>0.000161809401120374</v>
      </c>
      <c r="X135" s="304">
        <f t="shared" si="111"/>
        <v>0.000134056558246972</v>
      </c>
      <c r="Y135" s="304">
        <f t="shared" si="112"/>
        <v>0</v>
      </c>
      <c r="Z135" s="304">
        <f t="shared" si="113"/>
        <v>0</v>
      </c>
      <c r="AA135" s="304">
        <f t="shared" si="114"/>
        <v>1.53453387725829e-5</v>
      </c>
      <c r="AB135" s="304">
        <f t="shared" si="115"/>
        <v>0</v>
      </c>
      <c r="AC135" s="304">
        <f t="shared" si="116"/>
        <v>0</v>
      </c>
      <c r="AD135" s="304">
        <f t="shared" si="117"/>
        <v>0</v>
      </c>
      <c r="AE135" s="304">
        <f t="shared" si="121"/>
        <v>0</v>
      </c>
      <c r="AF135" s="303">
        <f t="shared" si="118"/>
        <v>0</v>
      </c>
      <c r="AG135" s="303">
        <f t="shared" si="122"/>
        <v>2.71496104737918e-6</v>
      </c>
      <c r="AH135" s="303">
        <f t="shared" si="123"/>
        <v>0</v>
      </c>
      <c r="AI135" s="303">
        <f t="shared" si="124"/>
        <v>0</v>
      </c>
      <c r="AJ135" s="303">
        <f t="shared" si="125"/>
        <v>0</v>
      </c>
      <c r="AK135" s="303">
        <f t="shared" si="126"/>
        <v>0</v>
      </c>
      <c r="AL135" s="304">
        <f t="shared" si="127"/>
        <v>0</v>
      </c>
      <c r="AM135" s="304">
        <f t="shared" si="128"/>
        <v>0</v>
      </c>
      <c r="AN135" s="299">
        <v>0</v>
      </c>
      <c r="AO135" s="299">
        <v>0</v>
      </c>
      <c r="AP135" s="299">
        <v>0</v>
      </c>
      <c r="AQ135" s="299">
        <v>0</v>
      </c>
      <c r="AR135" s="300">
        <v>2200</v>
      </c>
      <c r="AS135" s="300">
        <v>2200</v>
      </c>
      <c r="AT135" s="300">
        <v>1300</v>
      </c>
      <c r="AU135" s="300">
        <v>1300</v>
      </c>
      <c r="AV135" s="300">
        <v>0</v>
      </c>
      <c r="AW135" s="300">
        <v>0</v>
      </c>
      <c r="AX135" s="300">
        <v>0</v>
      </c>
      <c r="AY135" s="300">
        <v>0</v>
      </c>
      <c r="AZ135" s="300">
        <v>0</v>
      </c>
      <c r="BA135" s="300">
        <v>0</v>
      </c>
      <c r="BB135" s="300">
        <v>0</v>
      </c>
      <c r="BC135" s="300">
        <v>0</v>
      </c>
      <c r="BD135" s="300">
        <v>0</v>
      </c>
      <c r="BE135" s="300">
        <v>0</v>
      </c>
      <c r="BF135" s="300">
        <v>0</v>
      </c>
      <c r="BG135" s="300">
        <v>0</v>
      </c>
      <c r="BH135" s="300">
        <v>3500</v>
      </c>
      <c r="BI135" s="300">
        <v>3500</v>
      </c>
      <c r="BJ135" s="300">
        <v>0</v>
      </c>
      <c r="BK135" s="300">
        <v>0</v>
      </c>
      <c r="BL135" s="266">
        <v>0</v>
      </c>
      <c r="BM135" s="266">
        <v>229</v>
      </c>
      <c r="BN135" s="266">
        <v>4800</v>
      </c>
      <c r="BO135" s="266">
        <v>4800</v>
      </c>
      <c r="BP135" s="266">
        <v>0</v>
      </c>
      <c r="BQ135" s="266">
        <v>0</v>
      </c>
      <c r="BR135" s="266">
        <v>3000</v>
      </c>
      <c r="BS135" s="266">
        <v>3000</v>
      </c>
      <c r="BT135" s="266">
        <v>3000</v>
      </c>
      <c r="BU135" s="266">
        <v>3000</v>
      </c>
      <c r="BV135" s="266">
        <v>0</v>
      </c>
      <c r="BW135" s="266">
        <v>0</v>
      </c>
      <c r="BX135" s="266">
        <v>22200</v>
      </c>
      <c r="BY135" s="266">
        <v>22200</v>
      </c>
      <c r="BZ135" s="266">
        <v>22200</v>
      </c>
      <c r="CA135" s="266">
        <v>22200</v>
      </c>
      <c r="CB135" s="266">
        <v>0</v>
      </c>
      <c r="CC135" s="266">
        <v>0</v>
      </c>
      <c r="CD135" s="311">
        <v>0</v>
      </c>
      <c r="CE135" s="311">
        <v>0</v>
      </c>
      <c r="CF135" s="311">
        <v>1900</v>
      </c>
      <c r="CG135" s="311">
        <v>1900</v>
      </c>
      <c r="CH135" s="311">
        <v>0</v>
      </c>
      <c r="CI135" s="311">
        <v>0</v>
      </c>
      <c r="CJ135" s="311">
        <v>0</v>
      </c>
      <c r="CK135" s="311">
        <v>0</v>
      </c>
      <c r="CL135" s="311">
        <v>0</v>
      </c>
      <c r="CM135" s="311">
        <v>0</v>
      </c>
      <c r="CN135" s="311">
        <v>0</v>
      </c>
      <c r="CO135" s="311">
        <v>0</v>
      </c>
      <c r="CP135" s="311">
        <v>432</v>
      </c>
      <c r="CQ135" s="311">
        <v>432</v>
      </c>
      <c r="CR135" s="311">
        <v>0</v>
      </c>
      <c r="CS135" s="258">
        <v>0</v>
      </c>
      <c r="CT135" s="258">
        <v>0</v>
      </c>
      <c r="CU135" s="258">
        <v>0</v>
      </c>
      <c r="CV135" s="258">
        <v>0</v>
      </c>
      <c r="CW135" s="258">
        <v>0</v>
      </c>
      <c r="CX135" s="266">
        <f t="shared" si="119"/>
        <v>0</v>
      </c>
      <c r="CY135" s="266">
        <f t="shared" si="120"/>
        <v>0</v>
      </c>
      <c r="CZ135" s="260" t="s">
        <v>4998</v>
      </c>
      <c r="DA135" s="301" t="s">
        <v>5009</v>
      </c>
      <c r="DB135" s="258">
        <v>0</v>
      </c>
      <c r="DC135" s="258">
        <f t="shared" si="96"/>
        <v>1</v>
      </c>
    </row>
    <row r="136" spans="1:107">
      <c r="A136" s="264" t="s">
        <v>5010</v>
      </c>
      <c r="B136" s="264" t="s">
        <v>4776</v>
      </c>
      <c r="C136" s="264"/>
      <c r="D136" s="265" t="s">
        <v>5011</v>
      </c>
      <c r="E136" s="306">
        <f t="shared" si="97"/>
        <v>0</v>
      </c>
      <c r="F136" s="306">
        <f t="shared" si="98"/>
        <v>7.95716875630868e-6</v>
      </c>
      <c r="G136" s="304">
        <f t="shared" si="99"/>
        <v>0</v>
      </c>
      <c r="H136" s="304">
        <f t="shared" si="100"/>
        <v>1.41760010237215e-5</v>
      </c>
      <c r="I136" s="304">
        <f t="shared" si="101"/>
        <v>8.26933393050419e-6</v>
      </c>
      <c r="J136" s="304">
        <f t="shared" si="102"/>
        <v>0</v>
      </c>
      <c r="K136" s="304">
        <f t="shared" si="103"/>
        <v>0</v>
      </c>
      <c r="L136" s="304">
        <f t="shared" si="104"/>
        <v>2.87834021476136e-5</v>
      </c>
      <c r="M136" s="304">
        <f t="shared" si="105"/>
        <v>1.24187613516653e-5</v>
      </c>
      <c r="N136" s="304">
        <f t="shared" si="106"/>
        <v>6.4390176650497e-6</v>
      </c>
      <c r="O136" s="304">
        <f t="shared" si="107"/>
        <v>2.6337862953084e-5</v>
      </c>
      <c r="P136" s="304">
        <f t="shared" si="108"/>
        <v>3.42004638582351e-6</v>
      </c>
      <c r="Q136" s="304">
        <v>3.18377010210198e-6</v>
      </c>
      <c r="R136" s="304">
        <f t="shared" si="109"/>
        <v>3.67341893244971e-5</v>
      </c>
      <c r="S136" s="304">
        <f t="shared" si="110"/>
        <v>0.000114781280802739</v>
      </c>
      <c r="T136" s="304">
        <v>1.48717542894467e-5</v>
      </c>
      <c r="U136" s="304">
        <v>0</v>
      </c>
      <c r="V136" s="304">
        <v>0</v>
      </c>
      <c r="W136" s="304">
        <v>0</v>
      </c>
      <c r="X136" s="304">
        <f t="shared" si="111"/>
        <v>0</v>
      </c>
      <c r="Y136" s="304">
        <f t="shared" si="112"/>
        <v>1.70615930928737e-5</v>
      </c>
      <c r="Z136" s="304">
        <f t="shared" si="113"/>
        <v>1.64747123909177e-5</v>
      </c>
      <c r="AA136" s="304">
        <f t="shared" si="114"/>
        <v>0</v>
      </c>
      <c r="AB136" s="304">
        <f t="shared" si="115"/>
        <v>0</v>
      </c>
      <c r="AC136" s="304">
        <f t="shared" si="116"/>
        <v>0.000226053354204394</v>
      </c>
      <c r="AD136" s="304">
        <f t="shared" si="117"/>
        <v>1.09320500763612e-5</v>
      </c>
      <c r="AE136" s="304">
        <f t="shared" si="121"/>
        <v>2.88635601104021e-6</v>
      </c>
      <c r="AF136" s="303">
        <f t="shared" si="118"/>
        <v>-8.04569406532099e-6</v>
      </c>
      <c r="AG136" s="303">
        <f t="shared" si="122"/>
        <v>4.90201300221241e-5</v>
      </c>
      <c r="AH136" s="303">
        <f t="shared" si="123"/>
        <v>0</v>
      </c>
      <c r="AI136" s="303">
        <f t="shared" si="124"/>
        <v>0</v>
      </c>
      <c r="AJ136" s="303">
        <f t="shared" si="125"/>
        <v>0</v>
      </c>
      <c r="AK136" s="303">
        <f t="shared" si="126"/>
        <v>0</v>
      </c>
      <c r="AL136" s="304">
        <f t="shared" si="127"/>
        <v>0</v>
      </c>
      <c r="AM136" s="304">
        <f t="shared" si="128"/>
        <v>0</v>
      </c>
      <c r="AN136" s="299">
        <v>0</v>
      </c>
      <c r="AO136" s="299">
        <v>0</v>
      </c>
      <c r="AP136" s="299">
        <v>1400</v>
      </c>
      <c r="AQ136" s="299">
        <v>1400</v>
      </c>
      <c r="AR136" s="300">
        <v>0</v>
      </c>
      <c r="AS136" s="300">
        <v>0</v>
      </c>
      <c r="AT136" s="300">
        <v>2400</v>
      </c>
      <c r="AU136" s="300">
        <v>2400</v>
      </c>
      <c r="AV136" s="300">
        <v>1400</v>
      </c>
      <c r="AW136" s="300">
        <v>1400</v>
      </c>
      <c r="AX136" s="300">
        <v>0</v>
      </c>
      <c r="AY136" s="300">
        <v>0</v>
      </c>
      <c r="AZ136" s="300">
        <v>0</v>
      </c>
      <c r="BA136" s="300">
        <v>653</v>
      </c>
      <c r="BB136" s="300">
        <v>3950.88</v>
      </c>
      <c r="BC136" s="300">
        <v>4800</v>
      </c>
      <c r="BD136" s="300">
        <v>1600</v>
      </c>
      <c r="BE136" s="300">
        <v>1600</v>
      </c>
      <c r="BF136" s="300">
        <v>794.8716</v>
      </c>
      <c r="BG136" s="300">
        <v>872</v>
      </c>
      <c r="BH136" s="300">
        <v>3068.64</v>
      </c>
      <c r="BI136" s="300">
        <v>3600</v>
      </c>
      <c r="BJ136" s="300">
        <v>390.3992</v>
      </c>
      <c r="BK136" s="300">
        <v>458</v>
      </c>
      <c r="BL136" s="266">
        <v>0</v>
      </c>
      <c r="BM136" s="266">
        <v>0</v>
      </c>
      <c r="BN136" s="266">
        <v>4600</v>
      </c>
      <c r="BO136" s="266">
        <v>4600</v>
      </c>
      <c r="BP136" s="266">
        <v>15100</v>
      </c>
      <c r="BQ136" s="266">
        <v>15100</v>
      </c>
      <c r="BR136" s="266">
        <v>1800</v>
      </c>
      <c r="BS136" s="266">
        <v>1800</v>
      </c>
      <c r="BT136" s="266">
        <v>0</v>
      </c>
      <c r="BU136" s="266">
        <v>0</v>
      </c>
      <c r="BV136" s="266">
        <v>0</v>
      </c>
      <c r="BW136" s="266">
        <v>143</v>
      </c>
      <c r="BX136" s="266">
        <v>0</v>
      </c>
      <c r="BY136" s="266">
        <v>0</v>
      </c>
      <c r="BZ136" s="266">
        <v>0</v>
      </c>
      <c r="CA136" s="266">
        <v>0</v>
      </c>
      <c r="CB136" s="266">
        <v>2300</v>
      </c>
      <c r="CC136" s="266">
        <v>2300</v>
      </c>
      <c r="CD136" s="311">
        <v>2300</v>
      </c>
      <c r="CE136" s="311">
        <v>2300</v>
      </c>
      <c r="CF136" s="311">
        <v>0</v>
      </c>
      <c r="CG136" s="311">
        <v>926</v>
      </c>
      <c r="CH136" s="311">
        <v>0</v>
      </c>
      <c r="CI136" s="311">
        <v>360</v>
      </c>
      <c r="CJ136" s="311">
        <v>35200</v>
      </c>
      <c r="CK136" s="311">
        <v>35200</v>
      </c>
      <c r="CL136" s="311">
        <v>1900</v>
      </c>
      <c r="CM136" s="311">
        <v>1900</v>
      </c>
      <c r="CN136" s="311">
        <v>439</v>
      </c>
      <c r="CO136" s="311">
        <v>439</v>
      </c>
      <c r="CP136" s="311">
        <v>7800</v>
      </c>
      <c r="CQ136" s="311">
        <v>7800</v>
      </c>
      <c r="CR136" s="311">
        <v>0</v>
      </c>
      <c r="CS136" s="258">
        <v>0</v>
      </c>
      <c r="CT136" s="258">
        <v>0</v>
      </c>
      <c r="CU136" s="258">
        <v>1500</v>
      </c>
      <c r="CV136" s="258">
        <v>0</v>
      </c>
      <c r="CW136" s="258">
        <v>0</v>
      </c>
      <c r="CX136" s="266">
        <f t="shared" si="119"/>
        <v>0</v>
      </c>
      <c r="CY136" s="266">
        <f t="shared" si="120"/>
        <v>-1500</v>
      </c>
      <c r="CZ136" s="260" t="s">
        <v>5012</v>
      </c>
      <c r="DA136" s="301" t="s">
        <v>5011</v>
      </c>
      <c r="DB136" s="258">
        <v>0</v>
      </c>
      <c r="DC136" s="258">
        <f t="shared" si="96"/>
        <v>1</v>
      </c>
    </row>
    <row r="137" spans="1:107">
      <c r="A137" s="264" t="s">
        <v>5013</v>
      </c>
      <c r="B137" s="264" t="s">
        <v>4776</v>
      </c>
      <c r="C137" s="264"/>
      <c r="D137" s="265" t="s">
        <v>5014</v>
      </c>
      <c r="E137" s="306">
        <f t="shared" si="97"/>
        <v>0</v>
      </c>
      <c r="F137" s="306">
        <f t="shared" si="98"/>
        <v>2.19812239939452e-5</v>
      </c>
      <c r="G137" s="304">
        <f t="shared" si="99"/>
        <v>2.42374780452551e-5</v>
      </c>
      <c r="H137" s="304">
        <f t="shared" si="100"/>
        <v>7.67866722118247e-6</v>
      </c>
      <c r="I137" s="304">
        <f t="shared" si="101"/>
        <v>8.26933393050419e-6</v>
      </c>
      <c r="J137" s="304">
        <f t="shared" si="102"/>
        <v>1.75554016645583e-5</v>
      </c>
      <c r="K137" s="304">
        <f t="shared" si="103"/>
        <v>2.81271505318475e-5</v>
      </c>
      <c r="L137" s="304">
        <f t="shared" si="104"/>
        <v>2.20530831877848e-6</v>
      </c>
      <c r="M137" s="304">
        <f t="shared" si="105"/>
        <v>2.10621416351659e-5</v>
      </c>
      <c r="N137" s="304">
        <f t="shared" si="106"/>
        <v>6.29844092422377e-6</v>
      </c>
      <c r="O137" s="304">
        <f t="shared" si="107"/>
        <v>0</v>
      </c>
      <c r="P137" s="304">
        <f t="shared" si="108"/>
        <v>7.67511142277481e-5</v>
      </c>
      <c r="Q137" s="304">
        <v>6.39534605662406e-5</v>
      </c>
      <c r="R137" s="304">
        <f t="shared" si="109"/>
        <v>1.34051841107755e-5</v>
      </c>
      <c r="S137" s="304">
        <f t="shared" si="110"/>
        <v>1.47748593043897e-5</v>
      </c>
      <c r="T137" s="304">
        <v>4.29628457250683e-5</v>
      </c>
      <c r="U137" s="304">
        <v>2.93338004604166e-5</v>
      </c>
      <c r="V137" s="304">
        <v>0</v>
      </c>
      <c r="W137" s="304">
        <v>1.4577423524358e-5</v>
      </c>
      <c r="X137" s="304">
        <f t="shared" si="111"/>
        <v>1.20771674096372e-5</v>
      </c>
      <c r="Y137" s="304">
        <f t="shared" si="112"/>
        <v>0.000186193907230926</v>
      </c>
      <c r="Z137" s="304">
        <f t="shared" si="113"/>
        <v>0</v>
      </c>
      <c r="AA137" s="304">
        <f t="shared" si="114"/>
        <v>1.69606375907495e-5</v>
      </c>
      <c r="AB137" s="304">
        <f t="shared" si="115"/>
        <v>0</v>
      </c>
      <c r="AC137" s="304">
        <f t="shared" si="116"/>
        <v>2.76786919494585e-6</v>
      </c>
      <c r="AD137" s="304">
        <f t="shared" si="117"/>
        <v>0</v>
      </c>
      <c r="AE137" s="304">
        <f t="shared" si="121"/>
        <v>2.88635601104021e-6</v>
      </c>
      <c r="AF137" s="303">
        <f t="shared" si="118"/>
        <v>2.88635601104021e-6</v>
      </c>
      <c r="AG137" s="303">
        <f t="shared" si="122"/>
        <v>2.71496104737918e-6</v>
      </c>
      <c r="AH137" s="303">
        <f t="shared" si="123"/>
        <v>3.67936687933472e-5</v>
      </c>
      <c r="AI137" s="303">
        <f t="shared" si="124"/>
        <v>1.74323208865185e-5</v>
      </c>
      <c r="AJ137" s="303">
        <f t="shared" si="125"/>
        <v>5.77672675765331e-7</v>
      </c>
      <c r="AK137" s="303">
        <f t="shared" si="126"/>
        <v>-1.68546482107532e-5</v>
      </c>
      <c r="AL137" s="304">
        <f t="shared" si="127"/>
        <v>-1.68546482107532e-5</v>
      </c>
      <c r="AM137" s="304">
        <f t="shared" si="128"/>
        <v>-27.7234042553191</v>
      </c>
      <c r="AN137" s="299">
        <v>0</v>
      </c>
      <c r="AO137" s="299">
        <v>0</v>
      </c>
      <c r="AP137" s="299">
        <v>3867.42</v>
      </c>
      <c r="AQ137" s="299">
        <v>4300</v>
      </c>
      <c r="AR137" s="300">
        <v>4302.69</v>
      </c>
      <c r="AS137" s="300">
        <v>4900</v>
      </c>
      <c r="AT137" s="300">
        <v>1300</v>
      </c>
      <c r="AU137" s="300">
        <v>1300</v>
      </c>
      <c r="AV137" s="300">
        <v>1400</v>
      </c>
      <c r="AW137" s="300">
        <v>1400</v>
      </c>
      <c r="AX137" s="300">
        <v>2476.6</v>
      </c>
      <c r="AY137" s="300">
        <v>2900</v>
      </c>
      <c r="AZ137" s="300">
        <v>3704.76</v>
      </c>
      <c r="BA137" s="300">
        <v>4100</v>
      </c>
      <c r="BB137" s="300">
        <v>302.706</v>
      </c>
      <c r="BC137" s="300">
        <v>335</v>
      </c>
      <c r="BD137" s="300">
        <v>2713.59</v>
      </c>
      <c r="BE137" s="300">
        <v>3300</v>
      </c>
      <c r="BF137" s="300">
        <v>777.51795</v>
      </c>
      <c r="BG137" s="300">
        <v>901</v>
      </c>
      <c r="BH137" s="300">
        <v>0</v>
      </c>
      <c r="BI137" s="300">
        <v>0</v>
      </c>
      <c r="BJ137" s="300">
        <v>8761.16</v>
      </c>
      <c r="BK137" s="300">
        <v>9200</v>
      </c>
      <c r="BL137" s="266">
        <v>1700</v>
      </c>
      <c r="BM137" s="266">
        <v>1700</v>
      </c>
      <c r="BN137" s="266">
        <v>1678.65</v>
      </c>
      <c r="BO137" s="266">
        <v>1900</v>
      </c>
      <c r="BP137" s="266">
        <v>1943.7</v>
      </c>
      <c r="BQ137" s="266">
        <v>2200</v>
      </c>
      <c r="BR137" s="266">
        <v>5200</v>
      </c>
      <c r="BS137" s="266">
        <v>5200</v>
      </c>
      <c r="BT137" s="266">
        <v>3300</v>
      </c>
      <c r="BU137" s="266">
        <v>3300</v>
      </c>
      <c r="BV137" s="266">
        <v>0</v>
      </c>
      <c r="BW137" s="266">
        <v>0</v>
      </c>
      <c r="BX137" s="266">
        <v>2000</v>
      </c>
      <c r="BY137" s="266">
        <v>2000</v>
      </c>
      <c r="BZ137" s="266">
        <v>2000</v>
      </c>
      <c r="CA137" s="266">
        <v>2000</v>
      </c>
      <c r="CB137" s="266">
        <v>25100</v>
      </c>
      <c r="CC137" s="266">
        <v>25100</v>
      </c>
      <c r="CD137" s="311">
        <v>0</v>
      </c>
      <c r="CE137" s="311">
        <v>0</v>
      </c>
      <c r="CF137" s="311">
        <v>2100</v>
      </c>
      <c r="CG137" s="311">
        <v>2600</v>
      </c>
      <c r="CH137" s="311">
        <v>0</v>
      </c>
      <c r="CI137" s="311">
        <v>138</v>
      </c>
      <c r="CJ137" s="311">
        <v>431</v>
      </c>
      <c r="CK137" s="311">
        <v>431</v>
      </c>
      <c r="CL137" s="311">
        <v>0</v>
      </c>
      <c r="CM137" s="311">
        <v>0</v>
      </c>
      <c r="CN137" s="311">
        <v>439</v>
      </c>
      <c r="CO137" s="311">
        <v>645</v>
      </c>
      <c r="CP137" s="311">
        <v>432</v>
      </c>
      <c r="CQ137" s="311">
        <v>494</v>
      </c>
      <c r="CR137" s="311">
        <v>5700</v>
      </c>
      <c r="CS137" s="258">
        <v>5700</v>
      </c>
      <c r="CT137" s="258">
        <v>2700</v>
      </c>
      <c r="CU137" s="258">
        <v>2700</v>
      </c>
      <c r="CV137" s="258">
        <v>94</v>
      </c>
      <c r="CW137" s="258">
        <v>94</v>
      </c>
      <c r="CX137" s="266">
        <f t="shared" si="119"/>
        <v>-2606</v>
      </c>
      <c r="CY137" s="266">
        <f t="shared" si="120"/>
        <v>-2606</v>
      </c>
      <c r="CZ137" s="260" t="s">
        <v>4998</v>
      </c>
      <c r="DA137" s="301" t="s">
        <v>5014</v>
      </c>
      <c r="DB137" s="258">
        <v>94</v>
      </c>
      <c r="DC137" s="258">
        <f t="shared" si="96"/>
        <v>1</v>
      </c>
    </row>
    <row r="138" spans="1:107">
      <c r="A138" s="264" t="s">
        <v>5015</v>
      </c>
      <c r="B138" s="264" t="s">
        <v>4776</v>
      </c>
      <c r="C138" s="264"/>
      <c r="D138" s="265" t="s">
        <v>5016</v>
      </c>
      <c r="E138" s="306">
        <f t="shared" si="97"/>
        <v>0</v>
      </c>
      <c r="F138" s="306">
        <f t="shared" si="98"/>
        <v>7.58875184289158e-6</v>
      </c>
      <c r="G138" s="304">
        <f t="shared" si="99"/>
        <v>0</v>
      </c>
      <c r="H138" s="304">
        <f t="shared" si="100"/>
        <v>0</v>
      </c>
      <c r="I138" s="304">
        <f t="shared" si="101"/>
        <v>0</v>
      </c>
      <c r="J138" s="304">
        <f t="shared" si="102"/>
        <v>0</v>
      </c>
      <c r="K138" s="304">
        <f t="shared" si="103"/>
        <v>0</v>
      </c>
      <c r="L138" s="304">
        <f t="shared" si="104"/>
        <v>2.91412567808828e-5</v>
      </c>
      <c r="M138" s="304">
        <f t="shared" si="105"/>
        <v>3.07395390357095e-5</v>
      </c>
      <c r="N138" s="304">
        <f t="shared" si="106"/>
        <v>1.29611226065688e-5</v>
      </c>
      <c r="O138" s="304">
        <f t="shared" si="107"/>
        <v>0</v>
      </c>
      <c r="P138" s="304">
        <f t="shared" si="108"/>
        <v>1.45907677511749e-5</v>
      </c>
      <c r="Q138" s="304">
        <v>1.32077798995497e-5</v>
      </c>
      <c r="R138" s="304">
        <f t="shared" si="109"/>
        <v>2.41602360325884e-5</v>
      </c>
      <c r="S138" s="304">
        <f t="shared" si="110"/>
        <v>1.27764487929301e-5</v>
      </c>
      <c r="T138" s="304">
        <v>0.0001466874658131</v>
      </c>
      <c r="U138" s="304">
        <v>1.77780608851009e-5</v>
      </c>
      <c r="V138" s="304">
        <v>2.99945115724339e-5</v>
      </c>
      <c r="W138" s="304">
        <v>3.7172429987113e-5</v>
      </c>
      <c r="X138" s="304">
        <f t="shared" si="111"/>
        <v>3.07967768945747e-5</v>
      </c>
      <c r="Y138" s="304">
        <f t="shared" si="112"/>
        <v>0</v>
      </c>
      <c r="Z138" s="304">
        <f t="shared" si="113"/>
        <v>0.000160449372850677</v>
      </c>
      <c r="AA138" s="304">
        <f t="shared" si="114"/>
        <v>3.06906775451658e-5</v>
      </c>
      <c r="AB138" s="304">
        <f t="shared" si="115"/>
        <v>0</v>
      </c>
      <c r="AC138" s="304">
        <f t="shared" si="116"/>
        <v>2.50456841306005e-5</v>
      </c>
      <c r="AD138" s="304">
        <f t="shared" si="117"/>
        <v>0</v>
      </c>
      <c r="AE138" s="304">
        <f t="shared" si="121"/>
        <v>2.88635601104021e-6</v>
      </c>
      <c r="AF138" s="303">
        <f t="shared" si="118"/>
        <v>2.88635601104021e-6</v>
      </c>
      <c r="AG138" s="303">
        <f t="shared" si="122"/>
        <v>5.42992209475836e-6</v>
      </c>
      <c r="AH138" s="303">
        <f t="shared" si="123"/>
        <v>3.31143019140125e-6</v>
      </c>
      <c r="AI138" s="303">
        <f t="shared" si="124"/>
        <v>0</v>
      </c>
      <c r="AJ138" s="303">
        <f t="shared" si="125"/>
        <v>0</v>
      </c>
      <c r="AK138" s="303">
        <f t="shared" si="126"/>
        <v>0</v>
      </c>
      <c r="AL138" s="304">
        <f t="shared" si="127"/>
        <v>0</v>
      </c>
      <c r="AM138" s="304">
        <f t="shared" si="128"/>
        <v>0</v>
      </c>
      <c r="AN138" s="299">
        <v>0</v>
      </c>
      <c r="AO138" s="299">
        <v>0</v>
      </c>
      <c r="AP138" s="299">
        <v>1335.18</v>
      </c>
      <c r="AQ138" s="299">
        <v>1700</v>
      </c>
      <c r="AR138" s="300">
        <v>0</v>
      </c>
      <c r="AS138" s="300">
        <v>0</v>
      </c>
      <c r="AT138" s="300">
        <v>0</v>
      </c>
      <c r="AU138" s="300">
        <v>453</v>
      </c>
      <c r="AV138" s="300">
        <v>0</v>
      </c>
      <c r="AW138" s="300">
        <v>0</v>
      </c>
      <c r="AX138" s="300">
        <v>0</v>
      </c>
      <c r="AY138" s="300">
        <v>0</v>
      </c>
      <c r="AZ138" s="300">
        <v>0</v>
      </c>
      <c r="BA138" s="300">
        <v>0</v>
      </c>
      <c r="BB138" s="300">
        <v>4000</v>
      </c>
      <c r="BC138" s="300">
        <v>4000</v>
      </c>
      <c r="BD138" s="300">
        <v>3960.4</v>
      </c>
      <c r="BE138" s="300">
        <v>4000</v>
      </c>
      <c r="BF138" s="300">
        <v>1600</v>
      </c>
      <c r="BG138" s="300">
        <v>1600</v>
      </c>
      <c r="BH138" s="300">
        <v>0</v>
      </c>
      <c r="BI138" s="300">
        <v>0</v>
      </c>
      <c r="BJ138" s="300">
        <v>1665.54</v>
      </c>
      <c r="BK138" s="300">
        <v>1900</v>
      </c>
      <c r="BL138" s="266">
        <v>4157.12</v>
      </c>
      <c r="BM138" s="266">
        <v>4400</v>
      </c>
      <c r="BN138" s="266">
        <v>3025.44</v>
      </c>
      <c r="BO138" s="266">
        <v>3600</v>
      </c>
      <c r="BP138" s="266">
        <v>1680.8</v>
      </c>
      <c r="BQ138" s="266">
        <v>2000</v>
      </c>
      <c r="BR138" s="266">
        <v>17754.29</v>
      </c>
      <c r="BS138" s="266">
        <v>18100</v>
      </c>
      <c r="BT138" s="266">
        <v>2000</v>
      </c>
      <c r="BU138" s="266">
        <v>2000</v>
      </c>
      <c r="BV138" s="266">
        <v>3859.33</v>
      </c>
      <c r="BW138" s="266">
        <v>4100</v>
      </c>
      <c r="BX138" s="266">
        <v>5100</v>
      </c>
      <c r="BY138" s="266">
        <v>5100</v>
      </c>
      <c r="BZ138" s="266">
        <v>5100</v>
      </c>
      <c r="CA138" s="266">
        <v>5100</v>
      </c>
      <c r="CB138" s="266">
        <v>0</v>
      </c>
      <c r="CC138" s="266">
        <v>268</v>
      </c>
      <c r="CD138" s="311">
        <v>22400</v>
      </c>
      <c r="CE138" s="311">
        <v>22400</v>
      </c>
      <c r="CF138" s="311">
        <v>3800</v>
      </c>
      <c r="CG138" s="311">
        <v>4000</v>
      </c>
      <c r="CH138" s="311">
        <v>0</v>
      </c>
      <c r="CI138" s="311">
        <v>0</v>
      </c>
      <c r="CJ138" s="311">
        <v>3900</v>
      </c>
      <c r="CK138" s="311">
        <v>4200</v>
      </c>
      <c r="CL138" s="311">
        <v>0</v>
      </c>
      <c r="CM138" s="311">
        <v>0</v>
      </c>
      <c r="CN138" s="311">
        <v>439</v>
      </c>
      <c r="CO138" s="311">
        <v>439</v>
      </c>
      <c r="CP138" s="311">
        <v>864</v>
      </c>
      <c r="CQ138" s="311">
        <v>2300</v>
      </c>
      <c r="CR138" s="311">
        <v>513</v>
      </c>
      <c r="CS138" s="258">
        <v>513</v>
      </c>
      <c r="CT138" s="258">
        <v>0</v>
      </c>
      <c r="CU138" s="258">
        <v>1</v>
      </c>
      <c r="CV138" s="258">
        <v>0</v>
      </c>
      <c r="CW138" s="258">
        <v>0</v>
      </c>
      <c r="CX138" s="266">
        <f t="shared" si="119"/>
        <v>0</v>
      </c>
      <c r="CY138" s="266">
        <f t="shared" si="120"/>
        <v>-1</v>
      </c>
      <c r="DA138" s="301" t="s">
        <v>5016</v>
      </c>
      <c r="DB138" s="258">
        <v>0</v>
      </c>
      <c r="DC138" s="258">
        <f t="shared" si="96"/>
        <v>1</v>
      </c>
    </row>
    <row r="139" spans="1:107">
      <c r="A139" s="264" t="s">
        <v>5017</v>
      </c>
      <c r="B139" s="264" t="s">
        <v>4776</v>
      </c>
      <c r="C139" s="264"/>
      <c r="D139" s="265" t="s">
        <v>5018</v>
      </c>
      <c r="E139" s="306">
        <f t="shared" si="97"/>
        <v>0</v>
      </c>
      <c r="F139" s="306">
        <f t="shared" si="98"/>
        <v>3.96883684642786e-5</v>
      </c>
      <c r="G139" s="304">
        <f t="shared" si="99"/>
        <v>2.82547788135545e-7</v>
      </c>
      <c r="H139" s="304">
        <f t="shared" si="100"/>
        <v>7.67866722118247e-6</v>
      </c>
      <c r="I139" s="304">
        <f t="shared" si="101"/>
        <v>0</v>
      </c>
      <c r="J139" s="304">
        <f t="shared" si="102"/>
        <v>9.21506184443424e-6</v>
      </c>
      <c r="K139" s="304">
        <f t="shared" si="103"/>
        <v>1.67905292192241e-5</v>
      </c>
      <c r="L139" s="304">
        <f t="shared" si="104"/>
        <v>3.65907819580638e-5</v>
      </c>
      <c r="M139" s="304">
        <f t="shared" si="105"/>
        <v>6.91605905029085e-6</v>
      </c>
      <c r="N139" s="304">
        <f t="shared" si="106"/>
        <v>0</v>
      </c>
      <c r="O139" s="304">
        <f t="shared" si="107"/>
        <v>0</v>
      </c>
      <c r="P139" s="304">
        <f t="shared" si="108"/>
        <v>0</v>
      </c>
      <c r="Q139" s="304">
        <v>9.73204834703661e-6</v>
      </c>
      <c r="R139" s="304">
        <f t="shared" si="109"/>
        <v>1.30767325440545e-5</v>
      </c>
      <c r="S139" s="304">
        <f t="shared" si="110"/>
        <v>7.77966237334857e-6</v>
      </c>
      <c r="T139" s="304">
        <v>1.31733999495919e-5</v>
      </c>
      <c r="U139" s="304">
        <v>1.60002547965909e-5</v>
      </c>
      <c r="V139" s="304">
        <v>0.000193499740504492</v>
      </c>
      <c r="W139" s="304">
        <v>0</v>
      </c>
      <c r="X139" s="304">
        <f t="shared" si="111"/>
        <v>4.31154876524046e-6</v>
      </c>
      <c r="Y139" s="304">
        <f t="shared" si="112"/>
        <v>2.4479677046297e-5</v>
      </c>
      <c r="Z139" s="304">
        <f t="shared" si="113"/>
        <v>1.43258368616676e-5</v>
      </c>
      <c r="AA139" s="304">
        <f t="shared" si="114"/>
        <v>2.90753787269992e-5</v>
      </c>
      <c r="AB139" s="304">
        <f t="shared" si="115"/>
        <v>1.60719779706755e-5</v>
      </c>
      <c r="AC139" s="304">
        <f t="shared" si="116"/>
        <v>2.76786919494585e-6</v>
      </c>
      <c r="AD139" s="304">
        <f t="shared" si="117"/>
        <v>1.02416048083805e-6</v>
      </c>
      <c r="AE139" s="304">
        <f t="shared" si="121"/>
        <v>5.77271202208043e-6</v>
      </c>
      <c r="AF139" s="303">
        <f t="shared" si="118"/>
        <v>4.74855154124238e-6</v>
      </c>
      <c r="AG139" s="303">
        <f t="shared" si="122"/>
        <v>1.6340043340708e-5</v>
      </c>
      <c r="AH139" s="303">
        <f t="shared" si="123"/>
        <v>0</v>
      </c>
      <c r="AI139" s="303">
        <f t="shared" si="124"/>
        <v>3.12490492928702e-6</v>
      </c>
      <c r="AJ139" s="303">
        <f t="shared" si="125"/>
        <v>0</v>
      </c>
      <c r="AK139" s="303">
        <f t="shared" si="126"/>
        <v>-3.12490492928702e-6</v>
      </c>
      <c r="AL139" s="304">
        <f t="shared" si="127"/>
        <v>-3.12490492928702e-6</v>
      </c>
      <c r="AM139" s="304">
        <f t="shared" si="128"/>
        <v>0</v>
      </c>
      <c r="AN139" s="299">
        <v>0</v>
      </c>
      <c r="AO139" s="299">
        <v>0</v>
      </c>
      <c r="AP139" s="299">
        <v>6982.85</v>
      </c>
      <c r="AQ139" s="299">
        <v>7100</v>
      </c>
      <c r="AR139" s="300">
        <v>50.1585</v>
      </c>
      <c r="AS139" s="300">
        <v>51</v>
      </c>
      <c r="AT139" s="300">
        <v>1300</v>
      </c>
      <c r="AU139" s="300">
        <v>1300</v>
      </c>
      <c r="AV139" s="300">
        <v>0</v>
      </c>
      <c r="AW139" s="300">
        <v>0</v>
      </c>
      <c r="AX139" s="300">
        <v>1300</v>
      </c>
      <c r="AY139" s="300">
        <v>1300</v>
      </c>
      <c r="AZ139" s="300">
        <v>2211.56</v>
      </c>
      <c r="BA139" s="300">
        <v>2600</v>
      </c>
      <c r="BB139" s="300">
        <v>5022.54</v>
      </c>
      <c r="BC139" s="300">
        <v>5400</v>
      </c>
      <c r="BD139" s="300">
        <v>891.04655183518</v>
      </c>
      <c r="BE139" s="300">
        <v>958</v>
      </c>
      <c r="BF139" s="300">
        <v>0</v>
      </c>
      <c r="BG139" s="300">
        <v>0</v>
      </c>
      <c r="BH139" s="300">
        <v>0</v>
      </c>
      <c r="BI139" s="300">
        <v>351</v>
      </c>
      <c r="BJ139" s="300">
        <v>0</v>
      </c>
      <c r="BK139" s="300">
        <v>1400</v>
      </c>
      <c r="BL139" s="266">
        <v>5803.8</v>
      </c>
      <c r="BM139" s="266">
        <v>6000</v>
      </c>
      <c r="BN139" s="266">
        <v>1637.52</v>
      </c>
      <c r="BO139" s="266">
        <v>2400</v>
      </c>
      <c r="BP139" s="266">
        <v>1023.45</v>
      </c>
      <c r="BQ139" s="266">
        <v>1500</v>
      </c>
      <c r="BR139" s="266">
        <v>1594.44</v>
      </c>
      <c r="BS139" s="266">
        <v>1800</v>
      </c>
      <c r="BT139" s="266">
        <v>1800</v>
      </c>
      <c r="BU139" s="266">
        <v>1800</v>
      </c>
      <c r="BV139" s="266">
        <v>24897.2</v>
      </c>
      <c r="BW139" s="266">
        <v>26800</v>
      </c>
      <c r="BX139" s="266">
        <v>0</v>
      </c>
      <c r="BY139" s="266">
        <v>714</v>
      </c>
      <c r="BZ139" s="266">
        <v>0</v>
      </c>
      <c r="CA139" s="266">
        <v>714</v>
      </c>
      <c r="CB139" s="266">
        <v>3300</v>
      </c>
      <c r="CC139" s="266">
        <v>3300</v>
      </c>
      <c r="CD139" s="311">
        <v>2000</v>
      </c>
      <c r="CE139" s="311">
        <v>3400</v>
      </c>
      <c r="CF139" s="311">
        <v>3600</v>
      </c>
      <c r="CG139" s="311">
        <v>3600</v>
      </c>
      <c r="CH139" s="311">
        <v>2100</v>
      </c>
      <c r="CI139" s="311">
        <v>2800</v>
      </c>
      <c r="CJ139" s="311">
        <v>431</v>
      </c>
      <c r="CK139" s="311">
        <v>431</v>
      </c>
      <c r="CL139" s="311">
        <v>178</v>
      </c>
      <c r="CM139" s="311">
        <v>178</v>
      </c>
      <c r="CN139" s="311">
        <v>878</v>
      </c>
      <c r="CO139" s="311">
        <v>878</v>
      </c>
      <c r="CP139" s="311">
        <v>2600</v>
      </c>
      <c r="CQ139" s="311">
        <v>3200</v>
      </c>
      <c r="CR139" s="311">
        <v>0</v>
      </c>
      <c r="CS139" s="258">
        <v>872</v>
      </c>
      <c r="CT139" s="258">
        <v>484</v>
      </c>
      <c r="CU139" s="258">
        <v>484</v>
      </c>
      <c r="CV139" s="258">
        <v>0</v>
      </c>
      <c r="CW139" s="258">
        <v>370</v>
      </c>
      <c r="CX139" s="266">
        <f t="shared" si="119"/>
        <v>-484</v>
      </c>
      <c r="CY139" s="266">
        <f t="shared" si="120"/>
        <v>-114</v>
      </c>
      <c r="DA139" s="301" t="s">
        <v>5018</v>
      </c>
      <c r="DB139" s="258">
        <v>0</v>
      </c>
      <c r="DC139" s="258">
        <f t="shared" ref="DC139:DC182" si="129">IF(DA139=D139,1,0)</f>
        <v>1</v>
      </c>
    </row>
    <row r="140" spans="1:107">
      <c r="A140" s="264" t="s">
        <v>5019</v>
      </c>
      <c r="B140" s="264" t="s">
        <v>4776</v>
      </c>
      <c r="C140" s="264"/>
      <c r="D140" s="265" t="s">
        <v>5020</v>
      </c>
      <c r="E140" s="306">
        <f t="shared" si="97"/>
        <v>0</v>
      </c>
      <c r="F140" s="306">
        <f t="shared" si="98"/>
        <v>0</v>
      </c>
      <c r="G140" s="304">
        <f t="shared" si="99"/>
        <v>1.26361109855313e-5</v>
      </c>
      <c r="H140" s="304">
        <f t="shared" si="100"/>
        <v>0</v>
      </c>
      <c r="I140" s="304">
        <f t="shared" si="101"/>
        <v>0</v>
      </c>
      <c r="J140" s="304">
        <f t="shared" si="102"/>
        <v>0</v>
      </c>
      <c r="K140" s="304">
        <f t="shared" si="103"/>
        <v>0</v>
      </c>
      <c r="L140" s="304">
        <f t="shared" si="104"/>
        <v>3.64265709761035e-5</v>
      </c>
      <c r="M140" s="304">
        <f t="shared" si="105"/>
        <v>0</v>
      </c>
      <c r="N140" s="304">
        <f t="shared" si="106"/>
        <v>0</v>
      </c>
      <c r="O140" s="304">
        <f t="shared" si="107"/>
        <v>0</v>
      </c>
      <c r="P140" s="304">
        <f t="shared" si="108"/>
        <v>2.27769949404126e-5</v>
      </c>
      <c r="Q140" s="304">
        <v>1.8073804073068e-5</v>
      </c>
      <c r="R140" s="304">
        <f t="shared" si="109"/>
        <v>0</v>
      </c>
      <c r="S140" s="304">
        <f t="shared" si="110"/>
        <v>2.30158512096534e-5</v>
      </c>
      <c r="T140" s="304">
        <v>4.04842200101605e-5</v>
      </c>
      <c r="U140" s="304">
        <v>1.56077152122478e-5</v>
      </c>
      <c r="V140" s="304">
        <v>1.63210905266228e-5</v>
      </c>
      <c r="W140" s="304">
        <v>0</v>
      </c>
      <c r="X140" s="304">
        <f t="shared" si="111"/>
        <v>0</v>
      </c>
      <c r="Y140" s="304">
        <f t="shared" si="112"/>
        <v>1.40943595115043e-5</v>
      </c>
      <c r="Z140" s="304">
        <f t="shared" si="113"/>
        <v>3.2233132938752e-5</v>
      </c>
      <c r="AA140" s="304">
        <f t="shared" si="114"/>
        <v>1.77682869998328e-5</v>
      </c>
      <c r="AB140" s="304">
        <f t="shared" si="115"/>
        <v>0</v>
      </c>
      <c r="AC140" s="304">
        <f t="shared" si="116"/>
        <v>0</v>
      </c>
      <c r="AD140" s="304">
        <f t="shared" si="117"/>
        <v>3.56730055123367e-7</v>
      </c>
      <c r="AE140" s="304">
        <f t="shared" si="121"/>
        <v>8.54729570467489e-6</v>
      </c>
      <c r="AF140" s="303">
        <f t="shared" si="118"/>
        <v>8.19056564955152e-6</v>
      </c>
      <c r="AG140" s="303">
        <f t="shared" si="122"/>
        <v>0</v>
      </c>
      <c r="AH140" s="303">
        <f t="shared" si="123"/>
        <v>0</v>
      </c>
      <c r="AI140" s="303">
        <f t="shared" si="124"/>
        <v>1.22671887719945e-5</v>
      </c>
      <c r="AJ140" s="303">
        <f t="shared" si="125"/>
        <v>9.83272639600563e-6</v>
      </c>
      <c r="AK140" s="303">
        <f t="shared" si="126"/>
        <v>-2.43446237598887e-6</v>
      </c>
      <c r="AL140" s="304">
        <f t="shared" si="127"/>
        <v>-2.43446237598887e-6</v>
      </c>
      <c r="AM140" s="304">
        <f t="shared" si="128"/>
        <v>-0.1875</v>
      </c>
      <c r="AN140" s="299">
        <v>0</v>
      </c>
      <c r="AO140" s="299">
        <v>0</v>
      </c>
      <c r="AP140" s="299">
        <v>0</v>
      </c>
      <c r="AQ140" s="299">
        <v>0</v>
      </c>
      <c r="AR140" s="300">
        <v>2243.19</v>
      </c>
      <c r="AS140" s="300">
        <v>2300</v>
      </c>
      <c r="AT140" s="300">
        <v>0</v>
      </c>
      <c r="AU140" s="300">
        <v>0</v>
      </c>
      <c r="AV140" s="300">
        <v>0</v>
      </c>
      <c r="AW140" s="300">
        <v>370</v>
      </c>
      <c r="AX140" s="300">
        <v>0</v>
      </c>
      <c r="AY140" s="300">
        <v>0</v>
      </c>
      <c r="AZ140" s="300">
        <v>0</v>
      </c>
      <c r="BA140" s="300">
        <v>0</v>
      </c>
      <c r="BB140" s="300">
        <v>5000</v>
      </c>
      <c r="BC140" s="300">
        <v>5000</v>
      </c>
      <c r="BD140" s="300">
        <v>0</v>
      </c>
      <c r="BE140" s="300">
        <v>0</v>
      </c>
      <c r="BF140" s="300">
        <v>0</v>
      </c>
      <c r="BG140" s="300">
        <v>0</v>
      </c>
      <c r="BH140" s="300">
        <v>0</v>
      </c>
      <c r="BI140" s="300">
        <v>335</v>
      </c>
      <c r="BJ140" s="300">
        <v>2600</v>
      </c>
      <c r="BK140" s="300">
        <v>2600</v>
      </c>
      <c r="BL140" s="266">
        <v>2800</v>
      </c>
      <c r="BM140" s="266">
        <v>0</v>
      </c>
      <c r="BN140" s="266">
        <v>0</v>
      </c>
      <c r="BO140" s="266">
        <v>0</v>
      </c>
      <c r="BP140" s="266">
        <v>3027.84</v>
      </c>
      <c r="BQ140" s="266">
        <v>3800</v>
      </c>
      <c r="BR140" s="266">
        <v>4900</v>
      </c>
      <c r="BS140" s="266">
        <v>4900</v>
      </c>
      <c r="BT140" s="266">
        <v>1755.84</v>
      </c>
      <c r="BU140" s="266">
        <v>3100</v>
      </c>
      <c r="BV140" s="266">
        <v>2100</v>
      </c>
      <c r="BW140" s="266">
        <v>2100</v>
      </c>
      <c r="BX140" s="266">
        <v>0</v>
      </c>
      <c r="BY140" s="266">
        <v>0</v>
      </c>
      <c r="BZ140" s="266">
        <v>0</v>
      </c>
      <c r="CA140" s="266">
        <v>0</v>
      </c>
      <c r="CB140" s="266">
        <v>1900</v>
      </c>
      <c r="CC140" s="266">
        <v>1900</v>
      </c>
      <c r="CD140" s="311">
        <v>4500</v>
      </c>
      <c r="CE140" s="311">
        <v>4500</v>
      </c>
      <c r="CF140" s="311">
        <v>2200</v>
      </c>
      <c r="CG140" s="311">
        <v>2200</v>
      </c>
      <c r="CH140" s="311">
        <v>0</v>
      </c>
      <c r="CI140" s="311">
        <v>0</v>
      </c>
      <c r="CJ140" s="311">
        <v>0</v>
      </c>
      <c r="CK140" s="311">
        <v>0</v>
      </c>
      <c r="CL140" s="311">
        <v>62</v>
      </c>
      <c r="CM140" s="311">
        <v>62</v>
      </c>
      <c r="CN140" s="311">
        <v>1300</v>
      </c>
      <c r="CO140" s="311">
        <v>1500</v>
      </c>
      <c r="CP140" s="311">
        <v>0</v>
      </c>
      <c r="CQ140" s="311">
        <v>904</v>
      </c>
      <c r="CR140" s="311">
        <v>0</v>
      </c>
      <c r="CS140" s="258">
        <v>0</v>
      </c>
      <c r="CT140" s="258">
        <v>1900</v>
      </c>
      <c r="CU140" s="258">
        <v>1900</v>
      </c>
      <c r="CV140" s="258">
        <v>1600</v>
      </c>
      <c r="CW140" s="258">
        <v>1600</v>
      </c>
      <c r="CX140" s="266">
        <f t="shared" si="119"/>
        <v>-300</v>
      </c>
      <c r="CY140" s="266">
        <f t="shared" si="120"/>
        <v>-300</v>
      </c>
      <c r="CZ140" s="260" t="s">
        <v>5021</v>
      </c>
      <c r="DA140" s="301" t="s">
        <v>5020</v>
      </c>
      <c r="DB140" s="258">
        <v>1600</v>
      </c>
      <c r="DC140" s="258">
        <f t="shared" si="129"/>
        <v>1</v>
      </c>
    </row>
    <row r="141" spans="1:107">
      <c r="A141" s="264" t="s">
        <v>5022</v>
      </c>
      <c r="B141" s="264" t="s">
        <v>4776</v>
      </c>
      <c r="C141" s="264"/>
      <c r="D141" s="265" t="s">
        <v>5023</v>
      </c>
      <c r="E141" s="306">
        <f t="shared" si="97"/>
        <v>0</v>
      </c>
      <c r="F141" s="306">
        <f t="shared" si="98"/>
        <v>0</v>
      </c>
      <c r="G141" s="304">
        <f t="shared" si="99"/>
        <v>0</v>
      </c>
      <c r="H141" s="304">
        <f t="shared" si="100"/>
        <v>0</v>
      </c>
      <c r="I141" s="304">
        <f t="shared" si="101"/>
        <v>0</v>
      </c>
      <c r="J141" s="304">
        <f t="shared" si="102"/>
        <v>0</v>
      </c>
      <c r="K141" s="304">
        <f t="shared" si="103"/>
        <v>0</v>
      </c>
      <c r="L141" s="304">
        <f t="shared" si="104"/>
        <v>0</v>
      </c>
      <c r="M141" s="304">
        <f t="shared" si="105"/>
        <v>6.09780353829603e-10</v>
      </c>
      <c r="N141" s="304">
        <f t="shared" si="106"/>
        <v>0</v>
      </c>
      <c r="O141" s="304">
        <f t="shared" si="107"/>
        <v>0</v>
      </c>
      <c r="P141" s="304">
        <f t="shared" si="108"/>
        <v>0</v>
      </c>
      <c r="Q141" s="304">
        <v>0</v>
      </c>
      <c r="R141" s="304">
        <f t="shared" si="109"/>
        <v>1.27771093302599e-5</v>
      </c>
      <c r="S141" s="304">
        <f t="shared" si="110"/>
        <v>0</v>
      </c>
      <c r="T141" s="304">
        <v>0</v>
      </c>
      <c r="U141" s="304">
        <v>0</v>
      </c>
      <c r="V141" s="304">
        <v>0</v>
      </c>
      <c r="W141" s="304">
        <v>0</v>
      </c>
      <c r="X141" s="304">
        <f t="shared" si="111"/>
        <v>0</v>
      </c>
      <c r="Y141" s="304">
        <f t="shared" si="112"/>
        <v>0</v>
      </c>
      <c r="Z141" s="304">
        <f t="shared" si="113"/>
        <v>1.14606694893341e-5</v>
      </c>
      <c r="AA141" s="304">
        <f t="shared" si="114"/>
        <v>0</v>
      </c>
      <c r="AB141" s="304">
        <f t="shared" si="115"/>
        <v>0</v>
      </c>
      <c r="AC141" s="304">
        <f t="shared" si="116"/>
        <v>0</v>
      </c>
      <c r="AD141" s="304">
        <f t="shared" si="117"/>
        <v>0</v>
      </c>
      <c r="AE141" s="304">
        <f t="shared" si="121"/>
        <v>0</v>
      </c>
      <c r="AF141" s="303">
        <f t="shared" si="118"/>
        <v>0</v>
      </c>
      <c r="AG141" s="303">
        <f t="shared" si="122"/>
        <v>5.42992209475836e-6</v>
      </c>
      <c r="AH141" s="303">
        <f t="shared" si="123"/>
        <v>0</v>
      </c>
      <c r="AI141" s="303">
        <f t="shared" si="124"/>
        <v>0</v>
      </c>
      <c r="AJ141" s="303">
        <f t="shared" si="125"/>
        <v>0</v>
      </c>
      <c r="AK141" s="303">
        <f t="shared" si="126"/>
        <v>0</v>
      </c>
      <c r="AL141" s="304">
        <f t="shared" si="127"/>
        <v>0</v>
      </c>
      <c r="AM141" s="304">
        <f t="shared" si="128"/>
        <v>0</v>
      </c>
      <c r="AN141" s="299">
        <v>0</v>
      </c>
      <c r="AO141" s="299">
        <v>0</v>
      </c>
      <c r="AP141" s="299">
        <v>0</v>
      </c>
      <c r="AQ141" s="299">
        <v>0</v>
      </c>
      <c r="AR141" s="300">
        <v>0</v>
      </c>
      <c r="AS141" s="300">
        <v>982</v>
      </c>
      <c r="AT141" s="300">
        <v>0</v>
      </c>
      <c r="AU141" s="300">
        <v>745</v>
      </c>
      <c r="AV141" s="300">
        <v>0</v>
      </c>
      <c r="AW141" s="300">
        <v>4</v>
      </c>
      <c r="AX141" s="300">
        <v>0</v>
      </c>
      <c r="AY141" s="300">
        <v>3800</v>
      </c>
      <c r="AZ141" s="300">
        <v>0</v>
      </c>
      <c r="BA141" s="300">
        <v>268</v>
      </c>
      <c r="BB141" s="300">
        <v>0</v>
      </c>
      <c r="BC141" s="300">
        <v>11700</v>
      </c>
      <c r="BD141" s="300">
        <v>0.07856247</v>
      </c>
      <c r="BE141" s="300">
        <v>7000</v>
      </c>
      <c r="BF141" s="300">
        <v>0</v>
      </c>
      <c r="BG141" s="300">
        <v>0</v>
      </c>
      <c r="BH141" s="300">
        <v>0</v>
      </c>
      <c r="BI141" s="300">
        <v>3000</v>
      </c>
      <c r="BJ141" s="300">
        <v>0</v>
      </c>
      <c r="BK141" s="300">
        <v>0</v>
      </c>
      <c r="BL141" s="266">
        <v>0</v>
      </c>
      <c r="BM141" s="266">
        <v>0</v>
      </c>
      <c r="BN141" s="266">
        <v>1600</v>
      </c>
      <c r="BO141" s="266">
        <v>1800</v>
      </c>
      <c r="BP141" s="266">
        <v>0</v>
      </c>
      <c r="BQ141" s="266">
        <v>0</v>
      </c>
      <c r="BR141" s="266">
        <v>0</v>
      </c>
      <c r="BS141" s="266">
        <v>2500</v>
      </c>
      <c r="BT141" s="266">
        <v>0</v>
      </c>
      <c r="BU141" s="266">
        <v>3700</v>
      </c>
      <c r="BV141" s="266">
        <v>0</v>
      </c>
      <c r="BW141" s="266">
        <v>0</v>
      </c>
      <c r="BX141" s="266">
        <v>0</v>
      </c>
      <c r="BY141" s="266">
        <v>0</v>
      </c>
      <c r="BZ141" s="266">
        <v>0</v>
      </c>
      <c r="CA141" s="266">
        <v>0</v>
      </c>
      <c r="CB141" s="266">
        <v>0</v>
      </c>
      <c r="CC141" s="266">
        <v>1300</v>
      </c>
      <c r="CD141" s="311">
        <v>1600</v>
      </c>
      <c r="CE141" s="311">
        <v>2900</v>
      </c>
      <c r="CF141" s="311">
        <v>0</v>
      </c>
      <c r="CG141" s="311">
        <v>2600</v>
      </c>
      <c r="CH141" s="311">
        <v>0</v>
      </c>
      <c r="CI141" s="311">
        <v>2700</v>
      </c>
      <c r="CJ141" s="311">
        <v>0</v>
      </c>
      <c r="CK141" s="311">
        <v>0</v>
      </c>
      <c r="CL141" s="311">
        <v>0</v>
      </c>
      <c r="CM141" s="311">
        <v>0</v>
      </c>
      <c r="CN141" s="311">
        <v>0</v>
      </c>
      <c r="CO141" s="311">
        <v>0</v>
      </c>
      <c r="CP141" s="311">
        <v>864</v>
      </c>
      <c r="CQ141" s="311">
        <v>864</v>
      </c>
      <c r="CR141" s="311">
        <v>0</v>
      </c>
      <c r="CS141" s="258">
        <v>872</v>
      </c>
      <c r="CT141" s="258">
        <v>0</v>
      </c>
      <c r="CU141" s="258">
        <v>4400</v>
      </c>
      <c r="CV141" s="258">
        <v>0</v>
      </c>
      <c r="CW141" s="258">
        <v>4400</v>
      </c>
      <c r="CX141" s="266">
        <f t="shared" si="119"/>
        <v>0</v>
      </c>
      <c r="CY141" s="266">
        <f t="shared" si="120"/>
        <v>0</v>
      </c>
      <c r="CZ141" s="260" t="s">
        <v>5021</v>
      </c>
      <c r="DA141" s="301" t="s">
        <v>5023</v>
      </c>
      <c r="DB141" s="258">
        <v>0</v>
      </c>
      <c r="DC141" s="258">
        <f t="shared" si="129"/>
        <v>1</v>
      </c>
    </row>
    <row r="142" spans="1:107">
      <c r="A142" s="264" t="s">
        <v>5024</v>
      </c>
      <c r="B142" s="264" t="s">
        <v>4776</v>
      </c>
      <c r="C142" s="264"/>
      <c r="D142" s="310" t="s">
        <v>5025</v>
      </c>
      <c r="E142" s="306">
        <f t="shared" si="97"/>
        <v>0</v>
      </c>
      <c r="F142" s="306">
        <f t="shared" si="98"/>
        <v>0</v>
      </c>
      <c r="G142" s="304">
        <f t="shared" si="99"/>
        <v>0</v>
      </c>
      <c r="H142" s="304">
        <f t="shared" si="100"/>
        <v>0</v>
      </c>
      <c r="I142" s="304">
        <f t="shared" si="101"/>
        <v>0</v>
      </c>
      <c r="J142" s="304">
        <f t="shared" si="102"/>
        <v>0</v>
      </c>
      <c r="K142" s="304">
        <f t="shared" si="103"/>
        <v>1.59435472518813e-5</v>
      </c>
      <c r="L142" s="304">
        <f t="shared" si="104"/>
        <v>0</v>
      </c>
      <c r="M142" s="304">
        <f t="shared" si="105"/>
        <v>0</v>
      </c>
      <c r="N142" s="304">
        <f t="shared" si="106"/>
        <v>1.78215435840321e-5</v>
      </c>
      <c r="O142" s="304">
        <f t="shared" si="107"/>
        <v>0</v>
      </c>
      <c r="P142" s="304">
        <f t="shared" si="108"/>
        <v>0</v>
      </c>
      <c r="Q142" s="304">
        <v>0</v>
      </c>
      <c r="R142" s="304">
        <f t="shared" si="109"/>
        <v>0</v>
      </c>
      <c r="S142" s="304">
        <f t="shared" si="110"/>
        <v>0</v>
      </c>
      <c r="T142" s="304">
        <v>1.23931285745389e-5</v>
      </c>
      <c r="U142" s="304">
        <v>1.51113517523358e-5</v>
      </c>
      <c r="V142" s="304">
        <v>3.10877914792815e-5</v>
      </c>
      <c r="W142" s="304">
        <v>0</v>
      </c>
      <c r="X142" s="304">
        <f t="shared" si="111"/>
        <v>0</v>
      </c>
      <c r="Y142" s="304">
        <f t="shared" si="112"/>
        <v>0.000183968482044899</v>
      </c>
      <c r="Z142" s="304">
        <f t="shared" si="113"/>
        <v>1.43258368616676e-5</v>
      </c>
      <c r="AA142" s="304">
        <f t="shared" si="114"/>
        <v>0</v>
      </c>
      <c r="AB142" s="304">
        <f t="shared" si="115"/>
        <v>0</v>
      </c>
      <c r="AC142" s="304">
        <f t="shared" si="116"/>
        <v>8.34856137686683e-6</v>
      </c>
      <c r="AD142" s="304">
        <f t="shared" si="117"/>
        <v>0</v>
      </c>
      <c r="AE142" s="304">
        <f t="shared" si="121"/>
        <v>0</v>
      </c>
      <c r="AF142" s="303">
        <f t="shared" si="118"/>
        <v>0</v>
      </c>
      <c r="AG142" s="303">
        <f t="shared" si="122"/>
        <v>0</v>
      </c>
      <c r="AH142" s="303">
        <f t="shared" si="123"/>
        <v>0</v>
      </c>
      <c r="AI142" s="303">
        <f t="shared" si="124"/>
        <v>0</v>
      </c>
      <c r="AJ142" s="303">
        <f t="shared" si="125"/>
        <v>0</v>
      </c>
      <c r="AK142" s="303">
        <f t="shared" si="126"/>
        <v>0</v>
      </c>
      <c r="AL142" s="304">
        <f t="shared" si="127"/>
        <v>0</v>
      </c>
      <c r="AM142" s="304">
        <f t="shared" si="128"/>
        <v>0</v>
      </c>
      <c r="AN142" s="299">
        <v>0</v>
      </c>
      <c r="AO142" s="299">
        <v>0</v>
      </c>
      <c r="AP142" s="299">
        <v>0</v>
      </c>
      <c r="AQ142" s="299">
        <v>218</v>
      </c>
      <c r="AR142" s="300">
        <v>0</v>
      </c>
      <c r="AS142" s="300">
        <v>0</v>
      </c>
      <c r="AT142" s="300">
        <v>0</v>
      </c>
      <c r="AU142" s="300">
        <v>131</v>
      </c>
      <c r="AV142" s="300">
        <v>0</v>
      </c>
      <c r="AW142" s="300">
        <v>4000</v>
      </c>
      <c r="AX142" s="300">
        <v>0</v>
      </c>
      <c r="AY142" s="300">
        <v>0</v>
      </c>
      <c r="AZ142" s="300">
        <v>2100</v>
      </c>
      <c r="BA142" s="300">
        <v>2100</v>
      </c>
      <c r="BB142" s="300">
        <v>0</v>
      </c>
      <c r="BC142" s="300">
        <v>0</v>
      </c>
      <c r="BD142" s="300">
        <v>0</v>
      </c>
      <c r="BE142" s="300">
        <v>0</v>
      </c>
      <c r="BF142" s="300">
        <v>2200</v>
      </c>
      <c r="BG142" s="300">
        <v>2200</v>
      </c>
      <c r="BH142" s="300">
        <v>0</v>
      </c>
      <c r="BI142" s="300">
        <v>0</v>
      </c>
      <c r="BJ142" s="300">
        <v>0</v>
      </c>
      <c r="BK142" s="300">
        <v>0</v>
      </c>
      <c r="BL142" s="266">
        <v>0</v>
      </c>
      <c r="BM142" s="266">
        <v>278</v>
      </c>
      <c r="BN142" s="266">
        <v>0</v>
      </c>
      <c r="BO142" s="266">
        <v>405</v>
      </c>
      <c r="BP142" s="266">
        <v>0</v>
      </c>
      <c r="BQ142" s="266">
        <v>324</v>
      </c>
      <c r="BR142" s="266">
        <v>1500</v>
      </c>
      <c r="BS142" s="266">
        <v>1500</v>
      </c>
      <c r="BT142" s="266">
        <v>1700</v>
      </c>
      <c r="BU142" s="266">
        <v>1700</v>
      </c>
      <c r="BV142" s="266">
        <v>4000</v>
      </c>
      <c r="BW142" s="266">
        <v>4000</v>
      </c>
      <c r="BX142" s="266">
        <v>0</v>
      </c>
      <c r="BY142" s="266">
        <v>0</v>
      </c>
      <c r="BZ142" s="266">
        <v>0</v>
      </c>
      <c r="CA142" s="266">
        <v>0</v>
      </c>
      <c r="CB142" s="266">
        <v>24800</v>
      </c>
      <c r="CC142" s="266">
        <v>24800</v>
      </c>
      <c r="CD142" s="311">
        <v>2000</v>
      </c>
      <c r="CE142" s="311">
        <v>2000</v>
      </c>
      <c r="CF142" s="311">
        <v>0</v>
      </c>
      <c r="CG142" s="311">
        <v>0</v>
      </c>
      <c r="CH142" s="311">
        <v>0</v>
      </c>
      <c r="CI142" s="311">
        <v>0</v>
      </c>
      <c r="CJ142" s="311">
        <v>1300</v>
      </c>
      <c r="CK142" s="311">
        <v>1400</v>
      </c>
      <c r="CL142" s="311">
        <v>0</v>
      </c>
      <c r="CM142" s="311">
        <v>0</v>
      </c>
      <c r="CN142" s="311">
        <v>0</v>
      </c>
      <c r="CO142" s="311">
        <v>0</v>
      </c>
      <c r="CP142" s="311">
        <v>0</v>
      </c>
      <c r="CQ142" s="311">
        <v>0</v>
      </c>
      <c r="CR142" s="311">
        <v>0</v>
      </c>
      <c r="CS142" s="258">
        <v>0</v>
      </c>
      <c r="CT142" s="258">
        <v>0</v>
      </c>
      <c r="CU142" s="258">
        <v>0</v>
      </c>
      <c r="CV142" s="258">
        <v>0</v>
      </c>
      <c r="CW142" s="258">
        <v>0</v>
      </c>
      <c r="CX142" s="266">
        <f t="shared" si="119"/>
        <v>0</v>
      </c>
      <c r="CY142" s="266">
        <f t="shared" si="120"/>
        <v>0</v>
      </c>
      <c r="CZ142" s="260" t="s">
        <v>5021</v>
      </c>
      <c r="DA142" s="301" t="s">
        <v>5025</v>
      </c>
      <c r="DB142" s="258">
        <v>0</v>
      </c>
      <c r="DC142" s="258">
        <f t="shared" si="129"/>
        <v>1</v>
      </c>
    </row>
    <row r="143" spans="1:107">
      <c r="A143" s="264" t="s">
        <v>5026</v>
      </c>
      <c r="B143" s="264" t="s">
        <v>4776</v>
      </c>
      <c r="C143" s="264"/>
      <c r="D143" s="265" t="s">
        <v>5027</v>
      </c>
      <c r="E143" s="306">
        <f t="shared" si="97"/>
        <v>0</v>
      </c>
      <c r="F143" s="306">
        <f t="shared" si="98"/>
        <v>0</v>
      </c>
      <c r="G143" s="304">
        <f t="shared" si="99"/>
        <v>0</v>
      </c>
      <c r="H143" s="304">
        <f t="shared" si="100"/>
        <v>0</v>
      </c>
      <c r="I143" s="304">
        <f t="shared" si="101"/>
        <v>0</v>
      </c>
      <c r="J143" s="304">
        <f t="shared" si="102"/>
        <v>0</v>
      </c>
      <c r="K143" s="304">
        <f t="shared" si="103"/>
        <v>0</v>
      </c>
      <c r="L143" s="304">
        <f t="shared" si="104"/>
        <v>0</v>
      </c>
      <c r="M143" s="304">
        <f t="shared" si="105"/>
        <v>0</v>
      </c>
      <c r="N143" s="304">
        <f t="shared" si="106"/>
        <v>1.21510524436583e-5</v>
      </c>
      <c r="O143" s="304">
        <f t="shared" si="107"/>
        <v>2.58509544316124e-5</v>
      </c>
      <c r="P143" s="304">
        <f t="shared" si="108"/>
        <v>1.27929620197628e-5</v>
      </c>
      <c r="Q143" s="304">
        <v>1.11223409680418e-5</v>
      </c>
      <c r="R143" s="304">
        <f t="shared" si="109"/>
        <v>1.19785399971186e-5</v>
      </c>
      <c r="S143" s="304">
        <f t="shared" si="110"/>
        <v>0</v>
      </c>
      <c r="T143" s="304">
        <v>1.23931285745389e-5</v>
      </c>
      <c r="U143" s="304">
        <v>0.000406228691224557</v>
      </c>
      <c r="V143" s="304">
        <v>0</v>
      </c>
      <c r="W143" s="304">
        <v>0</v>
      </c>
      <c r="X143" s="304">
        <f t="shared" si="111"/>
        <v>0</v>
      </c>
      <c r="Y143" s="304">
        <f t="shared" si="112"/>
        <v>0</v>
      </c>
      <c r="Z143" s="304">
        <f t="shared" si="113"/>
        <v>0</v>
      </c>
      <c r="AA143" s="304">
        <f t="shared" si="114"/>
        <v>0</v>
      </c>
      <c r="AB143" s="304">
        <f t="shared" si="115"/>
        <v>0</v>
      </c>
      <c r="AC143" s="304">
        <f t="shared" si="116"/>
        <v>0</v>
      </c>
      <c r="AD143" s="304">
        <f t="shared" si="117"/>
        <v>0</v>
      </c>
      <c r="AE143" s="304">
        <f t="shared" si="121"/>
        <v>0</v>
      </c>
      <c r="AF143" s="303">
        <f t="shared" si="118"/>
        <v>0</v>
      </c>
      <c r="AG143" s="303">
        <f t="shared" si="122"/>
        <v>0</v>
      </c>
      <c r="AH143" s="303">
        <f t="shared" si="123"/>
        <v>0</v>
      </c>
      <c r="AI143" s="303">
        <f t="shared" si="124"/>
        <v>0</v>
      </c>
      <c r="AJ143" s="303">
        <f t="shared" si="125"/>
        <v>0</v>
      </c>
      <c r="AK143" s="303">
        <f t="shared" si="126"/>
        <v>0</v>
      </c>
      <c r="AL143" s="304">
        <f t="shared" si="127"/>
        <v>0</v>
      </c>
      <c r="AM143" s="304">
        <f t="shared" si="128"/>
        <v>0</v>
      </c>
      <c r="AN143" s="299">
        <v>0</v>
      </c>
      <c r="AO143" s="299">
        <v>0</v>
      </c>
      <c r="AP143" s="299">
        <v>0</v>
      </c>
      <c r="AQ143" s="299">
        <v>0</v>
      </c>
      <c r="AR143" s="300">
        <v>0</v>
      </c>
      <c r="AS143" s="300">
        <v>0</v>
      </c>
      <c r="AT143" s="300">
        <v>0</v>
      </c>
      <c r="AU143" s="300">
        <v>0</v>
      </c>
      <c r="AV143" s="300">
        <v>0</v>
      </c>
      <c r="AW143" s="300">
        <v>0</v>
      </c>
      <c r="AX143" s="300">
        <v>0</v>
      </c>
      <c r="AY143" s="300">
        <v>0</v>
      </c>
      <c r="AZ143" s="300">
        <v>0</v>
      </c>
      <c r="BA143" s="300">
        <v>0</v>
      </c>
      <c r="BB143" s="300">
        <v>0</v>
      </c>
      <c r="BC143" s="300">
        <v>0</v>
      </c>
      <c r="BD143" s="300">
        <v>0</v>
      </c>
      <c r="BE143" s="300">
        <v>0</v>
      </c>
      <c r="BF143" s="300">
        <v>1500</v>
      </c>
      <c r="BG143" s="300">
        <v>1500</v>
      </c>
      <c r="BH143" s="300">
        <v>3011.91</v>
      </c>
      <c r="BI143" s="300">
        <v>3300</v>
      </c>
      <c r="BJ143" s="300">
        <v>1460.32</v>
      </c>
      <c r="BK143" s="300">
        <v>1600</v>
      </c>
      <c r="BL143" s="266">
        <v>0</v>
      </c>
      <c r="BM143" s="266">
        <v>0</v>
      </c>
      <c r="BN143" s="266">
        <v>1500</v>
      </c>
      <c r="BO143" s="266">
        <v>1500</v>
      </c>
      <c r="BP143" s="266">
        <v>0</v>
      </c>
      <c r="BQ143" s="266">
        <v>0</v>
      </c>
      <c r="BR143" s="266">
        <v>1500</v>
      </c>
      <c r="BS143" s="266">
        <v>1500</v>
      </c>
      <c r="BT143" s="266">
        <v>45700</v>
      </c>
      <c r="BU143" s="266">
        <v>45700</v>
      </c>
      <c r="BV143" s="266">
        <v>0</v>
      </c>
      <c r="BW143" s="266">
        <v>0</v>
      </c>
      <c r="BX143" s="266">
        <v>0</v>
      </c>
      <c r="BY143" s="266">
        <v>0</v>
      </c>
      <c r="BZ143" s="266">
        <v>0</v>
      </c>
      <c r="CA143" s="266">
        <v>0</v>
      </c>
      <c r="CB143" s="266">
        <v>0</v>
      </c>
      <c r="CC143" s="266">
        <v>0</v>
      </c>
      <c r="CD143" s="311">
        <v>0</v>
      </c>
      <c r="CE143" s="311">
        <v>0</v>
      </c>
      <c r="CF143" s="311">
        <v>0</v>
      </c>
      <c r="CG143" s="311">
        <v>0</v>
      </c>
      <c r="CH143" s="311">
        <v>0</v>
      </c>
      <c r="CI143" s="311">
        <v>0</v>
      </c>
      <c r="CJ143" s="311">
        <v>0</v>
      </c>
      <c r="CK143" s="311">
        <v>4700</v>
      </c>
      <c r="CL143" s="311">
        <v>0</v>
      </c>
      <c r="CM143" s="311">
        <v>0</v>
      </c>
      <c r="CN143" s="311">
        <v>0</v>
      </c>
      <c r="CO143" s="311">
        <v>0</v>
      </c>
      <c r="CP143" s="311">
        <v>0</v>
      </c>
      <c r="CQ143" s="311">
        <v>0</v>
      </c>
      <c r="CR143" s="311">
        <v>0</v>
      </c>
      <c r="CS143" s="258">
        <v>0</v>
      </c>
      <c r="CT143" s="258">
        <v>0</v>
      </c>
      <c r="CU143" s="258">
        <v>0</v>
      </c>
      <c r="CV143" s="258">
        <v>0</v>
      </c>
      <c r="CW143" s="258">
        <v>0</v>
      </c>
      <c r="CX143" s="266">
        <f t="shared" si="119"/>
        <v>0</v>
      </c>
      <c r="CY143" s="266">
        <f t="shared" si="120"/>
        <v>0</v>
      </c>
      <c r="CZ143" s="260" t="s">
        <v>5021</v>
      </c>
      <c r="DA143" s="301" t="s">
        <v>5027</v>
      </c>
      <c r="DB143" s="258">
        <v>0</v>
      </c>
      <c r="DC143" s="258">
        <f t="shared" si="129"/>
        <v>1</v>
      </c>
    </row>
    <row r="144" spans="1:107">
      <c r="A144" s="264" t="s">
        <v>5028</v>
      </c>
      <c r="B144" s="264" t="s">
        <v>4776</v>
      </c>
      <c r="C144" s="264"/>
      <c r="D144" s="265" t="s">
        <v>5029</v>
      </c>
      <c r="E144" s="306">
        <f t="shared" si="97"/>
        <v>0</v>
      </c>
      <c r="F144" s="306">
        <f t="shared" si="98"/>
        <v>0</v>
      </c>
      <c r="G144" s="304">
        <f t="shared" si="99"/>
        <v>0</v>
      </c>
      <c r="H144" s="304">
        <f t="shared" si="100"/>
        <v>0</v>
      </c>
      <c r="I144" s="304">
        <f t="shared" si="101"/>
        <v>0</v>
      </c>
      <c r="J144" s="304">
        <f t="shared" si="102"/>
        <v>0</v>
      </c>
      <c r="K144" s="304">
        <f t="shared" si="103"/>
        <v>0</v>
      </c>
      <c r="L144" s="304">
        <f t="shared" si="104"/>
        <v>0</v>
      </c>
      <c r="M144" s="304">
        <f t="shared" si="105"/>
        <v>0</v>
      </c>
      <c r="N144" s="304">
        <f t="shared" si="106"/>
        <v>0</v>
      </c>
      <c r="O144" s="304">
        <f t="shared" si="107"/>
        <v>8.65250089482884e-5</v>
      </c>
      <c r="P144" s="304">
        <f t="shared" si="108"/>
        <v>0.000105543776343404</v>
      </c>
      <c r="Q144" s="304">
        <v>0.00680895811137312</v>
      </c>
      <c r="R144" s="304">
        <f t="shared" si="109"/>
        <v>0</v>
      </c>
      <c r="S144" s="304">
        <f t="shared" si="110"/>
        <v>0</v>
      </c>
      <c r="T144" s="304">
        <v>0</v>
      </c>
      <c r="U144" s="304">
        <v>0.000217781245842487</v>
      </c>
      <c r="V144" s="304">
        <v>0</v>
      </c>
      <c r="W144" s="304">
        <v>0</v>
      </c>
      <c r="X144" s="304">
        <f t="shared" si="111"/>
        <v>0.00480316360401874</v>
      </c>
      <c r="Y144" s="304">
        <f t="shared" si="112"/>
        <v>0</v>
      </c>
      <c r="Z144" s="304">
        <f t="shared" si="113"/>
        <v>0</v>
      </c>
      <c r="AA144" s="304">
        <f t="shared" si="114"/>
        <v>0.000130839204271496</v>
      </c>
      <c r="AB144" s="304">
        <f t="shared" si="115"/>
        <v>0.000333684875962597</v>
      </c>
      <c r="AC144" s="304">
        <f t="shared" si="116"/>
        <v>0.000285135480871452</v>
      </c>
      <c r="AD144" s="304">
        <f t="shared" si="117"/>
        <v>0.000255464749152862</v>
      </c>
      <c r="AE144" s="304">
        <f t="shared" si="121"/>
        <v>0</v>
      </c>
      <c r="AF144" s="303">
        <f t="shared" si="118"/>
        <v>-0.000255464749152862</v>
      </c>
      <c r="AG144" s="303">
        <f t="shared" si="122"/>
        <v>0.000133862662752724</v>
      </c>
      <c r="AH144" s="303">
        <f t="shared" si="123"/>
        <v>0.00016912177585714</v>
      </c>
      <c r="AI144" s="303">
        <f t="shared" si="124"/>
        <v>0</v>
      </c>
      <c r="AJ144" s="303">
        <f t="shared" si="125"/>
        <v>0</v>
      </c>
      <c r="AK144" s="303">
        <f t="shared" si="126"/>
        <v>0</v>
      </c>
      <c r="AL144" s="304">
        <f t="shared" si="127"/>
        <v>0</v>
      </c>
      <c r="AM144" s="304">
        <f t="shared" si="128"/>
        <v>0</v>
      </c>
      <c r="AN144" s="299">
        <v>0</v>
      </c>
      <c r="AO144" s="299">
        <v>909200</v>
      </c>
      <c r="AP144" s="299">
        <v>0</v>
      </c>
      <c r="AQ144" s="299">
        <v>1000000</v>
      </c>
      <c r="AR144" s="300">
        <v>0</v>
      </c>
      <c r="AS144" s="300">
        <v>878700</v>
      </c>
      <c r="AT144" s="300">
        <v>0</v>
      </c>
      <c r="AU144" s="300">
        <v>905100</v>
      </c>
      <c r="AV144" s="300">
        <v>0</v>
      </c>
      <c r="AW144" s="300">
        <v>693300</v>
      </c>
      <c r="AX144" s="300">
        <v>0</v>
      </c>
      <c r="AY144" s="300">
        <v>435300</v>
      </c>
      <c r="AZ144" s="300">
        <v>0</v>
      </c>
      <c r="BA144" s="300">
        <v>599900</v>
      </c>
      <c r="BB144" s="300">
        <v>0</v>
      </c>
      <c r="BC144" s="300">
        <v>921900</v>
      </c>
      <c r="BD144" s="300">
        <v>0</v>
      </c>
      <c r="BE144" s="300">
        <v>609700</v>
      </c>
      <c r="BF144" s="300">
        <v>0</v>
      </c>
      <c r="BG144" s="300">
        <v>592400</v>
      </c>
      <c r="BH144" s="300">
        <v>10081.08</v>
      </c>
      <c r="BI144" s="300">
        <v>819600</v>
      </c>
      <c r="BJ144" s="300">
        <v>12047.85</v>
      </c>
      <c r="BK144" s="300">
        <v>979500</v>
      </c>
      <c r="BL144" s="266">
        <v>0</v>
      </c>
      <c r="BM144" s="266">
        <v>737400</v>
      </c>
      <c r="BN144" s="266">
        <v>0</v>
      </c>
      <c r="BO144" s="266">
        <v>491900</v>
      </c>
      <c r="BP144" s="266">
        <v>0</v>
      </c>
      <c r="BQ144" s="266">
        <v>856800</v>
      </c>
      <c r="BR144" s="266">
        <v>0</v>
      </c>
      <c r="BS144" s="266">
        <v>290900</v>
      </c>
      <c r="BT144" s="266">
        <v>24500</v>
      </c>
      <c r="BU144" s="266">
        <v>386500</v>
      </c>
      <c r="BV144" s="266">
        <v>0</v>
      </c>
      <c r="BW144" s="266">
        <v>418600</v>
      </c>
      <c r="BX144" s="266">
        <v>0</v>
      </c>
      <c r="BY144" s="266">
        <v>795412.275263484</v>
      </c>
      <c r="BZ144" s="266">
        <v>0</v>
      </c>
      <c r="CA144" s="266">
        <v>0</v>
      </c>
      <c r="CB144" s="266">
        <v>0</v>
      </c>
      <c r="CC144" s="266">
        <v>619000</v>
      </c>
      <c r="CD144" s="311">
        <v>0</v>
      </c>
      <c r="CE144" s="311">
        <v>505000</v>
      </c>
      <c r="CF144" s="311">
        <v>16200</v>
      </c>
      <c r="CG144" s="311">
        <v>393600</v>
      </c>
      <c r="CH144" s="311">
        <v>43600</v>
      </c>
      <c r="CI144" s="311">
        <v>392300</v>
      </c>
      <c r="CJ144" s="311">
        <v>44400</v>
      </c>
      <c r="CK144" s="311">
        <v>234796</v>
      </c>
      <c r="CL144" s="311">
        <v>44400</v>
      </c>
      <c r="CM144" s="311">
        <v>606400</v>
      </c>
      <c r="CN144" s="311">
        <v>0</v>
      </c>
      <c r="CO144" s="311">
        <v>354200</v>
      </c>
      <c r="CP144" s="311">
        <v>21300</v>
      </c>
      <c r="CQ144" s="311">
        <v>345000</v>
      </c>
      <c r="CR144" s="311">
        <v>26200</v>
      </c>
      <c r="CS144" s="258">
        <v>396500</v>
      </c>
      <c r="CT144" s="258">
        <v>0</v>
      </c>
      <c r="CU144" s="258">
        <v>343800</v>
      </c>
      <c r="CV144" s="258">
        <v>0</v>
      </c>
      <c r="CW144" s="258">
        <v>358700</v>
      </c>
      <c r="CX144" s="266">
        <f t="shared" si="119"/>
        <v>0</v>
      </c>
      <c r="CY144" s="266">
        <f t="shared" si="120"/>
        <v>14900</v>
      </c>
      <c r="DA144" s="301" t="s">
        <v>5029</v>
      </c>
      <c r="DB144" s="258">
        <v>0</v>
      </c>
      <c r="DC144" s="258">
        <f t="shared" si="129"/>
        <v>1</v>
      </c>
    </row>
    <row r="145" spans="1:107">
      <c r="A145" s="264" t="s">
        <v>5030</v>
      </c>
      <c r="B145" s="264" t="s">
        <v>4776</v>
      </c>
      <c r="C145" s="264"/>
      <c r="D145" s="265" t="s">
        <v>5031</v>
      </c>
      <c r="E145" s="306">
        <f t="shared" si="97"/>
        <v>0</v>
      </c>
      <c r="F145" s="306">
        <f t="shared" si="98"/>
        <v>0</v>
      </c>
      <c r="G145" s="304">
        <f t="shared" si="99"/>
        <v>0</v>
      </c>
      <c r="H145" s="304">
        <f t="shared" si="100"/>
        <v>0</v>
      </c>
      <c r="I145" s="304">
        <f t="shared" si="101"/>
        <v>0</v>
      </c>
      <c r="J145" s="304">
        <f t="shared" si="102"/>
        <v>0</v>
      </c>
      <c r="K145" s="304">
        <f t="shared" si="103"/>
        <v>0</v>
      </c>
      <c r="L145" s="304">
        <f t="shared" si="104"/>
        <v>0</v>
      </c>
      <c r="M145" s="304">
        <f t="shared" si="105"/>
        <v>0</v>
      </c>
      <c r="N145" s="304">
        <f t="shared" si="106"/>
        <v>0</v>
      </c>
      <c r="O145" s="304">
        <f t="shared" si="107"/>
        <v>0</v>
      </c>
      <c r="P145" s="304">
        <f t="shared" si="108"/>
        <v>0</v>
      </c>
      <c r="Q145" s="304">
        <v>0.0060060641227426</v>
      </c>
      <c r="R145" s="304">
        <f t="shared" si="109"/>
        <v>0</v>
      </c>
      <c r="S145" s="304">
        <f t="shared" si="110"/>
        <v>0</v>
      </c>
      <c r="T145" s="304">
        <v>0</v>
      </c>
      <c r="U145" s="304">
        <v>0</v>
      </c>
      <c r="V145" s="304">
        <v>0</v>
      </c>
      <c r="W145" s="304">
        <v>0.000526244989229325</v>
      </c>
      <c r="X145" s="304">
        <f t="shared" si="111"/>
        <v>0.00724630044578229</v>
      </c>
      <c r="Y145" s="304">
        <f t="shared" si="112"/>
        <v>0.000785575090667531</v>
      </c>
      <c r="Z145" s="304">
        <f t="shared" si="113"/>
        <v>0</v>
      </c>
      <c r="AA145" s="304">
        <f t="shared" si="114"/>
        <v>0</v>
      </c>
      <c r="AB145" s="304">
        <f t="shared" si="115"/>
        <v>0</v>
      </c>
      <c r="AC145" s="304">
        <f t="shared" si="116"/>
        <v>0</v>
      </c>
      <c r="AD145" s="304">
        <f t="shared" si="117"/>
        <v>0.0047732782859733</v>
      </c>
      <c r="AE145" s="304">
        <f t="shared" si="121"/>
        <v>0.000517440132275318</v>
      </c>
      <c r="AF145" s="303">
        <f t="shared" si="118"/>
        <v>-0.00425583815369798</v>
      </c>
      <c r="AG145" s="303">
        <f t="shared" si="122"/>
        <v>0.000236302165234855</v>
      </c>
      <c r="AH145" s="303">
        <f t="shared" si="123"/>
        <v>0</v>
      </c>
      <c r="AI145" s="303">
        <f t="shared" si="124"/>
        <v>0.000741842099948509</v>
      </c>
      <c r="AJ145" s="303">
        <f t="shared" si="125"/>
        <v>0.000408672690833984</v>
      </c>
      <c r="AK145" s="303">
        <f t="shared" si="126"/>
        <v>-0.000333169409114525</v>
      </c>
      <c r="AL145" s="304">
        <f t="shared" si="127"/>
        <v>-0.000333169409114525</v>
      </c>
      <c r="AM145" s="304">
        <f t="shared" si="128"/>
        <v>-0.72781954887218</v>
      </c>
      <c r="AN145" s="299">
        <v>0</v>
      </c>
      <c r="AO145" s="299">
        <v>669800</v>
      </c>
      <c r="AP145" s="299">
        <v>0</v>
      </c>
      <c r="AQ145" s="299">
        <v>634500</v>
      </c>
      <c r="AR145" s="300">
        <v>0</v>
      </c>
      <c r="AS145" s="300">
        <v>778600</v>
      </c>
      <c r="AT145" s="300">
        <v>0</v>
      </c>
      <c r="AU145" s="300">
        <v>1000000</v>
      </c>
      <c r="AV145" s="300">
        <v>0</v>
      </c>
      <c r="AW145" s="300">
        <v>948700</v>
      </c>
      <c r="AX145" s="300">
        <v>0</v>
      </c>
      <c r="AY145" s="300">
        <v>836300</v>
      </c>
      <c r="AZ145" s="300">
        <v>0</v>
      </c>
      <c r="BA145" s="300">
        <v>1000000</v>
      </c>
      <c r="BB145" s="300">
        <v>0</v>
      </c>
      <c r="BC145" s="300">
        <v>2200000</v>
      </c>
      <c r="BD145" s="300">
        <v>0</v>
      </c>
      <c r="BE145" s="300">
        <v>1000000</v>
      </c>
      <c r="BF145" s="300">
        <v>0</v>
      </c>
      <c r="BG145" s="300">
        <v>0</v>
      </c>
      <c r="BH145" s="300">
        <v>0</v>
      </c>
      <c r="BI145" s="300">
        <v>1300000</v>
      </c>
      <c r="BJ145" s="300">
        <v>0</v>
      </c>
      <c r="BK145" s="300">
        <v>864000</v>
      </c>
      <c r="BL145" s="266">
        <v>0</v>
      </c>
      <c r="BM145" s="266">
        <v>1400000</v>
      </c>
      <c r="BN145" s="266">
        <v>0</v>
      </c>
      <c r="BO145" s="266">
        <v>0</v>
      </c>
      <c r="BP145" s="266">
        <v>0</v>
      </c>
      <c r="BQ145" s="266">
        <v>1100000</v>
      </c>
      <c r="BR145" s="266">
        <v>0</v>
      </c>
      <c r="BS145" s="266">
        <v>700400</v>
      </c>
      <c r="BT145" s="266">
        <v>0</v>
      </c>
      <c r="BU145" s="266">
        <v>645700</v>
      </c>
      <c r="BV145" s="266">
        <v>0</v>
      </c>
      <c r="BW145" s="266">
        <v>725400</v>
      </c>
      <c r="BX145" s="266">
        <v>72200</v>
      </c>
      <c r="BY145" s="266">
        <v>1200000</v>
      </c>
      <c r="BZ145" s="266">
        <v>72200</v>
      </c>
      <c r="CA145" s="266">
        <v>1200000</v>
      </c>
      <c r="CB145" s="266">
        <v>105900</v>
      </c>
      <c r="CC145" s="266">
        <v>882000</v>
      </c>
      <c r="CD145" s="311">
        <v>0</v>
      </c>
      <c r="CE145" s="311">
        <v>1200000</v>
      </c>
      <c r="CF145" s="311">
        <v>0</v>
      </c>
      <c r="CG145" s="311">
        <v>641500</v>
      </c>
      <c r="CH145" s="311">
        <v>0</v>
      </c>
      <c r="CI145" s="311">
        <v>1300000</v>
      </c>
      <c r="CJ145" s="311">
        <v>0</v>
      </c>
      <c r="CK145" s="311">
        <v>780100</v>
      </c>
      <c r="CL145" s="311">
        <v>829600</v>
      </c>
      <c r="CM145" s="311">
        <v>829600</v>
      </c>
      <c r="CN145" s="311">
        <v>78700</v>
      </c>
      <c r="CO145" s="311">
        <v>887600</v>
      </c>
      <c r="CP145" s="311">
        <v>37600</v>
      </c>
      <c r="CQ145" s="311">
        <v>1200000</v>
      </c>
      <c r="CR145" s="311">
        <v>0</v>
      </c>
      <c r="CS145" s="258">
        <v>877800</v>
      </c>
      <c r="CT145" s="258">
        <v>114900</v>
      </c>
      <c r="CU145" s="258">
        <v>894500</v>
      </c>
      <c r="CV145" s="258">
        <v>66500</v>
      </c>
      <c r="CW145" s="258">
        <v>925700</v>
      </c>
      <c r="CX145" s="266">
        <f t="shared" si="119"/>
        <v>-48400</v>
      </c>
      <c r="CY145" s="266">
        <f t="shared" si="120"/>
        <v>31200</v>
      </c>
      <c r="DA145" s="301" t="s">
        <v>5031</v>
      </c>
      <c r="DB145" s="258">
        <v>0</v>
      </c>
      <c r="DC145" s="258">
        <f t="shared" si="129"/>
        <v>1</v>
      </c>
    </row>
    <row r="146" spans="1:107">
      <c r="A146" s="264" t="s">
        <v>5032</v>
      </c>
      <c r="B146" s="264" t="s">
        <v>4776</v>
      </c>
      <c r="C146" s="264"/>
      <c r="D146" s="265" t="s">
        <v>5033</v>
      </c>
      <c r="E146" s="306">
        <f t="shared" si="97"/>
        <v>0</v>
      </c>
      <c r="F146" s="306">
        <f t="shared" si="98"/>
        <v>0</v>
      </c>
      <c r="G146" s="304">
        <f t="shared" si="99"/>
        <v>0</v>
      </c>
      <c r="H146" s="304">
        <f t="shared" si="100"/>
        <v>3.88977654756731e-5</v>
      </c>
      <c r="I146" s="304">
        <f t="shared" si="101"/>
        <v>0</v>
      </c>
      <c r="J146" s="304">
        <f t="shared" si="102"/>
        <v>0</v>
      </c>
      <c r="K146" s="304">
        <f t="shared" si="103"/>
        <v>0</v>
      </c>
      <c r="L146" s="304">
        <f t="shared" si="104"/>
        <v>0</v>
      </c>
      <c r="M146" s="304">
        <f t="shared" si="105"/>
        <v>0</v>
      </c>
      <c r="N146" s="304">
        <f t="shared" si="106"/>
        <v>0</v>
      </c>
      <c r="O146" s="304">
        <f t="shared" si="107"/>
        <v>2.21696582224751e-7</v>
      </c>
      <c r="P146" s="304">
        <f t="shared" si="108"/>
        <v>1.24202077371803e-5</v>
      </c>
      <c r="Q146" s="304">
        <v>1.87689503835706e-5</v>
      </c>
      <c r="R146" s="304">
        <f t="shared" si="109"/>
        <v>0</v>
      </c>
      <c r="S146" s="304">
        <f t="shared" si="110"/>
        <v>0</v>
      </c>
      <c r="T146" s="304">
        <v>0</v>
      </c>
      <c r="U146" s="304">
        <v>0</v>
      </c>
      <c r="V146" s="304">
        <v>0</v>
      </c>
      <c r="W146" s="304">
        <v>0</v>
      </c>
      <c r="X146" s="304">
        <f t="shared" si="111"/>
        <v>7.34695371163165e-6</v>
      </c>
      <c r="Y146" s="304">
        <f t="shared" si="112"/>
        <v>0</v>
      </c>
      <c r="Z146" s="304">
        <f t="shared" si="113"/>
        <v>0</v>
      </c>
      <c r="AA146" s="304">
        <f t="shared" si="114"/>
        <v>0</v>
      </c>
      <c r="AB146" s="304">
        <f t="shared" si="115"/>
        <v>0</v>
      </c>
      <c r="AC146" s="304">
        <f t="shared" si="116"/>
        <v>0</v>
      </c>
      <c r="AD146" s="304">
        <f t="shared" si="117"/>
        <v>0</v>
      </c>
      <c r="AE146" s="304">
        <f t="shared" si="121"/>
        <v>0</v>
      </c>
      <c r="AF146" s="303">
        <f t="shared" si="118"/>
        <v>0</v>
      </c>
      <c r="AG146" s="303">
        <f t="shared" si="122"/>
        <v>0</v>
      </c>
      <c r="AH146" s="303">
        <f t="shared" si="123"/>
        <v>3.31143019140125e-6</v>
      </c>
      <c r="AI146" s="303">
        <f t="shared" si="124"/>
        <v>0</v>
      </c>
      <c r="AJ146" s="303">
        <f t="shared" si="125"/>
        <v>0</v>
      </c>
      <c r="AK146" s="303">
        <f t="shared" si="126"/>
        <v>0</v>
      </c>
      <c r="AL146" s="304">
        <f t="shared" si="127"/>
        <v>0</v>
      </c>
      <c r="AM146" s="304">
        <f t="shared" si="128"/>
        <v>0</v>
      </c>
      <c r="AN146" s="299">
        <v>0</v>
      </c>
      <c r="AO146" s="299">
        <v>154</v>
      </c>
      <c r="AP146" s="299">
        <v>0</v>
      </c>
      <c r="AQ146" s="299">
        <v>0</v>
      </c>
      <c r="AR146" s="300">
        <v>0</v>
      </c>
      <c r="AS146" s="300">
        <v>3100</v>
      </c>
      <c r="AT146" s="300">
        <v>6585.4</v>
      </c>
      <c r="AU146" s="300">
        <v>7600</v>
      </c>
      <c r="AV146" s="300">
        <v>0</v>
      </c>
      <c r="AW146" s="300">
        <v>307</v>
      </c>
      <c r="AX146" s="300">
        <v>0</v>
      </c>
      <c r="AY146" s="300">
        <v>0</v>
      </c>
      <c r="AZ146" s="300">
        <v>0</v>
      </c>
      <c r="BA146" s="300">
        <v>656</v>
      </c>
      <c r="BB146" s="300">
        <v>0</v>
      </c>
      <c r="BC146" s="300">
        <v>60</v>
      </c>
      <c r="BD146" s="300">
        <v>0</v>
      </c>
      <c r="BE146" s="300">
        <v>0</v>
      </c>
      <c r="BF146" s="300">
        <v>0</v>
      </c>
      <c r="BG146" s="300">
        <v>8300</v>
      </c>
      <c r="BH146" s="300">
        <v>25.83</v>
      </c>
      <c r="BI146" s="300">
        <v>2100</v>
      </c>
      <c r="BJ146" s="300">
        <v>1417.77</v>
      </c>
      <c r="BK146" s="300">
        <v>2700</v>
      </c>
      <c r="BL146" s="266">
        <v>0</v>
      </c>
      <c r="BM146" s="266">
        <v>0</v>
      </c>
      <c r="BN146" s="266">
        <v>0</v>
      </c>
      <c r="BO146" s="266">
        <v>1300</v>
      </c>
      <c r="BP146" s="266">
        <v>0</v>
      </c>
      <c r="BQ146" s="266">
        <v>1100</v>
      </c>
      <c r="BR146" s="266">
        <v>0</v>
      </c>
      <c r="BS146" s="266">
        <v>108</v>
      </c>
      <c r="BT146" s="266">
        <v>0</v>
      </c>
      <c r="BU146" s="266">
        <v>3200</v>
      </c>
      <c r="BV146" s="266">
        <v>0</v>
      </c>
      <c r="BW146" s="266">
        <v>0</v>
      </c>
      <c r="BX146" s="266">
        <v>0</v>
      </c>
      <c r="BY146" s="266">
        <v>1216.66835648383</v>
      </c>
      <c r="BZ146" s="266">
        <v>0</v>
      </c>
      <c r="CA146" s="266">
        <v>0</v>
      </c>
      <c r="CB146" s="266">
        <v>0</v>
      </c>
      <c r="CC146" s="266">
        <v>1000</v>
      </c>
      <c r="CD146" s="311">
        <v>0</v>
      </c>
      <c r="CE146" s="311">
        <v>0</v>
      </c>
      <c r="CF146" s="311">
        <v>0</v>
      </c>
      <c r="CG146" s="311">
        <v>0</v>
      </c>
      <c r="CH146" s="311">
        <v>0</v>
      </c>
      <c r="CI146" s="311">
        <v>0</v>
      </c>
      <c r="CJ146" s="311">
        <v>0</v>
      </c>
      <c r="CK146" s="311">
        <v>0</v>
      </c>
      <c r="CL146" s="311">
        <v>0</v>
      </c>
      <c r="CM146" s="311">
        <v>188</v>
      </c>
      <c r="CN146" s="311">
        <v>0</v>
      </c>
      <c r="CO146" s="311">
        <v>188</v>
      </c>
      <c r="CP146" s="311">
        <v>0</v>
      </c>
      <c r="CQ146" s="311">
        <v>0</v>
      </c>
      <c r="CR146" s="311">
        <v>513</v>
      </c>
      <c r="CS146" s="258">
        <v>2600</v>
      </c>
      <c r="CT146" s="258">
        <v>0</v>
      </c>
      <c r="CU146" s="258">
        <v>0</v>
      </c>
      <c r="CV146" s="258">
        <v>0</v>
      </c>
      <c r="CW146" s="258">
        <v>0</v>
      </c>
      <c r="CX146" s="266">
        <f t="shared" si="119"/>
        <v>0</v>
      </c>
      <c r="CY146" s="266">
        <f t="shared" si="120"/>
        <v>0</v>
      </c>
      <c r="CZ146" s="260" t="s">
        <v>4998</v>
      </c>
      <c r="DA146" s="301" t="s">
        <v>5033</v>
      </c>
      <c r="DB146" s="258">
        <v>0</v>
      </c>
      <c r="DC146" s="258">
        <f t="shared" si="129"/>
        <v>1</v>
      </c>
    </row>
    <row r="147" spans="1:107">
      <c r="A147" s="264" t="s">
        <v>5034</v>
      </c>
      <c r="B147" s="264" t="s">
        <v>4776</v>
      </c>
      <c r="C147" s="264"/>
      <c r="D147" s="265" t="s">
        <v>5035</v>
      </c>
      <c r="E147" s="306">
        <f t="shared" si="97"/>
        <v>0</v>
      </c>
      <c r="F147" s="306">
        <f t="shared" si="98"/>
        <v>0</v>
      </c>
      <c r="G147" s="304">
        <f t="shared" si="99"/>
        <v>0</v>
      </c>
      <c r="H147" s="304">
        <f t="shared" si="100"/>
        <v>0</v>
      </c>
      <c r="I147" s="304">
        <f t="shared" si="101"/>
        <v>0</v>
      </c>
      <c r="J147" s="304">
        <f t="shared" si="102"/>
        <v>0</v>
      </c>
      <c r="K147" s="304">
        <f t="shared" si="103"/>
        <v>0</v>
      </c>
      <c r="L147" s="304">
        <f t="shared" si="104"/>
        <v>0</v>
      </c>
      <c r="M147" s="304">
        <f t="shared" si="105"/>
        <v>6.18491501741454e-10</v>
      </c>
      <c r="N147" s="304">
        <f t="shared" si="106"/>
        <v>0</v>
      </c>
      <c r="O147" s="304">
        <f t="shared" si="107"/>
        <v>2.42810542436632e-7</v>
      </c>
      <c r="P147" s="304">
        <f t="shared" si="108"/>
        <v>2.90932308450424e-6</v>
      </c>
      <c r="Q147" s="304">
        <v>0.000187689503835706</v>
      </c>
      <c r="R147" s="304">
        <f t="shared" si="109"/>
        <v>0</v>
      </c>
      <c r="S147" s="304">
        <f t="shared" si="110"/>
        <v>0</v>
      </c>
      <c r="T147" s="304">
        <v>0</v>
      </c>
      <c r="U147" s="304">
        <v>0</v>
      </c>
      <c r="V147" s="304">
        <v>0</v>
      </c>
      <c r="W147" s="304">
        <v>0</v>
      </c>
      <c r="X147" s="304">
        <f t="shared" si="111"/>
        <v>2.77774850421654e-5</v>
      </c>
      <c r="Y147" s="304">
        <f t="shared" si="112"/>
        <v>0</v>
      </c>
      <c r="Z147" s="304">
        <f t="shared" si="113"/>
        <v>0</v>
      </c>
      <c r="AA147" s="304">
        <f t="shared" ref="AA147:AA167" si="130">CF147/$CF$182</f>
        <v>1.53453387725829e-5</v>
      </c>
      <c r="AB147" s="304">
        <f t="shared" ref="AB147:AB167" si="131">CH147/$CH$182</f>
        <v>0</v>
      </c>
      <c r="AC147" s="304">
        <f t="shared" si="116"/>
        <v>5.5357383898917e-6</v>
      </c>
      <c r="AD147" s="304">
        <f t="shared" si="117"/>
        <v>7.30721241946251e-5</v>
      </c>
      <c r="AE147" s="304">
        <f t="shared" si="121"/>
        <v>0</v>
      </c>
      <c r="AF147" s="303">
        <f t="shared" si="118"/>
        <v>-7.30721241946251e-5</v>
      </c>
      <c r="AG147" s="303">
        <f t="shared" si="122"/>
        <v>0</v>
      </c>
      <c r="AH147" s="303">
        <f t="shared" si="123"/>
        <v>0</v>
      </c>
      <c r="AI147" s="303">
        <f t="shared" si="124"/>
        <v>0</v>
      </c>
      <c r="AJ147" s="303">
        <f t="shared" si="125"/>
        <v>0</v>
      </c>
      <c r="AK147" s="303">
        <f t="shared" si="126"/>
        <v>0</v>
      </c>
      <c r="AL147" s="304">
        <f t="shared" si="127"/>
        <v>0</v>
      </c>
      <c r="AM147" s="304">
        <f t="shared" si="128"/>
        <v>0</v>
      </c>
      <c r="AN147" s="299">
        <v>0</v>
      </c>
      <c r="AO147" s="299">
        <v>287</v>
      </c>
      <c r="AP147" s="299">
        <v>0</v>
      </c>
      <c r="AQ147" s="299">
        <v>1900</v>
      </c>
      <c r="AR147" s="300">
        <v>0</v>
      </c>
      <c r="AS147" s="300">
        <v>101400</v>
      </c>
      <c r="AT147" s="300">
        <v>0</v>
      </c>
      <c r="AU147" s="300">
        <v>23500</v>
      </c>
      <c r="AV147" s="300">
        <v>0</v>
      </c>
      <c r="AW147" s="300">
        <v>16500</v>
      </c>
      <c r="AX147" s="300">
        <v>0</v>
      </c>
      <c r="AY147" s="300">
        <v>8700</v>
      </c>
      <c r="AZ147" s="300">
        <v>0</v>
      </c>
      <c r="BA147" s="300">
        <v>4200</v>
      </c>
      <c r="BB147" s="300">
        <v>0</v>
      </c>
      <c r="BC147" s="300">
        <v>4100</v>
      </c>
      <c r="BD147" s="300">
        <v>0.079684791</v>
      </c>
      <c r="BE147" s="300">
        <v>7100</v>
      </c>
      <c r="BF147" s="300">
        <v>0</v>
      </c>
      <c r="BG147" s="300">
        <v>47900</v>
      </c>
      <c r="BH147" s="300">
        <v>28.29</v>
      </c>
      <c r="BI147" s="300">
        <v>2300</v>
      </c>
      <c r="BJ147" s="300">
        <v>332.1</v>
      </c>
      <c r="BK147" s="300">
        <v>27000</v>
      </c>
      <c r="BL147" s="266">
        <v>0</v>
      </c>
      <c r="BM147" s="266">
        <v>6400</v>
      </c>
      <c r="BN147" s="266">
        <v>0</v>
      </c>
      <c r="BO147" s="266">
        <v>6900</v>
      </c>
      <c r="BP147" s="266">
        <v>0</v>
      </c>
      <c r="BQ147" s="266">
        <v>16000</v>
      </c>
      <c r="BR147" s="266">
        <v>0</v>
      </c>
      <c r="BS147" s="266">
        <v>3000</v>
      </c>
      <c r="BT147" s="266">
        <v>0</v>
      </c>
      <c r="BU147" s="266">
        <v>5400</v>
      </c>
      <c r="BV147" s="266">
        <v>0</v>
      </c>
      <c r="BW147" s="266">
        <v>8900</v>
      </c>
      <c r="BX147" s="266">
        <v>0</v>
      </c>
      <c r="BY147" s="266">
        <v>4600</v>
      </c>
      <c r="BZ147" s="266">
        <v>0</v>
      </c>
      <c r="CA147" s="266">
        <v>4600</v>
      </c>
      <c r="CB147" s="266">
        <v>0</v>
      </c>
      <c r="CC147" s="266">
        <v>3400</v>
      </c>
      <c r="CD147" s="311">
        <v>0</v>
      </c>
      <c r="CE147" s="311">
        <v>12300</v>
      </c>
      <c r="CF147" s="311">
        <v>1900</v>
      </c>
      <c r="CG147" s="311">
        <v>4000</v>
      </c>
      <c r="CH147" s="311">
        <v>0</v>
      </c>
      <c r="CI147" s="311">
        <v>3000</v>
      </c>
      <c r="CJ147" s="311">
        <v>862</v>
      </c>
      <c r="CK147" s="311">
        <v>8300</v>
      </c>
      <c r="CL147" s="311">
        <v>12700</v>
      </c>
      <c r="CM147" s="311">
        <v>12700</v>
      </c>
      <c r="CN147" s="311">
        <v>0</v>
      </c>
      <c r="CO147" s="311">
        <v>7100</v>
      </c>
      <c r="CP147" s="311">
        <v>0</v>
      </c>
      <c r="CQ147" s="311">
        <v>5000</v>
      </c>
      <c r="CR147" s="311">
        <v>0</v>
      </c>
      <c r="CS147" s="258">
        <v>3100</v>
      </c>
      <c r="CT147" s="258">
        <v>0</v>
      </c>
      <c r="CU147" s="258">
        <v>1300</v>
      </c>
      <c r="CV147" s="258">
        <v>0</v>
      </c>
      <c r="CW147" s="258">
        <v>5500</v>
      </c>
      <c r="CX147" s="266">
        <f t="shared" si="119"/>
        <v>0</v>
      </c>
      <c r="CY147" s="266">
        <f t="shared" si="120"/>
        <v>4200</v>
      </c>
      <c r="DA147" s="301" t="s">
        <v>5035</v>
      </c>
      <c r="DB147" s="258">
        <v>0</v>
      </c>
      <c r="DC147" s="258">
        <f t="shared" si="129"/>
        <v>1</v>
      </c>
    </row>
    <row r="148" spans="1:107">
      <c r="A148" s="264" t="s">
        <v>5036</v>
      </c>
      <c r="B148" s="264" t="s">
        <v>4776</v>
      </c>
      <c r="C148" s="264"/>
      <c r="D148" s="265" t="s">
        <v>5037</v>
      </c>
      <c r="E148" s="306">
        <f t="shared" si="97"/>
        <v>0</v>
      </c>
      <c r="F148" s="306">
        <f t="shared" si="98"/>
        <v>0</v>
      </c>
      <c r="G148" s="304">
        <f t="shared" si="99"/>
        <v>0</v>
      </c>
      <c r="H148" s="304">
        <f t="shared" si="100"/>
        <v>0</v>
      </c>
      <c r="I148" s="304">
        <f t="shared" si="101"/>
        <v>8.23554779473099e-6</v>
      </c>
      <c r="J148" s="304">
        <f t="shared" si="102"/>
        <v>0</v>
      </c>
      <c r="K148" s="304">
        <f t="shared" si="103"/>
        <v>0</v>
      </c>
      <c r="L148" s="304">
        <f t="shared" si="104"/>
        <v>0</v>
      </c>
      <c r="M148" s="304">
        <f t="shared" si="105"/>
        <v>9.23381678656256e-10</v>
      </c>
      <c r="N148" s="304">
        <f t="shared" si="106"/>
        <v>0</v>
      </c>
      <c r="O148" s="304">
        <f t="shared" si="107"/>
        <v>1.16126781165346e-7</v>
      </c>
      <c r="P148" s="304">
        <f t="shared" si="108"/>
        <v>1.75636912138589e-6</v>
      </c>
      <c r="Q148" s="304">
        <v>0.000113308848611926</v>
      </c>
      <c r="R148" s="304">
        <f t="shared" si="109"/>
        <v>0</v>
      </c>
      <c r="S148" s="304">
        <f t="shared" si="110"/>
        <v>0</v>
      </c>
      <c r="T148" s="304">
        <v>0</v>
      </c>
      <c r="U148" s="304">
        <v>0</v>
      </c>
      <c r="V148" s="304">
        <v>0</v>
      </c>
      <c r="W148" s="304">
        <v>0</v>
      </c>
      <c r="X148" s="304">
        <f t="shared" si="111"/>
        <v>6.82359958644499e-5</v>
      </c>
      <c r="Y148" s="304">
        <f t="shared" si="112"/>
        <v>1.03853175347927e-5</v>
      </c>
      <c r="Z148" s="304">
        <f t="shared" si="113"/>
        <v>0</v>
      </c>
      <c r="AA148" s="304">
        <f t="shared" si="130"/>
        <v>0</v>
      </c>
      <c r="AB148" s="304">
        <f t="shared" si="131"/>
        <v>0</v>
      </c>
      <c r="AC148" s="304">
        <f t="shared" si="116"/>
        <v>2.76786919494585e-6</v>
      </c>
      <c r="AD148" s="304">
        <f t="shared" si="117"/>
        <v>2.35902133226742e-5</v>
      </c>
      <c r="AE148" s="304">
        <f t="shared" si="121"/>
        <v>0</v>
      </c>
      <c r="AF148" s="303">
        <f t="shared" si="118"/>
        <v>-2.35902133226742e-5</v>
      </c>
      <c r="AG148" s="303">
        <f t="shared" si="122"/>
        <v>0</v>
      </c>
      <c r="AH148" s="303">
        <f t="shared" si="123"/>
        <v>0</v>
      </c>
      <c r="AI148" s="303">
        <f t="shared" si="124"/>
        <v>0</v>
      </c>
      <c r="AJ148" s="303">
        <f t="shared" si="125"/>
        <v>0</v>
      </c>
      <c r="AK148" s="303">
        <f t="shared" si="126"/>
        <v>0</v>
      </c>
      <c r="AL148" s="304">
        <f t="shared" si="127"/>
        <v>0</v>
      </c>
      <c r="AM148" s="304">
        <f t="shared" si="128"/>
        <v>0</v>
      </c>
      <c r="AN148" s="299">
        <v>0</v>
      </c>
      <c r="AO148" s="299">
        <v>12000</v>
      </c>
      <c r="AP148" s="299">
        <v>0</v>
      </c>
      <c r="AQ148" s="299">
        <v>98</v>
      </c>
      <c r="AR148" s="300">
        <v>0</v>
      </c>
      <c r="AS148" s="300">
        <v>2700</v>
      </c>
      <c r="AT148" s="300">
        <v>0</v>
      </c>
      <c r="AU148" s="300">
        <v>4000</v>
      </c>
      <c r="AV148" s="300">
        <v>1394.28</v>
      </c>
      <c r="AW148" s="300">
        <v>3600</v>
      </c>
      <c r="AX148" s="300">
        <v>0</v>
      </c>
      <c r="AY148" s="300">
        <v>997</v>
      </c>
      <c r="AZ148" s="300">
        <v>0</v>
      </c>
      <c r="BA148" s="300">
        <v>784</v>
      </c>
      <c r="BB148" s="300">
        <v>0</v>
      </c>
      <c r="BC148" s="300">
        <v>4400</v>
      </c>
      <c r="BD148" s="300">
        <v>0.118966026</v>
      </c>
      <c r="BE148" s="300">
        <v>10600</v>
      </c>
      <c r="BF148" s="300">
        <v>0</v>
      </c>
      <c r="BG148" s="300">
        <v>1400</v>
      </c>
      <c r="BH148" s="300">
        <v>13.53</v>
      </c>
      <c r="BI148" s="300">
        <v>1100</v>
      </c>
      <c r="BJ148" s="300">
        <v>200.49</v>
      </c>
      <c r="BK148" s="300">
        <v>16300</v>
      </c>
      <c r="BL148" s="266">
        <v>5489.68</v>
      </c>
      <c r="BM148" s="266">
        <v>5600</v>
      </c>
      <c r="BN148" s="266">
        <v>0</v>
      </c>
      <c r="BO148" s="266">
        <v>10500</v>
      </c>
      <c r="BP148" s="266">
        <v>0</v>
      </c>
      <c r="BQ148" s="266">
        <v>3100</v>
      </c>
      <c r="BR148" s="266">
        <v>0</v>
      </c>
      <c r="BS148" s="266">
        <v>855</v>
      </c>
      <c r="BT148" s="266">
        <v>0</v>
      </c>
      <c r="BU148" s="266">
        <v>3100</v>
      </c>
      <c r="BV148" s="266">
        <v>0</v>
      </c>
      <c r="BW148" s="266">
        <v>5900</v>
      </c>
      <c r="BX148" s="266">
        <v>0</v>
      </c>
      <c r="BY148" s="266">
        <v>11300</v>
      </c>
      <c r="BZ148" s="266">
        <v>0</v>
      </c>
      <c r="CA148" s="266">
        <v>11300</v>
      </c>
      <c r="CB148" s="266">
        <v>1400</v>
      </c>
      <c r="CC148" s="266">
        <v>4000</v>
      </c>
      <c r="CD148" s="311">
        <v>0</v>
      </c>
      <c r="CE148" s="311">
        <v>649</v>
      </c>
      <c r="CF148" s="311">
        <v>0</v>
      </c>
      <c r="CG148" s="311">
        <v>1500</v>
      </c>
      <c r="CH148" s="311">
        <v>0</v>
      </c>
      <c r="CI148" s="311">
        <v>18300</v>
      </c>
      <c r="CJ148" s="311">
        <v>431</v>
      </c>
      <c r="CK148" s="311">
        <v>3700</v>
      </c>
      <c r="CL148" s="311">
        <v>4100</v>
      </c>
      <c r="CM148" s="311">
        <v>4100</v>
      </c>
      <c r="CN148" s="311">
        <v>0</v>
      </c>
      <c r="CO148" s="311">
        <v>2800</v>
      </c>
      <c r="CP148" s="311">
        <v>0</v>
      </c>
      <c r="CQ148" s="311">
        <v>1100</v>
      </c>
      <c r="CR148" s="311">
        <v>0</v>
      </c>
      <c r="CS148" s="258">
        <v>398</v>
      </c>
      <c r="CT148" s="258">
        <v>0</v>
      </c>
      <c r="CU148" s="258">
        <v>3700</v>
      </c>
      <c r="CV148" s="258">
        <v>0</v>
      </c>
      <c r="CW148" s="258">
        <v>2400</v>
      </c>
      <c r="CX148" s="266">
        <f t="shared" si="119"/>
        <v>0</v>
      </c>
      <c r="CY148" s="266">
        <f t="shared" si="120"/>
        <v>-1300</v>
      </c>
      <c r="DA148" s="301" t="s">
        <v>5037</v>
      </c>
      <c r="DB148" s="258">
        <v>0</v>
      </c>
      <c r="DC148" s="258">
        <f t="shared" si="129"/>
        <v>1</v>
      </c>
    </row>
    <row r="149" spans="1:107">
      <c r="A149" s="264" t="s">
        <v>5038</v>
      </c>
      <c r="B149" s="264" t="s">
        <v>4776</v>
      </c>
      <c r="C149" s="264"/>
      <c r="D149" s="265" t="s">
        <v>5039</v>
      </c>
      <c r="E149" s="306">
        <f t="shared" si="97"/>
        <v>0</v>
      </c>
      <c r="F149" s="306">
        <f t="shared" si="98"/>
        <v>0</v>
      </c>
      <c r="G149" s="304">
        <f t="shared" si="99"/>
        <v>0</v>
      </c>
      <c r="H149" s="304">
        <f t="shared" si="100"/>
        <v>0</v>
      </c>
      <c r="I149" s="304">
        <f t="shared" si="101"/>
        <v>0</v>
      </c>
      <c r="J149" s="304">
        <f t="shared" si="102"/>
        <v>0</v>
      </c>
      <c r="K149" s="304">
        <f t="shared" si="103"/>
        <v>0</v>
      </c>
      <c r="L149" s="304">
        <f t="shared" si="104"/>
        <v>0</v>
      </c>
      <c r="M149" s="304">
        <f t="shared" si="105"/>
        <v>0</v>
      </c>
      <c r="N149" s="304">
        <f t="shared" si="106"/>
        <v>0</v>
      </c>
      <c r="O149" s="304">
        <f t="shared" si="107"/>
        <v>0</v>
      </c>
      <c r="P149" s="304">
        <f t="shared" si="108"/>
        <v>0</v>
      </c>
      <c r="Q149" s="304">
        <v>0</v>
      </c>
      <c r="R149" s="304">
        <f t="shared" si="109"/>
        <v>0</v>
      </c>
      <c r="S149" s="304">
        <f t="shared" si="110"/>
        <v>0</v>
      </c>
      <c r="T149" s="304">
        <v>0</v>
      </c>
      <c r="U149" s="304">
        <v>0</v>
      </c>
      <c r="V149" s="304">
        <v>0</v>
      </c>
      <c r="W149" s="304">
        <v>0</v>
      </c>
      <c r="X149" s="304">
        <f t="shared" si="111"/>
        <v>0</v>
      </c>
      <c r="Y149" s="304">
        <f t="shared" si="112"/>
        <v>3.1155952604378e-5</v>
      </c>
      <c r="Z149" s="304">
        <f t="shared" si="113"/>
        <v>2.43539226648349e-5</v>
      </c>
      <c r="AA149" s="304">
        <f t="shared" si="130"/>
        <v>0</v>
      </c>
      <c r="AB149" s="304">
        <f t="shared" si="131"/>
        <v>0</v>
      </c>
      <c r="AC149" s="304">
        <f t="shared" si="116"/>
        <v>0</v>
      </c>
      <c r="AD149" s="304">
        <f t="shared" si="117"/>
        <v>0</v>
      </c>
      <c r="AE149" s="304">
        <f t="shared" si="121"/>
        <v>0</v>
      </c>
      <c r="AF149" s="303">
        <f t="shared" si="118"/>
        <v>0</v>
      </c>
      <c r="AG149" s="303">
        <f t="shared" si="122"/>
        <v>0</v>
      </c>
      <c r="AH149" s="303">
        <f t="shared" si="123"/>
        <v>0</v>
      </c>
      <c r="AI149" s="303">
        <f t="shared" si="124"/>
        <v>0</v>
      </c>
      <c r="AJ149" s="303">
        <f t="shared" si="125"/>
        <v>0</v>
      </c>
      <c r="AK149" s="303">
        <f t="shared" si="126"/>
        <v>0</v>
      </c>
      <c r="AL149" s="304">
        <f t="shared" si="127"/>
        <v>0</v>
      </c>
      <c r="AM149" s="304">
        <f t="shared" si="128"/>
        <v>0</v>
      </c>
      <c r="AN149" s="299">
        <v>0</v>
      </c>
      <c r="AO149" s="299">
        <v>0</v>
      </c>
      <c r="AP149" s="299">
        <v>0</v>
      </c>
      <c r="AQ149" s="299">
        <v>12200</v>
      </c>
      <c r="AR149" s="300">
        <v>0</v>
      </c>
      <c r="AS149" s="300">
        <v>0</v>
      </c>
      <c r="AT149" s="300">
        <v>0</v>
      </c>
      <c r="AU149" s="300">
        <v>0</v>
      </c>
      <c r="AV149" s="300">
        <v>0</v>
      </c>
      <c r="AW149" s="300">
        <v>12400</v>
      </c>
      <c r="AX149" s="300">
        <v>0</v>
      </c>
      <c r="AY149" s="300">
        <v>0</v>
      </c>
      <c r="AZ149" s="300">
        <v>0</v>
      </c>
      <c r="BA149" s="300">
        <v>0</v>
      </c>
      <c r="BB149" s="300">
        <v>0</v>
      </c>
      <c r="BC149" s="300">
        <v>0</v>
      </c>
      <c r="BD149" s="300">
        <v>0</v>
      </c>
      <c r="BE149" s="300">
        <v>0</v>
      </c>
      <c r="BF149" s="300">
        <v>0</v>
      </c>
      <c r="BG149" s="300">
        <v>0</v>
      </c>
      <c r="BH149" s="300">
        <v>0</v>
      </c>
      <c r="BI149" s="300">
        <v>0</v>
      </c>
      <c r="BJ149" s="300">
        <v>0</v>
      </c>
      <c r="BK149" s="300">
        <v>0</v>
      </c>
      <c r="BL149" s="266">
        <v>0</v>
      </c>
      <c r="BM149" s="266">
        <v>0</v>
      </c>
      <c r="BN149" s="266">
        <v>0</v>
      </c>
      <c r="BO149" s="266">
        <v>0</v>
      </c>
      <c r="BP149" s="266">
        <v>0</v>
      </c>
      <c r="BQ149" s="266">
        <v>0</v>
      </c>
      <c r="BR149" s="266">
        <v>0</v>
      </c>
      <c r="BS149" s="266">
        <v>0</v>
      </c>
      <c r="BT149" s="266">
        <v>0</v>
      </c>
      <c r="BU149" s="266">
        <v>0</v>
      </c>
      <c r="BV149" s="266">
        <v>0</v>
      </c>
      <c r="BW149" s="266">
        <v>0</v>
      </c>
      <c r="BX149" s="266">
        <v>0</v>
      </c>
      <c r="BY149" s="266">
        <v>0</v>
      </c>
      <c r="BZ149" s="266">
        <v>0</v>
      </c>
      <c r="CA149" s="266">
        <v>0</v>
      </c>
      <c r="CB149" s="266">
        <v>4200</v>
      </c>
      <c r="CC149" s="266">
        <v>5000</v>
      </c>
      <c r="CD149" s="311">
        <v>3400</v>
      </c>
      <c r="CE149" s="311">
        <v>5100</v>
      </c>
      <c r="CF149" s="311">
        <v>0</v>
      </c>
      <c r="CG149" s="311">
        <v>0</v>
      </c>
      <c r="CH149" s="311">
        <v>0</v>
      </c>
      <c r="CI149" s="311">
        <v>0</v>
      </c>
      <c r="CJ149" s="311">
        <v>0</v>
      </c>
      <c r="CK149" s="311">
        <v>0</v>
      </c>
      <c r="CL149" s="311">
        <v>0</v>
      </c>
      <c r="CM149" s="311">
        <v>1300</v>
      </c>
      <c r="CN149" s="311">
        <v>0</v>
      </c>
      <c r="CO149" s="311">
        <v>10</v>
      </c>
      <c r="CP149" s="311">
        <v>0</v>
      </c>
      <c r="CQ149" s="311">
        <v>1200</v>
      </c>
      <c r="CR149" s="311">
        <v>0</v>
      </c>
      <c r="CS149" s="258">
        <v>2800</v>
      </c>
      <c r="CT149" s="258">
        <v>0</v>
      </c>
      <c r="CU149" s="258">
        <v>0</v>
      </c>
      <c r="CV149" s="258">
        <v>0</v>
      </c>
      <c r="CW149" s="258">
        <v>2800</v>
      </c>
      <c r="CX149" s="266">
        <f t="shared" si="119"/>
        <v>0</v>
      </c>
      <c r="CY149" s="266">
        <f t="shared" si="120"/>
        <v>2800</v>
      </c>
      <c r="CZ149" s="260" t="s">
        <v>4973</v>
      </c>
      <c r="DA149" s="301" t="s">
        <v>5039</v>
      </c>
      <c r="DB149" s="258">
        <v>0</v>
      </c>
      <c r="DC149" s="258">
        <f t="shared" si="129"/>
        <v>1</v>
      </c>
    </row>
    <row r="150" spans="1:107">
      <c r="A150" s="264" t="s">
        <v>5040</v>
      </c>
      <c r="B150" s="264" t="s">
        <v>4776</v>
      </c>
      <c r="C150" s="264"/>
      <c r="D150" s="265" t="s">
        <v>5041</v>
      </c>
      <c r="E150" s="306">
        <f t="shared" si="97"/>
        <v>0</v>
      </c>
      <c r="F150" s="306">
        <f t="shared" si="98"/>
        <v>0</v>
      </c>
      <c r="G150" s="304">
        <f t="shared" si="99"/>
        <v>0</v>
      </c>
      <c r="H150" s="304">
        <f t="shared" si="100"/>
        <v>0</v>
      </c>
      <c r="I150" s="304">
        <f t="shared" si="101"/>
        <v>0</v>
      </c>
      <c r="J150" s="304">
        <f t="shared" si="102"/>
        <v>0</v>
      </c>
      <c r="K150" s="304">
        <f t="shared" si="103"/>
        <v>0</v>
      </c>
      <c r="L150" s="304">
        <f t="shared" si="104"/>
        <v>0</v>
      </c>
      <c r="M150" s="304">
        <f t="shared" si="105"/>
        <v>1.04882648995489e-5</v>
      </c>
      <c r="N150" s="304">
        <f t="shared" si="106"/>
        <v>1.03701941975157e-5</v>
      </c>
      <c r="O150" s="304">
        <f t="shared" si="107"/>
        <v>0</v>
      </c>
      <c r="P150" s="304">
        <f t="shared" si="108"/>
        <v>0</v>
      </c>
      <c r="Q150" s="304">
        <v>7.64660941552877e-6</v>
      </c>
      <c r="R150" s="304">
        <f t="shared" si="109"/>
        <v>0</v>
      </c>
      <c r="S150" s="304">
        <f t="shared" si="110"/>
        <v>0</v>
      </c>
      <c r="T150" s="304">
        <v>0</v>
      </c>
      <c r="U150" s="304">
        <v>0</v>
      </c>
      <c r="V150" s="304">
        <v>0</v>
      </c>
      <c r="W150" s="304">
        <v>1.09330676432685e-5</v>
      </c>
      <c r="X150" s="304">
        <f t="shared" si="111"/>
        <v>1.87196094849376e-5</v>
      </c>
      <c r="Y150" s="304">
        <f t="shared" si="112"/>
        <v>0</v>
      </c>
      <c r="Z150" s="304">
        <f t="shared" si="113"/>
        <v>0</v>
      </c>
      <c r="AA150" s="304">
        <f t="shared" si="130"/>
        <v>0</v>
      </c>
      <c r="AB150" s="304">
        <f t="shared" si="131"/>
        <v>0</v>
      </c>
      <c r="AC150" s="304">
        <f t="shared" si="116"/>
        <v>0</v>
      </c>
      <c r="AD150" s="304">
        <f t="shared" si="117"/>
        <v>7.47982373645769e-6</v>
      </c>
      <c r="AE150" s="304">
        <f t="shared" si="121"/>
        <v>0</v>
      </c>
      <c r="AF150" s="303">
        <f t="shared" si="118"/>
        <v>-7.47982373645769e-6</v>
      </c>
      <c r="AG150" s="303">
        <f t="shared" si="122"/>
        <v>0</v>
      </c>
      <c r="AH150" s="303">
        <f t="shared" si="123"/>
        <v>3.31143019140125e-6</v>
      </c>
      <c r="AI150" s="303">
        <f t="shared" si="124"/>
        <v>0</v>
      </c>
      <c r="AJ150" s="303">
        <f t="shared" si="125"/>
        <v>0</v>
      </c>
      <c r="AK150" s="303">
        <f t="shared" si="126"/>
        <v>0</v>
      </c>
      <c r="AL150" s="304">
        <f t="shared" si="127"/>
        <v>0</v>
      </c>
      <c r="AM150" s="304">
        <f t="shared" si="128"/>
        <v>0</v>
      </c>
      <c r="AN150" s="299">
        <v>0</v>
      </c>
      <c r="AO150" s="299">
        <v>4700</v>
      </c>
      <c r="AP150" s="299">
        <v>0</v>
      </c>
      <c r="AQ150" s="299">
        <v>2500</v>
      </c>
      <c r="AR150" s="300">
        <v>0</v>
      </c>
      <c r="AS150" s="300">
        <v>3000</v>
      </c>
      <c r="AT150" s="300">
        <v>0</v>
      </c>
      <c r="AU150" s="300">
        <v>861</v>
      </c>
      <c r="AV150" s="300">
        <v>0</v>
      </c>
      <c r="AW150" s="300">
        <v>446</v>
      </c>
      <c r="AX150" s="300">
        <v>0</v>
      </c>
      <c r="AY150" s="300">
        <v>0</v>
      </c>
      <c r="AZ150" s="300">
        <v>0</v>
      </c>
      <c r="BA150" s="300">
        <v>3500</v>
      </c>
      <c r="BB150" s="300">
        <v>0</v>
      </c>
      <c r="BC150" s="300">
        <v>395</v>
      </c>
      <c r="BD150" s="300">
        <v>1351.28</v>
      </c>
      <c r="BE150" s="300">
        <v>1900</v>
      </c>
      <c r="BF150" s="300">
        <v>1280.16</v>
      </c>
      <c r="BG150" s="300">
        <v>3600</v>
      </c>
      <c r="BH150" s="300">
        <v>0</v>
      </c>
      <c r="BI150" s="300">
        <v>0</v>
      </c>
      <c r="BJ150" s="300">
        <v>0</v>
      </c>
      <c r="BK150" s="300">
        <v>1100</v>
      </c>
      <c r="BL150" s="266">
        <v>0</v>
      </c>
      <c r="BM150" s="266">
        <v>2200</v>
      </c>
      <c r="BN150" s="266">
        <v>0</v>
      </c>
      <c r="BO150" s="266">
        <v>2000</v>
      </c>
      <c r="BP150" s="266">
        <v>0</v>
      </c>
      <c r="BQ150" s="266">
        <v>792</v>
      </c>
      <c r="BR150" s="266">
        <v>0</v>
      </c>
      <c r="BS150" s="266">
        <v>739</v>
      </c>
      <c r="BT150" s="266">
        <v>0</v>
      </c>
      <c r="BU150" s="266">
        <v>3800</v>
      </c>
      <c r="BV150" s="266">
        <v>0</v>
      </c>
      <c r="BW150" s="266">
        <v>5900</v>
      </c>
      <c r="BX150" s="266">
        <v>1500</v>
      </c>
      <c r="BY150" s="266">
        <v>3100</v>
      </c>
      <c r="BZ150" s="266">
        <v>1500</v>
      </c>
      <c r="CA150" s="266">
        <v>3100</v>
      </c>
      <c r="CB150" s="266">
        <v>0</v>
      </c>
      <c r="CC150" s="266">
        <v>3800</v>
      </c>
      <c r="CD150" s="311">
        <v>0</v>
      </c>
      <c r="CE150" s="311">
        <v>531</v>
      </c>
      <c r="CF150" s="311">
        <v>0</v>
      </c>
      <c r="CG150" s="311">
        <v>3500</v>
      </c>
      <c r="CH150" s="311">
        <v>0</v>
      </c>
      <c r="CI150" s="311">
        <v>473</v>
      </c>
      <c r="CJ150" s="311">
        <v>0</v>
      </c>
      <c r="CK150" s="311">
        <v>945</v>
      </c>
      <c r="CL150" s="311">
        <v>1300</v>
      </c>
      <c r="CM150" s="311">
        <v>1300</v>
      </c>
      <c r="CN150" s="311">
        <v>0</v>
      </c>
      <c r="CO150" s="311">
        <v>30700</v>
      </c>
      <c r="CP150" s="311">
        <v>0</v>
      </c>
      <c r="CQ150" s="311">
        <v>119</v>
      </c>
      <c r="CR150" s="311">
        <v>513</v>
      </c>
      <c r="CS150" s="258">
        <v>778</v>
      </c>
      <c r="CT150" s="258">
        <v>0</v>
      </c>
      <c r="CU150" s="258">
        <v>2100</v>
      </c>
      <c r="CV150" s="258">
        <v>0</v>
      </c>
      <c r="CW150" s="258">
        <v>6900</v>
      </c>
      <c r="CX150" s="266">
        <f t="shared" si="119"/>
        <v>0</v>
      </c>
      <c r="CY150" s="266">
        <f t="shared" si="120"/>
        <v>4800</v>
      </c>
      <c r="DA150" s="301" t="s">
        <v>5041</v>
      </c>
      <c r="DB150" s="258">
        <v>0</v>
      </c>
      <c r="DC150" s="258">
        <f t="shared" si="129"/>
        <v>1</v>
      </c>
    </row>
    <row r="151" spans="1:107">
      <c r="A151" s="309" t="s">
        <v>5042</v>
      </c>
      <c r="B151" s="264" t="s">
        <v>4776</v>
      </c>
      <c r="C151" s="264"/>
      <c r="D151" s="265" t="s">
        <v>5043</v>
      </c>
      <c r="E151" s="306">
        <f t="shared" si="97"/>
        <v>0</v>
      </c>
      <c r="F151" s="306">
        <f t="shared" si="98"/>
        <v>0</v>
      </c>
      <c r="G151" s="304">
        <f t="shared" si="99"/>
        <v>0</v>
      </c>
      <c r="H151" s="304">
        <f t="shared" si="100"/>
        <v>0</v>
      </c>
      <c r="I151" s="304">
        <f t="shared" si="101"/>
        <v>0</v>
      </c>
      <c r="J151" s="304">
        <f t="shared" si="102"/>
        <v>0</v>
      </c>
      <c r="K151" s="304">
        <f t="shared" si="103"/>
        <v>0</v>
      </c>
      <c r="L151" s="304">
        <f t="shared" si="104"/>
        <v>0</v>
      </c>
      <c r="M151" s="304">
        <f t="shared" si="105"/>
        <v>0</v>
      </c>
      <c r="N151" s="304">
        <f t="shared" si="106"/>
        <v>0</v>
      </c>
      <c r="O151" s="304">
        <f t="shared" si="107"/>
        <v>0</v>
      </c>
      <c r="P151" s="304">
        <f t="shared" si="108"/>
        <v>0</v>
      </c>
      <c r="Q151" s="304">
        <v>6.56913263424971e-6</v>
      </c>
      <c r="R151" s="304">
        <f t="shared" si="109"/>
        <v>0</v>
      </c>
      <c r="S151" s="304">
        <f t="shared" si="110"/>
        <v>0</v>
      </c>
      <c r="T151" s="304">
        <v>0</v>
      </c>
      <c r="U151" s="304">
        <v>0</v>
      </c>
      <c r="V151" s="304">
        <v>0</v>
      </c>
      <c r="W151" s="304">
        <v>0</v>
      </c>
      <c r="X151" s="304">
        <f t="shared" si="111"/>
        <v>0</v>
      </c>
      <c r="Y151" s="304">
        <f t="shared" si="112"/>
        <v>0</v>
      </c>
      <c r="Z151" s="304">
        <f t="shared" si="113"/>
        <v>0</v>
      </c>
      <c r="AA151" s="304">
        <f t="shared" si="130"/>
        <v>0</v>
      </c>
      <c r="AB151" s="304">
        <f t="shared" si="131"/>
        <v>0</v>
      </c>
      <c r="AC151" s="304">
        <f t="shared" si="116"/>
        <v>0</v>
      </c>
      <c r="AD151" s="304">
        <f t="shared" si="117"/>
        <v>0</v>
      </c>
      <c r="AE151" s="304">
        <f t="shared" si="121"/>
        <v>2.88635601104021e-6</v>
      </c>
      <c r="AF151" s="303">
        <f t="shared" si="118"/>
        <v>2.88635601104021e-6</v>
      </c>
      <c r="AG151" s="303">
        <f t="shared" si="122"/>
        <v>0</v>
      </c>
      <c r="AH151" s="303">
        <f t="shared" si="123"/>
        <v>0</v>
      </c>
      <c r="AI151" s="303">
        <f t="shared" si="124"/>
        <v>0</v>
      </c>
      <c r="AJ151" s="303">
        <f t="shared" si="125"/>
        <v>0</v>
      </c>
      <c r="AK151" s="303">
        <f t="shared" si="126"/>
        <v>0</v>
      </c>
      <c r="AL151" s="304">
        <f t="shared" si="127"/>
        <v>0</v>
      </c>
      <c r="AM151" s="304">
        <f t="shared" si="128"/>
        <v>0</v>
      </c>
      <c r="AN151" s="299">
        <v>0</v>
      </c>
      <c r="AO151" s="299">
        <v>0</v>
      </c>
      <c r="AP151" s="299">
        <v>0</v>
      </c>
      <c r="AQ151" s="299">
        <v>0</v>
      </c>
      <c r="AR151" s="300">
        <v>0</v>
      </c>
      <c r="AS151" s="300">
        <v>0</v>
      </c>
      <c r="AT151" s="300">
        <v>0</v>
      </c>
      <c r="AU151" s="300">
        <v>0</v>
      </c>
      <c r="AV151" s="300">
        <v>0</v>
      </c>
      <c r="AW151" s="300">
        <v>632</v>
      </c>
      <c r="AX151" s="300">
        <v>0</v>
      </c>
      <c r="AY151" s="300">
        <v>0</v>
      </c>
      <c r="AZ151" s="300">
        <v>0</v>
      </c>
      <c r="BA151" s="300">
        <v>0</v>
      </c>
      <c r="BB151" s="300">
        <v>0</v>
      </c>
      <c r="BC151" s="300">
        <v>0</v>
      </c>
      <c r="BD151" s="300">
        <v>0</v>
      </c>
      <c r="BE151" s="300">
        <v>0</v>
      </c>
      <c r="BF151" s="300">
        <v>0</v>
      </c>
      <c r="BG151" s="300">
        <v>0</v>
      </c>
      <c r="BH151" s="300">
        <v>0</v>
      </c>
      <c r="BI151" s="300">
        <v>0</v>
      </c>
      <c r="BJ151" s="300">
        <v>0</v>
      </c>
      <c r="BK151" s="300">
        <v>945</v>
      </c>
      <c r="BL151" s="266">
        <v>0</v>
      </c>
      <c r="BM151" s="266">
        <v>0</v>
      </c>
      <c r="BN151" s="266">
        <v>0</v>
      </c>
      <c r="BO151" s="266">
        <v>7800</v>
      </c>
      <c r="BP151" s="266">
        <v>0</v>
      </c>
      <c r="BQ151" s="266">
        <v>671</v>
      </c>
      <c r="BR151" s="266">
        <v>0</v>
      </c>
      <c r="BS151" s="266">
        <v>0</v>
      </c>
      <c r="BT151" s="266">
        <v>0</v>
      </c>
      <c r="BU151" s="266">
        <v>0</v>
      </c>
      <c r="BV151" s="266">
        <v>0</v>
      </c>
      <c r="BW151" s="266">
        <v>866</v>
      </c>
      <c r="BX151" s="266">
        <v>0</v>
      </c>
      <c r="BY151" s="266">
        <v>0</v>
      </c>
      <c r="BZ151" s="266">
        <v>0</v>
      </c>
      <c r="CA151" s="266">
        <v>0</v>
      </c>
      <c r="CB151" s="266">
        <v>0</v>
      </c>
      <c r="CC151" s="266">
        <v>0</v>
      </c>
      <c r="CD151" s="311">
        <v>0</v>
      </c>
      <c r="CE151" s="311">
        <v>0</v>
      </c>
      <c r="CF151" s="311">
        <v>0</v>
      </c>
      <c r="CG151" s="311">
        <v>0</v>
      </c>
      <c r="CH151" s="311">
        <v>0</v>
      </c>
      <c r="CI151" s="311">
        <v>0</v>
      </c>
      <c r="CJ151" s="311">
        <v>0</v>
      </c>
      <c r="CK151" s="311">
        <v>0</v>
      </c>
      <c r="CL151" s="311">
        <v>0</v>
      </c>
      <c r="CM151" s="311">
        <v>0</v>
      </c>
      <c r="CN151" s="311">
        <v>439</v>
      </c>
      <c r="CO151" s="311">
        <v>439</v>
      </c>
      <c r="CP151" s="311">
        <v>0</v>
      </c>
      <c r="CQ151" s="311">
        <v>0</v>
      </c>
      <c r="CR151" s="311">
        <v>0</v>
      </c>
      <c r="CS151" s="258">
        <v>0</v>
      </c>
      <c r="CT151" s="258">
        <v>0</v>
      </c>
      <c r="CU151" s="258">
        <v>0</v>
      </c>
      <c r="CV151" s="258">
        <v>0</v>
      </c>
      <c r="CW151" s="258">
        <v>4700</v>
      </c>
      <c r="CX151" s="266">
        <f t="shared" si="119"/>
        <v>0</v>
      </c>
      <c r="CY151" s="266">
        <f t="shared" si="120"/>
        <v>4700</v>
      </c>
      <c r="CZ151" s="260" t="s">
        <v>5021</v>
      </c>
      <c r="DA151" s="301" t="s">
        <v>5043</v>
      </c>
      <c r="DB151" s="258">
        <v>0</v>
      </c>
      <c r="DC151" s="258">
        <f t="shared" si="129"/>
        <v>1</v>
      </c>
    </row>
    <row r="152" spans="1:107">
      <c r="A152" s="264" t="s">
        <v>5044</v>
      </c>
      <c r="B152" s="264" t="s">
        <v>4776</v>
      </c>
      <c r="C152" s="264"/>
      <c r="D152" s="265" t="s">
        <v>5045</v>
      </c>
      <c r="E152" s="306">
        <f t="shared" si="97"/>
        <v>0</v>
      </c>
      <c r="F152" s="306">
        <f t="shared" si="98"/>
        <v>0</v>
      </c>
      <c r="G152" s="304">
        <f t="shared" si="99"/>
        <v>0</v>
      </c>
      <c r="H152" s="304">
        <f t="shared" si="100"/>
        <v>0</v>
      </c>
      <c r="I152" s="304">
        <f t="shared" si="101"/>
        <v>0</v>
      </c>
      <c r="J152" s="304">
        <f t="shared" si="102"/>
        <v>0</v>
      </c>
      <c r="K152" s="304">
        <f t="shared" si="103"/>
        <v>0</v>
      </c>
      <c r="L152" s="304">
        <f t="shared" si="104"/>
        <v>0</v>
      </c>
      <c r="M152" s="304">
        <f t="shared" si="105"/>
        <v>0</v>
      </c>
      <c r="N152" s="304">
        <f t="shared" si="106"/>
        <v>0</v>
      </c>
      <c r="O152" s="304">
        <f t="shared" si="107"/>
        <v>0</v>
      </c>
      <c r="P152" s="304">
        <f t="shared" si="108"/>
        <v>0</v>
      </c>
      <c r="Q152" s="304">
        <v>0</v>
      </c>
      <c r="R152" s="304">
        <f t="shared" si="109"/>
        <v>0</v>
      </c>
      <c r="S152" s="304">
        <f t="shared" si="110"/>
        <v>0</v>
      </c>
      <c r="T152" s="304">
        <v>0</v>
      </c>
      <c r="U152" s="304">
        <v>0</v>
      </c>
      <c r="V152" s="304">
        <v>0</v>
      </c>
      <c r="W152" s="304">
        <v>4.59188841017278e-5</v>
      </c>
      <c r="X152" s="304">
        <f t="shared" si="111"/>
        <v>3.8043077340357e-5</v>
      </c>
      <c r="Y152" s="304">
        <f t="shared" si="112"/>
        <v>0</v>
      </c>
      <c r="Z152" s="304">
        <f t="shared" si="113"/>
        <v>0</v>
      </c>
      <c r="AA152" s="304">
        <f t="shared" si="130"/>
        <v>1.61529881816662e-5</v>
      </c>
      <c r="AB152" s="304">
        <f t="shared" si="131"/>
        <v>0</v>
      </c>
      <c r="AC152" s="304">
        <f t="shared" si="116"/>
        <v>0</v>
      </c>
      <c r="AD152" s="304">
        <f t="shared" si="117"/>
        <v>2.84808673042043e-6</v>
      </c>
      <c r="AE152" s="304">
        <f t="shared" si="121"/>
        <v>0</v>
      </c>
      <c r="AF152" s="303">
        <f t="shared" si="118"/>
        <v>-2.84808673042043e-6</v>
      </c>
      <c r="AG152" s="303">
        <f t="shared" si="122"/>
        <v>1.6340043340708e-5</v>
      </c>
      <c r="AH152" s="303">
        <f t="shared" si="123"/>
        <v>0</v>
      </c>
      <c r="AI152" s="303">
        <f t="shared" si="124"/>
        <v>0</v>
      </c>
      <c r="AJ152" s="303">
        <f t="shared" si="125"/>
        <v>3.35541788263692e-6</v>
      </c>
      <c r="AK152" s="303">
        <f t="shared" si="126"/>
        <v>3.35541788263692e-6</v>
      </c>
      <c r="AL152" s="304">
        <f t="shared" si="127"/>
        <v>3.35541788263692e-6</v>
      </c>
      <c r="AM152" s="304">
        <f t="shared" si="128"/>
        <v>1</v>
      </c>
      <c r="AN152" s="299">
        <v>0</v>
      </c>
      <c r="AO152" s="299">
        <v>0</v>
      </c>
      <c r="AP152" s="299">
        <v>0</v>
      </c>
      <c r="AQ152" s="299">
        <v>0</v>
      </c>
      <c r="AR152" s="300">
        <v>0</v>
      </c>
      <c r="AS152" s="300">
        <v>0</v>
      </c>
      <c r="AT152" s="300">
        <v>0</v>
      </c>
      <c r="AU152" s="300">
        <v>0</v>
      </c>
      <c r="AV152" s="300">
        <v>0</v>
      </c>
      <c r="AW152" s="300">
        <v>0</v>
      </c>
      <c r="AX152" s="300">
        <v>0</v>
      </c>
      <c r="AY152" s="300">
        <v>0</v>
      </c>
      <c r="AZ152" s="300">
        <v>0</v>
      </c>
      <c r="BA152" s="300">
        <v>0</v>
      </c>
      <c r="BB152" s="300">
        <v>0</v>
      </c>
      <c r="BC152" s="300">
        <v>0</v>
      </c>
      <c r="BD152" s="300">
        <v>0</v>
      </c>
      <c r="BE152" s="300">
        <v>0</v>
      </c>
      <c r="BF152" s="300">
        <v>0</v>
      </c>
      <c r="BG152" s="300">
        <v>0</v>
      </c>
      <c r="BH152" s="300">
        <v>0</v>
      </c>
      <c r="BI152" s="300">
        <v>0</v>
      </c>
      <c r="BJ152" s="300">
        <v>0</v>
      </c>
      <c r="BK152" s="300">
        <v>0</v>
      </c>
      <c r="BL152" s="266">
        <v>0</v>
      </c>
      <c r="BM152" s="266">
        <v>0</v>
      </c>
      <c r="BN152" s="266">
        <v>0</v>
      </c>
      <c r="BO152" s="266">
        <v>0</v>
      </c>
      <c r="BP152" s="266">
        <v>0</v>
      </c>
      <c r="BQ152" s="266">
        <v>0</v>
      </c>
      <c r="BR152" s="266">
        <v>0</v>
      </c>
      <c r="BS152" s="266">
        <v>0</v>
      </c>
      <c r="BT152" s="266">
        <v>0</v>
      </c>
      <c r="BU152" s="266">
        <v>0</v>
      </c>
      <c r="BV152" s="266"/>
      <c r="BW152" s="266"/>
      <c r="BX152" s="266">
        <v>6300</v>
      </c>
      <c r="BY152" s="266">
        <v>6300</v>
      </c>
      <c r="BZ152" s="266">
        <v>6300</v>
      </c>
      <c r="CA152" s="266">
        <v>6300</v>
      </c>
      <c r="CB152" s="266">
        <v>0</v>
      </c>
      <c r="CC152" s="266">
        <v>338</v>
      </c>
      <c r="CD152" s="311">
        <v>0</v>
      </c>
      <c r="CE152" s="311">
        <v>0</v>
      </c>
      <c r="CF152" s="311">
        <v>2000</v>
      </c>
      <c r="CG152" s="311">
        <v>2500</v>
      </c>
      <c r="CH152" s="311">
        <v>0</v>
      </c>
      <c r="CI152" s="311">
        <v>0</v>
      </c>
      <c r="CJ152" s="311">
        <v>0</v>
      </c>
      <c r="CK152" s="311">
        <v>0</v>
      </c>
      <c r="CL152" s="311">
        <v>495</v>
      </c>
      <c r="CM152" s="311">
        <v>494</v>
      </c>
      <c r="CN152" s="311">
        <v>0</v>
      </c>
      <c r="CO152" s="311">
        <v>0</v>
      </c>
      <c r="CP152" s="311">
        <v>2600</v>
      </c>
      <c r="CQ152" s="311">
        <v>2600</v>
      </c>
      <c r="CR152" s="311">
        <v>0</v>
      </c>
      <c r="CS152" s="258">
        <v>0</v>
      </c>
      <c r="CT152" s="258">
        <v>0</v>
      </c>
      <c r="CU152" s="258">
        <v>708</v>
      </c>
      <c r="CV152" s="258">
        <v>546</v>
      </c>
      <c r="CW152" s="258">
        <v>546</v>
      </c>
      <c r="CX152" s="266">
        <f t="shared" si="119"/>
        <v>546</v>
      </c>
      <c r="CY152" s="266">
        <f t="shared" si="120"/>
        <v>-162</v>
      </c>
      <c r="CZ152" s="260" t="s">
        <v>4998</v>
      </c>
      <c r="DA152" s="301" t="s">
        <v>5045</v>
      </c>
      <c r="DB152" s="258">
        <v>546</v>
      </c>
      <c r="DC152" s="258">
        <f t="shared" si="129"/>
        <v>1</v>
      </c>
    </row>
    <row r="153" spans="1:107">
      <c r="A153" s="264" t="s">
        <v>5046</v>
      </c>
      <c r="B153" s="264" t="s">
        <v>4776</v>
      </c>
      <c r="C153" s="264"/>
      <c r="D153" s="265" t="s">
        <v>5047</v>
      </c>
      <c r="E153" s="306">
        <f t="shared" si="97"/>
        <v>0</v>
      </c>
      <c r="F153" s="306">
        <f t="shared" si="98"/>
        <v>7.38879955942948e-6</v>
      </c>
      <c r="G153" s="304">
        <f t="shared" si="99"/>
        <v>0</v>
      </c>
      <c r="H153" s="304">
        <f t="shared" si="100"/>
        <v>6.49733380253901e-6</v>
      </c>
      <c r="I153" s="304">
        <f t="shared" si="101"/>
        <v>0</v>
      </c>
      <c r="J153" s="304">
        <f t="shared" si="102"/>
        <v>0</v>
      </c>
      <c r="K153" s="304">
        <f t="shared" si="103"/>
        <v>0</v>
      </c>
      <c r="L153" s="304">
        <f t="shared" si="104"/>
        <v>0</v>
      </c>
      <c r="M153" s="304">
        <f t="shared" si="105"/>
        <v>0</v>
      </c>
      <c r="N153" s="304">
        <f t="shared" si="106"/>
        <v>0</v>
      </c>
      <c r="O153" s="304">
        <f t="shared" si="107"/>
        <v>0</v>
      </c>
      <c r="P153" s="304">
        <f t="shared" si="108"/>
        <v>0</v>
      </c>
      <c r="Q153" s="304">
        <v>0</v>
      </c>
      <c r="R153" s="304">
        <f t="shared" si="109"/>
        <v>0</v>
      </c>
      <c r="S153" s="304">
        <f t="shared" si="110"/>
        <v>0</v>
      </c>
      <c r="T153" s="304">
        <v>0</v>
      </c>
      <c r="U153" s="304">
        <v>0</v>
      </c>
      <c r="V153" s="304">
        <v>0</v>
      </c>
      <c r="W153" s="304">
        <v>4.30033993968562e-5</v>
      </c>
      <c r="X153" s="304">
        <f t="shared" si="111"/>
        <v>3.56276438584296e-5</v>
      </c>
      <c r="Y153" s="304">
        <f t="shared" si="112"/>
        <v>1.26107427208197e-5</v>
      </c>
      <c r="Z153" s="304">
        <f t="shared" si="113"/>
        <v>1.28932531755008e-5</v>
      </c>
      <c r="AA153" s="304">
        <f t="shared" si="130"/>
        <v>0</v>
      </c>
      <c r="AB153" s="304">
        <f t="shared" si="131"/>
        <v>2.98479590883974e-5</v>
      </c>
      <c r="AC153" s="304">
        <f t="shared" si="116"/>
        <v>0</v>
      </c>
      <c r="AD153" s="304">
        <f t="shared" si="117"/>
        <v>0</v>
      </c>
      <c r="AE153" s="304">
        <f t="shared" si="121"/>
        <v>0</v>
      </c>
      <c r="AF153" s="303">
        <f t="shared" si="118"/>
        <v>0</v>
      </c>
      <c r="AG153" s="303">
        <f t="shared" si="122"/>
        <v>0</v>
      </c>
      <c r="AH153" s="303">
        <f t="shared" si="123"/>
        <v>0</v>
      </c>
      <c r="AI153" s="303">
        <f t="shared" si="124"/>
        <v>0</v>
      </c>
      <c r="AJ153" s="303">
        <f t="shared" si="125"/>
        <v>0</v>
      </c>
      <c r="AK153" s="303">
        <f t="shared" si="126"/>
        <v>0</v>
      </c>
      <c r="AL153" s="304">
        <f t="shared" si="127"/>
        <v>0</v>
      </c>
      <c r="AM153" s="304">
        <f t="shared" si="128"/>
        <v>0</v>
      </c>
      <c r="AN153" s="299">
        <v>0</v>
      </c>
      <c r="AO153" s="299">
        <v>0</v>
      </c>
      <c r="AP153" s="299">
        <v>1300</v>
      </c>
      <c r="AQ153" s="299">
        <v>1300</v>
      </c>
      <c r="AR153" s="300">
        <v>0</v>
      </c>
      <c r="AS153" s="300">
        <v>0</v>
      </c>
      <c r="AT153" s="300">
        <v>1100</v>
      </c>
      <c r="AU153" s="300">
        <v>1100</v>
      </c>
      <c r="AV153" s="300">
        <v>0</v>
      </c>
      <c r="AW153" s="300">
        <v>292</v>
      </c>
      <c r="AX153" s="300">
        <v>0</v>
      </c>
      <c r="AY153" s="300">
        <v>0</v>
      </c>
      <c r="AZ153" s="300">
        <v>0</v>
      </c>
      <c r="BA153" s="300">
        <v>0</v>
      </c>
      <c r="BB153" s="300">
        <v>0</v>
      </c>
      <c r="BC153" s="300">
        <v>0</v>
      </c>
      <c r="BD153" s="300">
        <v>0</v>
      </c>
      <c r="BE153" s="300">
        <v>668</v>
      </c>
      <c r="BF153" s="300">
        <v>0</v>
      </c>
      <c r="BG153" s="300">
        <v>0</v>
      </c>
      <c r="BH153" s="300">
        <v>0</v>
      </c>
      <c r="BI153" s="300">
        <v>0</v>
      </c>
      <c r="BJ153" s="300">
        <v>0</v>
      </c>
      <c r="BK153" s="300">
        <v>0</v>
      </c>
      <c r="BL153" s="266">
        <v>0</v>
      </c>
      <c r="BM153" s="266">
        <v>0</v>
      </c>
      <c r="BN153" s="266">
        <v>0</v>
      </c>
      <c r="BO153" s="266">
        <v>0</v>
      </c>
      <c r="BP153" s="266">
        <v>0</v>
      </c>
      <c r="BQ153" s="266">
        <v>0</v>
      </c>
      <c r="BR153" s="266">
        <v>0</v>
      </c>
      <c r="BS153" s="266">
        <v>104</v>
      </c>
      <c r="BT153" s="266">
        <v>0</v>
      </c>
      <c r="BU153" s="266">
        <v>0</v>
      </c>
      <c r="BV153" s="266">
        <v>0</v>
      </c>
      <c r="BW153" s="266">
        <v>0</v>
      </c>
      <c r="BX153" s="266">
        <v>5900</v>
      </c>
      <c r="BY153" s="266">
        <v>5900</v>
      </c>
      <c r="BZ153" s="266">
        <v>5900</v>
      </c>
      <c r="CA153" s="266">
        <v>5900</v>
      </c>
      <c r="CB153" s="266">
        <v>1700</v>
      </c>
      <c r="CC153" s="266">
        <v>1700</v>
      </c>
      <c r="CD153" s="311">
        <v>1800</v>
      </c>
      <c r="CE153" s="311">
        <v>3000</v>
      </c>
      <c r="CF153" s="311">
        <v>0</v>
      </c>
      <c r="CG153" s="311">
        <v>3400</v>
      </c>
      <c r="CH153" s="311">
        <v>3900</v>
      </c>
      <c r="CI153" s="311">
        <v>4400</v>
      </c>
      <c r="CJ153" s="311">
        <v>0</v>
      </c>
      <c r="CK153" s="311">
        <v>89</v>
      </c>
      <c r="CL153" s="311">
        <v>0</v>
      </c>
      <c r="CM153" s="311">
        <v>0</v>
      </c>
      <c r="CN153" s="311">
        <v>0</v>
      </c>
      <c r="CO153" s="311">
        <v>0</v>
      </c>
      <c r="CP153" s="311">
        <v>0</v>
      </c>
      <c r="CQ153" s="311">
        <v>355</v>
      </c>
      <c r="CR153" s="311">
        <v>0</v>
      </c>
      <c r="CS153" s="258">
        <v>0</v>
      </c>
      <c r="CT153" s="258">
        <v>0</v>
      </c>
      <c r="CU153" s="258">
        <v>0</v>
      </c>
      <c r="CV153" s="258">
        <v>0</v>
      </c>
      <c r="CW153" s="258">
        <v>0</v>
      </c>
      <c r="CX153" s="266">
        <f t="shared" si="119"/>
        <v>0</v>
      </c>
      <c r="CY153" s="266">
        <f t="shared" si="120"/>
        <v>0</v>
      </c>
      <c r="CZ153" s="260" t="s">
        <v>5048</v>
      </c>
      <c r="DA153" s="301" t="s">
        <v>5047</v>
      </c>
      <c r="DB153" s="258">
        <v>0</v>
      </c>
      <c r="DC153" s="258">
        <f t="shared" si="129"/>
        <v>1</v>
      </c>
    </row>
    <row r="154" spans="1:107">
      <c r="A154" s="264" t="s">
        <v>5049</v>
      </c>
      <c r="B154" s="264" t="s">
        <v>4776</v>
      </c>
      <c r="C154" s="264"/>
      <c r="D154" s="265" t="s">
        <v>5050</v>
      </c>
      <c r="E154" s="306">
        <f t="shared" si="97"/>
        <v>0</v>
      </c>
      <c r="F154" s="306">
        <f t="shared" si="98"/>
        <v>0</v>
      </c>
      <c r="G154" s="304">
        <f t="shared" si="99"/>
        <v>0</v>
      </c>
      <c r="H154" s="304">
        <f t="shared" si="100"/>
        <v>0</v>
      </c>
      <c r="I154" s="304">
        <f t="shared" si="101"/>
        <v>0</v>
      </c>
      <c r="J154" s="304">
        <f t="shared" si="102"/>
        <v>0</v>
      </c>
      <c r="K154" s="304">
        <f t="shared" si="103"/>
        <v>0</v>
      </c>
      <c r="L154" s="304">
        <f t="shared" si="104"/>
        <v>0</v>
      </c>
      <c r="M154" s="304">
        <f t="shared" si="105"/>
        <v>0</v>
      </c>
      <c r="N154" s="304">
        <f t="shared" si="106"/>
        <v>1.21510524436583e-5</v>
      </c>
      <c r="O154" s="304">
        <f t="shared" si="107"/>
        <v>1.73769609125912e-6</v>
      </c>
      <c r="P154" s="304">
        <f t="shared" si="108"/>
        <v>0</v>
      </c>
      <c r="Q154" s="304">
        <v>0</v>
      </c>
      <c r="R154" s="304">
        <f t="shared" si="109"/>
        <v>0</v>
      </c>
      <c r="S154" s="304">
        <f t="shared" si="110"/>
        <v>2.05238051766487e-5</v>
      </c>
      <c r="T154" s="304">
        <v>0</v>
      </c>
      <c r="U154" s="304">
        <v>2.93338004604166e-5</v>
      </c>
      <c r="V154" s="304">
        <v>0</v>
      </c>
      <c r="W154" s="304">
        <v>0</v>
      </c>
      <c r="X154" s="304">
        <f t="shared" si="111"/>
        <v>0</v>
      </c>
      <c r="Y154" s="304">
        <f t="shared" si="112"/>
        <v>0</v>
      </c>
      <c r="Z154" s="304">
        <f t="shared" si="113"/>
        <v>0</v>
      </c>
      <c r="AA154" s="304">
        <f t="shared" si="130"/>
        <v>0</v>
      </c>
      <c r="AB154" s="304">
        <f t="shared" si="131"/>
        <v>0</v>
      </c>
      <c r="AC154" s="304">
        <f t="shared" si="116"/>
        <v>0</v>
      </c>
      <c r="AD154" s="304">
        <f t="shared" si="117"/>
        <v>0</v>
      </c>
      <c r="AE154" s="304">
        <f t="shared" si="121"/>
        <v>1.70945914093498e-5</v>
      </c>
      <c r="AF154" s="303">
        <f t="shared" si="118"/>
        <v>1.70945914093498e-5</v>
      </c>
      <c r="AG154" s="303">
        <f t="shared" si="122"/>
        <v>0</v>
      </c>
      <c r="AH154" s="303">
        <f t="shared" si="123"/>
        <v>0</v>
      </c>
      <c r="AI154" s="303">
        <f t="shared" si="124"/>
        <v>0</v>
      </c>
      <c r="AJ154" s="303">
        <f t="shared" si="125"/>
        <v>0</v>
      </c>
      <c r="AK154" s="303">
        <f t="shared" si="126"/>
        <v>0</v>
      </c>
      <c r="AL154" s="304">
        <f t="shared" si="127"/>
        <v>0</v>
      </c>
      <c r="AM154" s="304">
        <f t="shared" si="128"/>
        <v>0</v>
      </c>
      <c r="AN154" s="299">
        <v>0</v>
      </c>
      <c r="AO154" s="299">
        <v>0</v>
      </c>
      <c r="AP154" s="299">
        <v>0</v>
      </c>
      <c r="AQ154" s="299">
        <v>0</v>
      </c>
      <c r="AR154" s="300">
        <v>0</v>
      </c>
      <c r="AS154" s="300">
        <v>353</v>
      </c>
      <c r="AT154" s="300">
        <v>0</v>
      </c>
      <c r="AU154" s="300">
        <v>361</v>
      </c>
      <c r="AV154" s="300">
        <v>0</v>
      </c>
      <c r="AW154" s="300">
        <v>0</v>
      </c>
      <c r="AX154" s="300">
        <v>0</v>
      </c>
      <c r="AY154" s="300">
        <v>0</v>
      </c>
      <c r="AZ154" s="300">
        <v>0</v>
      </c>
      <c r="BA154" s="300">
        <v>0</v>
      </c>
      <c r="BB154" s="300">
        <v>0</v>
      </c>
      <c r="BC154" s="300">
        <v>112</v>
      </c>
      <c r="BD154" s="300">
        <v>0</v>
      </c>
      <c r="BE154" s="300">
        <v>0</v>
      </c>
      <c r="BF154" s="300">
        <v>1500</v>
      </c>
      <c r="BG154" s="300">
        <v>1500</v>
      </c>
      <c r="BH154" s="300">
        <v>202.46</v>
      </c>
      <c r="BI154" s="300">
        <v>200</v>
      </c>
      <c r="BJ154" s="300">
        <v>0</v>
      </c>
      <c r="BK154" s="300">
        <v>0</v>
      </c>
      <c r="BL154" s="266">
        <v>0</v>
      </c>
      <c r="BM154" s="266">
        <v>0</v>
      </c>
      <c r="BN154" s="266">
        <v>0</v>
      </c>
      <c r="BO154" s="266">
        <v>0</v>
      </c>
      <c r="BP154" s="266">
        <v>2700</v>
      </c>
      <c r="BQ154" s="266">
        <v>2700</v>
      </c>
      <c r="BR154" s="266">
        <v>0</v>
      </c>
      <c r="BS154" s="266">
        <v>0</v>
      </c>
      <c r="BT154" s="266">
        <v>3300</v>
      </c>
      <c r="BU154" s="266">
        <v>3300</v>
      </c>
      <c r="BV154" s="266">
        <v>0</v>
      </c>
      <c r="BW154" s="266">
        <v>0</v>
      </c>
      <c r="BX154" s="266">
        <v>0</v>
      </c>
      <c r="BY154" s="266">
        <v>0</v>
      </c>
      <c r="BZ154" s="266">
        <v>0</v>
      </c>
      <c r="CA154" s="266">
        <v>0</v>
      </c>
      <c r="CB154" s="266">
        <v>0</v>
      </c>
      <c r="CC154" s="266">
        <v>0</v>
      </c>
      <c r="CD154" s="311">
        <v>0</v>
      </c>
      <c r="CE154" s="311">
        <v>0</v>
      </c>
      <c r="CF154" s="311">
        <v>0</v>
      </c>
      <c r="CG154" s="311">
        <v>0</v>
      </c>
      <c r="CH154" s="311">
        <v>0</v>
      </c>
      <c r="CI154" s="311">
        <v>0</v>
      </c>
      <c r="CJ154" s="311">
        <v>0</v>
      </c>
      <c r="CK154" s="311">
        <v>184</v>
      </c>
      <c r="CL154" s="311">
        <v>0</v>
      </c>
      <c r="CM154" s="311">
        <v>0</v>
      </c>
      <c r="CN154" s="311">
        <v>2600</v>
      </c>
      <c r="CO154" s="311">
        <v>2600</v>
      </c>
      <c r="CP154" s="311">
        <v>0</v>
      </c>
      <c r="CQ154" s="311">
        <v>886</v>
      </c>
      <c r="CR154" s="311">
        <v>0</v>
      </c>
      <c r="CS154" s="258">
        <v>0</v>
      </c>
      <c r="CT154" s="258">
        <v>0</v>
      </c>
      <c r="CU154" s="258">
        <v>4300</v>
      </c>
      <c r="CV154" s="258">
        <v>0</v>
      </c>
      <c r="CW154" s="258">
        <v>2500</v>
      </c>
      <c r="CX154" s="266">
        <f t="shared" si="119"/>
        <v>0</v>
      </c>
      <c r="CY154" s="266">
        <f t="shared" si="120"/>
        <v>-1800</v>
      </c>
      <c r="CZ154" s="260" t="s">
        <v>5021</v>
      </c>
      <c r="DA154" s="301" t="s">
        <v>5050</v>
      </c>
      <c r="DB154" s="258">
        <v>0</v>
      </c>
      <c r="DC154" s="258">
        <f t="shared" si="129"/>
        <v>1</v>
      </c>
    </row>
    <row r="155" spans="1:107">
      <c r="A155" s="309" t="s">
        <v>5051</v>
      </c>
      <c r="B155" s="264" t="s">
        <v>4776</v>
      </c>
      <c r="C155" s="264"/>
      <c r="D155" s="265" t="s">
        <v>5052</v>
      </c>
      <c r="E155" s="306">
        <f t="shared" si="97"/>
        <v>0</v>
      </c>
      <c r="F155" s="306">
        <f t="shared" si="98"/>
        <v>0</v>
      </c>
      <c r="G155" s="304">
        <f t="shared" si="99"/>
        <v>0</v>
      </c>
      <c r="H155" s="304">
        <f t="shared" si="100"/>
        <v>0</v>
      </c>
      <c r="I155" s="304">
        <f t="shared" si="101"/>
        <v>8.26933393050419e-6</v>
      </c>
      <c r="J155" s="304">
        <f t="shared" si="102"/>
        <v>0</v>
      </c>
      <c r="K155" s="304">
        <f t="shared" si="103"/>
        <v>0</v>
      </c>
      <c r="L155" s="304">
        <f t="shared" si="104"/>
        <v>0</v>
      </c>
      <c r="M155" s="304">
        <f t="shared" si="105"/>
        <v>0</v>
      </c>
      <c r="N155" s="304">
        <f t="shared" si="106"/>
        <v>0</v>
      </c>
      <c r="O155" s="304">
        <f t="shared" si="107"/>
        <v>0</v>
      </c>
      <c r="P155" s="304">
        <f t="shared" si="108"/>
        <v>1.22645357371452e-5</v>
      </c>
      <c r="Q155" s="304">
        <v>9.73204834703661e-6</v>
      </c>
      <c r="R155" s="304">
        <f t="shared" si="109"/>
        <v>0</v>
      </c>
      <c r="S155" s="304">
        <f t="shared" si="110"/>
        <v>0</v>
      </c>
      <c r="T155" s="304">
        <v>1.1566920002903e-5</v>
      </c>
      <c r="U155" s="304">
        <v>0</v>
      </c>
      <c r="V155" s="304">
        <v>0</v>
      </c>
      <c r="W155" s="304">
        <v>0</v>
      </c>
      <c r="X155" s="304">
        <f t="shared" si="111"/>
        <v>0</v>
      </c>
      <c r="Y155" s="304">
        <f t="shared" si="112"/>
        <v>0</v>
      </c>
      <c r="Z155" s="304">
        <f t="shared" si="113"/>
        <v>0</v>
      </c>
      <c r="AA155" s="304">
        <f t="shared" si="130"/>
        <v>0</v>
      </c>
      <c r="AB155" s="304">
        <f t="shared" si="131"/>
        <v>0</v>
      </c>
      <c r="AC155" s="304">
        <f t="shared" si="116"/>
        <v>5.5357383898917e-6</v>
      </c>
      <c r="AD155" s="304">
        <f t="shared" si="117"/>
        <v>0</v>
      </c>
      <c r="AE155" s="304">
        <f t="shared" si="121"/>
        <v>0</v>
      </c>
      <c r="AF155" s="303">
        <f t="shared" si="118"/>
        <v>0</v>
      </c>
      <c r="AG155" s="303">
        <f t="shared" si="122"/>
        <v>0</v>
      </c>
      <c r="AH155" s="303">
        <f t="shared" si="123"/>
        <v>3.31143019140125e-6</v>
      </c>
      <c r="AI155" s="303">
        <f t="shared" si="124"/>
        <v>0</v>
      </c>
      <c r="AJ155" s="303">
        <f t="shared" si="125"/>
        <v>0</v>
      </c>
      <c r="AK155" s="303">
        <f t="shared" si="126"/>
        <v>0</v>
      </c>
      <c r="AL155" s="304">
        <f t="shared" si="127"/>
        <v>0</v>
      </c>
      <c r="AM155" s="304">
        <f t="shared" si="128"/>
        <v>0</v>
      </c>
      <c r="AN155" s="299">
        <v>0</v>
      </c>
      <c r="AO155" s="299">
        <v>0</v>
      </c>
      <c r="AP155" s="299">
        <v>0</v>
      </c>
      <c r="AQ155" s="299">
        <v>0</v>
      </c>
      <c r="AR155" s="300">
        <v>0</v>
      </c>
      <c r="AS155" s="300">
        <v>0</v>
      </c>
      <c r="AT155" s="300">
        <v>0</v>
      </c>
      <c r="AU155" s="300">
        <v>0</v>
      </c>
      <c r="AV155" s="300">
        <v>1400</v>
      </c>
      <c r="AW155" s="300">
        <v>1400</v>
      </c>
      <c r="AX155" s="300">
        <v>0</v>
      </c>
      <c r="AY155" s="300">
        <v>0</v>
      </c>
      <c r="AZ155" s="300">
        <v>0</v>
      </c>
      <c r="BA155" s="300">
        <v>5</v>
      </c>
      <c r="BB155" s="300">
        <v>0</v>
      </c>
      <c r="BC155" s="300">
        <v>0</v>
      </c>
      <c r="BD155" s="300">
        <v>0</v>
      </c>
      <c r="BE155" s="300">
        <v>0</v>
      </c>
      <c r="BF155" s="300">
        <v>0</v>
      </c>
      <c r="BG155" s="300">
        <v>0</v>
      </c>
      <c r="BH155" s="300">
        <v>0</v>
      </c>
      <c r="BI155" s="300">
        <v>0</v>
      </c>
      <c r="BJ155" s="300">
        <v>1400</v>
      </c>
      <c r="BK155" s="300">
        <v>1400</v>
      </c>
      <c r="BL155" s="266">
        <v>0</v>
      </c>
      <c r="BM155" s="266">
        <v>0</v>
      </c>
      <c r="BN155" s="266">
        <v>0</v>
      </c>
      <c r="BO155" s="266">
        <v>0</v>
      </c>
      <c r="BP155" s="266">
        <v>0</v>
      </c>
      <c r="BQ155" s="266">
        <v>0</v>
      </c>
      <c r="BR155" s="266">
        <v>1400</v>
      </c>
      <c r="BS155" s="266">
        <v>1400</v>
      </c>
      <c r="BT155" s="266">
        <v>0</v>
      </c>
      <c r="BU155" s="266">
        <v>0</v>
      </c>
      <c r="BV155" s="266">
        <v>0</v>
      </c>
      <c r="BW155" s="266">
        <v>0</v>
      </c>
      <c r="BX155" s="266">
        <v>0</v>
      </c>
      <c r="BY155" s="266">
        <v>0</v>
      </c>
      <c r="BZ155" s="266">
        <v>0</v>
      </c>
      <c r="CA155" s="266">
        <v>0</v>
      </c>
      <c r="CB155" s="266">
        <v>0</v>
      </c>
      <c r="CC155" s="266">
        <v>0</v>
      </c>
      <c r="CD155" s="311">
        <v>0</v>
      </c>
      <c r="CE155" s="311">
        <v>0</v>
      </c>
      <c r="CF155" s="311">
        <v>0</v>
      </c>
      <c r="CG155" s="311">
        <v>0</v>
      </c>
      <c r="CH155" s="311">
        <v>0</v>
      </c>
      <c r="CI155" s="311">
        <v>0</v>
      </c>
      <c r="CJ155" s="311">
        <v>862</v>
      </c>
      <c r="CK155" s="311">
        <v>862</v>
      </c>
      <c r="CL155" s="311">
        <v>0</v>
      </c>
      <c r="CM155" s="311">
        <v>0</v>
      </c>
      <c r="CN155" s="311">
        <v>0</v>
      </c>
      <c r="CO155" s="311">
        <v>1300</v>
      </c>
      <c r="CP155" s="311">
        <v>0</v>
      </c>
      <c r="CQ155" s="311">
        <v>116</v>
      </c>
      <c r="CR155" s="311">
        <v>513</v>
      </c>
      <c r="CS155" s="258">
        <v>513</v>
      </c>
      <c r="CT155" s="258">
        <v>0</v>
      </c>
      <c r="CU155" s="258">
        <v>0</v>
      </c>
      <c r="CV155" s="258">
        <v>0</v>
      </c>
      <c r="CW155" s="258">
        <v>0</v>
      </c>
      <c r="CX155" s="266">
        <f t="shared" si="119"/>
        <v>0</v>
      </c>
      <c r="CY155" s="266">
        <f t="shared" si="120"/>
        <v>0</v>
      </c>
      <c r="CZ155" s="260" t="s">
        <v>5021</v>
      </c>
      <c r="DA155" s="301" t="s">
        <v>5052</v>
      </c>
      <c r="DB155" s="258">
        <v>0</v>
      </c>
      <c r="DC155" s="258">
        <f t="shared" si="129"/>
        <v>1</v>
      </c>
    </row>
    <row r="156" spans="1:107">
      <c r="A156" s="264" t="s">
        <v>5053</v>
      </c>
      <c r="B156" s="264" t="s">
        <v>4776</v>
      </c>
      <c r="C156" s="264"/>
      <c r="D156" s="265" t="s">
        <v>5054</v>
      </c>
      <c r="E156" s="306">
        <f t="shared" si="97"/>
        <v>0</v>
      </c>
      <c r="F156" s="306">
        <f t="shared" si="98"/>
        <v>7.38879955942948e-6</v>
      </c>
      <c r="G156" s="304">
        <f t="shared" si="99"/>
        <v>6.19640872332903e-6</v>
      </c>
      <c r="H156" s="304">
        <f t="shared" si="100"/>
        <v>1.24040008957563e-5</v>
      </c>
      <c r="I156" s="304">
        <f t="shared" si="101"/>
        <v>0</v>
      </c>
      <c r="J156" s="304">
        <f t="shared" si="102"/>
        <v>0</v>
      </c>
      <c r="K156" s="304">
        <f t="shared" si="103"/>
        <v>0</v>
      </c>
      <c r="L156" s="304">
        <f t="shared" si="104"/>
        <v>1.84895446023345e-5</v>
      </c>
      <c r="M156" s="304">
        <f t="shared" si="105"/>
        <v>1.00902435982281e-5</v>
      </c>
      <c r="N156" s="304">
        <f t="shared" si="106"/>
        <v>3.28999587264527e-6</v>
      </c>
      <c r="O156" s="304">
        <f t="shared" si="107"/>
        <v>1.49726301507399e-5</v>
      </c>
      <c r="P156" s="304">
        <f t="shared" si="108"/>
        <v>2.61253270816279e-6</v>
      </c>
      <c r="Q156" s="304">
        <v>2.49557525470439e-6</v>
      </c>
      <c r="R156" s="304">
        <f t="shared" si="109"/>
        <v>1.11799706639774e-5</v>
      </c>
      <c r="S156" s="304">
        <f t="shared" si="110"/>
        <v>4.56084559481083e-8</v>
      </c>
      <c r="T156" s="304">
        <v>1.1566920002903e-5</v>
      </c>
      <c r="U156" s="304">
        <v>1.42224487080808e-5</v>
      </c>
      <c r="V156" s="304">
        <v>1.44770404555505e-5</v>
      </c>
      <c r="W156" s="304">
        <v>0</v>
      </c>
      <c r="X156" s="304">
        <f t="shared" si="111"/>
        <v>3.92507940813207e-5</v>
      </c>
      <c r="Y156" s="304">
        <f t="shared" si="112"/>
        <v>0</v>
      </c>
      <c r="Z156" s="304">
        <f t="shared" si="113"/>
        <v>1.14606694893341e-5</v>
      </c>
      <c r="AA156" s="304">
        <f t="shared" si="130"/>
        <v>1.53453387725829e-5</v>
      </c>
      <c r="AB156" s="304">
        <f t="shared" si="131"/>
        <v>0.000244140998697404</v>
      </c>
      <c r="AC156" s="304">
        <f t="shared" si="116"/>
        <v>1.09173494928259e-5</v>
      </c>
      <c r="AD156" s="304">
        <f t="shared" si="117"/>
        <v>2.84233301985392e-6</v>
      </c>
      <c r="AE156" s="304">
        <f t="shared" si="121"/>
        <v>0</v>
      </c>
      <c r="AF156" s="303">
        <f t="shared" si="118"/>
        <v>-2.84233301985392e-6</v>
      </c>
      <c r="AG156" s="303">
        <f t="shared" si="122"/>
        <v>0</v>
      </c>
      <c r="AH156" s="303">
        <f t="shared" si="123"/>
        <v>6.45502961286793e-6</v>
      </c>
      <c r="AI156" s="303">
        <f t="shared" si="124"/>
        <v>0</v>
      </c>
      <c r="AJ156" s="303">
        <f t="shared" si="125"/>
        <v>0</v>
      </c>
      <c r="AK156" s="303">
        <f t="shared" si="126"/>
        <v>0</v>
      </c>
      <c r="AL156" s="304">
        <f t="shared" si="127"/>
        <v>0</v>
      </c>
      <c r="AM156" s="304">
        <f t="shared" si="128"/>
        <v>0</v>
      </c>
      <c r="AN156" s="299">
        <v>0</v>
      </c>
      <c r="AO156" s="299">
        <v>0</v>
      </c>
      <c r="AP156" s="299">
        <v>1300</v>
      </c>
      <c r="AQ156" s="299">
        <v>1300</v>
      </c>
      <c r="AR156" s="300">
        <v>1100</v>
      </c>
      <c r="AS156" s="300">
        <v>1100</v>
      </c>
      <c r="AT156" s="300">
        <v>2100</v>
      </c>
      <c r="AU156" s="300">
        <v>2100</v>
      </c>
      <c r="AV156" s="300">
        <v>0</v>
      </c>
      <c r="AW156" s="300">
        <v>0</v>
      </c>
      <c r="AX156" s="300">
        <v>0</v>
      </c>
      <c r="AY156" s="300">
        <v>0</v>
      </c>
      <c r="AZ156" s="300">
        <v>0</v>
      </c>
      <c r="BA156" s="300">
        <v>0</v>
      </c>
      <c r="BB156" s="300">
        <v>2537.92</v>
      </c>
      <c r="BC156" s="300">
        <v>3200</v>
      </c>
      <c r="BD156" s="300">
        <v>1300</v>
      </c>
      <c r="BE156" s="300">
        <v>1300</v>
      </c>
      <c r="BF156" s="300">
        <v>406.13715</v>
      </c>
      <c r="BG156" s="300">
        <v>453</v>
      </c>
      <c r="BH156" s="300">
        <v>1744.47</v>
      </c>
      <c r="BI156" s="300">
        <v>2100</v>
      </c>
      <c r="BJ156" s="300">
        <v>298.2213</v>
      </c>
      <c r="BK156" s="300">
        <v>359</v>
      </c>
      <c r="BL156" s="266">
        <v>1500</v>
      </c>
      <c r="BM156" s="266">
        <v>0</v>
      </c>
      <c r="BN156" s="266">
        <v>1400</v>
      </c>
      <c r="BO156" s="266">
        <v>1400</v>
      </c>
      <c r="BP156" s="266">
        <v>6</v>
      </c>
      <c r="BQ156" s="266">
        <v>6</v>
      </c>
      <c r="BR156" s="266">
        <v>1400</v>
      </c>
      <c r="BS156" s="266">
        <v>1400</v>
      </c>
      <c r="BT156" s="266">
        <v>1600</v>
      </c>
      <c r="BU156" s="266">
        <v>1600</v>
      </c>
      <c r="BV156" s="266">
        <v>1862.73</v>
      </c>
      <c r="BW156" s="266">
        <v>2700</v>
      </c>
      <c r="BX156" s="266">
        <v>0</v>
      </c>
      <c r="BY156" s="266">
        <v>6500</v>
      </c>
      <c r="BZ156" s="266">
        <v>0</v>
      </c>
      <c r="CA156" s="266">
        <v>6500</v>
      </c>
      <c r="CB156" s="266">
        <v>0</v>
      </c>
      <c r="CC156" s="266">
        <v>0</v>
      </c>
      <c r="CD156" s="311">
        <v>1600</v>
      </c>
      <c r="CE156" s="311">
        <v>2400</v>
      </c>
      <c r="CF156" s="311">
        <v>1900</v>
      </c>
      <c r="CG156" s="311">
        <v>1900</v>
      </c>
      <c r="CH156" s="311">
        <v>31900</v>
      </c>
      <c r="CI156" s="311">
        <v>41700</v>
      </c>
      <c r="CJ156" s="311">
        <v>1700</v>
      </c>
      <c r="CK156" s="311">
        <v>1700</v>
      </c>
      <c r="CL156" s="311">
        <v>494</v>
      </c>
      <c r="CM156" s="311">
        <v>494</v>
      </c>
      <c r="CN156" s="311">
        <v>0</v>
      </c>
      <c r="CO156" s="311">
        <v>0</v>
      </c>
      <c r="CP156" s="311">
        <v>0</v>
      </c>
      <c r="CQ156" s="311">
        <v>0</v>
      </c>
      <c r="CR156" s="311">
        <v>1000</v>
      </c>
      <c r="CS156" s="258">
        <v>1300</v>
      </c>
      <c r="CT156" s="258">
        <v>0</v>
      </c>
      <c r="CU156" s="258">
        <v>0</v>
      </c>
      <c r="CV156" s="258">
        <v>0</v>
      </c>
      <c r="CW156" s="258">
        <v>261</v>
      </c>
      <c r="CX156" s="266">
        <f t="shared" si="119"/>
        <v>0</v>
      </c>
      <c r="CY156" s="266">
        <f t="shared" si="120"/>
        <v>261</v>
      </c>
      <c r="CZ156" s="260" t="s">
        <v>4927</v>
      </c>
      <c r="DA156" s="301" t="s">
        <v>5054</v>
      </c>
      <c r="DB156" s="258">
        <v>0</v>
      </c>
      <c r="DC156" s="258">
        <f t="shared" si="129"/>
        <v>1</v>
      </c>
    </row>
    <row r="157" spans="1:107">
      <c r="A157" s="264" t="s">
        <v>5055</v>
      </c>
      <c r="B157" s="264" t="s">
        <v>4776</v>
      </c>
      <c r="C157" s="264"/>
      <c r="D157" s="265" t="s">
        <v>5056</v>
      </c>
      <c r="E157" s="306">
        <f t="shared" si="97"/>
        <v>0</v>
      </c>
      <c r="F157" s="306">
        <f t="shared" si="98"/>
        <v>0</v>
      </c>
      <c r="G157" s="304">
        <f t="shared" si="99"/>
        <v>0</v>
      </c>
      <c r="H157" s="304">
        <f t="shared" si="100"/>
        <v>0</v>
      </c>
      <c r="I157" s="304">
        <f t="shared" si="101"/>
        <v>0</v>
      </c>
      <c r="J157" s="304">
        <f t="shared" si="102"/>
        <v>0</v>
      </c>
      <c r="K157" s="304">
        <f t="shared" si="103"/>
        <v>0</v>
      </c>
      <c r="L157" s="304">
        <f t="shared" si="104"/>
        <v>0</v>
      </c>
      <c r="M157" s="304">
        <f t="shared" si="105"/>
        <v>0</v>
      </c>
      <c r="N157" s="304">
        <f t="shared" si="106"/>
        <v>0</v>
      </c>
      <c r="O157" s="304">
        <f t="shared" si="107"/>
        <v>0</v>
      </c>
      <c r="P157" s="304">
        <f t="shared" si="108"/>
        <v>0</v>
      </c>
      <c r="Q157" s="304">
        <v>0</v>
      </c>
      <c r="R157" s="304">
        <f t="shared" si="109"/>
        <v>0</v>
      </c>
      <c r="S157" s="304">
        <f t="shared" si="110"/>
        <v>0</v>
      </c>
      <c r="T157" s="304">
        <v>0</v>
      </c>
      <c r="U157" s="304">
        <v>0</v>
      </c>
      <c r="V157" s="304">
        <v>1.39895061656767e-5</v>
      </c>
      <c r="W157" s="304">
        <v>0</v>
      </c>
      <c r="X157" s="304">
        <f t="shared" si="111"/>
        <v>0</v>
      </c>
      <c r="Y157" s="304">
        <f t="shared" si="112"/>
        <v>0</v>
      </c>
      <c r="Z157" s="304">
        <f t="shared" si="113"/>
        <v>0</v>
      </c>
      <c r="AA157" s="304">
        <f t="shared" si="130"/>
        <v>0</v>
      </c>
      <c r="AB157" s="304">
        <f t="shared" si="131"/>
        <v>0</v>
      </c>
      <c r="AC157" s="304">
        <f t="shared" si="116"/>
        <v>0</v>
      </c>
      <c r="AD157" s="304">
        <f t="shared" si="117"/>
        <v>0</v>
      </c>
      <c r="AE157" s="304">
        <f t="shared" si="121"/>
        <v>0</v>
      </c>
      <c r="AF157" s="303">
        <f t="shared" si="118"/>
        <v>0</v>
      </c>
      <c r="AG157" s="303">
        <f t="shared" si="122"/>
        <v>2.71496104737918e-6</v>
      </c>
      <c r="AH157" s="303">
        <f t="shared" si="123"/>
        <v>0</v>
      </c>
      <c r="AI157" s="303">
        <f t="shared" si="124"/>
        <v>0</v>
      </c>
      <c r="AJ157" s="303">
        <f t="shared" si="125"/>
        <v>0</v>
      </c>
      <c r="AK157" s="303">
        <f t="shared" si="126"/>
        <v>0</v>
      </c>
      <c r="AL157" s="304">
        <f t="shared" si="127"/>
        <v>0</v>
      </c>
      <c r="AM157" s="304">
        <f t="shared" si="128"/>
        <v>0</v>
      </c>
      <c r="AN157" s="299">
        <v>0</v>
      </c>
      <c r="AO157" s="299">
        <v>0</v>
      </c>
      <c r="AP157" s="299">
        <v>0</v>
      </c>
      <c r="AQ157" s="299">
        <v>0</v>
      </c>
      <c r="AR157" s="300">
        <v>0</v>
      </c>
      <c r="AS157" s="300">
        <v>208</v>
      </c>
      <c r="AT157" s="300">
        <v>0</v>
      </c>
      <c r="AU157" s="300">
        <v>0</v>
      </c>
      <c r="AV157" s="300">
        <v>0</v>
      </c>
      <c r="AW157" s="300">
        <v>0</v>
      </c>
      <c r="AX157" s="300">
        <v>0</v>
      </c>
      <c r="AY157" s="300">
        <v>617</v>
      </c>
      <c r="AZ157" s="300">
        <v>0</v>
      </c>
      <c r="BA157" s="300">
        <v>0</v>
      </c>
      <c r="BB157" s="300">
        <v>0</v>
      </c>
      <c r="BC157" s="300">
        <v>0</v>
      </c>
      <c r="BD157" s="300">
        <v>0</v>
      </c>
      <c r="BE157" s="300">
        <v>499</v>
      </c>
      <c r="BF157" s="300">
        <v>0</v>
      </c>
      <c r="BG157" s="300">
        <v>0</v>
      </c>
      <c r="BH157" s="300">
        <v>0</v>
      </c>
      <c r="BI157" s="300">
        <v>851</v>
      </c>
      <c r="BJ157" s="300">
        <v>0</v>
      </c>
      <c r="BK157" s="300">
        <v>0</v>
      </c>
      <c r="BL157" s="266">
        <v>0</v>
      </c>
      <c r="BM157" s="266">
        <v>0</v>
      </c>
      <c r="BN157" s="266">
        <v>0</v>
      </c>
      <c r="BO157" s="266">
        <v>311</v>
      </c>
      <c r="BP157" s="266">
        <v>0</v>
      </c>
      <c r="BQ157" s="266">
        <v>229</v>
      </c>
      <c r="BR157" s="266">
        <v>0</v>
      </c>
      <c r="BS157" s="266">
        <v>803</v>
      </c>
      <c r="BT157" s="266">
        <v>0</v>
      </c>
      <c r="BU157" s="266">
        <v>293</v>
      </c>
      <c r="BV157" s="266">
        <v>1800</v>
      </c>
      <c r="BW157" s="266">
        <v>1800</v>
      </c>
      <c r="BX157" s="266">
        <v>0</v>
      </c>
      <c r="BY157" s="266">
        <v>0</v>
      </c>
      <c r="BZ157" s="266">
        <v>0</v>
      </c>
      <c r="CA157" s="266">
        <v>0</v>
      </c>
      <c r="CB157" s="266">
        <v>0</v>
      </c>
      <c r="CC157" s="266">
        <v>200</v>
      </c>
      <c r="CD157" s="311">
        <v>0</v>
      </c>
      <c r="CE157" s="311">
        <v>0</v>
      </c>
      <c r="CF157" s="311">
        <v>0</v>
      </c>
      <c r="CG157" s="311">
        <v>1100</v>
      </c>
      <c r="CH157" s="311">
        <v>0</v>
      </c>
      <c r="CI157" s="311">
        <v>0</v>
      </c>
      <c r="CJ157" s="311">
        <v>0</v>
      </c>
      <c r="CK157" s="311">
        <v>93</v>
      </c>
      <c r="CL157" s="311">
        <v>0</v>
      </c>
      <c r="CM157" s="311">
        <v>0</v>
      </c>
      <c r="CN157" s="311">
        <v>0</v>
      </c>
      <c r="CO157" s="311">
        <v>0</v>
      </c>
      <c r="CP157" s="311">
        <v>432</v>
      </c>
      <c r="CQ157" s="311">
        <v>432</v>
      </c>
      <c r="CR157" s="311">
        <v>0</v>
      </c>
      <c r="CS157" s="258">
        <v>2400</v>
      </c>
      <c r="CT157" s="258">
        <v>0</v>
      </c>
      <c r="CU157" s="258">
        <v>0</v>
      </c>
      <c r="CV157" s="258">
        <v>0</v>
      </c>
      <c r="CW157" s="258">
        <v>0</v>
      </c>
      <c r="CX157" s="266">
        <f t="shared" si="119"/>
        <v>0</v>
      </c>
      <c r="CY157" s="266">
        <f t="shared" si="120"/>
        <v>0</v>
      </c>
      <c r="CZ157" s="260" t="s">
        <v>5057</v>
      </c>
      <c r="DA157" s="301" t="s">
        <v>5056</v>
      </c>
      <c r="DB157" s="258">
        <v>0</v>
      </c>
      <c r="DC157" s="258">
        <f t="shared" si="129"/>
        <v>1</v>
      </c>
    </row>
    <row r="158" spans="1:107">
      <c r="A158" s="264" t="s">
        <v>5058</v>
      </c>
      <c r="B158" s="264" t="s">
        <v>4776</v>
      </c>
      <c r="C158" s="264"/>
      <c r="D158" s="265" t="s">
        <v>5059</v>
      </c>
      <c r="E158" s="306">
        <f t="shared" si="97"/>
        <v>0</v>
      </c>
      <c r="F158" s="306">
        <f t="shared" si="98"/>
        <v>0</v>
      </c>
      <c r="G158" s="304">
        <f t="shared" si="99"/>
        <v>0</v>
      </c>
      <c r="H158" s="304">
        <f t="shared" si="100"/>
        <v>0</v>
      </c>
      <c r="I158" s="304">
        <f t="shared" si="101"/>
        <v>0</v>
      </c>
      <c r="J158" s="304">
        <f t="shared" si="102"/>
        <v>7.79736002221359e-6</v>
      </c>
      <c r="K158" s="304">
        <f t="shared" si="103"/>
        <v>0</v>
      </c>
      <c r="L158" s="304">
        <f t="shared" si="104"/>
        <v>0</v>
      </c>
      <c r="M158" s="304">
        <f t="shared" si="105"/>
        <v>0</v>
      </c>
      <c r="N158" s="304">
        <f t="shared" si="106"/>
        <v>1.13409822807477e-5</v>
      </c>
      <c r="O158" s="304">
        <f t="shared" si="107"/>
        <v>0</v>
      </c>
      <c r="P158" s="304">
        <f t="shared" si="108"/>
        <v>0</v>
      </c>
      <c r="Q158" s="304">
        <v>0</v>
      </c>
      <c r="R158" s="304">
        <f t="shared" si="109"/>
        <v>0</v>
      </c>
      <c r="S158" s="304">
        <f t="shared" si="110"/>
        <v>8.36155025715319e-6</v>
      </c>
      <c r="T158" s="304">
        <v>0</v>
      </c>
      <c r="U158" s="304">
        <v>0</v>
      </c>
      <c r="V158" s="304">
        <v>0</v>
      </c>
      <c r="W158" s="304">
        <v>0</v>
      </c>
      <c r="X158" s="304">
        <f t="shared" si="111"/>
        <v>0</v>
      </c>
      <c r="Y158" s="304">
        <f t="shared" si="112"/>
        <v>0</v>
      </c>
      <c r="Z158" s="304">
        <f t="shared" si="113"/>
        <v>0</v>
      </c>
      <c r="AA158" s="304">
        <f t="shared" si="130"/>
        <v>0</v>
      </c>
      <c r="AB158" s="304">
        <f t="shared" si="131"/>
        <v>0</v>
      </c>
      <c r="AC158" s="304">
        <f t="shared" si="116"/>
        <v>0</v>
      </c>
      <c r="AD158" s="304">
        <f t="shared" si="117"/>
        <v>0</v>
      </c>
      <c r="AE158" s="304">
        <f t="shared" si="121"/>
        <v>0</v>
      </c>
      <c r="AF158" s="303">
        <f t="shared" si="118"/>
        <v>0</v>
      </c>
      <c r="AG158" s="303">
        <f t="shared" si="122"/>
        <v>0</v>
      </c>
      <c r="AH158" s="303">
        <f t="shared" si="123"/>
        <v>0</v>
      </c>
      <c r="AI158" s="303">
        <f t="shared" si="124"/>
        <v>0</v>
      </c>
      <c r="AJ158" s="303">
        <f t="shared" si="125"/>
        <v>0</v>
      </c>
      <c r="AK158" s="303">
        <f t="shared" si="126"/>
        <v>0</v>
      </c>
      <c r="AL158" s="304">
        <f t="shared" si="127"/>
        <v>0</v>
      </c>
      <c r="AM158" s="304">
        <f t="shared" si="128"/>
        <v>0</v>
      </c>
      <c r="AN158" s="299">
        <v>0</v>
      </c>
      <c r="AO158" s="299">
        <v>0</v>
      </c>
      <c r="AP158" s="299">
        <v>0</v>
      </c>
      <c r="AQ158" s="299">
        <v>0</v>
      </c>
      <c r="AR158" s="300">
        <v>0</v>
      </c>
      <c r="AS158" s="300">
        <v>431</v>
      </c>
      <c r="AT158" s="300">
        <v>0</v>
      </c>
      <c r="AU158" s="300">
        <v>0</v>
      </c>
      <c r="AV158" s="300">
        <v>0</v>
      </c>
      <c r="AW158" s="300">
        <v>0</v>
      </c>
      <c r="AX158" s="300">
        <v>1100</v>
      </c>
      <c r="AY158" s="300">
        <v>1100</v>
      </c>
      <c r="AZ158" s="300">
        <v>0</v>
      </c>
      <c r="BA158" s="300">
        <v>0</v>
      </c>
      <c r="BB158" s="300">
        <v>0</v>
      </c>
      <c r="BC158" s="300">
        <v>0</v>
      </c>
      <c r="BD158" s="300">
        <v>0</v>
      </c>
      <c r="BE158" s="300">
        <v>0</v>
      </c>
      <c r="BF158" s="300">
        <v>1400</v>
      </c>
      <c r="BG158" s="300">
        <v>1400</v>
      </c>
      <c r="BH158" s="300">
        <v>0</v>
      </c>
      <c r="BI158" s="300">
        <v>0</v>
      </c>
      <c r="BJ158" s="300">
        <v>0</v>
      </c>
      <c r="BK158" s="300">
        <v>0</v>
      </c>
      <c r="BL158" s="266">
        <v>0</v>
      </c>
      <c r="BM158" s="266">
        <v>0</v>
      </c>
      <c r="BN158" s="266">
        <v>0</v>
      </c>
      <c r="BO158" s="266">
        <v>0</v>
      </c>
      <c r="BP158" s="266">
        <v>1100</v>
      </c>
      <c r="BQ158" s="266">
        <v>1100</v>
      </c>
      <c r="BR158" s="266">
        <v>0</v>
      </c>
      <c r="BS158" s="266">
        <v>0</v>
      </c>
      <c r="BT158" s="266">
        <v>0</v>
      </c>
      <c r="BU158" s="266">
        <v>0</v>
      </c>
      <c r="BV158" s="266">
        <v>0</v>
      </c>
      <c r="BW158" s="266">
        <v>0</v>
      </c>
      <c r="BX158" s="266">
        <v>0</v>
      </c>
      <c r="BY158" s="266">
        <v>0</v>
      </c>
      <c r="BZ158" s="266">
        <v>0</v>
      </c>
      <c r="CA158" s="266">
        <v>0</v>
      </c>
      <c r="CB158" s="266">
        <v>0</v>
      </c>
      <c r="CC158" s="266">
        <v>0</v>
      </c>
      <c r="CD158" s="311">
        <v>0</v>
      </c>
      <c r="CE158" s="311">
        <v>0</v>
      </c>
      <c r="CF158" s="311">
        <v>0</v>
      </c>
      <c r="CG158" s="311">
        <v>0</v>
      </c>
      <c r="CH158" s="311">
        <v>0</v>
      </c>
      <c r="CI158" s="311">
        <v>0</v>
      </c>
      <c r="CJ158" s="311">
        <v>0</v>
      </c>
      <c r="CK158" s="311">
        <v>0</v>
      </c>
      <c r="CL158" s="311">
        <v>0</v>
      </c>
      <c r="CM158" s="311">
        <v>0</v>
      </c>
      <c r="CN158" s="311">
        <v>0</v>
      </c>
      <c r="CO158" s="311">
        <v>171</v>
      </c>
      <c r="CP158" s="311">
        <v>0</v>
      </c>
      <c r="CQ158" s="311">
        <v>0</v>
      </c>
      <c r="CR158" s="311">
        <v>0</v>
      </c>
      <c r="CS158" s="258">
        <v>0</v>
      </c>
      <c r="CT158" s="258">
        <v>0</v>
      </c>
      <c r="CU158" s="258">
        <v>0</v>
      </c>
      <c r="CV158" s="258">
        <v>0</v>
      </c>
      <c r="CW158" s="258">
        <v>0</v>
      </c>
      <c r="CX158" s="266">
        <f t="shared" si="119"/>
        <v>0</v>
      </c>
      <c r="CY158" s="266">
        <f t="shared" si="120"/>
        <v>0</v>
      </c>
      <c r="CZ158" s="260" t="s">
        <v>5060</v>
      </c>
      <c r="DA158" s="301" t="s">
        <v>5059</v>
      </c>
      <c r="DB158" s="258">
        <v>0</v>
      </c>
      <c r="DC158" s="258">
        <f t="shared" si="129"/>
        <v>1</v>
      </c>
    </row>
    <row r="159" spans="1:107">
      <c r="A159" s="264" t="s">
        <v>5061</v>
      </c>
      <c r="B159" s="264" t="s">
        <v>4776</v>
      </c>
      <c r="C159" s="264"/>
      <c r="D159" s="265" t="s">
        <v>5062</v>
      </c>
      <c r="E159" s="306">
        <f t="shared" si="97"/>
        <v>0</v>
      </c>
      <c r="F159" s="306">
        <f t="shared" si="98"/>
        <v>2.63514147487493e-5</v>
      </c>
      <c r="G159" s="304">
        <f t="shared" si="99"/>
        <v>1.85892261699871e-5</v>
      </c>
      <c r="H159" s="304">
        <f t="shared" si="100"/>
        <v>0</v>
      </c>
      <c r="I159" s="304">
        <f t="shared" si="101"/>
        <v>0</v>
      </c>
      <c r="J159" s="304">
        <f t="shared" si="102"/>
        <v>0</v>
      </c>
      <c r="K159" s="304">
        <f t="shared" si="103"/>
        <v>1.67027637876852e-5</v>
      </c>
      <c r="L159" s="304">
        <f t="shared" si="104"/>
        <v>0</v>
      </c>
      <c r="M159" s="304">
        <f t="shared" si="105"/>
        <v>2.01804871964561e-5</v>
      </c>
      <c r="N159" s="304">
        <f t="shared" si="106"/>
        <v>0</v>
      </c>
      <c r="O159" s="304">
        <f t="shared" si="107"/>
        <v>0</v>
      </c>
      <c r="P159" s="304">
        <f t="shared" si="108"/>
        <v>0</v>
      </c>
      <c r="Q159" s="304">
        <v>3.10035254484166e-6</v>
      </c>
      <c r="R159" s="304">
        <f t="shared" si="109"/>
        <v>6.86769626501468e-5</v>
      </c>
      <c r="S159" s="304">
        <f t="shared" si="110"/>
        <v>0</v>
      </c>
      <c r="T159" s="304">
        <v>0</v>
      </c>
      <c r="U159" s="304">
        <v>1.51113517523358e-5</v>
      </c>
      <c r="V159" s="304">
        <v>1.55438957396408e-5</v>
      </c>
      <c r="W159" s="304">
        <v>0</v>
      </c>
      <c r="X159" s="304">
        <f t="shared" si="111"/>
        <v>0</v>
      </c>
      <c r="Y159" s="304">
        <f t="shared" si="112"/>
        <v>1.3352551116162e-5</v>
      </c>
      <c r="Z159" s="304">
        <f t="shared" si="113"/>
        <v>0</v>
      </c>
      <c r="AA159" s="304">
        <f t="shared" si="130"/>
        <v>0</v>
      </c>
      <c r="AB159" s="304">
        <f t="shared" si="131"/>
        <v>0</v>
      </c>
      <c r="AC159" s="304">
        <f t="shared" si="116"/>
        <v>2.76786919494585e-6</v>
      </c>
      <c r="AD159" s="304">
        <f t="shared" si="117"/>
        <v>2.18641001527225e-5</v>
      </c>
      <c r="AE159" s="304">
        <f t="shared" si="121"/>
        <v>0</v>
      </c>
      <c r="AF159" s="303">
        <f t="shared" si="118"/>
        <v>-2.18641001527225e-5</v>
      </c>
      <c r="AG159" s="303">
        <f t="shared" si="122"/>
        <v>0</v>
      </c>
      <c r="AH159" s="303">
        <f t="shared" si="123"/>
        <v>0</v>
      </c>
      <c r="AI159" s="303">
        <f t="shared" si="124"/>
        <v>3.12490492928702e-6</v>
      </c>
      <c r="AJ159" s="303">
        <f t="shared" si="125"/>
        <v>0</v>
      </c>
      <c r="AK159" s="303">
        <f t="shared" si="126"/>
        <v>-3.12490492928702e-6</v>
      </c>
      <c r="AL159" s="304">
        <f t="shared" si="127"/>
        <v>-3.12490492928702e-6</v>
      </c>
      <c r="AM159" s="304">
        <f t="shared" si="128"/>
        <v>0</v>
      </c>
      <c r="AN159" s="299">
        <v>0</v>
      </c>
      <c r="AO159" s="299">
        <v>0</v>
      </c>
      <c r="AP159" s="299">
        <v>4636.32</v>
      </c>
      <c r="AQ159" s="299">
        <v>4800</v>
      </c>
      <c r="AR159" s="300">
        <v>3300</v>
      </c>
      <c r="AS159" s="300">
        <v>3300</v>
      </c>
      <c r="AT159" s="300">
        <v>0</v>
      </c>
      <c r="AU159" s="300">
        <v>0</v>
      </c>
      <c r="AV159" s="300">
        <v>0</v>
      </c>
      <c r="AW159" s="300">
        <v>0</v>
      </c>
      <c r="AX159" s="300">
        <v>0</v>
      </c>
      <c r="AY159" s="300">
        <v>0</v>
      </c>
      <c r="AZ159" s="300">
        <v>2200</v>
      </c>
      <c r="BA159" s="300">
        <v>2200</v>
      </c>
      <c r="BB159" s="300">
        <v>0</v>
      </c>
      <c r="BC159" s="300">
        <v>0</v>
      </c>
      <c r="BD159" s="300">
        <v>2600</v>
      </c>
      <c r="BE159" s="300">
        <v>2600</v>
      </c>
      <c r="BF159" s="300">
        <v>0</v>
      </c>
      <c r="BG159" s="300">
        <v>0</v>
      </c>
      <c r="BH159" s="300">
        <v>0</v>
      </c>
      <c r="BI159" s="300">
        <v>0</v>
      </c>
      <c r="BJ159" s="300">
        <v>0</v>
      </c>
      <c r="BK159" s="300">
        <v>446</v>
      </c>
      <c r="BL159" s="266">
        <v>1610.82</v>
      </c>
      <c r="BM159" s="266">
        <v>1800</v>
      </c>
      <c r="BN159" s="266">
        <v>8600</v>
      </c>
      <c r="BO159" s="266">
        <v>8600</v>
      </c>
      <c r="BP159" s="266">
        <v>0</v>
      </c>
      <c r="BQ159" s="266">
        <v>0</v>
      </c>
      <c r="BR159" s="266">
        <v>0</v>
      </c>
      <c r="BS159" s="266">
        <v>0</v>
      </c>
      <c r="BT159" s="266">
        <v>1700</v>
      </c>
      <c r="BU159" s="266">
        <v>1700</v>
      </c>
      <c r="BV159" s="266">
        <v>2000</v>
      </c>
      <c r="BW159" s="266">
        <v>2000</v>
      </c>
      <c r="BX159" s="266">
        <v>0</v>
      </c>
      <c r="BY159" s="266">
        <v>0</v>
      </c>
      <c r="BZ159" s="266">
        <v>1800</v>
      </c>
      <c r="CA159" s="266">
        <v>1800</v>
      </c>
      <c r="CB159" s="266">
        <v>1800</v>
      </c>
      <c r="CC159" s="266">
        <v>1800</v>
      </c>
      <c r="CD159" s="311">
        <v>0</v>
      </c>
      <c r="CE159" s="311">
        <v>0</v>
      </c>
      <c r="CF159" s="311">
        <v>0</v>
      </c>
      <c r="CG159" s="311">
        <v>0</v>
      </c>
      <c r="CH159" s="311">
        <v>0</v>
      </c>
      <c r="CI159" s="311">
        <v>0</v>
      </c>
      <c r="CJ159" s="311">
        <v>431</v>
      </c>
      <c r="CK159" s="311">
        <v>0</v>
      </c>
      <c r="CL159" s="311">
        <v>3800</v>
      </c>
      <c r="CM159" s="311">
        <v>3800</v>
      </c>
      <c r="CN159" s="311">
        <v>0</v>
      </c>
      <c r="CO159" s="311">
        <v>0</v>
      </c>
      <c r="CP159" s="311">
        <v>0</v>
      </c>
      <c r="CQ159" s="311">
        <v>0</v>
      </c>
      <c r="CR159" s="311">
        <v>0</v>
      </c>
      <c r="CS159" s="258">
        <v>0</v>
      </c>
      <c r="CT159" s="258">
        <v>484</v>
      </c>
      <c r="CU159" s="258">
        <v>484</v>
      </c>
      <c r="CV159" s="258">
        <v>0</v>
      </c>
      <c r="CW159" s="258">
        <v>0</v>
      </c>
      <c r="CX159" s="266">
        <f t="shared" si="119"/>
        <v>-484</v>
      </c>
      <c r="CY159" s="266">
        <f t="shared" si="120"/>
        <v>-484</v>
      </c>
      <c r="CZ159" s="260" t="s">
        <v>5012</v>
      </c>
      <c r="DA159" s="301" t="s">
        <v>5062</v>
      </c>
      <c r="DB159" s="258">
        <v>0</v>
      </c>
      <c r="DC159" s="258">
        <f t="shared" si="129"/>
        <v>1</v>
      </c>
    </row>
    <row r="160" spans="1:107">
      <c r="A160" s="264" t="s">
        <v>5063</v>
      </c>
      <c r="B160" s="264" t="s">
        <v>4776</v>
      </c>
      <c r="C160" s="264"/>
      <c r="D160" s="265" t="s">
        <v>5064</v>
      </c>
      <c r="E160" s="306">
        <f t="shared" si="97"/>
        <v>0</v>
      </c>
      <c r="F160" s="306">
        <f t="shared" si="98"/>
        <v>2.21663986782885e-5</v>
      </c>
      <c r="G160" s="304">
        <f t="shared" si="99"/>
        <v>6.19640872332903e-6</v>
      </c>
      <c r="H160" s="304">
        <f t="shared" si="100"/>
        <v>0</v>
      </c>
      <c r="I160" s="304">
        <f t="shared" si="101"/>
        <v>8.26933393050419e-6</v>
      </c>
      <c r="J160" s="304">
        <f t="shared" si="102"/>
        <v>0</v>
      </c>
      <c r="K160" s="304">
        <f t="shared" si="103"/>
        <v>0</v>
      </c>
      <c r="L160" s="304">
        <f t="shared" si="104"/>
        <v>0</v>
      </c>
      <c r="M160" s="304">
        <f t="shared" si="105"/>
        <v>5.93790655268524e-5</v>
      </c>
      <c r="N160" s="304">
        <f t="shared" si="106"/>
        <v>0</v>
      </c>
      <c r="O160" s="304">
        <f t="shared" si="107"/>
        <v>0</v>
      </c>
      <c r="P160" s="304">
        <f t="shared" si="108"/>
        <v>0</v>
      </c>
      <c r="Q160" s="304">
        <v>0</v>
      </c>
      <c r="R160" s="304">
        <f t="shared" si="109"/>
        <v>0</v>
      </c>
      <c r="S160" s="304">
        <f t="shared" si="110"/>
        <v>0</v>
      </c>
      <c r="T160" s="304">
        <v>1.1566920002903e-5</v>
      </c>
      <c r="U160" s="304">
        <v>1.39052881018906e-5</v>
      </c>
      <c r="V160" s="304">
        <v>0</v>
      </c>
      <c r="W160" s="304">
        <v>1.16619388194864e-5</v>
      </c>
      <c r="X160" s="304">
        <f t="shared" si="111"/>
        <v>9.66173392770972e-6</v>
      </c>
      <c r="Y160" s="304">
        <f t="shared" si="112"/>
        <v>0</v>
      </c>
      <c r="Z160" s="304">
        <f t="shared" si="113"/>
        <v>0</v>
      </c>
      <c r="AA160" s="304">
        <f t="shared" si="130"/>
        <v>0</v>
      </c>
      <c r="AB160" s="304">
        <f t="shared" si="131"/>
        <v>1.3010648833404e-5</v>
      </c>
      <c r="AC160" s="304">
        <f t="shared" si="116"/>
        <v>0</v>
      </c>
      <c r="AD160" s="304">
        <f t="shared" si="117"/>
        <v>0</v>
      </c>
      <c r="AE160" s="304">
        <f t="shared" si="121"/>
        <v>0</v>
      </c>
      <c r="AF160" s="303">
        <f t="shared" si="118"/>
        <v>0</v>
      </c>
      <c r="AG160" s="303">
        <f t="shared" si="122"/>
        <v>0</v>
      </c>
      <c r="AH160" s="303">
        <f t="shared" si="123"/>
        <v>0</v>
      </c>
      <c r="AI160" s="303">
        <f t="shared" si="124"/>
        <v>0</v>
      </c>
      <c r="AJ160" s="303">
        <f t="shared" si="125"/>
        <v>0</v>
      </c>
      <c r="AK160" s="303">
        <f t="shared" si="126"/>
        <v>0</v>
      </c>
      <c r="AL160" s="304">
        <f t="shared" si="127"/>
        <v>0</v>
      </c>
      <c r="AM160" s="304">
        <f t="shared" si="128"/>
        <v>0</v>
      </c>
      <c r="AN160" s="299">
        <v>0</v>
      </c>
      <c r="AO160" s="299">
        <v>0</v>
      </c>
      <c r="AP160" s="299">
        <v>3900</v>
      </c>
      <c r="AQ160" s="299">
        <v>3900</v>
      </c>
      <c r="AR160" s="300">
        <v>1100</v>
      </c>
      <c r="AS160" s="300">
        <v>1100</v>
      </c>
      <c r="AT160" s="300">
        <v>0</v>
      </c>
      <c r="AU160" s="300">
        <v>0</v>
      </c>
      <c r="AV160" s="300">
        <v>1400</v>
      </c>
      <c r="AW160" s="300">
        <v>1400</v>
      </c>
      <c r="AX160" s="300">
        <v>0</v>
      </c>
      <c r="AY160" s="300">
        <v>0</v>
      </c>
      <c r="AZ160" s="300">
        <v>0</v>
      </c>
      <c r="BA160" s="300">
        <v>0</v>
      </c>
      <c r="BB160" s="300">
        <v>0</v>
      </c>
      <c r="BC160" s="300">
        <v>809</v>
      </c>
      <c r="BD160" s="300">
        <v>7650.24</v>
      </c>
      <c r="BE160" s="300">
        <v>7800</v>
      </c>
      <c r="BF160" s="300">
        <v>0</v>
      </c>
      <c r="BG160" s="300">
        <v>0</v>
      </c>
      <c r="BH160" s="300">
        <v>0</v>
      </c>
      <c r="BI160" s="300">
        <v>0</v>
      </c>
      <c r="BJ160" s="300">
        <v>0</v>
      </c>
      <c r="BK160" s="300">
        <v>0</v>
      </c>
      <c r="BL160" s="266">
        <v>0</v>
      </c>
      <c r="BM160" s="266">
        <v>554</v>
      </c>
      <c r="BN160" s="266">
        <v>0</v>
      </c>
      <c r="BO160" s="266">
        <v>0</v>
      </c>
      <c r="BP160" s="266">
        <v>0</v>
      </c>
      <c r="BQ160" s="266">
        <v>0</v>
      </c>
      <c r="BR160" s="266">
        <v>1400</v>
      </c>
      <c r="BS160" s="266">
        <v>1400</v>
      </c>
      <c r="BT160" s="266">
        <v>1564.32</v>
      </c>
      <c r="BU160" s="266">
        <v>1600</v>
      </c>
      <c r="BV160" s="266">
        <v>0</v>
      </c>
      <c r="BW160" s="266">
        <v>0</v>
      </c>
      <c r="BX160" s="266">
        <v>1600</v>
      </c>
      <c r="BY160" s="266">
        <v>1600</v>
      </c>
      <c r="BZ160" s="266">
        <v>1600</v>
      </c>
      <c r="CA160" s="266">
        <v>1600</v>
      </c>
      <c r="CB160" s="266">
        <v>0</v>
      </c>
      <c r="CC160" s="266">
        <v>0</v>
      </c>
      <c r="CD160" s="311">
        <v>0</v>
      </c>
      <c r="CE160" s="311">
        <v>0</v>
      </c>
      <c r="CF160" s="311">
        <v>0</v>
      </c>
      <c r="CG160" s="311">
        <v>0</v>
      </c>
      <c r="CH160" s="311">
        <v>1700</v>
      </c>
      <c r="CI160" s="311">
        <v>1700</v>
      </c>
      <c r="CJ160" s="311">
        <v>0</v>
      </c>
      <c r="CK160" s="311">
        <v>0</v>
      </c>
      <c r="CL160" s="311">
        <v>0</v>
      </c>
      <c r="CM160" s="311">
        <v>0</v>
      </c>
      <c r="CN160" s="311">
        <v>0</v>
      </c>
      <c r="CO160" s="311">
        <v>0</v>
      </c>
      <c r="CP160" s="311">
        <v>0</v>
      </c>
      <c r="CQ160" s="311">
        <v>0</v>
      </c>
      <c r="CR160" s="311">
        <v>0</v>
      </c>
      <c r="CS160" s="258">
        <v>0</v>
      </c>
      <c r="CT160" s="258">
        <v>0</v>
      </c>
      <c r="CU160" s="258">
        <v>0</v>
      </c>
      <c r="CV160" s="258">
        <v>0</v>
      </c>
      <c r="CW160" s="258">
        <v>0</v>
      </c>
      <c r="CX160" s="266">
        <f t="shared" si="119"/>
        <v>0</v>
      </c>
      <c r="CY160" s="266">
        <f t="shared" si="120"/>
        <v>0</v>
      </c>
      <c r="CZ160" s="260" t="s">
        <v>5065</v>
      </c>
      <c r="DA160" s="301" t="s">
        <v>5064</v>
      </c>
      <c r="DB160" s="258">
        <v>0</v>
      </c>
      <c r="DC160" s="258">
        <f t="shared" si="129"/>
        <v>1</v>
      </c>
    </row>
    <row r="161" spans="1:107">
      <c r="A161" s="264" t="s">
        <v>5066</v>
      </c>
      <c r="B161" s="264" t="s">
        <v>4776</v>
      </c>
      <c r="C161" s="264"/>
      <c r="D161" s="265" t="s">
        <v>5067</v>
      </c>
      <c r="E161" s="306">
        <f t="shared" si="97"/>
        <v>0</v>
      </c>
      <c r="F161" s="306">
        <f t="shared" si="98"/>
        <v>0</v>
      </c>
      <c r="G161" s="304">
        <f t="shared" si="99"/>
        <v>0</v>
      </c>
      <c r="H161" s="304">
        <f t="shared" si="100"/>
        <v>0</v>
      </c>
      <c r="I161" s="304">
        <f t="shared" si="101"/>
        <v>0</v>
      </c>
      <c r="J161" s="304">
        <f t="shared" si="102"/>
        <v>8.50621093332391e-6</v>
      </c>
      <c r="K161" s="304">
        <f t="shared" si="103"/>
        <v>8.35138189384259e-6</v>
      </c>
      <c r="L161" s="304">
        <f t="shared" si="104"/>
        <v>0</v>
      </c>
      <c r="M161" s="304">
        <f t="shared" si="105"/>
        <v>0</v>
      </c>
      <c r="N161" s="304">
        <f t="shared" si="106"/>
        <v>0</v>
      </c>
      <c r="O161" s="304">
        <f t="shared" si="107"/>
        <v>0</v>
      </c>
      <c r="P161" s="304">
        <f t="shared" si="108"/>
        <v>0</v>
      </c>
      <c r="Q161" s="304">
        <v>0</v>
      </c>
      <c r="R161" s="304">
        <f t="shared" si="109"/>
        <v>0</v>
      </c>
      <c r="S161" s="304">
        <f t="shared" si="110"/>
        <v>0</v>
      </c>
      <c r="T161" s="304">
        <v>0</v>
      </c>
      <c r="U161" s="304">
        <v>0</v>
      </c>
      <c r="V161" s="304">
        <v>0</v>
      </c>
      <c r="W161" s="304">
        <v>0</v>
      </c>
      <c r="X161" s="304">
        <f t="shared" si="111"/>
        <v>0</v>
      </c>
      <c r="Y161" s="304">
        <f t="shared" si="112"/>
        <v>0</v>
      </c>
      <c r="Z161" s="304">
        <f t="shared" ref="Z161:Z167" si="132">CD161/CD$182</f>
        <v>0</v>
      </c>
      <c r="AA161" s="304">
        <f t="shared" si="130"/>
        <v>0</v>
      </c>
      <c r="AB161" s="304">
        <f t="shared" si="131"/>
        <v>1.37759811177219e-5</v>
      </c>
      <c r="AC161" s="304">
        <f t="shared" ref="AC161:AC182" si="133">CJ161/$CJ$182</f>
        <v>0</v>
      </c>
      <c r="AD161" s="304">
        <f t="shared" si="117"/>
        <v>0</v>
      </c>
      <c r="AE161" s="304">
        <f t="shared" si="121"/>
        <v>0</v>
      </c>
      <c r="AF161" s="303">
        <f t="shared" si="118"/>
        <v>0</v>
      </c>
      <c r="AG161" s="303">
        <f t="shared" si="122"/>
        <v>8.17002167035402e-6</v>
      </c>
      <c r="AH161" s="303">
        <f t="shared" si="123"/>
        <v>0</v>
      </c>
      <c r="AI161" s="303">
        <f t="shared" si="124"/>
        <v>0</v>
      </c>
      <c r="AJ161" s="303">
        <f t="shared" si="125"/>
        <v>0</v>
      </c>
      <c r="AK161" s="303">
        <f t="shared" si="126"/>
        <v>0</v>
      </c>
      <c r="AL161" s="304">
        <f t="shared" si="127"/>
        <v>0</v>
      </c>
      <c r="AM161" s="304">
        <f t="shared" si="128"/>
        <v>0</v>
      </c>
      <c r="AN161" s="299">
        <v>0</v>
      </c>
      <c r="AO161" s="299">
        <v>232</v>
      </c>
      <c r="AP161" s="299">
        <v>0</v>
      </c>
      <c r="AQ161" s="299">
        <v>0</v>
      </c>
      <c r="AR161" s="300">
        <v>0</v>
      </c>
      <c r="AS161" s="300">
        <v>204</v>
      </c>
      <c r="AT161" s="300">
        <v>0</v>
      </c>
      <c r="AU161" s="300">
        <v>0</v>
      </c>
      <c r="AV161" s="300">
        <v>0</v>
      </c>
      <c r="AW161" s="300">
        <v>0</v>
      </c>
      <c r="AX161" s="300">
        <v>1200</v>
      </c>
      <c r="AY161" s="300">
        <v>1200</v>
      </c>
      <c r="AZ161" s="300">
        <v>1100</v>
      </c>
      <c r="BA161" s="300">
        <v>1100</v>
      </c>
      <c r="BB161" s="300">
        <v>0</v>
      </c>
      <c r="BC161" s="300">
        <v>0</v>
      </c>
      <c r="BD161" s="300">
        <v>0</v>
      </c>
      <c r="BE161" s="300">
        <v>0</v>
      </c>
      <c r="BF161" s="300">
        <v>0</v>
      </c>
      <c r="BG161" s="300">
        <v>428</v>
      </c>
      <c r="BH161" s="300">
        <v>0</v>
      </c>
      <c r="BI161" s="300">
        <v>0</v>
      </c>
      <c r="BJ161" s="300">
        <v>0</v>
      </c>
      <c r="BK161" s="300">
        <v>0</v>
      </c>
      <c r="BL161" s="266">
        <v>8700</v>
      </c>
      <c r="BM161" s="266">
        <v>8700</v>
      </c>
      <c r="BN161" s="266">
        <v>0</v>
      </c>
      <c r="BO161" s="266">
        <v>0</v>
      </c>
      <c r="BP161" s="266">
        <v>0</v>
      </c>
      <c r="BQ161" s="266">
        <v>0</v>
      </c>
      <c r="BR161" s="266">
        <v>0</v>
      </c>
      <c r="BS161" s="266">
        <v>0</v>
      </c>
      <c r="BT161" s="266">
        <v>0</v>
      </c>
      <c r="BU161" s="266">
        <v>0</v>
      </c>
      <c r="BV161" s="266">
        <v>0</v>
      </c>
      <c r="BW161" s="266">
        <v>0</v>
      </c>
      <c r="BX161" s="266">
        <v>0</v>
      </c>
      <c r="BY161" s="266">
        <v>0</v>
      </c>
      <c r="BZ161" s="266">
        <v>0</v>
      </c>
      <c r="CA161" s="266">
        <v>0</v>
      </c>
      <c r="CB161" s="266">
        <v>0</v>
      </c>
      <c r="CC161" s="266">
        <v>0</v>
      </c>
      <c r="CD161" s="311">
        <v>0</v>
      </c>
      <c r="CE161" s="311">
        <v>0</v>
      </c>
      <c r="CF161" s="311">
        <v>0</v>
      </c>
      <c r="CG161" s="311">
        <v>0</v>
      </c>
      <c r="CH161" s="311">
        <v>1800</v>
      </c>
      <c r="CI161" s="311">
        <v>1800</v>
      </c>
      <c r="CJ161" s="311">
        <v>0</v>
      </c>
      <c r="CK161" s="311">
        <v>0</v>
      </c>
      <c r="CL161" s="311">
        <v>0</v>
      </c>
      <c r="CM161" s="311">
        <v>0</v>
      </c>
      <c r="CN161" s="311">
        <v>0</v>
      </c>
      <c r="CO161" s="311">
        <v>0</v>
      </c>
      <c r="CP161" s="311">
        <v>1300</v>
      </c>
      <c r="CQ161" s="311">
        <v>1300</v>
      </c>
      <c r="CR161" s="311">
        <v>0</v>
      </c>
      <c r="CS161" s="258">
        <v>0</v>
      </c>
      <c r="CT161" s="258">
        <v>0</v>
      </c>
      <c r="CU161" s="258">
        <v>0</v>
      </c>
      <c r="CV161" s="258">
        <v>0</v>
      </c>
      <c r="CW161" s="258">
        <v>0</v>
      </c>
      <c r="CX161" s="266">
        <f t="shared" si="119"/>
        <v>0</v>
      </c>
      <c r="CY161" s="266">
        <f t="shared" si="120"/>
        <v>0</v>
      </c>
      <c r="CZ161" s="260" t="s">
        <v>5012</v>
      </c>
      <c r="DA161" s="301" t="s">
        <v>5067</v>
      </c>
      <c r="DB161" s="258">
        <v>0</v>
      </c>
      <c r="DC161" s="258">
        <f t="shared" si="129"/>
        <v>1</v>
      </c>
    </row>
    <row r="162" spans="1:107">
      <c r="A162" s="264"/>
      <c r="B162" s="264"/>
      <c r="C162" s="264"/>
      <c r="D162" s="265" t="s">
        <v>3909</v>
      </c>
      <c r="E162" s="306"/>
      <c r="F162" s="306"/>
      <c r="G162" s="304"/>
      <c r="H162" s="304"/>
      <c r="I162" s="304"/>
      <c r="J162" s="304"/>
      <c r="K162" s="304"/>
      <c r="L162" s="304"/>
      <c r="M162" s="304"/>
      <c r="N162" s="304"/>
      <c r="O162" s="304"/>
      <c r="P162" s="304"/>
      <c r="Q162" s="304"/>
      <c r="R162" s="304"/>
      <c r="S162" s="304"/>
      <c r="T162" s="304"/>
      <c r="U162" s="304"/>
      <c r="V162" s="304"/>
      <c r="W162" s="304"/>
      <c r="X162" s="304"/>
      <c r="Y162" s="304">
        <f t="shared" ref="Y162:Y167" si="134">CB162/CB$182</f>
        <v>0.000415412701391707</v>
      </c>
      <c r="Z162" s="304">
        <f t="shared" si="132"/>
        <v>0.000754971602609881</v>
      </c>
      <c r="AA162" s="304">
        <f t="shared" si="130"/>
        <v>0.000335982154178657</v>
      </c>
      <c r="AB162" s="304">
        <f t="shared" si="131"/>
        <v>0.000598489846336584</v>
      </c>
      <c r="AC162" s="304">
        <f t="shared" si="133"/>
        <v>5.52289444931191e-5</v>
      </c>
      <c r="AD162" s="304">
        <f t="shared" si="117"/>
        <v>0.000257190862322814</v>
      </c>
      <c r="AE162" s="304">
        <f t="shared" si="121"/>
        <v>0.000364246293876145</v>
      </c>
      <c r="AF162" s="303">
        <f t="shared" si="118"/>
        <v>0.000107055431553331</v>
      </c>
      <c r="AG162" s="303">
        <f t="shared" si="122"/>
        <v>0.000383991018506639</v>
      </c>
      <c r="AH162" s="303">
        <f t="shared" si="123"/>
        <v>9.55344382704453e-5</v>
      </c>
      <c r="AI162" s="303">
        <f t="shared" si="124"/>
        <v>0.000695355910917793</v>
      </c>
      <c r="AJ162" s="303">
        <f t="shared" si="125"/>
        <v>0.000425879962026994</v>
      </c>
      <c r="AK162" s="303">
        <f t="shared" si="126"/>
        <v>-0.000269475948890799</v>
      </c>
      <c r="AL162" s="304">
        <f t="shared" si="127"/>
        <v>-0.000269475948890799</v>
      </c>
      <c r="AM162" s="304">
        <f t="shared" si="128"/>
        <v>-0.554112554112554</v>
      </c>
      <c r="AN162" s="299"/>
      <c r="AO162" s="299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266"/>
      <c r="BV162" s="266"/>
      <c r="BW162" s="266"/>
      <c r="BX162" s="266">
        <v>146300</v>
      </c>
      <c r="BY162" s="266">
        <v>161600</v>
      </c>
      <c r="BZ162" s="266">
        <v>146300</v>
      </c>
      <c r="CA162" s="266">
        <v>161600</v>
      </c>
      <c r="CB162" s="266">
        <v>56000</v>
      </c>
      <c r="CC162" s="266">
        <v>62300</v>
      </c>
      <c r="CD162" s="311">
        <v>105400</v>
      </c>
      <c r="CE162" s="311">
        <v>123300</v>
      </c>
      <c r="CF162" s="311">
        <v>41600</v>
      </c>
      <c r="CG162" s="311">
        <v>57600</v>
      </c>
      <c r="CH162" s="311">
        <v>78200</v>
      </c>
      <c r="CI162" s="311">
        <v>89700</v>
      </c>
      <c r="CJ162" s="311">
        <v>8600</v>
      </c>
      <c r="CK162" s="311">
        <v>24800</v>
      </c>
      <c r="CL162" s="311">
        <v>44700</v>
      </c>
      <c r="CM162" s="311">
        <v>21900</v>
      </c>
      <c r="CN162" s="311">
        <v>55400</v>
      </c>
      <c r="CO162" s="311">
        <v>108000</v>
      </c>
      <c r="CP162" s="311">
        <v>61100</v>
      </c>
      <c r="CQ162" s="311">
        <v>70200</v>
      </c>
      <c r="CR162" s="311">
        <v>14800</v>
      </c>
      <c r="CS162" s="258">
        <v>57600</v>
      </c>
      <c r="CT162" s="258">
        <v>107700</v>
      </c>
      <c r="CU162" s="258">
        <v>130400</v>
      </c>
      <c r="CV162" s="258">
        <v>69300</v>
      </c>
      <c r="CW162" s="258">
        <v>80100</v>
      </c>
      <c r="CX162" s="266">
        <f t="shared" si="119"/>
        <v>-38400</v>
      </c>
      <c r="CY162" s="266">
        <f t="shared" si="120"/>
        <v>-50300</v>
      </c>
      <c r="DA162" s="301" t="s">
        <v>3909</v>
      </c>
      <c r="DB162" s="258">
        <v>69300</v>
      </c>
      <c r="DC162" s="258">
        <f t="shared" si="129"/>
        <v>1</v>
      </c>
    </row>
    <row r="163" spans="1:107">
      <c r="A163" s="264"/>
      <c r="B163" s="264"/>
      <c r="C163" s="264"/>
      <c r="D163" s="265" t="s">
        <v>5068</v>
      </c>
      <c r="E163" s="306"/>
      <c r="F163" s="306"/>
      <c r="G163" s="304"/>
      <c r="H163" s="304"/>
      <c r="I163" s="304"/>
      <c r="J163" s="304"/>
      <c r="K163" s="304"/>
      <c r="L163" s="304"/>
      <c r="M163" s="304"/>
      <c r="N163" s="304"/>
      <c r="O163" s="304"/>
      <c r="P163" s="304"/>
      <c r="Q163" s="304"/>
      <c r="R163" s="304"/>
      <c r="S163" s="304"/>
      <c r="T163" s="304"/>
      <c r="U163" s="304"/>
      <c r="V163" s="304"/>
      <c r="W163" s="304"/>
      <c r="X163" s="304"/>
      <c r="Y163" s="304">
        <f t="shared" si="134"/>
        <v>0.00311114441006575</v>
      </c>
      <c r="Z163" s="304">
        <f t="shared" si="132"/>
        <v>0.00222910021567547</v>
      </c>
      <c r="AA163" s="304">
        <f t="shared" si="130"/>
        <v>0.00204577595320802</v>
      </c>
      <c r="AB163" s="304">
        <f t="shared" si="131"/>
        <v>0.00204420253141306</v>
      </c>
      <c r="AC163" s="304">
        <f t="shared" si="133"/>
        <v>0.00159585961703954</v>
      </c>
      <c r="AD163" s="304">
        <f t="shared" si="117"/>
        <v>0.00356557443806371</v>
      </c>
      <c r="AE163" s="304">
        <f t="shared" si="121"/>
        <v>0.00178441234942213</v>
      </c>
      <c r="AF163" s="303">
        <f t="shared" si="118"/>
        <v>-0.00178116208864158</v>
      </c>
      <c r="AG163" s="303">
        <f t="shared" si="122"/>
        <v>0.00151396786183714</v>
      </c>
      <c r="AH163" s="303">
        <f t="shared" si="123"/>
        <v>0.0020965936182595</v>
      </c>
      <c r="AI163" s="303">
        <f t="shared" si="124"/>
        <v>0.00321077525069098</v>
      </c>
      <c r="AJ163" s="303">
        <f t="shared" si="125"/>
        <v>0.0022775052514748</v>
      </c>
      <c r="AK163" s="303">
        <f t="shared" si="126"/>
        <v>-0.000933269999216176</v>
      </c>
      <c r="AL163" s="304">
        <f t="shared" si="127"/>
        <v>-0.000933269999216176</v>
      </c>
      <c r="AM163" s="304">
        <f t="shared" si="128"/>
        <v>-0.341878035617917</v>
      </c>
      <c r="AN163" s="299"/>
      <c r="AO163" s="299"/>
      <c r="BL163" s="266"/>
      <c r="BM163" s="266"/>
      <c r="BN163" s="266"/>
      <c r="BO163" s="266"/>
      <c r="BP163" s="266"/>
      <c r="BQ163" s="266"/>
      <c r="BR163" s="266"/>
      <c r="BS163" s="266"/>
      <c r="BT163" s="266"/>
      <c r="BU163" s="266"/>
      <c r="BV163" s="266"/>
      <c r="BW163" s="266"/>
      <c r="BX163" s="266">
        <v>363700</v>
      </c>
      <c r="BY163" s="266">
        <v>521500</v>
      </c>
      <c r="BZ163" s="266">
        <v>363700</v>
      </c>
      <c r="CA163" s="266">
        <v>521500</v>
      </c>
      <c r="CB163" s="266">
        <v>419400</v>
      </c>
      <c r="CC163" s="266">
        <v>556100</v>
      </c>
      <c r="CD163" s="311">
        <v>311200</v>
      </c>
      <c r="CE163" s="311">
        <v>500700</v>
      </c>
      <c r="CF163" s="311">
        <v>253300</v>
      </c>
      <c r="CG163" s="311">
        <v>357500</v>
      </c>
      <c r="CH163" s="311">
        <v>267100</v>
      </c>
      <c r="CI163" s="311">
        <v>342700</v>
      </c>
      <c r="CJ163" s="311">
        <v>248500</v>
      </c>
      <c r="CK163" s="311">
        <v>347300</v>
      </c>
      <c r="CL163" s="311">
        <v>619700</v>
      </c>
      <c r="CM163" s="311">
        <v>452500</v>
      </c>
      <c r="CN163" s="311">
        <v>271400</v>
      </c>
      <c r="CO163" s="311">
        <v>419100</v>
      </c>
      <c r="CP163" s="311">
        <v>240900</v>
      </c>
      <c r="CQ163" s="311">
        <v>468900</v>
      </c>
      <c r="CR163" s="311">
        <v>324800</v>
      </c>
      <c r="CS163" s="258">
        <v>517300</v>
      </c>
      <c r="CT163" s="258">
        <v>497300</v>
      </c>
      <c r="CU163" s="258">
        <v>639000</v>
      </c>
      <c r="CV163" s="258">
        <v>370600</v>
      </c>
      <c r="CW163" s="258">
        <v>519600</v>
      </c>
      <c r="CX163" s="266">
        <f t="shared" si="119"/>
        <v>-126700</v>
      </c>
      <c r="CY163" s="266">
        <f t="shared" si="120"/>
        <v>-119400</v>
      </c>
      <c r="DA163" s="301" t="s">
        <v>5068</v>
      </c>
      <c r="DB163" s="258">
        <v>370600</v>
      </c>
      <c r="DC163" s="258">
        <f t="shared" si="129"/>
        <v>1</v>
      </c>
    </row>
    <row r="164" spans="1:107">
      <c r="A164" s="264"/>
      <c r="B164" s="264"/>
      <c r="C164" s="264"/>
      <c r="D164" s="265" t="s">
        <v>5069</v>
      </c>
      <c r="E164" s="306"/>
      <c r="F164" s="306"/>
      <c r="G164" s="304"/>
      <c r="H164" s="304"/>
      <c r="I164" s="304"/>
      <c r="J164" s="304"/>
      <c r="K164" s="304"/>
      <c r="L164" s="304"/>
      <c r="M164" s="304"/>
      <c r="N164" s="304"/>
      <c r="O164" s="304"/>
      <c r="P164" s="304"/>
      <c r="Q164" s="304"/>
      <c r="R164" s="304"/>
      <c r="S164" s="304"/>
      <c r="T164" s="304"/>
      <c r="U164" s="304"/>
      <c r="V164" s="304"/>
      <c r="W164" s="304"/>
      <c r="X164" s="304"/>
      <c r="Y164" s="304">
        <f t="shared" si="134"/>
        <v>0.00620225999345725</v>
      </c>
      <c r="Z164" s="304">
        <f t="shared" si="132"/>
        <v>0.0031588470279977</v>
      </c>
      <c r="AA164" s="304">
        <f t="shared" si="130"/>
        <v>0.00398655748323522</v>
      </c>
      <c r="AB164" s="304">
        <f t="shared" si="131"/>
        <v>0.00464403630124091</v>
      </c>
      <c r="AC164" s="304">
        <f t="shared" si="133"/>
        <v>0.00542849148605041</v>
      </c>
      <c r="AD164" s="304">
        <f t="shared" si="117"/>
        <v>0.00407995616270934</v>
      </c>
      <c r="AE164" s="304">
        <f t="shared" si="121"/>
        <v>0.00342615060900468</v>
      </c>
      <c r="AF164" s="303">
        <f t="shared" si="118"/>
        <v>-0.000653805553704659</v>
      </c>
      <c r="AG164" s="303">
        <f t="shared" si="122"/>
        <v>0.00195891981126873</v>
      </c>
      <c r="AH164" s="303">
        <f t="shared" si="123"/>
        <v>0.00183451941597706</v>
      </c>
      <c r="AI164" s="303">
        <f t="shared" si="124"/>
        <v>0.00195887635443322</v>
      </c>
      <c r="AJ164" s="303">
        <f t="shared" si="125"/>
        <v>0.00147245077780184</v>
      </c>
      <c r="AK164" s="303">
        <f t="shared" si="126"/>
        <v>-0.000486425576631377</v>
      </c>
      <c r="AL164" s="304">
        <f t="shared" si="127"/>
        <v>-0.000486425576631377</v>
      </c>
      <c r="AM164" s="304">
        <f t="shared" si="128"/>
        <v>-0.266277128547579</v>
      </c>
      <c r="AN164" s="299"/>
      <c r="AO164" s="299"/>
      <c r="BL164" s="266"/>
      <c r="BM164" s="266"/>
      <c r="BN164" s="266"/>
      <c r="BO164" s="266"/>
      <c r="BP164" s="266"/>
      <c r="BQ164" s="266"/>
      <c r="BR164" s="266"/>
      <c r="BS164" s="266"/>
      <c r="BT164" s="266"/>
      <c r="BU164" s="266"/>
      <c r="BV164" s="266"/>
      <c r="BW164" s="266"/>
      <c r="BX164" s="266">
        <v>367000</v>
      </c>
      <c r="BY164" s="266">
        <v>424800</v>
      </c>
      <c r="BZ164" s="266">
        <v>367000</v>
      </c>
      <c r="CA164" s="266">
        <v>424800</v>
      </c>
      <c r="CB164" s="266">
        <v>836100</v>
      </c>
      <c r="CC164" s="266">
        <v>859700</v>
      </c>
      <c r="CD164" s="311">
        <v>441000</v>
      </c>
      <c r="CE164" s="311">
        <v>484700</v>
      </c>
      <c r="CF164" s="311">
        <v>493600</v>
      </c>
      <c r="CG164" s="311">
        <v>586700</v>
      </c>
      <c r="CH164" s="311">
        <v>606800</v>
      </c>
      <c r="CI164" s="311">
        <v>637400</v>
      </c>
      <c r="CJ164" s="311">
        <v>845300</v>
      </c>
      <c r="CK164" s="311">
        <v>905000</v>
      </c>
      <c r="CL164" s="311">
        <v>709100</v>
      </c>
      <c r="CM164" s="311">
        <v>545300</v>
      </c>
      <c r="CN164" s="311">
        <v>521100</v>
      </c>
      <c r="CO164" s="311">
        <v>648900</v>
      </c>
      <c r="CP164" s="311">
        <v>311700</v>
      </c>
      <c r="CQ164" s="311">
        <v>369600</v>
      </c>
      <c r="CR164" s="311">
        <v>284200</v>
      </c>
      <c r="CS164" s="258">
        <v>337600</v>
      </c>
      <c r="CT164" s="258">
        <v>303400</v>
      </c>
      <c r="CU164" s="258">
        <v>348100</v>
      </c>
      <c r="CV164" s="258">
        <v>239600</v>
      </c>
      <c r="CW164" s="258">
        <v>282900</v>
      </c>
      <c r="CX164" s="266">
        <f t="shared" si="119"/>
        <v>-63800</v>
      </c>
      <c r="CY164" s="266">
        <f t="shared" si="120"/>
        <v>-65200</v>
      </c>
      <c r="DA164" s="301" t="s">
        <v>5069</v>
      </c>
      <c r="DB164" s="258">
        <v>239600</v>
      </c>
      <c r="DC164" s="258">
        <f t="shared" si="129"/>
        <v>1</v>
      </c>
    </row>
    <row r="165" spans="1:107">
      <c r="A165" s="264"/>
      <c r="B165" s="264"/>
      <c r="C165" s="264"/>
      <c r="D165" s="265" t="s">
        <v>5070</v>
      </c>
      <c r="E165" s="306"/>
      <c r="F165" s="306"/>
      <c r="G165" s="304"/>
      <c r="H165" s="304"/>
      <c r="I165" s="304"/>
      <c r="J165" s="304"/>
      <c r="K165" s="304"/>
      <c r="L165" s="304"/>
      <c r="M165" s="304"/>
      <c r="N165" s="304"/>
      <c r="O165" s="304"/>
      <c r="P165" s="304"/>
      <c r="Q165" s="304"/>
      <c r="R165" s="304"/>
      <c r="S165" s="304"/>
      <c r="T165" s="304"/>
      <c r="U165" s="304"/>
      <c r="V165" s="304"/>
      <c r="W165" s="304"/>
      <c r="X165" s="304"/>
      <c r="Y165" s="304">
        <f t="shared" si="134"/>
        <v>0.00109936004189734</v>
      </c>
      <c r="Z165" s="304">
        <f t="shared" si="132"/>
        <v>0.000723454761514212</v>
      </c>
      <c r="AA165" s="304">
        <f t="shared" si="130"/>
        <v>0.000509626777131569</v>
      </c>
      <c r="AB165" s="304">
        <f t="shared" si="131"/>
        <v>0.000481394006835948</v>
      </c>
      <c r="AC165" s="304">
        <f t="shared" si="133"/>
        <v>0.000230548733407323</v>
      </c>
      <c r="AD165" s="304">
        <f t="shared" si="117"/>
        <v>0.000999994896458727</v>
      </c>
      <c r="AE165" s="304">
        <f t="shared" si="121"/>
        <v>0.000435254596653444</v>
      </c>
      <c r="AF165" s="303">
        <f t="shared" si="118"/>
        <v>-0.000564740299805283</v>
      </c>
      <c r="AG165" s="303">
        <f t="shared" si="122"/>
        <v>0.000941437881706948</v>
      </c>
      <c r="AH165" s="303">
        <f t="shared" si="123"/>
        <v>0.000225280533489091</v>
      </c>
      <c r="AI165" s="303">
        <f t="shared" si="124"/>
        <v>0.0010872603101073</v>
      </c>
      <c r="AJ165" s="303">
        <f t="shared" ref="AJ165:AJ182" si="135">CV165/$CV$182</f>
        <v>0.000669239940328133</v>
      </c>
      <c r="AK165" s="303">
        <f t="shared" si="126"/>
        <v>-0.000418020369779167</v>
      </c>
      <c r="AL165" s="304">
        <f t="shared" si="127"/>
        <v>-0.000418020369779167</v>
      </c>
      <c r="AM165" s="304">
        <f t="shared" si="128"/>
        <v>-0.546372819100092</v>
      </c>
      <c r="AN165" s="299"/>
      <c r="AO165" s="299"/>
      <c r="BL165" s="266"/>
      <c r="BM165" s="266"/>
      <c r="BN165" s="266"/>
      <c r="BO165" s="266"/>
      <c r="BP165" s="266"/>
      <c r="BQ165" s="266"/>
      <c r="BR165" s="266"/>
      <c r="BS165" s="266"/>
      <c r="BT165" s="266"/>
      <c r="BU165" s="266"/>
      <c r="BV165" s="266"/>
      <c r="BW165" s="266"/>
      <c r="BX165" s="266">
        <v>73800</v>
      </c>
      <c r="BY165" s="266">
        <v>109700</v>
      </c>
      <c r="BZ165" s="266">
        <v>73800</v>
      </c>
      <c r="CA165" s="266">
        <v>109700</v>
      </c>
      <c r="CB165" s="266">
        <v>148200</v>
      </c>
      <c r="CC165" s="266">
        <v>180400</v>
      </c>
      <c r="CD165" s="311">
        <v>101000</v>
      </c>
      <c r="CE165" s="311">
        <v>113700</v>
      </c>
      <c r="CF165" s="311">
        <v>63100</v>
      </c>
      <c r="CG165" s="311">
        <v>86300</v>
      </c>
      <c r="CH165" s="311">
        <v>62900</v>
      </c>
      <c r="CI165" s="311">
        <v>120700</v>
      </c>
      <c r="CJ165" s="311">
        <v>35900</v>
      </c>
      <c r="CK165" s="311">
        <v>49600</v>
      </c>
      <c r="CL165" s="311">
        <v>173800</v>
      </c>
      <c r="CM165" s="311">
        <v>160900</v>
      </c>
      <c r="CN165" s="311">
        <v>66200</v>
      </c>
      <c r="CO165" s="311">
        <v>99900</v>
      </c>
      <c r="CP165" s="311">
        <v>149800</v>
      </c>
      <c r="CQ165" s="311">
        <v>169400</v>
      </c>
      <c r="CR165" s="311">
        <v>34900</v>
      </c>
      <c r="CS165" s="258">
        <v>57800</v>
      </c>
      <c r="CT165" s="258">
        <v>168400</v>
      </c>
      <c r="CU165" s="258">
        <v>222200</v>
      </c>
      <c r="CV165" s="258">
        <v>108900</v>
      </c>
      <c r="CW165" s="258">
        <v>176300</v>
      </c>
      <c r="CX165" s="266">
        <f t="shared" si="119"/>
        <v>-59500</v>
      </c>
      <c r="CY165" s="266">
        <f t="shared" si="120"/>
        <v>-45900</v>
      </c>
      <c r="DA165" s="301" t="s">
        <v>5070</v>
      </c>
      <c r="DB165" s="258">
        <v>108900</v>
      </c>
      <c r="DC165" s="258">
        <f t="shared" si="129"/>
        <v>1</v>
      </c>
    </row>
    <row r="166" spans="1:107">
      <c r="A166" s="264"/>
      <c r="B166" s="264" t="s">
        <v>4776</v>
      </c>
      <c r="C166" s="264"/>
      <c r="D166" s="311" t="s">
        <v>5071</v>
      </c>
      <c r="E166" s="306"/>
      <c r="F166" s="306"/>
      <c r="G166" s="304"/>
      <c r="H166" s="304"/>
      <c r="I166" s="304"/>
      <c r="J166" s="304"/>
      <c r="K166" s="304"/>
      <c r="L166" s="304"/>
      <c r="M166" s="304"/>
      <c r="N166" s="304"/>
      <c r="O166" s="304"/>
      <c r="P166" s="304"/>
      <c r="Q166" s="304"/>
      <c r="R166" s="304"/>
      <c r="S166" s="304"/>
      <c r="T166" s="304"/>
      <c r="U166" s="304"/>
      <c r="V166" s="304"/>
      <c r="W166" s="304"/>
      <c r="X166" s="304"/>
      <c r="Y166" s="304">
        <f t="shared" si="134"/>
        <v>0.00187084077305336</v>
      </c>
      <c r="Z166" s="304">
        <f t="shared" si="132"/>
        <v>0.00355567270906589</v>
      </c>
      <c r="AA166" s="304">
        <f t="shared" si="130"/>
        <v>0.00395021325982647</v>
      </c>
      <c r="AB166" s="304">
        <f t="shared" si="131"/>
        <v>0.0034623632542541</v>
      </c>
      <c r="AC166" s="304">
        <f t="shared" si="133"/>
        <v>0.00208714034421671</v>
      </c>
      <c r="AD166" s="304">
        <f t="shared" si="117"/>
        <v>0.00162542323503792</v>
      </c>
      <c r="AE166" s="304">
        <f t="shared" si="121"/>
        <v>0.00163187599530793</v>
      </c>
      <c r="AF166" s="303">
        <f t="shared" si="118"/>
        <v>6.45276027000916e-6</v>
      </c>
      <c r="AG166" s="303">
        <f t="shared" si="122"/>
        <v>0.00134679664919759</v>
      </c>
      <c r="AH166" s="303">
        <f t="shared" si="123"/>
        <v>0.00277566273353321</v>
      </c>
      <c r="AI166" s="303">
        <f t="shared" si="124"/>
        <v>0.00118410653725463</v>
      </c>
      <c r="AJ166" s="303">
        <f t="shared" si="135"/>
        <v>0.00181475256546279</v>
      </c>
      <c r="AK166" s="303">
        <f t="shared" si="126"/>
        <v>0.000630646028208159</v>
      </c>
      <c r="AL166" s="304">
        <f t="shared" si="127"/>
        <v>0.000630646028208159</v>
      </c>
      <c r="AM166" s="304">
        <f t="shared" si="128"/>
        <v>0.378936674568236</v>
      </c>
      <c r="AN166" s="299"/>
      <c r="AO166" s="299"/>
      <c r="BL166" s="266"/>
      <c r="BM166" s="266"/>
      <c r="BN166" s="266"/>
      <c r="BO166" s="266"/>
      <c r="BP166" s="266"/>
      <c r="BQ166" s="266"/>
      <c r="BR166" s="266"/>
      <c r="BS166" s="266"/>
      <c r="BT166" s="266"/>
      <c r="BU166" s="266"/>
      <c r="BV166" s="266"/>
      <c r="BW166" s="266"/>
      <c r="BX166" s="266"/>
      <c r="BY166" s="266"/>
      <c r="BZ166" s="266">
        <v>468300</v>
      </c>
      <c r="CA166" s="266">
        <v>512600</v>
      </c>
      <c r="CB166" s="266">
        <v>252200</v>
      </c>
      <c r="CC166" s="266">
        <v>337200</v>
      </c>
      <c r="CD166" s="311">
        <v>496400</v>
      </c>
      <c r="CE166" s="311">
        <v>608400</v>
      </c>
      <c r="CF166" s="311">
        <v>489100</v>
      </c>
      <c r="CG166" s="311">
        <v>646900</v>
      </c>
      <c r="CH166" s="311">
        <v>452400</v>
      </c>
      <c r="CI166" s="311">
        <v>602400</v>
      </c>
      <c r="CJ166" s="311">
        <v>325000</v>
      </c>
      <c r="CK166" s="311">
        <v>463700</v>
      </c>
      <c r="CL166" s="311">
        <v>282500</v>
      </c>
      <c r="CM166" s="311">
        <v>179200</v>
      </c>
      <c r="CN166" s="311">
        <v>248200</v>
      </c>
      <c r="CO166" s="311">
        <v>396100</v>
      </c>
      <c r="CP166" s="311">
        <v>214300</v>
      </c>
      <c r="CQ166" s="311">
        <v>320800</v>
      </c>
      <c r="CR166" s="311">
        <v>430000</v>
      </c>
      <c r="CS166" s="258">
        <v>504900</v>
      </c>
      <c r="CT166" s="258">
        <v>183400</v>
      </c>
      <c r="CU166" s="258">
        <v>239000</v>
      </c>
      <c r="CV166" s="258">
        <v>295300</v>
      </c>
      <c r="CW166" s="258">
        <v>364300</v>
      </c>
      <c r="CX166" s="266">
        <f t="shared" si="119"/>
        <v>111900</v>
      </c>
      <c r="CY166" s="266">
        <f t="shared" si="120"/>
        <v>125300</v>
      </c>
      <c r="DA166" s="301" t="s">
        <v>5071</v>
      </c>
      <c r="DB166" s="258">
        <v>295300</v>
      </c>
      <c r="DC166" s="258">
        <f t="shared" si="129"/>
        <v>1</v>
      </c>
    </row>
    <row r="167" spans="1:107">
      <c r="A167" s="264"/>
      <c r="B167" s="264" t="s">
        <v>4776</v>
      </c>
      <c r="C167" s="264"/>
      <c r="D167" s="311" t="s">
        <v>5072</v>
      </c>
      <c r="E167" s="306"/>
      <c r="F167" s="306"/>
      <c r="G167" s="304"/>
      <c r="H167" s="304"/>
      <c r="I167" s="304"/>
      <c r="J167" s="304"/>
      <c r="K167" s="304"/>
      <c r="L167" s="304"/>
      <c r="M167" s="304"/>
      <c r="N167" s="304"/>
      <c r="O167" s="304"/>
      <c r="P167" s="304"/>
      <c r="Q167" s="304"/>
      <c r="R167" s="304"/>
      <c r="S167" s="304"/>
      <c r="T167" s="304"/>
      <c r="U167" s="304"/>
      <c r="V167" s="304"/>
      <c r="W167" s="304"/>
      <c r="X167" s="304"/>
      <c r="Y167" s="304">
        <f t="shared" si="134"/>
        <v>0.00154963773787013</v>
      </c>
      <c r="Z167" s="304">
        <f t="shared" si="132"/>
        <v>0.00193828572738362</v>
      </c>
      <c r="AA167" s="304">
        <f t="shared" si="130"/>
        <v>0.00174048447657453</v>
      </c>
      <c r="AB167" s="304">
        <f t="shared" si="131"/>
        <v>0.00133856616527198</v>
      </c>
      <c r="AC167" s="304">
        <f t="shared" si="133"/>
        <v>0.00197668245523047</v>
      </c>
      <c r="AD167" s="304">
        <f t="shared" si="117"/>
        <v>0.00217835482047914</v>
      </c>
      <c r="AE167" s="304">
        <f t="shared" si="121"/>
        <v>0.000746244663446615</v>
      </c>
      <c r="AF167" s="303">
        <f t="shared" si="118"/>
        <v>-0.00143211015703252</v>
      </c>
      <c r="AG167" s="303">
        <f t="shared" si="122"/>
        <v>0.00192812511420355</v>
      </c>
      <c r="AH167" s="303">
        <f t="shared" si="123"/>
        <v>0.00300804379959645</v>
      </c>
      <c r="AI167" s="303">
        <f t="shared" si="124"/>
        <v>0.00172321720170807</v>
      </c>
      <c r="AJ167" s="303">
        <f t="shared" si="135"/>
        <v>0.00140792351082806</v>
      </c>
      <c r="AK167" s="303">
        <f t="shared" si="126"/>
        <v>-0.000315293690880013</v>
      </c>
      <c r="AL167" s="304">
        <f t="shared" si="127"/>
        <v>-0.000315293690880013</v>
      </c>
      <c r="AM167" s="304">
        <f t="shared" si="128"/>
        <v>-0.164993452640768</v>
      </c>
      <c r="AN167" s="299"/>
      <c r="AO167" s="299"/>
      <c r="BL167" s="266"/>
      <c r="BM167" s="266"/>
      <c r="BN167" s="266"/>
      <c r="BO167" s="266"/>
      <c r="BP167" s="266"/>
      <c r="BQ167" s="266"/>
      <c r="BR167" s="266"/>
      <c r="BS167" s="266"/>
      <c r="BT167" s="266"/>
      <c r="BU167" s="266"/>
      <c r="BV167" s="266"/>
      <c r="BW167" s="266"/>
      <c r="BX167" s="266"/>
      <c r="BY167" s="266"/>
      <c r="BZ167" s="266">
        <v>200200</v>
      </c>
      <c r="CA167" s="266">
        <v>316800</v>
      </c>
      <c r="CB167" s="266">
        <v>208900</v>
      </c>
      <c r="CC167" s="266">
        <v>343700</v>
      </c>
      <c r="CD167" s="311">
        <v>270600</v>
      </c>
      <c r="CE167" s="311">
        <v>406800</v>
      </c>
      <c r="CF167" s="311">
        <v>215500</v>
      </c>
      <c r="CG167" s="311">
        <v>290400</v>
      </c>
      <c r="CH167" s="311">
        <v>174900</v>
      </c>
      <c r="CI167" s="311">
        <v>240300</v>
      </c>
      <c r="CJ167" s="311">
        <v>307800</v>
      </c>
      <c r="CK167" s="311">
        <v>406600</v>
      </c>
      <c r="CL167" s="311">
        <v>378600</v>
      </c>
      <c r="CM167" s="311">
        <v>279800</v>
      </c>
      <c r="CN167" s="311">
        <v>113500</v>
      </c>
      <c r="CO167" s="311">
        <v>265700</v>
      </c>
      <c r="CP167" s="311">
        <v>306800</v>
      </c>
      <c r="CQ167" s="311">
        <v>409000</v>
      </c>
      <c r="CR167" s="311">
        <v>466000</v>
      </c>
      <c r="CS167" s="258">
        <v>608900</v>
      </c>
      <c r="CT167" s="258">
        <v>266900</v>
      </c>
      <c r="CU167" s="258">
        <v>424700</v>
      </c>
      <c r="CV167" s="258">
        <v>229100</v>
      </c>
      <c r="CW167" s="258">
        <v>318600</v>
      </c>
      <c r="CX167" s="266">
        <f t="shared" si="119"/>
        <v>-37800</v>
      </c>
      <c r="CY167" s="266">
        <f t="shared" si="120"/>
        <v>-106100</v>
      </c>
      <c r="DA167" s="301" t="s">
        <v>5072</v>
      </c>
      <c r="DB167" s="258">
        <v>229100</v>
      </c>
      <c r="DC167" s="258">
        <f t="shared" si="129"/>
        <v>1</v>
      </c>
    </row>
    <row r="168" spans="1:107">
      <c r="A168" s="264"/>
      <c r="B168" s="264" t="s">
        <v>5073</v>
      </c>
      <c r="C168" s="264"/>
      <c r="D168" s="311" t="s">
        <v>5074</v>
      </c>
      <c r="E168" s="306"/>
      <c r="F168" s="306"/>
      <c r="G168" s="304"/>
      <c r="H168" s="304"/>
      <c r="I168" s="304"/>
      <c r="J168" s="304"/>
      <c r="K168" s="304"/>
      <c r="L168" s="304"/>
      <c r="M168" s="304"/>
      <c r="N168" s="304"/>
      <c r="O168" s="304"/>
      <c r="P168" s="304"/>
      <c r="Q168" s="304"/>
      <c r="R168" s="304"/>
      <c r="S168" s="304"/>
      <c r="T168" s="304"/>
      <c r="U168" s="304"/>
      <c r="V168" s="304"/>
      <c r="W168" s="304"/>
      <c r="X168" s="304"/>
      <c r="Y168" s="304"/>
      <c r="Z168" s="304"/>
      <c r="AA168" s="304"/>
      <c r="AB168" s="304"/>
      <c r="AC168" s="304">
        <f t="shared" si="133"/>
        <v>8.34856137686683e-6</v>
      </c>
      <c r="AD168" s="304">
        <f t="shared" si="117"/>
        <v>1.72611316995177e-5</v>
      </c>
      <c r="AE168" s="304">
        <f t="shared" si="121"/>
        <v>3.61616356736245e-5</v>
      </c>
      <c r="AF168" s="304"/>
      <c r="AG168" s="303">
        <f t="shared" si="122"/>
        <v>4.65062772004767e-5</v>
      </c>
      <c r="AH168" s="303">
        <f t="shared" si="123"/>
        <v>1.35555621870226e-5</v>
      </c>
      <c r="AI168" s="303">
        <f t="shared" si="124"/>
        <v>6.24980985857403e-6</v>
      </c>
      <c r="AJ168" s="303">
        <f t="shared" si="135"/>
        <v>1.35199987945077e-5</v>
      </c>
      <c r="AK168" s="303">
        <f t="shared" si="126"/>
        <v>7.27018893593371e-6</v>
      </c>
      <c r="AL168" s="304">
        <f t="shared" si="127"/>
        <v>7.27018893593371e-6</v>
      </c>
      <c r="AM168" s="304">
        <f t="shared" si="128"/>
        <v>0.56</v>
      </c>
      <c r="AN168" s="299"/>
      <c r="AO168" s="299"/>
      <c r="BL168" s="266"/>
      <c r="BM168" s="266"/>
      <c r="BN168" s="266"/>
      <c r="BO168" s="266"/>
      <c r="BP168" s="266"/>
      <c r="BQ168" s="266"/>
      <c r="BR168" s="266"/>
      <c r="BS168" s="266"/>
      <c r="BT168" s="266"/>
      <c r="BU168" s="266"/>
      <c r="BV168" s="266"/>
      <c r="BW168" s="266"/>
      <c r="BX168" s="266"/>
      <c r="BY168" s="266"/>
      <c r="BZ168" s="266"/>
      <c r="CA168" s="266"/>
      <c r="CB168" s="266"/>
      <c r="CC168" s="266"/>
      <c r="CD168" s="311">
        <v>4300</v>
      </c>
      <c r="CE168" s="311">
        <v>6400</v>
      </c>
      <c r="CF168" s="311">
        <v>4500</v>
      </c>
      <c r="CG168" s="311">
        <v>8900</v>
      </c>
      <c r="CH168" s="311">
        <v>0</v>
      </c>
      <c r="CI168" s="311">
        <v>4300</v>
      </c>
      <c r="CJ168" s="311">
        <v>1300</v>
      </c>
      <c r="CK168" s="311">
        <v>0</v>
      </c>
      <c r="CL168" s="311">
        <v>3000</v>
      </c>
      <c r="CM168" s="311">
        <v>3000</v>
      </c>
      <c r="CN168" s="311">
        <v>5500</v>
      </c>
      <c r="CO168" s="311">
        <v>9300</v>
      </c>
      <c r="CP168" s="311">
        <v>7400</v>
      </c>
      <c r="CQ168" s="311">
        <f>7400/0.7295</f>
        <v>10143.9342015079</v>
      </c>
      <c r="CR168" s="311">
        <v>2100</v>
      </c>
      <c r="CS168" s="258">
        <v>4300</v>
      </c>
      <c r="CT168" s="258">
        <v>968</v>
      </c>
      <c r="CU168" s="258">
        <v>1800</v>
      </c>
      <c r="CV168" s="258">
        <v>2200</v>
      </c>
      <c r="CW168" s="258">
        <v>4300</v>
      </c>
      <c r="CX168" s="266">
        <f t="shared" si="119"/>
        <v>1232</v>
      </c>
      <c r="CY168" s="266">
        <f t="shared" si="120"/>
        <v>2500</v>
      </c>
      <c r="DA168" s="301" t="s">
        <v>5074</v>
      </c>
      <c r="DB168" s="258">
        <v>2200</v>
      </c>
      <c r="DC168" s="258">
        <f t="shared" si="129"/>
        <v>1</v>
      </c>
    </row>
    <row r="169" spans="1:107">
      <c r="A169" s="264" t="s">
        <v>5075</v>
      </c>
      <c r="B169" s="264" t="s">
        <v>5076</v>
      </c>
      <c r="C169" s="264"/>
      <c r="D169" s="265"/>
      <c r="E169" s="304"/>
      <c r="F169" s="304"/>
      <c r="G169" s="304"/>
      <c r="H169" s="304"/>
      <c r="I169" s="304"/>
      <c r="J169" s="304"/>
      <c r="K169" s="304"/>
      <c r="L169" s="304"/>
      <c r="P169" s="304"/>
      <c r="Q169" s="304"/>
      <c r="R169" s="304"/>
      <c r="S169" s="304"/>
      <c r="T169" s="304"/>
      <c r="U169" s="304"/>
      <c r="V169" s="304"/>
      <c r="W169" s="304"/>
      <c r="X169" s="304"/>
      <c r="Y169" s="304"/>
      <c r="Z169" s="304"/>
      <c r="AA169" s="304"/>
      <c r="AB169" s="304"/>
      <c r="AC169" s="304">
        <f t="shared" si="133"/>
        <v>0</v>
      </c>
      <c r="AD169" s="304"/>
      <c r="AE169" s="304"/>
      <c r="AF169" s="304"/>
      <c r="AG169" s="304"/>
      <c r="AH169" s="304"/>
      <c r="AI169" s="303"/>
      <c r="AJ169" s="303">
        <f t="shared" si="135"/>
        <v>0</v>
      </c>
      <c r="AK169" s="304"/>
      <c r="AL169" s="304"/>
      <c r="AM169" s="304"/>
      <c r="AN169" s="299"/>
      <c r="AO169" s="299"/>
      <c r="BL169" s="266"/>
      <c r="BM169" s="266"/>
      <c r="BN169" s="266"/>
      <c r="BO169" s="266"/>
      <c r="BP169" s="266"/>
      <c r="BQ169" s="266"/>
      <c r="BR169" s="266"/>
      <c r="BS169" s="266"/>
      <c r="BT169" s="266"/>
      <c r="BU169" s="266"/>
      <c r="BV169" s="266"/>
      <c r="BW169" s="266"/>
      <c r="BX169" s="266"/>
      <c r="BY169" s="266"/>
      <c r="BZ169" s="266"/>
      <c r="CA169" s="266"/>
      <c r="CB169" s="266"/>
      <c r="CC169" s="266"/>
      <c r="CD169" s="266"/>
      <c r="CE169" s="266"/>
      <c r="CF169" s="266"/>
      <c r="CG169" s="266"/>
      <c r="CH169" s="266"/>
      <c r="CI169" s="266"/>
      <c r="CJ169" s="266"/>
      <c r="CK169" s="266"/>
      <c r="CL169" s="266"/>
      <c r="CM169" s="266"/>
      <c r="CN169" s="266"/>
      <c r="CO169" s="266"/>
      <c r="CP169" s="266"/>
      <c r="CQ169" s="266"/>
      <c r="CR169" s="266"/>
      <c r="CS169" s="266"/>
      <c r="CT169" s="266"/>
      <c r="CU169" s="266"/>
      <c r="CV169" s="266"/>
      <c r="CW169" s="266"/>
      <c r="CX169" s="266"/>
      <c r="CY169" s="266"/>
      <c r="DC169" s="258">
        <f t="shared" si="129"/>
        <v>1</v>
      </c>
    </row>
    <row r="170" spans="1:107">
      <c r="A170" s="264" t="s">
        <v>5077</v>
      </c>
      <c r="B170" s="264" t="s">
        <v>5076</v>
      </c>
      <c r="C170" s="264"/>
      <c r="D170" s="265"/>
      <c r="E170" s="304"/>
      <c r="F170" s="304"/>
      <c r="G170" s="304"/>
      <c r="H170" s="304"/>
      <c r="I170" s="304"/>
      <c r="J170" s="304"/>
      <c r="K170" s="304"/>
      <c r="L170" s="304"/>
      <c r="P170" s="304"/>
      <c r="Q170" s="304"/>
      <c r="R170" s="304"/>
      <c r="S170" s="304"/>
      <c r="T170" s="304"/>
      <c r="U170" s="304"/>
      <c r="V170" s="304"/>
      <c r="W170" s="304"/>
      <c r="X170" s="304"/>
      <c r="Y170" s="304"/>
      <c r="Z170" s="304"/>
      <c r="AA170" s="304"/>
      <c r="AB170" s="304"/>
      <c r="AC170" s="304">
        <f t="shared" si="133"/>
        <v>0</v>
      </c>
      <c r="AD170" s="304"/>
      <c r="AE170" s="304"/>
      <c r="AF170" s="304"/>
      <c r="AG170" s="304"/>
      <c r="AH170" s="304"/>
      <c r="AI170" s="303"/>
      <c r="AJ170" s="303">
        <f t="shared" si="135"/>
        <v>0</v>
      </c>
      <c r="AK170" s="304"/>
      <c r="AL170" s="304"/>
      <c r="AM170" s="304"/>
      <c r="AN170" s="299"/>
      <c r="AO170" s="299"/>
      <c r="BL170" s="266"/>
      <c r="BM170" s="266"/>
      <c r="BN170" s="266"/>
      <c r="BO170" s="266"/>
      <c r="BP170" s="266"/>
      <c r="BQ170" s="266"/>
      <c r="BR170" s="266"/>
      <c r="BS170" s="266"/>
      <c r="BT170" s="266"/>
      <c r="BU170" s="266"/>
      <c r="BV170" s="266"/>
      <c r="BW170" s="266"/>
      <c r="BX170" s="266"/>
      <c r="BY170" s="266"/>
      <c r="BZ170" s="266"/>
      <c r="CA170" s="266"/>
      <c r="CB170" s="266"/>
      <c r="CC170" s="266"/>
      <c r="CD170" s="266"/>
      <c r="CE170" s="266"/>
      <c r="CF170" s="266"/>
      <c r="CG170" s="266"/>
      <c r="CH170" s="266"/>
      <c r="CI170" s="266"/>
      <c r="CJ170" s="266"/>
      <c r="CK170" s="266"/>
      <c r="CL170" s="266"/>
      <c r="CM170" s="266"/>
      <c r="CN170" s="266"/>
      <c r="CO170" s="266"/>
      <c r="CP170" s="266"/>
      <c r="CQ170" s="266"/>
      <c r="CR170" s="266"/>
      <c r="CS170" s="266"/>
      <c r="CT170" s="266"/>
      <c r="CU170" s="266"/>
      <c r="CV170" s="266"/>
      <c r="CW170" s="266"/>
      <c r="CX170" s="266"/>
      <c r="CY170" s="266"/>
      <c r="DC170" s="258">
        <f t="shared" si="129"/>
        <v>1</v>
      </c>
    </row>
    <row r="171" spans="1:107">
      <c r="A171" s="264" t="s">
        <v>5078</v>
      </c>
      <c r="B171" s="264" t="s">
        <v>5076</v>
      </c>
      <c r="C171" s="264"/>
      <c r="D171" s="265"/>
      <c r="E171" s="304"/>
      <c r="F171" s="304"/>
      <c r="G171" s="304"/>
      <c r="H171" s="304"/>
      <c r="I171" s="304"/>
      <c r="J171" s="304"/>
      <c r="K171" s="304"/>
      <c r="L171" s="304"/>
      <c r="P171" s="304"/>
      <c r="Q171" s="304"/>
      <c r="R171" s="304"/>
      <c r="S171" s="304"/>
      <c r="T171" s="304"/>
      <c r="U171" s="304"/>
      <c r="V171" s="304"/>
      <c r="W171" s="304"/>
      <c r="X171" s="304"/>
      <c r="Y171" s="304"/>
      <c r="Z171" s="304"/>
      <c r="AA171" s="304"/>
      <c r="AB171" s="304"/>
      <c r="AC171" s="304">
        <f t="shared" si="133"/>
        <v>0</v>
      </c>
      <c r="AD171" s="304"/>
      <c r="AE171" s="304"/>
      <c r="AF171" s="304"/>
      <c r="AG171" s="304"/>
      <c r="AH171" s="304"/>
      <c r="AI171" s="303"/>
      <c r="AJ171" s="303">
        <f t="shared" si="135"/>
        <v>0</v>
      </c>
      <c r="AK171" s="304"/>
      <c r="AL171" s="304"/>
      <c r="AM171" s="304"/>
      <c r="AN171" s="299"/>
      <c r="AO171" s="299"/>
      <c r="BL171" s="266"/>
      <c r="BM171" s="266"/>
      <c r="BN171" s="266"/>
      <c r="BO171" s="266"/>
      <c r="BP171" s="266"/>
      <c r="BQ171" s="266"/>
      <c r="BR171" s="266"/>
      <c r="BS171" s="266"/>
      <c r="BT171" s="266"/>
      <c r="BU171" s="266"/>
      <c r="BV171" s="266"/>
      <c r="BW171" s="266"/>
      <c r="BX171" s="266"/>
      <c r="BY171" s="266"/>
      <c r="BZ171" s="266"/>
      <c r="CA171" s="266"/>
      <c r="CB171" s="266"/>
      <c r="CC171" s="266"/>
      <c r="CD171" s="266"/>
      <c r="CE171" s="266"/>
      <c r="CF171" s="266"/>
      <c r="CG171" s="266"/>
      <c r="CH171" s="266"/>
      <c r="CI171" s="266"/>
      <c r="CJ171" s="266"/>
      <c r="CK171" s="266"/>
      <c r="CL171" s="266"/>
      <c r="CM171" s="266"/>
      <c r="CN171" s="266"/>
      <c r="CO171" s="266"/>
      <c r="CP171" s="266"/>
      <c r="CQ171" s="266"/>
      <c r="CR171" s="266"/>
      <c r="CS171" s="266"/>
      <c r="CT171" s="266"/>
      <c r="CU171" s="266"/>
      <c r="CV171" s="266"/>
      <c r="CW171" s="266"/>
      <c r="CX171" s="266"/>
      <c r="CY171" s="266"/>
      <c r="DC171" s="258">
        <f t="shared" si="129"/>
        <v>1</v>
      </c>
    </row>
    <row r="172" spans="1:107">
      <c r="A172" s="264" t="s">
        <v>5079</v>
      </c>
      <c r="B172" s="264" t="s">
        <v>5076</v>
      </c>
      <c r="C172" s="264"/>
      <c r="D172" s="265"/>
      <c r="E172" s="304"/>
      <c r="F172" s="304"/>
      <c r="G172" s="304"/>
      <c r="H172" s="304"/>
      <c r="I172" s="304"/>
      <c r="J172" s="304"/>
      <c r="K172" s="304"/>
      <c r="L172" s="304"/>
      <c r="P172" s="304"/>
      <c r="Q172" s="304"/>
      <c r="R172" s="304"/>
      <c r="S172" s="304"/>
      <c r="T172" s="304"/>
      <c r="U172" s="304"/>
      <c r="V172" s="304"/>
      <c r="W172" s="304"/>
      <c r="X172" s="304"/>
      <c r="Y172" s="304"/>
      <c r="Z172" s="304"/>
      <c r="AA172" s="304"/>
      <c r="AB172" s="304"/>
      <c r="AC172" s="304">
        <f t="shared" si="133"/>
        <v>0</v>
      </c>
      <c r="AD172" s="304"/>
      <c r="AE172" s="304"/>
      <c r="AF172" s="304"/>
      <c r="AG172" s="304"/>
      <c r="AH172" s="304"/>
      <c r="AI172" s="303"/>
      <c r="AJ172" s="303">
        <f t="shared" si="135"/>
        <v>0</v>
      </c>
      <c r="AK172" s="304"/>
      <c r="AL172" s="304"/>
      <c r="AM172" s="304"/>
      <c r="AN172" s="299"/>
      <c r="AO172" s="299"/>
      <c r="BL172" s="266"/>
      <c r="BM172" s="266"/>
      <c r="BN172" s="266"/>
      <c r="BO172" s="266"/>
      <c r="BP172" s="266"/>
      <c r="BQ172" s="266"/>
      <c r="BR172" s="266"/>
      <c r="BS172" s="266"/>
      <c r="BT172" s="266"/>
      <c r="BU172" s="266"/>
      <c r="BV172" s="266"/>
      <c r="BW172" s="266"/>
      <c r="BX172" s="266"/>
      <c r="BY172" s="266"/>
      <c r="BZ172" s="266"/>
      <c r="CA172" s="266"/>
      <c r="CB172" s="266"/>
      <c r="CC172" s="266"/>
      <c r="CD172" s="266"/>
      <c r="CE172" s="266"/>
      <c r="CF172" s="266"/>
      <c r="CG172" s="266"/>
      <c r="CH172" s="266"/>
      <c r="CI172" s="266"/>
      <c r="CJ172" s="266"/>
      <c r="CK172" s="266"/>
      <c r="CL172" s="266"/>
      <c r="CM172" s="266"/>
      <c r="CN172" s="266"/>
      <c r="CO172" s="266"/>
      <c r="CP172" s="266"/>
      <c r="CQ172" s="266"/>
      <c r="CR172" s="266"/>
      <c r="CS172" s="266"/>
      <c r="CT172" s="266"/>
      <c r="CU172" s="266"/>
      <c r="CV172" s="266"/>
      <c r="CW172" s="266"/>
      <c r="CX172" s="266"/>
      <c r="CY172" s="266"/>
      <c r="DC172" s="258">
        <f t="shared" si="129"/>
        <v>1</v>
      </c>
    </row>
    <row r="173" spans="1:107">
      <c r="A173" s="264" t="s">
        <v>5080</v>
      </c>
      <c r="B173" s="264" t="s">
        <v>5076</v>
      </c>
      <c r="C173" s="264"/>
      <c r="D173" s="265"/>
      <c r="E173" s="304"/>
      <c r="F173" s="304"/>
      <c r="G173" s="304"/>
      <c r="H173" s="304"/>
      <c r="I173" s="304"/>
      <c r="J173" s="304"/>
      <c r="K173" s="304"/>
      <c r="L173" s="304"/>
      <c r="P173" s="304"/>
      <c r="Q173" s="304"/>
      <c r="R173" s="304"/>
      <c r="S173" s="304"/>
      <c r="T173" s="304"/>
      <c r="U173" s="304"/>
      <c r="V173" s="304"/>
      <c r="W173" s="304"/>
      <c r="X173" s="304"/>
      <c r="Y173" s="304"/>
      <c r="Z173" s="304"/>
      <c r="AA173" s="304"/>
      <c r="AB173" s="304"/>
      <c r="AC173" s="304">
        <f t="shared" si="133"/>
        <v>0</v>
      </c>
      <c r="AD173" s="304"/>
      <c r="AE173" s="304"/>
      <c r="AF173" s="304"/>
      <c r="AG173" s="304"/>
      <c r="AH173" s="304"/>
      <c r="AI173" s="303"/>
      <c r="AJ173" s="303">
        <f t="shared" si="135"/>
        <v>0</v>
      </c>
      <c r="AK173" s="304"/>
      <c r="AL173" s="304"/>
      <c r="AM173" s="304"/>
      <c r="AN173" s="299"/>
      <c r="AO173" s="299"/>
      <c r="BL173" s="266"/>
      <c r="BM173" s="266"/>
      <c r="BN173" s="266"/>
      <c r="BO173" s="266"/>
      <c r="BP173" s="266"/>
      <c r="BQ173" s="266"/>
      <c r="BR173" s="266"/>
      <c r="BS173" s="266"/>
      <c r="BT173" s="266"/>
      <c r="BU173" s="266"/>
      <c r="BV173" s="266"/>
      <c r="BW173" s="266"/>
      <c r="BX173" s="266"/>
      <c r="BY173" s="266"/>
      <c r="BZ173" s="266"/>
      <c r="CA173" s="266"/>
      <c r="CB173" s="266"/>
      <c r="CC173" s="266"/>
      <c r="CD173" s="266"/>
      <c r="CE173" s="266"/>
      <c r="CF173" s="266"/>
      <c r="CG173" s="266"/>
      <c r="CH173" s="266"/>
      <c r="CI173" s="266"/>
      <c r="CJ173" s="266"/>
      <c r="CK173" s="266"/>
      <c r="CL173" s="266"/>
      <c r="CM173" s="266"/>
      <c r="CN173" s="266"/>
      <c r="CO173" s="266"/>
      <c r="CP173" s="266"/>
      <c r="CQ173" s="266"/>
      <c r="CR173" s="266"/>
      <c r="CS173" s="266"/>
      <c r="CT173" s="266"/>
      <c r="CU173" s="266"/>
      <c r="CV173" s="266"/>
      <c r="CW173" s="266"/>
      <c r="CX173" s="266"/>
      <c r="CY173" s="266"/>
      <c r="DC173" s="258">
        <f t="shared" si="129"/>
        <v>1</v>
      </c>
    </row>
    <row r="174" spans="1:107">
      <c r="A174" s="264" t="s">
        <v>5081</v>
      </c>
      <c r="B174" s="264" t="s">
        <v>5076</v>
      </c>
      <c r="C174" s="264"/>
      <c r="D174" s="265"/>
      <c r="E174" s="304"/>
      <c r="F174" s="304"/>
      <c r="G174" s="304"/>
      <c r="H174" s="304"/>
      <c r="I174" s="304"/>
      <c r="J174" s="304"/>
      <c r="K174" s="304"/>
      <c r="L174" s="304"/>
      <c r="P174" s="304"/>
      <c r="Q174" s="304"/>
      <c r="R174" s="304"/>
      <c r="S174" s="304"/>
      <c r="T174" s="304"/>
      <c r="U174" s="304"/>
      <c r="V174" s="304"/>
      <c r="W174" s="304"/>
      <c r="X174" s="304"/>
      <c r="Y174" s="304"/>
      <c r="Z174" s="304"/>
      <c r="AA174" s="304"/>
      <c r="AB174" s="304"/>
      <c r="AC174" s="304">
        <f t="shared" si="133"/>
        <v>0</v>
      </c>
      <c r="AD174" s="304"/>
      <c r="AE174" s="304"/>
      <c r="AF174" s="304"/>
      <c r="AG174" s="304"/>
      <c r="AH174" s="304"/>
      <c r="AI174" s="303"/>
      <c r="AJ174" s="303">
        <f t="shared" si="135"/>
        <v>0</v>
      </c>
      <c r="AK174" s="304"/>
      <c r="AL174" s="304"/>
      <c r="AM174" s="304"/>
      <c r="AN174" s="299"/>
      <c r="AO174" s="299"/>
      <c r="BL174" s="266"/>
      <c r="BM174" s="266"/>
      <c r="BN174" s="266"/>
      <c r="BO174" s="266"/>
      <c r="BP174" s="266"/>
      <c r="BQ174" s="266"/>
      <c r="BR174" s="266"/>
      <c r="BS174" s="266"/>
      <c r="BT174" s="266"/>
      <c r="BU174" s="266"/>
      <c r="BV174" s="266"/>
      <c r="BW174" s="266"/>
      <c r="BX174" s="266"/>
      <c r="BY174" s="266"/>
      <c r="BZ174" s="266"/>
      <c r="CA174" s="266"/>
      <c r="CB174" s="266"/>
      <c r="CC174" s="266"/>
      <c r="CD174" s="266"/>
      <c r="CE174" s="266"/>
      <c r="CF174" s="266"/>
      <c r="CG174" s="266"/>
      <c r="CH174" s="266"/>
      <c r="CI174" s="266"/>
      <c r="CJ174" s="266"/>
      <c r="CK174" s="266"/>
      <c r="CL174" s="266"/>
      <c r="CM174" s="266"/>
      <c r="CN174" s="266"/>
      <c r="CO174" s="266"/>
      <c r="CP174" s="266"/>
      <c r="CQ174" s="266"/>
      <c r="CR174" s="266"/>
      <c r="CS174" s="266"/>
      <c r="CT174" s="266"/>
      <c r="CU174" s="266"/>
      <c r="CV174" s="266"/>
      <c r="CW174" s="266"/>
      <c r="CX174" s="266"/>
      <c r="CY174" s="266"/>
      <c r="DC174" s="258">
        <f t="shared" si="129"/>
        <v>1</v>
      </c>
    </row>
    <row r="175" spans="1:107">
      <c r="A175" s="264" t="s">
        <v>5082</v>
      </c>
      <c r="B175" s="264" t="s">
        <v>5076</v>
      </c>
      <c r="C175" s="264"/>
      <c r="D175" s="265"/>
      <c r="E175" s="304"/>
      <c r="F175" s="304"/>
      <c r="G175" s="304"/>
      <c r="H175" s="304"/>
      <c r="I175" s="304"/>
      <c r="J175" s="304"/>
      <c r="K175" s="304"/>
      <c r="L175" s="304"/>
      <c r="P175" s="304"/>
      <c r="Q175" s="304"/>
      <c r="R175" s="304"/>
      <c r="S175" s="304"/>
      <c r="T175" s="304"/>
      <c r="U175" s="304"/>
      <c r="V175" s="304"/>
      <c r="W175" s="304"/>
      <c r="X175" s="304"/>
      <c r="Y175" s="304"/>
      <c r="Z175" s="304"/>
      <c r="AA175" s="304"/>
      <c r="AB175" s="304"/>
      <c r="AC175" s="304">
        <f t="shared" si="133"/>
        <v>0</v>
      </c>
      <c r="AD175" s="304"/>
      <c r="AE175" s="304"/>
      <c r="AF175" s="304"/>
      <c r="AG175" s="304"/>
      <c r="AH175" s="304"/>
      <c r="AI175" s="303"/>
      <c r="AJ175" s="303">
        <f t="shared" si="135"/>
        <v>0</v>
      </c>
      <c r="AK175" s="304"/>
      <c r="AL175" s="304"/>
      <c r="AM175" s="304"/>
      <c r="AN175" s="299"/>
      <c r="AO175" s="299"/>
      <c r="BL175" s="266"/>
      <c r="BM175" s="266"/>
      <c r="BN175" s="266"/>
      <c r="BO175" s="266"/>
      <c r="BP175" s="266"/>
      <c r="BQ175" s="266"/>
      <c r="BR175" s="266"/>
      <c r="BS175" s="266"/>
      <c r="BT175" s="266"/>
      <c r="BU175" s="266"/>
      <c r="BV175" s="266"/>
      <c r="BW175" s="266"/>
      <c r="BX175" s="266"/>
      <c r="BY175" s="266"/>
      <c r="BZ175" s="266"/>
      <c r="CA175" s="266"/>
      <c r="CB175" s="266"/>
      <c r="CC175" s="266"/>
      <c r="CD175" s="266"/>
      <c r="CE175" s="266"/>
      <c r="CF175" s="266"/>
      <c r="CG175" s="266"/>
      <c r="CH175" s="266"/>
      <c r="CI175" s="266"/>
      <c r="CJ175" s="266"/>
      <c r="CK175" s="266"/>
      <c r="CL175" s="266"/>
      <c r="CM175" s="266"/>
      <c r="CN175" s="266"/>
      <c r="CO175" s="266"/>
      <c r="CP175" s="266"/>
      <c r="CQ175" s="266"/>
      <c r="CR175" s="266"/>
      <c r="CS175" s="266"/>
      <c r="CT175" s="266"/>
      <c r="CU175" s="266"/>
      <c r="CV175" s="266"/>
      <c r="CW175" s="266"/>
      <c r="CX175" s="266"/>
      <c r="CY175" s="266"/>
      <c r="DC175" s="258">
        <f t="shared" si="129"/>
        <v>1</v>
      </c>
    </row>
    <row r="176" spans="1:107">
      <c r="A176" s="309" t="s">
        <v>5083</v>
      </c>
      <c r="B176" s="264" t="s">
        <v>5076</v>
      </c>
      <c r="C176" s="264"/>
      <c r="D176" s="265"/>
      <c r="E176" s="304"/>
      <c r="F176" s="304"/>
      <c r="G176" s="304"/>
      <c r="H176" s="304"/>
      <c r="I176" s="304"/>
      <c r="J176" s="304"/>
      <c r="K176" s="304"/>
      <c r="L176" s="304"/>
      <c r="P176" s="304"/>
      <c r="Q176" s="304"/>
      <c r="R176" s="304"/>
      <c r="S176" s="304"/>
      <c r="T176" s="304"/>
      <c r="U176" s="304"/>
      <c r="V176" s="304"/>
      <c r="W176" s="304"/>
      <c r="X176" s="304"/>
      <c r="Y176" s="304"/>
      <c r="Z176" s="304"/>
      <c r="AA176" s="304"/>
      <c r="AB176" s="304"/>
      <c r="AC176" s="304">
        <f t="shared" si="133"/>
        <v>0</v>
      </c>
      <c r="AD176" s="304"/>
      <c r="AE176" s="304"/>
      <c r="AF176" s="304"/>
      <c r="AG176" s="304"/>
      <c r="AH176" s="304"/>
      <c r="AI176" s="303"/>
      <c r="AJ176" s="303">
        <f t="shared" si="135"/>
        <v>0</v>
      </c>
      <c r="AK176" s="304"/>
      <c r="AL176" s="304"/>
      <c r="AM176" s="304"/>
      <c r="AN176" s="299"/>
      <c r="AO176" s="299"/>
      <c r="BL176" s="266"/>
      <c r="BM176" s="266"/>
      <c r="BN176" s="266"/>
      <c r="BO176" s="266"/>
      <c r="BP176" s="266"/>
      <c r="BQ176" s="266"/>
      <c r="BR176" s="266"/>
      <c r="BS176" s="266"/>
      <c r="BT176" s="266"/>
      <c r="BU176" s="266"/>
      <c r="BV176" s="266"/>
      <c r="BW176" s="266"/>
      <c r="BX176" s="266"/>
      <c r="BY176" s="266"/>
      <c r="BZ176" s="266"/>
      <c r="CA176" s="266"/>
      <c r="CB176" s="266"/>
      <c r="CC176" s="266"/>
      <c r="CD176" s="266"/>
      <c r="CE176" s="266"/>
      <c r="CF176" s="266"/>
      <c r="CG176" s="266"/>
      <c r="CH176" s="266"/>
      <c r="CI176" s="266"/>
      <c r="CJ176" s="266"/>
      <c r="CK176" s="266"/>
      <c r="CL176" s="266"/>
      <c r="CM176" s="266"/>
      <c r="CN176" s="266"/>
      <c r="CO176" s="266"/>
      <c r="CP176" s="266"/>
      <c r="CQ176" s="266"/>
      <c r="CR176" s="266"/>
      <c r="CS176" s="266"/>
      <c r="CT176" s="266"/>
      <c r="CU176" s="266"/>
      <c r="CV176" s="266"/>
      <c r="CW176" s="266"/>
      <c r="CX176" s="266"/>
      <c r="CY176" s="266"/>
      <c r="DC176" s="258">
        <f t="shared" si="129"/>
        <v>1</v>
      </c>
    </row>
    <row r="177" spans="1:107">
      <c r="A177" s="264" t="s">
        <v>5084</v>
      </c>
      <c r="B177" s="264" t="s">
        <v>5076</v>
      </c>
      <c r="C177" s="264"/>
      <c r="D177" s="265"/>
      <c r="E177" s="304"/>
      <c r="F177" s="304"/>
      <c r="G177" s="304"/>
      <c r="H177" s="304"/>
      <c r="I177" s="304"/>
      <c r="J177" s="304"/>
      <c r="K177" s="304"/>
      <c r="L177" s="304"/>
      <c r="P177" s="304"/>
      <c r="Q177" s="304"/>
      <c r="R177" s="304"/>
      <c r="S177" s="304"/>
      <c r="T177" s="304"/>
      <c r="U177" s="304"/>
      <c r="V177" s="304"/>
      <c r="W177" s="304"/>
      <c r="X177" s="304"/>
      <c r="Y177" s="304"/>
      <c r="Z177" s="304"/>
      <c r="AA177" s="304"/>
      <c r="AB177" s="304"/>
      <c r="AC177" s="304">
        <f t="shared" si="133"/>
        <v>0</v>
      </c>
      <c r="AD177" s="304"/>
      <c r="AE177" s="304"/>
      <c r="AF177" s="304"/>
      <c r="AG177" s="304"/>
      <c r="AH177" s="304"/>
      <c r="AI177" s="303"/>
      <c r="AJ177" s="303">
        <f t="shared" si="135"/>
        <v>0</v>
      </c>
      <c r="AK177" s="304"/>
      <c r="AL177" s="304"/>
      <c r="AM177" s="304"/>
      <c r="AN177" s="299"/>
      <c r="AO177" s="299"/>
      <c r="BL177" s="266"/>
      <c r="BM177" s="266"/>
      <c r="BN177" s="266"/>
      <c r="BO177" s="266"/>
      <c r="BP177" s="266"/>
      <c r="BQ177" s="266"/>
      <c r="BR177" s="266"/>
      <c r="BS177" s="266"/>
      <c r="BT177" s="266"/>
      <c r="BU177" s="266"/>
      <c r="BV177" s="266"/>
      <c r="BW177" s="266"/>
      <c r="BX177" s="266"/>
      <c r="BY177" s="266"/>
      <c r="BZ177" s="266"/>
      <c r="CA177" s="266"/>
      <c r="CB177" s="266"/>
      <c r="CC177" s="266"/>
      <c r="CD177" s="266"/>
      <c r="CE177" s="266"/>
      <c r="CF177" s="266"/>
      <c r="CG177" s="266"/>
      <c r="CH177" s="266"/>
      <c r="CI177" s="266"/>
      <c r="CJ177" s="266"/>
      <c r="CK177" s="266"/>
      <c r="CL177" s="266"/>
      <c r="CM177" s="266"/>
      <c r="CN177" s="266"/>
      <c r="CO177" s="266"/>
      <c r="CP177" s="266"/>
      <c r="CQ177" s="266"/>
      <c r="CR177" s="266"/>
      <c r="CS177" s="266"/>
      <c r="CT177" s="266"/>
      <c r="CU177" s="266"/>
      <c r="CV177" s="266"/>
      <c r="CW177" s="266"/>
      <c r="CX177" s="266"/>
      <c r="CY177" s="266"/>
      <c r="DC177" s="258">
        <f t="shared" si="129"/>
        <v>1</v>
      </c>
    </row>
    <row r="178" spans="1:107">
      <c r="A178" s="264" t="s">
        <v>5085</v>
      </c>
      <c r="B178" s="264" t="s">
        <v>5076</v>
      </c>
      <c r="C178" s="264"/>
      <c r="D178" s="265"/>
      <c r="E178" s="304"/>
      <c r="F178" s="304"/>
      <c r="G178" s="304"/>
      <c r="H178" s="304"/>
      <c r="I178" s="304"/>
      <c r="J178" s="304"/>
      <c r="K178" s="304"/>
      <c r="L178" s="304"/>
      <c r="P178" s="304"/>
      <c r="Q178" s="304"/>
      <c r="R178" s="304"/>
      <c r="S178" s="304"/>
      <c r="T178" s="304"/>
      <c r="U178" s="304"/>
      <c r="V178" s="304"/>
      <c r="W178" s="304"/>
      <c r="X178" s="304"/>
      <c r="Y178" s="304"/>
      <c r="Z178" s="304"/>
      <c r="AA178" s="304"/>
      <c r="AB178" s="304"/>
      <c r="AC178" s="304">
        <f t="shared" si="133"/>
        <v>0</v>
      </c>
      <c r="AD178" s="304"/>
      <c r="AE178" s="304"/>
      <c r="AF178" s="304"/>
      <c r="AG178" s="304"/>
      <c r="AH178" s="304"/>
      <c r="AI178" s="303"/>
      <c r="AJ178" s="303">
        <f t="shared" si="135"/>
        <v>0</v>
      </c>
      <c r="AK178" s="304"/>
      <c r="AL178" s="304"/>
      <c r="AM178" s="304"/>
      <c r="AN178" s="299"/>
      <c r="AO178" s="299"/>
      <c r="BL178" s="266"/>
      <c r="BM178" s="266"/>
      <c r="BN178" s="266"/>
      <c r="BO178" s="266"/>
      <c r="BP178" s="266"/>
      <c r="BQ178" s="266"/>
      <c r="BR178" s="266"/>
      <c r="BS178" s="266"/>
      <c r="BT178" s="266"/>
      <c r="BU178" s="266"/>
      <c r="BV178" s="266"/>
      <c r="BW178" s="266"/>
      <c r="BX178" s="266"/>
      <c r="BY178" s="266"/>
      <c r="BZ178" s="266"/>
      <c r="CA178" s="266"/>
      <c r="CB178" s="266"/>
      <c r="CC178" s="266"/>
      <c r="CD178" s="266"/>
      <c r="CE178" s="266"/>
      <c r="CF178" s="266"/>
      <c r="CG178" s="266"/>
      <c r="CH178" s="266"/>
      <c r="CI178" s="266"/>
      <c r="CJ178" s="266"/>
      <c r="CK178" s="266"/>
      <c r="CL178" s="266"/>
      <c r="CM178" s="266"/>
      <c r="CN178" s="266"/>
      <c r="CO178" s="266"/>
      <c r="CP178" s="266"/>
      <c r="CQ178" s="266"/>
      <c r="CR178" s="266"/>
      <c r="CS178" s="266"/>
      <c r="CT178" s="266"/>
      <c r="CU178" s="266"/>
      <c r="CV178" s="266"/>
      <c r="CW178" s="266"/>
      <c r="CX178" s="266"/>
      <c r="CY178" s="266"/>
      <c r="DC178" s="258">
        <f t="shared" si="129"/>
        <v>1</v>
      </c>
    </row>
    <row r="179" spans="1:107">
      <c r="A179" s="264" t="s">
        <v>5086</v>
      </c>
      <c r="B179" s="264" t="s">
        <v>5076</v>
      </c>
      <c r="C179" s="264"/>
      <c r="D179" s="265"/>
      <c r="E179" s="304"/>
      <c r="F179" s="304"/>
      <c r="G179" s="304"/>
      <c r="H179" s="304"/>
      <c r="I179" s="304"/>
      <c r="J179" s="304"/>
      <c r="K179" s="304"/>
      <c r="L179" s="304"/>
      <c r="P179" s="304"/>
      <c r="Q179" s="304"/>
      <c r="R179" s="304"/>
      <c r="S179" s="304"/>
      <c r="T179" s="304"/>
      <c r="U179" s="304"/>
      <c r="V179" s="304"/>
      <c r="W179" s="304"/>
      <c r="X179" s="304"/>
      <c r="Y179" s="304"/>
      <c r="Z179" s="304"/>
      <c r="AA179" s="304"/>
      <c r="AB179" s="304"/>
      <c r="AC179" s="304">
        <f t="shared" si="133"/>
        <v>0</v>
      </c>
      <c r="AD179" s="304"/>
      <c r="AE179" s="304"/>
      <c r="AF179" s="304"/>
      <c r="AG179" s="304"/>
      <c r="AH179" s="304"/>
      <c r="AI179" s="303"/>
      <c r="AJ179" s="303">
        <f t="shared" si="135"/>
        <v>0</v>
      </c>
      <c r="AK179" s="304"/>
      <c r="AL179" s="304"/>
      <c r="AM179" s="304"/>
      <c r="AN179" s="299"/>
      <c r="AO179" s="299"/>
      <c r="BL179" s="266"/>
      <c r="BM179" s="266"/>
      <c r="BN179" s="266"/>
      <c r="BO179" s="266"/>
      <c r="BP179" s="266"/>
      <c r="BQ179" s="266"/>
      <c r="BR179" s="266"/>
      <c r="BS179" s="266"/>
      <c r="BT179" s="266"/>
      <c r="BU179" s="266"/>
      <c r="BV179" s="266"/>
      <c r="BW179" s="266"/>
      <c r="BX179" s="266"/>
      <c r="BY179" s="266"/>
      <c r="BZ179" s="266"/>
      <c r="CA179" s="266"/>
      <c r="CB179" s="266"/>
      <c r="CC179" s="266"/>
      <c r="CD179" s="266"/>
      <c r="CE179" s="266"/>
      <c r="CF179" s="266"/>
      <c r="CG179" s="266"/>
      <c r="CH179" s="266"/>
      <c r="CI179" s="266"/>
      <c r="CJ179" s="266"/>
      <c r="CK179" s="266"/>
      <c r="CL179" s="266"/>
      <c r="CM179" s="266"/>
      <c r="CN179" s="266"/>
      <c r="CO179" s="266"/>
      <c r="CP179" s="266"/>
      <c r="CQ179" s="266"/>
      <c r="CR179" s="266"/>
      <c r="CS179" s="266"/>
      <c r="CT179" s="266"/>
      <c r="CU179" s="266"/>
      <c r="CV179" s="266"/>
      <c r="CW179" s="266"/>
      <c r="CX179" s="266"/>
      <c r="CY179" s="266"/>
      <c r="DC179" s="258">
        <f t="shared" si="129"/>
        <v>1</v>
      </c>
    </row>
    <row r="180" spans="1:107">
      <c r="A180" s="264" t="s">
        <v>5087</v>
      </c>
      <c r="B180" s="264" t="s">
        <v>5076</v>
      </c>
      <c r="C180" s="264"/>
      <c r="D180" s="265"/>
      <c r="E180" s="304"/>
      <c r="F180" s="304"/>
      <c r="G180" s="304"/>
      <c r="H180" s="304"/>
      <c r="I180" s="304"/>
      <c r="J180" s="304"/>
      <c r="K180" s="304"/>
      <c r="L180" s="304"/>
      <c r="P180" s="304"/>
      <c r="Q180" s="304"/>
      <c r="R180" s="304"/>
      <c r="S180" s="304"/>
      <c r="T180" s="304"/>
      <c r="U180" s="304"/>
      <c r="V180" s="304"/>
      <c r="W180" s="304"/>
      <c r="X180" s="304"/>
      <c r="Y180" s="304"/>
      <c r="Z180" s="304"/>
      <c r="AA180" s="304"/>
      <c r="AB180" s="304"/>
      <c r="AC180" s="304">
        <f t="shared" si="133"/>
        <v>0</v>
      </c>
      <c r="AD180" s="304"/>
      <c r="AE180" s="304"/>
      <c r="AF180" s="304"/>
      <c r="AG180" s="304"/>
      <c r="AH180" s="304"/>
      <c r="AI180" s="303"/>
      <c r="AJ180" s="303">
        <f t="shared" si="135"/>
        <v>0</v>
      </c>
      <c r="AK180" s="304"/>
      <c r="AL180" s="304"/>
      <c r="AM180" s="304"/>
      <c r="AN180" s="299"/>
      <c r="AO180" s="299"/>
      <c r="BL180" s="266"/>
      <c r="BM180" s="266"/>
      <c r="BN180" s="266"/>
      <c r="BO180" s="266"/>
      <c r="BP180" s="266"/>
      <c r="BQ180" s="266"/>
      <c r="BR180" s="266"/>
      <c r="BS180" s="266"/>
      <c r="BT180" s="266"/>
      <c r="BU180" s="266"/>
      <c r="BV180" s="266"/>
      <c r="BW180" s="266"/>
      <c r="BX180" s="266"/>
      <c r="BY180" s="266"/>
      <c r="BZ180" s="266"/>
      <c r="CA180" s="266"/>
      <c r="CB180" s="266"/>
      <c r="CC180" s="266"/>
      <c r="CD180" s="266"/>
      <c r="CE180" s="266"/>
      <c r="CF180" s="266"/>
      <c r="CG180" s="266"/>
      <c r="CH180" s="266"/>
      <c r="CI180" s="266"/>
      <c r="CJ180" s="266"/>
      <c r="CK180" s="266"/>
      <c r="CL180" s="266"/>
      <c r="CM180" s="266"/>
      <c r="CN180" s="266"/>
      <c r="CO180" s="266"/>
      <c r="CP180" s="266"/>
      <c r="CQ180" s="266"/>
      <c r="CR180" s="266"/>
      <c r="CS180" s="266"/>
      <c r="CT180" s="266"/>
      <c r="CU180" s="266"/>
      <c r="CV180" s="266"/>
      <c r="CW180" s="266"/>
      <c r="CX180" s="266"/>
      <c r="CY180" s="266"/>
      <c r="DC180" s="258">
        <f t="shared" si="129"/>
        <v>1</v>
      </c>
    </row>
    <row r="181" spans="1:107">
      <c r="A181" s="264" t="s">
        <v>5088</v>
      </c>
      <c r="B181" s="264" t="s">
        <v>5076</v>
      </c>
      <c r="C181" s="264"/>
      <c r="D181" s="265"/>
      <c r="E181" s="304"/>
      <c r="F181" s="304"/>
      <c r="G181" s="304"/>
      <c r="H181" s="304"/>
      <c r="I181" s="304"/>
      <c r="J181" s="304"/>
      <c r="K181" s="304"/>
      <c r="L181" s="304"/>
      <c r="P181" s="304"/>
      <c r="Q181" s="304"/>
      <c r="R181" s="304"/>
      <c r="S181" s="304"/>
      <c r="T181" s="304"/>
      <c r="U181" s="304"/>
      <c r="V181" s="304"/>
      <c r="W181" s="304"/>
      <c r="X181" s="304"/>
      <c r="Y181" s="304"/>
      <c r="Z181" s="304"/>
      <c r="AA181" s="304"/>
      <c r="AB181" s="304"/>
      <c r="AC181" s="304">
        <f t="shared" si="133"/>
        <v>0</v>
      </c>
      <c r="AD181" s="304"/>
      <c r="AE181" s="304"/>
      <c r="AF181" s="304"/>
      <c r="AG181" s="304"/>
      <c r="AH181" s="304"/>
      <c r="AI181" s="303"/>
      <c r="AJ181" s="303">
        <f t="shared" si="135"/>
        <v>0</v>
      </c>
      <c r="AK181" s="304"/>
      <c r="AL181" s="304"/>
      <c r="AM181" s="304"/>
      <c r="AN181" s="299"/>
      <c r="AO181" s="299"/>
      <c r="AQ181" s="300"/>
      <c r="BL181" s="266"/>
      <c r="BM181" s="266"/>
      <c r="BN181" s="266"/>
      <c r="BO181" s="266"/>
      <c r="BP181" s="266"/>
      <c r="BQ181" s="266"/>
      <c r="BR181" s="266"/>
      <c r="BS181" s="266"/>
      <c r="BT181" s="266"/>
      <c r="BU181" s="266"/>
      <c r="BV181" s="266"/>
      <c r="BW181" s="266"/>
      <c r="BX181" s="266"/>
      <c r="BY181" s="266"/>
      <c r="BZ181" s="266"/>
      <c r="CA181" s="266"/>
      <c r="CB181" s="266"/>
      <c r="CC181" s="266"/>
      <c r="CD181" s="266"/>
      <c r="CE181" s="266"/>
      <c r="CF181" s="266"/>
      <c r="CG181" s="266"/>
      <c r="CH181" s="266"/>
      <c r="CI181" s="266"/>
      <c r="CJ181" s="266"/>
      <c r="CK181" s="266"/>
      <c r="CL181" s="266"/>
      <c r="CM181" s="266"/>
      <c r="CN181" s="266"/>
      <c r="CO181" s="266"/>
      <c r="CP181" s="266"/>
      <c r="CQ181" s="266"/>
      <c r="CR181" s="266"/>
      <c r="CS181" s="266"/>
      <c r="CT181" s="266"/>
      <c r="CU181" s="266"/>
      <c r="CV181" s="266"/>
      <c r="CW181" s="266"/>
      <c r="CX181" s="266"/>
      <c r="CY181" s="266"/>
      <c r="DC181" s="258">
        <f t="shared" si="129"/>
        <v>1</v>
      </c>
    </row>
    <row r="182" spans="5:107">
      <c r="E182" s="304"/>
      <c r="F182" s="304"/>
      <c r="G182" s="304"/>
      <c r="H182" s="304"/>
      <c r="I182" s="304"/>
      <c r="J182" s="304"/>
      <c r="K182" s="304"/>
      <c r="L182" s="304"/>
      <c r="P182" s="304"/>
      <c r="Q182" s="304"/>
      <c r="R182" s="304"/>
      <c r="S182" s="304"/>
      <c r="T182" s="304"/>
      <c r="U182" s="304"/>
      <c r="V182" s="304"/>
      <c r="W182" s="304"/>
      <c r="X182" s="304"/>
      <c r="Y182" s="304"/>
      <c r="Z182" s="304"/>
      <c r="AA182" s="304"/>
      <c r="AB182" s="304"/>
      <c r="AC182" s="304">
        <f t="shared" si="133"/>
        <v>1</v>
      </c>
      <c r="AD182" s="304"/>
      <c r="AE182" s="304"/>
      <c r="AF182" s="304"/>
      <c r="AG182" s="304"/>
      <c r="AH182" s="304"/>
      <c r="AI182" s="303">
        <f>CT182/$CT$182</f>
        <v>1</v>
      </c>
      <c r="AJ182" s="303">
        <f t="shared" si="135"/>
        <v>1</v>
      </c>
      <c r="AK182" s="304"/>
      <c r="AL182" s="304"/>
      <c r="AM182" s="304"/>
      <c r="AN182" s="299">
        <f>SUM(AN4:AN181)</f>
        <v>187380336.95</v>
      </c>
      <c r="AP182" s="299">
        <f>SUM(AP4:AP181)</f>
        <v>175941976.71</v>
      </c>
      <c r="AQ182" s="300"/>
      <c r="AR182" s="300">
        <f>SUM(AR4:AR181)</f>
        <v>177522182.4633</v>
      </c>
      <c r="AT182" s="300">
        <f>SUM(AT4:AT181)</f>
        <v>169300213.5076</v>
      </c>
      <c r="AV182" s="300">
        <f>SUM(AV4:AV161)</f>
        <v>136590920.18</v>
      </c>
      <c r="AX182" s="300">
        <f>SUM(AX4:AX161)</f>
        <v>141073388.54</v>
      </c>
      <c r="AZ182" s="300">
        <f>SUM(AZ4:AZ161)</f>
        <v>131714728.65</v>
      </c>
      <c r="BB182" s="300">
        <f>SUM(BB4:BB161)</f>
        <v>137262439.642757</v>
      </c>
      <c r="BD182" s="300">
        <f>SUM(BD4:BD161)</f>
        <v>128837325.615042</v>
      </c>
      <c r="BF182" s="300">
        <f>SUM(BF4:BF161)</f>
        <v>123446097.114235</v>
      </c>
      <c r="BH182" s="300">
        <f>SUM(BH4:BH161)</f>
        <v>116510591.822359</v>
      </c>
      <c r="BJ182" s="300">
        <f>SUM(BJ4:BJ161)</f>
        <v>114150264.633325</v>
      </c>
      <c r="BK182" s="300">
        <f>SUM(BK4:BK161)</f>
        <v>143725531</v>
      </c>
      <c r="BL182" s="266">
        <v>123193835.78</v>
      </c>
      <c r="BM182" s="266">
        <v>145900320</v>
      </c>
      <c r="BN182" s="266">
        <f>SUM(BN4:BN161)</f>
        <v>125223942.18</v>
      </c>
      <c r="BO182" s="266">
        <f>SUM(BO4:BO161)</f>
        <v>152303866</v>
      </c>
      <c r="BP182" s="266">
        <v>131554552.2266</v>
      </c>
      <c r="BQ182" s="266">
        <v>159078373</v>
      </c>
      <c r="BR182" s="266">
        <v>121034813.04</v>
      </c>
      <c r="BS182" s="266">
        <v>140254402</v>
      </c>
      <c r="BT182" s="266">
        <f t="shared" ref="BT182:CA182" si="136">SUM(BT4:BT161)</f>
        <v>112487305.79</v>
      </c>
      <c r="BU182" s="266">
        <f t="shared" si="136"/>
        <v>131305582</v>
      </c>
      <c r="BV182" s="266">
        <f t="shared" si="136"/>
        <v>128651403.99</v>
      </c>
      <c r="BW182" s="266">
        <f t="shared" si="136"/>
        <v>147197523</v>
      </c>
      <c r="BX182" s="266">
        <f t="shared" si="136"/>
        <v>137190256</v>
      </c>
      <c r="BY182" s="266">
        <f t="shared" si="136"/>
        <v>165601745.191018</v>
      </c>
      <c r="BZ182" s="266">
        <f t="shared" si="136"/>
        <v>136834400</v>
      </c>
      <c r="CA182" s="266">
        <f t="shared" si="136"/>
        <v>158046079</v>
      </c>
      <c r="CB182" s="266">
        <f>SUM(CB4:CB167)</f>
        <v>134805700</v>
      </c>
      <c r="CC182" s="266"/>
      <c r="CD182" s="266">
        <f>SUM(CD4:CD168)</f>
        <v>139607900</v>
      </c>
      <c r="CE182" s="266"/>
      <c r="CF182" s="266">
        <f>SUM(CF4:CF168)</f>
        <v>123816100</v>
      </c>
      <c r="CG182" s="266"/>
      <c r="CH182" s="266">
        <f>SUM(CH4:CH168)</f>
        <v>130662200</v>
      </c>
      <c r="CI182" s="266"/>
      <c r="CJ182" s="266">
        <f>SUM(CJ4:CJ168)</f>
        <v>155715451</v>
      </c>
      <c r="CK182" s="266"/>
      <c r="CL182" s="266">
        <f>SUM(CL4:CL168)</f>
        <v>173800887</v>
      </c>
      <c r="CM182" s="266"/>
      <c r="CN182" s="266">
        <v>152094890</v>
      </c>
      <c r="CO182" s="266"/>
      <c r="CP182" s="266">
        <f t="shared" ref="CP182:CT182" si="137">SUM(CP4:CP168)</f>
        <v>159118305</v>
      </c>
      <c r="CQ182" s="266"/>
      <c r="CR182" s="266">
        <f t="shared" si="137"/>
        <v>154917957</v>
      </c>
      <c r="CS182" s="266"/>
      <c r="CT182" s="266">
        <f t="shared" si="137"/>
        <v>154884712</v>
      </c>
      <c r="CU182" s="266"/>
      <c r="CV182" s="266">
        <f>SUM(CV4:CV168)</f>
        <v>162721908</v>
      </c>
      <c r="CW182" s="266"/>
      <c r="CX182" s="266">
        <f>SUM(CX4:CX168)</f>
        <v>7837196</v>
      </c>
      <c r="CY182" s="266">
        <f>SUM(CY4:CY168)</f>
        <v>2156555</v>
      </c>
      <c r="DC182" s="258">
        <f t="shared" si="129"/>
        <v>1</v>
      </c>
    </row>
    <row r="183" spans="43:43">
      <c r="AQ183" s="300"/>
    </row>
    <row r="184" spans="43:43">
      <c r="AQ184" s="300"/>
    </row>
    <row r="185" spans="43:43">
      <c r="AQ185" s="300"/>
    </row>
  </sheetData>
  <autoFilter ref="A1:DC182">
    <extLst/>
  </autoFilter>
  <conditionalFormatting sqref="P1">
    <cfRule type="duplicateValues" dxfId="5" priority="37"/>
  </conditionalFormatting>
  <conditionalFormatting sqref="Q1">
    <cfRule type="duplicateValues" dxfId="5" priority="36"/>
  </conditionalFormatting>
  <conditionalFormatting sqref="S1:T1">
    <cfRule type="duplicateValues" dxfId="5" priority="30"/>
  </conditionalFormatting>
  <conditionalFormatting sqref="V1">
    <cfRule type="duplicateValues" dxfId="5" priority="19"/>
  </conditionalFormatting>
  <conditionalFormatting sqref="W1">
    <cfRule type="duplicateValues" dxfId="5" priority="18"/>
  </conditionalFormatting>
  <conditionalFormatting sqref="X1">
    <cfRule type="duplicateValues" dxfId="5" priority="16"/>
  </conditionalFormatting>
  <conditionalFormatting sqref="Y1">
    <cfRule type="duplicateValues" dxfId="5" priority="22"/>
  </conditionalFormatting>
  <conditionalFormatting sqref="Z1:AB1">
    <cfRule type="duplicateValues" dxfId="5" priority="14"/>
  </conditionalFormatting>
  <conditionalFormatting sqref="AC1">
    <cfRule type="duplicateValues" dxfId="5" priority="4"/>
  </conditionalFormatting>
  <conditionalFormatting sqref="AD1:AE1">
    <cfRule type="duplicateValues" dxfId="5" priority="3"/>
  </conditionalFormatting>
  <conditionalFormatting sqref="CG1:CW1">
    <cfRule type="cellIs" dxfId="4" priority="1" operator="equal">
      <formula>0</formula>
    </cfRule>
  </conditionalFormatting>
  <conditionalFormatting sqref="CG11:CO11">
    <cfRule type="cellIs" dxfId="4" priority="7" operator="equal">
      <formula>0</formula>
    </cfRule>
  </conditionalFormatting>
  <conditionalFormatting sqref="AM4:AM182">
    <cfRule type="dataBar" priority="2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{2dbfd0d4-1a62-425e-923c-63addebedf91}</x14:id>
        </ext>
      </extLst>
    </cfRule>
  </conditionalFormatting>
  <conditionalFormatting sqref="BU1:BU168">
    <cfRule type="cellIs" dxfId="4" priority="35" operator="equal">
      <formula>0</formula>
    </cfRule>
  </conditionalFormatting>
  <conditionalFormatting sqref="D1:O1 D169:D181">
    <cfRule type="duplicateValues" dxfId="5" priority="40"/>
  </conditionalFormatting>
  <conditionalFormatting sqref="R1 U1">
    <cfRule type="duplicateValues" dxfId="5" priority="32"/>
  </conditionalFormatting>
  <conditionalFormatting sqref="BL1:BL168 BT1:BT181">
    <cfRule type="cellIs" dxfId="4" priority="34" operator="equal">
      <formula>0</formula>
    </cfRule>
  </conditionalFormatting>
  <conditionalFormatting sqref="BN1:BS168">
    <cfRule type="cellIs" dxfId="4" priority="28" operator="equal">
      <formula>0</formula>
    </cfRule>
  </conditionalFormatting>
  <conditionalFormatting sqref="BV1:CF181">
    <cfRule type="cellIs" dxfId="4" priority="13" operator="equal">
      <formula>0</formula>
    </cfRule>
  </conditionalFormatting>
  <conditionalFormatting sqref="CG2:CJ10 CG169:CW181 CG12:CJ168">
    <cfRule type="cellIs" dxfId="4" priority="12" operator="equal">
      <formula>0</formula>
    </cfRule>
  </conditionalFormatting>
  <conditionalFormatting sqref="AF168 AL4:AL168">
    <cfRule type="dataBar" priority="2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{ff9b1ca6-8fd5-4f91-b899-fe38db220d25}</x14:id>
        </ext>
      </extLst>
    </cfRule>
  </conditionalFormatting>
  <hyperlinks>
    <hyperlink ref="D54" r:id="rId1" display="brembo.com"/>
    <hyperlink ref="D66" r:id="rId2" display="4s.com"/>
    <hyperlink ref="D132" r:id="rId3" display="dayco.com"/>
    <hyperlink ref="D61" r:id="rId4" display="hengst.com"/>
    <hyperlink ref="D117" r:id="rId5" display="corteco.com"/>
    <hyperlink ref="D111" r:id="rId6" display="elring.com"/>
    <hyperlink ref="D152" r:id="rId7" display="aciauto.com"/>
  </hyperlinks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dbfd0d4-1a62-425e-923c-63addebedf9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AM4:AM182</xm:sqref>
        </x14:conditionalFormatting>
        <x14:conditionalFormatting xmlns:xm="http://schemas.microsoft.com/office/excel/2006/main">
          <x14:cfRule type="dataBar" id="{ff9b1ca6-8fd5-4f91-b899-fe38db220d2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AF168 AL4:AL168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2"/>
  <sheetViews>
    <sheetView workbookViewId="0">
      <selection activeCell="A1" sqref="A1"/>
    </sheetView>
  </sheetViews>
  <sheetFormatPr defaultColWidth="9" defaultRowHeight="14.4"/>
  <cols>
    <col min="1" max="1" width="14.8888888888889" style="255" customWidth="1"/>
    <col min="2" max="2" width="22.4444444444444" style="255" customWidth="1"/>
    <col min="3" max="3" width="23.1111111111111" style="255" customWidth="1"/>
    <col min="4" max="4" width="37.7777777777778" style="255" customWidth="1"/>
    <col min="5" max="5" width="23.2222222222222" style="255" customWidth="1"/>
    <col min="6" max="6" width="10.7777777777778" style="270" customWidth="1"/>
    <col min="7" max="7" width="12.3333333333333" style="270" customWidth="1"/>
    <col min="8" max="8" width="11.7777777777778" style="255" customWidth="1"/>
    <col min="9" max="9" width="37.4444444444444" style="270" customWidth="1"/>
    <col min="10" max="15" width="12.8888888888889" style="255" customWidth="1"/>
    <col min="16" max="16" width="12.3333333333333" style="255" customWidth="1"/>
    <col min="17" max="23" width="13.6666666666667" style="255" customWidth="1"/>
    <col min="24" max="24" width="8.22222222222222" style="271" hidden="1" customWidth="1"/>
    <col min="25" max="25" width="12.8888888888889" style="255"/>
    <col min="26" max="26" width="9" style="255"/>
    <col min="27" max="27" width="12.8888888888889" style="255"/>
    <col min="28" max="16384" width="9" style="255"/>
  </cols>
  <sheetData>
    <row r="1" ht="48.6" spans="1:23">
      <c r="A1" s="272" t="s">
        <v>636</v>
      </c>
      <c r="B1" s="272" t="s">
        <v>637</v>
      </c>
      <c r="C1" s="272" t="s">
        <v>638</v>
      </c>
      <c r="D1" s="272" t="s">
        <v>207</v>
      </c>
      <c r="E1" s="272" t="s">
        <v>639</v>
      </c>
      <c r="F1" s="273" t="s">
        <v>640</v>
      </c>
      <c r="G1" s="273" t="s">
        <v>210</v>
      </c>
      <c r="H1" s="274" t="s">
        <v>5089</v>
      </c>
      <c r="I1" s="280" t="s">
        <v>137</v>
      </c>
      <c r="J1" s="281" t="s">
        <v>647</v>
      </c>
      <c r="K1" s="281" t="s">
        <v>648</v>
      </c>
      <c r="L1" s="281" t="s">
        <v>649</v>
      </c>
      <c r="M1" s="281" t="s">
        <v>650</v>
      </c>
      <c r="N1" s="281" t="s">
        <v>651</v>
      </c>
      <c r="O1" s="281" t="s">
        <v>652</v>
      </c>
      <c r="P1" s="282" t="s">
        <v>656</v>
      </c>
      <c r="Q1" s="293" t="s">
        <v>662</v>
      </c>
      <c r="R1" s="293" t="s">
        <v>663</v>
      </c>
      <c r="S1" s="293" t="s">
        <v>664</v>
      </c>
      <c r="T1" s="293" t="s">
        <v>665</v>
      </c>
      <c r="U1" s="293" t="s">
        <v>666</v>
      </c>
      <c r="V1" s="293" t="s">
        <v>667</v>
      </c>
      <c r="W1" s="282" t="s">
        <v>656</v>
      </c>
    </row>
    <row r="2" customFormat="1" ht="15.6" spans="1:26">
      <c r="A2" s="255" t="s">
        <v>145</v>
      </c>
      <c r="B2" s="255" t="s">
        <v>694</v>
      </c>
      <c r="C2" s="255" t="s">
        <v>230</v>
      </c>
      <c r="D2" s="258" t="s">
        <v>5090</v>
      </c>
      <c r="E2" s="255" t="s">
        <v>233</v>
      </c>
      <c r="F2" s="270" t="s">
        <v>50</v>
      </c>
      <c r="G2" s="270"/>
      <c r="H2" s="255">
        <v>0</v>
      </c>
      <c r="I2" s="270" t="s">
        <v>1580</v>
      </c>
      <c r="J2" s="283" t="s">
        <v>796</v>
      </c>
      <c r="K2" s="283" t="s">
        <v>796</v>
      </c>
      <c r="L2" s="283" t="s">
        <v>796</v>
      </c>
      <c r="M2" s="283">
        <v>0</v>
      </c>
      <c r="N2" s="283" t="s">
        <v>796</v>
      </c>
      <c r="O2" s="283" t="s">
        <v>796</v>
      </c>
      <c r="P2" s="283">
        <v>0</v>
      </c>
      <c r="Q2" s="283">
        <v>0</v>
      </c>
      <c r="R2" s="283">
        <v>0</v>
      </c>
      <c r="S2" s="283">
        <v>0</v>
      </c>
      <c r="T2" s="283">
        <v>0</v>
      </c>
      <c r="U2" s="283">
        <v>0</v>
      </c>
      <c r="V2" s="283">
        <v>0</v>
      </c>
      <c r="W2" s="283">
        <v>0</v>
      </c>
      <c r="X2" s="271"/>
      <c r="Y2" s="255"/>
      <c r="Z2" s="255"/>
    </row>
    <row r="3" customFormat="1" ht="15.6" spans="1:26">
      <c r="A3" s="255" t="s">
        <v>145</v>
      </c>
      <c r="B3" s="255" t="s">
        <v>694</v>
      </c>
      <c r="C3" s="255" t="s">
        <v>446</v>
      </c>
      <c r="D3" s="258" t="s">
        <v>5091</v>
      </c>
      <c r="E3" s="255" t="s">
        <v>234</v>
      </c>
      <c r="F3" s="270" t="s">
        <v>266</v>
      </c>
      <c r="G3" s="270"/>
      <c r="H3" s="255">
        <v>0</v>
      </c>
      <c r="I3" s="270" t="s">
        <v>1580</v>
      </c>
      <c r="J3" s="283" t="s">
        <v>5092</v>
      </c>
      <c r="K3" s="283" t="s">
        <v>796</v>
      </c>
      <c r="L3" s="283" t="s">
        <v>796</v>
      </c>
      <c r="M3" s="283">
        <v>0</v>
      </c>
      <c r="N3" s="283" t="s">
        <v>796</v>
      </c>
      <c r="O3" s="283" t="s">
        <v>796</v>
      </c>
      <c r="P3" s="283">
        <v>0</v>
      </c>
      <c r="Q3" s="283">
        <v>0</v>
      </c>
      <c r="R3" s="283">
        <v>0</v>
      </c>
      <c r="S3" s="283">
        <v>0</v>
      </c>
      <c r="T3" s="283">
        <v>0</v>
      </c>
      <c r="U3" s="283">
        <v>0</v>
      </c>
      <c r="V3" s="283">
        <v>0</v>
      </c>
      <c r="W3" s="283">
        <v>0</v>
      </c>
      <c r="X3" s="271"/>
      <c r="Y3" s="255"/>
      <c r="Z3" s="255"/>
    </row>
    <row r="4" customFormat="1" ht="15.6" spans="1:26">
      <c r="A4" s="255" t="s">
        <v>171</v>
      </c>
      <c r="B4" s="255" t="s">
        <v>812</v>
      </c>
      <c r="C4" s="255" t="s">
        <v>446</v>
      </c>
      <c r="D4" s="258" t="s">
        <v>5093</v>
      </c>
      <c r="E4" s="255" t="s">
        <v>234</v>
      </c>
      <c r="F4" s="270" t="s">
        <v>266</v>
      </c>
      <c r="G4" s="270"/>
      <c r="H4" s="255">
        <v>0</v>
      </c>
      <c r="I4" s="270" t="s">
        <v>5094</v>
      </c>
      <c r="J4" s="283" t="s">
        <v>796</v>
      </c>
      <c r="K4" s="283" t="s">
        <v>5095</v>
      </c>
      <c r="L4" s="283" t="s">
        <v>796</v>
      </c>
      <c r="M4" s="283">
        <v>0</v>
      </c>
      <c r="N4" s="283" t="s">
        <v>796</v>
      </c>
      <c r="O4" s="283" t="s">
        <v>796</v>
      </c>
      <c r="P4" s="283">
        <f>SUM(O4*3+N4*2+M4*1)/6</f>
        <v>0</v>
      </c>
      <c r="Q4" s="283">
        <v>0</v>
      </c>
      <c r="R4" s="283">
        <v>0</v>
      </c>
      <c r="S4" s="283">
        <v>0</v>
      </c>
      <c r="T4" s="283">
        <v>0</v>
      </c>
      <c r="U4" s="283">
        <v>0</v>
      </c>
      <c r="V4" s="283">
        <v>0</v>
      </c>
      <c r="W4" s="283">
        <f>SUM(V4*3+U4*2+T4)/6</f>
        <v>0</v>
      </c>
      <c r="X4" s="271"/>
      <c r="Y4" s="255"/>
      <c r="Z4" s="255"/>
    </row>
    <row r="5" customFormat="1" ht="15.6" spans="1:26">
      <c r="A5" s="255" t="s">
        <v>191</v>
      </c>
      <c r="B5" s="255" t="s">
        <v>812</v>
      </c>
      <c r="C5" s="255" t="s">
        <v>230</v>
      </c>
      <c r="D5" s="258" t="s">
        <v>5096</v>
      </c>
      <c r="E5" s="255" t="s">
        <v>233</v>
      </c>
      <c r="F5" s="270" t="s">
        <v>424</v>
      </c>
      <c r="G5" s="270"/>
      <c r="H5" s="255">
        <v>0</v>
      </c>
      <c r="I5" s="270" t="s">
        <v>1580</v>
      </c>
      <c r="J5" s="283" t="s">
        <v>796</v>
      </c>
      <c r="K5" s="283" t="s">
        <v>796</v>
      </c>
      <c r="L5" s="283" t="s">
        <v>796</v>
      </c>
      <c r="M5" s="283">
        <v>0</v>
      </c>
      <c r="N5" s="283" t="s">
        <v>796</v>
      </c>
      <c r="O5" s="283" t="s">
        <v>796</v>
      </c>
      <c r="P5" s="283">
        <v>0</v>
      </c>
      <c r="Q5" s="283">
        <v>0</v>
      </c>
      <c r="R5" s="283">
        <v>0</v>
      </c>
      <c r="S5" s="283">
        <v>0</v>
      </c>
      <c r="T5" s="283">
        <v>0</v>
      </c>
      <c r="U5" s="283">
        <v>0</v>
      </c>
      <c r="V5" s="283">
        <v>0</v>
      </c>
      <c r="W5" s="283">
        <v>0</v>
      </c>
      <c r="X5" s="271"/>
      <c r="Y5" s="255"/>
      <c r="Z5" s="255"/>
    </row>
    <row r="6" customFormat="1" ht="15.6" spans="1:26">
      <c r="A6" s="255" t="s">
        <v>149</v>
      </c>
      <c r="B6" s="255" t="s">
        <v>812</v>
      </c>
      <c r="C6" s="255" t="s">
        <v>230</v>
      </c>
      <c r="D6" s="260" t="s">
        <v>5097</v>
      </c>
      <c r="E6" s="255" t="s">
        <v>441</v>
      </c>
      <c r="F6" s="270" t="s">
        <v>56</v>
      </c>
      <c r="G6" s="270"/>
      <c r="H6" s="255">
        <v>0</v>
      </c>
      <c r="I6" s="270" t="s">
        <v>5098</v>
      </c>
      <c r="J6" s="283" t="s">
        <v>796</v>
      </c>
      <c r="K6" s="283" t="s">
        <v>796</v>
      </c>
      <c r="L6" s="283" t="s">
        <v>796</v>
      </c>
      <c r="M6" s="283">
        <v>0</v>
      </c>
      <c r="N6" s="283" t="s">
        <v>796</v>
      </c>
      <c r="O6" s="283" t="s">
        <v>796</v>
      </c>
      <c r="P6" s="283">
        <v>0</v>
      </c>
      <c r="Q6" s="283">
        <v>0</v>
      </c>
      <c r="R6" s="283">
        <v>0</v>
      </c>
      <c r="S6" s="283">
        <v>0</v>
      </c>
      <c r="T6" s="283">
        <v>0</v>
      </c>
      <c r="U6" s="283">
        <v>0</v>
      </c>
      <c r="V6" s="283">
        <v>0</v>
      </c>
      <c r="W6" s="283">
        <v>0</v>
      </c>
      <c r="X6" s="271"/>
      <c r="Y6" s="255"/>
      <c r="Z6" s="255"/>
    </row>
    <row r="7" customFormat="1" spans="1:26">
      <c r="A7" s="255"/>
      <c r="B7" s="255"/>
      <c r="C7" s="255"/>
      <c r="D7" s="255"/>
      <c r="E7" s="255"/>
      <c r="F7" s="270"/>
      <c r="G7" s="270"/>
      <c r="H7" s="255"/>
      <c r="I7" s="270"/>
      <c r="J7" s="255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71"/>
      <c r="Y7" s="255"/>
      <c r="Z7" s="255"/>
    </row>
    <row r="8" s="268" customFormat="1" ht="45" spans="1:26">
      <c r="A8" s="272" t="s">
        <v>636</v>
      </c>
      <c r="B8" s="272" t="s">
        <v>637</v>
      </c>
      <c r="C8" s="272" t="s">
        <v>638</v>
      </c>
      <c r="D8" s="272" t="s">
        <v>207</v>
      </c>
      <c r="E8" s="272" t="s">
        <v>639</v>
      </c>
      <c r="F8" s="273" t="s">
        <v>640</v>
      </c>
      <c r="G8" s="273" t="s">
        <v>210</v>
      </c>
      <c r="H8" s="274" t="s">
        <v>5089</v>
      </c>
      <c r="I8" s="280" t="s">
        <v>137</v>
      </c>
      <c r="J8" s="284" t="s">
        <v>643</v>
      </c>
      <c r="K8" s="284" t="s">
        <v>644</v>
      </c>
      <c r="L8" s="284" t="s">
        <v>645</v>
      </c>
      <c r="M8" s="284" t="s">
        <v>646</v>
      </c>
      <c r="N8" s="284" t="s">
        <v>647</v>
      </c>
      <c r="O8" s="284" t="s">
        <v>648</v>
      </c>
      <c r="P8" s="285" t="s">
        <v>5099</v>
      </c>
      <c r="Q8" s="294" t="s">
        <v>658</v>
      </c>
      <c r="R8" s="294" t="s">
        <v>659</v>
      </c>
      <c r="S8" s="294" t="s">
        <v>660</v>
      </c>
      <c r="T8" s="294" t="s">
        <v>661</v>
      </c>
      <c r="U8" s="294" t="s">
        <v>662</v>
      </c>
      <c r="V8" s="294" t="s">
        <v>663</v>
      </c>
      <c r="W8" s="285" t="s">
        <v>5099</v>
      </c>
      <c r="X8" s="295" t="s">
        <v>205</v>
      </c>
      <c r="Y8" s="297" t="s">
        <v>670</v>
      </c>
      <c r="Z8" s="297" t="s">
        <v>671</v>
      </c>
    </row>
    <row r="9" spans="1:26">
      <c r="A9" s="255" t="s">
        <v>171</v>
      </c>
      <c r="B9" s="255" t="s">
        <v>812</v>
      </c>
      <c r="C9" s="255" t="s">
        <v>446</v>
      </c>
      <c r="D9" s="275" t="s">
        <v>5100</v>
      </c>
      <c r="E9" s="255" t="s">
        <v>234</v>
      </c>
      <c r="F9" s="270" t="s">
        <v>234</v>
      </c>
      <c r="G9" s="276"/>
      <c r="H9" s="277">
        <f t="shared" ref="H9:H19" si="0">(P9+W9)/2</f>
        <v>500</v>
      </c>
      <c r="I9" s="286" t="s">
        <v>5101</v>
      </c>
      <c r="J9" s="287">
        <v>0</v>
      </c>
      <c r="K9" s="287">
        <v>0</v>
      </c>
      <c r="L9" s="277">
        <v>0</v>
      </c>
      <c r="M9" s="277">
        <v>0</v>
      </c>
      <c r="N9" s="277" t="s">
        <v>796</v>
      </c>
      <c r="O9" s="277" t="s">
        <v>796</v>
      </c>
      <c r="P9" s="277">
        <f t="shared" ref="P9:P32" si="1">SUM(O9*3+N9*2+M9*1)/6</f>
        <v>0</v>
      </c>
      <c r="Q9" s="277">
        <v>3200</v>
      </c>
      <c r="R9" s="277">
        <v>0</v>
      </c>
      <c r="S9" s="277">
        <v>0</v>
      </c>
      <c r="T9" s="277">
        <v>2000</v>
      </c>
      <c r="U9" s="277">
        <v>2000</v>
      </c>
      <c r="V9" s="277">
        <v>0</v>
      </c>
      <c r="W9" s="277">
        <f t="shared" ref="W9:W32" si="2">SUM(V9*3+U9*2+T9)/6</f>
        <v>1000</v>
      </c>
      <c r="X9" s="296"/>
      <c r="Y9" s="255">
        <f>Summary!$D$12</f>
        <v>489885.37</v>
      </c>
      <c r="Z9" s="255">
        <f t="shared" ref="Z9:Z32" si="3">IF(_xlfn.IFNA(Y9,0),IF(AND(H9/Y9&gt;=0.05,B9&lt;&gt;"官网"),1,0),0)</f>
        <v>0</v>
      </c>
    </row>
    <row r="10" ht="15.6" spans="1:26">
      <c r="A10" s="255" t="s">
        <v>152</v>
      </c>
      <c r="B10" s="255" t="s">
        <v>694</v>
      </c>
      <c r="C10" s="255" t="s">
        <v>230</v>
      </c>
      <c r="D10" s="8" t="s">
        <v>510</v>
      </c>
      <c r="E10" s="270" t="s">
        <v>5102</v>
      </c>
      <c r="F10" s="270" t="s">
        <v>426</v>
      </c>
      <c r="G10" s="276"/>
      <c r="H10" s="277">
        <f>(P10+W10)*0.19/2</f>
        <v>1057.1125</v>
      </c>
      <c r="I10" s="288" t="s">
        <v>5103</v>
      </c>
      <c r="J10" s="287">
        <v>8569</v>
      </c>
      <c r="K10" s="287">
        <v>7509</v>
      </c>
      <c r="L10" s="277" t="s">
        <v>1309</v>
      </c>
      <c r="M10" s="277">
        <v>8493</v>
      </c>
      <c r="N10" s="277" t="s">
        <v>1310</v>
      </c>
      <c r="O10" s="277" t="s">
        <v>1311</v>
      </c>
      <c r="P10" s="277">
        <f t="shared" si="1"/>
        <v>7927.5</v>
      </c>
      <c r="Q10" s="277">
        <v>5700</v>
      </c>
      <c r="R10" s="277">
        <v>9500</v>
      </c>
      <c r="S10" s="277">
        <v>9500</v>
      </c>
      <c r="T10" s="277">
        <v>6800</v>
      </c>
      <c r="U10" s="277">
        <v>2300</v>
      </c>
      <c r="V10" s="277">
        <v>2600</v>
      </c>
      <c r="W10" s="277">
        <f t="shared" si="2"/>
        <v>3200</v>
      </c>
      <c r="X10" s="296"/>
      <c r="Y10" s="255">
        <f>Summary!$D$6</f>
        <v>1473053.7196</v>
      </c>
      <c r="Z10" s="255">
        <f t="shared" si="3"/>
        <v>0</v>
      </c>
    </row>
    <row r="11" s="269" customFormat="1" ht="15.6" spans="1:26">
      <c r="A11" s="255" t="s">
        <v>152</v>
      </c>
      <c r="B11" s="255" t="s">
        <v>694</v>
      </c>
      <c r="C11" s="278" t="s">
        <v>230</v>
      </c>
      <c r="D11" t="s">
        <v>5104</v>
      </c>
      <c r="E11" s="255" t="s">
        <v>351</v>
      </c>
      <c r="F11" s="270" t="s">
        <v>55</v>
      </c>
      <c r="G11" s="276"/>
      <c r="H11" s="277">
        <f t="shared" si="0"/>
        <v>2325.83333333333</v>
      </c>
      <c r="I11" s="288" t="s">
        <v>5105</v>
      </c>
      <c r="J11" s="287">
        <v>0</v>
      </c>
      <c r="K11" s="287">
        <v>2713</v>
      </c>
      <c r="L11" s="277">
        <v>5000</v>
      </c>
      <c r="M11" s="277">
        <v>2118</v>
      </c>
      <c r="N11" s="277" t="s">
        <v>5106</v>
      </c>
      <c r="O11" s="277" t="s">
        <v>5107</v>
      </c>
      <c r="P11" s="277">
        <f t="shared" si="1"/>
        <v>3701.66666666667</v>
      </c>
      <c r="Q11" s="277">
        <v>2000</v>
      </c>
      <c r="R11" s="277">
        <v>60600</v>
      </c>
      <c r="S11" s="277">
        <v>60600</v>
      </c>
      <c r="T11" s="277">
        <v>0</v>
      </c>
      <c r="U11" s="277">
        <v>0</v>
      </c>
      <c r="V11" s="277">
        <v>1900</v>
      </c>
      <c r="W11" s="277">
        <f t="shared" si="2"/>
        <v>950</v>
      </c>
      <c r="X11" s="296"/>
      <c r="Y11" s="255">
        <f>Summary!$D$6</f>
        <v>1473053.7196</v>
      </c>
      <c r="Z11" s="255">
        <f t="shared" si="3"/>
        <v>0</v>
      </c>
    </row>
    <row r="12" s="269" customFormat="1" ht="15.6" spans="1:26">
      <c r="A12" s="255" t="s">
        <v>138</v>
      </c>
      <c r="B12" s="255" t="s">
        <v>694</v>
      </c>
      <c r="C12" s="255" t="s">
        <v>230</v>
      </c>
      <c r="D12" t="s">
        <v>510</v>
      </c>
      <c r="E12" s="270" t="s">
        <v>5102</v>
      </c>
      <c r="F12" s="270" t="s">
        <v>426</v>
      </c>
      <c r="G12" s="276"/>
      <c r="H12" s="277">
        <f>(P12+W12)*0.22/2</f>
        <v>1224.025</v>
      </c>
      <c r="I12" s="288" t="s">
        <v>5103</v>
      </c>
      <c r="J12" s="287">
        <v>8569</v>
      </c>
      <c r="K12" s="289">
        <v>7509</v>
      </c>
      <c r="L12" s="277" t="s">
        <v>1309</v>
      </c>
      <c r="M12" s="277">
        <v>8493</v>
      </c>
      <c r="N12" s="277" t="s">
        <v>1310</v>
      </c>
      <c r="O12" s="277" t="s">
        <v>1311</v>
      </c>
      <c r="P12" s="277">
        <f t="shared" si="1"/>
        <v>7927.5</v>
      </c>
      <c r="Q12" s="277">
        <v>5700</v>
      </c>
      <c r="R12" s="277">
        <v>9500</v>
      </c>
      <c r="S12" s="277">
        <v>9500</v>
      </c>
      <c r="T12" s="277">
        <v>6800</v>
      </c>
      <c r="U12" s="277">
        <v>2300</v>
      </c>
      <c r="V12" s="277">
        <v>2600</v>
      </c>
      <c r="W12" s="277">
        <f t="shared" si="2"/>
        <v>3200</v>
      </c>
      <c r="X12" s="296"/>
      <c r="Y12" s="255">
        <f>Summary!$D$2</f>
        <v>2530324.072226</v>
      </c>
      <c r="Z12" s="255">
        <f t="shared" si="3"/>
        <v>0</v>
      </c>
    </row>
    <row r="13" ht="28.95" customHeight="1" spans="1:26">
      <c r="A13" s="255" t="s">
        <v>156</v>
      </c>
      <c r="B13" s="255" t="s">
        <v>694</v>
      </c>
      <c r="C13" s="255" t="s">
        <v>367</v>
      </c>
      <c r="D13" t="s">
        <v>4425</v>
      </c>
      <c r="E13" s="255" t="s">
        <v>351</v>
      </c>
      <c r="F13" s="270" t="s">
        <v>49</v>
      </c>
      <c r="G13" s="276"/>
      <c r="H13" s="277">
        <f t="shared" si="0"/>
        <v>320.75</v>
      </c>
      <c r="I13" s="288" t="s">
        <v>5108</v>
      </c>
      <c r="J13" s="287">
        <v>272</v>
      </c>
      <c r="K13" s="287">
        <v>0</v>
      </c>
      <c r="L13" s="277" t="s">
        <v>796</v>
      </c>
      <c r="M13" s="277">
        <v>493</v>
      </c>
      <c r="N13" s="277" t="s">
        <v>796</v>
      </c>
      <c r="O13" s="277" t="s">
        <v>5109</v>
      </c>
      <c r="P13" s="277">
        <f t="shared" si="1"/>
        <v>150.666666666667</v>
      </c>
      <c r="Q13" s="277">
        <v>0</v>
      </c>
      <c r="R13" s="277">
        <v>0</v>
      </c>
      <c r="S13" s="277">
        <v>1300</v>
      </c>
      <c r="T13" s="277">
        <v>0</v>
      </c>
      <c r="U13" s="277">
        <v>769</v>
      </c>
      <c r="V13" s="277">
        <v>469</v>
      </c>
      <c r="W13" s="277">
        <f t="shared" si="2"/>
        <v>490.833333333333</v>
      </c>
      <c r="X13" s="296"/>
      <c r="Y13" s="255">
        <v>798741.916666667</v>
      </c>
      <c r="Z13" s="255">
        <f t="shared" si="3"/>
        <v>0</v>
      </c>
    </row>
    <row r="14" spans="1:26">
      <c r="A14" s="255" t="s">
        <v>156</v>
      </c>
      <c r="B14" s="255" t="s">
        <v>694</v>
      </c>
      <c r="C14" s="255" t="s">
        <v>446</v>
      </c>
      <c r="D14" s="255" t="s">
        <v>5110</v>
      </c>
      <c r="E14" s="255" t="s">
        <v>234</v>
      </c>
      <c r="F14" s="270" t="s">
        <v>234</v>
      </c>
      <c r="G14" s="276"/>
      <c r="H14" s="277">
        <f t="shared" si="0"/>
        <v>500</v>
      </c>
      <c r="I14" s="290" t="s">
        <v>5111</v>
      </c>
      <c r="J14" s="287">
        <v>0</v>
      </c>
      <c r="K14" s="287">
        <v>0</v>
      </c>
      <c r="L14" s="277" t="s">
        <v>796</v>
      </c>
      <c r="M14" s="277">
        <v>0</v>
      </c>
      <c r="N14" s="277" t="s">
        <v>796</v>
      </c>
      <c r="O14" s="277" t="s">
        <v>796</v>
      </c>
      <c r="P14" s="277">
        <f t="shared" si="1"/>
        <v>0</v>
      </c>
      <c r="Q14" s="277">
        <v>3200</v>
      </c>
      <c r="R14" s="277">
        <v>0</v>
      </c>
      <c r="S14" s="277">
        <v>0</v>
      </c>
      <c r="T14" s="277">
        <v>2000</v>
      </c>
      <c r="U14" s="277">
        <v>2000</v>
      </c>
      <c r="V14" s="277">
        <v>0</v>
      </c>
      <c r="W14" s="277">
        <f t="shared" si="2"/>
        <v>1000</v>
      </c>
      <c r="X14" s="296"/>
      <c r="Y14" s="255">
        <v>798741.916666667</v>
      </c>
      <c r="Z14" s="255">
        <f t="shared" si="3"/>
        <v>0</v>
      </c>
    </row>
    <row r="15" spans="1:26">
      <c r="A15" s="255" t="s">
        <v>1761</v>
      </c>
      <c r="B15" s="255" t="s">
        <v>694</v>
      </c>
      <c r="D15" s="255" t="s">
        <v>5112</v>
      </c>
      <c r="F15" s="270" t="s">
        <v>60</v>
      </c>
      <c r="G15" s="276"/>
      <c r="H15" s="277">
        <f t="shared" si="0"/>
        <v>3088.83333333333</v>
      </c>
      <c r="I15" s="288" t="s">
        <v>5113</v>
      </c>
      <c r="J15" s="287">
        <v>26076</v>
      </c>
      <c r="K15" s="287">
        <v>37607</v>
      </c>
      <c r="L15" s="277">
        <v>26418</v>
      </c>
      <c r="M15" s="277">
        <v>13842</v>
      </c>
      <c r="N15" s="277" t="s">
        <v>5114</v>
      </c>
      <c r="O15" s="277" t="s">
        <v>796</v>
      </c>
      <c r="P15" s="277">
        <f t="shared" si="1"/>
        <v>3992.33333333333</v>
      </c>
      <c r="Q15" s="277">
        <v>6669</v>
      </c>
      <c r="R15" s="277">
        <v>9500</v>
      </c>
      <c r="S15" s="277">
        <v>9500</v>
      </c>
      <c r="T15" s="277">
        <v>13112</v>
      </c>
      <c r="U15" s="277">
        <v>0</v>
      </c>
      <c r="V15" s="277">
        <v>0</v>
      </c>
      <c r="W15" s="277">
        <f t="shared" si="2"/>
        <v>2185.33333333333</v>
      </c>
      <c r="X15" s="296"/>
      <c r="Y15" s="255">
        <f>Summary!$D$9</f>
        <v>657757.072666666</v>
      </c>
      <c r="Z15" s="255">
        <f t="shared" si="3"/>
        <v>0</v>
      </c>
    </row>
    <row r="16" ht="15.6" spans="1:26">
      <c r="A16" s="255" t="s">
        <v>168</v>
      </c>
      <c r="B16" s="255" t="s">
        <v>694</v>
      </c>
      <c r="C16" s="255" t="s">
        <v>446</v>
      </c>
      <c r="D16" t="s">
        <v>5115</v>
      </c>
      <c r="E16" s="255" t="s">
        <v>351</v>
      </c>
      <c r="F16" s="270" t="s">
        <v>302</v>
      </c>
      <c r="G16" s="276"/>
      <c r="H16" s="277">
        <f t="shared" si="0"/>
        <v>0</v>
      </c>
      <c r="I16" s="288" t="s">
        <v>5116</v>
      </c>
      <c r="J16" s="287">
        <v>0</v>
      </c>
      <c r="K16" s="287">
        <v>0</v>
      </c>
      <c r="L16" s="277" t="s">
        <v>796</v>
      </c>
      <c r="M16" s="277">
        <v>0</v>
      </c>
      <c r="N16" s="277" t="s">
        <v>796</v>
      </c>
      <c r="O16" s="277" t="s">
        <v>796</v>
      </c>
      <c r="P16" s="277">
        <f t="shared" si="1"/>
        <v>0</v>
      </c>
      <c r="Q16" s="277">
        <v>2200</v>
      </c>
      <c r="R16" s="277"/>
      <c r="S16" s="277">
        <v>0</v>
      </c>
      <c r="T16" s="277">
        <v>0</v>
      </c>
      <c r="U16" s="277">
        <v>0</v>
      </c>
      <c r="V16" s="277">
        <v>0</v>
      </c>
      <c r="W16" s="277">
        <f t="shared" si="2"/>
        <v>0</v>
      </c>
      <c r="X16" s="296"/>
      <c r="Y16" s="255">
        <f>Summary!$D$11</f>
        <v>495890.9464</v>
      </c>
      <c r="Z16" s="255">
        <f t="shared" si="3"/>
        <v>0</v>
      </c>
    </row>
    <row r="17" ht="15.6" spans="1:26">
      <c r="A17" s="255" t="s">
        <v>187</v>
      </c>
      <c r="B17" s="255" t="s">
        <v>812</v>
      </c>
      <c r="C17" s="255" t="s">
        <v>230</v>
      </c>
      <c r="D17" t="s">
        <v>622</v>
      </c>
      <c r="E17" s="255" t="s">
        <v>351</v>
      </c>
      <c r="F17" s="270" t="s">
        <v>420</v>
      </c>
      <c r="G17" s="276"/>
      <c r="H17" s="277">
        <f t="shared" si="0"/>
        <v>222.416666666667</v>
      </c>
      <c r="I17" s="288" t="s">
        <v>5117</v>
      </c>
      <c r="J17" s="287">
        <v>0</v>
      </c>
      <c r="K17" s="287">
        <v>309</v>
      </c>
      <c r="L17" s="277" t="s">
        <v>796</v>
      </c>
      <c r="M17" s="277">
        <v>419</v>
      </c>
      <c r="N17" s="277" t="s">
        <v>5118</v>
      </c>
      <c r="O17" s="277" t="s">
        <v>5119</v>
      </c>
      <c r="P17" s="277">
        <f t="shared" si="1"/>
        <v>444.833333333333</v>
      </c>
      <c r="Q17" s="277">
        <v>0</v>
      </c>
      <c r="R17" s="277"/>
      <c r="S17" s="277">
        <v>0</v>
      </c>
      <c r="T17" s="277">
        <v>0</v>
      </c>
      <c r="U17" s="277">
        <v>0</v>
      </c>
      <c r="V17" s="277">
        <v>0</v>
      </c>
      <c r="W17" s="277">
        <f t="shared" si="2"/>
        <v>0</v>
      </c>
      <c r="X17" s="296"/>
      <c r="Z17" s="255">
        <f t="shared" si="3"/>
        <v>0</v>
      </c>
    </row>
    <row r="18" spans="1:26">
      <c r="A18" s="255" t="s">
        <v>187</v>
      </c>
      <c r="B18" s="255" t="s">
        <v>812</v>
      </c>
      <c r="C18" s="255" t="s">
        <v>446</v>
      </c>
      <c r="D18" s="255" t="s">
        <v>4650</v>
      </c>
      <c r="E18" s="255" t="s">
        <v>234</v>
      </c>
      <c r="F18" s="270" t="s">
        <v>234</v>
      </c>
      <c r="G18" s="276"/>
      <c r="H18" s="277">
        <f t="shared" si="0"/>
        <v>500</v>
      </c>
      <c r="I18" s="288" t="s">
        <v>5120</v>
      </c>
      <c r="J18" s="287">
        <v>0</v>
      </c>
      <c r="K18" s="287">
        <v>0</v>
      </c>
      <c r="L18" s="277" t="s">
        <v>796</v>
      </c>
      <c r="M18" s="277">
        <v>0</v>
      </c>
      <c r="N18" s="277" t="s">
        <v>796</v>
      </c>
      <c r="O18" s="277" t="s">
        <v>796</v>
      </c>
      <c r="P18" s="277">
        <f t="shared" si="1"/>
        <v>0</v>
      </c>
      <c r="Q18" s="277">
        <v>3200</v>
      </c>
      <c r="R18" s="277"/>
      <c r="S18" s="277">
        <v>0</v>
      </c>
      <c r="T18" s="277">
        <v>2000</v>
      </c>
      <c r="U18" s="277">
        <v>2000</v>
      </c>
      <c r="V18" s="277">
        <v>0</v>
      </c>
      <c r="W18" s="277">
        <f t="shared" si="2"/>
        <v>1000</v>
      </c>
      <c r="X18" s="296"/>
      <c r="Z18" s="255">
        <f t="shared" si="3"/>
        <v>0</v>
      </c>
    </row>
    <row r="19" spans="1:26">
      <c r="A19" s="255" t="s">
        <v>195</v>
      </c>
      <c r="B19" s="255" t="s">
        <v>812</v>
      </c>
      <c r="C19" s="255" t="s">
        <v>234</v>
      </c>
      <c r="D19" t="s">
        <v>5121</v>
      </c>
      <c r="E19" s="255" t="s">
        <v>234</v>
      </c>
      <c r="F19" s="270" t="s">
        <v>234</v>
      </c>
      <c r="G19" s="276"/>
      <c r="H19" s="277">
        <f t="shared" si="0"/>
        <v>211.083333333333</v>
      </c>
      <c r="I19" s="291" t="s">
        <v>5122</v>
      </c>
      <c r="J19" s="287">
        <v>0</v>
      </c>
      <c r="K19" s="287">
        <v>0</v>
      </c>
      <c r="L19" s="277">
        <v>0</v>
      </c>
      <c r="M19" s="277">
        <v>0</v>
      </c>
      <c r="N19" s="277" t="s">
        <v>796</v>
      </c>
      <c r="O19" s="277">
        <v>217</v>
      </c>
      <c r="P19" s="277">
        <f t="shared" si="1"/>
        <v>108.5</v>
      </c>
      <c r="Q19" s="277">
        <v>0</v>
      </c>
      <c r="R19" s="277">
        <v>0</v>
      </c>
      <c r="S19" s="277">
        <v>4400</v>
      </c>
      <c r="T19" s="277">
        <v>0</v>
      </c>
      <c r="U19" s="277">
        <v>941</v>
      </c>
      <c r="V19" s="277">
        <v>0</v>
      </c>
      <c r="W19" s="277">
        <f t="shared" si="2"/>
        <v>313.666666666667</v>
      </c>
      <c r="X19" s="296"/>
      <c r="Z19" s="255">
        <f t="shared" si="3"/>
        <v>0</v>
      </c>
    </row>
    <row r="20" s="270" customFormat="1" ht="15.6" spans="1:26">
      <c r="A20" s="255" t="s">
        <v>149</v>
      </c>
      <c r="B20" s="255" t="s">
        <v>694</v>
      </c>
      <c r="C20" s="255" t="s">
        <v>230</v>
      </c>
      <c r="D20" t="s">
        <v>510</v>
      </c>
      <c r="E20" s="270" t="s">
        <v>5102</v>
      </c>
      <c r="F20" s="270" t="s">
        <v>426</v>
      </c>
      <c r="G20" s="276"/>
      <c r="H20" s="277">
        <f>(P20+W20)*0.11/2</f>
        <v>612.0125</v>
      </c>
      <c r="I20" s="288" t="s">
        <v>5103</v>
      </c>
      <c r="J20" s="287">
        <v>8569</v>
      </c>
      <c r="K20" s="289">
        <v>7509</v>
      </c>
      <c r="L20" s="277" t="s">
        <v>1309</v>
      </c>
      <c r="M20" s="277">
        <v>8493</v>
      </c>
      <c r="N20" s="277" t="s">
        <v>1310</v>
      </c>
      <c r="O20" s="277" t="s">
        <v>1311</v>
      </c>
      <c r="P20" s="277">
        <f t="shared" si="1"/>
        <v>7927.5</v>
      </c>
      <c r="Q20" s="277">
        <v>5700</v>
      </c>
      <c r="R20" s="277">
        <v>9500</v>
      </c>
      <c r="S20" s="277">
        <v>9500</v>
      </c>
      <c r="T20" s="277">
        <v>6800</v>
      </c>
      <c r="U20" s="277">
        <v>2300</v>
      </c>
      <c r="V20" s="277">
        <v>2600</v>
      </c>
      <c r="W20" s="277">
        <f t="shared" si="2"/>
        <v>3200</v>
      </c>
      <c r="X20" s="296"/>
      <c r="Y20" s="255">
        <f>Summary!$D$5</f>
        <v>1543433.55918333</v>
      </c>
      <c r="Z20" s="255">
        <f t="shared" si="3"/>
        <v>0</v>
      </c>
    </row>
    <row r="21" s="270" customFormat="1" ht="28.8" spans="1:26">
      <c r="A21" s="255" t="s">
        <v>149</v>
      </c>
      <c r="B21" s="255" t="s">
        <v>694</v>
      </c>
      <c r="C21" s="255" t="s">
        <v>230</v>
      </c>
      <c r="D21" t="s">
        <v>5123</v>
      </c>
      <c r="E21" s="255" t="s">
        <v>351</v>
      </c>
      <c r="F21" s="270" t="s">
        <v>266</v>
      </c>
      <c r="G21" s="279"/>
      <c r="H21" s="277">
        <f t="shared" ref="H21:H26" si="4">(P21+W21)/2</f>
        <v>315.166666666667</v>
      </c>
      <c r="I21" s="288" t="s">
        <v>5124</v>
      </c>
      <c r="J21" s="287">
        <v>0</v>
      </c>
      <c r="K21" s="287">
        <v>257</v>
      </c>
      <c r="L21" s="277" t="s">
        <v>796</v>
      </c>
      <c r="M21" s="277">
        <v>0</v>
      </c>
      <c r="N21" s="277" t="s">
        <v>796</v>
      </c>
      <c r="O21" s="277" t="s">
        <v>796</v>
      </c>
      <c r="P21" s="277">
        <f t="shared" si="1"/>
        <v>0</v>
      </c>
      <c r="Q21" s="277">
        <v>0</v>
      </c>
      <c r="R21" s="277">
        <v>1900</v>
      </c>
      <c r="S21" s="277">
        <v>1900</v>
      </c>
      <c r="T21" s="277">
        <v>2000</v>
      </c>
      <c r="U21" s="277">
        <v>0</v>
      </c>
      <c r="V21" s="277">
        <v>594</v>
      </c>
      <c r="W21" s="277">
        <f t="shared" si="2"/>
        <v>630.333333333333</v>
      </c>
      <c r="X21" s="296"/>
      <c r="Y21" s="255">
        <f>Summary!$D$5</f>
        <v>1543433.55918333</v>
      </c>
      <c r="Z21" s="255">
        <f t="shared" si="3"/>
        <v>0</v>
      </c>
    </row>
    <row r="22" ht="15.6" spans="1:26">
      <c r="A22" s="255" t="s">
        <v>159</v>
      </c>
      <c r="B22" s="255" t="s">
        <v>694</v>
      </c>
      <c r="C22" s="255" t="s">
        <v>230</v>
      </c>
      <c r="D22" t="s">
        <v>4401</v>
      </c>
      <c r="E22" s="255" t="s">
        <v>351</v>
      </c>
      <c r="F22" s="270" t="s">
        <v>420</v>
      </c>
      <c r="G22" s="276"/>
      <c r="H22" s="277">
        <f t="shared" si="4"/>
        <v>0</v>
      </c>
      <c r="I22" s="288" t="s">
        <v>5125</v>
      </c>
      <c r="J22" s="287">
        <v>0</v>
      </c>
      <c r="K22" s="287">
        <v>0</v>
      </c>
      <c r="L22" s="277" t="s">
        <v>796</v>
      </c>
      <c r="M22" s="277">
        <v>0</v>
      </c>
      <c r="N22" s="277" t="s">
        <v>796</v>
      </c>
      <c r="O22" s="277" t="s">
        <v>796</v>
      </c>
      <c r="P22" s="277">
        <f t="shared" si="1"/>
        <v>0</v>
      </c>
      <c r="Q22" s="277">
        <v>0</v>
      </c>
      <c r="R22" s="277">
        <v>1900</v>
      </c>
      <c r="S22" s="277">
        <v>1900</v>
      </c>
      <c r="T22" s="277">
        <v>0</v>
      </c>
      <c r="U22" s="277">
        <v>0</v>
      </c>
      <c r="V22" s="277">
        <v>0</v>
      </c>
      <c r="W22" s="277">
        <f t="shared" si="2"/>
        <v>0</v>
      </c>
      <c r="X22" s="296"/>
      <c r="Y22" s="255">
        <f>Summary!$D$8</f>
        <v>724303.229333334</v>
      </c>
      <c r="Z22" s="255">
        <f t="shared" si="3"/>
        <v>0</v>
      </c>
    </row>
    <row r="23" spans="1:26">
      <c r="A23" s="255" t="s">
        <v>159</v>
      </c>
      <c r="B23" s="255" t="s">
        <v>812</v>
      </c>
      <c r="C23" s="255" t="s">
        <v>243</v>
      </c>
      <c r="D23" s="200" t="s">
        <v>5126</v>
      </c>
      <c r="E23" s="255" t="s">
        <v>441</v>
      </c>
      <c r="F23" s="270" t="s">
        <v>417</v>
      </c>
      <c r="H23" s="277">
        <f t="shared" si="4"/>
        <v>2072.25</v>
      </c>
      <c r="I23" s="286" t="s">
        <v>5127</v>
      </c>
      <c r="L23" s="277" t="s">
        <v>5128</v>
      </c>
      <c r="M23" s="277">
        <v>7921</v>
      </c>
      <c r="N23" s="277" t="s">
        <v>5129</v>
      </c>
      <c r="O23" s="277" t="s">
        <v>5130</v>
      </c>
      <c r="P23" s="277">
        <f t="shared" si="1"/>
        <v>4144.5</v>
      </c>
      <c r="Q23" s="277"/>
      <c r="R23" s="277"/>
      <c r="S23" s="277">
        <v>2100</v>
      </c>
      <c r="T23" s="277">
        <v>0</v>
      </c>
      <c r="U23" s="277">
        <v>0</v>
      </c>
      <c r="V23" s="277">
        <v>0</v>
      </c>
      <c r="W23" s="277">
        <f t="shared" si="2"/>
        <v>0</v>
      </c>
      <c r="Y23" s="255">
        <f>Summary!$D$8</f>
        <v>724303.229333334</v>
      </c>
      <c r="Z23" s="255">
        <f t="shared" si="3"/>
        <v>0</v>
      </c>
    </row>
    <row r="24" spans="1:26">
      <c r="A24" s="255" t="s">
        <v>159</v>
      </c>
      <c r="B24" s="255" t="s">
        <v>694</v>
      </c>
      <c r="C24" s="255" t="s">
        <v>367</v>
      </c>
      <c r="D24" t="s">
        <v>5131</v>
      </c>
      <c r="E24" s="255" t="s">
        <v>234</v>
      </c>
      <c r="F24" s="270" t="s">
        <v>60</v>
      </c>
      <c r="G24" s="276"/>
      <c r="H24" s="277">
        <f t="shared" si="4"/>
        <v>0</v>
      </c>
      <c r="I24" s="286" t="s">
        <v>5132</v>
      </c>
      <c r="J24" s="287">
        <v>0</v>
      </c>
      <c r="K24" s="287">
        <v>0</v>
      </c>
      <c r="L24" s="277" t="s">
        <v>796</v>
      </c>
      <c r="M24" s="277">
        <v>0</v>
      </c>
      <c r="N24" s="277" t="s">
        <v>796</v>
      </c>
      <c r="O24" s="277" t="s">
        <v>796</v>
      </c>
      <c r="P24" s="277">
        <f t="shared" si="1"/>
        <v>0</v>
      </c>
      <c r="Q24" s="277">
        <v>0</v>
      </c>
      <c r="R24" s="277">
        <v>0</v>
      </c>
      <c r="S24" s="277">
        <v>0</v>
      </c>
      <c r="T24" s="277">
        <v>0</v>
      </c>
      <c r="U24" s="277">
        <v>0</v>
      </c>
      <c r="V24" s="277">
        <v>0</v>
      </c>
      <c r="W24" s="277">
        <f t="shared" si="2"/>
        <v>0</v>
      </c>
      <c r="X24" s="296"/>
      <c r="Y24" s="255">
        <f>Summary!$D$8</f>
        <v>724303.229333334</v>
      </c>
      <c r="Z24" s="255">
        <f t="shared" si="3"/>
        <v>0</v>
      </c>
    </row>
    <row r="25" spans="1:26">
      <c r="A25" s="255" t="s">
        <v>165</v>
      </c>
      <c r="B25" s="255" t="s">
        <v>694</v>
      </c>
      <c r="D25" s="255" t="s">
        <v>5133</v>
      </c>
      <c r="F25" s="270" t="s">
        <v>50</v>
      </c>
      <c r="G25" s="276"/>
      <c r="H25" s="277">
        <f t="shared" si="4"/>
        <v>3595.5</v>
      </c>
      <c r="I25" s="288" t="s">
        <v>5134</v>
      </c>
      <c r="J25" s="287">
        <v>9181</v>
      </c>
      <c r="K25" s="287">
        <v>5368</v>
      </c>
      <c r="L25" s="277">
        <v>0</v>
      </c>
      <c r="M25" s="277">
        <v>1141</v>
      </c>
      <c r="N25" s="277" t="s">
        <v>5135</v>
      </c>
      <c r="O25" s="277" t="s">
        <v>5136</v>
      </c>
      <c r="P25" s="277">
        <f t="shared" si="1"/>
        <v>4457.66666666667</v>
      </c>
      <c r="Q25" s="277">
        <v>7162</v>
      </c>
      <c r="R25" s="277">
        <v>3400</v>
      </c>
      <c r="S25" s="277">
        <v>3400</v>
      </c>
      <c r="T25" s="277">
        <v>4400</v>
      </c>
      <c r="U25" s="277">
        <v>0</v>
      </c>
      <c r="V25" s="277">
        <v>4000</v>
      </c>
      <c r="W25" s="277">
        <f t="shared" si="2"/>
        <v>2733.33333333333</v>
      </c>
      <c r="X25" s="296"/>
      <c r="Y25" s="255">
        <f>Summary!$D$10</f>
        <v>496999.618566666</v>
      </c>
      <c r="Z25" s="255">
        <f t="shared" si="3"/>
        <v>0</v>
      </c>
    </row>
    <row r="26" spans="1:26">
      <c r="A26" s="255" t="s">
        <v>165</v>
      </c>
      <c r="B26" s="255" t="s">
        <v>694</v>
      </c>
      <c r="C26" s="255" t="s">
        <v>5137</v>
      </c>
      <c r="D26" t="s">
        <v>5138</v>
      </c>
      <c r="E26" s="255" t="s">
        <v>234</v>
      </c>
      <c r="F26" s="270" t="s">
        <v>429</v>
      </c>
      <c r="G26" s="276"/>
      <c r="H26" s="277">
        <f t="shared" si="4"/>
        <v>683.333333333333</v>
      </c>
      <c r="I26" s="1" t="s">
        <v>5139</v>
      </c>
      <c r="J26" s="287">
        <v>0</v>
      </c>
      <c r="K26" s="287">
        <v>0</v>
      </c>
      <c r="L26" s="277">
        <v>0</v>
      </c>
      <c r="M26" s="277">
        <v>0</v>
      </c>
      <c r="N26" s="277" t="s">
        <v>796</v>
      </c>
      <c r="O26" s="277" t="s">
        <v>796</v>
      </c>
      <c r="P26" s="277">
        <f t="shared" si="1"/>
        <v>0</v>
      </c>
      <c r="Q26" s="277">
        <v>4200</v>
      </c>
      <c r="R26" s="277">
        <v>0</v>
      </c>
      <c r="S26" s="277">
        <v>1900</v>
      </c>
      <c r="T26" s="277">
        <v>0</v>
      </c>
      <c r="U26" s="277">
        <v>4100</v>
      </c>
      <c r="V26" s="277">
        <v>0</v>
      </c>
      <c r="W26" s="277">
        <f t="shared" si="2"/>
        <v>1366.66666666667</v>
      </c>
      <c r="X26" s="296"/>
      <c r="Y26" s="255">
        <f>Summary!$D$10</f>
        <v>496999.618566666</v>
      </c>
      <c r="Z26" s="255">
        <f t="shared" si="3"/>
        <v>0</v>
      </c>
    </row>
    <row r="27" ht="15.6" spans="1:26">
      <c r="A27" s="255" t="s">
        <v>141</v>
      </c>
      <c r="B27" s="255" t="s">
        <v>694</v>
      </c>
      <c r="C27" s="255" t="s">
        <v>230</v>
      </c>
      <c r="D27" t="s">
        <v>510</v>
      </c>
      <c r="E27" s="269" t="s">
        <v>5140</v>
      </c>
      <c r="F27" s="270" t="s">
        <v>426</v>
      </c>
      <c r="G27" s="276"/>
      <c r="H27" s="277">
        <f>(P27+W27)*0.37/2</f>
        <v>2058.5875</v>
      </c>
      <c r="I27" s="288" t="s">
        <v>5103</v>
      </c>
      <c r="J27" s="287">
        <v>8569</v>
      </c>
      <c r="K27" s="289">
        <v>7509</v>
      </c>
      <c r="L27" s="277" t="s">
        <v>1309</v>
      </c>
      <c r="M27" s="277">
        <v>8493</v>
      </c>
      <c r="N27" s="277" t="s">
        <v>1310</v>
      </c>
      <c r="O27" s="277" t="s">
        <v>1311</v>
      </c>
      <c r="P27" s="277">
        <f t="shared" si="1"/>
        <v>7927.5</v>
      </c>
      <c r="Q27" s="277">
        <v>5700</v>
      </c>
      <c r="R27" s="277">
        <v>9500</v>
      </c>
      <c r="S27" s="277">
        <v>9500</v>
      </c>
      <c r="T27" s="277">
        <v>6800</v>
      </c>
      <c r="U27" s="277">
        <v>2300</v>
      </c>
      <c r="V27" s="277">
        <v>2600</v>
      </c>
      <c r="W27" s="277">
        <f t="shared" si="2"/>
        <v>3200</v>
      </c>
      <c r="X27" s="296"/>
      <c r="Y27" s="255">
        <f>Summary!$D$3</f>
        <v>2112033.31166667</v>
      </c>
      <c r="Z27" s="255">
        <f t="shared" si="3"/>
        <v>0</v>
      </c>
    </row>
    <row r="28" s="269" customFormat="1" ht="15.6" spans="1:26">
      <c r="A28" s="255" t="s">
        <v>141</v>
      </c>
      <c r="B28" s="255" t="s">
        <v>694</v>
      </c>
      <c r="C28" s="255" t="s">
        <v>446</v>
      </c>
      <c r="D28" s="255" t="s">
        <v>4114</v>
      </c>
      <c r="E28" s="255" t="s">
        <v>351</v>
      </c>
      <c r="F28" s="270" t="s">
        <v>422</v>
      </c>
      <c r="G28" s="276"/>
      <c r="H28" s="277">
        <f t="shared" ref="H28:H32" si="5">(P28+W28)/2</f>
        <v>2173.41666666667</v>
      </c>
      <c r="I28" s="288" t="s">
        <v>5120</v>
      </c>
      <c r="J28" s="287">
        <v>0</v>
      </c>
      <c r="K28" s="287">
        <v>0</v>
      </c>
      <c r="L28" s="277" t="s">
        <v>5141</v>
      </c>
      <c r="M28" s="277">
        <v>272</v>
      </c>
      <c r="N28" s="277" t="s">
        <v>5142</v>
      </c>
      <c r="O28" s="277" t="s">
        <v>5143</v>
      </c>
      <c r="P28" s="277">
        <f t="shared" si="1"/>
        <v>4346.83333333333</v>
      </c>
      <c r="Q28" s="277">
        <v>0</v>
      </c>
      <c r="R28" s="277">
        <v>527</v>
      </c>
      <c r="S28" s="277">
        <v>527</v>
      </c>
      <c r="T28" s="277">
        <v>0</v>
      </c>
      <c r="U28" s="277">
        <v>0</v>
      </c>
      <c r="V28" s="277">
        <v>0</v>
      </c>
      <c r="W28" s="277">
        <f t="shared" si="2"/>
        <v>0</v>
      </c>
      <c r="X28" s="296"/>
      <c r="Y28" s="255">
        <f>Summary!$D$3</f>
        <v>2112033.31166667</v>
      </c>
      <c r="Z28" s="255">
        <f t="shared" si="3"/>
        <v>0</v>
      </c>
    </row>
    <row r="29" s="269" customFormat="1" ht="62.4" spans="1:26">
      <c r="A29" s="255" t="s">
        <v>141</v>
      </c>
      <c r="B29" s="255" t="s">
        <v>5144</v>
      </c>
      <c r="C29" s="255" t="s">
        <v>230</v>
      </c>
      <c r="D29" t="s">
        <v>5145</v>
      </c>
      <c r="E29" s="255" t="s">
        <v>351</v>
      </c>
      <c r="F29" s="270" t="s">
        <v>50</v>
      </c>
      <c r="G29" s="276"/>
      <c r="H29" s="277">
        <f t="shared" si="5"/>
        <v>293.25</v>
      </c>
      <c r="I29" s="292" t="s">
        <v>5146</v>
      </c>
      <c r="J29" s="287">
        <v>786</v>
      </c>
      <c r="K29" s="287">
        <v>0</v>
      </c>
      <c r="L29" s="277" t="s">
        <v>796</v>
      </c>
      <c r="M29" s="277">
        <v>0</v>
      </c>
      <c r="N29" s="277" t="s">
        <v>5147</v>
      </c>
      <c r="O29" s="277" t="s">
        <v>5148</v>
      </c>
      <c r="P29" s="277">
        <f t="shared" si="1"/>
        <v>586.5</v>
      </c>
      <c r="Q29" s="277">
        <v>0</v>
      </c>
      <c r="R29" s="277"/>
      <c r="S29" s="277">
        <v>0</v>
      </c>
      <c r="T29" s="277">
        <v>0</v>
      </c>
      <c r="U29" s="277">
        <v>0</v>
      </c>
      <c r="V29" s="277">
        <v>0</v>
      </c>
      <c r="W29" s="277">
        <f t="shared" si="2"/>
        <v>0</v>
      </c>
      <c r="X29" s="296"/>
      <c r="Y29" s="255">
        <f>Summary!$D$3</f>
        <v>2112033.31166667</v>
      </c>
      <c r="Z29" s="255">
        <f t="shared" si="3"/>
        <v>0</v>
      </c>
    </row>
    <row r="30" ht="28.8" spans="1:26">
      <c r="A30" s="255" t="s">
        <v>141</v>
      </c>
      <c r="B30" s="255" t="s">
        <v>694</v>
      </c>
      <c r="C30" s="255" t="s">
        <v>367</v>
      </c>
      <c r="D30" s="278" t="s">
        <v>5149</v>
      </c>
      <c r="E30" s="255" t="s">
        <v>351</v>
      </c>
      <c r="F30" s="270" t="s">
        <v>250</v>
      </c>
      <c r="G30" s="276"/>
      <c r="H30" s="277">
        <f t="shared" si="5"/>
        <v>3954.91666666667</v>
      </c>
      <c r="I30" s="288" t="s">
        <v>5150</v>
      </c>
      <c r="J30" s="287">
        <v>0</v>
      </c>
      <c r="K30" s="287">
        <v>0</v>
      </c>
      <c r="L30" s="277" t="s">
        <v>796</v>
      </c>
      <c r="M30" s="277">
        <v>0</v>
      </c>
      <c r="N30" s="277" t="s">
        <v>796</v>
      </c>
      <c r="O30" s="277">
        <v>153</v>
      </c>
      <c r="P30" s="277">
        <f t="shared" si="1"/>
        <v>76.5</v>
      </c>
      <c r="Q30" s="277">
        <v>24800</v>
      </c>
      <c r="R30" s="277">
        <v>0</v>
      </c>
      <c r="S30" s="277">
        <v>4000</v>
      </c>
      <c r="T30" s="277">
        <v>9900</v>
      </c>
      <c r="U30" s="277">
        <v>4300</v>
      </c>
      <c r="V30" s="277">
        <v>9500</v>
      </c>
      <c r="W30" s="277">
        <f t="shared" si="2"/>
        <v>7833.33333333333</v>
      </c>
      <c r="X30" s="296"/>
      <c r="Y30" s="255">
        <f>Summary!$D$3</f>
        <v>2112033.31166667</v>
      </c>
      <c r="Z30" s="255">
        <f t="shared" si="3"/>
        <v>0</v>
      </c>
    </row>
    <row r="31" ht="15.6" spans="1:26">
      <c r="A31" s="255" t="s">
        <v>189</v>
      </c>
      <c r="B31" s="255" t="s">
        <v>812</v>
      </c>
      <c r="C31" s="255" t="s">
        <v>468</v>
      </c>
      <c r="D31" t="s">
        <v>612</v>
      </c>
      <c r="E31" s="255" t="s">
        <v>351</v>
      </c>
      <c r="F31" s="270" t="s">
        <v>49</v>
      </c>
      <c r="G31" s="276"/>
      <c r="H31" s="277">
        <f t="shared" si="5"/>
        <v>0</v>
      </c>
      <c r="I31" s="288" t="s">
        <v>5120</v>
      </c>
      <c r="J31" s="287">
        <v>0</v>
      </c>
      <c r="K31" s="287">
        <v>0</v>
      </c>
      <c r="L31" s="277">
        <v>0</v>
      </c>
      <c r="M31" s="277">
        <v>0</v>
      </c>
      <c r="N31" s="277" t="s">
        <v>796</v>
      </c>
      <c r="O31" s="277" t="s">
        <v>796</v>
      </c>
      <c r="P31" s="277">
        <f t="shared" si="1"/>
        <v>0</v>
      </c>
      <c r="Q31" s="277">
        <v>0</v>
      </c>
      <c r="R31" s="277">
        <v>0</v>
      </c>
      <c r="S31" s="277">
        <v>0</v>
      </c>
      <c r="T31" s="277">
        <v>0</v>
      </c>
      <c r="U31" s="277">
        <v>0</v>
      </c>
      <c r="V31" s="277">
        <v>0</v>
      </c>
      <c r="W31" s="277">
        <f t="shared" si="2"/>
        <v>0</v>
      </c>
      <c r="X31" s="296"/>
      <c r="Z31" s="255">
        <f t="shared" si="3"/>
        <v>0</v>
      </c>
    </row>
    <row r="32" ht="15.6" spans="1:26">
      <c r="A32" s="255" t="s">
        <v>189</v>
      </c>
      <c r="B32" s="255" t="s">
        <v>812</v>
      </c>
      <c r="C32" s="255" t="s">
        <v>446</v>
      </c>
      <c r="D32" s="255" t="s">
        <v>5151</v>
      </c>
      <c r="E32" s="255" t="s">
        <v>351</v>
      </c>
      <c r="F32" s="270" t="s">
        <v>50</v>
      </c>
      <c r="G32" s="276"/>
      <c r="H32" s="277">
        <f t="shared" si="5"/>
        <v>802.75</v>
      </c>
      <c r="I32" s="288" t="s">
        <v>5117</v>
      </c>
      <c r="J32" s="287">
        <v>818</v>
      </c>
      <c r="K32" s="287">
        <v>612</v>
      </c>
      <c r="L32" s="277" t="s">
        <v>5152</v>
      </c>
      <c r="M32" s="277">
        <v>1338</v>
      </c>
      <c r="N32" s="277" t="s">
        <v>796</v>
      </c>
      <c r="O32" s="277" t="s">
        <v>5153</v>
      </c>
      <c r="P32" s="277">
        <f t="shared" si="1"/>
        <v>271</v>
      </c>
      <c r="Q32" s="277">
        <v>270</v>
      </c>
      <c r="R32" s="277">
        <v>1500</v>
      </c>
      <c r="S32" s="277">
        <v>1500</v>
      </c>
      <c r="T32" s="277">
        <v>3600</v>
      </c>
      <c r="U32" s="277">
        <v>1500</v>
      </c>
      <c r="V32" s="277">
        <v>469</v>
      </c>
      <c r="W32" s="277">
        <f t="shared" si="2"/>
        <v>1334.5</v>
      </c>
      <c r="X32" s="296"/>
      <c r="Z32" s="255">
        <f t="shared" si="3"/>
        <v>0</v>
      </c>
    </row>
  </sheetData>
  <autoFilter ref="A8:AA32">
    <extLst/>
  </autoFilter>
  <conditionalFormatting sqref="J12">
    <cfRule type="cellIs" dxfId="3" priority="137" operator="greaterThan">
      <formula>0</formula>
    </cfRule>
    <cfRule type="cellIs" dxfId="4" priority="138" operator="equal">
      <formula>0</formula>
    </cfRule>
  </conditionalFormatting>
  <conditionalFormatting sqref="J20">
    <cfRule type="cellIs" dxfId="3" priority="89" operator="greaterThan">
      <formula>0</formula>
    </cfRule>
    <cfRule type="cellIs" dxfId="4" priority="90" operator="equal">
      <formula>0</formula>
    </cfRule>
  </conditionalFormatting>
  <conditionalFormatting sqref="J27">
    <cfRule type="cellIs" dxfId="3" priority="49" operator="greaterThan">
      <formula>0</formula>
    </cfRule>
    <cfRule type="cellIs" dxfId="4" priority="50" operator="equal">
      <formula>0</formula>
    </cfRule>
  </conditionalFormatting>
  <conditionalFormatting sqref="J1:W6">
    <cfRule type="cellIs" dxfId="3" priority="1" operator="greaterThan">
      <formula>0</formula>
    </cfRule>
    <cfRule type="cellIs" dxfId="4" priority="2" operator="equal">
      <formula>0</formula>
    </cfRule>
  </conditionalFormatting>
  <conditionalFormatting sqref="J8:W9">
    <cfRule type="cellIs" dxfId="3" priority="153" operator="greaterThan">
      <formula>0</formula>
    </cfRule>
    <cfRule type="cellIs" dxfId="4" priority="154" operator="equal">
      <formula>0</formula>
    </cfRule>
  </conditionalFormatting>
  <conditionalFormatting sqref="J10:K11">
    <cfRule type="cellIs" dxfId="3" priority="143" operator="greaterThan">
      <formula>0</formula>
    </cfRule>
    <cfRule type="cellIs" dxfId="4" priority="144" operator="equal">
      <formula>0</formula>
    </cfRule>
  </conditionalFormatting>
  <conditionalFormatting sqref="L10:W32">
    <cfRule type="cellIs" dxfId="3" priority="17" operator="greaterThan">
      <formula>0</formula>
    </cfRule>
    <cfRule type="cellIs" dxfId="4" priority="18" operator="equal">
      <formula>0</formula>
    </cfRule>
  </conditionalFormatting>
  <conditionalFormatting sqref="J13:K19">
    <cfRule type="cellIs" dxfId="3" priority="95" operator="greaterThan">
      <formula>0</formula>
    </cfRule>
    <cfRule type="cellIs" dxfId="4" priority="96" operator="equal">
      <formula>0</formula>
    </cfRule>
  </conditionalFormatting>
  <conditionalFormatting sqref="J21:K26">
    <cfRule type="cellIs" dxfId="3" priority="55" operator="greaterThan">
      <formula>0</formula>
    </cfRule>
    <cfRule type="cellIs" dxfId="4" priority="56" operator="equal">
      <formula>0</formula>
    </cfRule>
  </conditionalFormatting>
  <conditionalFormatting sqref="J28:K32">
    <cfRule type="cellIs" dxfId="3" priority="19" operator="greaterThan">
      <formula>0</formula>
    </cfRule>
    <cfRule type="cellIs" dxfId="4" priority="20" operator="equal">
      <formula>0</formula>
    </cfRule>
  </conditionalFormatting>
  <conditionalFormatting sqref="J33:W1048576">
    <cfRule type="cellIs" dxfId="3" priority="165" operator="greaterThan">
      <formula>0</formula>
    </cfRule>
    <cfRule type="cellIs" dxfId="4" priority="166" operator="equal">
      <formula>0</formula>
    </cfRule>
  </conditionalFormatting>
  <hyperlinks>
    <hyperlink ref="D10" r:id="rId1" display="www.oempartsource.com"/>
  </hyperlinks>
  <pageMargins left="0.7" right="0.7" top="0.75" bottom="0.75" header="0.3" footer="0.3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"/>
  <sheetViews>
    <sheetView workbookViewId="0">
      <selection activeCell="A1" sqref="A1"/>
    </sheetView>
  </sheetViews>
  <sheetFormatPr defaultColWidth="21.3333333333333" defaultRowHeight="15.6"/>
  <cols>
    <col min="1" max="1" width="21.2222222222222" style="258" customWidth="1"/>
    <col min="2" max="2" width="20.6666666666667" style="258" customWidth="1"/>
    <col min="3" max="3" width="8.44444444444444" style="258" customWidth="1"/>
    <col min="4" max="4" width="21.2222222222222" style="258" customWidth="1"/>
    <col min="5" max="8" width="26.2222222222222" style="259" customWidth="1"/>
    <col min="9" max="9" width="21.3333333333333" style="259"/>
    <col min="10" max="10" width="21.3333333333333" style="258"/>
    <col min="11" max="11" width="21.3333333333333" style="260"/>
    <col min="12" max="16384" width="21.3333333333333" style="258"/>
  </cols>
  <sheetData>
    <row r="1" customFormat="1" spans="1:11">
      <c r="A1" s="261" t="s">
        <v>636</v>
      </c>
      <c r="B1" s="262" t="s">
        <v>637</v>
      </c>
      <c r="C1" s="262" t="s">
        <v>4663</v>
      </c>
      <c r="D1" s="262" t="s">
        <v>207</v>
      </c>
      <c r="E1" s="263" t="s">
        <v>4690</v>
      </c>
      <c r="F1" s="263" t="s">
        <v>4691</v>
      </c>
      <c r="G1" s="263" t="s">
        <v>4692</v>
      </c>
      <c r="H1" s="263" t="s">
        <v>4693</v>
      </c>
      <c r="I1" s="267" t="s">
        <v>5154</v>
      </c>
      <c r="J1" s="263" t="s">
        <v>5155</v>
      </c>
      <c r="K1" s="260" t="s">
        <v>4731</v>
      </c>
    </row>
    <row r="2" spans="1:11">
      <c r="A2" s="258" t="s">
        <v>5156</v>
      </c>
      <c r="B2" s="258" t="s">
        <v>4776</v>
      </c>
      <c r="D2" s="258" t="s">
        <v>5157</v>
      </c>
      <c r="E2" s="259">
        <v>0</v>
      </c>
      <c r="F2" s="259">
        <v>0</v>
      </c>
      <c r="G2" s="259">
        <v>0</v>
      </c>
      <c r="H2" s="259">
        <v>0</v>
      </c>
      <c r="I2" s="259">
        <v>0</v>
      </c>
      <c r="J2" s="258">
        <v>0</v>
      </c>
      <c r="K2" s="260" t="s">
        <v>5158</v>
      </c>
    </row>
    <row r="3" spans="1:11">
      <c r="A3" s="258" t="s">
        <v>5159</v>
      </c>
      <c r="B3" s="258" t="s">
        <v>4776</v>
      </c>
      <c r="D3" s="258" t="s">
        <v>5160</v>
      </c>
      <c r="E3" s="259">
        <v>0</v>
      </c>
      <c r="F3" s="259">
        <v>0</v>
      </c>
      <c r="G3" s="259">
        <v>0</v>
      </c>
      <c r="H3" s="259">
        <v>0</v>
      </c>
      <c r="I3" s="259">
        <v>0</v>
      </c>
      <c r="J3" s="258">
        <v>0</v>
      </c>
      <c r="K3" s="260" t="s">
        <v>5161</v>
      </c>
    </row>
    <row r="4" spans="1:11">
      <c r="A4" s="258" t="s">
        <v>5162</v>
      </c>
      <c r="B4" s="258" t="s">
        <v>4776</v>
      </c>
      <c r="D4" s="258" t="s">
        <v>5163</v>
      </c>
      <c r="E4" s="259">
        <v>0</v>
      </c>
      <c r="F4" s="259">
        <v>0</v>
      </c>
      <c r="G4" s="259">
        <v>0</v>
      </c>
      <c r="H4" s="259">
        <v>0</v>
      </c>
      <c r="I4" s="259">
        <v>0</v>
      </c>
      <c r="J4" s="258">
        <v>0</v>
      </c>
      <c r="K4" s="260" t="s">
        <v>5164</v>
      </c>
    </row>
    <row r="5" spans="1:11">
      <c r="A5" s="258" t="s">
        <v>5165</v>
      </c>
      <c r="B5" s="258" t="s">
        <v>4776</v>
      </c>
      <c r="D5" s="258" t="s">
        <v>5166</v>
      </c>
      <c r="E5" s="259">
        <v>0</v>
      </c>
      <c r="F5" s="259">
        <v>0</v>
      </c>
      <c r="G5" s="259">
        <v>0</v>
      </c>
      <c r="H5" s="259">
        <v>0</v>
      </c>
      <c r="I5" s="259">
        <v>0</v>
      </c>
      <c r="J5" s="258">
        <v>0</v>
      </c>
      <c r="K5" s="260" t="s">
        <v>5167</v>
      </c>
    </row>
    <row r="6" customFormat="1" spans="1:11">
      <c r="A6" s="258"/>
      <c r="B6" s="258"/>
      <c r="C6" s="258"/>
      <c r="D6" s="258"/>
      <c r="E6" s="259"/>
      <c r="F6" s="259"/>
      <c r="G6" s="259"/>
      <c r="H6" s="259"/>
      <c r="I6" s="259"/>
      <c r="J6" s="258"/>
      <c r="K6" s="260"/>
    </row>
    <row r="7" customFormat="1" spans="1:11">
      <c r="A7" s="261" t="s">
        <v>636</v>
      </c>
      <c r="B7" s="262" t="s">
        <v>637</v>
      </c>
      <c r="C7" s="262" t="s">
        <v>4663</v>
      </c>
      <c r="D7" s="262" t="s">
        <v>207</v>
      </c>
      <c r="E7" s="263" t="s">
        <v>4688</v>
      </c>
      <c r="F7" s="263" t="s">
        <v>4689</v>
      </c>
      <c r="G7" s="263" t="s">
        <v>4690</v>
      </c>
      <c r="H7" s="263" t="s">
        <v>4691</v>
      </c>
      <c r="I7" s="267" t="s">
        <v>5168</v>
      </c>
      <c r="J7" s="263" t="s">
        <v>5169</v>
      </c>
      <c r="K7" s="260" t="s">
        <v>4731</v>
      </c>
    </row>
    <row r="8" customFormat="1" ht="14.4" spans="1:11">
      <c r="A8" s="264" t="s">
        <v>5170</v>
      </c>
      <c r="B8" s="264" t="s">
        <v>4776</v>
      </c>
      <c r="C8" s="264"/>
      <c r="D8" s="265" t="s">
        <v>5171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5172</v>
      </c>
    </row>
    <row r="9" customFormat="1" ht="14.4" spans="1:11">
      <c r="A9" s="264" t="s">
        <v>5173</v>
      </c>
      <c r="B9" s="264" t="s">
        <v>4776</v>
      </c>
      <c r="C9" s="264"/>
      <c r="D9" s="265" t="s">
        <v>5174</v>
      </c>
      <c r="E9">
        <v>0</v>
      </c>
      <c r="F9">
        <v>458</v>
      </c>
      <c r="G9">
        <v>0</v>
      </c>
      <c r="H9">
        <v>0</v>
      </c>
      <c r="I9">
        <v>0</v>
      </c>
      <c r="J9">
        <v>-458</v>
      </c>
      <c r="K9" t="s">
        <v>5175</v>
      </c>
    </row>
    <row r="10" customFormat="1" ht="14.4" spans="1:11">
      <c r="A10" s="264" t="s">
        <v>5176</v>
      </c>
      <c r="B10" s="264" t="s">
        <v>4776</v>
      </c>
      <c r="C10" s="264"/>
      <c r="D10" s="265" t="s">
        <v>5177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5178</v>
      </c>
    </row>
    <row r="12" spans="1:11">
      <c r="A12" s="261" t="s">
        <v>636</v>
      </c>
      <c r="B12" s="262" t="s">
        <v>637</v>
      </c>
      <c r="C12" s="262" t="s">
        <v>4663</v>
      </c>
      <c r="D12" s="262" t="s">
        <v>207</v>
      </c>
      <c r="E12" s="263" t="s">
        <v>4722</v>
      </c>
      <c r="F12" s="263" t="s">
        <v>4723</v>
      </c>
      <c r="G12" s="263" t="s">
        <v>4724</v>
      </c>
      <c r="H12" s="263" t="s">
        <v>4725</v>
      </c>
      <c r="I12" s="267" t="s">
        <v>5179</v>
      </c>
      <c r="J12" s="263" t="s">
        <v>5180</v>
      </c>
      <c r="K12" s="260" t="s">
        <v>4731</v>
      </c>
    </row>
    <row r="13" customFormat="1" spans="1:11">
      <c r="A13" s="264" t="s">
        <v>5181</v>
      </c>
      <c r="B13" s="264" t="s">
        <v>4776</v>
      </c>
      <c r="C13" s="264"/>
      <c r="D13" s="265" t="s">
        <v>5182</v>
      </c>
      <c r="E13" s="266">
        <v>0</v>
      </c>
      <c r="F13" s="266">
        <v>0</v>
      </c>
      <c r="G13" s="200">
        <v>0</v>
      </c>
      <c r="H13" s="200">
        <v>0</v>
      </c>
      <c r="I13" s="266">
        <v>0</v>
      </c>
      <c r="J13" s="266">
        <v>0</v>
      </c>
      <c r="K13" s="260" t="s">
        <v>5183</v>
      </c>
    </row>
    <row r="14" customFormat="1" spans="1:11">
      <c r="A14" s="264" t="s">
        <v>5184</v>
      </c>
      <c r="B14" s="264" t="s">
        <v>4776</v>
      </c>
      <c r="C14" s="264"/>
      <c r="D14" s="265" t="s">
        <v>5185</v>
      </c>
      <c r="E14" s="266">
        <v>0</v>
      </c>
      <c r="F14" s="266">
        <v>0</v>
      </c>
      <c r="G14" s="200">
        <v>0</v>
      </c>
      <c r="H14" s="200">
        <v>0</v>
      </c>
      <c r="I14" s="266">
        <v>0</v>
      </c>
      <c r="J14" s="266">
        <v>0</v>
      </c>
      <c r="K14" s="260" t="s">
        <v>5186</v>
      </c>
    </row>
    <row r="15" customFormat="1" spans="1:11">
      <c r="A15" s="264" t="s">
        <v>5187</v>
      </c>
      <c r="B15" s="264" t="s">
        <v>4776</v>
      </c>
      <c r="C15" s="264"/>
      <c r="D15" t="s">
        <v>5188</v>
      </c>
      <c r="E15" s="266">
        <v>0</v>
      </c>
      <c r="F15" s="266">
        <v>0</v>
      </c>
      <c r="G15" s="200">
        <v>0</v>
      </c>
      <c r="H15" s="200">
        <v>0</v>
      </c>
      <c r="I15" s="266">
        <v>0</v>
      </c>
      <c r="J15" s="266">
        <v>0</v>
      </c>
      <c r="K15" s="260" t="s">
        <v>5189</v>
      </c>
    </row>
    <row r="16" customFormat="1" ht="14.4"/>
  </sheetData>
  <autoFilter ref="A12:K15">
    <extLst/>
  </autoFilter>
  <conditionalFormatting sqref="D1">
    <cfRule type="duplicateValues" dxfId="5" priority="6"/>
  </conditionalFormatting>
  <conditionalFormatting sqref="E1:H1">
    <cfRule type="cellIs" dxfId="4" priority="1" operator="equal">
      <formula>0</formula>
    </cfRule>
  </conditionalFormatting>
  <conditionalFormatting sqref="D7">
    <cfRule type="duplicateValues" dxfId="5" priority="26"/>
  </conditionalFormatting>
  <conditionalFormatting sqref="E7:H7">
    <cfRule type="cellIs" dxfId="4" priority="14" operator="equal">
      <formula>0</formula>
    </cfRule>
  </conditionalFormatting>
  <conditionalFormatting sqref="D12">
    <cfRule type="duplicateValues" dxfId="5" priority="92"/>
  </conditionalFormatting>
  <conditionalFormatting sqref="E12:H15">
    <cfRule type="cellIs" dxfId="4" priority="27" operator="equal">
      <formula>0</formula>
    </cfRule>
  </conditionalFormatting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5"/>
  <sheetViews>
    <sheetView workbookViewId="0">
      <selection activeCell="A1" sqref="A1"/>
    </sheetView>
  </sheetViews>
  <sheetFormatPr defaultColWidth="9" defaultRowHeight="14.4" outlineLevelCol="2"/>
  <cols>
    <col min="1" max="1" width="37.3333333333333" style="254" customWidth="1"/>
    <col min="2" max="2" width="19.1111111111111" style="254" customWidth="1"/>
    <col min="3" max="3" width="17" style="254" customWidth="1"/>
    <col min="4" max="16384" width="9" style="255"/>
  </cols>
  <sheetData>
    <row r="1" spans="1:3">
      <c r="A1" s="256" t="s">
        <v>207</v>
      </c>
      <c r="B1" s="257" t="s">
        <v>5190</v>
      </c>
      <c r="C1" s="257" t="s">
        <v>5191</v>
      </c>
    </row>
    <row r="2" spans="1:3">
      <c r="A2" s="254" t="s">
        <v>526</v>
      </c>
      <c r="B2" s="254">
        <v>312668</v>
      </c>
      <c r="C2" s="254">
        <v>0</v>
      </c>
    </row>
    <row r="3" spans="1:3">
      <c r="A3" s="254" t="s">
        <v>588</v>
      </c>
      <c r="B3" s="254">
        <v>190580</v>
      </c>
      <c r="C3" s="254">
        <v>158800</v>
      </c>
    </row>
    <row r="4" spans="1:3">
      <c r="A4" s="254" t="s">
        <v>592</v>
      </c>
      <c r="B4" s="254">
        <v>42025</v>
      </c>
      <c r="C4" s="254">
        <v>56300</v>
      </c>
    </row>
    <row r="5" spans="1:3">
      <c r="A5" s="254" t="s">
        <v>589</v>
      </c>
      <c r="B5" s="254">
        <v>49591</v>
      </c>
      <c r="C5" s="254">
        <v>46800</v>
      </c>
    </row>
    <row r="6" spans="1:3">
      <c r="A6" s="254" t="s">
        <v>322</v>
      </c>
      <c r="B6" s="254">
        <v>39851</v>
      </c>
      <c r="C6" s="254">
        <v>37200</v>
      </c>
    </row>
    <row r="7" spans="1:3">
      <c r="A7" s="254" t="s">
        <v>5192</v>
      </c>
      <c r="B7" s="254">
        <v>0</v>
      </c>
      <c r="C7" s="254">
        <v>4200</v>
      </c>
    </row>
    <row r="8" spans="1:3">
      <c r="A8" s="254" t="s">
        <v>591</v>
      </c>
      <c r="B8" s="254">
        <v>16225</v>
      </c>
      <c r="C8" s="254">
        <v>11900</v>
      </c>
    </row>
    <row r="9" spans="1:3">
      <c r="A9" s="254" t="s">
        <v>5193</v>
      </c>
      <c r="B9" s="254">
        <v>0</v>
      </c>
      <c r="C9" s="254">
        <v>0</v>
      </c>
    </row>
    <row r="10" spans="1:3">
      <c r="A10" s="254" t="s">
        <v>524</v>
      </c>
      <c r="B10" s="254">
        <v>190836</v>
      </c>
      <c r="C10" s="254">
        <v>236600</v>
      </c>
    </row>
    <row r="11" spans="1:3">
      <c r="A11" s="254" t="s">
        <v>476</v>
      </c>
      <c r="B11" s="254">
        <v>207908</v>
      </c>
      <c r="C11" s="254">
        <v>173100</v>
      </c>
    </row>
    <row r="12" spans="1:3">
      <c r="A12" s="254" t="s">
        <v>625</v>
      </c>
      <c r="B12" s="254">
        <v>50414</v>
      </c>
      <c r="C12" s="254">
        <v>57200</v>
      </c>
    </row>
    <row r="13" spans="1:3">
      <c r="A13" s="254" t="s">
        <v>626</v>
      </c>
      <c r="B13" s="254">
        <v>60426</v>
      </c>
      <c r="C13" s="254">
        <v>39100</v>
      </c>
    </row>
    <row r="14" spans="1:3">
      <c r="A14" s="254" t="s">
        <v>4662</v>
      </c>
      <c r="B14" s="254">
        <v>0</v>
      </c>
      <c r="C14" s="254">
        <v>0</v>
      </c>
    </row>
    <row r="15" spans="1:3">
      <c r="A15" s="254" t="s">
        <v>373</v>
      </c>
      <c r="B15" s="254">
        <v>10937</v>
      </c>
      <c r="C15" s="254">
        <v>7800</v>
      </c>
    </row>
    <row r="16" spans="1:3">
      <c r="A16" s="254" t="s">
        <v>5194</v>
      </c>
      <c r="B16" s="254">
        <v>63909</v>
      </c>
      <c r="C16" s="254">
        <v>3200</v>
      </c>
    </row>
    <row r="17" spans="1:3">
      <c r="A17" s="254" t="s">
        <v>5195</v>
      </c>
      <c r="B17" s="254">
        <v>6653</v>
      </c>
      <c r="C17" s="254">
        <v>6400</v>
      </c>
    </row>
    <row r="18" spans="1:3">
      <c r="A18" s="254" t="s">
        <v>583</v>
      </c>
      <c r="B18" s="254">
        <v>227722</v>
      </c>
      <c r="C18" s="254">
        <v>608100</v>
      </c>
    </row>
    <row r="19" spans="1:3">
      <c r="A19" s="254" t="s">
        <v>578</v>
      </c>
      <c r="B19" s="254">
        <v>136469</v>
      </c>
      <c r="C19" s="254">
        <v>140000</v>
      </c>
    </row>
    <row r="20" spans="1:3">
      <c r="A20" s="254" t="s">
        <v>311</v>
      </c>
      <c r="B20" s="254">
        <v>95327</v>
      </c>
      <c r="C20" s="254">
        <v>96900</v>
      </c>
    </row>
    <row r="21" spans="1:3">
      <c r="A21" s="254" t="s">
        <v>314</v>
      </c>
      <c r="B21" s="254">
        <v>73738</v>
      </c>
      <c r="C21" s="254">
        <v>61900</v>
      </c>
    </row>
    <row r="22" spans="1:3">
      <c r="A22" s="254" t="s">
        <v>5196</v>
      </c>
      <c r="B22" s="254">
        <v>0</v>
      </c>
      <c r="C22" s="254">
        <v>5400</v>
      </c>
    </row>
    <row r="23" spans="1:3">
      <c r="A23" s="254" t="s">
        <v>172</v>
      </c>
      <c r="B23" s="254">
        <v>56078</v>
      </c>
      <c r="C23" s="254">
        <v>47500</v>
      </c>
    </row>
    <row r="24" spans="1:3">
      <c r="A24" s="254" t="s">
        <v>388</v>
      </c>
      <c r="B24" s="254">
        <v>27719</v>
      </c>
      <c r="C24" s="254">
        <v>13500</v>
      </c>
    </row>
    <row r="25" spans="1:3">
      <c r="A25" s="254" t="s">
        <v>5197</v>
      </c>
      <c r="B25" s="254">
        <v>0</v>
      </c>
      <c r="C25" s="254">
        <v>5900</v>
      </c>
    </row>
    <row r="26" spans="1:3">
      <c r="A26" s="254" t="s">
        <v>579</v>
      </c>
      <c r="B26" s="254">
        <v>84459</v>
      </c>
      <c r="C26" s="254">
        <v>8600</v>
      </c>
    </row>
    <row r="27" spans="1:3">
      <c r="A27" s="254" t="s">
        <v>4612</v>
      </c>
      <c r="B27" s="254">
        <v>2482</v>
      </c>
      <c r="C27" s="254">
        <v>4800</v>
      </c>
    </row>
    <row r="28" spans="1:3">
      <c r="A28" s="254" t="s">
        <v>581</v>
      </c>
      <c r="B28" s="254">
        <v>13451</v>
      </c>
      <c r="C28" s="254">
        <v>5400</v>
      </c>
    </row>
    <row r="29" spans="1:3">
      <c r="A29" s="254" t="s">
        <v>582</v>
      </c>
      <c r="B29" s="254">
        <v>6616</v>
      </c>
      <c r="C29" s="254">
        <v>14500</v>
      </c>
    </row>
    <row r="30" spans="1:3">
      <c r="A30" s="254" t="s">
        <v>4615</v>
      </c>
      <c r="B30" s="254">
        <v>0</v>
      </c>
      <c r="C30" s="254">
        <v>0</v>
      </c>
    </row>
    <row r="31" spans="1:3">
      <c r="A31" s="254" t="s">
        <v>5198</v>
      </c>
      <c r="B31" s="254">
        <v>0</v>
      </c>
      <c r="C31" s="254">
        <v>4400</v>
      </c>
    </row>
    <row r="32" spans="1:3">
      <c r="A32" s="254" t="s">
        <v>5100</v>
      </c>
      <c r="B32" s="254">
        <v>0</v>
      </c>
      <c r="C32" s="254">
        <v>4400</v>
      </c>
    </row>
    <row r="33" spans="1:3">
      <c r="A33" s="254" t="s">
        <v>554</v>
      </c>
      <c r="B33" s="254">
        <v>554954</v>
      </c>
      <c r="C33" s="254">
        <v>0</v>
      </c>
    </row>
    <row r="34" spans="1:3">
      <c r="A34" s="254" t="s">
        <v>507</v>
      </c>
      <c r="B34" s="254">
        <v>851587</v>
      </c>
      <c r="C34" s="254">
        <v>748800</v>
      </c>
    </row>
    <row r="35" spans="1:3">
      <c r="A35" s="254" t="s">
        <v>546</v>
      </c>
      <c r="B35" s="254">
        <v>282851</v>
      </c>
      <c r="C35" s="254">
        <v>406200</v>
      </c>
    </row>
    <row r="36" spans="1:3">
      <c r="A36" s="254" t="s">
        <v>556</v>
      </c>
      <c r="B36" s="254">
        <v>336635</v>
      </c>
      <c r="C36" s="254">
        <v>0</v>
      </c>
    </row>
    <row r="37" spans="1:3">
      <c r="A37" s="254" t="s">
        <v>270</v>
      </c>
      <c r="B37" s="254">
        <v>327674</v>
      </c>
      <c r="C37" s="254">
        <v>108700</v>
      </c>
    </row>
    <row r="38" spans="1:3">
      <c r="A38" s="254" t="s">
        <v>555</v>
      </c>
      <c r="B38" s="254">
        <v>399483</v>
      </c>
      <c r="C38" s="254">
        <v>0</v>
      </c>
    </row>
    <row r="39" spans="1:3">
      <c r="A39" s="254" t="s">
        <v>548</v>
      </c>
      <c r="B39" s="254">
        <v>170356</v>
      </c>
      <c r="C39" s="254">
        <v>256600</v>
      </c>
    </row>
    <row r="40" spans="1:3">
      <c r="A40" s="254" t="s">
        <v>547</v>
      </c>
      <c r="B40" s="254">
        <v>139543</v>
      </c>
      <c r="C40" s="254">
        <v>99300</v>
      </c>
    </row>
    <row r="41" spans="1:3">
      <c r="A41" s="254" t="s">
        <v>549</v>
      </c>
      <c r="B41" s="254">
        <v>54248</v>
      </c>
      <c r="C41" s="254">
        <v>31000</v>
      </c>
    </row>
    <row r="42" spans="1:3">
      <c r="A42" s="254" t="s">
        <v>5199</v>
      </c>
      <c r="B42" s="254">
        <v>137669</v>
      </c>
      <c r="C42" s="254">
        <v>15400</v>
      </c>
    </row>
    <row r="43" spans="1:3">
      <c r="A43" s="254" t="s">
        <v>553</v>
      </c>
      <c r="B43" s="254">
        <v>20071</v>
      </c>
      <c r="C43" s="254">
        <v>8400</v>
      </c>
    </row>
    <row r="44" spans="1:3">
      <c r="A44" s="254" t="s">
        <v>524</v>
      </c>
      <c r="B44" s="254">
        <v>190836</v>
      </c>
      <c r="C44" s="254">
        <v>236600</v>
      </c>
    </row>
    <row r="45" spans="1:3">
      <c r="A45" s="254" t="s">
        <v>508</v>
      </c>
      <c r="B45" s="254">
        <v>355672</v>
      </c>
      <c r="C45" s="254">
        <v>130700</v>
      </c>
    </row>
    <row r="46" spans="1:3">
      <c r="A46" s="254" t="s">
        <v>5104</v>
      </c>
      <c r="B46" s="254">
        <v>0</v>
      </c>
      <c r="C46" s="254">
        <v>5000</v>
      </c>
    </row>
    <row r="47" spans="1:3">
      <c r="A47" s="254" t="s">
        <v>154</v>
      </c>
      <c r="B47" s="254">
        <v>18724</v>
      </c>
      <c r="C47" s="254">
        <v>21400</v>
      </c>
    </row>
    <row r="48" spans="1:3">
      <c r="A48" s="254" t="s">
        <v>552</v>
      </c>
      <c r="B48" s="254">
        <v>115793</v>
      </c>
      <c r="C48" s="254">
        <v>19900</v>
      </c>
    </row>
    <row r="49" spans="1:3">
      <c r="A49" s="254" t="s">
        <v>510</v>
      </c>
      <c r="B49" s="254">
        <v>270598</v>
      </c>
      <c r="C49" s="254">
        <v>420300</v>
      </c>
    </row>
    <row r="50" spans="1:3">
      <c r="A50" s="254" t="s">
        <v>499</v>
      </c>
      <c r="B50" s="254">
        <v>384338</v>
      </c>
      <c r="C50" s="254">
        <v>995000</v>
      </c>
    </row>
    <row r="51" spans="1:3">
      <c r="A51" s="254" t="s">
        <v>500</v>
      </c>
      <c r="B51" s="254">
        <v>458115</v>
      </c>
      <c r="C51" s="254">
        <v>561800</v>
      </c>
    </row>
    <row r="52" spans="1:3">
      <c r="A52" s="254" t="s">
        <v>501</v>
      </c>
      <c r="B52" s="254">
        <v>392407</v>
      </c>
      <c r="C52" s="254">
        <v>372600</v>
      </c>
    </row>
    <row r="53" spans="1:3">
      <c r="A53" s="254" t="s">
        <v>503</v>
      </c>
      <c r="B53" s="254">
        <v>301425</v>
      </c>
      <c r="C53" s="254">
        <v>261900</v>
      </c>
    </row>
    <row r="54" spans="1:3">
      <c r="A54" s="254" t="s">
        <v>504</v>
      </c>
      <c r="B54" s="254">
        <v>184842</v>
      </c>
      <c r="C54" s="254">
        <v>119300</v>
      </c>
    </row>
    <row r="55" spans="1:3">
      <c r="A55" s="254" t="s">
        <v>507</v>
      </c>
      <c r="B55" s="254">
        <v>851587</v>
      </c>
      <c r="C55" s="254">
        <v>748800</v>
      </c>
    </row>
    <row r="56" spans="1:3">
      <c r="A56" s="254" t="s">
        <v>512</v>
      </c>
      <c r="B56" s="254">
        <v>216913</v>
      </c>
      <c r="C56" s="254">
        <v>55200</v>
      </c>
    </row>
    <row r="57" spans="1:3">
      <c r="A57" s="254" t="s">
        <v>505</v>
      </c>
      <c r="B57" s="254">
        <v>91537</v>
      </c>
      <c r="C57" s="254">
        <v>139200</v>
      </c>
    </row>
    <row r="58" spans="1:3">
      <c r="A58" s="254" t="s">
        <v>506</v>
      </c>
      <c r="B58" s="254">
        <v>112153</v>
      </c>
      <c r="C58" s="254">
        <v>91200</v>
      </c>
    </row>
    <row r="59" spans="1:3">
      <c r="A59" s="254" t="s">
        <v>509</v>
      </c>
      <c r="B59" s="254">
        <v>35243</v>
      </c>
      <c r="C59" s="254">
        <v>59300</v>
      </c>
    </row>
    <row r="60" spans="1:3">
      <c r="A60" s="254" t="s">
        <v>514</v>
      </c>
      <c r="B60" s="254">
        <v>86274</v>
      </c>
      <c r="C60" s="254">
        <v>48700</v>
      </c>
    </row>
    <row r="61" spans="1:3">
      <c r="A61" s="254" t="s">
        <v>147</v>
      </c>
      <c r="B61" s="254">
        <v>66508</v>
      </c>
      <c r="C61" s="254">
        <v>23700</v>
      </c>
    </row>
    <row r="62" spans="1:3">
      <c r="A62" s="254" t="s">
        <v>5200</v>
      </c>
      <c r="B62" s="254">
        <v>14175</v>
      </c>
      <c r="C62" s="254">
        <v>24700</v>
      </c>
    </row>
    <row r="63" spans="1:3">
      <c r="A63" s="254" t="s">
        <v>5201</v>
      </c>
      <c r="B63" s="254">
        <v>14543</v>
      </c>
      <c r="C63" s="254">
        <v>4600</v>
      </c>
    </row>
    <row r="64" spans="1:3">
      <c r="A64" s="254" t="s">
        <v>5202</v>
      </c>
      <c r="B64" s="254">
        <v>15405</v>
      </c>
      <c r="C64" s="254">
        <v>9800</v>
      </c>
    </row>
    <row r="65" spans="1:3">
      <c r="A65" s="254" t="s">
        <v>5203</v>
      </c>
      <c r="B65" s="254">
        <v>4329</v>
      </c>
      <c r="C65" s="254">
        <v>16000</v>
      </c>
    </row>
    <row r="66" spans="1:3">
      <c r="A66" s="254" t="s">
        <v>5204</v>
      </c>
      <c r="B66" s="254">
        <v>5052</v>
      </c>
      <c r="C66" s="254">
        <v>6200</v>
      </c>
    </row>
    <row r="67" spans="1:3">
      <c r="A67" s="254" t="s">
        <v>5205</v>
      </c>
      <c r="B67" s="254">
        <v>0</v>
      </c>
      <c r="C67" s="254">
        <v>0</v>
      </c>
    </row>
    <row r="68" spans="1:3">
      <c r="A68" s="254" t="s">
        <v>5206</v>
      </c>
      <c r="B68" s="254">
        <v>0</v>
      </c>
      <c r="C68" s="254">
        <v>0</v>
      </c>
    </row>
    <row r="69" spans="1:3">
      <c r="A69" s="254" t="s">
        <v>5207</v>
      </c>
      <c r="B69" s="254">
        <v>0</v>
      </c>
      <c r="C69" s="254">
        <v>0</v>
      </c>
    </row>
    <row r="70" spans="1:3">
      <c r="A70" s="254" t="s">
        <v>5208</v>
      </c>
      <c r="B70" s="254">
        <v>0</v>
      </c>
      <c r="C70" s="254">
        <v>0</v>
      </c>
    </row>
    <row r="71" spans="1:3">
      <c r="A71" s="254" t="s">
        <v>515</v>
      </c>
      <c r="B71" s="254">
        <v>1</v>
      </c>
      <c r="C71" s="254">
        <v>1100000</v>
      </c>
    </row>
    <row r="72" spans="1:3">
      <c r="A72" s="254" t="s">
        <v>519</v>
      </c>
      <c r="B72" s="254">
        <v>200494</v>
      </c>
      <c r="C72" s="254">
        <v>221000</v>
      </c>
    </row>
    <row r="73" spans="1:3">
      <c r="A73" s="254" t="s">
        <v>516</v>
      </c>
      <c r="B73" s="254">
        <v>348869</v>
      </c>
      <c r="C73" s="254">
        <v>291900</v>
      </c>
    </row>
    <row r="74" spans="1:3">
      <c r="A74" s="254" t="s">
        <v>527</v>
      </c>
      <c r="B74" s="254">
        <v>133053</v>
      </c>
      <c r="C74" s="254">
        <v>91400</v>
      </c>
    </row>
    <row r="75" spans="1:3">
      <c r="A75" s="254" t="s">
        <v>517</v>
      </c>
      <c r="B75" s="254">
        <v>108820</v>
      </c>
      <c r="C75" s="254">
        <v>236000</v>
      </c>
    </row>
    <row r="76" spans="1:3">
      <c r="A76" s="254" t="s">
        <v>525</v>
      </c>
      <c r="B76" s="254">
        <v>2718</v>
      </c>
      <c r="C76" s="254">
        <v>23800</v>
      </c>
    </row>
    <row r="77" spans="1:3">
      <c r="A77" s="254" t="s">
        <v>523</v>
      </c>
      <c r="B77" s="254">
        <v>43450</v>
      </c>
      <c r="C77" s="254">
        <v>39700</v>
      </c>
    </row>
    <row r="78" spans="1:3">
      <c r="A78" s="254" t="s">
        <v>4196</v>
      </c>
      <c r="B78" s="254">
        <v>0</v>
      </c>
      <c r="C78" s="254">
        <v>0</v>
      </c>
    </row>
    <row r="79" spans="1:3">
      <c r="A79" s="254" t="s">
        <v>522</v>
      </c>
      <c r="B79" s="254">
        <v>45068</v>
      </c>
      <c r="C79" s="254">
        <v>63700</v>
      </c>
    </row>
    <row r="80" spans="1:3">
      <c r="A80" s="254" t="s">
        <v>5209</v>
      </c>
      <c r="B80" s="254">
        <v>0</v>
      </c>
      <c r="C80" s="254">
        <v>0</v>
      </c>
    </row>
    <row r="81" spans="1:3">
      <c r="A81" s="254" t="s">
        <v>5210</v>
      </c>
      <c r="B81" s="254">
        <v>14203</v>
      </c>
      <c r="C81" s="254">
        <v>15300</v>
      </c>
    </row>
    <row r="82" spans="1:3">
      <c r="A82" s="254" t="s">
        <v>5211</v>
      </c>
      <c r="B82" s="254">
        <v>0</v>
      </c>
      <c r="C82" s="254">
        <v>0</v>
      </c>
    </row>
    <row r="83" spans="1:3">
      <c r="A83" s="254" t="s">
        <v>4197</v>
      </c>
      <c r="B83" s="254">
        <v>0</v>
      </c>
      <c r="C83" s="254">
        <v>0</v>
      </c>
    </row>
    <row r="84" spans="1:3">
      <c r="A84" s="254" t="s">
        <v>518</v>
      </c>
      <c r="B84" s="254">
        <v>183988</v>
      </c>
      <c r="C84" s="254">
        <v>367900</v>
      </c>
    </row>
    <row r="85" spans="1:3">
      <c r="A85" s="254" t="s">
        <v>510</v>
      </c>
      <c r="B85" s="254">
        <v>270598</v>
      </c>
      <c r="C85" s="254">
        <v>420300</v>
      </c>
    </row>
    <row r="86" spans="1:3">
      <c r="A86" s="254" t="s">
        <v>524</v>
      </c>
      <c r="B86" s="254">
        <v>190836</v>
      </c>
      <c r="C86" s="254">
        <v>236600</v>
      </c>
    </row>
    <row r="87" spans="1:3">
      <c r="A87" s="254" t="s">
        <v>564</v>
      </c>
      <c r="B87" s="254">
        <v>338402</v>
      </c>
      <c r="C87" s="254">
        <v>270500</v>
      </c>
    </row>
    <row r="88" spans="1:3">
      <c r="A88" s="254" t="s">
        <v>568</v>
      </c>
      <c r="B88" s="254">
        <v>245406</v>
      </c>
      <c r="C88" s="254">
        <v>138200</v>
      </c>
    </row>
    <row r="89" spans="1:3">
      <c r="A89" s="254" t="s">
        <v>565</v>
      </c>
      <c r="B89" s="254">
        <v>146797</v>
      </c>
      <c r="C89" s="254">
        <v>63000</v>
      </c>
    </row>
    <row r="90" spans="1:3">
      <c r="A90" s="254" t="s">
        <v>567</v>
      </c>
      <c r="B90" s="254">
        <v>28296</v>
      </c>
      <c r="C90" s="254">
        <v>19400</v>
      </c>
    </row>
    <row r="91" spans="1:3">
      <c r="A91" s="254" t="s">
        <v>4425</v>
      </c>
      <c r="B91" s="254">
        <v>469</v>
      </c>
      <c r="C91" s="254">
        <v>1300</v>
      </c>
    </row>
    <row r="92" spans="1:3">
      <c r="A92" s="254" t="s">
        <v>4429</v>
      </c>
      <c r="B92" s="254">
        <v>24477</v>
      </c>
      <c r="C92" s="254">
        <v>5000</v>
      </c>
    </row>
    <row r="93" spans="1:3">
      <c r="A93" s="254" t="s">
        <v>569</v>
      </c>
      <c r="B93" s="254">
        <v>13899</v>
      </c>
      <c r="C93" s="254">
        <v>11500</v>
      </c>
    </row>
    <row r="94" spans="1:3">
      <c r="A94" s="254" t="s">
        <v>5212</v>
      </c>
      <c r="B94" s="254">
        <v>4488</v>
      </c>
      <c r="C94" s="254">
        <v>7800</v>
      </c>
    </row>
    <row r="95" spans="1:3">
      <c r="A95" s="254" t="s">
        <v>5110</v>
      </c>
      <c r="B95" s="254">
        <v>0</v>
      </c>
      <c r="C95" s="254">
        <v>4400</v>
      </c>
    </row>
    <row r="96" spans="1:3">
      <c r="A96" s="254" t="s">
        <v>566</v>
      </c>
      <c r="B96" s="254">
        <v>154380</v>
      </c>
      <c r="C96" s="254">
        <v>29300</v>
      </c>
    </row>
    <row r="97" spans="1:3">
      <c r="A97" s="254" t="s">
        <v>524</v>
      </c>
      <c r="B97" s="254">
        <v>190836</v>
      </c>
      <c r="C97" s="254">
        <v>236600</v>
      </c>
    </row>
    <row r="98" spans="1:3">
      <c r="A98" s="254" t="s">
        <v>605</v>
      </c>
      <c r="B98" s="254">
        <v>44949</v>
      </c>
      <c r="C98" s="254">
        <v>37100</v>
      </c>
    </row>
    <row r="99" spans="1:3">
      <c r="A99" s="254" t="s">
        <v>598</v>
      </c>
      <c r="B99" s="254">
        <v>91260</v>
      </c>
      <c r="C99" s="254">
        <v>41000</v>
      </c>
    </row>
    <row r="100" spans="1:3">
      <c r="A100" s="254" t="s">
        <v>599</v>
      </c>
      <c r="B100" s="254">
        <v>18846</v>
      </c>
      <c r="C100" s="254">
        <v>14200</v>
      </c>
    </row>
    <row r="101" spans="1:3">
      <c r="A101" s="254" t="s">
        <v>602</v>
      </c>
      <c r="B101" s="254">
        <v>3519</v>
      </c>
      <c r="C101" s="254">
        <v>2600</v>
      </c>
    </row>
    <row r="102" spans="1:3">
      <c r="A102" s="254" t="s">
        <v>4588</v>
      </c>
      <c r="B102" s="254">
        <v>0</v>
      </c>
      <c r="C102" s="254">
        <v>0</v>
      </c>
    </row>
    <row r="103" spans="1:3">
      <c r="A103" s="254" t="s">
        <v>603</v>
      </c>
      <c r="B103" s="254">
        <v>1362</v>
      </c>
      <c r="C103" s="254">
        <v>1400</v>
      </c>
    </row>
    <row r="104" spans="1:3">
      <c r="A104" s="254" t="s">
        <v>584</v>
      </c>
      <c r="B104" s="254">
        <v>242840</v>
      </c>
      <c r="C104" s="254">
        <v>153100</v>
      </c>
    </row>
    <row r="105" spans="1:3">
      <c r="A105" s="254" t="s">
        <v>4562</v>
      </c>
      <c r="B105" s="254">
        <v>1792</v>
      </c>
      <c r="C105" s="254">
        <v>0</v>
      </c>
    </row>
    <row r="106" spans="1:3">
      <c r="A106" s="254" t="s">
        <v>4567</v>
      </c>
      <c r="B106" s="254">
        <v>1364</v>
      </c>
      <c r="C106" s="254">
        <v>0</v>
      </c>
    </row>
    <row r="107" spans="1:3">
      <c r="A107" s="254" t="s">
        <v>586</v>
      </c>
      <c r="B107" s="254">
        <v>43932</v>
      </c>
      <c r="C107" s="254">
        <v>16700</v>
      </c>
    </row>
    <row r="108" spans="1:3">
      <c r="A108" s="254" t="s">
        <v>4568</v>
      </c>
      <c r="B108" s="254">
        <v>0</v>
      </c>
      <c r="C108" s="254">
        <v>0</v>
      </c>
    </row>
    <row r="109" spans="1:3">
      <c r="A109" s="254" t="s">
        <v>5213</v>
      </c>
      <c r="B109" s="254">
        <v>0</v>
      </c>
      <c r="C109" s="254">
        <v>0</v>
      </c>
    </row>
    <row r="110" spans="1:3">
      <c r="A110" s="254" t="s">
        <v>585</v>
      </c>
      <c r="B110" s="254">
        <v>223638</v>
      </c>
      <c r="C110" s="254">
        <v>2900</v>
      </c>
    </row>
    <row r="111" spans="1:3">
      <c r="A111" s="254" t="s">
        <v>507</v>
      </c>
      <c r="B111" s="254">
        <v>851587</v>
      </c>
      <c r="C111" s="254">
        <v>748800</v>
      </c>
    </row>
    <row r="112" spans="1:3">
      <c r="A112" s="254" t="s">
        <v>597</v>
      </c>
      <c r="B112" s="254">
        <v>213919</v>
      </c>
      <c r="C112" s="254">
        <v>149400</v>
      </c>
    </row>
    <row r="113" spans="1:3">
      <c r="A113" s="254" t="s">
        <v>593</v>
      </c>
      <c r="B113" s="254">
        <v>270089</v>
      </c>
      <c r="C113" s="254">
        <v>143500</v>
      </c>
    </row>
    <row r="114" spans="1:3">
      <c r="A114" s="254" t="s">
        <v>595</v>
      </c>
      <c r="B114" s="254">
        <v>2517</v>
      </c>
      <c r="C114" s="254">
        <v>2200</v>
      </c>
    </row>
    <row r="115" spans="1:3">
      <c r="A115" s="254" t="s">
        <v>594</v>
      </c>
      <c r="B115" s="254">
        <v>39733</v>
      </c>
      <c r="C115" s="254">
        <v>39900</v>
      </c>
    </row>
    <row r="116" spans="1:3">
      <c r="A116" s="254" t="s">
        <v>5115</v>
      </c>
      <c r="B116" s="254">
        <v>0</v>
      </c>
      <c r="C116" s="254">
        <v>0</v>
      </c>
    </row>
    <row r="117" spans="1:3">
      <c r="A117" s="254" t="s">
        <v>5214</v>
      </c>
      <c r="B117" s="254">
        <v>0</v>
      </c>
      <c r="C117" s="254">
        <v>0</v>
      </c>
    </row>
    <row r="118" spans="1:3">
      <c r="A118" s="254" t="s">
        <v>5215</v>
      </c>
      <c r="B118" s="254">
        <v>0</v>
      </c>
      <c r="C118" s="254">
        <v>0</v>
      </c>
    </row>
    <row r="119" spans="1:3">
      <c r="A119" s="254" t="s">
        <v>304</v>
      </c>
      <c r="B119" s="254">
        <v>29410</v>
      </c>
      <c r="C119" s="254">
        <v>10300</v>
      </c>
    </row>
    <row r="120" spans="1:3">
      <c r="A120" s="254" t="s">
        <v>461</v>
      </c>
      <c r="B120" s="254">
        <v>6521</v>
      </c>
      <c r="C120" s="254">
        <v>23400</v>
      </c>
    </row>
    <row r="121" spans="1:3">
      <c r="A121" s="254" t="s">
        <v>5216</v>
      </c>
      <c r="B121" s="254">
        <v>0</v>
      </c>
      <c r="C121" s="254">
        <v>0</v>
      </c>
    </row>
    <row r="122" spans="1:3">
      <c r="A122" s="254" t="s">
        <v>613</v>
      </c>
      <c r="B122" s="254">
        <v>36217</v>
      </c>
      <c r="C122" s="254">
        <v>60300</v>
      </c>
    </row>
    <row r="123" spans="1:3">
      <c r="A123" s="254" t="s">
        <v>614</v>
      </c>
      <c r="B123" s="254">
        <v>110029</v>
      </c>
      <c r="C123" s="254">
        <v>188900</v>
      </c>
    </row>
    <row r="124" spans="1:3">
      <c r="A124" s="254" t="s">
        <v>615</v>
      </c>
      <c r="B124" s="254">
        <v>13061</v>
      </c>
      <c r="C124" s="254">
        <v>6400</v>
      </c>
    </row>
    <row r="125" spans="1:3">
      <c r="A125" s="254" t="s">
        <v>616</v>
      </c>
      <c r="B125" s="254">
        <v>28661</v>
      </c>
      <c r="C125" s="254">
        <v>35500</v>
      </c>
    </row>
    <row r="126" spans="1:3">
      <c r="A126" s="254" t="s">
        <v>617</v>
      </c>
      <c r="B126" s="254">
        <v>125146</v>
      </c>
      <c r="C126" s="254">
        <v>39800</v>
      </c>
    </row>
    <row r="127" spans="1:3">
      <c r="A127" s="254" t="s">
        <v>5217</v>
      </c>
      <c r="B127" s="254">
        <v>0</v>
      </c>
      <c r="C127" s="254">
        <v>0</v>
      </c>
    </row>
    <row r="128" spans="1:3">
      <c r="A128" s="254" t="s">
        <v>5218</v>
      </c>
      <c r="B128" s="254">
        <v>0</v>
      </c>
      <c r="C128" s="254">
        <v>1300</v>
      </c>
    </row>
    <row r="129" spans="1:3">
      <c r="A129" s="254" t="s">
        <v>4636</v>
      </c>
      <c r="B129" s="254">
        <v>0</v>
      </c>
      <c r="C129" s="254">
        <v>0</v>
      </c>
    </row>
    <row r="130" spans="1:3">
      <c r="A130" s="254" t="s">
        <v>5219</v>
      </c>
      <c r="B130" s="254">
        <v>0</v>
      </c>
      <c r="C130" s="254">
        <v>0</v>
      </c>
    </row>
    <row r="131" spans="1:3">
      <c r="A131" s="254" t="s">
        <v>621</v>
      </c>
      <c r="B131" s="254">
        <v>41710</v>
      </c>
      <c r="C131" s="254">
        <v>28200</v>
      </c>
    </row>
    <row r="132" spans="1:3">
      <c r="A132" s="254" t="s">
        <v>624</v>
      </c>
      <c r="B132" s="254">
        <v>145903</v>
      </c>
      <c r="C132" s="254">
        <v>16800</v>
      </c>
    </row>
    <row r="133" spans="1:3">
      <c r="A133" s="254" t="s">
        <v>622</v>
      </c>
      <c r="B133" s="254">
        <v>147</v>
      </c>
      <c r="C133" s="254">
        <v>1300</v>
      </c>
    </row>
    <row r="134" spans="1:3">
      <c r="A134" s="254" t="s">
        <v>623</v>
      </c>
      <c r="B134" s="254">
        <v>33731</v>
      </c>
      <c r="C134" s="254">
        <v>18900</v>
      </c>
    </row>
    <row r="135" spans="1:3">
      <c r="A135" s="254" t="s">
        <v>4649</v>
      </c>
      <c r="B135" s="254">
        <v>0</v>
      </c>
      <c r="C135" s="254">
        <v>0</v>
      </c>
    </row>
    <row r="136" spans="1:3">
      <c r="A136" s="254" t="s">
        <v>5220</v>
      </c>
      <c r="B136" s="254">
        <v>0</v>
      </c>
      <c r="C136" s="254">
        <v>47600</v>
      </c>
    </row>
    <row r="137" spans="1:3">
      <c r="A137" s="254" t="s">
        <v>4650</v>
      </c>
      <c r="B137" s="254">
        <v>0</v>
      </c>
      <c r="C137" s="254">
        <v>4400</v>
      </c>
    </row>
    <row r="138" spans="1:3">
      <c r="A138" s="254" t="s">
        <v>618</v>
      </c>
      <c r="B138" s="254">
        <v>153789</v>
      </c>
      <c r="C138" s="254">
        <v>88800</v>
      </c>
    </row>
    <row r="139" spans="1:3">
      <c r="A139" s="254" t="s">
        <v>619</v>
      </c>
      <c r="B139" s="254">
        <v>0</v>
      </c>
      <c r="C139" s="254">
        <v>0</v>
      </c>
    </row>
    <row r="140" spans="1:3">
      <c r="A140" s="254" t="s">
        <v>620</v>
      </c>
      <c r="B140" s="254">
        <v>0</v>
      </c>
      <c r="C140" s="254">
        <v>0</v>
      </c>
    </row>
    <row r="141" spans="1:3">
      <c r="A141" s="254" t="s">
        <v>5221</v>
      </c>
      <c r="B141" s="254">
        <v>5327</v>
      </c>
      <c r="C141" s="254">
        <v>7700</v>
      </c>
    </row>
    <row r="142" spans="1:3">
      <c r="A142" s="254" t="s">
        <v>5121</v>
      </c>
      <c r="B142" s="254">
        <v>0</v>
      </c>
      <c r="C142" s="254">
        <v>1300</v>
      </c>
    </row>
    <row r="143" spans="1:3">
      <c r="A143" s="254" t="s">
        <v>537</v>
      </c>
      <c r="B143" s="254">
        <v>203831</v>
      </c>
      <c r="C143" s="254">
        <v>216700</v>
      </c>
    </row>
    <row r="144" spans="1:3">
      <c r="A144" s="254" t="s">
        <v>535</v>
      </c>
      <c r="B144" s="254">
        <v>570208</v>
      </c>
      <c r="C144" s="254">
        <v>559200</v>
      </c>
    </row>
    <row r="145" spans="1:3">
      <c r="A145" s="254" t="s">
        <v>539</v>
      </c>
      <c r="B145" s="254">
        <v>125601</v>
      </c>
      <c r="C145" s="254">
        <v>120700</v>
      </c>
    </row>
    <row r="146" spans="1:3">
      <c r="A146" s="254" t="s">
        <v>545</v>
      </c>
      <c r="B146" s="254">
        <v>299455</v>
      </c>
      <c r="C146" s="254">
        <v>351900</v>
      </c>
    </row>
    <row r="147" spans="1:3">
      <c r="A147" s="254" t="s">
        <v>541</v>
      </c>
      <c r="B147" s="254">
        <v>70856</v>
      </c>
      <c r="C147" s="254">
        <v>43300</v>
      </c>
    </row>
    <row r="148" spans="1:3">
      <c r="A148" s="254" t="s">
        <v>5222</v>
      </c>
      <c r="B148" s="254">
        <v>0</v>
      </c>
      <c r="C148" s="254">
        <v>0</v>
      </c>
    </row>
    <row r="149" spans="1:3">
      <c r="A149" s="254" t="s">
        <v>536</v>
      </c>
      <c r="B149" s="254">
        <v>264576</v>
      </c>
      <c r="C149" s="254">
        <v>327000</v>
      </c>
    </row>
    <row r="150" spans="1:3">
      <c r="A150" s="254" t="s">
        <v>4279</v>
      </c>
      <c r="B150" s="254">
        <v>573</v>
      </c>
      <c r="C150" s="254">
        <v>0</v>
      </c>
    </row>
    <row r="151" spans="1:3">
      <c r="A151" s="254" t="s">
        <v>5223</v>
      </c>
      <c r="B151" s="254">
        <v>10710</v>
      </c>
      <c r="C151" s="254">
        <v>8700</v>
      </c>
    </row>
    <row r="152" spans="1:3">
      <c r="A152" s="254" t="s">
        <v>5224</v>
      </c>
      <c r="B152" s="254">
        <v>7767</v>
      </c>
      <c r="C152" s="254">
        <v>37400</v>
      </c>
    </row>
    <row r="153" spans="1:3">
      <c r="A153" s="254" t="s">
        <v>2141</v>
      </c>
      <c r="B153" s="254">
        <v>39037</v>
      </c>
      <c r="C153" s="254">
        <v>23900</v>
      </c>
    </row>
    <row r="154" spans="1:3">
      <c r="A154" s="254" t="s">
        <v>5123</v>
      </c>
      <c r="B154" s="254">
        <v>0</v>
      </c>
      <c r="C154" s="254">
        <v>0</v>
      </c>
    </row>
    <row r="155" spans="1:3">
      <c r="A155" s="254" t="s">
        <v>4287</v>
      </c>
      <c r="B155" s="254">
        <v>0</v>
      </c>
      <c r="C155" s="254">
        <v>0</v>
      </c>
    </row>
    <row r="156" spans="1:3">
      <c r="A156" s="254" t="s">
        <v>507</v>
      </c>
      <c r="B156" s="254">
        <v>851587</v>
      </c>
      <c r="C156" s="254">
        <v>748800</v>
      </c>
    </row>
    <row r="157" spans="1:3">
      <c r="A157" s="254" t="s">
        <v>508</v>
      </c>
      <c r="B157" s="254">
        <v>355672</v>
      </c>
      <c r="C157" s="254">
        <v>130700</v>
      </c>
    </row>
    <row r="158" spans="1:3">
      <c r="A158" s="254" t="s">
        <v>510</v>
      </c>
      <c r="B158" s="254">
        <v>270598</v>
      </c>
      <c r="C158" s="254">
        <v>420300</v>
      </c>
    </row>
    <row r="159" spans="1:3">
      <c r="A159" s="254" t="s">
        <v>524</v>
      </c>
      <c r="B159" s="254">
        <v>190836</v>
      </c>
      <c r="C159" s="254">
        <v>236600</v>
      </c>
    </row>
    <row r="160" spans="1:3">
      <c r="A160" s="254" t="s">
        <v>562</v>
      </c>
      <c r="B160" s="254">
        <v>257560</v>
      </c>
      <c r="C160" s="254">
        <v>212200</v>
      </c>
    </row>
    <row r="161" spans="1:3">
      <c r="A161" s="254" t="s">
        <v>557</v>
      </c>
      <c r="B161" s="254">
        <v>387637</v>
      </c>
      <c r="C161" s="254">
        <v>376600</v>
      </c>
    </row>
    <row r="162" spans="1:3">
      <c r="A162" s="254" t="s">
        <v>560</v>
      </c>
      <c r="B162" s="254">
        <v>28784</v>
      </c>
      <c r="C162" s="254">
        <v>34800</v>
      </c>
    </row>
    <row r="163" spans="1:3">
      <c r="A163" s="254" t="s">
        <v>5225</v>
      </c>
      <c r="B163" s="254">
        <v>5772</v>
      </c>
      <c r="C163" s="254">
        <v>2300</v>
      </c>
    </row>
    <row r="164" spans="1:3">
      <c r="A164" s="254" t="s">
        <v>4391</v>
      </c>
      <c r="B164" s="254">
        <v>0</v>
      </c>
      <c r="C164" s="254">
        <v>0</v>
      </c>
    </row>
    <row r="165" spans="1:3">
      <c r="A165" s="254" t="s">
        <v>4399</v>
      </c>
      <c r="B165" s="254">
        <v>0</v>
      </c>
      <c r="C165" s="254">
        <v>0</v>
      </c>
    </row>
    <row r="166" spans="1:3">
      <c r="A166" s="254" t="s">
        <v>563</v>
      </c>
      <c r="B166" s="254">
        <v>46391</v>
      </c>
      <c r="C166" s="254">
        <v>12100</v>
      </c>
    </row>
    <row r="167" spans="1:3">
      <c r="A167" s="254" t="s">
        <v>4400</v>
      </c>
      <c r="B167" s="254">
        <v>0</v>
      </c>
      <c r="C167" s="254">
        <v>0</v>
      </c>
    </row>
    <row r="168" spans="1:3">
      <c r="A168" s="254" t="s">
        <v>558</v>
      </c>
      <c r="B168" s="254">
        <v>147672</v>
      </c>
      <c r="C168" s="254">
        <v>51900</v>
      </c>
    </row>
    <row r="169" spans="1:3">
      <c r="A169" s="254" t="s">
        <v>4401</v>
      </c>
      <c r="B169" s="254">
        <v>0</v>
      </c>
      <c r="C169" s="254">
        <v>0</v>
      </c>
    </row>
    <row r="170" spans="1:3">
      <c r="A170" s="254" t="s">
        <v>559</v>
      </c>
      <c r="B170" s="254">
        <v>72034</v>
      </c>
      <c r="C170" s="254">
        <v>47000</v>
      </c>
    </row>
    <row r="171" spans="1:3">
      <c r="A171" s="254" t="s">
        <v>5226</v>
      </c>
      <c r="B171" s="254">
        <v>586</v>
      </c>
      <c r="C171" s="254">
        <v>2500</v>
      </c>
    </row>
    <row r="172" spans="1:3">
      <c r="A172" s="254" t="s">
        <v>5227</v>
      </c>
      <c r="B172" s="254">
        <v>0</v>
      </c>
      <c r="C172" s="254">
        <v>1300</v>
      </c>
    </row>
    <row r="173" spans="1:3">
      <c r="A173" s="254" t="s">
        <v>5228</v>
      </c>
      <c r="B173" s="254">
        <v>0</v>
      </c>
      <c r="C173" s="254">
        <v>2100</v>
      </c>
    </row>
    <row r="174" spans="1:3">
      <c r="A174" s="254" t="s">
        <v>5229</v>
      </c>
      <c r="B174" s="254">
        <v>0</v>
      </c>
      <c r="C174" s="254">
        <v>1300</v>
      </c>
    </row>
    <row r="175" spans="1:3">
      <c r="A175" s="254" t="s">
        <v>5131</v>
      </c>
      <c r="B175" s="254">
        <v>0</v>
      </c>
      <c r="C175" s="254">
        <v>0</v>
      </c>
    </row>
    <row r="176" spans="1:3">
      <c r="A176" s="254" t="s">
        <v>5230</v>
      </c>
      <c r="B176" s="254">
        <v>0</v>
      </c>
      <c r="C176" s="254">
        <v>0</v>
      </c>
    </row>
    <row r="177" spans="1:3">
      <c r="A177" s="254" t="s">
        <v>507</v>
      </c>
      <c r="B177" s="254">
        <v>851587</v>
      </c>
      <c r="C177" s="254">
        <v>748800</v>
      </c>
    </row>
    <row r="178" spans="1:3">
      <c r="A178" s="254" t="s">
        <v>577</v>
      </c>
      <c r="B178" s="254">
        <v>367605</v>
      </c>
      <c r="C178" s="254">
        <v>327100</v>
      </c>
    </row>
    <row r="179" spans="1:3">
      <c r="A179" s="254" t="s">
        <v>570</v>
      </c>
      <c r="B179" s="254">
        <v>216602</v>
      </c>
      <c r="C179" s="254">
        <v>227800</v>
      </c>
    </row>
    <row r="180" spans="1:3">
      <c r="A180" s="254" t="s">
        <v>573</v>
      </c>
      <c r="B180" s="254">
        <v>149626</v>
      </c>
      <c r="C180" s="254">
        <v>150400</v>
      </c>
    </row>
    <row r="181" spans="1:3">
      <c r="A181" s="254" t="s">
        <v>571</v>
      </c>
      <c r="B181" s="254">
        <v>88246</v>
      </c>
      <c r="C181" s="254">
        <v>128900</v>
      </c>
    </row>
    <row r="182" spans="1:3">
      <c r="A182" s="254" t="s">
        <v>5231</v>
      </c>
      <c r="B182" s="254">
        <v>0</v>
      </c>
      <c r="C182" s="254">
        <v>0</v>
      </c>
    </row>
    <row r="183" spans="1:3">
      <c r="A183" s="254" t="s">
        <v>4454</v>
      </c>
      <c r="B183" s="254">
        <v>1129</v>
      </c>
      <c r="C183" s="254">
        <v>3500</v>
      </c>
    </row>
    <row r="184" spans="1:3">
      <c r="A184" s="254" t="s">
        <v>4480</v>
      </c>
      <c r="B184" s="254">
        <v>5441</v>
      </c>
      <c r="C184" s="254">
        <v>6500</v>
      </c>
    </row>
    <row r="185" spans="1:3">
      <c r="A185" s="254" t="s">
        <v>5232</v>
      </c>
      <c r="B185" s="254">
        <v>4399</v>
      </c>
      <c r="C185" s="254">
        <v>2100</v>
      </c>
    </row>
    <row r="186" spans="1:3">
      <c r="A186" s="254" t="s">
        <v>574</v>
      </c>
      <c r="B186" s="254">
        <v>31155</v>
      </c>
      <c r="C186" s="254">
        <v>37700</v>
      </c>
    </row>
    <row r="187" spans="1:3">
      <c r="A187" s="254" t="s">
        <v>297</v>
      </c>
      <c r="B187" s="254">
        <v>24387</v>
      </c>
      <c r="C187" s="254">
        <v>31000</v>
      </c>
    </row>
    <row r="188" spans="1:3">
      <c r="A188" s="254" t="s">
        <v>5138</v>
      </c>
      <c r="B188" s="254">
        <v>0</v>
      </c>
      <c r="C188" s="254">
        <v>2300</v>
      </c>
    </row>
    <row r="189" spans="1:3">
      <c r="A189" s="254" t="s">
        <v>534</v>
      </c>
      <c r="B189" s="254">
        <v>1</v>
      </c>
      <c r="C189" s="254">
        <v>1100000</v>
      </c>
    </row>
    <row r="190" spans="1:3">
      <c r="A190" s="254" t="s">
        <v>528</v>
      </c>
      <c r="B190" s="254">
        <v>545542</v>
      </c>
      <c r="C190" s="254">
        <v>715700</v>
      </c>
    </row>
    <row r="191" spans="1:3">
      <c r="A191" s="254" t="s">
        <v>242</v>
      </c>
      <c r="B191" s="254">
        <v>417504</v>
      </c>
      <c r="C191" s="254">
        <v>546400</v>
      </c>
    </row>
    <row r="192" spans="1:3">
      <c r="A192" s="254" t="s">
        <v>4114</v>
      </c>
      <c r="B192" s="254">
        <v>419</v>
      </c>
      <c r="C192" s="254">
        <v>0</v>
      </c>
    </row>
    <row r="193" spans="1:3">
      <c r="A193" s="254" t="s">
        <v>244</v>
      </c>
      <c r="B193" s="254">
        <v>264564</v>
      </c>
      <c r="C193" s="254">
        <v>581200</v>
      </c>
    </row>
    <row r="194" spans="1:3">
      <c r="A194" s="254" t="s">
        <v>416</v>
      </c>
      <c r="B194" s="254">
        <v>207501</v>
      </c>
      <c r="C194" s="254">
        <v>275200</v>
      </c>
    </row>
    <row r="195" spans="1:3">
      <c r="A195" s="254" t="s">
        <v>2556</v>
      </c>
      <c r="B195" s="254">
        <v>13785</v>
      </c>
      <c r="C195" s="254">
        <v>4600</v>
      </c>
    </row>
    <row r="196" spans="1:3">
      <c r="A196" s="254" t="s">
        <v>531</v>
      </c>
      <c r="B196" s="254">
        <v>60398</v>
      </c>
      <c r="C196" s="254">
        <v>68200</v>
      </c>
    </row>
    <row r="197" spans="1:3">
      <c r="A197" s="254" t="s">
        <v>5145</v>
      </c>
      <c r="B197" s="254">
        <v>405</v>
      </c>
      <c r="C197" s="254">
        <v>0</v>
      </c>
    </row>
    <row r="198" spans="1:3">
      <c r="A198" s="254" t="s">
        <v>2545</v>
      </c>
      <c r="B198" s="254">
        <v>19136</v>
      </c>
      <c r="C198" s="254">
        <v>5500</v>
      </c>
    </row>
    <row r="199" spans="1:3">
      <c r="A199" s="254" t="s">
        <v>533</v>
      </c>
      <c r="B199" s="254">
        <v>73318</v>
      </c>
      <c r="C199" s="254">
        <v>15100</v>
      </c>
    </row>
    <row r="200" spans="1:3">
      <c r="A200" s="254" t="s">
        <v>2534</v>
      </c>
      <c r="B200" s="254">
        <v>18865</v>
      </c>
      <c r="C200" s="254">
        <v>16100</v>
      </c>
    </row>
    <row r="201" spans="1:3">
      <c r="A201" s="254" t="s">
        <v>5233</v>
      </c>
      <c r="B201" s="254">
        <v>0</v>
      </c>
      <c r="C201" s="254">
        <v>0</v>
      </c>
    </row>
    <row r="202" spans="1:3">
      <c r="A202" s="254" t="s">
        <v>143</v>
      </c>
      <c r="B202" s="254">
        <v>20540</v>
      </c>
      <c r="C202" s="254">
        <v>5700</v>
      </c>
    </row>
    <row r="203" spans="1:3">
      <c r="A203" s="254" t="s">
        <v>5234</v>
      </c>
      <c r="B203" s="254">
        <v>0</v>
      </c>
      <c r="C203" s="254">
        <v>0</v>
      </c>
    </row>
    <row r="204" spans="1:3">
      <c r="A204" s="254" t="s">
        <v>5235</v>
      </c>
      <c r="B204" s="254">
        <v>0</v>
      </c>
      <c r="C204" s="254">
        <v>0</v>
      </c>
    </row>
    <row r="205" spans="1:3">
      <c r="A205" s="254" t="s">
        <v>5149</v>
      </c>
      <c r="B205" s="254">
        <v>0</v>
      </c>
      <c r="C205" s="254">
        <v>3800</v>
      </c>
    </row>
    <row r="206" spans="1:3">
      <c r="A206" s="254" t="s">
        <v>510</v>
      </c>
      <c r="B206" s="254">
        <v>270598</v>
      </c>
      <c r="C206" s="254">
        <v>420300</v>
      </c>
    </row>
    <row r="207" spans="1:3">
      <c r="A207" s="254" t="s">
        <v>524</v>
      </c>
      <c r="B207" s="254">
        <v>190836</v>
      </c>
      <c r="C207" s="254">
        <v>236600</v>
      </c>
    </row>
    <row r="208" spans="1:3">
      <c r="A208" s="254" t="s">
        <v>529</v>
      </c>
      <c r="B208" s="254">
        <v>258508</v>
      </c>
      <c r="C208" s="254">
        <v>98700</v>
      </c>
    </row>
    <row r="209" spans="1:3">
      <c r="A209" s="254" t="s">
        <v>466</v>
      </c>
      <c r="B209" s="254">
        <v>328641</v>
      </c>
      <c r="C209" s="254">
        <v>292400</v>
      </c>
    </row>
    <row r="210" spans="1:3">
      <c r="A210" s="254" t="s">
        <v>610</v>
      </c>
      <c r="B210" s="254">
        <v>40310</v>
      </c>
      <c r="C210" s="254">
        <v>41100</v>
      </c>
    </row>
    <row r="211" spans="1:3">
      <c r="A211" s="254" t="s">
        <v>609</v>
      </c>
      <c r="B211" s="254">
        <v>660190</v>
      </c>
      <c r="C211" s="254">
        <v>149000</v>
      </c>
    </row>
    <row r="212" spans="1:3">
      <c r="A212" s="254" t="s">
        <v>4625</v>
      </c>
      <c r="B212" s="254">
        <v>0</v>
      </c>
      <c r="C212" s="254">
        <v>1400</v>
      </c>
    </row>
    <row r="213" spans="1:3">
      <c r="A213" s="254" t="s">
        <v>611</v>
      </c>
      <c r="B213" s="254">
        <v>21789</v>
      </c>
      <c r="C213" s="254">
        <v>24600</v>
      </c>
    </row>
    <row r="214" spans="1:3">
      <c r="A214" s="254" t="s">
        <v>4626</v>
      </c>
      <c r="B214" s="254">
        <v>0</v>
      </c>
      <c r="C214" s="254">
        <v>0</v>
      </c>
    </row>
    <row r="215" spans="1:3">
      <c r="A215" s="254" t="s">
        <v>612</v>
      </c>
      <c r="B215" s="254">
        <v>0</v>
      </c>
      <c r="C215" s="254">
        <v>0</v>
      </c>
    </row>
    <row r="216" spans="1:3">
      <c r="A216" s="254" t="s">
        <v>5151</v>
      </c>
      <c r="B216" s="254">
        <v>1693</v>
      </c>
      <c r="C216" s="254">
        <v>0</v>
      </c>
    </row>
    <row r="217" spans="1:3">
      <c r="A217" s="254" t="s">
        <v>5236</v>
      </c>
      <c r="B217" s="254">
        <v>0</v>
      </c>
      <c r="C217" s="254">
        <v>0</v>
      </c>
    </row>
    <row r="218" spans="1:3">
      <c r="A218" s="254" t="s">
        <v>4627</v>
      </c>
      <c r="B218" s="254">
        <v>0</v>
      </c>
      <c r="C218" s="254">
        <v>0</v>
      </c>
    </row>
    <row r="219" spans="1:3">
      <c r="A219" s="254" t="s">
        <v>606</v>
      </c>
      <c r="B219" s="254">
        <v>158097</v>
      </c>
      <c r="C219" s="254">
        <v>88500</v>
      </c>
    </row>
    <row r="220" spans="1:3">
      <c r="A220" s="254" t="s">
        <v>607</v>
      </c>
      <c r="B220" s="254">
        <v>0</v>
      </c>
      <c r="C220" s="254">
        <v>407</v>
      </c>
    </row>
    <row r="221" spans="1:3">
      <c r="A221" s="254" t="s">
        <v>465</v>
      </c>
      <c r="B221" s="254">
        <v>201021</v>
      </c>
      <c r="C221" s="254">
        <v>0</v>
      </c>
    </row>
    <row r="222" spans="1:3">
      <c r="A222" s="254" t="s">
        <v>608</v>
      </c>
      <c r="B222" s="254">
        <v>3759</v>
      </c>
      <c r="C222" s="254">
        <v>5100</v>
      </c>
    </row>
    <row r="223" spans="1:3">
      <c r="A223" s="254" t="s">
        <v>5237</v>
      </c>
      <c r="B223" s="254">
        <v>34733</v>
      </c>
      <c r="C223" s="254">
        <v>9200</v>
      </c>
    </row>
    <row r="224" spans="1:3">
      <c r="A224" s="254" t="s">
        <v>4618</v>
      </c>
      <c r="B224" s="254">
        <v>0</v>
      </c>
      <c r="C224" s="254">
        <v>0</v>
      </c>
    </row>
    <row r="225" spans="1:3">
      <c r="A225" s="254" t="s">
        <v>5238</v>
      </c>
      <c r="B225" s="254">
        <v>1944</v>
      </c>
      <c r="C225" s="254">
        <v>3800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193"/>
  <sheetViews>
    <sheetView workbookViewId="0">
      <selection activeCell="A1" sqref="A1"/>
    </sheetView>
  </sheetViews>
  <sheetFormatPr defaultColWidth="8.88888888888889" defaultRowHeight="14.4"/>
  <cols>
    <col min="1" max="1" width="19.1111111111111" style="89" customWidth="1"/>
    <col min="2" max="2" width="32.3333333333333" style="164" customWidth="1"/>
    <col min="3" max="4" width="21.3333333333333" style="89" hidden="1" customWidth="1"/>
    <col min="5" max="5" width="22.3333333333333" style="89" hidden="1" customWidth="1"/>
    <col min="6" max="6" width="24.4444444444444" style="198" hidden="1" customWidth="1"/>
    <col min="7" max="7" width="16.2222222222222" style="189" hidden="1" customWidth="1"/>
    <col min="8" max="8" width="15.2222222222222" style="199" hidden="1" customWidth="1"/>
    <col min="9" max="9" width="16.2222222222222" style="199" hidden="1" customWidth="1"/>
    <col min="10" max="10" width="17" style="199" hidden="1" customWidth="1"/>
    <col min="11" max="11" width="14.8888888888889" style="200" hidden="1" customWidth="1"/>
    <col min="12" max="12" width="13.7777777777778" style="200" hidden="1" customWidth="1"/>
    <col min="13" max="13" width="13.1111111111111" style="200" hidden="1" customWidth="1"/>
    <col min="14" max="16" width="13.7777777777778" style="200" hidden="1" customWidth="1"/>
    <col min="17" max="17" width="14.2222222222222" style="200" hidden="1" customWidth="1"/>
    <col min="18" max="18" width="15" style="200" hidden="1" customWidth="1"/>
    <col min="19" max="19" width="17" style="200" hidden="1" customWidth="1"/>
    <col min="20" max="20" width="15.2222222222222" style="200" hidden="1" customWidth="1"/>
    <col min="21" max="21" width="13.8888888888889" style="34" hidden="1" customWidth="1"/>
    <col min="22" max="22" width="15.2222222222222" style="200" hidden="1" customWidth="1"/>
    <col min="23" max="23" width="15.1111111111111" style="201" hidden="1" customWidth="1"/>
    <col min="24" max="26" width="13.2222222222222" style="200" hidden="1" customWidth="1"/>
    <col min="27" max="28" width="12.7777777777778" style="200" hidden="1" customWidth="1"/>
    <col min="29" max="29" width="14.4444444444444" style="200" hidden="1" customWidth="1"/>
    <col min="30" max="30" width="14.7777777777778" style="200" hidden="1" customWidth="1"/>
    <col min="31" max="31" width="15.2222222222222" style="200" hidden="1" customWidth="1"/>
    <col min="32" max="32" width="17.8888888888889" style="200" hidden="1" customWidth="1"/>
    <col min="33" max="36" width="26.5555555555556" style="200" hidden="1" customWidth="1"/>
    <col min="37" max="40" width="26.5555555555556" style="200" customWidth="1"/>
    <col min="41" max="45" width="8.88888888888889" style="200"/>
    <col min="46" max="55" width="8.88888888888889" style="200" hidden="1" customWidth="1"/>
    <col min="56" max="56" width="8.88888888888889" style="202" hidden="1" customWidth="1"/>
    <col min="57" max="57" width="8.88888888888889" style="200" hidden="1" customWidth="1"/>
    <col min="58" max="16384" width="8.88888888888889" style="200"/>
  </cols>
  <sheetData>
    <row r="1" ht="17.4" spans="3:57">
      <c r="C1" s="203" t="s">
        <v>5239</v>
      </c>
      <c r="D1" s="203" t="s">
        <v>5240</v>
      </c>
      <c r="E1" s="204" t="s">
        <v>5241</v>
      </c>
      <c r="F1" s="204" t="s">
        <v>5242</v>
      </c>
      <c r="G1" s="203" t="s">
        <v>5243</v>
      </c>
      <c r="H1" s="203" t="s">
        <v>5244</v>
      </c>
      <c r="I1" s="203" t="s">
        <v>5245</v>
      </c>
      <c r="J1" s="220" t="s">
        <v>5246</v>
      </c>
      <c r="K1" s="220" t="s">
        <v>5247</v>
      </c>
      <c r="L1" s="220" t="s">
        <v>5248</v>
      </c>
      <c r="M1" s="220" t="s">
        <v>5249</v>
      </c>
      <c r="N1" s="220" t="s">
        <v>5250</v>
      </c>
      <c r="O1" s="220" t="s">
        <v>5251</v>
      </c>
      <c r="P1" s="220" t="s">
        <v>5252</v>
      </c>
      <c r="Q1" s="220" t="s">
        <v>5253</v>
      </c>
      <c r="R1" s="220" t="s">
        <v>5254</v>
      </c>
      <c r="S1" s="220" t="s">
        <v>5255</v>
      </c>
      <c r="T1" s="220" t="s">
        <v>5256</v>
      </c>
      <c r="U1" s="222" t="s">
        <v>5257</v>
      </c>
      <c r="V1" s="220" t="s">
        <v>5258</v>
      </c>
      <c r="W1" s="223" t="s">
        <v>5259</v>
      </c>
      <c r="X1" s="220" t="s">
        <v>5260</v>
      </c>
      <c r="Y1" s="220" t="s">
        <v>5261</v>
      </c>
      <c r="Z1" s="220" t="s">
        <v>5262</v>
      </c>
      <c r="AA1" s="220" t="s">
        <v>5263</v>
      </c>
      <c r="AB1" s="220" t="s">
        <v>5264</v>
      </c>
      <c r="AC1" s="220" t="s">
        <v>5265</v>
      </c>
      <c r="AD1" s="220" t="s">
        <v>5266</v>
      </c>
      <c r="AE1" s="220" t="s">
        <v>5267</v>
      </c>
      <c r="AF1" s="220" t="s">
        <v>5268</v>
      </c>
      <c r="AG1" s="220" t="s">
        <v>5269</v>
      </c>
      <c r="AH1" s="220" t="s">
        <v>5270</v>
      </c>
      <c r="AI1" s="220" t="s">
        <v>5271</v>
      </c>
      <c r="AJ1" s="220" t="s">
        <v>5272</v>
      </c>
      <c r="AK1" s="220" t="s">
        <v>5273</v>
      </c>
      <c r="AL1" s="220" t="s">
        <v>5274</v>
      </c>
      <c r="AM1" s="220" t="s">
        <v>5275</v>
      </c>
      <c r="AN1" s="220" t="s">
        <v>5276</v>
      </c>
      <c r="BD1" s="202" t="s">
        <v>5277</v>
      </c>
      <c r="BE1" s="200" t="s">
        <v>5278</v>
      </c>
    </row>
    <row r="2" spans="1:57">
      <c r="A2" s="96" t="s">
        <v>145</v>
      </c>
      <c r="B2" s="205"/>
      <c r="C2" s="97"/>
      <c r="D2" s="97"/>
      <c r="E2" s="97"/>
      <c r="BD2" s="202" t="str">
        <f>IFERROR(VLOOKUP(B2,Sheet4!A:D,4,FALSE),"")</f>
        <v/>
      </c>
      <c r="BE2" s="200">
        <f>SUMPRODUCT((A1:BE1="测试")*COLUMN(A1:BE1))</f>
        <v>57</v>
      </c>
    </row>
    <row r="3" spans="1:56">
      <c r="A3" s="101" t="s">
        <v>3944</v>
      </c>
      <c r="B3" s="171" t="s">
        <v>207</v>
      </c>
      <c r="C3" s="102"/>
      <c r="D3" s="102"/>
      <c r="E3" s="102"/>
      <c r="F3" s="119"/>
      <c r="H3" s="189"/>
      <c r="I3" s="189"/>
      <c r="J3" s="189"/>
      <c r="K3" s="221"/>
      <c r="L3" s="221"/>
      <c r="M3" s="221"/>
      <c r="N3" s="221"/>
      <c r="O3" s="221"/>
      <c r="P3" s="221"/>
      <c r="Q3" s="221"/>
      <c r="R3" s="221"/>
      <c r="S3" s="221"/>
      <c r="T3" s="221"/>
      <c r="U3" s="224"/>
      <c r="V3" s="221"/>
      <c r="W3" s="225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BD3" s="202" t="str">
        <f>IFERROR(VLOOKUP(B3,Sheet4!A:D,4,FALSE),"")</f>
        <v/>
      </c>
    </row>
    <row r="4" spans="1:56">
      <c r="A4" s="89" t="s">
        <v>230</v>
      </c>
      <c r="B4" s="165" t="s">
        <v>500</v>
      </c>
      <c r="C4" s="189">
        <v>778</v>
      </c>
      <c r="D4" s="189">
        <v>661</v>
      </c>
      <c r="E4" s="189">
        <v>657</v>
      </c>
      <c r="F4" s="189">
        <v>418</v>
      </c>
      <c r="G4" s="189">
        <v>641</v>
      </c>
      <c r="H4" s="189">
        <v>739</v>
      </c>
      <c r="I4" s="189" t="s">
        <v>5279</v>
      </c>
      <c r="J4" s="189" t="s">
        <v>5280</v>
      </c>
      <c r="K4" s="189" t="s">
        <v>5281</v>
      </c>
      <c r="L4" s="189" t="s">
        <v>5282</v>
      </c>
      <c r="M4" s="189" t="s">
        <v>5283</v>
      </c>
      <c r="N4" s="189" t="s">
        <v>5284</v>
      </c>
      <c r="O4" s="189" t="s">
        <v>5284</v>
      </c>
      <c r="P4" s="189" t="s">
        <v>5285</v>
      </c>
      <c r="Q4" s="189" t="s">
        <v>5284</v>
      </c>
      <c r="R4" s="226" t="s">
        <v>5284</v>
      </c>
      <c r="S4" s="189" t="s">
        <v>5286</v>
      </c>
      <c r="T4" s="189">
        <v>2071</v>
      </c>
      <c r="U4" s="224">
        <v>2032</v>
      </c>
      <c r="V4" s="221" t="s">
        <v>5287</v>
      </c>
      <c r="W4" s="225">
        <v>2032</v>
      </c>
      <c r="X4" s="221" t="s">
        <v>5288</v>
      </c>
      <c r="Y4" s="221" t="s">
        <v>5289</v>
      </c>
      <c r="Z4" s="221" t="s">
        <v>5290</v>
      </c>
      <c r="AA4" s="221" t="s">
        <v>5291</v>
      </c>
      <c r="AB4" s="221" t="s">
        <v>5292</v>
      </c>
      <c r="AC4" s="221">
        <v>1546</v>
      </c>
      <c r="AD4" s="221">
        <v>1546</v>
      </c>
      <c r="AE4" s="221">
        <v>1714</v>
      </c>
      <c r="AF4" s="221" t="s">
        <v>5293</v>
      </c>
      <c r="AG4" s="221" t="s">
        <v>5294</v>
      </c>
      <c r="AH4" s="221">
        <v>1890</v>
      </c>
      <c r="AI4" s="221">
        <v>1941</v>
      </c>
      <c r="AJ4" s="221">
        <v>1931</v>
      </c>
      <c r="AK4" s="221">
        <v>1931</v>
      </c>
      <c r="AL4" s="221">
        <v>2048</v>
      </c>
      <c r="AM4" s="221">
        <v>2057</v>
      </c>
      <c r="AN4" s="221" t="e">
        <f>VLOOKUP(B4,正厂竞争者数据汇总!D:CL,25,FALSE)</f>
        <v>#N/A</v>
      </c>
      <c r="BD4" s="202">
        <f>IFERROR(VLOOKUP(B4,Sheet4!A:D,4,FALSE),"")</f>
        <v>1941</v>
      </c>
    </row>
    <row r="5" s="159" customFormat="1" spans="1:56">
      <c r="A5" s="88" t="s">
        <v>227</v>
      </c>
      <c r="B5" s="168" t="s">
        <v>501</v>
      </c>
      <c r="C5" s="190">
        <v>413</v>
      </c>
      <c r="D5" s="190">
        <v>307</v>
      </c>
      <c r="E5" s="190">
        <v>330</v>
      </c>
      <c r="F5" s="190">
        <v>0</v>
      </c>
      <c r="G5" s="190">
        <v>310</v>
      </c>
      <c r="H5" s="190">
        <v>408</v>
      </c>
      <c r="I5" s="190">
        <v>712</v>
      </c>
      <c r="J5" s="190">
        <v>825</v>
      </c>
      <c r="K5" s="190">
        <v>953</v>
      </c>
      <c r="L5" s="190" t="s">
        <v>5279</v>
      </c>
      <c r="M5" s="190" t="s">
        <v>5295</v>
      </c>
      <c r="N5" s="190" t="s">
        <v>5280</v>
      </c>
      <c r="O5" s="190" t="s">
        <v>5295</v>
      </c>
      <c r="P5" s="190" t="s">
        <v>5295</v>
      </c>
      <c r="Q5" s="190" t="s">
        <v>5295</v>
      </c>
      <c r="R5" s="215" t="s">
        <v>5295</v>
      </c>
      <c r="S5" s="190" t="s">
        <v>5280</v>
      </c>
      <c r="T5" s="190">
        <v>1306</v>
      </c>
      <c r="U5" s="224" t="s">
        <v>5296</v>
      </c>
      <c r="V5" s="221" t="s">
        <v>5297</v>
      </c>
      <c r="W5" s="227">
        <v>1210</v>
      </c>
      <c r="X5" s="221" t="s">
        <v>5298</v>
      </c>
      <c r="Y5" s="221" t="s">
        <v>5299</v>
      </c>
      <c r="Z5" s="221" t="s">
        <v>5300</v>
      </c>
      <c r="AA5" s="221" t="s">
        <v>5301</v>
      </c>
      <c r="AB5" s="221" t="s">
        <v>5302</v>
      </c>
      <c r="AC5" s="221">
        <v>754</v>
      </c>
      <c r="AD5" s="221">
        <v>732</v>
      </c>
      <c r="AE5" s="221">
        <v>805</v>
      </c>
      <c r="AF5" s="221" t="s">
        <v>5303</v>
      </c>
      <c r="AG5" s="221" t="s">
        <v>5304</v>
      </c>
      <c r="AH5" s="221">
        <v>912</v>
      </c>
      <c r="AI5" s="221">
        <v>1047</v>
      </c>
      <c r="AJ5" s="221">
        <v>1095</v>
      </c>
      <c r="AK5" s="221">
        <v>1097</v>
      </c>
      <c r="AL5" s="221">
        <v>1888</v>
      </c>
      <c r="AM5" s="221">
        <v>1849</v>
      </c>
      <c r="AN5" s="221" t="e">
        <f>VLOOKUP(B5,正厂竞争者数据汇总!D:CL,25,FALSE)</f>
        <v>#N/A</v>
      </c>
      <c r="BD5" s="202">
        <f>IFERROR(VLOOKUP(B5,Sheet4!A:D,4,FALSE),"")</f>
        <v>1047</v>
      </c>
    </row>
    <row r="6" spans="1:56">
      <c r="A6" s="89" t="s">
        <v>487</v>
      </c>
      <c r="B6" s="165" t="s">
        <v>504</v>
      </c>
      <c r="C6" s="189">
        <v>197</v>
      </c>
      <c r="D6" s="189">
        <v>228</v>
      </c>
      <c r="E6" s="189">
        <v>244</v>
      </c>
      <c r="F6" s="189">
        <v>165</v>
      </c>
      <c r="G6" s="189">
        <v>241</v>
      </c>
      <c r="H6" s="189">
        <v>502</v>
      </c>
      <c r="I6" s="189">
        <v>639</v>
      </c>
      <c r="J6" s="189">
        <v>700</v>
      </c>
      <c r="K6" s="189">
        <v>790</v>
      </c>
      <c r="L6" s="189">
        <v>940</v>
      </c>
      <c r="M6" s="189" t="s">
        <v>5295</v>
      </c>
      <c r="N6" s="189" t="s">
        <v>5295</v>
      </c>
      <c r="O6" s="189" t="s">
        <v>5295</v>
      </c>
      <c r="P6" s="189" t="s">
        <v>5279</v>
      </c>
      <c r="Q6" s="189" t="s">
        <v>5279</v>
      </c>
      <c r="R6" s="226" t="s">
        <v>5279</v>
      </c>
      <c r="S6" s="189">
        <v>954</v>
      </c>
      <c r="T6" s="189">
        <v>806</v>
      </c>
      <c r="U6" s="224" t="s">
        <v>2256</v>
      </c>
      <c r="V6" s="221" t="s">
        <v>3290</v>
      </c>
      <c r="W6" s="225">
        <v>811</v>
      </c>
      <c r="X6" s="221" t="s">
        <v>5305</v>
      </c>
      <c r="Y6" s="221" t="s">
        <v>5306</v>
      </c>
      <c r="Z6" s="221" t="s">
        <v>5307</v>
      </c>
      <c r="AA6" s="221" t="s">
        <v>5308</v>
      </c>
      <c r="AB6" s="221" t="s">
        <v>5309</v>
      </c>
      <c r="AC6" s="221">
        <v>1301</v>
      </c>
      <c r="AD6" s="221">
        <v>1617</v>
      </c>
      <c r="AE6" s="221">
        <v>2091</v>
      </c>
      <c r="AF6" s="221" t="s">
        <v>5310</v>
      </c>
      <c r="AG6" s="221" t="s">
        <v>5311</v>
      </c>
      <c r="AH6" s="221">
        <v>3663</v>
      </c>
      <c r="AI6" s="221">
        <v>4317</v>
      </c>
      <c r="AJ6" s="221">
        <v>4658</v>
      </c>
      <c r="AK6" s="221">
        <v>4658</v>
      </c>
      <c r="AL6" s="221">
        <v>5176</v>
      </c>
      <c r="AM6" s="221">
        <v>4972</v>
      </c>
      <c r="AN6" s="221" t="e">
        <f>VLOOKUP(B6,正厂竞争者数据汇总!D:CL,25,FALSE)</f>
        <v>#N/A</v>
      </c>
      <c r="BD6" s="202">
        <f>IFERROR(VLOOKUP(B6,Sheet4!A:D,4,FALSE),"")</f>
        <v>4317</v>
      </c>
    </row>
    <row r="7" spans="1:56">
      <c r="A7" s="89" t="s">
        <v>230</v>
      </c>
      <c r="B7" s="165" t="s">
        <v>503</v>
      </c>
      <c r="C7" s="189">
        <v>124</v>
      </c>
      <c r="D7" s="189">
        <v>118</v>
      </c>
      <c r="E7" s="189">
        <v>123</v>
      </c>
      <c r="F7" s="189">
        <v>127</v>
      </c>
      <c r="G7" s="189">
        <v>142</v>
      </c>
      <c r="H7" s="189">
        <v>206</v>
      </c>
      <c r="I7" s="189">
        <v>269</v>
      </c>
      <c r="J7" s="189">
        <v>304</v>
      </c>
      <c r="K7" s="189">
        <v>399</v>
      </c>
      <c r="L7" s="189">
        <v>464</v>
      </c>
      <c r="M7" s="189">
        <v>511</v>
      </c>
      <c r="N7" s="189">
        <v>546</v>
      </c>
      <c r="O7" s="189">
        <v>566</v>
      </c>
      <c r="P7" s="189">
        <v>558</v>
      </c>
      <c r="Q7" s="189">
        <v>542</v>
      </c>
      <c r="R7" s="226">
        <v>517</v>
      </c>
      <c r="S7" s="189">
        <v>675</v>
      </c>
      <c r="T7" s="189">
        <v>750</v>
      </c>
      <c r="U7" s="224" t="s">
        <v>5312</v>
      </c>
      <c r="V7" s="221" t="s">
        <v>5313</v>
      </c>
      <c r="W7" s="225">
        <v>870</v>
      </c>
      <c r="X7" s="221" t="s">
        <v>5314</v>
      </c>
      <c r="Y7" s="221" t="s">
        <v>5315</v>
      </c>
      <c r="Z7" s="221" t="s">
        <v>5316</v>
      </c>
      <c r="AA7" s="221" t="s">
        <v>1973</v>
      </c>
      <c r="AB7" s="221" t="s">
        <v>5317</v>
      </c>
      <c r="AC7" s="221">
        <v>642</v>
      </c>
      <c r="AD7" s="221">
        <v>641</v>
      </c>
      <c r="AE7" s="221">
        <v>672</v>
      </c>
      <c r="AF7" s="221" t="s">
        <v>5318</v>
      </c>
      <c r="AG7" s="221" t="s">
        <v>5319</v>
      </c>
      <c r="AH7" s="221">
        <v>744</v>
      </c>
      <c r="AI7" s="221">
        <v>771</v>
      </c>
      <c r="AJ7" s="221">
        <v>769</v>
      </c>
      <c r="AK7" s="221">
        <v>769</v>
      </c>
      <c r="AL7" s="221">
        <v>827</v>
      </c>
      <c r="AM7" s="221">
        <v>842</v>
      </c>
      <c r="AN7" s="221" t="e">
        <f>VLOOKUP(B7,正厂竞争者数据汇总!D:CL,25,FALSE)</f>
        <v>#N/A</v>
      </c>
      <c r="BD7" s="202">
        <f>IFERROR(VLOOKUP(B7,Sheet4!A:D,4,FALSE),"")</f>
        <v>771</v>
      </c>
    </row>
    <row r="8" spans="1:56">
      <c r="A8" s="89" t="s">
        <v>230</v>
      </c>
      <c r="B8" s="165" t="s">
        <v>499</v>
      </c>
      <c r="C8" s="189">
        <v>202</v>
      </c>
      <c r="D8" s="189">
        <v>192</v>
      </c>
      <c r="E8" s="189">
        <v>190</v>
      </c>
      <c r="F8" s="189">
        <v>186</v>
      </c>
      <c r="G8" s="189">
        <v>202</v>
      </c>
      <c r="H8" s="189">
        <v>355</v>
      </c>
      <c r="I8" s="189">
        <v>497</v>
      </c>
      <c r="J8" s="189">
        <v>531</v>
      </c>
      <c r="K8" s="189">
        <v>608</v>
      </c>
      <c r="L8" s="189">
        <v>729</v>
      </c>
      <c r="M8" s="189">
        <v>834</v>
      </c>
      <c r="N8" s="189">
        <v>909</v>
      </c>
      <c r="O8" s="189">
        <v>927</v>
      </c>
      <c r="P8" s="189">
        <v>899</v>
      </c>
      <c r="Q8" s="189">
        <v>869</v>
      </c>
      <c r="R8" s="226">
        <v>916</v>
      </c>
      <c r="S8" s="189" t="s">
        <v>5279</v>
      </c>
      <c r="T8" s="189">
        <v>1205</v>
      </c>
      <c r="U8" s="224" t="s">
        <v>3764</v>
      </c>
      <c r="V8" s="221" t="s">
        <v>5320</v>
      </c>
      <c r="W8" s="225">
        <v>1214</v>
      </c>
      <c r="X8" s="221" t="s">
        <v>5321</v>
      </c>
      <c r="Y8" s="221" t="s">
        <v>5322</v>
      </c>
      <c r="Z8" s="221" t="s">
        <v>5323</v>
      </c>
      <c r="AA8" s="221" t="s">
        <v>5313</v>
      </c>
      <c r="AB8" s="221" t="s">
        <v>5324</v>
      </c>
      <c r="AC8" s="221">
        <v>835</v>
      </c>
      <c r="AD8" s="221">
        <v>838</v>
      </c>
      <c r="AE8" s="221">
        <v>866</v>
      </c>
      <c r="AF8" s="221" t="s">
        <v>5325</v>
      </c>
      <c r="AG8" s="221" t="s">
        <v>5326</v>
      </c>
      <c r="AH8" s="221">
        <v>949</v>
      </c>
      <c r="AI8" s="221">
        <v>959</v>
      </c>
      <c r="AJ8" s="221">
        <v>958</v>
      </c>
      <c r="AK8" s="221">
        <v>958</v>
      </c>
      <c r="AL8" s="221">
        <v>1126</v>
      </c>
      <c r="AM8" s="221">
        <v>1494</v>
      </c>
      <c r="AN8" s="221" t="e">
        <f>VLOOKUP(B8,正厂竞争者数据汇总!D:CL,25,FALSE)</f>
        <v>#N/A</v>
      </c>
      <c r="BD8" s="202">
        <f>IFERROR(VLOOKUP(B8,Sheet4!A:D,4,FALSE),"")</f>
        <v>959</v>
      </c>
    </row>
    <row r="9" spans="1:56">
      <c r="A9" s="89" t="s">
        <v>230</v>
      </c>
      <c r="B9" s="168" t="s">
        <v>505</v>
      </c>
      <c r="C9" s="189">
        <v>80</v>
      </c>
      <c r="D9" s="189">
        <v>68</v>
      </c>
      <c r="E9" s="189">
        <v>74</v>
      </c>
      <c r="F9" s="189">
        <v>127</v>
      </c>
      <c r="G9" s="189">
        <v>81</v>
      </c>
      <c r="H9" s="189">
        <v>148</v>
      </c>
      <c r="I9" s="189">
        <v>221</v>
      </c>
      <c r="J9" s="189">
        <v>238</v>
      </c>
      <c r="K9" s="189">
        <v>274</v>
      </c>
      <c r="L9" s="189">
        <v>310</v>
      </c>
      <c r="M9" s="189">
        <v>361</v>
      </c>
      <c r="N9" s="189">
        <v>413</v>
      </c>
      <c r="O9" s="189">
        <v>428</v>
      </c>
      <c r="P9" s="189">
        <v>394</v>
      </c>
      <c r="Q9" s="189">
        <v>392</v>
      </c>
      <c r="R9" s="226">
        <v>414</v>
      </c>
      <c r="S9" s="189">
        <v>595</v>
      </c>
      <c r="T9" s="189">
        <v>718</v>
      </c>
      <c r="U9" s="224" t="s">
        <v>795</v>
      </c>
      <c r="V9" s="221" t="s">
        <v>5327</v>
      </c>
      <c r="W9" s="225">
        <v>802</v>
      </c>
      <c r="X9" s="221" t="s">
        <v>5328</v>
      </c>
      <c r="Y9" s="221" t="s">
        <v>5329</v>
      </c>
      <c r="Z9" s="221" t="s">
        <v>5330</v>
      </c>
      <c r="AA9" s="221" t="s">
        <v>5331</v>
      </c>
      <c r="AB9" s="221" t="s">
        <v>2451</v>
      </c>
      <c r="AC9" s="221">
        <v>509</v>
      </c>
      <c r="AD9" s="221">
        <v>515</v>
      </c>
      <c r="AE9" s="221">
        <v>536</v>
      </c>
      <c r="AF9" s="221" t="s">
        <v>3760</v>
      </c>
      <c r="AG9" s="221" t="s">
        <v>5332</v>
      </c>
      <c r="AH9" s="221">
        <v>572</v>
      </c>
      <c r="AI9" s="221">
        <v>591</v>
      </c>
      <c r="AJ9" s="221">
        <v>605</v>
      </c>
      <c r="AK9" s="221">
        <v>589</v>
      </c>
      <c r="AL9" s="221">
        <v>621</v>
      </c>
      <c r="AM9" s="221">
        <v>630</v>
      </c>
      <c r="AN9" s="221" t="e">
        <f>VLOOKUP(B9,正厂竞争者数据汇总!D:CL,25,FALSE)</f>
        <v>#N/A</v>
      </c>
      <c r="BD9" s="202">
        <f>IFERROR(VLOOKUP(B9,Sheet4!A:D,4,FALSE),"")</f>
        <v>591</v>
      </c>
    </row>
    <row r="10" spans="1:56">
      <c r="A10" s="89" t="s">
        <v>230</v>
      </c>
      <c r="B10" s="165" t="s">
        <v>506</v>
      </c>
      <c r="C10" s="189">
        <v>49</v>
      </c>
      <c r="D10" s="189">
        <v>35</v>
      </c>
      <c r="E10" s="189">
        <v>38</v>
      </c>
      <c r="F10" s="189">
        <v>154</v>
      </c>
      <c r="G10" s="189">
        <v>57</v>
      </c>
      <c r="H10" s="189">
        <v>72</v>
      </c>
      <c r="I10" s="189">
        <v>101</v>
      </c>
      <c r="J10" s="189">
        <v>117</v>
      </c>
      <c r="K10" s="189">
        <v>123</v>
      </c>
      <c r="L10" s="189">
        <v>134</v>
      </c>
      <c r="M10" s="189">
        <v>150</v>
      </c>
      <c r="N10" s="189">
        <v>150</v>
      </c>
      <c r="O10" s="189">
        <v>155</v>
      </c>
      <c r="P10" s="189">
        <v>137</v>
      </c>
      <c r="Q10" s="189">
        <v>135</v>
      </c>
      <c r="R10" s="226">
        <v>137</v>
      </c>
      <c r="S10" s="189">
        <v>216</v>
      </c>
      <c r="T10" s="189">
        <v>284</v>
      </c>
      <c r="U10" s="224" t="s">
        <v>5333</v>
      </c>
      <c r="V10" s="221" t="s">
        <v>5334</v>
      </c>
      <c r="W10" s="225">
        <v>380</v>
      </c>
      <c r="X10" s="221" t="s">
        <v>5129</v>
      </c>
      <c r="Y10" s="221" t="s">
        <v>5335</v>
      </c>
      <c r="Z10" s="221" t="s">
        <v>5336</v>
      </c>
      <c r="AA10" s="221" t="s">
        <v>5337</v>
      </c>
      <c r="AB10" s="221" t="s">
        <v>5338</v>
      </c>
      <c r="AC10" s="221">
        <v>356</v>
      </c>
      <c r="AD10" s="221">
        <v>348</v>
      </c>
      <c r="AE10" s="221">
        <v>362</v>
      </c>
      <c r="AF10" s="221" t="s">
        <v>5339</v>
      </c>
      <c r="AG10" s="221" t="s">
        <v>5340</v>
      </c>
      <c r="AH10" s="221">
        <v>375</v>
      </c>
      <c r="AI10" s="221">
        <v>379</v>
      </c>
      <c r="AJ10" s="221">
        <v>354</v>
      </c>
      <c r="AK10" s="221">
        <v>354</v>
      </c>
      <c r="AL10" s="221">
        <v>381</v>
      </c>
      <c r="AM10" s="221">
        <v>389</v>
      </c>
      <c r="AN10" s="221" t="e">
        <f>VLOOKUP(B10,正厂竞争者数据汇总!D:CL,25,FALSE)</f>
        <v>#N/A</v>
      </c>
      <c r="BD10" s="202">
        <f>IFERROR(VLOOKUP(B10,Sheet4!A:D,4,FALSE),"")</f>
        <v>379</v>
      </c>
    </row>
    <row r="11" spans="1:56">
      <c r="A11" s="89" t="s">
        <v>230</v>
      </c>
      <c r="B11" s="165" t="s">
        <v>5202</v>
      </c>
      <c r="C11" s="189">
        <v>212</v>
      </c>
      <c r="D11" s="189">
        <v>165</v>
      </c>
      <c r="E11" s="189">
        <v>158</v>
      </c>
      <c r="F11" s="189">
        <v>15</v>
      </c>
      <c r="G11" s="189">
        <v>134</v>
      </c>
      <c r="H11" s="189">
        <v>176</v>
      </c>
      <c r="I11" s="189">
        <v>398</v>
      </c>
      <c r="J11" s="189">
        <v>502</v>
      </c>
      <c r="K11" s="189">
        <v>643</v>
      </c>
      <c r="L11" s="189">
        <v>667</v>
      </c>
      <c r="M11" s="189">
        <v>716</v>
      </c>
      <c r="N11" s="189">
        <v>739</v>
      </c>
      <c r="O11" s="189">
        <v>747</v>
      </c>
      <c r="P11" s="189">
        <v>738</v>
      </c>
      <c r="Q11" s="189">
        <v>691</v>
      </c>
      <c r="R11" s="226">
        <v>657</v>
      </c>
      <c r="S11" s="189">
        <v>715</v>
      </c>
      <c r="T11" s="189">
        <v>777</v>
      </c>
      <c r="U11" s="224" t="s">
        <v>5341</v>
      </c>
      <c r="V11" s="221" t="s">
        <v>5342</v>
      </c>
      <c r="W11" s="225">
        <v>747</v>
      </c>
      <c r="X11" s="221" t="s">
        <v>5343</v>
      </c>
      <c r="Y11" s="221" t="s">
        <v>5344</v>
      </c>
      <c r="Z11" s="221" t="s">
        <v>5345</v>
      </c>
      <c r="AA11" s="221" t="s">
        <v>5346</v>
      </c>
      <c r="AB11" s="221" t="s">
        <v>5347</v>
      </c>
      <c r="AC11" s="221">
        <v>530</v>
      </c>
      <c r="AD11" s="221">
        <v>512</v>
      </c>
      <c r="AE11" s="221">
        <v>599</v>
      </c>
      <c r="AF11" s="221" t="s">
        <v>5348</v>
      </c>
      <c r="AG11" s="221" t="s">
        <v>5349</v>
      </c>
      <c r="AH11" s="221">
        <v>612</v>
      </c>
      <c r="AI11" s="221">
        <v>631</v>
      </c>
      <c r="AJ11" s="221">
        <v>608</v>
      </c>
      <c r="AK11" s="221">
        <v>608</v>
      </c>
      <c r="AL11" s="221">
        <v>653</v>
      </c>
      <c r="AM11" s="221">
        <v>663</v>
      </c>
      <c r="AN11" s="221" t="e">
        <f>VLOOKUP(B11,正厂竞争者数据汇总!D:CL,25,FALSE)</f>
        <v>#N/A</v>
      </c>
      <c r="BD11" s="202">
        <f>IFERROR(VLOOKUP(B11,Sheet4!A:D,4,FALSE),"")</f>
        <v>631</v>
      </c>
    </row>
    <row r="12" s="159" customFormat="1" spans="1:56">
      <c r="A12" s="88" t="s">
        <v>227</v>
      </c>
      <c r="B12" s="169" t="s">
        <v>147</v>
      </c>
      <c r="C12" s="190">
        <v>38</v>
      </c>
      <c r="D12" s="190">
        <v>51</v>
      </c>
      <c r="E12" s="190">
        <v>56</v>
      </c>
      <c r="F12" s="190">
        <v>36</v>
      </c>
      <c r="G12" s="190">
        <v>63</v>
      </c>
      <c r="H12" s="190">
        <v>152</v>
      </c>
      <c r="I12" s="190">
        <v>193</v>
      </c>
      <c r="J12" s="190">
        <v>217</v>
      </c>
      <c r="K12" s="190">
        <v>246</v>
      </c>
      <c r="L12" s="190">
        <v>281</v>
      </c>
      <c r="M12" s="190">
        <v>385</v>
      </c>
      <c r="N12" s="190">
        <v>449</v>
      </c>
      <c r="O12" s="190">
        <v>449</v>
      </c>
      <c r="P12" s="190">
        <v>440</v>
      </c>
      <c r="Q12" s="190">
        <v>409</v>
      </c>
      <c r="R12" s="215">
        <v>400</v>
      </c>
      <c r="S12" s="190">
        <v>482</v>
      </c>
      <c r="T12" s="190">
        <v>457</v>
      </c>
      <c r="U12" s="224" t="s">
        <v>5350</v>
      </c>
      <c r="V12" s="221" t="s">
        <v>5351</v>
      </c>
      <c r="W12" s="227">
        <v>488</v>
      </c>
      <c r="X12" s="221" t="s">
        <v>5352</v>
      </c>
      <c r="Y12" s="221" t="s">
        <v>5351</v>
      </c>
      <c r="Z12" s="221" t="s">
        <v>5353</v>
      </c>
      <c r="AA12" s="221" t="s">
        <v>5354</v>
      </c>
      <c r="AB12" s="221" t="s">
        <v>5355</v>
      </c>
      <c r="AC12" s="221">
        <v>367</v>
      </c>
      <c r="AD12" s="221">
        <v>380</v>
      </c>
      <c r="AE12" s="221">
        <v>389</v>
      </c>
      <c r="AF12" s="221" t="s">
        <v>5356</v>
      </c>
      <c r="AG12" s="221" t="s">
        <v>5357</v>
      </c>
      <c r="AH12" s="221">
        <v>420</v>
      </c>
      <c r="AI12" s="221">
        <v>429</v>
      </c>
      <c r="AJ12" s="221">
        <v>444</v>
      </c>
      <c r="AK12" s="221">
        <v>444</v>
      </c>
      <c r="AL12" s="221">
        <v>581</v>
      </c>
      <c r="AM12" s="221">
        <v>584</v>
      </c>
      <c r="AN12" s="221" t="e">
        <f>VLOOKUP(B12,正厂竞争者数据汇总!D:CL,25,FALSE)</f>
        <v>#N/A</v>
      </c>
      <c r="BD12" s="202">
        <f>IFERROR(VLOOKUP(B12,Sheet4!A:D,4,FALSE),"")</f>
        <v>429</v>
      </c>
    </row>
    <row r="13" spans="1:56">
      <c r="A13" s="96" t="s">
        <v>4138</v>
      </c>
      <c r="B13" s="205"/>
      <c r="C13" s="97"/>
      <c r="D13" s="97"/>
      <c r="E13" s="97"/>
      <c r="AG13" s="200" t="s">
        <v>180</v>
      </c>
      <c r="AH13" s="200" t="s">
        <v>180</v>
      </c>
      <c r="AI13" s="200" t="s">
        <v>180</v>
      </c>
      <c r="AJ13" s="221"/>
      <c r="AK13" s="221"/>
      <c r="AL13" s="221"/>
      <c r="AM13" s="221"/>
      <c r="AN13" s="221"/>
      <c r="BD13" s="202" t="str">
        <f>IFERROR(VLOOKUP(B13,Sheet4!A:D,4,FALSE),"")</f>
        <v/>
      </c>
    </row>
    <row r="14" spans="1:56">
      <c r="A14" s="101" t="s">
        <v>3944</v>
      </c>
      <c r="B14" s="171" t="s">
        <v>207</v>
      </c>
      <c r="C14" s="102"/>
      <c r="D14" s="102"/>
      <c r="E14" s="102"/>
      <c r="F14" s="119"/>
      <c r="AG14" s="200" t="s">
        <v>180</v>
      </c>
      <c r="AH14" s="200" t="s">
        <v>180</v>
      </c>
      <c r="AI14" s="200" t="s">
        <v>180</v>
      </c>
      <c r="AJ14" s="221"/>
      <c r="AK14" s="221"/>
      <c r="AL14" s="221"/>
      <c r="AM14" s="221"/>
      <c r="AN14" s="221"/>
      <c r="BD14" s="202" t="str">
        <f>IFERROR(VLOOKUP(B14,Sheet4!A:D,4,FALSE),"")</f>
        <v/>
      </c>
    </row>
    <row r="15" spans="1:56">
      <c r="A15" s="88" t="s">
        <v>227</v>
      </c>
      <c r="B15" s="170" t="s">
        <v>515</v>
      </c>
      <c r="C15" s="190">
        <v>585</v>
      </c>
      <c r="D15" s="190">
        <v>543</v>
      </c>
      <c r="E15" s="190">
        <v>549</v>
      </c>
      <c r="F15" s="190">
        <v>608</v>
      </c>
      <c r="G15" s="190">
        <v>588</v>
      </c>
      <c r="H15" s="190">
        <v>898</v>
      </c>
      <c r="I15" s="190" t="s">
        <v>5358</v>
      </c>
      <c r="J15" s="190" t="s">
        <v>5281</v>
      </c>
      <c r="K15" s="190" t="s">
        <v>5284</v>
      </c>
      <c r="L15" s="190" t="s">
        <v>5286</v>
      </c>
      <c r="M15" s="190" t="s">
        <v>5359</v>
      </c>
      <c r="N15" s="190" t="s">
        <v>5360</v>
      </c>
      <c r="O15" s="190" t="s">
        <v>5360</v>
      </c>
      <c r="P15" s="190" t="s">
        <v>5359</v>
      </c>
      <c r="Q15" s="190" t="s">
        <v>5361</v>
      </c>
      <c r="R15" s="190" t="s">
        <v>5362</v>
      </c>
      <c r="S15" s="190" t="s">
        <v>5359</v>
      </c>
      <c r="T15" s="190">
        <v>2334</v>
      </c>
      <c r="U15" s="224" t="s">
        <v>5363</v>
      </c>
      <c r="V15" s="221" t="s">
        <v>5364</v>
      </c>
      <c r="W15" s="225">
        <v>2200</v>
      </c>
      <c r="X15" s="221" t="s">
        <v>5365</v>
      </c>
      <c r="Y15" s="221" t="s">
        <v>5366</v>
      </c>
      <c r="Z15" s="221" t="s">
        <v>5367</v>
      </c>
      <c r="AA15" s="221" t="s">
        <v>5368</v>
      </c>
      <c r="AB15" s="221" t="s">
        <v>5369</v>
      </c>
      <c r="AC15" s="221">
        <v>2144</v>
      </c>
      <c r="AD15" s="221">
        <v>2494</v>
      </c>
      <c r="AE15" s="221">
        <v>3115</v>
      </c>
      <c r="AF15" s="221" t="s">
        <v>5370</v>
      </c>
      <c r="AG15" s="221" t="s">
        <v>5371</v>
      </c>
      <c r="AH15" s="221">
        <v>4441</v>
      </c>
      <c r="AI15" s="221">
        <v>5146</v>
      </c>
      <c r="AJ15" s="221">
        <v>5301</v>
      </c>
      <c r="AK15" s="221">
        <v>5301</v>
      </c>
      <c r="AL15" s="221">
        <v>6016</v>
      </c>
      <c r="AM15" s="221">
        <v>5845</v>
      </c>
      <c r="AN15" s="221" t="e">
        <f>VLOOKUP(B15,正厂竞争者数据汇总!D:CL,25,FALSE)</f>
        <v>#N/A</v>
      </c>
      <c r="BD15" s="202">
        <f>IFERROR(VLOOKUP(B15,Sheet4!A:D,4,FALSE),"")</f>
        <v>5146</v>
      </c>
    </row>
    <row r="16" spans="1:56">
      <c r="A16" s="89" t="s">
        <v>672</v>
      </c>
      <c r="B16" s="165" t="s">
        <v>526</v>
      </c>
      <c r="C16" s="189"/>
      <c r="D16" s="189"/>
      <c r="E16" s="189"/>
      <c r="F16" s="189">
        <v>0</v>
      </c>
      <c r="G16" s="189">
        <v>424</v>
      </c>
      <c r="H16" s="189" t="s">
        <v>5281</v>
      </c>
      <c r="I16" s="189"/>
      <c r="J16" s="189"/>
      <c r="K16" s="221"/>
      <c r="L16" s="221"/>
      <c r="M16" s="221"/>
      <c r="N16" s="221"/>
      <c r="O16" s="221"/>
      <c r="P16" s="221"/>
      <c r="Q16" s="189"/>
      <c r="R16" s="189" t="s">
        <v>5372</v>
      </c>
      <c r="S16" s="221"/>
      <c r="T16" s="221">
        <v>2335</v>
      </c>
      <c r="U16" s="224" t="s">
        <v>5373</v>
      </c>
      <c r="V16" s="221" t="s">
        <v>5374</v>
      </c>
      <c r="W16" s="225">
        <v>2390</v>
      </c>
      <c r="X16" s="221" t="s">
        <v>5375</v>
      </c>
      <c r="Y16" s="221" t="s">
        <v>5376</v>
      </c>
      <c r="Z16" s="221" t="s">
        <v>5377</v>
      </c>
      <c r="AA16" s="221" t="s">
        <v>5378</v>
      </c>
      <c r="AB16" s="221" t="s">
        <v>3252</v>
      </c>
      <c r="AC16" s="221">
        <v>2401</v>
      </c>
      <c r="AD16" s="221">
        <v>2665</v>
      </c>
      <c r="AE16" s="221">
        <v>3241</v>
      </c>
      <c r="AF16" s="221" t="s">
        <v>5379</v>
      </c>
      <c r="AG16" s="221" t="s">
        <v>5380</v>
      </c>
      <c r="AH16" s="221">
        <v>4384</v>
      </c>
      <c r="AI16" s="221">
        <v>5169</v>
      </c>
      <c r="AJ16" s="221">
        <v>5171</v>
      </c>
      <c r="AK16" s="221">
        <v>5171</v>
      </c>
      <c r="AL16" s="221">
        <v>5727</v>
      </c>
      <c r="AM16" s="221">
        <v>5587</v>
      </c>
      <c r="AN16" s="221">
        <f>VLOOKUP(B16,正厂竞争者数据汇总!D:CL,25,FALSE)</f>
        <v>374749</v>
      </c>
      <c r="BD16" s="202">
        <f>IFERROR(VLOOKUP(B16,Sheet4!A:D,4,FALSE),"")</f>
        <v>5169</v>
      </c>
    </row>
    <row r="17" spans="1:56">
      <c r="A17" s="89" t="s">
        <v>238</v>
      </c>
      <c r="B17" s="165" t="s">
        <v>519</v>
      </c>
      <c r="C17" s="189">
        <v>546</v>
      </c>
      <c r="D17" s="189">
        <v>459</v>
      </c>
      <c r="E17" s="189">
        <v>443</v>
      </c>
      <c r="F17" s="189">
        <v>480</v>
      </c>
      <c r="G17" s="189">
        <v>392</v>
      </c>
      <c r="H17" s="189">
        <v>654</v>
      </c>
      <c r="I17" s="189" t="s">
        <v>5279</v>
      </c>
      <c r="J17" s="189" t="s">
        <v>5280</v>
      </c>
      <c r="K17" s="189" t="s">
        <v>5281</v>
      </c>
      <c r="L17" s="189" t="s">
        <v>5282</v>
      </c>
      <c r="M17" s="189" t="s">
        <v>5285</v>
      </c>
      <c r="N17" s="189" t="s">
        <v>5285</v>
      </c>
      <c r="O17" s="189" t="s">
        <v>5285</v>
      </c>
      <c r="P17" s="189" t="s">
        <v>5285</v>
      </c>
      <c r="Q17" s="189" t="s">
        <v>5284</v>
      </c>
      <c r="R17" s="189" t="s">
        <v>5381</v>
      </c>
      <c r="S17" s="189" t="s">
        <v>5285</v>
      </c>
      <c r="T17" s="189">
        <v>1996</v>
      </c>
      <c r="U17" s="224" t="s">
        <v>5382</v>
      </c>
      <c r="V17" s="221" t="s">
        <v>5383</v>
      </c>
      <c r="W17" s="225">
        <v>1969</v>
      </c>
      <c r="X17" s="221" t="s">
        <v>5384</v>
      </c>
      <c r="Y17" s="221" t="s">
        <v>5385</v>
      </c>
      <c r="Z17" s="221" t="s">
        <v>5386</v>
      </c>
      <c r="AA17" s="221" t="s">
        <v>5387</v>
      </c>
      <c r="AB17" s="221" t="s">
        <v>5388</v>
      </c>
      <c r="AC17" s="221">
        <v>1851</v>
      </c>
      <c r="AD17" s="221">
        <v>2040</v>
      </c>
      <c r="AE17" s="221">
        <v>2358</v>
      </c>
      <c r="AF17" s="221" t="s">
        <v>5389</v>
      </c>
      <c r="AG17" s="221" t="s">
        <v>5390</v>
      </c>
      <c r="AH17" s="221">
        <v>3029</v>
      </c>
      <c r="AI17" s="221">
        <v>3641</v>
      </c>
      <c r="AJ17" s="221">
        <v>3632</v>
      </c>
      <c r="AK17" s="221">
        <v>3632</v>
      </c>
      <c r="AL17" s="221">
        <v>4511</v>
      </c>
      <c r="AM17" s="221">
        <v>4398</v>
      </c>
      <c r="AN17" s="221" t="e">
        <f>VLOOKUP(B17,正厂竞争者数据汇总!D:CL,25,FALSE)</f>
        <v>#N/A</v>
      </c>
      <c r="BD17" s="202">
        <f>IFERROR(VLOOKUP(B17,Sheet4!A:D,4,FALSE),"")</f>
        <v>3641</v>
      </c>
    </row>
    <row r="18" spans="2:56">
      <c r="B18" s="165" t="s">
        <v>527</v>
      </c>
      <c r="C18" s="189">
        <v>484</v>
      </c>
      <c r="D18" s="189">
        <v>385</v>
      </c>
      <c r="E18" s="189">
        <v>400</v>
      </c>
      <c r="F18" s="189">
        <v>419</v>
      </c>
      <c r="G18" s="189">
        <v>142</v>
      </c>
      <c r="H18" s="189">
        <v>618</v>
      </c>
      <c r="I18" s="189" t="s">
        <v>5279</v>
      </c>
      <c r="J18" s="189" t="s">
        <v>5280</v>
      </c>
      <c r="K18" s="189" t="s">
        <v>5281</v>
      </c>
      <c r="L18" s="189" t="s">
        <v>5283</v>
      </c>
      <c r="M18" s="189" t="s">
        <v>5285</v>
      </c>
      <c r="N18" s="189" t="s">
        <v>5286</v>
      </c>
      <c r="O18" s="189" t="s">
        <v>5286</v>
      </c>
      <c r="P18" s="189" t="s">
        <v>5286</v>
      </c>
      <c r="Q18" s="189" t="s">
        <v>5286</v>
      </c>
      <c r="R18" s="189" t="s">
        <v>5391</v>
      </c>
      <c r="S18" s="189" t="s">
        <v>5286</v>
      </c>
      <c r="T18" s="189">
        <v>2118</v>
      </c>
      <c r="U18" s="224" t="s">
        <v>5392</v>
      </c>
      <c r="V18" s="221" t="s">
        <v>5385</v>
      </c>
      <c r="W18" s="225">
        <v>2006</v>
      </c>
      <c r="X18" s="221" t="s">
        <v>3556</v>
      </c>
      <c r="Y18" s="221" t="s">
        <v>5393</v>
      </c>
      <c r="Z18" s="221" t="s">
        <v>5394</v>
      </c>
      <c r="AA18" s="221" t="s">
        <v>5395</v>
      </c>
      <c r="AB18" s="221" t="s">
        <v>5396</v>
      </c>
      <c r="AC18" s="221">
        <v>1868</v>
      </c>
      <c r="AD18" s="221">
        <v>2109</v>
      </c>
      <c r="AE18" s="221">
        <v>2518</v>
      </c>
      <c r="AF18" s="221" t="s">
        <v>5397</v>
      </c>
      <c r="AG18" s="221" t="s">
        <v>5398</v>
      </c>
      <c r="AH18" s="221">
        <v>3737</v>
      </c>
      <c r="AI18" s="221">
        <v>4421</v>
      </c>
      <c r="AJ18" s="221">
        <v>4611</v>
      </c>
      <c r="AK18" s="221">
        <v>4611</v>
      </c>
      <c r="AL18" s="221">
        <v>5063</v>
      </c>
      <c r="AM18" s="221">
        <v>4930</v>
      </c>
      <c r="AN18" s="221" t="e">
        <f>VLOOKUP(B18,正厂竞争者数据汇总!D:CL,25,FALSE)</f>
        <v>#N/A</v>
      </c>
      <c r="BD18" s="202">
        <f>IFERROR(VLOOKUP(B18,Sheet4!A:D,4,FALSE),"")</f>
        <v>4421</v>
      </c>
    </row>
    <row r="19" spans="1:56">
      <c r="A19" s="89" t="s">
        <v>243</v>
      </c>
      <c r="B19" s="165" t="s">
        <v>525</v>
      </c>
      <c r="C19" s="189">
        <v>163</v>
      </c>
      <c r="D19" s="189">
        <v>166</v>
      </c>
      <c r="E19" s="189">
        <v>173</v>
      </c>
      <c r="F19" s="189">
        <v>195</v>
      </c>
      <c r="G19" s="189">
        <v>342</v>
      </c>
      <c r="H19" s="189">
        <v>337</v>
      </c>
      <c r="I19" s="189">
        <v>491</v>
      </c>
      <c r="J19" s="189">
        <v>533</v>
      </c>
      <c r="K19" s="189">
        <v>563</v>
      </c>
      <c r="L19" s="189">
        <v>526</v>
      </c>
      <c r="M19" s="189">
        <v>687</v>
      </c>
      <c r="N19" s="189">
        <v>578</v>
      </c>
      <c r="O19" s="189">
        <v>521</v>
      </c>
      <c r="P19" s="189">
        <v>502</v>
      </c>
      <c r="Q19" s="189">
        <v>484</v>
      </c>
      <c r="R19" s="189">
        <v>484</v>
      </c>
      <c r="S19" s="189">
        <v>467</v>
      </c>
      <c r="T19" s="189">
        <v>406</v>
      </c>
      <c r="U19" s="224" t="s">
        <v>5399</v>
      </c>
      <c r="V19" s="221" t="s">
        <v>5400</v>
      </c>
      <c r="W19" s="225">
        <v>494</v>
      </c>
      <c r="X19" s="221" t="s">
        <v>5401</v>
      </c>
      <c r="Y19" s="221" t="s">
        <v>5402</v>
      </c>
      <c r="Z19" s="221" t="s">
        <v>5403</v>
      </c>
      <c r="AA19" s="221" t="s">
        <v>5404</v>
      </c>
      <c r="AB19" s="221" t="s">
        <v>5405</v>
      </c>
      <c r="AC19" s="221">
        <v>892</v>
      </c>
      <c r="AD19" s="221">
        <v>1161</v>
      </c>
      <c r="AE19" s="221">
        <v>1617</v>
      </c>
      <c r="AF19" s="221" t="s">
        <v>5406</v>
      </c>
      <c r="AG19" s="221" t="s">
        <v>5289</v>
      </c>
      <c r="AH19" s="221">
        <v>2743</v>
      </c>
      <c r="AI19" s="221">
        <v>3516</v>
      </c>
      <c r="AJ19" s="221">
        <v>3553</v>
      </c>
      <c r="AK19" s="221">
        <v>3553</v>
      </c>
      <c r="AL19" s="221">
        <v>3621</v>
      </c>
      <c r="AM19" s="221">
        <v>3464</v>
      </c>
      <c r="AN19" s="221">
        <f>VLOOKUP(B19,正厂竞争者数据汇总!D:CL,25,FALSE)</f>
        <v>7025</v>
      </c>
      <c r="BD19" s="202">
        <f>IFERROR(VLOOKUP(B19,Sheet4!A:D,4,FALSE),"")</f>
        <v>3516</v>
      </c>
    </row>
    <row r="20" spans="1:56">
      <c r="A20" s="89" t="s">
        <v>230</v>
      </c>
      <c r="B20" s="165" t="s">
        <v>517</v>
      </c>
      <c r="C20" s="189">
        <v>451</v>
      </c>
      <c r="D20" s="189">
        <v>351</v>
      </c>
      <c r="E20" s="189">
        <v>353</v>
      </c>
      <c r="F20" s="189">
        <v>370</v>
      </c>
      <c r="G20" s="189">
        <v>342</v>
      </c>
      <c r="H20" s="189">
        <v>395</v>
      </c>
      <c r="I20" s="189">
        <v>695</v>
      </c>
      <c r="J20" s="189">
        <v>815</v>
      </c>
      <c r="K20" s="189">
        <v>917</v>
      </c>
      <c r="L20" s="189">
        <v>967</v>
      </c>
      <c r="M20" s="189" t="s">
        <v>5407</v>
      </c>
      <c r="N20" s="189" t="s">
        <v>5279</v>
      </c>
      <c r="O20" s="189" t="s">
        <v>5279</v>
      </c>
      <c r="P20" s="189" t="s">
        <v>5407</v>
      </c>
      <c r="Q20" s="189" t="s">
        <v>5407</v>
      </c>
      <c r="R20" s="189">
        <v>978</v>
      </c>
      <c r="S20" s="189" t="s">
        <v>5279</v>
      </c>
      <c r="T20" s="189">
        <v>1144</v>
      </c>
      <c r="U20" s="224" t="s">
        <v>5408</v>
      </c>
      <c r="V20" s="221" t="s">
        <v>2776</v>
      </c>
      <c r="W20" s="225">
        <v>1125</v>
      </c>
      <c r="X20" s="221" t="s">
        <v>5409</v>
      </c>
      <c r="Y20" s="221" t="s">
        <v>5410</v>
      </c>
      <c r="Z20" s="221" t="s">
        <v>5411</v>
      </c>
      <c r="AA20" s="221" t="s">
        <v>5412</v>
      </c>
      <c r="AB20" s="221" t="s">
        <v>5413</v>
      </c>
      <c r="AC20" s="221">
        <v>838</v>
      </c>
      <c r="AD20" s="221">
        <v>813</v>
      </c>
      <c r="AE20" s="221">
        <v>888</v>
      </c>
      <c r="AF20" s="221" t="s">
        <v>5314</v>
      </c>
      <c r="AG20" s="221" t="s">
        <v>5414</v>
      </c>
      <c r="AH20" s="221">
        <v>967</v>
      </c>
      <c r="AI20" s="221">
        <v>1018</v>
      </c>
      <c r="AJ20" s="221">
        <v>1022</v>
      </c>
      <c r="AK20" s="221">
        <v>1014</v>
      </c>
      <c r="AL20" s="221">
        <v>1067</v>
      </c>
      <c r="AM20" s="221">
        <v>1084</v>
      </c>
      <c r="AN20" s="221" t="e">
        <f>VLOOKUP(B20,正厂竞争者数据汇总!D:CL,25,FALSE)</f>
        <v>#N/A</v>
      </c>
      <c r="BD20" s="202">
        <f>IFERROR(VLOOKUP(B20,Sheet4!A:D,4,FALSE),"")</f>
        <v>1018</v>
      </c>
    </row>
    <row r="21" spans="1:56">
      <c r="A21" s="89" t="s">
        <v>230</v>
      </c>
      <c r="B21" s="165" t="s">
        <v>516</v>
      </c>
      <c r="C21" s="189">
        <v>74</v>
      </c>
      <c r="D21" s="189">
        <v>70</v>
      </c>
      <c r="E21" s="189">
        <v>70</v>
      </c>
      <c r="F21" s="189">
        <v>86</v>
      </c>
      <c r="G21" s="189">
        <v>88</v>
      </c>
      <c r="H21" s="189">
        <v>194</v>
      </c>
      <c r="I21" s="189">
        <v>264</v>
      </c>
      <c r="J21" s="189">
        <v>288</v>
      </c>
      <c r="K21" s="189">
        <v>300</v>
      </c>
      <c r="L21" s="189">
        <v>360</v>
      </c>
      <c r="M21" s="189">
        <v>407</v>
      </c>
      <c r="N21" s="189">
        <v>439</v>
      </c>
      <c r="O21" s="189">
        <v>438</v>
      </c>
      <c r="P21" s="189">
        <v>421</v>
      </c>
      <c r="Q21" s="189">
        <v>409</v>
      </c>
      <c r="R21" s="189">
        <v>369</v>
      </c>
      <c r="S21" s="189">
        <v>634</v>
      </c>
      <c r="T21" s="189">
        <v>711</v>
      </c>
      <c r="U21" s="224" t="s">
        <v>5415</v>
      </c>
      <c r="V21" s="221" t="s">
        <v>1578</v>
      </c>
      <c r="W21" s="225">
        <v>796</v>
      </c>
      <c r="X21" s="221" t="s">
        <v>5301</v>
      </c>
      <c r="Y21" s="221" t="s">
        <v>5327</v>
      </c>
      <c r="Z21" s="221" t="s">
        <v>5352</v>
      </c>
      <c r="AA21" s="221" t="s">
        <v>5416</v>
      </c>
      <c r="AB21" s="221" t="s">
        <v>5417</v>
      </c>
      <c r="AC21" s="221">
        <v>554</v>
      </c>
      <c r="AD21" s="221">
        <v>565</v>
      </c>
      <c r="AE21" s="221">
        <v>606</v>
      </c>
      <c r="AF21" s="221" t="s">
        <v>5418</v>
      </c>
      <c r="AG21" s="221" t="s">
        <v>1910</v>
      </c>
      <c r="AH21" s="221">
        <v>677</v>
      </c>
      <c r="AI21" s="221">
        <v>683</v>
      </c>
      <c r="AJ21" s="221">
        <v>681</v>
      </c>
      <c r="AK21" s="221">
        <v>681</v>
      </c>
      <c r="AL21" s="221">
        <v>759</v>
      </c>
      <c r="AM21" s="221">
        <v>767</v>
      </c>
      <c r="AN21" s="221" t="e">
        <f>VLOOKUP(B21,正厂竞争者数据汇总!D:CL,25,FALSE)</f>
        <v>#N/A</v>
      </c>
      <c r="BD21" s="202">
        <f>IFERROR(VLOOKUP(B21,Sheet4!A:D,4,FALSE),"")</f>
        <v>683</v>
      </c>
    </row>
    <row r="22" spans="2:56">
      <c r="B22" s="165" t="s">
        <v>4196</v>
      </c>
      <c r="C22" s="189" t="s">
        <v>5419</v>
      </c>
      <c r="D22" s="189" t="s">
        <v>5419</v>
      </c>
      <c r="E22" s="189">
        <v>16</v>
      </c>
      <c r="F22" s="189">
        <v>205</v>
      </c>
      <c r="G22" s="189">
        <v>176</v>
      </c>
      <c r="H22" s="189">
        <v>369</v>
      </c>
      <c r="I22" s="189">
        <v>494</v>
      </c>
      <c r="J22" s="189">
        <v>541</v>
      </c>
      <c r="K22" s="189">
        <v>613</v>
      </c>
      <c r="L22" s="189">
        <v>748</v>
      </c>
      <c r="M22" s="189">
        <v>896</v>
      </c>
      <c r="N22" s="189">
        <v>923</v>
      </c>
      <c r="O22" s="189">
        <v>923</v>
      </c>
      <c r="P22" s="189"/>
      <c r="Q22" s="189">
        <v>876</v>
      </c>
      <c r="R22" s="189">
        <v>850</v>
      </c>
      <c r="S22" s="189">
        <v>937</v>
      </c>
      <c r="T22" s="189">
        <v>987</v>
      </c>
      <c r="U22" s="224" t="s">
        <v>5420</v>
      </c>
      <c r="V22" s="221" t="s">
        <v>5421</v>
      </c>
      <c r="W22" s="225">
        <v>1043</v>
      </c>
      <c r="X22" s="221" t="s">
        <v>5422</v>
      </c>
      <c r="Y22" s="221" t="s">
        <v>5423</v>
      </c>
      <c r="Z22" s="221" t="s">
        <v>5424</v>
      </c>
      <c r="AA22" s="221" t="s">
        <v>3009</v>
      </c>
      <c r="AB22" s="221" t="s">
        <v>5425</v>
      </c>
      <c r="AC22" s="221">
        <v>872</v>
      </c>
      <c r="AD22" s="221">
        <v>971</v>
      </c>
      <c r="AE22" s="221">
        <v>999</v>
      </c>
      <c r="AF22" s="221" t="s">
        <v>5426</v>
      </c>
      <c r="AG22" s="221" t="s">
        <v>5324</v>
      </c>
      <c r="AH22" s="221">
        <v>719</v>
      </c>
      <c r="AI22" s="221">
        <v>743</v>
      </c>
      <c r="AJ22" s="221">
        <v>474</v>
      </c>
      <c r="AK22" s="221">
        <v>474</v>
      </c>
      <c r="AL22" s="221">
        <v>416</v>
      </c>
      <c r="AM22" s="221">
        <v>358</v>
      </c>
      <c r="AN22" s="221" t="e">
        <f>VLOOKUP(B22,正厂竞争者数据汇总!D:CL,25,FALSE)</f>
        <v>#N/A</v>
      </c>
      <c r="BD22" s="202">
        <f>IFERROR(VLOOKUP(B22,Sheet4!A:D,4,FALSE),"")</f>
        <v>743</v>
      </c>
    </row>
    <row r="23" spans="1:56">
      <c r="A23" s="89" t="s">
        <v>230</v>
      </c>
      <c r="B23" s="171" t="s">
        <v>523</v>
      </c>
      <c r="C23" s="189">
        <v>241</v>
      </c>
      <c r="D23" s="189">
        <v>169</v>
      </c>
      <c r="E23" s="189">
        <v>174</v>
      </c>
      <c r="F23" s="189">
        <v>206</v>
      </c>
      <c r="G23" s="189">
        <v>150</v>
      </c>
      <c r="H23" s="189">
        <v>202</v>
      </c>
      <c r="I23" s="189">
        <v>447</v>
      </c>
      <c r="J23" s="189">
        <v>561</v>
      </c>
      <c r="K23" s="189">
        <v>714</v>
      </c>
      <c r="L23" s="189">
        <v>745</v>
      </c>
      <c r="M23" s="189">
        <v>786</v>
      </c>
      <c r="N23" s="189">
        <v>835</v>
      </c>
      <c r="O23" s="189">
        <v>830</v>
      </c>
      <c r="P23" s="189">
        <v>793</v>
      </c>
      <c r="Q23" s="189">
        <v>722</v>
      </c>
      <c r="R23" s="189">
        <v>701</v>
      </c>
      <c r="S23" s="189">
        <v>780</v>
      </c>
      <c r="T23" s="189">
        <v>837</v>
      </c>
      <c r="U23" s="224" t="s">
        <v>5427</v>
      </c>
      <c r="V23" s="221" t="s">
        <v>1979</v>
      </c>
      <c r="W23" s="225">
        <v>818</v>
      </c>
      <c r="X23" s="221" t="s">
        <v>5428</v>
      </c>
      <c r="Y23" s="221" t="s">
        <v>5429</v>
      </c>
      <c r="Z23" s="221" t="s">
        <v>5430</v>
      </c>
      <c r="AA23" s="221" t="s">
        <v>1995</v>
      </c>
      <c r="AB23" s="221" t="s">
        <v>5349</v>
      </c>
      <c r="AC23" s="221">
        <v>570</v>
      </c>
      <c r="AD23" s="221">
        <v>556</v>
      </c>
      <c r="AE23" s="221">
        <v>608</v>
      </c>
      <c r="AF23" s="221" t="s">
        <v>5431</v>
      </c>
      <c r="AG23" s="221" t="s">
        <v>5432</v>
      </c>
      <c r="AH23" s="221">
        <v>575</v>
      </c>
      <c r="AI23" s="221">
        <v>575</v>
      </c>
      <c r="AJ23" s="221">
        <v>558</v>
      </c>
      <c r="AK23" s="221">
        <v>558</v>
      </c>
      <c r="AL23" s="221">
        <v>597</v>
      </c>
      <c r="AM23" s="221">
        <v>588</v>
      </c>
      <c r="AN23" s="221" t="e">
        <f>VLOOKUP(B23,正厂竞争者数据汇总!D:CL,25,FALSE)</f>
        <v>#N/A</v>
      </c>
      <c r="BD23" s="202">
        <f>IFERROR(VLOOKUP(B23,Sheet4!A:D,4,FALSE),"")</f>
        <v>575</v>
      </c>
    </row>
    <row r="24" ht="16.35" spans="1:56">
      <c r="A24" s="149" t="s">
        <v>227</v>
      </c>
      <c r="B24" s="172" t="s">
        <v>4197</v>
      </c>
      <c r="C24" s="190">
        <v>4</v>
      </c>
      <c r="D24" s="190">
        <v>6</v>
      </c>
      <c r="E24" s="190">
        <v>8</v>
      </c>
      <c r="F24" s="190">
        <v>23</v>
      </c>
      <c r="G24" s="190">
        <v>26</v>
      </c>
      <c r="H24" s="190">
        <v>92</v>
      </c>
      <c r="I24" s="190" t="s">
        <v>5433</v>
      </c>
      <c r="J24" s="189" t="s">
        <v>5419</v>
      </c>
      <c r="K24" s="221"/>
      <c r="L24" s="189" t="s">
        <v>5419</v>
      </c>
      <c r="M24" s="189" t="s">
        <v>5419</v>
      </c>
      <c r="N24" s="189" t="s">
        <v>5419</v>
      </c>
      <c r="O24" s="189" t="s">
        <v>5419</v>
      </c>
      <c r="P24" s="189" t="s">
        <v>5419</v>
      </c>
      <c r="Q24" s="228" t="s">
        <v>5419</v>
      </c>
      <c r="R24" s="189" t="s">
        <v>5419</v>
      </c>
      <c r="S24" s="189" t="s">
        <v>5419</v>
      </c>
      <c r="T24" s="189">
        <v>141</v>
      </c>
      <c r="U24" s="224" t="s">
        <v>1594</v>
      </c>
      <c r="V24" s="221" t="s">
        <v>5434</v>
      </c>
      <c r="W24" s="225">
        <v>117</v>
      </c>
      <c r="X24" s="221" t="s">
        <v>5435</v>
      </c>
      <c r="Y24" s="221" t="s">
        <v>5436</v>
      </c>
      <c r="Z24" s="221" t="s">
        <v>3342</v>
      </c>
      <c r="AA24" s="221" t="s">
        <v>5437</v>
      </c>
      <c r="AB24" s="221" t="s">
        <v>3432</v>
      </c>
      <c r="AC24" s="221">
        <v>17</v>
      </c>
      <c r="AD24" s="221">
        <v>17</v>
      </c>
      <c r="AE24" s="221">
        <v>17</v>
      </c>
      <c r="AF24" s="221" t="s">
        <v>5438</v>
      </c>
      <c r="AG24" s="221" t="s">
        <v>5439</v>
      </c>
      <c r="AH24" s="221">
        <v>12</v>
      </c>
      <c r="AI24" s="221">
        <v>12</v>
      </c>
      <c r="AJ24" s="221">
        <v>12</v>
      </c>
      <c r="AK24" s="221">
        <v>12</v>
      </c>
      <c r="AL24" s="221">
        <v>12</v>
      </c>
      <c r="AM24" s="221">
        <v>12</v>
      </c>
      <c r="AN24" s="221" t="e">
        <f>VLOOKUP(B24,正厂竞争者数据汇总!D:CL,25,FALSE)</f>
        <v>#N/A</v>
      </c>
      <c r="BD24" s="202">
        <f>IFERROR(VLOOKUP(B24,Sheet4!A:D,4,FALSE),"")</f>
        <v>12</v>
      </c>
    </row>
    <row r="25" spans="1:56">
      <c r="A25" s="96" t="s">
        <v>4082</v>
      </c>
      <c r="B25" s="206"/>
      <c r="C25" s="98"/>
      <c r="D25" s="98"/>
      <c r="E25" s="98"/>
      <c r="AG25" s="200" t="s">
        <v>180</v>
      </c>
      <c r="AH25" s="200" t="s">
        <v>180</v>
      </c>
      <c r="AI25" s="200" t="s">
        <v>180</v>
      </c>
      <c r="AJ25" s="221"/>
      <c r="AK25" s="221"/>
      <c r="AL25" s="221"/>
      <c r="AM25" s="221"/>
      <c r="AN25" s="221"/>
      <c r="BD25" s="202" t="str">
        <f>IFERROR(VLOOKUP(B25,Sheet4!A:D,4,FALSE),"")</f>
        <v/>
      </c>
    </row>
    <row r="26" spans="1:56">
      <c r="A26" s="101" t="s">
        <v>3944</v>
      </c>
      <c r="B26" s="171" t="s">
        <v>207</v>
      </c>
      <c r="F26" s="119"/>
      <c r="AG26" s="200" t="s">
        <v>180</v>
      </c>
      <c r="AH26" s="200" t="s">
        <v>180</v>
      </c>
      <c r="AI26" s="200" t="s">
        <v>180</v>
      </c>
      <c r="AJ26" s="221"/>
      <c r="AK26" s="221"/>
      <c r="AL26" s="221"/>
      <c r="AM26" s="221"/>
      <c r="AN26" s="221"/>
      <c r="BD26" s="202" t="str">
        <f>IFERROR(VLOOKUP(B26,Sheet4!A:D,4,FALSE),"")</f>
        <v/>
      </c>
    </row>
    <row r="27" spans="1:56">
      <c r="A27" s="89" t="s">
        <v>230</v>
      </c>
      <c r="B27" s="164" t="s">
        <v>242</v>
      </c>
      <c r="C27" s="189">
        <v>221</v>
      </c>
      <c r="D27" s="189">
        <v>200</v>
      </c>
      <c r="E27" s="189">
        <v>205</v>
      </c>
      <c r="F27" s="189">
        <v>418</v>
      </c>
      <c r="G27" s="189">
        <v>220</v>
      </c>
      <c r="H27" s="189">
        <v>360</v>
      </c>
      <c r="I27" s="189">
        <v>908</v>
      </c>
      <c r="J27" s="189" t="s">
        <v>5279</v>
      </c>
      <c r="K27" s="189">
        <v>630</v>
      </c>
      <c r="L27" s="189">
        <v>725</v>
      </c>
      <c r="M27" s="189">
        <v>801</v>
      </c>
      <c r="N27" s="189">
        <v>817</v>
      </c>
      <c r="O27" s="189">
        <v>832</v>
      </c>
      <c r="P27" s="189">
        <v>872</v>
      </c>
      <c r="Q27" s="189" t="s">
        <v>5407</v>
      </c>
      <c r="R27" s="189" t="s">
        <v>5283</v>
      </c>
      <c r="S27" s="189" t="s">
        <v>5280</v>
      </c>
      <c r="T27" s="189">
        <v>1381</v>
      </c>
      <c r="U27" s="224" t="s">
        <v>5440</v>
      </c>
      <c r="V27" s="221" t="s">
        <v>5441</v>
      </c>
      <c r="W27" s="229">
        <v>1359</v>
      </c>
      <c r="X27" s="221" t="s">
        <v>5442</v>
      </c>
      <c r="Y27" s="221" t="s">
        <v>5443</v>
      </c>
      <c r="Z27" s="221" t="s">
        <v>5405</v>
      </c>
      <c r="AA27" s="221" t="s">
        <v>5444</v>
      </c>
      <c r="AB27" s="221" t="s">
        <v>5445</v>
      </c>
      <c r="AC27" s="221">
        <v>834</v>
      </c>
      <c r="AD27" s="221">
        <v>828</v>
      </c>
      <c r="AE27" s="221">
        <v>869</v>
      </c>
      <c r="AF27" s="221" t="s">
        <v>5446</v>
      </c>
      <c r="AG27" s="221" t="s">
        <v>5447</v>
      </c>
      <c r="AH27" s="221">
        <v>939</v>
      </c>
      <c r="AI27" s="221">
        <v>909</v>
      </c>
      <c r="AJ27" s="221">
        <v>910</v>
      </c>
      <c r="AK27" s="221">
        <v>910</v>
      </c>
      <c r="AL27" s="221">
        <v>992</v>
      </c>
      <c r="AM27" s="221">
        <v>1027</v>
      </c>
      <c r="AN27" s="221">
        <f>VLOOKUP(B27,正厂竞争者数据汇总!D:CL,25,FALSE)</f>
        <v>486334</v>
      </c>
      <c r="BD27" s="202">
        <f>IFERROR(VLOOKUP(B27,Sheet4!A:D,4,FALSE),"")</f>
        <v>909</v>
      </c>
    </row>
    <row r="28" spans="1:56">
      <c r="A28" s="89" t="s">
        <v>801</v>
      </c>
      <c r="B28" s="165" t="s">
        <v>534</v>
      </c>
      <c r="C28" s="189"/>
      <c r="D28" s="207"/>
      <c r="E28" s="208" t="s">
        <v>5419</v>
      </c>
      <c r="F28" s="208" t="s">
        <v>5419</v>
      </c>
      <c r="G28" s="208" t="s">
        <v>5419</v>
      </c>
      <c r="H28" s="208" t="s">
        <v>5419</v>
      </c>
      <c r="I28" s="208" t="s">
        <v>5419</v>
      </c>
      <c r="J28" s="189"/>
      <c r="K28" s="221"/>
      <c r="L28" s="208" t="s">
        <v>5419</v>
      </c>
      <c r="M28" s="208" t="s">
        <v>5419</v>
      </c>
      <c r="N28" s="198" t="s">
        <v>5419</v>
      </c>
      <c r="O28" s="198" t="s">
        <v>5419</v>
      </c>
      <c r="P28" s="198"/>
      <c r="Q28" s="189"/>
      <c r="R28" s="189">
        <v>951</v>
      </c>
      <c r="S28" s="221"/>
      <c r="T28" s="208">
        <v>1095</v>
      </c>
      <c r="U28" s="224" t="s">
        <v>5448</v>
      </c>
      <c r="V28" s="221" t="s">
        <v>5449</v>
      </c>
      <c r="W28" s="229">
        <v>1198</v>
      </c>
      <c r="X28" s="221" t="s">
        <v>5450</v>
      </c>
      <c r="Y28" s="221" t="s">
        <v>5451</v>
      </c>
      <c r="Z28" s="221" t="s">
        <v>5452</v>
      </c>
      <c r="AA28" s="221" t="s">
        <v>3834</v>
      </c>
      <c r="AB28" s="221" t="s">
        <v>5453</v>
      </c>
      <c r="AC28" s="221">
        <v>1505</v>
      </c>
      <c r="AD28" s="221">
        <v>1817</v>
      </c>
      <c r="AE28" s="221">
        <v>2377</v>
      </c>
      <c r="AF28" s="221" t="s">
        <v>5454</v>
      </c>
      <c r="AG28" s="221" t="s">
        <v>5455</v>
      </c>
      <c r="AH28" s="221">
        <v>3914</v>
      </c>
      <c r="AI28" s="221">
        <v>4562</v>
      </c>
      <c r="AJ28" s="221">
        <v>4750</v>
      </c>
      <c r="AK28" s="221">
        <v>4750</v>
      </c>
      <c r="AL28" s="221">
        <v>5066</v>
      </c>
      <c r="AM28" s="221">
        <v>4877</v>
      </c>
      <c r="AN28" s="221">
        <f>VLOOKUP(B28,正厂竞争者数据汇总!D:CL,25,FALSE)</f>
        <v>1</v>
      </c>
      <c r="BD28" s="202">
        <f>IFERROR(VLOOKUP(B28,Sheet4!A:D,4,FALSE),"")</f>
        <v>4562</v>
      </c>
    </row>
    <row r="29" s="159" customFormat="1" spans="1:56">
      <c r="A29" s="88" t="s">
        <v>227</v>
      </c>
      <c r="B29" s="173" t="s">
        <v>528</v>
      </c>
      <c r="C29" s="190">
        <v>160</v>
      </c>
      <c r="D29" s="190">
        <v>130</v>
      </c>
      <c r="E29" s="190">
        <v>141</v>
      </c>
      <c r="F29" s="190">
        <v>165</v>
      </c>
      <c r="G29" s="190">
        <v>166</v>
      </c>
      <c r="H29" s="190">
        <v>258</v>
      </c>
      <c r="I29" s="190">
        <v>333</v>
      </c>
      <c r="J29" s="190">
        <v>380</v>
      </c>
      <c r="K29" s="190">
        <v>397</v>
      </c>
      <c r="L29" s="190">
        <v>432</v>
      </c>
      <c r="M29" s="190">
        <v>515</v>
      </c>
      <c r="N29" s="190">
        <v>595</v>
      </c>
      <c r="O29" s="190">
        <v>604</v>
      </c>
      <c r="P29" s="190">
        <v>648</v>
      </c>
      <c r="Q29" s="190">
        <v>818</v>
      </c>
      <c r="R29" s="190">
        <v>847</v>
      </c>
      <c r="S29" s="190" t="s">
        <v>5407</v>
      </c>
      <c r="T29" s="190">
        <v>1087</v>
      </c>
      <c r="U29" s="224" t="s">
        <v>5456</v>
      </c>
      <c r="V29" s="221" t="s">
        <v>5457</v>
      </c>
      <c r="W29" s="229">
        <v>1043</v>
      </c>
      <c r="X29" s="221" t="s">
        <v>5458</v>
      </c>
      <c r="Y29" s="221" t="s">
        <v>5459</v>
      </c>
      <c r="Z29" s="221" t="s">
        <v>2450</v>
      </c>
      <c r="AA29" s="221" t="s">
        <v>5460</v>
      </c>
      <c r="AB29" s="221" t="s">
        <v>5428</v>
      </c>
      <c r="AC29" s="221">
        <v>832</v>
      </c>
      <c r="AD29" s="221">
        <v>858</v>
      </c>
      <c r="AE29" s="221">
        <v>927</v>
      </c>
      <c r="AF29" s="221" t="s">
        <v>5461</v>
      </c>
      <c r="AG29" s="221" t="s">
        <v>5462</v>
      </c>
      <c r="AH29" s="221">
        <v>1009</v>
      </c>
      <c r="AI29" s="221">
        <v>1009</v>
      </c>
      <c r="AJ29" s="221">
        <v>1048</v>
      </c>
      <c r="AK29" s="221">
        <v>1048</v>
      </c>
      <c r="AL29" s="221">
        <v>1762</v>
      </c>
      <c r="AM29" s="221">
        <v>1740</v>
      </c>
      <c r="AN29" s="221" t="e">
        <f>VLOOKUP(B29,正厂竞争者数据汇总!D:CL,25,FALSE)</f>
        <v>#N/A</v>
      </c>
      <c r="BD29" s="202">
        <f>IFERROR(VLOOKUP(B29,Sheet4!A:D,4,FALSE),"")</f>
        <v>1009</v>
      </c>
    </row>
    <row r="30" spans="1:56">
      <c r="A30" s="89" t="s">
        <v>446</v>
      </c>
      <c r="B30" s="165" t="s">
        <v>4114</v>
      </c>
      <c r="C30" s="189">
        <v>90</v>
      </c>
      <c r="D30" s="189">
        <v>84</v>
      </c>
      <c r="E30" s="189">
        <v>94</v>
      </c>
      <c r="F30" s="189">
        <v>127</v>
      </c>
      <c r="G30" s="189">
        <v>162</v>
      </c>
      <c r="H30" s="189">
        <v>319</v>
      </c>
      <c r="I30" s="189">
        <v>449</v>
      </c>
      <c r="J30" s="189">
        <v>491</v>
      </c>
      <c r="K30" s="189">
        <v>512</v>
      </c>
      <c r="L30" s="189">
        <v>606</v>
      </c>
      <c r="M30" s="189">
        <v>642</v>
      </c>
      <c r="N30" s="189">
        <v>638</v>
      </c>
      <c r="O30" s="189">
        <v>632</v>
      </c>
      <c r="P30" s="189">
        <v>672</v>
      </c>
      <c r="Q30" s="189">
        <v>752</v>
      </c>
      <c r="R30" s="189">
        <v>751</v>
      </c>
      <c r="S30" s="189">
        <v>902</v>
      </c>
      <c r="T30" s="189">
        <v>960</v>
      </c>
      <c r="U30" s="224" t="s">
        <v>5314</v>
      </c>
      <c r="V30" s="221" t="s">
        <v>5463</v>
      </c>
      <c r="W30" s="229">
        <v>833</v>
      </c>
      <c r="X30" s="221" t="s">
        <v>5464</v>
      </c>
      <c r="Y30" s="221" t="s">
        <v>5465</v>
      </c>
      <c r="Z30" s="221" t="s">
        <v>5466</v>
      </c>
      <c r="AA30" s="221" t="s">
        <v>5467</v>
      </c>
      <c r="AB30" s="221" t="s">
        <v>5468</v>
      </c>
      <c r="AC30" s="221">
        <v>221</v>
      </c>
      <c r="AD30" s="221">
        <v>212</v>
      </c>
      <c r="AE30" s="221">
        <v>210</v>
      </c>
      <c r="AF30" s="221" t="s">
        <v>5469</v>
      </c>
      <c r="AG30" s="221" t="s">
        <v>5470</v>
      </c>
      <c r="AH30" s="221">
        <v>147</v>
      </c>
      <c r="AI30" s="221">
        <v>145</v>
      </c>
      <c r="AJ30" s="221">
        <v>131</v>
      </c>
      <c r="AK30" s="221">
        <v>131</v>
      </c>
      <c r="AL30" s="221">
        <v>123</v>
      </c>
      <c r="AM30" s="221">
        <v>122</v>
      </c>
      <c r="AN30" s="221" t="e">
        <f>VLOOKUP(B30,正厂竞争者数据汇总!D:CL,25,FALSE)</f>
        <v>#N/A</v>
      </c>
      <c r="BD30" s="202">
        <f>IFERROR(VLOOKUP(B30,Sheet4!A:D,4,FALSE),"")</f>
        <v>145</v>
      </c>
    </row>
    <row r="31" spans="1:56">
      <c r="A31" s="89" t="s">
        <v>243</v>
      </c>
      <c r="B31" s="164" t="s">
        <v>244</v>
      </c>
      <c r="C31" s="189">
        <v>91</v>
      </c>
      <c r="D31" s="189">
        <v>116</v>
      </c>
      <c r="E31" s="189">
        <v>123</v>
      </c>
      <c r="F31" s="189">
        <v>186</v>
      </c>
      <c r="G31" s="189">
        <v>132</v>
      </c>
      <c r="H31" s="189">
        <v>256</v>
      </c>
      <c r="I31" s="189">
        <v>429</v>
      </c>
      <c r="J31" s="189">
        <v>480</v>
      </c>
      <c r="K31" s="189">
        <v>385</v>
      </c>
      <c r="L31" s="189">
        <v>426</v>
      </c>
      <c r="M31" s="189">
        <v>501</v>
      </c>
      <c r="N31" s="189">
        <v>520</v>
      </c>
      <c r="O31" s="189">
        <v>495</v>
      </c>
      <c r="P31" s="189">
        <v>464</v>
      </c>
      <c r="Q31" s="189">
        <v>438</v>
      </c>
      <c r="R31" s="189">
        <v>424</v>
      </c>
      <c r="S31" s="189">
        <v>402</v>
      </c>
      <c r="T31" s="189">
        <v>374</v>
      </c>
      <c r="U31" s="224" t="s">
        <v>5400</v>
      </c>
      <c r="V31" s="221" t="s">
        <v>5471</v>
      </c>
      <c r="W31" s="229">
        <v>556</v>
      </c>
      <c r="X31" s="221" t="s">
        <v>5472</v>
      </c>
      <c r="Y31" s="221" t="s">
        <v>5473</v>
      </c>
      <c r="Z31" s="221" t="s">
        <v>5315</v>
      </c>
      <c r="AA31" s="221" t="s">
        <v>5474</v>
      </c>
      <c r="AB31" s="221" t="s">
        <v>5475</v>
      </c>
      <c r="AC31" s="221">
        <v>1021</v>
      </c>
      <c r="AD31" s="221">
        <v>1286</v>
      </c>
      <c r="AE31" s="221">
        <v>1747</v>
      </c>
      <c r="AF31" s="221" t="s">
        <v>5476</v>
      </c>
      <c r="AG31" s="221" t="s">
        <v>5477</v>
      </c>
      <c r="AH31" s="221">
        <v>2980</v>
      </c>
      <c r="AI31" s="221">
        <v>3689</v>
      </c>
      <c r="AJ31" s="221">
        <v>3735</v>
      </c>
      <c r="AK31" s="221">
        <v>3735</v>
      </c>
      <c r="AL31" s="221">
        <v>3676</v>
      </c>
      <c r="AM31" s="221">
        <v>3534</v>
      </c>
      <c r="AN31" s="221">
        <f>VLOOKUP(B31,正厂竞争者数据汇总!D:CL,25,FALSE)</f>
        <v>278886</v>
      </c>
      <c r="BD31" s="202">
        <f>IFERROR(VLOOKUP(B31,Sheet4!A:D,4,FALSE),"")</f>
        <v>3689</v>
      </c>
    </row>
    <row r="32" spans="1:56">
      <c r="A32" s="89" t="s">
        <v>230</v>
      </c>
      <c r="B32" s="165" t="s">
        <v>416</v>
      </c>
      <c r="C32" s="189">
        <v>16</v>
      </c>
      <c r="D32" s="189">
        <v>13</v>
      </c>
      <c r="E32" s="189">
        <v>14</v>
      </c>
      <c r="F32" s="189">
        <v>127</v>
      </c>
      <c r="G32" s="189">
        <v>34</v>
      </c>
      <c r="H32" s="189">
        <v>56</v>
      </c>
      <c r="I32" s="189">
        <v>295</v>
      </c>
      <c r="J32" s="189">
        <v>105</v>
      </c>
      <c r="K32" s="189">
        <v>114</v>
      </c>
      <c r="L32" s="189">
        <v>135</v>
      </c>
      <c r="M32" s="189">
        <v>156</v>
      </c>
      <c r="N32" s="189">
        <v>170</v>
      </c>
      <c r="O32" s="189">
        <v>180</v>
      </c>
      <c r="P32" s="189">
        <v>230</v>
      </c>
      <c r="Q32" s="189">
        <v>370</v>
      </c>
      <c r="R32" s="189">
        <v>991</v>
      </c>
      <c r="S32" s="189">
        <v>552</v>
      </c>
      <c r="T32" s="189">
        <v>631</v>
      </c>
      <c r="U32" s="224" t="s">
        <v>5478</v>
      </c>
      <c r="V32" s="221" t="s">
        <v>5318</v>
      </c>
      <c r="W32" s="229">
        <v>641</v>
      </c>
      <c r="X32" s="221" t="s">
        <v>5331</v>
      </c>
      <c r="Y32" s="221" t="s">
        <v>5331</v>
      </c>
      <c r="Z32" s="221" t="s">
        <v>5479</v>
      </c>
      <c r="AA32" s="221" t="s">
        <v>5480</v>
      </c>
      <c r="AB32" s="221" t="s">
        <v>5481</v>
      </c>
      <c r="AC32" s="221">
        <v>323</v>
      </c>
      <c r="AD32" s="221">
        <v>322</v>
      </c>
      <c r="AE32" s="221">
        <v>345</v>
      </c>
      <c r="AF32" s="221" t="s">
        <v>5336</v>
      </c>
      <c r="AG32" s="221" t="s">
        <v>5482</v>
      </c>
      <c r="AH32" s="221">
        <v>382</v>
      </c>
      <c r="AI32" s="221">
        <v>379</v>
      </c>
      <c r="AJ32" s="221">
        <v>385</v>
      </c>
      <c r="AK32" s="221">
        <v>385</v>
      </c>
      <c r="AL32" s="221">
        <v>424</v>
      </c>
      <c r="AM32" s="221">
        <v>426</v>
      </c>
      <c r="AN32" s="221">
        <f>VLOOKUP(B32,正厂竞争者数据汇总!D:CL,25,FALSE)</f>
        <v>195034</v>
      </c>
      <c r="BD32" s="202">
        <f>IFERROR(VLOOKUP(B32,Sheet4!A:D,4,FALSE),"")</f>
        <v>379</v>
      </c>
    </row>
    <row r="33" spans="1:56">
      <c r="A33" s="89" t="s">
        <v>243</v>
      </c>
      <c r="B33" s="164" t="s">
        <v>2556</v>
      </c>
      <c r="C33" s="189">
        <v>62</v>
      </c>
      <c r="D33" s="189">
        <v>64</v>
      </c>
      <c r="E33" s="189">
        <v>69</v>
      </c>
      <c r="F33" s="189">
        <v>154</v>
      </c>
      <c r="G33" s="189">
        <v>111</v>
      </c>
      <c r="H33" s="189">
        <v>324</v>
      </c>
      <c r="I33" s="189">
        <v>415</v>
      </c>
      <c r="J33" s="189">
        <v>441</v>
      </c>
      <c r="K33" s="189">
        <v>301</v>
      </c>
      <c r="L33" s="189">
        <v>330</v>
      </c>
      <c r="M33" s="189">
        <v>398</v>
      </c>
      <c r="N33" s="189">
        <v>385</v>
      </c>
      <c r="O33" s="189">
        <v>364</v>
      </c>
      <c r="P33" s="189">
        <v>343</v>
      </c>
      <c r="Q33" s="189">
        <v>316</v>
      </c>
      <c r="R33" s="189">
        <v>299</v>
      </c>
      <c r="S33" s="189">
        <v>279</v>
      </c>
      <c r="T33" s="189">
        <v>216</v>
      </c>
      <c r="U33" s="224" t="s">
        <v>5483</v>
      </c>
      <c r="V33" s="221" t="s">
        <v>5484</v>
      </c>
      <c r="W33" s="229">
        <v>260</v>
      </c>
      <c r="X33" s="221" t="s">
        <v>5485</v>
      </c>
      <c r="Y33" s="221" t="s">
        <v>5486</v>
      </c>
      <c r="Z33" s="221" t="s">
        <v>5487</v>
      </c>
      <c r="AA33" s="221" t="s">
        <v>5488</v>
      </c>
      <c r="AB33" s="221" t="s">
        <v>5489</v>
      </c>
      <c r="AC33" s="221">
        <v>562</v>
      </c>
      <c r="AD33" s="221">
        <v>794</v>
      </c>
      <c r="AE33" s="221">
        <v>1193</v>
      </c>
      <c r="AF33" s="221" t="s">
        <v>5490</v>
      </c>
      <c r="AG33" s="221" t="s">
        <v>5491</v>
      </c>
      <c r="AH33" s="221">
        <v>2170</v>
      </c>
      <c r="AI33" s="221">
        <v>2990</v>
      </c>
      <c r="AJ33" s="221">
        <v>2958</v>
      </c>
      <c r="AK33" s="221">
        <v>2958</v>
      </c>
      <c r="AL33" s="221">
        <v>2990</v>
      </c>
      <c r="AM33" s="221">
        <v>2904</v>
      </c>
      <c r="AN33" s="221">
        <f>VLOOKUP(B33,正厂竞争者数据汇总!D:CL,25,FALSE)</f>
        <v>8670</v>
      </c>
      <c r="BD33" s="202">
        <f>IFERROR(VLOOKUP(B33,Sheet4!A:D,4,FALSE),"")</f>
        <v>2990</v>
      </c>
    </row>
    <row r="34" customFormat="1" spans="1:56">
      <c r="A34" s="89" t="s">
        <v>230</v>
      </c>
      <c r="B34" s="164" t="s">
        <v>5492</v>
      </c>
      <c r="C34" s="189"/>
      <c r="D34" s="189"/>
      <c r="E34" s="189"/>
      <c r="F34" s="189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89"/>
      <c r="R34" s="189"/>
      <c r="S34" s="189"/>
      <c r="T34" s="189"/>
      <c r="U34" s="224"/>
      <c r="V34" s="221"/>
      <c r="W34" s="229"/>
      <c r="X34" s="221"/>
      <c r="Y34" s="221"/>
      <c r="Z34" s="221"/>
      <c r="AA34" s="221"/>
      <c r="AB34" s="221"/>
      <c r="AC34" s="221"/>
      <c r="AD34" s="221"/>
      <c r="AE34" s="221"/>
      <c r="AF34" s="221"/>
      <c r="AG34" s="221" t="s">
        <v>5339</v>
      </c>
      <c r="AH34" s="221">
        <v>375</v>
      </c>
      <c r="AI34" s="221">
        <v>395</v>
      </c>
      <c r="AJ34" s="221">
        <v>445</v>
      </c>
      <c r="AK34" s="221">
        <v>445</v>
      </c>
      <c r="AL34" s="221">
        <v>497</v>
      </c>
      <c r="AM34" s="221">
        <v>504</v>
      </c>
      <c r="AN34" s="221" t="e">
        <f>VLOOKUP(B34,正厂竞争者数据汇总!D:CL,25,FALSE)</f>
        <v>#N/A</v>
      </c>
      <c r="BD34" s="202">
        <f>IFERROR(VLOOKUP(B34,Sheet4!A:D,4,FALSE),"")</f>
        <v>395</v>
      </c>
    </row>
    <row r="35" s="159" customFormat="1" spans="1:56">
      <c r="A35" s="88" t="s">
        <v>227</v>
      </c>
      <c r="B35" s="169" t="s">
        <v>143</v>
      </c>
      <c r="C35" s="190">
        <v>10</v>
      </c>
      <c r="D35" s="190">
        <v>9</v>
      </c>
      <c r="E35" s="190">
        <v>8</v>
      </c>
      <c r="F35" s="190">
        <v>15</v>
      </c>
      <c r="G35" s="190">
        <v>16</v>
      </c>
      <c r="H35" s="190">
        <v>29</v>
      </c>
      <c r="I35" s="190">
        <v>38</v>
      </c>
      <c r="J35" s="190">
        <v>41</v>
      </c>
      <c r="K35" s="190">
        <v>42</v>
      </c>
      <c r="L35" s="190">
        <v>42</v>
      </c>
      <c r="M35" s="190">
        <v>48</v>
      </c>
      <c r="N35" s="190" t="s">
        <v>5493</v>
      </c>
      <c r="O35" s="190" t="s">
        <v>5494</v>
      </c>
      <c r="P35" s="190" t="s">
        <v>5495</v>
      </c>
      <c r="Q35" s="190">
        <v>49</v>
      </c>
      <c r="R35" s="190">
        <v>54</v>
      </c>
      <c r="S35" s="190">
        <v>148</v>
      </c>
      <c r="T35" s="190">
        <v>181</v>
      </c>
      <c r="U35" s="224" t="s">
        <v>5496</v>
      </c>
      <c r="V35" s="221" t="s">
        <v>5497</v>
      </c>
      <c r="W35" s="229">
        <v>251</v>
      </c>
      <c r="X35" s="221" t="s">
        <v>5498</v>
      </c>
      <c r="Y35" s="221" t="s">
        <v>5499</v>
      </c>
      <c r="Z35" s="221" t="s">
        <v>5500</v>
      </c>
      <c r="AA35" s="221" t="s">
        <v>5501</v>
      </c>
      <c r="AB35" s="221" t="s">
        <v>5484</v>
      </c>
      <c r="AC35" s="221">
        <v>223</v>
      </c>
      <c r="AD35" s="221">
        <v>243</v>
      </c>
      <c r="AE35" s="221">
        <v>274</v>
      </c>
      <c r="AF35" s="221" t="s">
        <v>2457</v>
      </c>
      <c r="AG35" s="221" t="s">
        <v>1827</v>
      </c>
      <c r="AH35" s="221">
        <v>316</v>
      </c>
      <c r="AI35" s="221">
        <v>315</v>
      </c>
      <c r="AJ35" s="221">
        <v>329</v>
      </c>
      <c r="AK35" s="221">
        <v>329</v>
      </c>
      <c r="AL35" s="221">
        <v>361</v>
      </c>
      <c r="AM35" s="221">
        <v>360</v>
      </c>
      <c r="AN35" s="221" t="e">
        <f>VLOOKUP(B35,正厂竞争者数据汇总!D:CL,25,FALSE)</f>
        <v>#N/A</v>
      </c>
      <c r="BD35" s="202">
        <f>IFERROR(VLOOKUP(B35,Sheet4!A:D,4,FALSE),"")</f>
        <v>315</v>
      </c>
    </row>
    <row r="36" spans="1:56">
      <c r="A36" s="96" t="s">
        <v>152</v>
      </c>
      <c r="B36" s="205"/>
      <c r="C36" s="97"/>
      <c r="D36" s="97"/>
      <c r="E36" s="97"/>
      <c r="AG36" s="200" t="s">
        <v>180</v>
      </c>
      <c r="AH36" s="200" t="s">
        <v>180</v>
      </c>
      <c r="AI36" s="200" t="s">
        <v>180</v>
      </c>
      <c r="AJ36" s="221"/>
      <c r="AK36" s="221"/>
      <c r="AL36" s="221"/>
      <c r="AM36" s="221"/>
      <c r="AN36" s="221"/>
      <c r="BD36" s="202" t="str">
        <f>IFERROR(VLOOKUP(B36,Sheet4!A:D,4,FALSE),"")</f>
        <v/>
      </c>
    </row>
    <row r="37" spans="1:56">
      <c r="A37" s="101" t="s">
        <v>3944</v>
      </c>
      <c r="B37" s="171" t="s">
        <v>207</v>
      </c>
      <c r="C37" s="102"/>
      <c r="D37" s="102"/>
      <c r="E37" s="102"/>
      <c r="F37" s="119"/>
      <c r="AG37" s="200" t="s">
        <v>180</v>
      </c>
      <c r="AH37" s="200" t="s">
        <v>180</v>
      </c>
      <c r="AI37" s="200" t="s">
        <v>180</v>
      </c>
      <c r="AJ37" s="221"/>
      <c r="AK37" s="221"/>
      <c r="AL37" s="221"/>
      <c r="AM37" s="221"/>
      <c r="AN37" s="221"/>
      <c r="BD37" s="202" t="str">
        <f>IFERROR(VLOOKUP(B37,Sheet4!A:D,4,FALSE),"")</f>
        <v/>
      </c>
    </row>
    <row r="38" spans="1:56">
      <c r="A38" s="89" t="s">
        <v>672</v>
      </c>
      <c r="B38" s="165" t="s">
        <v>554</v>
      </c>
      <c r="C38" s="209"/>
      <c r="D38" s="209"/>
      <c r="E38" s="208" t="s">
        <v>5419</v>
      </c>
      <c r="F38" s="208" t="s">
        <v>5419</v>
      </c>
      <c r="G38" s="208" t="s">
        <v>5419</v>
      </c>
      <c r="H38" s="208" t="s">
        <v>5419</v>
      </c>
      <c r="I38" s="208" t="s">
        <v>5419</v>
      </c>
      <c r="J38" s="208" t="s">
        <v>5419</v>
      </c>
      <c r="K38" s="208" t="s">
        <v>5419</v>
      </c>
      <c r="L38" s="208" t="s">
        <v>5419</v>
      </c>
      <c r="M38" s="208" t="s">
        <v>5419</v>
      </c>
      <c r="N38" s="208" t="s">
        <v>5419</v>
      </c>
      <c r="O38" s="208" t="s">
        <v>5419</v>
      </c>
      <c r="P38" s="189" t="s">
        <v>5502</v>
      </c>
      <c r="Q38" s="189"/>
      <c r="R38" s="189" t="s">
        <v>5419</v>
      </c>
      <c r="S38" s="189"/>
      <c r="T38" s="208">
        <v>2762</v>
      </c>
      <c r="U38" s="224" t="s">
        <v>5503</v>
      </c>
      <c r="V38" s="230" t="s">
        <v>5504</v>
      </c>
      <c r="W38" s="225">
        <v>2698</v>
      </c>
      <c r="X38" s="221" t="s">
        <v>3334</v>
      </c>
      <c r="Y38" s="221" t="s">
        <v>5505</v>
      </c>
      <c r="Z38" s="221" t="s">
        <v>5506</v>
      </c>
      <c r="AA38" s="221" t="s">
        <v>5507</v>
      </c>
      <c r="AB38" s="221" t="s">
        <v>5508</v>
      </c>
      <c r="AC38" s="221">
        <v>2351</v>
      </c>
      <c r="AD38" s="221">
        <v>2463</v>
      </c>
      <c r="AE38" s="221">
        <v>2771</v>
      </c>
      <c r="AF38" s="221" t="s">
        <v>2647</v>
      </c>
      <c r="AG38" s="221" t="s">
        <v>5509</v>
      </c>
      <c r="AH38" s="221">
        <v>3681</v>
      </c>
      <c r="AI38" s="221">
        <v>4332</v>
      </c>
      <c r="AJ38" s="221">
        <v>4652</v>
      </c>
      <c r="AK38" s="221">
        <v>4706</v>
      </c>
      <c r="AL38" s="221">
        <v>5567</v>
      </c>
      <c r="AM38" s="221">
        <v>6054</v>
      </c>
      <c r="AN38" s="221">
        <f>VLOOKUP(B38,正厂竞争者数据汇总!D:CL,25,FALSE)</f>
        <v>550839</v>
      </c>
      <c r="BD38" s="202">
        <f>IFERROR(VLOOKUP(B38,Sheet4!A:D,4,FALSE),"")</f>
        <v>4332</v>
      </c>
    </row>
    <row r="39" spans="1:56">
      <c r="A39" s="88" t="s">
        <v>227</v>
      </c>
      <c r="B39" s="170" t="s">
        <v>546</v>
      </c>
      <c r="C39" s="210">
        <v>298</v>
      </c>
      <c r="D39" s="210">
        <v>204</v>
      </c>
      <c r="E39" s="190">
        <v>230</v>
      </c>
      <c r="F39" s="190">
        <v>223</v>
      </c>
      <c r="G39" s="190">
        <v>214</v>
      </c>
      <c r="H39" s="190">
        <v>319</v>
      </c>
      <c r="I39" s="190">
        <v>579</v>
      </c>
      <c r="J39" s="190">
        <v>684</v>
      </c>
      <c r="K39" s="190">
        <v>812</v>
      </c>
      <c r="L39" s="190">
        <v>881</v>
      </c>
      <c r="M39" s="190">
        <v>941</v>
      </c>
      <c r="N39" s="190" t="s">
        <v>5407</v>
      </c>
      <c r="O39" s="190">
        <v>942</v>
      </c>
      <c r="P39" s="190" t="s">
        <v>5279</v>
      </c>
      <c r="Q39" s="190" t="s">
        <v>5295</v>
      </c>
      <c r="R39" s="190" t="s">
        <v>5295</v>
      </c>
      <c r="S39" s="190" t="s">
        <v>5280</v>
      </c>
      <c r="T39" s="190">
        <v>1408</v>
      </c>
      <c r="U39" s="224" t="s">
        <v>5510</v>
      </c>
      <c r="V39" s="230" t="s">
        <v>3253</v>
      </c>
      <c r="W39" s="225">
        <v>1138</v>
      </c>
      <c r="X39" s="221" t="s">
        <v>5511</v>
      </c>
      <c r="Y39" s="221" t="s">
        <v>5512</v>
      </c>
      <c r="Z39" s="221" t="s">
        <v>5513</v>
      </c>
      <c r="AA39" s="221" t="s">
        <v>5514</v>
      </c>
      <c r="AB39" s="221" t="s">
        <v>1581</v>
      </c>
      <c r="AC39" s="221">
        <v>761</v>
      </c>
      <c r="AD39" s="221">
        <v>751</v>
      </c>
      <c r="AE39" s="221">
        <v>832</v>
      </c>
      <c r="AF39" s="221" t="s">
        <v>5444</v>
      </c>
      <c r="AG39" s="221" t="s">
        <v>5515</v>
      </c>
      <c r="AH39" s="221">
        <v>841</v>
      </c>
      <c r="AI39" s="221">
        <v>862</v>
      </c>
      <c r="AJ39" s="221">
        <v>856</v>
      </c>
      <c r="AK39" s="221">
        <v>853</v>
      </c>
      <c r="AL39" s="221">
        <v>1009</v>
      </c>
      <c r="AM39" s="221">
        <v>994</v>
      </c>
      <c r="AN39" s="221" t="e">
        <f>VLOOKUP(B39,正厂竞争者数据汇总!D:CL,25,FALSE)</f>
        <v>#N/A</v>
      </c>
      <c r="BD39" s="202">
        <f>IFERROR(VLOOKUP(B39,Sheet4!A:D,4,FALSE),"")</f>
        <v>862</v>
      </c>
    </row>
    <row r="40" spans="1:56">
      <c r="A40" s="89" t="s">
        <v>230</v>
      </c>
      <c r="B40" s="174" t="s">
        <v>507</v>
      </c>
      <c r="C40" s="211">
        <v>199</v>
      </c>
      <c r="D40" s="211">
        <v>183</v>
      </c>
      <c r="E40" s="189">
        <v>190</v>
      </c>
      <c r="F40" s="189">
        <v>216</v>
      </c>
      <c r="G40" s="189">
        <v>242</v>
      </c>
      <c r="H40" s="189">
        <v>343</v>
      </c>
      <c r="I40" s="189">
        <v>469</v>
      </c>
      <c r="J40" s="189">
        <v>507</v>
      </c>
      <c r="K40" s="189">
        <v>501</v>
      </c>
      <c r="L40" s="189">
        <v>631</v>
      </c>
      <c r="M40" s="189">
        <v>710</v>
      </c>
      <c r="N40" s="189">
        <v>811</v>
      </c>
      <c r="O40" s="189">
        <v>832</v>
      </c>
      <c r="P40" s="189">
        <v>820</v>
      </c>
      <c r="Q40" s="189">
        <v>808</v>
      </c>
      <c r="R40" s="189">
        <v>762</v>
      </c>
      <c r="S40" s="189" t="s">
        <v>5279</v>
      </c>
      <c r="T40" s="189">
        <v>1194</v>
      </c>
      <c r="U40" s="224" t="s">
        <v>5297</v>
      </c>
      <c r="V40" s="230" t="s">
        <v>5516</v>
      </c>
      <c r="W40" s="225">
        <v>1301</v>
      </c>
      <c r="X40" s="221" t="s">
        <v>5517</v>
      </c>
      <c r="Y40" s="221" t="s">
        <v>5296</v>
      </c>
      <c r="Z40" s="221" t="s">
        <v>5518</v>
      </c>
      <c r="AA40" s="221" t="s">
        <v>5519</v>
      </c>
      <c r="AB40" s="221" t="s">
        <v>5520</v>
      </c>
      <c r="AC40" s="221">
        <v>996</v>
      </c>
      <c r="AD40" s="221">
        <v>1021</v>
      </c>
      <c r="AE40" s="221">
        <v>1071</v>
      </c>
      <c r="AF40" s="221" t="s">
        <v>5521</v>
      </c>
      <c r="AG40" s="221" t="s">
        <v>5522</v>
      </c>
      <c r="AH40" s="221">
        <v>1198</v>
      </c>
      <c r="AI40" s="221">
        <v>1222</v>
      </c>
      <c r="AJ40" s="221">
        <v>1258</v>
      </c>
      <c r="AK40" s="221">
        <v>1258</v>
      </c>
      <c r="AL40" s="221">
        <v>1348</v>
      </c>
      <c r="AM40" s="221">
        <v>1392</v>
      </c>
      <c r="AN40" s="221" t="e">
        <f>VLOOKUP(B40,正厂竞争者数据汇总!D:CL,25,FALSE)</f>
        <v>#N/A</v>
      </c>
      <c r="BD40" s="202">
        <f>IFERROR(VLOOKUP(B40,Sheet4!A:D,4,FALSE),"")</f>
        <v>1222</v>
      </c>
    </row>
    <row r="41" spans="1:56">
      <c r="A41" s="89" t="s">
        <v>672</v>
      </c>
      <c r="B41" s="165" t="s">
        <v>555</v>
      </c>
      <c r="C41" s="212"/>
      <c r="D41" s="189" t="s">
        <v>5419</v>
      </c>
      <c r="E41" s="189" t="s">
        <v>5419</v>
      </c>
      <c r="F41" s="189" t="s">
        <v>5419</v>
      </c>
      <c r="G41" s="208" t="s">
        <v>5419</v>
      </c>
      <c r="H41" s="208" t="s">
        <v>5419</v>
      </c>
      <c r="I41" s="208" t="s">
        <v>5419</v>
      </c>
      <c r="J41" s="208" t="s">
        <v>5419</v>
      </c>
      <c r="K41" s="208" t="s">
        <v>5419</v>
      </c>
      <c r="L41" s="198" t="s">
        <v>5419</v>
      </c>
      <c r="M41" s="198" t="s">
        <v>5419</v>
      </c>
      <c r="N41" s="208" t="s">
        <v>5419</v>
      </c>
      <c r="O41" s="208" t="s">
        <v>5419</v>
      </c>
      <c r="P41" s="189"/>
      <c r="Q41" s="189"/>
      <c r="R41" s="198" t="s">
        <v>5419</v>
      </c>
      <c r="S41" s="189"/>
      <c r="T41" s="198">
        <v>5092</v>
      </c>
      <c r="U41" s="224" t="s">
        <v>5523</v>
      </c>
      <c r="V41" s="230" t="s">
        <v>5524</v>
      </c>
      <c r="W41" s="225">
        <v>4956</v>
      </c>
      <c r="X41" s="221" t="s">
        <v>5525</v>
      </c>
      <c r="Y41" s="221" t="s">
        <v>5526</v>
      </c>
      <c r="Z41" s="221" t="s">
        <v>5527</v>
      </c>
      <c r="AA41" s="221" t="s">
        <v>5528</v>
      </c>
      <c r="AB41" s="221" t="s">
        <v>5529</v>
      </c>
      <c r="AC41" s="221">
        <v>4515</v>
      </c>
      <c r="AD41" s="221">
        <v>4736</v>
      </c>
      <c r="AE41" s="221">
        <v>5114</v>
      </c>
      <c r="AF41" s="221" t="s">
        <v>5530</v>
      </c>
      <c r="AG41" s="221" t="s">
        <v>5531</v>
      </c>
      <c r="AH41" s="221">
        <v>5665</v>
      </c>
      <c r="AI41" s="221">
        <v>6100</v>
      </c>
      <c r="AJ41" s="221">
        <v>6259</v>
      </c>
      <c r="AK41" s="221">
        <v>6089</v>
      </c>
      <c r="AL41" s="221">
        <v>7810</v>
      </c>
      <c r="AM41" s="221">
        <v>7710</v>
      </c>
      <c r="AN41" s="221">
        <f>VLOOKUP(B41,正厂竞争者数据汇总!D:CL,25,FALSE)</f>
        <v>379491</v>
      </c>
      <c r="BD41" s="202">
        <f>IFERROR(VLOOKUP(B41,Sheet4!A:D,4,FALSE),"")</f>
        <v>6100</v>
      </c>
    </row>
    <row r="42" spans="1:56">
      <c r="A42" s="89" t="s">
        <v>672</v>
      </c>
      <c r="B42" s="165" t="s">
        <v>556</v>
      </c>
      <c r="C42" s="211"/>
      <c r="D42" s="211"/>
      <c r="E42" s="189" t="s">
        <v>5419</v>
      </c>
      <c r="F42" s="189" t="s">
        <v>5419</v>
      </c>
      <c r="G42" s="208" t="s">
        <v>5419</v>
      </c>
      <c r="H42" s="208" t="s">
        <v>5419</v>
      </c>
      <c r="I42" s="208" t="s">
        <v>5419</v>
      </c>
      <c r="J42" s="208" t="s">
        <v>5419</v>
      </c>
      <c r="K42" s="208" t="s">
        <v>5419</v>
      </c>
      <c r="L42" s="198" t="s">
        <v>5419</v>
      </c>
      <c r="M42" s="198" t="s">
        <v>5419</v>
      </c>
      <c r="N42" s="208" t="s">
        <v>5419</v>
      </c>
      <c r="O42" s="208" t="s">
        <v>5419</v>
      </c>
      <c r="P42" s="189"/>
      <c r="Q42" s="189"/>
      <c r="R42" s="198" t="s">
        <v>5419</v>
      </c>
      <c r="S42" s="189"/>
      <c r="T42" s="198">
        <v>1976</v>
      </c>
      <c r="U42" s="224" t="s">
        <v>5532</v>
      </c>
      <c r="V42" s="230" t="s">
        <v>5533</v>
      </c>
      <c r="W42" s="225">
        <v>1842</v>
      </c>
      <c r="X42" s="221" t="s">
        <v>5534</v>
      </c>
      <c r="Y42" s="221" t="s">
        <v>5387</v>
      </c>
      <c r="Z42" s="221" t="s">
        <v>5535</v>
      </c>
      <c r="AA42" s="221" t="s">
        <v>5536</v>
      </c>
      <c r="AB42" s="221" t="s">
        <v>5537</v>
      </c>
      <c r="AC42" s="221">
        <v>1861</v>
      </c>
      <c r="AD42" s="221">
        <v>2144</v>
      </c>
      <c r="AE42" s="221">
        <v>2441</v>
      </c>
      <c r="AF42" s="221" t="s">
        <v>5538</v>
      </c>
      <c r="AG42" s="221" t="s">
        <v>5539</v>
      </c>
      <c r="AH42" s="221">
        <v>2959</v>
      </c>
      <c r="AI42" s="221">
        <v>3439</v>
      </c>
      <c r="AJ42" s="221">
        <v>3355</v>
      </c>
      <c r="AK42" s="221">
        <v>3303</v>
      </c>
      <c r="AL42" s="221">
        <v>3399</v>
      </c>
      <c r="AM42" s="221">
        <v>3290</v>
      </c>
      <c r="AN42" s="221">
        <f>VLOOKUP(B42,正厂竞争者数据汇总!D:CL,25,FALSE)</f>
        <v>255715</v>
      </c>
      <c r="BD42" s="202">
        <f>IFERROR(VLOOKUP(B42,Sheet4!A:D,4,FALSE),"")</f>
        <v>3439</v>
      </c>
    </row>
    <row r="43" spans="1:56">
      <c r="A43" s="213" t="s">
        <v>243</v>
      </c>
      <c r="B43" s="165" t="s">
        <v>270</v>
      </c>
      <c r="C43" s="211">
        <v>39</v>
      </c>
      <c r="D43" s="211">
        <v>42</v>
      </c>
      <c r="E43" s="189">
        <v>52</v>
      </c>
      <c r="F43" s="189">
        <v>64</v>
      </c>
      <c r="G43" s="189">
        <v>78</v>
      </c>
      <c r="H43" s="189">
        <v>156</v>
      </c>
      <c r="I43" s="189">
        <v>278</v>
      </c>
      <c r="J43" s="189">
        <v>206</v>
      </c>
      <c r="K43" s="189">
        <v>239</v>
      </c>
      <c r="L43" s="189">
        <v>274</v>
      </c>
      <c r="M43" s="189">
        <v>346</v>
      </c>
      <c r="N43" s="189">
        <v>368</v>
      </c>
      <c r="O43" s="189">
        <v>357</v>
      </c>
      <c r="P43" s="189">
        <v>351</v>
      </c>
      <c r="Q43" s="189">
        <v>349</v>
      </c>
      <c r="R43" s="189">
        <v>509</v>
      </c>
      <c r="S43" s="189">
        <v>364</v>
      </c>
      <c r="T43" s="189">
        <v>321</v>
      </c>
      <c r="U43" s="224" t="s">
        <v>5540</v>
      </c>
      <c r="V43" s="230" t="s">
        <v>5340</v>
      </c>
      <c r="W43" s="225">
        <v>422</v>
      </c>
      <c r="X43" s="221" t="s">
        <v>5541</v>
      </c>
      <c r="Y43" s="221" t="s">
        <v>5542</v>
      </c>
      <c r="Z43" s="221" t="s">
        <v>1412</v>
      </c>
      <c r="AA43" s="221" t="s">
        <v>5543</v>
      </c>
      <c r="AB43" s="221" t="s">
        <v>5544</v>
      </c>
      <c r="AC43" s="221">
        <v>834</v>
      </c>
      <c r="AD43" s="221">
        <v>1120</v>
      </c>
      <c r="AE43" s="221">
        <v>1578</v>
      </c>
      <c r="AF43" s="221" t="s">
        <v>5545</v>
      </c>
      <c r="AG43" s="221" t="s">
        <v>5546</v>
      </c>
      <c r="AH43" s="221">
        <v>2832</v>
      </c>
      <c r="AI43" s="221">
        <v>3524</v>
      </c>
      <c r="AJ43" s="221">
        <v>3622</v>
      </c>
      <c r="AK43" s="221">
        <v>3622</v>
      </c>
      <c r="AL43" s="221">
        <v>3602</v>
      </c>
      <c r="AM43" s="221">
        <v>3466</v>
      </c>
      <c r="AN43" s="221">
        <f>VLOOKUP(B43,正厂竞争者数据汇总!D:CL,25,FALSE)</f>
        <v>269082</v>
      </c>
      <c r="BD43" s="202">
        <f>IFERROR(VLOOKUP(B43,Sheet4!A:D,4,FALSE),"")</f>
        <v>3524</v>
      </c>
    </row>
    <row r="44" spans="1:56">
      <c r="A44" s="89" t="s">
        <v>230</v>
      </c>
      <c r="B44" s="165" t="s">
        <v>548</v>
      </c>
      <c r="C44" s="211">
        <v>68</v>
      </c>
      <c r="D44" s="211">
        <v>66</v>
      </c>
      <c r="E44" s="189">
        <v>70</v>
      </c>
      <c r="F44" s="189">
        <v>83</v>
      </c>
      <c r="G44" s="189">
        <v>83</v>
      </c>
      <c r="H44" s="189">
        <v>105</v>
      </c>
      <c r="I44" s="189">
        <v>142</v>
      </c>
      <c r="J44" s="189">
        <v>160</v>
      </c>
      <c r="K44" s="189">
        <v>167</v>
      </c>
      <c r="L44" s="189">
        <v>179</v>
      </c>
      <c r="M44" s="189">
        <v>216</v>
      </c>
      <c r="N44" s="189">
        <v>268</v>
      </c>
      <c r="O44" s="189">
        <v>283</v>
      </c>
      <c r="P44" s="189">
        <v>274</v>
      </c>
      <c r="Q44" s="189">
        <v>288</v>
      </c>
      <c r="R44" s="189">
        <v>301</v>
      </c>
      <c r="S44" s="189">
        <v>460</v>
      </c>
      <c r="T44" s="189">
        <v>541</v>
      </c>
      <c r="U44" s="224" t="s">
        <v>5547</v>
      </c>
      <c r="V44" s="230" t="s">
        <v>5348</v>
      </c>
      <c r="W44" s="225">
        <v>649</v>
      </c>
      <c r="X44" s="221" t="s">
        <v>1569</v>
      </c>
      <c r="Y44" s="221" t="s">
        <v>5548</v>
      </c>
      <c r="Z44" s="221" t="s">
        <v>5465</v>
      </c>
      <c r="AA44" s="221" t="s">
        <v>1980</v>
      </c>
      <c r="AB44" s="221" t="s">
        <v>1980</v>
      </c>
      <c r="AC44" s="221">
        <v>523</v>
      </c>
      <c r="AD44" s="221">
        <v>521</v>
      </c>
      <c r="AE44" s="221">
        <v>530</v>
      </c>
      <c r="AF44" s="221" t="s">
        <v>5549</v>
      </c>
      <c r="AG44" s="221" t="s">
        <v>5488</v>
      </c>
      <c r="AH44" s="221">
        <v>577</v>
      </c>
      <c r="AI44" s="221">
        <v>610</v>
      </c>
      <c r="AJ44" s="221">
        <v>588</v>
      </c>
      <c r="AK44" s="221">
        <v>588</v>
      </c>
      <c r="AL44" s="221">
        <v>620</v>
      </c>
      <c r="AM44" s="221">
        <v>620</v>
      </c>
      <c r="AN44" s="221" t="e">
        <f>VLOOKUP(B44,正厂竞争者数据汇总!D:CL,25,FALSE)</f>
        <v>#N/A</v>
      </c>
      <c r="BD44" s="202">
        <f>IFERROR(VLOOKUP(B44,Sheet4!A:D,4,FALSE),"")</f>
        <v>610</v>
      </c>
    </row>
    <row r="45" spans="1:56">
      <c r="A45" s="89" t="s">
        <v>230</v>
      </c>
      <c r="B45" s="165" t="s">
        <v>547</v>
      </c>
      <c r="C45" s="212">
        <v>252</v>
      </c>
      <c r="D45" s="212">
        <v>183</v>
      </c>
      <c r="E45" s="189">
        <v>219</v>
      </c>
      <c r="F45" s="189">
        <v>210</v>
      </c>
      <c r="G45" s="189">
        <v>181</v>
      </c>
      <c r="H45" s="189">
        <v>264</v>
      </c>
      <c r="I45" s="189">
        <v>362</v>
      </c>
      <c r="J45" s="189">
        <v>396</v>
      </c>
      <c r="K45" s="189">
        <v>402</v>
      </c>
      <c r="L45" s="189">
        <v>452</v>
      </c>
      <c r="M45" s="189">
        <v>497</v>
      </c>
      <c r="N45" s="189">
        <v>567</v>
      </c>
      <c r="O45" s="189">
        <v>569</v>
      </c>
      <c r="P45" s="189">
        <v>548</v>
      </c>
      <c r="Q45" s="189">
        <v>534</v>
      </c>
      <c r="R45" s="189">
        <v>560</v>
      </c>
      <c r="S45" s="189">
        <v>750</v>
      </c>
      <c r="T45" s="189">
        <v>838</v>
      </c>
      <c r="U45" s="224" t="s">
        <v>2452</v>
      </c>
      <c r="V45" s="230" t="s">
        <v>5550</v>
      </c>
      <c r="W45" s="225">
        <v>874</v>
      </c>
      <c r="X45" s="221" t="s">
        <v>5424</v>
      </c>
      <c r="Y45" s="221" t="s">
        <v>5551</v>
      </c>
      <c r="Z45" s="221" t="s">
        <v>5552</v>
      </c>
      <c r="AA45" s="221" t="s">
        <v>5553</v>
      </c>
      <c r="AB45" s="221" t="s">
        <v>5554</v>
      </c>
      <c r="AC45" s="221">
        <v>546</v>
      </c>
      <c r="AD45" s="221">
        <v>538</v>
      </c>
      <c r="AE45" s="221">
        <v>557</v>
      </c>
      <c r="AF45" s="221" t="s">
        <v>5555</v>
      </c>
      <c r="AG45" s="221" t="s">
        <v>5556</v>
      </c>
      <c r="AH45" s="221">
        <v>596</v>
      </c>
      <c r="AI45" s="221">
        <v>598</v>
      </c>
      <c r="AJ45" s="221">
        <v>602</v>
      </c>
      <c r="AK45" s="221">
        <v>602</v>
      </c>
      <c r="AL45" s="221">
        <v>645</v>
      </c>
      <c r="AM45" s="221">
        <v>652</v>
      </c>
      <c r="AN45" s="221" t="e">
        <f>VLOOKUP(B45,正厂竞争者数据汇总!D:CL,25,FALSE)</f>
        <v>#N/A</v>
      </c>
      <c r="BD45" s="202">
        <f>IFERROR(VLOOKUP(B45,Sheet4!A:D,4,FALSE),"")</f>
        <v>598</v>
      </c>
    </row>
    <row r="46" spans="1:56">
      <c r="A46" s="142" t="s">
        <v>230</v>
      </c>
      <c r="B46" s="175" t="s">
        <v>549</v>
      </c>
      <c r="C46" s="214">
        <v>11</v>
      </c>
      <c r="D46" s="214">
        <v>8</v>
      </c>
      <c r="E46" s="189">
        <v>7</v>
      </c>
      <c r="F46" s="189">
        <v>14</v>
      </c>
      <c r="G46" s="189">
        <v>22</v>
      </c>
      <c r="H46" s="189">
        <v>30</v>
      </c>
      <c r="I46" s="189">
        <v>42</v>
      </c>
      <c r="J46" s="189">
        <v>43</v>
      </c>
      <c r="K46" s="189">
        <v>49</v>
      </c>
      <c r="L46" s="189">
        <v>68</v>
      </c>
      <c r="M46" s="189">
        <v>72</v>
      </c>
      <c r="N46" s="189">
        <v>78</v>
      </c>
      <c r="O46" s="189">
        <v>82</v>
      </c>
      <c r="P46" s="189">
        <v>77</v>
      </c>
      <c r="Q46" s="189">
        <v>71</v>
      </c>
      <c r="R46" s="189">
        <v>72</v>
      </c>
      <c r="S46" s="189">
        <v>155</v>
      </c>
      <c r="T46" s="189">
        <v>207</v>
      </c>
      <c r="U46" s="224" t="s">
        <v>5557</v>
      </c>
      <c r="V46" s="230" t="s">
        <v>5558</v>
      </c>
      <c r="W46" s="225">
        <v>284</v>
      </c>
      <c r="X46" s="221" t="s">
        <v>5559</v>
      </c>
      <c r="Y46" s="221" t="s">
        <v>5558</v>
      </c>
      <c r="Z46" s="221" t="s">
        <v>5560</v>
      </c>
      <c r="AA46" s="221" t="s">
        <v>5561</v>
      </c>
      <c r="AB46" s="221" t="s">
        <v>5496</v>
      </c>
      <c r="AC46" s="221">
        <v>212</v>
      </c>
      <c r="AD46" s="221">
        <v>209</v>
      </c>
      <c r="AE46" s="221">
        <v>216</v>
      </c>
      <c r="AF46" s="221" t="s">
        <v>5562</v>
      </c>
      <c r="AG46" s="221" t="s">
        <v>5562</v>
      </c>
      <c r="AH46" s="221">
        <v>225</v>
      </c>
      <c r="AI46" s="221">
        <v>230</v>
      </c>
      <c r="AJ46" s="221">
        <v>230</v>
      </c>
      <c r="AK46" s="221">
        <v>230</v>
      </c>
      <c r="AL46" s="221">
        <v>250</v>
      </c>
      <c r="AM46" s="221">
        <v>245</v>
      </c>
      <c r="AN46" s="221" t="e">
        <f>VLOOKUP(B46,正厂竞争者数据汇总!D:CL,25,FALSE)</f>
        <v>#N/A</v>
      </c>
      <c r="BD46" s="202">
        <f>IFERROR(VLOOKUP(B46,Sheet4!A:D,4,FALSE),"")</f>
        <v>230</v>
      </c>
    </row>
    <row r="47" spans="1:56">
      <c r="A47" s="89" t="s">
        <v>230</v>
      </c>
      <c r="B47" s="165" t="s">
        <v>508</v>
      </c>
      <c r="C47" s="214"/>
      <c r="D47" s="214"/>
      <c r="E47" s="189"/>
      <c r="F47" s="189"/>
      <c r="H47" s="189"/>
      <c r="I47" s="189"/>
      <c r="J47" s="189"/>
      <c r="K47" s="189"/>
      <c r="L47" s="189"/>
      <c r="M47" s="189"/>
      <c r="N47" s="189"/>
      <c r="O47" s="189"/>
      <c r="P47" s="189"/>
      <c r="Q47" s="189"/>
      <c r="R47" s="189"/>
      <c r="S47" s="189"/>
      <c r="T47" s="189"/>
      <c r="U47" s="224"/>
      <c r="V47" s="230"/>
      <c r="W47" s="225"/>
      <c r="X47" s="221"/>
      <c r="Y47" s="221" t="s">
        <v>5563</v>
      </c>
      <c r="Z47" s="221" t="s">
        <v>5348</v>
      </c>
      <c r="AA47" s="221" t="s">
        <v>5402</v>
      </c>
      <c r="AB47" s="221" t="s">
        <v>5564</v>
      </c>
      <c r="AC47" s="221">
        <v>591</v>
      </c>
      <c r="AD47" s="221">
        <v>587</v>
      </c>
      <c r="AE47" s="221">
        <v>611</v>
      </c>
      <c r="AF47" s="221" t="s">
        <v>5565</v>
      </c>
      <c r="AG47" s="221" t="s">
        <v>5566</v>
      </c>
      <c r="AH47" s="221">
        <v>660</v>
      </c>
      <c r="AI47" s="221">
        <v>678</v>
      </c>
      <c r="AJ47" s="221">
        <v>682</v>
      </c>
      <c r="AK47" s="221">
        <v>671</v>
      </c>
      <c r="AL47" s="221">
        <v>736</v>
      </c>
      <c r="AM47" s="221">
        <v>756</v>
      </c>
      <c r="AN47" s="221" t="e">
        <f>VLOOKUP(B47,正厂竞争者数据汇总!D:CL,25,FALSE)</f>
        <v>#N/A</v>
      </c>
      <c r="BD47" s="202" t="str">
        <f>IFERROR(VLOOKUP(B47,Sheet4!A:D,4,FALSE),"")</f>
        <v/>
      </c>
    </row>
    <row r="48" spans="1:56">
      <c r="A48" s="88" t="s">
        <v>227</v>
      </c>
      <c r="B48" s="169" t="s">
        <v>154</v>
      </c>
      <c r="C48" s="215">
        <v>12</v>
      </c>
      <c r="D48" s="215">
        <v>27</v>
      </c>
      <c r="E48" s="190">
        <v>33</v>
      </c>
      <c r="F48" s="190">
        <v>35</v>
      </c>
      <c r="G48" s="190">
        <v>56</v>
      </c>
      <c r="H48" s="190">
        <v>91</v>
      </c>
      <c r="I48" s="190">
        <v>117</v>
      </c>
      <c r="J48" s="190">
        <v>120</v>
      </c>
      <c r="K48" s="190">
        <v>133</v>
      </c>
      <c r="L48" s="190">
        <v>148</v>
      </c>
      <c r="M48" s="190">
        <v>182</v>
      </c>
      <c r="N48" s="190">
        <v>193</v>
      </c>
      <c r="O48" s="190">
        <v>191</v>
      </c>
      <c r="P48" s="190">
        <v>184</v>
      </c>
      <c r="Q48" s="190">
        <v>174</v>
      </c>
      <c r="R48" s="190">
        <v>179</v>
      </c>
      <c r="S48" s="190">
        <v>295</v>
      </c>
      <c r="T48" s="190">
        <v>336</v>
      </c>
      <c r="U48" s="224" t="s">
        <v>5567</v>
      </c>
      <c r="V48" s="230" t="s">
        <v>5568</v>
      </c>
      <c r="W48" s="225">
        <v>417</v>
      </c>
      <c r="X48" s="221" t="s">
        <v>5569</v>
      </c>
      <c r="Y48" s="221" t="s">
        <v>5570</v>
      </c>
      <c r="Z48" s="221" t="s">
        <v>2457</v>
      </c>
      <c r="AA48" s="221" t="s">
        <v>5466</v>
      </c>
      <c r="AB48" s="221" t="s">
        <v>5571</v>
      </c>
      <c r="AC48" s="221">
        <v>270</v>
      </c>
      <c r="AD48" s="221">
        <v>279</v>
      </c>
      <c r="AE48" s="221">
        <v>297</v>
      </c>
      <c r="AF48" s="221" t="s">
        <v>5559</v>
      </c>
      <c r="AG48" s="221" t="s">
        <v>5572</v>
      </c>
      <c r="AH48" s="221">
        <v>333</v>
      </c>
      <c r="AI48" s="221">
        <v>345</v>
      </c>
      <c r="AJ48" s="221">
        <v>386</v>
      </c>
      <c r="AK48" s="221">
        <v>390</v>
      </c>
      <c r="AL48" s="221">
        <v>447</v>
      </c>
      <c r="AM48" s="221">
        <v>450</v>
      </c>
      <c r="AN48" s="221" t="e">
        <f>VLOOKUP(B48,正厂竞争者数据汇总!D:CL,25,FALSE)</f>
        <v>#N/A</v>
      </c>
      <c r="BD48" s="202">
        <f>IFERROR(VLOOKUP(B48,Sheet4!A:D,4,FALSE),"")</f>
        <v>345</v>
      </c>
    </row>
    <row r="49" spans="1:56">
      <c r="A49" s="96" t="s">
        <v>149</v>
      </c>
      <c r="B49" s="205"/>
      <c r="C49" s="97"/>
      <c r="D49" s="97"/>
      <c r="E49" s="97"/>
      <c r="AG49" s="200" t="s">
        <v>180</v>
      </c>
      <c r="AH49" s="200" t="s">
        <v>180</v>
      </c>
      <c r="AI49" s="200" t="s">
        <v>180</v>
      </c>
      <c r="AJ49" s="221"/>
      <c r="AK49" s="221"/>
      <c r="AL49" s="221"/>
      <c r="AM49" s="221"/>
      <c r="AN49" s="221"/>
      <c r="BD49" s="202" t="str">
        <f>IFERROR(VLOOKUP(B49,Sheet4!A:D,4,FALSE),"")</f>
        <v/>
      </c>
    </row>
    <row r="50" spans="1:56">
      <c r="A50" s="101" t="s">
        <v>3944</v>
      </c>
      <c r="B50" s="171" t="s">
        <v>207</v>
      </c>
      <c r="C50" s="102"/>
      <c r="D50" s="102"/>
      <c r="E50" s="102"/>
      <c r="F50" s="119"/>
      <c r="AG50" s="200" t="s">
        <v>180</v>
      </c>
      <c r="AH50" s="200" t="s">
        <v>180</v>
      </c>
      <c r="AI50" s="200" t="s">
        <v>180</v>
      </c>
      <c r="AJ50" s="221"/>
      <c r="AK50" s="221"/>
      <c r="AL50" s="221"/>
      <c r="AM50" s="221"/>
      <c r="AN50" s="221"/>
      <c r="BD50" s="202" t="str">
        <f>IFERROR(VLOOKUP(B50,Sheet4!A:D,4,FALSE),"")</f>
        <v/>
      </c>
    </row>
    <row r="51" spans="1:56">
      <c r="A51" s="89" t="s">
        <v>243</v>
      </c>
      <c r="B51" s="165" t="s">
        <v>537</v>
      </c>
      <c r="C51" s="211">
        <v>531</v>
      </c>
      <c r="D51" s="211">
        <v>471</v>
      </c>
      <c r="E51" s="189">
        <v>502</v>
      </c>
      <c r="F51" s="189">
        <v>500</v>
      </c>
      <c r="G51" s="189">
        <v>465</v>
      </c>
      <c r="H51" s="189">
        <v>757</v>
      </c>
      <c r="I51" s="189" t="s">
        <v>5295</v>
      </c>
      <c r="J51" s="189" t="s">
        <v>5280</v>
      </c>
      <c r="K51" s="189" t="s">
        <v>5281</v>
      </c>
      <c r="L51" s="189" t="s">
        <v>5284</v>
      </c>
      <c r="M51" s="189" t="s">
        <v>5573</v>
      </c>
      <c r="N51" s="189" t="s">
        <v>5361</v>
      </c>
      <c r="O51" s="189" t="s">
        <v>5286</v>
      </c>
      <c r="P51" s="189" t="s">
        <v>5573</v>
      </c>
      <c r="Q51" s="189" t="s">
        <v>5573</v>
      </c>
      <c r="R51" s="189" t="s">
        <v>5573</v>
      </c>
      <c r="S51" s="189" t="s">
        <v>5285</v>
      </c>
      <c r="T51" s="189">
        <v>1707</v>
      </c>
      <c r="U51" s="224" t="s">
        <v>5574</v>
      </c>
      <c r="V51" s="230" t="s">
        <v>5575</v>
      </c>
      <c r="W51" s="225">
        <v>1509</v>
      </c>
      <c r="X51" s="221" t="s">
        <v>5576</v>
      </c>
      <c r="Y51" s="221" t="s">
        <v>5577</v>
      </c>
      <c r="Z51" s="221" t="s">
        <v>5578</v>
      </c>
      <c r="AA51" s="221" t="s">
        <v>5579</v>
      </c>
      <c r="AB51" s="221" t="s">
        <v>5580</v>
      </c>
      <c r="AC51" s="221">
        <v>1787</v>
      </c>
      <c r="AD51" s="221">
        <v>2089</v>
      </c>
      <c r="AE51" s="221">
        <v>2648</v>
      </c>
      <c r="AF51" s="221" t="s">
        <v>5581</v>
      </c>
      <c r="AG51" s="221" t="s">
        <v>5582</v>
      </c>
      <c r="AH51" s="221">
        <v>4073</v>
      </c>
      <c r="AI51" s="221">
        <v>4727</v>
      </c>
      <c r="AJ51" s="221">
        <v>4876</v>
      </c>
      <c r="AK51" s="221">
        <v>4876</v>
      </c>
      <c r="AL51" s="221">
        <v>5173</v>
      </c>
      <c r="AM51" s="221">
        <v>4976</v>
      </c>
      <c r="AN51" s="221" t="e">
        <f>VLOOKUP(B51,正厂竞争者数据汇总!D:CL,25,FALSE)</f>
        <v>#N/A</v>
      </c>
      <c r="BD51" s="202">
        <f>IFERROR(VLOOKUP(B51,Sheet4!A:D,4,FALSE),"")</f>
        <v>4727</v>
      </c>
    </row>
    <row r="52" spans="1:56">
      <c r="A52" s="88" t="s">
        <v>227</v>
      </c>
      <c r="B52" s="170" t="s">
        <v>535</v>
      </c>
      <c r="C52" s="210">
        <v>169</v>
      </c>
      <c r="D52" s="210">
        <v>235</v>
      </c>
      <c r="E52" s="190">
        <v>249</v>
      </c>
      <c r="F52" s="190">
        <v>254</v>
      </c>
      <c r="G52" s="190">
        <v>283</v>
      </c>
      <c r="H52" s="190">
        <v>610</v>
      </c>
      <c r="I52" s="190">
        <v>875</v>
      </c>
      <c r="J52" s="190">
        <v>935</v>
      </c>
      <c r="K52" s="190" t="s">
        <v>5295</v>
      </c>
      <c r="L52" s="190" t="s">
        <v>5282</v>
      </c>
      <c r="M52" s="190" t="s">
        <v>5286</v>
      </c>
      <c r="N52" s="190" t="s">
        <v>5361</v>
      </c>
      <c r="O52" s="190" t="s">
        <v>5573</v>
      </c>
      <c r="P52" s="190" t="s">
        <v>5286</v>
      </c>
      <c r="Q52" s="190" t="s">
        <v>5286</v>
      </c>
      <c r="R52" s="190" t="s">
        <v>5285</v>
      </c>
      <c r="S52" s="190" t="s">
        <v>5573</v>
      </c>
      <c r="T52" s="190">
        <v>1966</v>
      </c>
      <c r="U52" s="224" t="s">
        <v>5293</v>
      </c>
      <c r="V52" s="230" t="s">
        <v>5583</v>
      </c>
      <c r="W52" s="225">
        <v>1817</v>
      </c>
      <c r="X52" s="221" t="s">
        <v>5584</v>
      </c>
      <c r="Y52" s="221" t="s">
        <v>5585</v>
      </c>
      <c r="Z52" s="221" t="s">
        <v>5586</v>
      </c>
      <c r="AA52" s="221" t="s">
        <v>5587</v>
      </c>
      <c r="AB52" s="221" t="s">
        <v>5588</v>
      </c>
      <c r="AC52" s="221">
        <v>1734</v>
      </c>
      <c r="AD52" s="221">
        <v>2074</v>
      </c>
      <c r="AE52" s="221">
        <v>2628</v>
      </c>
      <c r="AF52" s="221" t="s">
        <v>5589</v>
      </c>
      <c r="AG52" s="221" t="s">
        <v>5590</v>
      </c>
      <c r="AH52" s="221">
        <v>4163</v>
      </c>
      <c r="AI52" s="221">
        <v>4837</v>
      </c>
      <c r="AJ52" s="221">
        <v>4989</v>
      </c>
      <c r="AK52" s="221">
        <v>4989</v>
      </c>
      <c r="AL52" s="221">
        <v>6321</v>
      </c>
      <c r="AM52" s="221">
        <v>6112</v>
      </c>
      <c r="AN52" s="221" t="e">
        <f>VLOOKUP(B52,正厂竞争者数据汇总!D:CL,25,FALSE)</f>
        <v>#N/A</v>
      </c>
      <c r="BD52" s="202">
        <f>IFERROR(VLOOKUP(B52,Sheet4!A:D,4,FALSE),"")</f>
        <v>4837</v>
      </c>
    </row>
    <row r="53" spans="1:56">
      <c r="A53" s="89" t="s">
        <v>243</v>
      </c>
      <c r="B53" s="165" t="s">
        <v>539</v>
      </c>
      <c r="C53" s="211">
        <v>293</v>
      </c>
      <c r="D53" s="211">
        <v>300</v>
      </c>
      <c r="E53" s="189">
        <v>309</v>
      </c>
      <c r="F53" s="189">
        <v>319</v>
      </c>
      <c r="G53" s="189">
        <v>310</v>
      </c>
      <c r="H53" s="189">
        <v>499</v>
      </c>
      <c r="I53" s="189">
        <v>661</v>
      </c>
      <c r="J53" s="189">
        <v>719</v>
      </c>
      <c r="K53" s="189">
        <v>718</v>
      </c>
      <c r="L53" s="189">
        <v>935</v>
      </c>
      <c r="M53" s="189" t="s">
        <v>5279</v>
      </c>
      <c r="N53" s="189" t="s">
        <v>5280</v>
      </c>
      <c r="O53" s="189" t="s">
        <v>5295</v>
      </c>
      <c r="P53" s="189" t="s">
        <v>5295</v>
      </c>
      <c r="Q53" s="189" t="s">
        <v>5295</v>
      </c>
      <c r="R53" s="189" t="s">
        <v>5295</v>
      </c>
      <c r="S53" s="189">
        <v>924</v>
      </c>
      <c r="T53" s="189">
        <v>973</v>
      </c>
      <c r="U53" s="224" t="s">
        <v>5591</v>
      </c>
      <c r="V53" s="230" t="s">
        <v>5447</v>
      </c>
      <c r="W53" s="225">
        <v>1003</v>
      </c>
      <c r="X53" s="221" t="s">
        <v>5592</v>
      </c>
      <c r="Y53" s="221" t="s">
        <v>5593</v>
      </c>
      <c r="Z53" s="221" t="s">
        <v>5594</v>
      </c>
      <c r="AA53" s="221" t="s">
        <v>5595</v>
      </c>
      <c r="AB53" s="221" t="s">
        <v>5596</v>
      </c>
      <c r="AC53" s="221">
        <v>1394</v>
      </c>
      <c r="AD53" s="221">
        <v>1700</v>
      </c>
      <c r="AE53" s="221">
        <v>2265</v>
      </c>
      <c r="AF53" s="221" t="s">
        <v>5597</v>
      </c>
      <c r="AG53" s="221" t="s">
        <v>5598</v>
      </c>
      <c r="AH53" s="221">
        <v>3606</v>
      </c>
      <c r="AI53" s="221">
        <v>4264</v>
      </c>
      <c r="AJ53" s="221">
        <v>4346</v>
      </c>
      <c r="AK53" s="221">
        <v>4346</v>
      </c>
      <c r="AL53" s="221">
        <v>4607</v>
      </c>
      <c r="AM53" s="221">
        <v>4397</v>
      </c>
      <c r="AN53" s="221" t="e">
        <f>VLOOKUP(B53,正厂竞争者数据汇总!D:CL,25,FALSE)</f>
        <v>#N/A</v>
      </c>
      <c r="BD53" s="202">
        <f>IFERROR(VLOOKUP(B53,Sheet4!A:D,4,FALSE),"")</f>
        <v>4264</v>
      </c>
    </row>
    <row r="54" spans="1:56">
      <c r="A54" s="89" t="s">
        <v>2019</v>
      </c>
      <c r="B54" s="176" t="s">
        <v>545</v>
      </c>
      <c r="C54" s="216" t="s">
        <v>5419</v>
      </c>
      <c r="D54" s="216"/>
      <c r="E54" s="189" t="s">
        <v>5419</v>
      </c>
      <c r="F54" s="189" t="s">
        <v>5419</v>
      </c>
      <c r="G54" s="208" t="s">
        <v>5419</v>
      </c>
      <c r="H54" s="208" t="s">
        <v>5419</v>
      </c>
      <c r="I54" s="208" t="s">
        <v>5419</v>
      </c>
      <c r="J54" s="189"/>
      <c r="K54" s="189"/>
      <c r="L54" s="208" t="s">
        <v>5419</v>
      </c>
      <c r="M54" s="208" t="s">
        <v>5419</v>
      </c>
      <c r="N54" s="208" t="s">
        <v>5419</v>
      </c>
      <c r="O54" s="208" t="s">
        <v>5419</v>
      </c>
      <c r="P54" s="189"/>
      <c r="Q54" s="189"/>
      <c r="R54" s="189" t="s">
        <v>5419</v>
      </c>
      <c r="S54" s="189" t="s">
        <v>5419</v>
      </c>
      <c r="T54" s="208">
        <v>18</v>
      </c>
      <c r="U54" s="224" t="s">
        <v>5599</v>
      </c>
      <c r="V54" s="230" t="s">
        <v>855</v>
      </c>
      <c r="W54" s="225">
        <v>16</v>
      </c>
      <c r="X54" s="221" t="s">
        <v>5600</v>
      </c>
      <c r="Y54" s="221" t="s">
        <v>5600</v>
      </c>
      <c r="Z54" s="221" t="s">
        <v>5600</v>
      </c>
      <c r="AA54" s="221" t="s">
        <v>5600</v>
      </c>
      <c r="AB54" s="221" t="s">
        <v>5601</v>
      </c>
      <c r="AC54" s="221">
        <v>318</v>
      </c>
      <c r="AD54" s="221">
        <v>338</v>
      </c>
      <c r="AE54" s="221">
        <v>375</v>
      </c>
      <c r="AF54" s="221" t="s">
        <v>5602</v>
      </c>
      <c r="AG54" s="221" t="s">
        <v>5603</v>
      </c>
      <c r="AH54" s="221">
        <v>476</v>
      </c>
      <c r="AI54" s="221">
        <v>481</v>
      </c>
      <c r="AJ54" s="221">
        <v>535</v>
      </c>
      <c r="AK54" s="221">
        <v>562</v>
      </c>
      <c r="AL54" s="221">
        <v>687</v>
      </c>
      <c r="AM54" s="221">
        <v>718</v>
      </c>
      <c r="AN54" s="221">
        <f>VLOOKUP(B54,正厂竞争者数据汇总!D:CL,25,FALSE)</f>
        <v>343683</v>
      </c>
      <c r="BD54" s="202">
        <f>IFERROR(VLOOKUP(B54,Sheet4!A:D,4,FALSE),"")</f>
        <v>481</v>
      </c>
    </row>
    <row r="55" spans="1:56">
      <c r="A55" s="89" t="s">
        <v>230</v>
      </c>
      <c r="B55" s="165" t="s">
        <v>541</v>
      </c>
      <c r="C55" s="211">
        <v>18</v>
      </c>
      <c r="D55" s="211">
        <v>355</v>
      </c>
      <c r="E55" s="189">
        <v>381</v>
      </c>
      <c r="F55" s="189">
        <v>22</v>
      </c>
      <c r="G55" s="189">
        <v>31</v>
      </c>
      <c r="H55" s="189">
        <v>49</v>
      </c>
      <c r="I55" s="189">
        <v>9</v>
      </c>
      <c r="J55" s="189">
        <v>87</v>
      </c>
      <c r="K55" s="189">
        <v>92</v>
      </c>
      <c r="L55" s="189">
        <v>108</v>
      </c>
      <c r="M55" s="189">
        <v>124</v>
      </c>
      <c r="N55" s="189">
        <v>149</v>
      </c>
      <c r="O55" s="189">
        <v>159</v>
      </c>
      <c r="P55" s="189">
        <v>159</v>
      </c>
      <c r="Q55" s="189">
        <v>157</v>
      </c>
      <c r="R55" s="189">
        <v>165</v>
      </c>
      <c r="S55" s="189">
        <v>312</v>
      </c>
      <c r="T55" s="189">
        <v>370</v>
      </c>
      <c r="U55" s="224" t="s">
        <v>5604</v>
      </c>
      <c r="V55" s="230" t="s">
        <v>3787</v>
      </c>
      <c r="W55" s="225">
        <v>510</v>
      </c>
      <c r="X55" s="221" t="s">
        <v>5605</v>
      </c>
      <c r="Y55" s="221" t="s">
        <v>3760</v>
      </c>
      <c r="Z55" s="221" t="s">
        <v>5606</v>
      </c>
      <c r="AA55" s="221" t="s">
        <v>3869</v>
      </c>
      <c r="AB55" s="221" t="s">
        <v>5355</v>
      </c>
      <c r="AC55" s="221">
        <v>371</v>
      </c>
      <c r="AD55" s="221">
        <v>380</v>
      </c>
      <c r="AE55" s="221">
        <v>402</v>
      </c>
      <c r="AF55" s="221" t="s">
        <v>5607</v>
      </c>
      <c r="AG55" s="221" t="s">
        <v>5608</v>
      </c>
      <c r="AH55" s="221">
        <v>445</v>
      </c>
      <c r="AI55" s="221">
        <v>446</v>
      </c>
      <c r="AJ55" s="221">
        <v>441</v>
      </c>
      <c r="AK55" s="221">
        <v>441</v>
      </c>
      <c r="AL55" s="221">
        <v>452</v>
      </c>
      <c r="AM55" s="221">
        <v>458</v>
      </c>
      <c r="AN55" s="221">
        <f>VLOOKUP(B55,正厂竞争者数据汇总!D:CL,25,FALSE)</f>
        <v>0</v>
      </c>
      <c r="BD55" s="202">
        <f>IFERROR(VLOOKUP(B55,Sheet4!A:D,4,FALSE),"")</f>
        <v>446</v>
      </c>
    </row>
    <row r="56" spans="1:56">
      <c r="A56" s="89" t="s">
        <v>230</v>
      </c>
      <c r="B56" s="165" t="s">
        <v>536</v>
      </c>
      <c r="C56" s="211"/>
      <c r="D56" s="211"/>
      <c r="E56" s="189"/>
      <c r="F56" s="189"/>
      <c r="G56" s="207"/>
      <c r="H56" s="207"/>
      <c r="I56" s="207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224"/>
      <c r="V56" s="230"/>
      <c r="W56" s="225"/>
      <c r="X56" s="221"/>
      <c r="Y56" s="221" t="s">
        <v>5609</v>
      </c>
      <c r="Z56" s="221" t="s">
        <v>5610</v>
      </c>
      <c r="AA56" s="221" t="s">
        <v>2881</v>
      </c>
      <c r="AB56" s="221" t="s">
        <v>5602</v>
      </c>
      <c r="AC56" s="221">
        <v>395</v>
      </c>
      <c r="AD56" s="221">
        <v>399</v>
      </c>
      <c r="AE56" s="221">
        <v>454</v>
      </c>
      <c r="AF56" s="221" t="s">
        <v>5611</v>
      </c>
      <c r="AG56" s="221" t="s">
        <v>5612</v>
      </c>
      <c r="AH56" s="221">
        <v>549</v>
      </c>
      <c r="AI56" s="221">
        <v>590</v>
      </c>
      <c r="AJ56" s="221">
        <v>589</v>
      </c>
      <c r="AK56" s="221">
        <v>589</v>
      </c>
      <c r="AL56" s="221">
        <v>658</v>
      </c>
      <c r="AM56" s="221">
        <v>670</v>
      </c>
      <c r="AN56" s="221" t="e">
        <f>VLOOKUP(B56,正厂竞争者数据汇总!D:CL,25,FALSE)</f>
        <v>#N/A</v>
      </c>
      <c r="BD56" s="202">
        <f>IFERROR(VLOOKUP(B56,Sheet4!A:D,4,FALSE),"")</f>
        <v>590</v>
      </c>
    </row>
    <row r="57" spans="1:56">
      <c r="A57" s="89" t="s">
        <v>230</v>
      </c>
      <c r="B57" s="165" t="s">
        <v>2141</v>
      </c>
      <c r="C57" s="211" t="s">
        <v>5419</v>
      </c>
      <c r="D57" s="211"/>
      <c r="E57" s="189" t="s">
        <v>5419</v>
      </c>
      <c r="F57" s="189" t="s">
        <v>5419</v>
      </c>
      <c r="G57" s="208" t="s">
        <v>5419</v>
      </c>
      <c r="H57" s="208" t="s">
        <v>5419</v>
      </c>
      <c r="I57" s="208" t="s">
        <v>5419</v>
      </c>
      <c r="J57" s="189">
        <v>13</v>
      </c>
      <c r="K57" s="189">
        <v>16</v>
      </c>
      <c r="L57" s="189">
        <v>21</v>
      </c>
      <c r="M57" s="189">
        <v>27</v>
      </c>
      <c r="N57" s="189">
        <v>32</v>
      </c>
      <c r="O57" s="189">
        <v>31</v>
      </c>
      <c r="P57" s="189">
        <v>22</v>
      </c>
      <c r="Q57" s="189">
        <v>30</v>
      </c>
      <c r="R57" s="189">
        <v>24</v>
      </c>
      <c r="S57" s="189">
        <v>28</v>
      </c>
      <c r="T57" s="189">
        <v>39</v>
      </c>
      <c r="U57" s="224" t="s">
        <v>5613</v>
      </c>
      <c r="V57" s="230" t="s">
        <v>5613</v>
      </c>
      <c r="W57" s="225">
        <v>48</v>
      </c>
      <c r="X57" s="221" t="s">
        <v>5614</v>
      </c>
      <c r="Y57" s="221" t="s">
        <v>3728</v>
      </c>
      <c r="Z57" s="221" t="s">
        <v>5615</v>
      </c>
      <c r="AA57" s="221" t="s">
        <v>5616</v>
      </c>
      <c r="AB57" s="221" t="s">
        <v>5616</v>
      </c>
      <c r="AC57" s="221">
        <v>124</v>
      </c>
      <c r="AD57" s="221">
        <v>116</v>
      </c>
      <c r="AE57" s="221">
        <v>121</v>
      </c>
      <c r="AF57" s="221" t="s">
        <v>5617</v>
      </c>
      <c r="AG57" s="221" t="s">
        <v>5153</v>
      </c>
      <c r="AH57" s="221">
        <v>74</v>
      </c>
      <c r="AI57" s="221">
        <v>67</v>
      </c>
      <c r="AJ57" s="221">
        <v>58</v>
      </c>
      <c r="AK57" s="221">
        <v>58</v>
      </c>
      <c r="AL57" s="221">
        <v>69</v>
      </c>
      <c r="AM57" s="221">
        <v>81</v>
      </c>
      <c r="AN57" s="221">
        <f>VLOOKUP(B57,正厂竞争者数据汇总!D:CL,25,FALSE)</f>
        <v>31511</v>
      </c>
      <c r="BD57" s="202">
        <f>IFERROR(VLOOKUP(B57,Sheet4!A:D,4,FALSE),"")</f>
        <v>67</v>
      </c>
    </row>
    <row r="58" spans="1:56">
      <c r="A58" s="89" t="s">
        <v>230</v>
      </c>
      <c r="B58" s="177" t="s">
        <v>4279</v>
      </c>
      <c r="C58" s="211"/>
      <c r="D58" s="211"/>
      <c r="E58" s="189"/>
      <c r="F58" s="189"/>
      <c r="G58" s="208"/>
      <c r="H58" s="208"/>
      <c r="I58" s="208"/>
      <c r="J58" s="189"/>
      <c r="K58" s="189"/>
      <c r="L58" s="189"/>
      <c r="M58" s="189"/>
      <c r="N58" s="189"/>
      <c r="O58" s="189"/>
      <c r="P58" s="189"/>
      <c r="Q58" s="189"/>
      <c r="R58" s="189" t="s">
        <v>5419</v>
      </c>
      <c r="S58" s="189" t="s">
        <v>5419</v>
      </c>
      <c r="T58" s="189" t="s">
        <v>5419</v>
      </c>
      <c r="U58" s="224">
        <v>83</v>
      </c>
      <c r="V58" s="230" t="s">
        <v>5618</v>
      </c>
      <c r="W58" s="225">
        <v>88</v>
      </c>
      <c r="X58" s="221" t="s">
        <v>5619</v>
      </c>
      <c r="Y58" s="221" t="s">
        <v>5620</v>
      </c>
      <c r="Z58" s="221" t="s">
        <v>5621</v>
      </c>
      <c r="AA58" s="221" t="s">
        <v>5619</v>
      </c>
      <c r="AB58" s="221" t="s">
        <v>1595</v>
      </c>
      <c r="AC58" s="221">
        <v>120</v>
      </c>
      <c r="AD58" s="221">
        <v>116</v>
      </c>
      <c r="AE58" s="221">
        <v>116</v>
      </c>
      <c r="AF58" s="221" t="s">
        <v>5434</v>
      </c>
      <c r="AG58" s="221" t="s">
        <v>5622</v>
      </c>
      <c r="AH58" s="221">
        <v>73</v>
      </c>
      <c r="AI58" s="221">
        <v>73</v>
      </c>
      <c r="AJ58" s="221">
        <v>53</v>
      </c>
      <c r="AK58" s="221">
        <v>53</v>
      </c>
      <c r="AL58" s="221">
        <v>50</v>
      </c>
      <c r="AM58" s="221">
        <v>50</v>
      </c>
      <c r="AN58" s="221" t="e">
        <f>VLOOKUP(B58,正厂竞争者数据汇总!D:CL,25,FALSE)</f>
        <v>#N/A</v>
      </c>
      <c r="BD58" s="202">
        <f>IFERROR(VLOOKUP(B58,Sheet4!A:D,4,FALSE),"")</f>
        <v>73</v>
      </c>
    </row>
    <row r="59" spans="1:56">
      <c r="A59" s="88" t="s">
        <v>227</v>
      </c>
      <c r="B59" s="170" t="s">
        <v>4287</v>
      </c>
      <c r="C59" s="217">
        <v>0</v>
      </c>
      <c r="D59" s="217">
        <v>2</v>
      </c>
      <c r="E59" s="190">
        <v>5</v>
      </c>
      <c r="F59" s="190">
        <v>4</v>
      </c>
      <c r="G59" s="190">
        <v>5</v>
      </c>
      <c r="H59" s="190">
        <v>31</v>
      </c>
      <c r="I59" s="190">
        <v>40</v>
      </c>
      <c r="J59" s="190">
        <v>40</v>
      </c>
      <c r="K59" s="190">
        <v>36</v>
      </c>
      <c r="L59" s="190">
        <v>43</v>
      </c>
      <c r="M59" s="198" t="s">
        <v>5419</v>
      </c>
      <c r="N59" s="198" t="s">
        <v>5419</v>
      </c>
      <c r="O59" s="198" t="s">
        <v>5419</v>
      </c>
      <c r="P59" s="198" t="s">
        <v>5419</v>
      </c>
      <c r="Q59" s="189"/>
      <c r="R59" s="189" t="s">
        <v>5419</v>
      </c>
      <c r="S59" s="189" t="s">
        <v>5419</v>
      </c>
      <c r="T59" s="198">
        <v>31</v>
      </c>
      <c r="U59" s="224" t="s">
        <v>5623</v>
      </c>
      <c r="V59" s="230" t="s">
        <v>5623</v>
      </c>
      <c r="W59" s="225">
        <v>30</v>
      </c>
      <c r="X59" s="221" t="s">
        <v>852</v>
      </c>
      <c r="Y59" s="221" t="s">
        <v>5624</v>
      </c>
      <c r="Z59" s="221" t="s">
        <v>3432</v>
      </c>
      <c r="AA59" s="221" t="s">
        <v>5600</v>
      </c>
      <c r="AB59" s="221" t="s">
        <v>5625</v>
      </c>
      <c r="AC59" s="221">
        <v>12</v>
      </c>
      <c r="AD59" s="221">
        <v>10</v>
      </c>
      <c r="AE59" s="221">
        <v>10</v>
      </c>
      <c r="AF59" s="221" t="s">
        <v>5438</v>
      </c>
      <c r="AG59" s="221" t="s">
        <v>5438</v>
      </c>
      <c r="AH59" s="221">
        <v>10</v>
      </c>
      <c r="AI59" s="221">
        <v>10</v>
      </c>
      <c r="AJ59" s="221">
        <v>10</v>
      </c>
      <c r="AK59" s="221">
        <v>10</v>
      </c>
      <c r="AL59" s="221">
        <v>10</v>
      </c>
      <c r="AM59" s="221">
        <v>10</v>
      </c>
      <c r="AN59" s="221" t="e">
        <f>VLOOKUP(B59,正厂竞争者数据汇总!D:CL,25,FALSE)</f>
        <v>#N/A</v>
      </c>
      <c r="BD59" s="202">
        <f>IFERROR(VLOOKUP(B59,Sheet4!A:D,4,FALSE),"")</f>
        <v>10</v>
      </c>
    </row>
    <row r="60" spans="1:56">
      <c r="A60" s="96" t="s">
        <v>159</v>
      </c>
      <c r="B60" s="205"/>
      <c r="C60" s="97"/>
      <c r="D60" s="97"/>
      <c r="E60" s="97"/>
      <c r="AG60" s="200" t="s">
        <v>180</v>
      </c>
      <c r="AH60" s="200" t="s">
        <v>180</v>
      </c>
      <c r="AI60" s="200" t="s">
        <v>180</v>
      </c>
      <c r="AJ60" s="221"/>
      <c r="AK60" s="221"/>
      <c r="AL60" s="221"/>
      <c r="AM60" s="221"/>
      <c r="AN60" s="221"/>
      <c r="BD60" s="202" t="str">
        <f>IFERROR(VLOOKUP(B60,Sheet4!A:D,4,FALSE),"")</f>
        <v/>
      </c>
    </row>
    <row r="61" spans="1:56">
      <c r="A61" s="101" t="s">
        <v>3944</v>
      </c>
      <c r="B61" s="218" t="s">
        <v>207</v>
      </c>
      <c r="C61" s="101"/>
      <c r="D61" s="101"/>
      <c r="E61" s="101"/>
      <c r="F61" s="119"/>
      <c r="AG61" s="200" t="s">
        <v>180</v>
      </c>
      <c r="AH61" s="200" t="s">
        <v>180</v>
      </c>
      <c r="AI61" s="200" t="s">
        <v>180</v>
      </c>
      <c r="AJ61" s="221"/>
      <c r="AK61" s="221"/>
      <c r="AL61" s="221"/>
      <c r="AM61" s="221"/>
      <c r="AN61" s="221"/>
      <c r="BD61" s="202" t="str">
        <f>IFERROR(VLOOKUP(B61,Sheet4!A:D,4,FALSE),"")</f>
        <v/>
      </c>
    </row>
    <row r="62" spans="1:56">
      <c r="A62" s="89" t="s">
        <v>4363</v>
      </c>
      <c r="B62" s="164" t="s">
        <v>562</v>
      </c>
      <c r="E62" s="189" t="s">
        <v>5419</v>
      </c>
      <c r="F62" s="189" t="s">
        <v>5419</v>
      </c>
      <c r="G62" s="208" t="s">
        <v>5419</v>
      </c>
      <c r="H62" s="208" t="s">
        <v>5419</v>
      </c>
      <c r="I62" s="208" t="s">
        <v>5419</v>
      </c>
      <c r="J62" s="189" t="s">
        <v>5419</v>
      </c>
      <c r="K62" s="189" t="s">
        <v>5419</v>
      </c>
      <c r="L62" s="189" t="s">
        <v>5419</v>
      </c>
      <c r="M62" s="189" t="s">
        <v>5419</v>
      </c>
      <c r="N62" s="189" t="s">
        <v>5419</v>
      </c>
      <c r="O62" s="189" t="s">
        <v>5419</v>
      </c>
      <c r="P62" s="221"/>
      <c r="Q62" s="189" t="s">
        <v>5419</v>
      </c>
      <c r="R62" s="189" t="s">
        <v>5419</v>
      </c>
      <c r="S62" s="189" t="s">
        <v>5419</v>
      </c>
      <c r="T62" s="189">
        <v>1607</v>
      </c>
      <c r="U62" s="224" t="s">
        <v>5626</v>
      </c>
      <c r="V62" s="225" t="s">
        <v>5627</v>
      </c>
      <c r="W62" s="225">
        <v>1580</v>
      </c>
      <c r="X62" s="221" t="s">
        <v>5628</v>
      </c>
      <c r="Y62" s="221" t="s">
        <v>5629</v>
      </c>
      <c r="Z62" s="221" t="s">
        <v>5630</v>
      </c>
      <c r="AA62" s="221" t="s">
        <v>5631</v>
      </c>
      <c r="AB62" s="221" t="s">
        <v>5632</v>
      </c>
      <c r="AC62" s="221">
        <v>1679</v>
      </c>
      <c r="AD62" s="221">
        <v>1962</v>
      </c>
      <c r="AE62" s="221">
        <v>2415</v>
      </c>
      <c r="AF62" s="221" t="s">
        <v>2884</v>
      </c>
      <c r="AG62" s="221" t="s">
        <v>5633</v>
      </c>
      <c r="AH62" s="221">
        <v>3468</v>
      </c>
      <c r="AI62" s="221">
        <v>4241</v>
      </c>
      <c r="AJ62" s="221">
        <v>4132</v>
      </c>
      <c r="AK62" s="221">
        <v>4132</v>
      </c>
      <c r="AL62" s="221">
        <v>4015</v>
      </c>
      <c r="AM62" s="221">
        <v>3893</v>
      </c>
      <c r="AN62" s="221">
        <f>VLOOKUP(B62,正厂竞争者数据汇总!D:CL,25,FALSE)</f>
        <v>269330</v>
      </c>
      <c r="BD62" s="202">
        <f>IFERROR(VLOOKUP(B62,Sheet4!A:D,4,FALSE),"")</f>
        <v>4241</v>
      </c>
    </row>
    <row r="63" spans="1:56">
      <c r="A63" s="88" t="s">
        <v>227</v>
      </c>
      <c r="B63" s="178" t="s">
        <v>557</v>
      </c>
      <c r="C63" s="219">
        <v>214</v>
      </c>
      <c r="D63" s="219">
        <v>243</v>
      </c>
      <c r="E63" s="190">
        <v>268</v>
      </c>
      <c r="F63" s="190">
        <v>286</v>
      </c>
      <c r="G63" s="190">
        <v>325</v>
      </c>
      <c r="H63" s="190">
        <v>658</v>
      </c>
      <c r="I63" s="190">
        <v>890</v>
      </c>
      <c r="J63" s="190">
        <v>954</v>
      </c>
      <c r="K63" s="190" t="s">
        <v>5295</v>
      </c>
      <c r="L63" s="190" t="s">
        <v>5358</v>
      </c>
      <c r="M63" s="190" t="s">
        <v>5283</v>
      </c>
      <c r="N63" s="190" t="s">
        <v>5634</v>
      </c>
      <c r="O63" s="190" t="s">
        <v>5635</v>
      </c>
      <c r="P63" s="190" t="s">
        <v>5282</v>
      </c>
      <c r="Q63" s="190" t="s">
        <v>5281</v>
      </c>
      <c r="R63" s="190" t="s">
        <v>5282</v>
      </c>
      <c r="S63" s="190" t="s">
        <v>5282</v>
      </c>
      <c r="T63" s="190">
        <v>1591</v>
      </c>
      <c r="U63" s="224" t="s">
        <v>5636</v>
      </c>
      <c r="V63" s="225" t="s">
        <v>5637</v>
      </c>
      <c r="W63" s="225">
        <v>1550</v>
      </c>
      <c r="X63" s="221" t="s">
        <v>3408</v>
      </c>
      <c r="Y63" s="221" t="s">
        <v>5638</v>
      </c>
      <c r="Z63" s="221" t="s">
        <v>5639</v>
      </c>
      <c r="AA63" s="221" t="s">
        <v>5640</v>
      </c>
      <c r="AB63" s="221" t="s">
        <v>5641</v>
      </c>
      <c r="AC63" s="221">
        <v>1577</v>
      </c>
      <c r="AD63" s="221">
        <v>1917</v>
      </c>
      <c r="AE63" s="221">
        <v>2440</v>
      </c>
      <c r="AF63" s="221" t="s">
        <v>3747</v>
      </c>
      <c r="AG63" s="221" t="s">
        <v>5642</v>
      </c>
      <c r="AH63" s="221">
        <v>3743</v>
      </c>
      <c r="AI63" s="221">
        <v>4459</v>
      </c>
      <c r="AJ63" s="221">
        <v>4629</v>
      </c>
      <c r="AK63" s="221">
        <v>4629</v>
      </c>
      <c r="AL63" s="221">
        <v>5269</v>
      </c>
      <c r="AM63" s="221">
        <v>5093</v>
      </c>
      <c r="AN63" s="221" t="e">
        <f>VLOOKUP(B63,正厂竞争者数据汇总!D:CL,25,FALSE)</f>
        <v>#N/A</v>
      </c>
      <c r="BD63" s="202">
        <f>IFERROR(VLOOKUP(B63,Sheet4!A:D,4,FALSE),"")</f>
        <v>4459</v>
      </c>
    </row>
    <row r="64" spans="1:56">
      <c r="A64" s="89" t="s">
        <v>230</v>
      </c>
      <c r="B64" s="165" t="s">
        <v>560</v>
      </c>
      <c r="C64" s="212">
        <v>549</v>
      </c>
      <c r="D64" s="212">
        <v>459</v>
      </c>
      <c r="E64" s="189">
        <v>478</v>
      </c>
      <c r="F64" s="189">
        <v>491</v>
      </c>
      <c r="G64" s="189">
        <v>462</v>
      </c>
      <c r="H64" s="189">
        <v>537</v>
      </c>
      <c r="I64" s="189">
        <v>835</v>
      </c>
      <c r="J64" s="189">
        <v>960</v>
      </c>
      <c r="K64" s="189" t="s">
        <v>5279</v>
      </c>
      <c r="L64" s="189" t="s">
        <v>5295</v>
      </c>
      <c r="M64" s="189" t="s">
        <v>5295</v>
      </c>
      <c r="N64" s="189" t="s">
        <v>5280</v>
      </c>
      <c r="O64" s="189" t="s">
        <v>5280</v>
      </c>
      <c r="P64" s="189" t="s">
        <v>5280</v>
      </c>
      <c r="Q64" s="189" t="s">
        <v>5295</v>
      </c>
      <c r="R64" s="189" t="s">
        <v>5279</v>
      </c>
      <c r="S64" s="189" t="s">
        <v>5280</v>
      </c>
      <c r="T64" s="189">
        <v>1394</v>
      </c>
      <c r="U64" s="224" t="s">
        <v>5452</v>
      </c>
      <c r="V64" s="225" t="s">
        <v>3826</v>
      </c>
      <c r="W64" s="225">
        <v>1324</v>
      </c>
      <c r="X64" s="221" t="s">
        <v>5643</v>
      </c>
      <c r="Y64" s="221" t="s">
        <v>5644</v>
      </c>
      <c r="Z64" s="221" t="s">
        <v>5645</v>
      </c>
      <c r="AA64" s="221" t="s">
        <v>5646</v>
      </c>
      <c r="AB64" s="221" t="s">
        <v>5647</v>
      </c>
      <c r="AC64" s="221">
        <v>1080</v>
      </c>
      <c r="AD64" s="221">
        <v>1098</v>
      </c>
      <c r="AE64" s="221">
        <v>1213</v>
      </c>
      <c r="AF64" s="221" t="s">
        <v>2871</v>
      </c>
      <c r="AG64" s="221" t="s">
        <v>5648</v>
      </c>
      <c r="AH64" s="221">
        <v>1256</v>
      </c>
      <c r="AI64" s="221">
        <v>1256</v>
      </c>
      <c r="AJ64" s="221">
        <v>1236</v>
      </c>
      <c r="AK64" s="221">
        <v>1195</v>
      </c>
      <c r="AL64" s="221">
        <v>1235</v>
      </c>
      <c r="AM64" s="221">
        <v>1243</v>
      </c>
      <c r="AN64" s="221" t="e">
        <f>VLOOKUP(B64,正厂竞争者数据汇总!D:CL,25,FALSE)</f>
        <v>#N/A</v>
      </c>
      <c r="BD64" s="202">
        <f>IFERROR(VLOOKUP(B64,Sheet4!A:D,4,FALSE),"")</f>
        <v>1256</v>
      </c>
    </row>
    <row r="65" spans="1:56">
      <c r="A65" s="89" t="s">
        <v>243</v>
      </c>
      <c r="B65" s="179" t="s">
        <v>4391</v>
      </c>
      <c r="C65" s="231">
        <v>45</v>
      </c>
      <c r="D65" s="231">
        <v>64</v>
      </c>
      <c r="E65" s="189">
        <v>70</v>
      </c>
      <c r="F65" s="189">
        <v>79</v>
      </c>
      <c r="G65" s="189">
        <v>85</v>
      </c>
      <c r="H65" s="189">
        <v>104</v>
      </c>
      <c r="I65" s="189">
        <v>126</v>
      </c>
      <c r="J65" s="189">
        <v>132</v>
      </c>
      <c r="K65" s="189">
        <v>114</v>
      </c>
      <c r="L65" s="189">
        <v>120</v>
      </c>
      <c r="M65" s="189">
        <v>117</v>
      </c>
      <c r="N65" s="189">
        <v>108</v>
      </c>
      <c r="O65" s="189">
        <v>99</v>
      </c>
      <c r="P65" s="189">
        <v>84</v>
      </c>
      <c r="Q65" s="189">
        <v>82</v>
      </c>
      <c r="R65" s="189">
        <v>78</v>
      </c>
      <c r="S65" s="189">
        <v>117</v>
      </c>
      <c r="T65" s="189">
        <v>165</v>
      </c>
      <c r="U65" s="224" t="s">
        <v>5649</v>
      </c>
      <c r="V65" s="225" t="s">
        <v>5650</v>
      </c>
      <c r="W65" s="225">
        <v>216</v>
      </c>
      <c r="X65" s="221" t="s">
        <v>5561</v>
      </c>
      <c r="Y65" s="221" t="s">
        <v>5651</v>
      </c>
      <c r="Z65" s="221" t="s">
        <v>5652</v>
      </c>
      <c r="AA65" s="221" t="s">
        <v>5653</v>
      </c>
      <c r="AB65" s="221" t="s">
        <v>5616</v>
      </c>
      <c r="AC65" s="221">
        <v>118</v>
      </c>
      <c r="AD65" s="221">
        <v>113</v>
      </c>
      <c r="AE65" s="221">
        <v>102</v>
      </c>
      <c r="AF65" s="221" t="s">
        <v>5654</v>
      </c>
      <c r="AG65" s="221" t="s">
        <v>5655</v>
      </c>
      <c r="AH65" s="221">
        <v>72</v>
      </c>
      <c r="AI65" s="221">
        <v>72</v>
      </c>
      <c r="AJ65" s="221">
        <v>59</v>
      </c>
      <c r="AK65" s="221">
        <v>59</v>
      </c>
      <c r="AL65" s="221">
        <v>56</v>
      </c>
      <c r="AM65" s="221">
        <v>53</v>
      </c>
      <c r="AN65" s="221" t="e">
        <f>VLOOKUP(B65,正厂竞争者数据汇总!D:CL,25,FALSE)</f>
        <v>#N/A</v>
      </c>
      <c r="BD65" s="202">
        <f>IFERROR(VLOOKUP(B65,Sheet4!A:D,4,FALSE),"")</f>
        <v>72</v>
      </c>
    </row>
    <row r="66" spans="1:56">
      <c r="A66" s="89" t="s">
        <v>367</v>
      </c>
      <c r="B66" s="165" t="s">
        <v>5225</v>
      </c>
      <c r="C66" s="211">
        <v>48</v>
      </c>
      <c r="D66" s="211">
        <v>64</v>
      </c>
      <c r="E66" s="189">
        <v>67</v>
      </c>
      <c r="F66" s="189">
        <v>79</v>
      </c>
      <c r="G66" s="189">
        <v>73</v>
      </c>
      <c r="H66" s="189">
        <v>262</v>
      </c>
      <c r="I66" s="189">
        <v>347</v>
      </c>
      <c r="J66" s="189">
        <v>365</v>
      </c>
      <c r="K66" s="189">
        <v>379</v>
      </c>
      <c r="L66" s="189">
        <v>485</v>
      </c>
      <c r="M66" s="189">
        <v>645</v>
      </c>
      <c r="N66" s="189">
        <v>639</v>
      </c>
      <c r="O66" s="189">
        <v>639</v>
      </c>
      <c r="P66" s="189">
        <v>597</v>
      </c>
      <c r="Q66" s="189">
        <v>500</v>
      </c>
      <c r="R66" s="189">
        <v>513</v>
      </c>
      <c r="S66" s="189">
        <v>746</v>
      </c>
      <c r="T66" s="189">
        <v>743</v>
      </c>
      <c r="U66" s="224" t="s">
        <v>5656</v>
      </c>
      <c r="V66" s="225" t="s">
        <v>5657</v>
      </c>
      <c r="W66" s="225">
        <v>698</v>
      </c>
      <c r="X66" s="221" t="s">
        <v>1582</v>
      </c>
      <c r="Y66" s="221" t="s">
        <v>5658</v>
      </c>
      <c r="Z66" s="221" t="s">
        <v>3366</v>
      </c>
      <c r="AA66" s="221" t="s">
        <v>5659</v>
      </c>
      <c r="AB66" s="221" t="s">
        <v>1576</v>
      </c>
      <c r="AC66" s="221">
        <v>725</v>
      </c>
      <c r="AD66" s="221">
        <v>908</v>
      </c>
      <c r="AE66" s="221">
        <v>940</v>
      </c>
      <c r="AF66" s="221" t="s">
        <v>5660</v>
      </c>
      <c r="AG66" s="221" t="s">
        <v>5515</v>
      </c>
      <c r="AH66" s="221">
        <v>762</v>
      </c>
      <c r="AI66" s="221">
        <v>796</v>
      </c>
      <c r="AJ66" s="221">
        <v>514</v>
      </c>
      <c r="AK66" s="221">
        <v>514</v>
      </c>
      <c r="AL66" s="221">
        <v>387</v>
      </c>
      <c r="AM66" s="221">
        <v>277</v>
      </c>
      <c r="AN66" s="221" t="e">
        <f>VLOOKUP(B66,正厂竞争者数据汇总!D:CL,25,FALSE)</f>
        <v>#N/A</v>
      </c>
      <c r="BD66" s="202">
        <f>IFERROR(VLOOKUP(B66,Sheet4!A:D,4,FALSE),"")</f>
        <v>796</v>
      </c>
    </row>
    <row r="67" spans="2:56">
      <c r="B67" s="164" t="s">
        <v>4399</v>
      </c>
      <c r="C67" s="232" t="s">
        <v>5419</v>
      </c>
      <c r="D67" s="232" t="s">
        <v>5419</v>
      </c>
      <c r="E67" s="189">
        <v>148</v>
      </c>
      <c r="F67" s="189">
        <v>154</v>
      </c>
      <c r="G67" s="189">
        <v>179</v>
      </c>
      <c r="H67" s="189">
        <v>391</v>
      </c>
      <c r="I67" s="189">
        <v>508</v>
      </c>
      <c r="J67" s="189">
        <v>554</v>
      </c>
      <c r="K67" s="189">
        <v>605</v>
      </c>
      <c r="L67" s="189">
        <v>834</v>
      </c>
      <c r="M67" s="189">
        <v>984</v>
      </c>
      <c r="N67" s="189">
        <v>976</v>
      </c>
      <c r="O67" s="189">
        <v>968</v>
      </c>
      <c r="P67" s="189">
        <v>901</v>
      </c>
      <c r="Q67" s="189">
        <v>827</v>
      </c>
      <c r="R67" s="189">
        <v>733</v>
      </c>
      <c r="S67" s="189">
        <v>622</v>
      </c>
      <c r="T67" s="189">
        <v>580</v>
      </c>
      <c r="U67" s="224" t="s">
        <v>5661</v>
      </c>
      <c r="V67" s="225" t="s">
        <v>5662</v>
      </c>
      <c r="W67" s="225">
        <v>278</v>
      </c>
      <c r="X67" s="221" t="s">
        <v>3293</v>
      </c>
      <c r="Y67" s="221" t="s">
        <v>5663</v>
      </c>
      <c r="Z67" s="221" t="s">
        <v>5664</v>
      </c>
      <c r="AA67" s="221" t="s">
        <v>5665</v>
      </c>
      <c r="AB67" s="221" t="s">
        <v>5666</v>
      </c>
      <c r="AC67" s="221">
        <v>123</v>
      </c>
      <c r="AD67" s="221">
        <v>118</v>
      </c>
      <c r="AE67" s="221">
        <v>119</v>
      </c>
      <c r="AF67" s="221" t="s">
        <v>5434</v>
      </c>
      <c r="AG67" s="221" t="s">
        <v>5434</v>
      </c>
      <c r="AH67" s="221">
        <v>118</v>
      </c>
      <c r="AI67" s="221">
        <v>114</v>
      </c>
      <c r="AJ67" s="221">
        <v>105</v>
      </c>
      <c r="AK67" s="221">
        <v>92</v>
      </c>
      <c r="AL67" s="221">
        <v>87</v>
      </c>
      <c r="AM67" s="221">
        <v>88</v>
      </c>
      <c r="AN67" s="221" t="e">
        <f>VLOOKUP(B67,正厂竞争者数据汇总!D:CL,25,FALSE)</f>
        <v>#N/A</v>
      </c>
      <c r="BD67" s="202">
        <f>IFERROR(VLOOKUP(B67,Sheet4!A:D,4,FALSE),"")</f>
        <v>114</v>
      </c>
    </row>
    <row r="68" spans="1:56">
      <c r="A68" s="89" t="s">
        <v>230</v>
      </c>
      <c r="B68" s="164" t="s">
        <v>563</v>
      </c>
      <c r="C68" s="232" t="s">
        <v>5419</v>
      </c>
      <c r="D68" s="232" t="s">
        <v>5419</v>
      </c>
      <c r="E68" s="189">
        <v>24</v>
      </c>
      <c r="F68" s="189">
        <v>29</v>
      </c>
      <c r="G68" s="189">
        <v>26</v>
      </c>
      <c r="H68" s="189">
        <v>43</v>
      </c>
      <c r="I68" s="189">
        <v>55</v>
      </c>
      <c r="J68" s="189">
        <v>60</v>
      </c>
      <c r="K68" s="189">
        <v>57</v>
      </c>
      <c r="L68" s="189">
        <v>71</v>
      </c>
      <c r="M68" s="189">
        <v>70</v>
      </c>
      <c r="N68" s="189">
        <v>77</v>
      </c>
      <c r="O68" s="189">
        <v>77</v>
      </c>
      <c r="P68" s="189">
        <v>78</v>
      </c>
      <c r="Q68" s="189">
        <v>75</v>
      </c>
      <c r="R68" s="189">
        <v>80</v>
      </c>
      <c r="S68" s="189">
        <v>156</v>
      </c>
      <c r="T68" s="189">
        <v>196</v>
      </c>
      <c r="U68" s="224" t="s">
        <v>5667</v>
      </c>
      <c r="V68" s="225" t="s">
        <v>3726</v>
      </c>
      <c r="W68" s="225">
        <v>260</v>
      </c>
      <c r="X68" s="221" t="s">
        <v>5668</v>
      </c>
      <c r="Y68" s="221" t="s">
        <v>3727</v>
      </c>
      <c r="Z68" s="221" t="s">
        <v>5669</v>
      </c>
      <c r="AA68" s="221" t="s">
        <v>3293</v>
      </c>
      <c r="AB68" s="221" t="s">
        <v>5670</v>
      </c>
      <c r="AC68" s="221">
        <v>252</v>
      </c>
      <c r="AD68" s="221">
        <v>249</v>
      </c>
      <c r="AE68" s="221">
        <v>263</v>
      </c>
      <c r="AF68" s="221" t="s">
        <v>3040</v>
      </c>
      <c r="AG68" s="221" t="s">
        <v>5671</v>
      </c>
      <c r="AH68" s="221">
        <v>277</v>
      </c>
      <c r="AI68" s="221">
        <v>277</v>
      </c>
      <c r="AJ68" s="221">
        <v>284</v>
      </c>
      <c r="AK68" s="221">
        <v>267</v>
      </c>
      <c r="AL68" s="221">
        <v>295</v>
      </c>
      <c r="AM68" s="221">
        <v>308</v>
      </c>
      <c r="AN68" s="221" t="e">
        <f>VLOOKUP(B68,正厂竞争者数据汇总!D:CL,25,FALSE)</f>
        <v>#N/A</v>
      </c>
      <c r="BD68" s="202">
        <f>IFERROR(VLOOKUP(B68,Sheet4!A:D,4,FALSE),"")</f>
        <v>277</v>
      </c>
    </row>
    <row r="69" spans="1:56">
      <c r="A69" s="89" t="s">
        <v>230</v>
      </c>
      <c r="B69" s="180" t="s">
        <v>4401</v>
      </c>
      <c r="C69" s="232"/>
      <c r="D69" s="232"/>
      <c r="E69" s="189"/>
      <c r="F69" s="189"/>
      <c r="H69" s="189"/>
      <c r="I69" s="189"/>
      <c r="J69" s="189"/>
      <c r="K69" s="189"/>
      <c r="L69" s="189"/>
      <c r="M69" s="189"/>
      <c r="N69" s="189"/>
      <c r="O69" s="189"/>
      <c r="P69" s="189"/>
      <c r="Q69" s="189"/>
      <c r="R69" s="189" t="s">
        <v>5419</v>
      </c>
      <c r="S69" s="189" t="s">
        <v>5419</v>
      </c>
      <c r="T69" s="189" t="s">
        <v>5419</v>
      </c>
      <c r="U69" s="224">
        <v>309</v>
      </c>
      <c r="V69" s="225" t="s">
        <v>5485</v>
      </c>
      <c r="W69" s="225">
        <v>349</v>
      </c>
      <c r="X69" s="221" t="s">
        <v>5334</v>
      </c>
      <c r="Y69" s="221" t="s">
        <v>5334</v>
      </c>
      <c r="Z69" s="221" t="s">
        <v>5672</v>
      </c>
      <c r="AA69" s="221" t="s">
        <v>5673</v>
      </c>
      <c r="AB69" s="221" t="s">
        <v>5109</v>
      </c>
      <c r="AC69" s="221">
        <v>130</v>
      </c>
      <c r="AD69" s="221">
        <v>120</v>
      </c>
      <c r="AE69" s="221">
        <v>101</v>
      </c>
      <c r="AF69" s="221" t="s">
        <v>5674</v>
      </c>
      <c r="AG69" s="221" t="s">
        <v>5092</v>
      </c>
      <c r="AH69" s="221">
        <v>65</v>
      </c>
      <c r="AI69" s="221">
        <v>63</v>
      </c>
      <c r="AJ69" s="221">
        <v>43</v>
      </c>
      <c r="AK69" s="221">
        <v>43</v>
      </c>
      <c r="AL69" s="221">
        <v>49</v>
      </c>
      <c r="AM69" s="221">
        <v>53</v>
      </c>
      <c r="AN69" s="221" t="e">
        <f>VLOOKUP(B69,正厂竞争者数据汇总!D:CL,25,FALSE)</f>
        <v>#N/A</v>
      </c>
      <c r="BD69" s="202">
        <f>IFERROR(VLOOKUP(B69,Sheet4!A:D,4,FALSE),"")</f>
        <v>63</v>
      </c>
    </row>
    <row r="70" spans="1:56">
      <c r="A70" s="89" t="s">
        <v>230</v>
      </c>
      <c r="B70" s="180" t="s">
        <v>559</v>
      </c>
      <c r="C70" s="232"/>
      <c r="D70" s="232"/>
      <c r="E70" s="189"/>
      <c r="F70" s="189"/>
      <c r="H70" s="189"/>
      <c r="I70" s="189"/>
      <c r="J70" s="189"/>
      <c r="K70" s="189"/>
      <c r="L70" s="189"/>
      <c r="M70" s="189"/>
      <c r="N70" s="189"/>
      <c r="O70" s="189"/>
      <c r="P70" s="189"/>
      <c r="Q70" s="189"/>
      <c r="R70" s="189" t="s">
        <v>5419</v>
      </c>
      <c r="S70" s="189" t="s">
        <v>5419</v>
      </c>
      <c r="T70" s="189" t="s">
        <v>5419</v>
      </c>
      <c r="U70" s="224">
        <v>436</v>
      </c>
      <c r="V70" s="225" t="s">
        <v>5675</v>
      </c>
      <c r="W70" s="225">
        <v>437</v>
      </c>
      <c r="X70" s="221" t="s">
        <v>5335</v>
      </c>
      <c r="Y70" s="221" t="s">
        <v>5676</v>
      </c>
      <c r="Z70" s="221" t="s">
        <v>2828</v>
      </c>
      <c r="AA70" s="221" t="s">
        <v>5677</v>
      </c>
      <c r="AB70" s="221" t="s">
        <v>5469</v>
      </c>
      <c r="AC70" s="221">
        <v>211</v>
      </c>
      <c r="AD70" s="221">
        <v>203</v>
      </c>
      <c r="AE70" s="221">
        <v>233</v>
      </c>
      <c r="AF70" s="221" t="s">
        <v>5678</v>
      </c>
      <c r="AG70" s="221" t="s">
        <v>5468</v>
      </c>
      <c r="AH70" s="221">
        <v>246</v>
      </c>
      <c r="AI70" s="221">
        <v>248</v>
      </c>
      <c r="AJ70" s="221">
        <v>275</v>
      </c>
      <c r="AK70" s="221">
        <v>281</v>
      </c>
      <c r="AL70" s="221">
        <v>304</v>
      </c>
      <c r="AM70" s="221">
        <v>307</v>
      </c>
      <c r="AN70" s="221" t="e">
        <f>VLOOKUP(B70,正厂竞争者数据汇总!D:CL,25,FALSE)</f>
        <v>#N/A</v>
      </c>
      <c r="BD70" s="202">
        <f>IFERROR(VLOOKUP(B70,Sheet4!A:D,4,FALSE),"")</f>
        <v>248</v>
      </c>
    </row>
    <row r="71" spans="1:56">
      <c r="A71" s="89" t="s">
        <v>230</v>
      </c>
      <c r="B71" s="165" t="s">
        <v>558</v>
      </c>
      <c r="C71" s="211" t="s">
        <v>5419</v>
      </c>
      <c r="D71" s="211" t="s">
        <v>5419</v>
      </c>
      <c r="E71" s="189" t="s">
        <v>5419</v>
      </c>
      <c r="F71" s="189" t="e">
        <v>#REF!</v>
      </c>
      <c r="G71" s="189">
        <v>21</v>
      </c>
      <c r="H71" s="189">
        <v>34</v>
      </c>
      <c r="I71" s="189">
        <v>60</v>
      </c>
      <c r="J71" s="189">
        <v>62</v>
      </c>
      <c r="K71" s="189">
        <v>65</v>
      </c>
      <c r="L71" s="189">
        <v>80</v>
      </c>
      <c r="M71" s="189">
        <v>95</v>
      </c>
      <c r="N71" s="189">
        <v>136</v>
      </c>
      <c r="O71" s="189">
        <v>129</v>
      </c>
      <c r="P71" s="189">
        <v>127</v>
      </c>
      <c r="Q71" s="189">
        <v>125</v>
      </c>
      <c r="R71" s="189">
        <v>90</v>
      </c>
      <c r="S71" s="189">
        <v>264</v>
      </c>
      <c r="T71" s="189">
        <v>308</v>
      </c>
      <c r="U71" s="224" t="s">
        <v>5334</v>
      </c>
      <c r="V71" s="225" t="s">
        <v>5354</v>
      </c>
      <c r="W71" s="225">
        <v>392</v>
      </c>
      <c r="X71" s="221" t="s">
        <v>5606</v>
      </c>
      <c r="Y71" s="221" t="s">
        <v>5676</v>
      </c>
      <c r="Z71" s="221" t="s">
        <v>1179</v>
      </c>
      <c r="AA71" s="221" t="s">
        <v>5466</v>
      </c>
      <c r="AB71" s="221" t="s">
        <v>5679</v>
      </c>
      <c r="AC71" s="221">
        <v>299</v>
      </c>
      <c r="AD71" s="221">
        <v>303</v>
      </c>
      <c r="AE71" s="221">
        <v>321</v>
      </c>
      <c r="AF71" s="221" t="s">
        <v>5680</v>
      </c>
      <c r="AG71" s="221" t="s">
        <v>1827</v>
      </c>
      <c r="AH71" s="221">
        <v>312</v>
      </c>
      <c r="AI71" s="221">
        <v>311</v>
      </c>
      <c r="AJ71" s="221">
        <v>300</v>
      </c>
      <c r="AK71" s="221">
        <v>300</v>
      </c>
      <c r="AL71" s="221">
        <v>343</v>
      </c>
      <c r="AM71" s="221">
        <v>359</v>
      </c>
      <c r="AN71" s="221" t="e">
        <f>VLOOKUP(B71,正厂竞争者数据汇总!D:CL,25,FALSE)</f>
        <v>#N/A</v>
      </c>
      <c r="BD71" s="202">
        <f>IFERROR(VLOOKUP(B71,Sheet4!A:D,4,FALSE),"")</f>
        <v>311</v>
      </c>
    </row>
    <row r="72" spans="1:56">
      <c r="A72" s="88" t="s">
        <v>227</v>
      </c>
      <c r="B72" s="233" t="s">
        <v>5681</v>
      </c>
      <c r="C72" s="234">
        <v>75</v>
      </c>
      <c r="D72" s="234">
        <v>26</v>
      </c>
      <c r="E72" s="190">
        <v>40</v>
      </c>
      <c r="F72" s="189"/>
      <c r="G72" s="190"/>
      <c r="H72" s="190">
        <v>357</v>
      </c>
      <c r="I72" s="190" t="s">
        <v>5682</v>
      </c>
      <c r="J72" s="189" t="s">
        <v>5419</v>
      </c>
      <c r="K72" s="189" t="s">
        <v>5419</v>
      </c>
      <c r="L72" s="189" t="s">
        <v>5419</v>
      </c>
      <c r="M72" s="189" t="s">
        <v>5419</v>
      </c>
      <c r="N72" s="189" t="s">
        <v>5419</v>
      </c>
      <c r="O72" s="189" t="s">
        <v>5419</v>
      </c>
      <c r="P72" s="189" t="s">
        <v>5419</v>
      </c>
      <c r="Q72" s="189" t="s">
        <v>5419</v>
      </c>
      <c r="R72" s="189" t="s">
        <v>5419</v>
      </c>
      <c r="S72" s="189" t="s">
        <v>5419</v>
      </c>
      <c r="T72" s="189" t="s">
        <v>5419</v>
      </c>
      <c r="U72" s="224" t="s">
        <v>5419</v>
      </c>
      <c r="V72" s="225" t="s">
        <v>5419</v>
      </c>
      <c r="W72" s="225" t="s">
        <v>5419</v>
      </c>
      <c r="X72" s="225" t="s">
        <v>5419</v>
      </c>
      <c r="Y72" s="225" t="s">
        <v>5419</v>
      </c>
      <c r="Z72" s="225" t="s">
        <v>5419</v>
      </c>
      <c r="AA72" s="221" t="s">
        <v>5419</v>
      </c>
      <c r="AB72" s="221" t="s">
        <v>5419</v>
      </c>
      <c r="AC72" s="221" t="s">
        <v>5419</v>
      </c>
      <c r="AD72" s="221" t="s">
        <v>5419</v>
      </c>
      <c r="AE72" s="221" t="s">
        <v>5419</v>
      </c>
      <c r="AF72" s="221"/>
      <c r="AG72" s="221" t="s">
        <v>180</v>
      </c>
      <c r="AH72" s="221" t="s">
        <v>180</v>
      </c>
      <c r="AI72" s="221" t="s">
        <v>180</v>
      </c>
      <c r="AJ72" s="221"/>
      <c r="AK72" s="221"/>
      <c r="AL72" s="221"/>
      <c r="AM72" s="221"/>
      <c r="AN72" s="221"/>
      <c r="BD72" s="202" t="str">
        <f>IFERROR(VLOOKUP(B72,Sheet4!A:D,4,FALSE),"")</f>
        <v/>
      </c>
    </row>
    <row r="73" spans="1:56">
      <c r="A73" s="96" t="s">
        <v>156</v>
      </c>
      <c r="B73" s="205"/>
      <c r="C73" s="97"/>
      <c r="D73" s="97"/>
      <c r="E73" s="97"/>
      <c r="AG73" s="200" t="s">
        <v>180</v>
      </c>
      <c r="AH73" s="200" t="s">
        <v>180</v>
      </c>
      <c r="AI73" s="200" t="s">
        <v>180</v>
      </c>
      <c r="AJ73" s="221"/>
      <c r="AK73" s="221"/>
      <c r="AL73" s="221"/>
      <c r="AM73" s="221"/>
      <c r="AN73" s="221"/>
      <c r="BD73" s="202" t="str">
        <f>IFERROR(VLOOKUP(B73,Sheet4!A:D,4,FALSE),"")</f>
        <v/>
      </c>
    </row>
    <row r="74" spans="1:56">
      <c r="A74" s="101" t="s">
        <v>3944</v>
      </c>
      <c r="B74" s="171" t="s">
        <v>207</v>
      </c>
      <c r="C74" s="102"/>
      <c r="D74" s="102"/>
      <c r="E74" s="102"/>
      <c r="F74" s="119"/>
      <c r="AG74" s="200" t="s">
        <v>180</v>
      </c>
      <c r="AH74" s="200" t="s">
        <v>180</v>
      </c>
      <c r="AI74" s="200" t="s">
        <v>180</v>
      </c>
      <c r="AJ74" s="221"/>
      <c r="AK74" s="221"/>
      <c r="AL74" s="221"/>
      <c r="AM74" s="221"/>
      <c r="AN74" s="221"/>
      <c r="BD74" s="202" t="str">
        <f>IFERROR(VLOOKUP(B74,Sheet4!A:D,4,FALSE),"")</f>
        <v/>
      </c>
    </row>
    <row r="75" spans="1:56">
      <c r="A75" s="88" t="s">
        <v>227</v>
      </c>
      <c r="B75" s="170" t="s">
        <v>564</v>
      </c>
      <c r="C75" s="210">
        <v>126</v>
      </c>
      <c r="D75" s="210">
        <v>152</v>
      </c>
      <c r="E75" s="190">
        <v>170</v>
      </c>
      <c r="F75" s="190">
        <v>189</v>
      </c>
      <c r="G75" s="190">
        <v>207</v>
      </c>
      <c r="H75" s="190">
        <v>503</v>
      </c>
      <c r="I75" s="190">
        <v>670</v>
      </c>
      <c r="J75" s="190">
        <v>710</v>
      </c>
      <c r="K75" s="190">
        <v>821</v>
      </c>
      <c r="L75" s="190" t="s">
        <v>5407</v>
      </c>
      <c r="M75" s="190" t="s">
        <v>5295</v>
      </c>
      <c r="N75" s="190" t="s">
        <v>5295</v>
      </c>
      <c r="O75" s="190" t="s">
        <v>5295</v>
      </c>
      <c r="P75" s="190" t="s">
        <v>5279</v>
      </c>
      <c r="Q75" s="190" t="s">
        <v>5279</v>
      </c>
      <c r="R75" s="190" t="s">
        <v>5279</v>
      </c>
      <c r="S75" s="190" t="s">
        <v>5295</v>
      </c>
      <c r="T75" s="190">
        <v>1228</v>
      </c>
      <c r="U75" s="224" t="s">
        <v>5683</v>
      </c>
      <c r="V75" s="221" t="s">
        <v>5684</v>
      </c>
      <c r="W75" s="225">
        <v>1306</v>
      </c>
      <c r="X75" s="221" t="s">
        <v>5685</v>
      </c>
      <c r="Y75" s="221" t="s">
        <v>5686</v>
      </c>
      <c r="Z75" s="221" t="s">
        <v>5687</v>
      </c>
      <c r="AA75" s="221" t="s">
        <v>5688</v>
      </c>
      <c r="AB75" s="221" t="s">
        <v>5689</v>
      </c>
      <c r="AC75" s="221">
        <v>1391</v>
      </c>
      <c r="AD75" s="221">
        <v>1715</v>
      </c>
      <c r="AE75" s="221">
        <v>2217</v>
      </c>
      <c r="AF75" s="221" t="s">
        <v>5690</v>
      </c>
      <c r="AG75" s="221" t="s">
        <v>5311</v>
      </c>
      <c r="AH75" s="221">
        <v>3475</v>
      </c>
      <c r="AI75" s="221">
        <v>4189</v>
      </c>
      <c r="AJ75" s="221">
        <v>4319</v>
      </c>
      <c r="AK75" s="221">
        <v>4319</v>
      </c>
      <c r="AL75" s="221">
        <v>4778</v>
      </c>
      <c r="AM75" s="221">
        <v>4600</v>
      </c>
      <c r="AN75" s="221" t="e">
        <f>VLOOKUP(B75,正厂竞争者数据汇总!D:CL,25,FALSE)</f>
        <v>#N/A</v>
      </c>
      <c r="BD75" s="202">
        <f>IFERROR(VLOOKUP(B75,Sheet4!A:D,4,FALSE),"")</f>
        <v>4189</v>
      </c>
    </row>
    <row r="76" spans="1:56">
      <c r="A76" s="89" t="s">
        <v>230</v>
      </c>
      <c r="B76" s="165" t="s">
        <v>568</v>
      </c>
      <c r="C76" s="235">
        <v>59</v>
      </c>
      <c r="D76" s="235">
        <v>54</v>
      </c>
      <c r="E76" s="189">
        <v>50</v>
      </c>
      <c r="F76" s="189">
        <v>60</v>
      </c>
      <c r="G76" s="189">
        <v>64</v>
      </c>
      <c r="H76" s="189">
        <v>116</v>
      </c>
      <c r="I76" s="189">
        <v>176</v>
      </c>
      <c r="J76" s="189">
        <v>191</v>
      </c>
      <c r="K76" s="189">
        <v>181</v>
      </c>
      <c r="L76" s="189">
        <v>255</v>
      </c>
      <c r="M76" s="189">
        <v>301</v>
      </c>
      <c r="N76" s="189">
        <v>354</v>
      </c>
      <c r="O76" s="189">
        <v>357</v>
      </c>
      <c r="P76" s="189">
        <v>338</v>
      </c>
      <c r="Q76" s="189">
        <v>329</v>
      </c>
      <c r="R76" s="189">
        <v>267</v>
      </c>
      <c r="S76" s="189">
        <v>513</v>
      </c>
      <c r="T76" s="189">
        <v>593</v>
      </c>
      <c r="U76" s="224" t="s">
        <v>5430</v>
      </c>
      <c r="V76" s="221" t="s">
        <v>5691</v>
      </c>
      <c r="W76" s="225">
        <v>685</v>
      </c>
      <c r="X76" s="221" t="s">
        <v>5692</v>
      </c>
      <c r="Y76" s="221" t="s">
        <v>5693</v>
      </c>
      <c r="Z76" s="221" t="s">
        <v>5694</v>
      </c>
      <c r="AA76" s="221" t="s">
        <v>1916</v>
      </c>
      <c r="AB76" s="221" t="s">
        <v>5695</v>
      </c>
      <c r="AC76" s="221">
        <v>446</v>
      </c>
      <c r="AD76" s="221">
        <v>448</v>
      </c>
      <c r="AE76" s="221">
        <v>459</v>
      </c>
      <c r="AF76" s="221" t="s">
        <v>5696</v>
      </c>
      <c r="AG76" s="221" t="s">
        <v>5697</v>
      </c>
      <c r="AH76" s="221">
        <v>503</v>
      </c>
      <c r="AI76" s="221">
        <v>525</v>
      </c>
      <c r="AJ76" s="221">
        <v>506</v>
      </c>
      <c r="AK76" s="221">
        <v>506</v>
      </c>
      <c r="AL76" s="221">
        <v>555</v>
      </c>
      <c r="AM76" s="221">
        <v>562</v>
      </c>
      <c r="AN76" s="221" t="e">
        <f>VLOOKUP(B76,正厂竞争者数据汇总!D:CL,25,FALSE)</f>
        <v>#N/A</v>
      </c>
      <c r="BD76" s="202">
        <f>IFERROR(VLOOKUP(B76,Sheet4!A:D,4,FALSE),"")</f>
        <v>525</v>
      </c>
    </row>
    <row r="77" spans="1:56">
      <c r="A77" s="89" t="s">
        <v>391</v>
      </c>
      <c r="B77" s="165" t="s">
        <v>565</v>
      </c>
      <c r="C77" s="211">
        <v>101</v>
      </c>
      <c r="D77" s="211">
        <v>126</v>
      </c>
      <c r="E77" s="189">
        <v>113</v>
      </c>
      <c r="F77" s="189">
        <v>115</v>
      </c>
      <c r="G77" s="189">
        <v>97</v>
      </c>
      <c r="H77" s="189">
        <v>200</v>
      </c>
      <c r="I77" s="189">
        <v>262</v>
      </c>
      <c r="J77" s="189">
        <v>275</v>
      </c>
      <c r="K77" s="189">
        <v>314</v>
      </c>
      <c r="L77" s="189">
        <v>389</v>
      </c>
      <c r="M77" s="189">
        <v>488</v>
      </c>
      <c r="N77" s="189">
        <v>516</v>
      </c>
      <c r="O77" s="189">
        <v>495</v>
      </c>
      <c r="P77" s="189">
        <v>480</v>
      </c>
      <c r="Q77" s="189">
        <v>475</v>
      </c>
      <c r="R77" s="189">
        <v>462</v>
      </c>
      <c r="S77" s="189">
        <v>417</v>
      </c>
      <c r="T77" s="189">
        <v>365</v>
      </c>
      <c r="U77" s="224" t="s">
        <v>5698</v>
      </c>
      <c r="V77" s="221" t="s">
        <v>5699</v>
      </c>
      <c r="W77" s="225">
        <v>468</v>
      </c>
      <c r="X77" s="221" t="s">
        <v>5700</v>
      </c>
      <c r="Y77" s="221" t="s">
        <v>5431</v>
      </c>
      <c r="Z77" s="221" t="s">
        <v>3461</v>
      </c>
      <c r="AA77" s="221" t="s">
        <v>5701</v>
      </c>
      <c r="AB77" s="221" t="s">
        <v>5702</v>
      </c>
      <c r="AC77" s="221">
        <v>930</v>
      </c>
      <c r="AD77" s="221">
        <v>1200</v>
      </c>
      <c r="AE77" s="221">
        <v>1651</v>
      </c>
      <c r="AF77" s="221" t="s">
        <v>5703</v>
      </c>
      <c r="AG77" s="221" t="s">
        <v>5704</v>
      </c>
      <c r="AH77" s="221">
        <v>2797</v>
      </c>
      <c r="AI77" s="221">
        <v>3562</v>
      </c>
      <c r="AJ77" s="221">
        <v>3625</v>
      </c>
      <c r="AK77" s="221">
        <v>3625</v>
      </c>
      <c r="AL77" s="221">
        <v>3480</v>
      </c>
      <c r="AM77" s="221">
        <v>3342</v>
      </c>
      <c r="AN77" s="221" t="e">
        <f>VLOOKUP(B77,正厂竞争者数据汇总!D:CL,25,FALSE)</f>
        <v>#N/A</v>
      </c>
      <c r="BD77" s="202">
        <f>IFERROR(VLOOKUP(B77,Sheet4!A:D,4,FALSE),"")</f>
        <v>3562</v>
      </c>
    </row>
    <row r="78" spans="1:56">
      <c r="A78" s="89" t="s">
        <v>391</v>
      </c>
      <c r="B78" s="165" t="s">
        <v>567</v>
      </c>
      <c r="C78" s="211">
        <v>153</v>
      </c>
      <c r="D78" s="211">
        <v>165</v>
      </c>
      <c r="E78" s="189">
        <v>162</v>
      </c>
      <c r="F78" s="189">
        <v>161</v>
      </c>
      <c r="G78" s="189">
        <v>147</v>
      </c>
      <c r="H78" s="189">
        <v>336</v>
      </c>
      <c r="I78" s="189">
        <v>415</v>
      </c>
      <c r="J78" s="189">
        <v>451</v>
      </c>
      <c r="K78" s="189">
        <v>472</v>
      </c>
      <c r="L78" s="189">
        <v>589</v>
      </c>
      <c r="M78" s="189">
        <v>701</v>
      </c>
      <c r="N78" s="189">
        <v>656</v>
      </c>
      <c r="O78" s="189">
        <v>702</v>
      </c>
      <c r="P78" s="189">
        <v>678</v>
      </c>
      <c r="Q78" s="189">
        <v>605</v>
      </c>
      <c r="R78" s="189">
        <v>638</v>
      </c>
      <c r="S78" s="189">
        <v>586</v>
      </c>
      <c r="T78" s="189">
        <v>508</v>
      </c>
      <c r="U78" s="224" t="s">
        <v>5705</v>
      </c>
      <c r="V78" s="221" t="s">
        <v>5706</v>
      </c>
      <c r="W78" s="225">
        <v>564</v>
      </c>
      <c r="X78" s="221" t="s">
        <v>5707</v>
      </c>
      <c r="Y78" s="221" t="s">
        <v>5708</v>
      </c>
      <c r="Z78" s="221" t="s">
        <v>5709</v>
      </c>
      <c r="AA78" s="221" t="s">
        <v>5710</v>
      </c>
      <c r="AB78" s="221" t="s">
        <v>5711</v>
      </c>
      <c r="AC78" s="221">
        <v>993</v>
      </c>
      <c r="AD78" s="221">
        <v>1258</v>
      </c>
      <c r="AE78" s="221">
        <v>1704</v>
      </c>
      <c r="AF78" s="221" t="s">
        <v>5532</v>
      </c>
      <c r="AG78" s="221" t="s">
        <v>3556</v>
      </c>
      <c r="AH78" s="221">
        <v>2891</v>
      </c>
      <c r="AI78" s="221">
        <v>3662</v>
      </c>
      <c r="AJ78" s="221">
        <v>3705</v>
      </c>
      <c r="AK78" s="221">
        <v>3705</v>
      </c>
      <c r="AL78" s="221">
        <v>3637</v>
      </c>
      <c r="AM78" s="221">
        <v>3495</v>
      </c>
      <c r="AN78" s="221" t="e">
        <f>VLOOKUP(B78,正厂竞争者数据汇总!D:CL,25,FALSE)</f>
        <v>#N/A</v>
      </c>
      <c r="BD78" s="202">
        <f>IFERROR(VLOOKUP(B78,Sheet4!A:D,4,FALSE),"")</f>
        <v>3662</v>
      </c>
    </row>
    <row r="79" spans="1:56">
      <c r="A79" s="89" t="s">
        <v>367</v>
      </c>
      <c r="B79" s="165" t="s">
        <v>4425</v>
      </c>
      <c r="C79" s="232">
        <v>88</v>
      </c>
      <c r="D79" s="232">
        <v>93</v>
      </c>
      <c r="E79" s="189">
        <v>89</v>
      </c>
      <c r="F79" s="189">
        <v>108</v>
      </c>
      <c r="G79" s="189">
        <v>87</v>
      </c>
      <c r="H79" s="189">
        <v>335</v>
      </c>
      <c r="I79" s="189">
        <v>442</v>
      </c>
      <c r="J79" s="189">
        <v>454</v>
      </c>
      <c r="K79" s="189">
        <v>555</v>
      </c>
      <c r="L79" s="189">
        <v>706</v>
      </c>
      <c r="M79" s="189">
        <v>883</v>
      </c>
      <c r="N79" s="189">
        <v>893</v>
      </c>
      <c r="O79" s="189">
        <v>862</v>
      </c>
      <c r="P79" s="189">
        <v>798</v>
      </c>
      <c r="Q79" s="189">
        <v>533</v>
      </c>
      <c r="R79" s="189">
        <v>702</v>
      </c>
      <c r="S79" s="189">
        <v>772</v>
      </c>
      <c r="T79" s="189">
        <v>704</v>
      </c>
      <c r="U79" s="224" t="s">
        <v>5712</v>
      </c>
      <c r="V79" s="221" t="s">
        <v>5347</v>
      </c>
      <c r="W79" s="225">
        <v>537</v>
      </c>
      <c r="X79" s="221" t="s">
        <v>5352</v>
      </c>
      <c r="Y79" s="221" t="s">
        <v>5713</v>
      </c>
      <c r="Z79" s="221" t="s">
        <v>5714</v>
      </c>
      <c r="AA79" s="221" t="s">
        <v>5561</v>
      </c>
      <c r="AB79" s="221" t="s">
        <v>5715</v>
      </c>
      <c r="AC79" s="221">
        <v>153</v>
      </c>
      <c r="AD79" s="221">
        <v>143</v>
      </c>
      <c r="AE79" s="221">
        <v>128</v>
      </c>
      <c r="AF79" s="221" t="s">
        <v>5562</v>
      </c>
      <c r="AG79" s="221" t="s">
        <v>5715</v>
      </c>
      <c r="AH79" s="221">
        <v>195</v>
      </c>
      <c r="AI79" s="221">
        <v>196</v>
      </c>
      <c r="AJ79" s="221">
        <v>181</v>
      </c>
      <c r="AK79" s="221">
        <v>181</v>
      </c>
      <c r="AL79" s="221">
        <v>145</v>
      </c>
      <c r="AM79" s="221">
        <v>133</v>
      </c>
      <c r="AN79" s="221" t="e">
        <f>VLOOKUP(B79,正厂竞争者数据汇总!D:CL,25,FALSE)</f>
        <v>#N/A</v>
      </c>
      <c r="BD79" s="202">
        <f>IFERROR(VLOOKUP(B79,Sheet4!A:D,4,FALSE),"")</f>
        <v>196</v>
      </c>
    </row>
    <row r="80" spans="2:56">
      <c r="B80" s="165" t="s">
        <v>4429</v>
      </c>
      <c r="C80" s="189" t="s">
        <v>5419</v>
      </c>
      <c r="D80" s="189" t="s">
        <v>5419</v>
      </c>
      <c r="E80" s="189" t="s">
        <v>5419</v>
      </c>
      <c r="F80" s="189">
        <v>197</v>
      </c>
      <c r="G80" s="189">
        <v>168</v>
      </c>
      <c r="H80" s="189">
        <v>253</v>
      </c>
      <c r="I80" s="189">
        <v>357</v>
      </c>
      <c r="J80" s="189">
        <v>398</v>
      </c>
      <c r="K80" s="189">
        <v>419</v>
      </c>
      <c r="L80" s="189">
        <v>504</v>
      </c>
      <c r="M80" s="189">
        <v>547</v>
      </c>
      <c r="N80" s="189">
        <v>571</v>
      </c>
      <c r="O80" s="189">
        <v>568</v>
      </c>
      <c r="P80" s="189">
        <v>543</v>
      </c>
      <c r="Q80" s="189">
        <v>482</v>
      </c>
      <c r="R80" s="189">
        <v>504</v>
      </c>
      <c r="S80" s="189">
        <v>508</v>
      </c>
      <c r="T80" s="189">
        <v>545</v>
      </c>
      <c r="U80" s="224" t="s">
        <v>5716</v>
      </c>
      <c r="V80" s="221" t="s">
        <v>5717</v>
      </c>
      <c r="W80" s="225">
        <v>621</v>
      </c>
      <c r="X80" s="221" t="s">
        <v>1910</v>
      </c>
      <c r="Y80" s="221" t="s">
        <v>5718</v>
      </c>
      <c r="Z80" s="221" t="s">
        <v>5719</v>
      </c>
      <c r="AA80" s="221" t="s">
        <v>5720</v>
      </c>
      <c r="AB80" s="221" t="s">
        <v>5721</v>
      </c>
      <c r="AC80" s="221">
        <v>593</v>
      </c>
      <c r="AD80" s="221">
        <v>585</v>
      </c>
      <c r="AE80" s="221">
        <v>612</v>
      </c>
      <c r="AF80" s="221" t="s">
        <v>5431</v>
      </c>
      <c r="AG80" s="221" t="s">
        <v>5722</v>
      </c>
      <c r="AH80" s="221">
        <v>644</v>
      </c>
      <c r="AI80" s="221">
        <v>680</v>
      </c>
      <c r="AJ80" s="221">
        <v>799</v>
      </c>
      <c r="AK80" s="221">
        <v>821</v>
      </c>
      <c r="AL80" s="221">
        <v>1162</v>
      </c>
      <c r="AM80" s="221">
        <v>1181</v>
      </c>
      <c r="AN80" s="221" t="e">
        <f>VLOOKUP(B80,正厂竞争者数据汇总!D:CL,25,FALSE)</f>
        <v>#N/A</v>
      </c>
      <c r="BD80" s="202">
        <f>IFERROR(VLOOKUP(B80,Sheet4!A:D,4,FALSE),"")</f>
        <v>680</v>
      </c>
    </row>
    <row r="81" ht="15.6" spans="1:56">
      <c r="A81" s="236" t="s">
        <v>391</v>
      </c>
      <c r="B81" s="165" t="s">
        <v>569</v>
      </c>
      <c r="C81" s="237">
        <v>36</v>
      </c>
      <c r="D81" s="189" t="s">
        <v>5419</v>
      </c>
      <c r="E81" s="189">
        <v>40</v>
      </c>
      <c r="F81" s="189">
        <v>55</v>
      </c>
      <c r="G81" s="189">
        <v>49</v>
      </c>
      <c r="H81" s="189">
        <v>89</v>
      </c>
      <c r="I81" s="189">
        <v>115</v>
      </c>
      <c r="J81" s="189">
        <v>124</v>
      </c>
      <c r="K81" s="189">
        <v>127</v>
      </c>
      <c r="L81" s="189">
        <v>161</v>
      </c>
      <c r="M81" s="189">
        <v>195</v>
      </c>
      <c r="N81" s="189">
        <v>225</v>
      </c>
      <c r="O81" s="189">
        <v>224</v>
      </c>
      <c r="P81" s="189">
        <v>219</v>
      </c>
      <c r="Q81" s="189">
        <v>163</v>
      </c>
      <c r="R81" s="189">
        <v>160</v>
      </c>
      <c r="S81" s="189">
        <v>224</v>
      </c>
      <c r="T81" s="189">
        <v>219</v>
      </c>
      <c r="U81" s="224" t="s">
        <v>5723</v>
      </c>
      <c r="V81" s="221" t="s">
        <v>5601</v>
      </c>
      <c r="W81" s="225">
        <v>396</v>
      </c>
      <c r="X81" s="221" t="s">
        <v>5147</v>
      </c>
      <c r="Y81" s="221" t="s">
        <v>5724</v>
      </c>
      <c r="Z81" s="221" t="s">
        <v>5725</v>
      </c>
      <c r="AA81" s="221" t="s">
        <v>5515</v>
      </c>
      <c r="AB81" s="221" t="s">
        <v>5726</v>
      </c>
      <c r="AC81" s="221">
        <v>918</v>
      </c>
      <c r="AD81" s="221">
        <v>1202</v>
      </c>
      <c r="AE81" s="221">
        <v>1696</v>
      </c>
      <c r="AF81" s="221" t="s">
        <v>5727</v>
      </c>
      <c r="AG81" s="221" t="s">
        <v>5728</v>
      </c>
      <c r="AH81" s="221">
        <v>2843</v>
      </c>
      <c r="AI81" s="221">
        <v>3612</v>
      </c>
      <c r="AJ81" s="221">
        <v>3673</v>
      </c>
      <c r="AK81" s="221">
        <v>3673</v>
      </c>
      <c r="AL81" s="221">
        <v>3530</v>
      </c>
      <c r="AM81" s="221">
        <v>3378</v>
      </c>
      <c r="AN81" s="221" t="e">
        <f>VLOOKUP(B81,正厂竞争者数据汇总!D:CL,25,FALSE)</f>
        <v>#N/A</v>
      </c>
      <c r="BD81" s="202">
        <f>IFERROR(VLOOKUP(B81,Sheet4!A:D,4,FALSE),"")</f>
        <v>3612</v>
      </c>
    </row>
    <row r="82" spans="1:56">
      <c r="A82" s="89" t="s">
        <v>230</v>
      </c>
      <c r="B82" s="164" t="s">
        <v>566</v>
      </c>
      <c r="C82" s="237"/>
      <c r="D82" s="189"/>
      <c r="E82" s="189"/>
      <c r="F82" s="18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AC82" s="221"/>
      <c r="AD82" s="221"/>
      <c r="AE82" s="221"/>
      <c r="AF82" s="221"/>
      <c r="AG82" s="221">
        <v>216</v>
      </c>
      <c r="AH82" s="221">
        <v>235</v>
      </c>
      <c r="AI82" s="221">
        <v>239</v>
      </c>
      <c r="AJ82" s="221">
        <v>249</v>
      </c>
      <c r="AK82" s="221">
        <v>249</v>
      </c>
      <c r="AL82" s="221">
        <v>299</v>
      </c>
      <c r="AM82" s="221">
        <v>305</v>
      </c>
      <c r="AN82" s="221" t="e">
        <f>VLOOKUP(B82,正厂竞争者数据汇总!D:CL,25,FALSE)</f>
        <v>#N/A</v>
      </c>
      <c r="BD82" s="202">
        <f>IFERROR(VLOOKUP(B82,Sheet4!A:D,4,FALSE),"")</f>
        <v>239</v>
      </c>
    </row>
    <row r="83" spans="1:56">
      <c r="A83" s="96" t="s">
        <v>165</v>
      </c>
      <c r="B83" s="205"/>
      <c r="C83" s="97"/>
      <c r="D83" s="97"/>
      <c r="E83" s="97"/>
      <c r="AG83" s="200" t="s">
        <v>180</v>
      </c>
      <c r="AH83" s="200" t="s">
        <v>180</v>
      </c>
      <c r="AI83" s="200" t="s">
        <v>180</v>
      </c>
      <c r="AJ83" s="221"/>
      <c r="AK83" s="221"/>
      <c r="AL83" s="221"/>
      <c r="AM83" s="221"/>
      <c r="AN83" s="221"/>
      <c r="BD83" s="202" t="str">
        <f>IFERROR(VLOOKUP(B83,Sheet4!A:D,4,FALSE),"")</f>
        <v/>
      </c>
    </row>
    <row r="84" spans="1:56">
      <c r="A84" s="101" t="s">
        <v>3944</v>
      </c>
      <c r="B84" s="171" t="s">
        <v>207</v>
      </c>
      <c r="C84" s="102"/>
      <c r="D84" s="102"/>
      <c r="E84" s="102"/>
      <c r="F84" s="119"/>
      <c r="AG84" s="200" t="s">
        <v>180</v>
      </c>
      <c r="AH84" s="200" t="s">
        <v>180</v>
      </c>
      <c r="AI84" s="200" t="s">
        <v>180</v>
      </c>
      <c r="AJ84" s="221"/>
      <c r="AK84" s="221"/>
      <c r="AL84" s="221"/>
      <c r="AM84" s="221"/>
      <c r="AN84" s="221"/>
      <c r="BD84" s="202" t="str">
        <f>IFERROR(VLOOKUP(B84,Sheet4!A:D,4,FALSE),"")</f>
        <v/>
      </c>
    </row>
    <row r="85" spans="1:56">
      <c r="A85" s="89" t="s">
        <v>4435</v>
      </c>
      <c r="B85" s="165" t="s">
        <v>577</v>
      </c>
      <c r="C85" s="189" t="s">
        <v>5419</v>
      </c>
      <c r="D85" s="189" t="s">
        <v>5419</v>
      </c>
      <c r="E85" s="189" t="s">
        <v>5419</v>
      </c>
      <c r="F85" s="189" t="s">
        <v>5419</v>
      </c>
      <c r="G85" s="208" t="s">
        <v>5419</v>
      </c>
      <c r="H85" s="208" t="s">
        <v>5419</v>
      </c>
      <c r="I85" s="208" t="s">
        <v>5419</v>
      </c>
      <c r="J85" s="198" t="s">
        <v>5419</v>
      </c>
      <c r="K85" s="198" t="s">
        <v>5419</v>
      </c>
      <c r="L85" s="198" t="s">
        <v>5419</v>
      </c>
      <c r="M85" s="198" t="s">
        <v>5419</v>
      </c>
      <c r="N85" s="198" t="s">
        <v>5419</v>
      </c>
      <c r="O85" s="198" t="s">
        <v>5419</v>
      </c>
      <c r="P85" s="198"/>
      <c r="Q85" s="221"/>
      <c r="R85" s="198" t="s">
        <v>5419</v>
      </c>
      <c r="S85" s="198" t="s">
        <v>5419</v>
      </c>
      <c r="T85" s="198">
        <v>1165</v>
      </c>
      <c r="U85" s="224" t="s">
        <v>5729</v>
      </c>
      <c r="V85" s="221" t="s">
        <v>5730</v>
      </c>
      <c r="W85" s="225">
        <v>1297</v>
      </c>
      <c r="X85" s="221" t="s">
        <v>5731</v>
      </c>
      <c r="Y85" s="221" t="s">
        <v>5732</v>
      </c>
      <c r="Z85" s="221" t="s">
        <v>5641</v>
      </c>
      <c r="AA85" s="221" t="s">
        <v>5733</v>
      </c>
      <c r="AB85" s="221" t="s">
        <v>5734</v>
      </c>
      <c r="AC85" s="221">
        <v>1718</v>
      </c>
      <c r="AD85" s="221">
        <v>1982</v>
      </c>
      <c r="AE85" s="221">
        <v>2467</v>
      </c>
      <c r="AF85" s="221" t="s">
        <v>5735</v>
      </c>
      <c r="AG85" s="221" t="s">
        <v>5736</v>
      </c>
      <c r="AH85" s="221">
        <v>3741</v>
      </c>
      <c r="AI85" s="221">
        <v>4433</v>
      </c>
      <c r="AJ85" s="221">
        <v>4493</v>
      </c>
      <c r="AK85" s="221">
        <v>4493</v>
      </c>
      <c r="AL85" s="221">
        <v>4581</v>
      </c>
      <c r="AM85" s="221">
        <v>4443</v>
      </c>
      <c r="AN85" s="221">
        <f>VLOOKUP(B85,正厂竞争者数据汇总!D:CL,25,FALSE)</f>
        <v>351431</v>
      </c>
      <c r="BD85" s="202">
        <f>IFERROR(VLOOKUP(B85,Sheet4!A:D,4,FALSE),"")</f>
        <v>4433</v>
      </c>
    </row>
    <row r="86" spans="1:56">
      <c r="A86" s="89" t="s">
        <v>230</v>
      </c>
      <c r="B86" s="165" t="s">
        <v>570</v>
      </c>
      <c r="C86" s="211">
        <v>161</v>
      </c>
      <c r="D86" s="211">
        <v>152</v>
      </c>
      <c r="E86" s="189">
        <v>145</v>
      </c>
      <c r="F86" s="189">
        <v>157</v>
      </c>
      <c r="G86" s="189">
        <v>119</v>
      </c>
      <c r="H86" s="189">
        <v>202</v>
      </c>
      <c r="I86" s="189">
        <v>282</v>
      </c>
      <c r="J86" s="189">
        <v>313</v>
      </c>
      <c r="K86" s="189">
        <v>287</v>
      </c>
      <c r="L86" s="189">
        <v>373</v>
      </c>
      <c r="M86" s="189">
        <v>413</v>
      </c>
      <c r="N86" s="189">
        <v>474</v>
      </c>
      <c r="O86" s="189">
        <v>487</v>
      </c>
      <c r="P86" s="189">
        <v>454</v>
      </c>
      <c r="Q86" s="189">
        <v>442</v>
      </c>
      <c r="R86" s="189">
        <v>463</v>
      </c>
      <c r="S86" s="189">
        <v>624</v>
      </c>
      <c r="T86" s="189">
        <v>729</v>
      </c>
      <c r="U86" s="224" t="s">
        <v>5737</v>
      </c>
      <c r="V86" s="221" t="s">
        <v>5738</v>
      </c>
      <c r="W86" s="225">
        <v>790</v>
      </c>
      <c r="X86" s="221" t="s">
        <v>1728</v>
      </c>
      <c r="Y86" s="221" t="s">
        <v>5514</v>
      </c>
      <c r="Z86" s="221" t="s">
        <v>5739</v>
      </c>
      <c r="AA86" s="221" t="s">
        <v>5740</v>
      </c>
      <c r="AB86" s="221" t="s">
        <v>5741</v>
      </c>
      <c r="AC86" s="221">
        <v>563</v>
      </c>
      <c r="AD86" s="221">
        <v>564</v>
      </c>
      <c r="AE86" s="221">
        <v>593</v>
      </c>
      <c r="AF86" s="221" t="s">
        <v>5742</v>
      </c>
      <c r="AG86" s="221" t="s">
        <v>5418</v>
      </c>
      <c r="AH86" s="221">
        <v>693</v>
      </c>
      <c r="AI86" s="221">
        <v>748</v>
      </c>
      <c r="AJ86" s="221">
        <v>748</v>
      </c>
      <c r="AK86" s="221">
        <v>748</v>
      </c>
      <c r="AL86" s="221">
        <v>817</v>
      </c>
      <c r="AM86" s="221">
        <v>832</v>
      </c>
      <c r="AN86" s="221" t="e">
        <f>VLOOKUP(B86,正厂竞争者数据汇总!D:CL,25,FALSE)</f>
        <v>#N/A</v>
      </c>
      <c r="BD86" s="202">
        <f>IFERROR(VLOOKUP(B86,Sheet4!A:D,4,FALSE),"")</f>
        <v>748</v>
      </c>
    </row>
    <row r="87" spans="1:56">
      <c r="A87" s="89" t="s">
        <v>230</v>
      </c>
      <c r="B87" s="165" t="s">
        <v>573</v>
      </c>
      <c r="C87" s="211" t="s">
        <v>5419</v>
      </c>
      <c r="D87" s="189" t="s">
        <v>5419</v>
      </c>
      <c r="E87" s="189">
        <v>277</v>
      </c>
      <c r="F87" s="189">
        <v>293</v>
      </c>
      <c r="G87" s="189">
        <v>293</v>
      </c>
      <c r="H87" s="189">
        <v>452</v>
      </c>
      <c r="I87" s="189">
        <v>590</v>
      </c>
      <c r="J87" s="189">
        <v>650</v>
      </c>
      <c r="K87" s="189">
        <v>189</v>
      </c>
      <c r="L87" s="189">
        <v>846</v>
      </c>
      <c r="M87" s="189">
        <v>972</v>
      </c>
      <c r="N87" s="189" t="s">
        <v>5407</v>
      </c>
      <c r="O87" s="189" t="s">
        <v>5407</v>
      </c>
      <c r="P87" s="189" t="s">
        <v>5407</v>
      </c>
      <c r="Q87" s="189">
        <v>966</v>
      </c>
      <c r="R87" s="189">
        <v>199</v>
      </c>
      <c r="S87" s="189" t="s">
        <v>5279</v>
      </c>
      <c r="T87" s="189">
        <v>1152</v>
      </c>
      <c r="U87" s="224" t="s">
        <v>5743</v>
      </c>
      <c r="V87" s="221" t="s">
        <v>5744</v>
      </c>
      <c r="W87" s="225">
        <v>1224</v>
      </c>
      <c r="X87" s="221" t="s">
        <v>5745</v>
      </c>
      <c r="Y87" s="221" t="s">
        <v>5746</v>
      </c>
      <c r="Z87" s="221" t="s">
        <v>5747</v>
      </c>
      <c r="AA87" s="221" t="s">
        <v>5748</v>
      </c>
      <c r="AB87" s="221" t="s">
        <v>5749</v>
      </c>
      <c r="AC87" s="221">
        <v>1034</v>
      </c>
      <c r="AD87" s="221">
        <v>1192</v>
      </c>
      <c r="AE87" s="221">
        <v>1234</v>
      </c>
      <c r="AF87" s="221" t="s">
        <v>5687</v>
      </c>
      <c r="AG87" s="221" t="s">
        <v>5750</v>
      </c>
      <c r="AH87" s="221">
        <v>1115</v>
      </c>
      <c r="AI87" s="221">
        <v>1154</v>
      </c>
      <c r="AJ87" s="221">
        <v>899</v>
      </c>
      <c r="AK87" s="221">
        <v>899</v>
      </c>
      <c r="AL87" s="221">
        <v>851</v>
      </c>
      <c r="AM87" s="221">
        <v>815</v>
      </c>
      <c r="AN87" s="221" t="e">
        <f>VLOOKUP(B87,正厂竞争者数据汇总!D:CL,25,FALSE)</f>
        <v>#N/A</v>
      </c>
      <c r="BD87" s="202">
        <f>IFERROR(VLOOKUP(B87,Sheet4!A:D,4,FALSE),"")</f>
        <v>1154</v>
      </c>
    </row>
    <row r="88" spans="1:56">
      <c r="A88" s="89" t="s">
        <v>230</v>
      </c>
      <c r="B88" s="165" t="s">
        <v>5231</v>
      </c>
      <c r="C88" s="211">
        <v>322</v>
      </c>
      <c r="D88" s="211">
        <v>244</v>
      </c>
      <c r="E88" s="189">
        <v>251</v>
      </c>
      <c r="F88" s="189">
        <v>256</v>
      </c>
      <c r="G88" s="189">
        <v>230</v>
      </c>
      <c r="H88" s="189">
        <v>270</v>
      </c>
      <c r="I88" s="189">
        <v>514</v>
      </c>
      <c r="J88" s="189">
        <v>611</v>
      </c>
      <c r="K88" s="189">
        <v>759</v>
      </c>
      <c r="L88" s="189">
        <v>779</v>
      </c>
      <c r="M88" s="189">
        <v>801</v>
      </c>
      <c r="N88" s="189">
        <v>855</v>
      </c>
      <c r="O88" s="189">
        <v>856</v>
      </c>
      <c r="P88" s="189">
        <v>848</v>
      </c>
      <c r="Q88" s="189">
        <v>795</v>
      </c>
      <c r="R88" s="189">
        <v>769</v>
      </c>
      <c r="S88" s="189">
        <v>760</v>
      </c>
      <c r="T88" s="189">
        <v>841</v>
      </c>
      <c r="U88" s="224" t="s">
        <v>5751</v>
      </c>
      <c r="V88" s="221" t="s">
        <v>5752</v>
      </c>
      <c r="W88" s="225">
        <v>721</v>
      </c>
      <c r="X88" s="221" t="s">
        <v>5753</v>
      </c>
      <c r="Y88" s="221" t="s">
        <v>5317</v>
      </c>
      <c r="Z88" s="221" t="s">
        <v>3787</v>
      </c>
      <c r="AA88" s="221" t="s">
        <v>5570</v>
      </c>
      <c r="AB88" s="221" t="s">
        <v>5754</v>
      </c>
      <c r="AC88" s="221">
        <v>418</v>
      </c>
      <c r="AD88" s="221">
        <v>414</v>
      </c>
      <c r="AE88" s="221">
        <v>463</v>
      </c>
      <c r="AF88" s="221" t="s">
        <v>5755</v>
      </c>
      <c r="AG88" s="221" t="s">
        <v>5756</v>
      </c>
      <c r="AH88" s="221">
        <v>420</v>
      </c>
      <c r="AI88" s="221">
        <v>409</v>
      </c>
      <c r="AJ88" s="221">
        <v>407</v>
      </c>
      <c r="AK88" s="221">
        <v>407</v>
      </c>
      <c r="AL88" s="221">
        <v>402</v>
      </c>
      <c r="AM88" s="221">
        <v>400</v>
      </c>
      <c r="AN88" s="221" t="e">
        <f>VLOOKUP(B88,正厂竞争者数据汇总!D:CL,25,FALSE)</f>
        <v>#N/A</v>
      </c>
      <c r="BD88" s="202">
        <f>IFERROR(VLOOKUP(B88,Sheet4!A:D,4,FALSE),"")</f>
        <v>409</v>
      </c>
    </row>
    <row r="89" spans="1:56">
      <c r="A89" s="89" t="s">
        <v>1992</v>
      </c>
      <c r="B89" s="164" t="s">
        <v>4454</v>
      </c>
      <c r="C89" s="232">
        <v>63</v>
      </c>
      <c r="D89" s="232">
        <v>90</v>
      </c>
      <c r="E89" s="189">
        <v>91</v>
      </c>
      <c r="F89" s="189">
        <v>91</v>
      </c>
      <c r="G89" s="189">
        <v>102</v>
      </c>
      <c r="H89" s="189">
        <v>319</v>
      </c>
      <c r="I89" s="189">
        <v>420</v>
      </c>
      <c r="J89" s="189">
        <v>448</v>
      </c>
      <c r="K89" s="189">
        <v>548</v>
      </c>
      <c r="L89" s="189">
        <v>661</v>
      </c>
      <c r="M89" s="189">
        <v>825</v>
      </c>
      <c r="N89" s="189">
        <v>801</v>
      </c>
      <c r="O89" s="189">
        <v>797</v>
      </c>
      <c r="P89" s="189">
        <v>747</v>
      </c>
      <c r="Q89" s="189">
        <v>642</v>
      </c>
      <c r="R89" s="189">
        <v>734</v>
      </c>
      <c r="S89" s="189">
        <v>870</v>
      </c>
      <c r="T89" s="189">
        <v>863</v>
      </c>
      <c r="U89" s="224" t="s">
        <v>5659</v>
      </c>
      <c r="V89" s="221" t="s">
        <v>5757</v>
      </c>
      <c r="W89" s="225">
        <v>793</v>
      </c>
      <c r="X89" s="221" t="s">
        <v>5758</v>
      </c>
      <c r="Y89" s="221" t="s">
        <v>5759</v>
      </c>
      <c r="Z89" s="221" t="s">
        <v>5760</v>
      </c>
      <c r="AA89" s="221" t="s">
        <v>5761</v>
      </c>
      <c r="AB89" s="221" t="s">
        <v>5762</v>
      </c>
      <c r="AC89" s="221">
        <v>683</v>
      </c>
      <c r="AD89" s="221">
        <v>907</v>
      </c>
      <c r="AE89" s="221">
        <v>1050</v>
      </c>
      <c r="AF89" s="221" t="s">
        <v>3723</v>
      </c>
      <c r="AG89" s="221" t="s">
        <v>5763</v>
      </c>
      <c r="AH89" s="221">
        <v>1381</v>
      </c>
      <c r="AI89" s="221">
        <v>1816</v>
      </c>
      <c r="AJ89" s="221">
        <v>1880</v>
      </c>
      <c r="AK89" s="221">
        <v>1880</v>
      </c>
      <c r="AL89" s="221">
        <v>1791</v>
      </c>
      <c r="AM89" s="221">
        <v>1736</v>
      </c>
      <c r="AN89" s="221" t="e">
        <f>VLOOKUP(B89,正厂竞争者数据汇总!D:CL,25,FALSE)</f>
        <v>#N/A</v>
      </c>
      <c r="BD89" s="202">
        <f>IFERROR(VLOOKUP(B89,Sheet4!A:D,4,FALSE),"")</f>
        <v>1816</v>
      </c>
    </row>
    <row r="90" spans="1:56">
      <c r="A90" s="88" t="s">
        <v>227</v>
      </c>
      <c r="B90" s="170" t="s">
        <v>571</v>
      </c>
      <c r="C90" s="210">
        <v>74</v>
      </c>
      <c r="D90" s="210">
        <v>100</v>
      </c>
      <c r="E90" s="190">
        <v>106</v>
      </c>
      <c r="F90" s="190">
        <v>136</v>
      </c>
      <c r="G90" s="190">
        <v>169</v>
      </c>
      <c r="H90" s="190">
        <v>416</v>
      </c>
      <c r="I90" s="190">
        <v>558</v>
      </c>
      <c r="J90" s="190">
        <v>616</v>
      </c>
      <c r="K90" s="190">
        <v>716</v>
      </c>
      <c r="L90" s="190">
        <v>833</v>
      </c>
      <c r="M90" s="190" t="s">
        <v>5764</v>
      </c>
      <c r="N90" s="190" t="s">
        <v>5279</v>
      </c>
      <c r="O90" s="190" t="s">
        <v>5407</v>
      </c>
      <c r="P90" s="190">
        <v>934</v>
      </c>
      <c r="Q90" s="190">
        <v>811</v>
      </c>
      <c r="R90" s="190">
        <v>893</v>
      </c>
      <c r="S90" s="190" t="s">
        <v>5407</v>
      </c>
      <c r="T90" s="190">
        <v>1006</v>
      </c>
      <c r="U90" s="224" t="s">
        <v>5765</v>
      </c>
      <c r="V90" s="221" t="s">
        <v>5412</v>
      </c>
      <c r="W90" s="225">
        <v>953</v>
      </c>
      <c r="X90" s="221" t="s">
        <v>5766</v>
      </c>
      <c r="Y90" s="221" t="s">
        <v>5767</v>
      </c>
      <c r="Z90" s="221" t="s">
        <v>5768</v>
      </c>
      <c r="AA90" s="221" t="s">
        <v>3607</v>
      </c>
      <c r="AB90" s="221" t="s">
        <v>5769</v>
      </c>
      <c r="AC90" s="221">
        <v>1087</v>
      </c>
      <c r="AD90" s="221">
        <v>1365</v>
      </c>
      <c r="AE90" s="221">
        <v>1853</v>
      </c>
      <c r="AF90" s="221" t="s">
        <v>5770</v>
      </c>
      <c r="AG90" s="221" t="s">
        <v>5771</v>
      </c>
      <c r="AH90" s="221">
        <v>3082</v>
      </c>
      <c r="AI90" s="221">
        <v>3822</v>
      </c>
      <c r="AJ90" s="221">
        <v>3919</v>
      </c>
      <c r="AK90" s="221">
        <v>3919</v>
      </c>
      <c r="AL90" s="221">
        <v>4100</v>
      </c>
      <c r="AM90" s="221">
        <v>3935</v>
      </c>
      <c r="AN90" s="221" t="e">
        <f>VLOOKUP(B90,正厂竞争者数据汇总!D:CL,25,FALSE)</f>
        <v>#N/A</v>
      </c>
      <c r="BD90" s="202">
        <f>IFERROR(VLOOKUP(B90,Sheet4!A:D,4,FALSE),"")</f>
        <v>3822</v>
      </c>
    </row>
    <row r="91" spans="1:56">
      <c r="A91" s="89" t="s">
        <v>391</v>
      </c>
      <c r="B91" s="164" t="s">
        <v>297</v>
      </c>
      <c r="C91" s="232">
        <v>46</v>
      </c>
      <c r="D91" s="232">
        <v>43</v>
      </c>
      <c r="E91" s="189">
        <v>44</v>
      </c>
      <c r="F91" s="189">
        <v>90</v>
      </c>
      <c r="G91" s="189">
        <v>59</v>
      </c>
      <c r="H91" s="189">
        <v>161</v>
      </c>
      <c r="I91" s="189">
        <v>200</v>
      </c>
      <c r="J91" s="189">
        <v>218</v>
      </c>
      <c r="K91" s="189">
        <v>181</v>
      </c>
      <c r="L91" s="189">
        <v>184</v>
      </c>
      <c r="M91" s="189">
        <v>186</v>
      </c>
      <c r="N91" s="189">
        <v>156</v>
      </c>
      <c r="O91" s="189">
        <v>147</v>
      </c>
      <c r="P91" s="189">
        <v>132</v>
      </c>
      <c r="Q91" s="189">
        <v>119</v>
      </c>
      <c r="R91" s="189">
        <v>175</v>
      </c>
      <c r="S91" s="189">
        <v>116</v>
      </c>
      <c r="T91" s="189">
        <v>112</v>
      </c>
      <c r="U91" s="224" t="s">
        <v>5772</v>
      </c>
      <c r="V91" s="221" t="s">
        <v>3831</v>
      </c>
      <c r="W91" s="225">
        <v>115</v>
      </c>
      <c r="X91" s="221" t="s">
        <v>5773</v>
      </c>
      <c r="Y91" s="221" t="s">
        <v>5774</v>
      </c>
      <c r="Z91" s="221" t="s">
        <v>5775</v>
      </c>
      <c r="AA91" s="221" t="s">
        <v>5776</v>
      </c>
      <c r="AB91" s="221" t="s">
        <v>5777</v>
      </c>
      <c r="AC91" s="221">
        <v>226</v>
      </c>
      <c r="AD91" s="221">
        <v>367</v>
      </c>
      <c r="AE91" s="221">
        <v>504</v>
      </c>
      <c r="AF91" s="221" t="s">
        <v>5347</v>
      </c>
      <c r="AG91" s="221" t="s">
        <v>5778</v>
      </c>
      <c r="AH91" s="221">
        <v>1100</v>
      </c>
      <c r="AI91" s="221">
        <v>1660</v>
      </c>
      <c r="AJ91" s="221">
        <v>1873</v>
      </c>
      <c r="AK91" s="221">
        <v>1873</v>
      </c>
      <c r="AL91" s="221">
        <v>1854</v>
      </c>
      <c r="AM91" s="221">
        <v>1870</v>
      </c>
      <c r="AN91" s="221">
        <f>VLOOKUP(B91,正厂竞争者数据汇总!D:CL,25,FALSE)</f>
        <v>22560</v>
      </c>
      <c r="BD91" s="202">
        <f>IFERROR(VLOOKUP(B91,Sheet4!A:D,4,FALSE),"")</f>
        <v>1660</v>
      </c>
    </row>
    <row r="92" spans="1:56">
      <c r="A92" s="89" t="s">
        <v>230</v>
      </c>
      <c r="B92" s="164" t="s">
        <v>574</v>
      </c>
      <c r="C92" s="232"/>
      <c r="D92" s="232"/>
      <c r="E92" s="189"/>
      <c r="F92" s="189"/>
      <c r="H92" s="189"/>
      <c r="I92" s="189"/>
      <c r="J92" s="189"/>
      <c r="K92" s="189"/>
      <c r="L92" s="189"/>
      <c r="M92" s="189"/>
      <c r="N92" s="189"/>
      <c r="O92" s="189"/>
      <c r="P92" s="189"/>
      <c r="Q92" s="189"/>
      <c r="R92" s="189"/>
      <c r="S92" s="189"/>
      <c r="T92" s="189"/>
      <c r="U92" s="224"/>
      <c r="V92" s="221"/>
      <c r="W92" s="225"/>
      <c r="X92" s="221"/>
      <c r="Y92" s="221" t="s">
        <v>5754</v>
      </c>
      <c r="Z92" s="221" t="s">
        <v>5779</v>
      </c>
      <c r="AA92" s="221" t="s">
        <v>5780</v>
      </c>
      <c r="AB92" s="221" t="s">
        <v>5781</v>
      </c>
      <c r="AC92" s="221">
        <v>314</v>
      </c>
      <c r="AD92" s="221">
        <v>324</v>
      </c>
      <c r="AE92" s="221">
        <v>350</v>
      </c>
      <c r="AF92" s="221" t="s">
        <v>5782</v>
      </c>
      <c r="AG92" s="221" t="s">
        <v>5783</v>
      </c>
      <c r="AH92" s="221">
        <v>396</v>
      </c>
      <c r="AI92" s="221">
        <v>400</v>
      </c>
      <c r="AJ92" s="221">
        <v>373</v>
      </c>
      <c r="AK92" s="221">
        <v>373</v>
      </c>
      <c r="AL92" s="221">
        <v>400</v>
      </c>
      <c r="AM92" s="221">
        <v>385</v>
      </c>
      <c r="AN92" s="221" t="e">
        <f>VLOOKUP(B92,正厂竞争者数据汇总!D:CL,25,FALSE)</f>
        <v>#N/A</v>
      </c>
      <c r="BD92" s="202">
        <f>IFERROR(VLOOKUP(B92,Sheet4!A:D,4,FALSE),"")</f>
        <v>400</v>
      </c>
    </row>
    <row r="93" spans="1:56">
      <c r="A93" s="89" t="s">
        <v>230</v>
      </c>
      <c r="B93" s="164" t="s">
        <v>4480</v>
      </c>
      <c r="C93" s="232">
        <v>73</v>
      </c>
      <c r="D93" s="189" t="s">
        <v>5419</v>
      </c>
      <c r="E93" s="189">
        <v>58</v>
      </c>
      <c r="F93" s="189">
        <v>56</v>
      </c>
      <c r="G93" s="189">
        <v>54</v>
      </c>
      <c r="H93" s="189">
        <v>76</v>
      </c>
      <c r="I93" s="189">
        <v>121</v>
      </c>
      <c r="J93" s="189">
        <v>122</v>
      </c>
      <c r="K93" s="189">
        <v>128</v>
      </c>
      <c r="L93" s="189">
        <v>156</v>
      </c>
      <c r="M93" s="189">
        <v>172</v>
      </c>
      <c r="N93" s="189">
        <v>183</v>
      </c>
      <c r="O93" s="189">
        <v>185</v>
      </c>
      <c r="P93" s="189">
        <v>169</v>
      </c>
      <c r="Q93" s="189">
        <v>133</v>
      </c>
      <c r="R93" s="189">
        <v>132</v>
      </c>
      <c r="S93" s="189">
        <v>259</v>
      </c>
      <c r="T93" s="189">
        <v>306</v>
      </c>
      <c r="U93" s="224" t="s">
        <v>5779</v>
      </c>
      <c r="V93" s="221" t="s">
        <v>5784</v>
      </c>
      <c r="W93" s="225">
        <v>336</v>
      </c>
      <c r="X93" s="221" t="s">
        <v>5338</v>
      </c>
      <c r="Y93" s="221" t="s">
        <v>5785</v>
      </c>
      <c r="Z93" s="221" t="s">
        <v>2870</v>
      </c>
      <c r="AA93" s="221" t="s">
        <v>2877</v>
      </c>
      <c r="AB93" s="221" t="s">
        <v>5786</v>
      </c>
      <c r="AC93" s="221">
        <v>243</v>
      </c>
      <c r="AD93" s="221">
        <v>247</v>
      </c>
      <c r="AE93" s="221">
        <v>272</v>
      </c>
      <c r="AF93" s="221" t="s">
        <v>5787</v>
      </c>
      <c r="AG93" s="221" t="s">
        <v>5788</v>
      </c>
      <c r="AH93" s="221">
        <v>298</v>
      </c>
      <c r="AI93" s="221">
        <v>299</v>
      </c>
      <c r="AJ93" s="221">
        <v>289</v>
      </c>
      <c r="AK93" s="221">
        <v>289</v>
      </c>
      <c r="AL93" s="221">
        <v>311</v>
      </c>
      <c r="AM93" s="221">
        <v>307</v>
      </c>
      <c r="AN93" s="221" t="e">
        <f>VLOOKUP(B93,正厂竞争者数据汇总!D:CL,25,FALSE)</f>
        <v>#N/A</v>
      </c>
      <c r="BD93" s="202">
        <f>IFERROR(VLOOKUP(B93,Sheet4!A:D,4,FALSE),"")</f>
        <v>299</v>
      </c>
    </row>
    <row r="94" spans="1:56">
      <c r="A94" s="96" t="s">
        <v>174</v>
      </c>
      <c r="B94" s="205"/>
      <c r="C94" s="97"/>
      <c r="D94" s="97"/>
      <c r="E94" s="97"/>
      <c r="AG94" s="200" t="s">
        <v>180</v>
      </c>
      <c r="AH94" s="200" t="s">
        <v>180</v>
      </c>
      <c r="AI94" s="200" t="s">
        <v>180</v>
      </c>
      <c r="AJ94" s="221"/>
      <c r="AK94" s="221"/>
      <c r="AL94" s="221"/>
      <c r="AM94" s="221"/>
      <c r="AN94" s="221"/>
      <c r="BD94" s="202" t="str">
        <f>IFERROR(VLOOKUP(B94,Sheet4!A:D,4,FALSE),"")</f>
        <v/>
      </c>
    </row>
    <row r="95" spans="1:56">
      <c r="A95" s="101" t="s">
        <v>3944</v>
      </c>
      <c r="B95" s="171" t="s">
        <v>207</v>
      </c>
      <c r="C95" s="102"/>
      <c r="D95" s="102"/>
      <c r="E95" s="102"/>
      <c r="F95" s="119"/>
      <c r="AG95" s="200" t="s">
        <v>180</v>
      </c>
      <c r="AH95" s="200" t="s">
        <v>180</v>
      </c>
      <c r="AI95" s="200" t="s">
        <v>180</v>
      </c>
      <c r="AJ95" s="221"/>
      <c r="AK95" s="221"/>
      <c r="AL95" s="221"/>
      <c r="AM95" s="221"/>
      <c r="AN95" s="221"/>
      <c r="BD95" s="202" t="str">
        <f>IFERROR(VLOOKUP(B95,Sheet4!A:D,4,FALSE),"")</f>
        <v/>
      </c>
    </row>
    <row r="96" spans="1:56">
      <c r="A96" s="89" t="s">
        <v>672</v>
      </c>
      <c r="B96" s="165" t="s">
        <v>526</v>
      </c>
      <c r="C96" s="189" t="s">
        <v>5419</v>
      </c>
      <c r="D96" s="189" t="s">
        <v>5419</v>
      </c>
      <c r="E96" s="189" t="s">
        <v>5419</v>
      </c>
      <c r="F96" s="189" t="s">
        <v>5419</v>
      </c>
      <c r="G96" s="208" t="s">
        <v>5419</v>
      </c>
      <c r="H96" s="208" t="s">
        <v>5419</v>
      </c>
      <c r="I96" s="208" t="s">
        <v>5419</v>
      </c>
      <c r="J96" s="198" t="s">
        <v>5419</v>
      </c>
      <c r="K96" s="198" t="s">
        <v>5419</v>
      </c>
      <c r="L96" s="198" t="s">
        <v>5419</v>
      </c>
      <c r="M96" s="198" t="s">
        <v>5419</v>
      </c>
      <c r="N96" s="198" t="s">
        <v>5419</v>
      </c>
      <c r="O96" s="198" t="s">
        <v>5419</v>
      </c>
      <c r="P96" s="198"/>
      <c r="Q96" s="221"/>
      <c r="R96" s="198" t="s">
        <v>5419</v>
      </c>
      <c r="S96" s="198" t="s">
        <v>5419</v>
      </c>
      <c r="T96" s="198">
        <v>2335</v>
      </c>
      <c r="U96" s="224">
        <v>2292</v>
      </c>
      <c r="V96" s="225">
        <v>2313</v>
      </c>
      <c r="W96" s="225">
        <v>2390</v>
      </c>
      <c r="X96" s="225">
        <v>2512</v>
      </c>
      <c r="Y96" s="221" t="s">
        <v>5376</v>
      </c>
      <c r="Z96" s="221" t="s">
        <v>5377</v>
      </c>
      <c r="AA96" s="221" t="s">
        <v>5378</v>
      </c>
      <c r="AB96" s="221" t="s">
        <v>3252</v>
      </c>
      <c r="AC96" s="221">
        <v>2401</v>
      </c>
      <c r="AD96" s="221">
        <v>2665</v>
      </c>
      <c r="AE96" s="221">
        <v>3241</v>
      </c>
      <c r="AF96" s="221">
        <v>3366</v>
      </c>
      <c r="AG96" s="242" t="s">
        <v>5380</v>
      </c>
      <c r="AH96" s="242">
        <v>4384</v>
      </c>
      <c r="AI96" s="242">
        <v>5169</v>
      </c>
      <c r="AJ96" s="221">
        <v>5171</v>
      </c>
      <c r="AK96" s="221">
        <v>5171</v>
      </c>
      <c r="AL96" s="221">
        <v>5727</v>
      </c>
      <c r="AM96" s="221">
        <v>5587</v>
      </c>
      <c r="AN96" s="221">
        <f>VLOOKUP(B96,正厂竞争者数据汇总!D:CL,25,FALSE)</f>
        <v>374749</v>
      </c>
      <c r="BD96" s="202">
        <f>IFERROR(VLOOKUP(B96,Sheet4!A:D,4,FALSE),"")</f>
        <v>5169</v>
      </c>
    </row>
    <row r="97" spans="1:56">
      <c r="A97" s="88" t="s">
        <v>227</v>
      </c>
      <c r="B97" s="168" t="s">
        <v>588</v>
      </c>
      <c r="C97" s="215">
        <v>170</v>
      </c>
      <c r="D97" s="215">
        <v>177</v>
      </c>
      <c r="E97" s="190">
        <v>178</v>
      </c>
      <c r="F97" s="190">
        <v>198</v>
      </c>
      <c r="G97" s="190">
        <v>295</v>
      </c>
      <c r="H97" s="190">
        <v>434</v>
      </c>
      <c r="I97" s="190">
        <v>580</v>
      </c>
      <c r="J97" s="190">
        <v>618</v>
      </c>
      <c r="K97" s="190">
        <v>695</v>
      </c>
      <c r="L97" s="190">
        <v>830</v>
      </c>
      <c r="M97" s="190" t="s">
        <v>5407</v>
      </c>
      <c r="N97" s="190" t="s">
        <v>5407</v>
      </c>
      <c r="O97" s="190" t="s">
        <v>5407</v>
      </c>
      <c r="P97" s="190">
        <v>956</v>
      </c>
      <c r="Q97" s="190">
        <v>915</v>
      </c>
      <c r="R97" s="190">
        <v>944</v>
      </c>
      <c r="S97" s="190" t="s">
        <v>5279</v>
      </c>
      <c r="T97" s="190">
        <v>1107</v>
      </c>
      <c r="U97" s="224" t="s">
        <v>5766</v>
      </c>
      <c r="V97" s="221" t="s">
        <v>5789</v>
      </c>
      <c r="W97" s="225">
        <v>1168</v>
      </c>
      <c r="X97" s="221" t="s">
        <v>5594</v>
      </c>
      <c r="Y97" s="221" t="s">
        <v>5790</v>
      </c>
      <c r="Z97" s="221" t="s">
        <v>5687</v>
      </c>
      <c r="AA97" s="221" t="s">
        <v>5791</v>
      </c>
      <c r="AB97" s="221" t="s">
        <v>5792</v>
      </c>
      <c r="AC97" s="221">
        <v>1207</v>
      </c>
      <c r="AD97" s="221">
        <v>1484</v>
      </c>
      <c r="AE97" s="221">
        <v>1953</v>
      </c>
      <c r="AF97" s="221" t="s">
        <v>5793</v>
      </c>
      <c r="AG97" s="243" t="s">
        <v>5794</v>
      </c>
      <c r="AH97" s="243">
        <v>3002</v>
      </c>
      <c r="AI97" s="243">
        <v>3801</v>
      </c>
      <c r="AJ97" s="221">
        <v>3958</v>
      </c>
      <c r="AK97" s="221">
        <v>3958</v>
      </c>
      <c r="AL97" s="221">
        <v>4156</v>
      </c>
      <c r="AM97" s="221">
        <v>4034</v>
      </c>
      <c r="AN97" s="221" t="e">
        <f>VLOOKUP(B97,正厂竞争者数据汇总!D:CL,25,FALSE)</f>
        <v>#N/A</v>
      </c>
      <c r="BD97" s="202">
        <f>IFERROR(VLOOKUP(B97,Sheet4!A:D,4,FALSE),"")</f>
        <v>3801</v>
      </c>
    </row>
    <row r="98" spans="1:56">
      <c r="A98" s="89" t="s">
        <v>230</v>
      </c>
      <c r="B98" s="165" t="s">
        <v>592</v>
      </c>
      <c r="C98" s="235">
        <v>125</v>
      </c>
      <c r="D98" s="235">
        <v>113</v>
      </c>
      <c r="E98" s="189">
        <v>109</v>
      </c>
      <c r="F98" s="189">
        <v>116</v>
      </c>
      <c r="G98" s="189">
        <v>117</v>
      </c>
      <c r="H98" s="189">
        <v>154</v>
      </c>
      <c r="I98" s="189">
        <v>210</v>
      </c>
      <c r="J98" s="189">
        <v>228</v>
      </c>
      <c r="K98" s="189">
        <v>240</v>
      </c>
      <c r="L98" s="189">
        <v>269</v>
      </c>
      <c r="M98" s="189">
        <v>296</v>
      </c>
      <c r="N98" s="189">
        <v>352</v>
      </c>
      <c r="O98" s="189">
        <v>353</v>
      </c>
      <c r="P98" s="189">
        <v>341</v>
      </c>
      <c r="Q98" s="189">
        <v>325</v>
      </c>
      <c r="R98" s="189">
        <v>258</v>
      </c>
      <c r="S98" s="189">
        <v>477</v>
      </c>
      <c r="T98" s="189">
        <v>542</v>
      </c>
      <c r="U98" s="224" t="s">
        <v>5564</v>
      </c>
      <c r="V98" s="221" t="s">
        <v>5348</v>
      </c>
      <c r="W98" s="225">
        <v>636</v>
      </c>
      <c r="X98" s="221" t="s">
        <v>5795</v>
      </c>
      <c r="Y98" s="221" t="s">
        <v>5691</v>
      </c>
      <c r="Z98" s="221" t="s">
        <v>5796</v>
      </c>
      <c r="AA98" s="221" t="s">
        <v>5797</v>
      </c>
      <c r="AB98" s="221" t="s">
        <v>3787</v>
      </c>
      <c r="AC98" s="221">
        <v>496</v>
      </c>
      <c r="AD98" s="221">
        <v>506</v>
      </c>
      <c r="AE98" s="221">
        <v>526</v>
      </c>
      <c r="AF98" s="221" t="s">
        <v>5798</v>
      </c>
      <c r="AG98" s="221" t="s">
        <v>5799</v>
      </c>
      <c r="AH98" s="221">
        <v>528</v>
      </c>
      <c r="AI98" s="221">
        <v>538</v>
      </c>
      <c r="AJ98" s="221">
        <v>522</v>
      </c>
      <c r="AK98" s="221">
        <v>522</v>
      </c>
      <c r="AL98" s="221">
        <v>551</v>
      </c>
      <c r="AM98" s="221">
        <v>541</v>
      </c>
      <c r="AN98" s="221" t="e">
        <f>VLOOKUP(B98,正厂竞争者数据汇总!D:CL,25,FALSE)</f>
        <v>#N/A</v>
      </c>
      <c r="BD98" s="202">
        <f>IFERROR(VLOOKUP(B98,Sheet4!A:D,4,FALSE),"")</f>
        <v>538</v>
      </c>
    </row>
    <row r="99" spans="1:56">
      <c r="A99" s="89" t="s">
        <v>230</v>
      </c>
      <c r="B99" s="165" t="s">
        <v>589</v>
      </c>
      <c r="C99" s="211">
        <v>117</v>
      </c>
      <c r="D99" s="211">
        <v>106</v>
      </c>
      <c r="E99" s="189">
        <v>96</v>
      </c>
      <c r="F99" s="189">
        <v>110</v>
      </c>
      <c r="G99" s="189">
        <v>113</v>
      </c>
      <c r="H99" s="189">
        <v>153</v>
      </c>
      <c r="I99" s="189">
        <v>211</v>
      </c>
      <c r="J99" s="189">
        <v>239</v>
      </c>
      <c r="K99" s="189">
        <v>247</v>
      </c>
      <c r="L99" s="189">
        <v>270</v>
      </c>
      <c r="M99" s="189">
        <v>295</v>
      </c>
      <c r="N99" s="189">
        <v>320</v>
      </c>
      <c r="O99" s="189">
        <v>319</v>
      </c>
      <c r="P99" s="189">
        <v>293</v>
      </c>
      <c r="Q99" s="189">
        <v>287</v>
      </c>
      <c r="R99" s="189">
        <v>294</v>
      </c>
      <c r="S99" s="189">
        <v>398</v>
      </c>
      <c r="T99" s="189">
        <v>510</v>
      </c>
      <c r="U99" s="224" t="s">
        <v>5800</v>
      </c>
      <c r="V99" s="221" t="s">
        <v>5401</v>
      </c>
      <c r="W99" s="225">
        <v>606</v>
      </c>
      <c r="X99" s="221" t="s">
        <v>5430</v>
      </c>
      <c r="Y99" s="221" t="s">
        <v>5345</v>
      </c>
      <c r="Z99" s="221" t="s">
        <v>1916</v>
      </c>
      <c r="AA99" s="221" t="s">
        <v>5801</v>
      </c>
      <c r="AB99" s="221" t="s">
        <v>5335</v>
      </c>
      <c r="AC99" s="221">
        <v>432</v>
      </c>
      <c r="AD99" s="221">
        <v>453</v>
      </c>
      <c r="AE99" s="221">
        <v>473</v>
      </c>
      <c r="AF99" s="221" t="s">
        <v>5802</v>
      </c>
      <c r="AG99" s="221" t="s">
        <v>5803</v>
      </c>
      <c r="AH99" s="221">
        <v>547</v>
      </c>
      <c r="AI99" s="221">
        <v>574</v>
      </c>
      <c r="AJ99" s="221">
        <v>612</v>
      </c>
      <c r="AK99" s="221">
        <v>612</v>
      </c>
      <c r="AL99" s="221">
        <v>629</v>
      </c>
      <c r="AM99" s="221">
        <v>623</v>
      </c>
      <c r="AN99" s="221" t="e">
        <f>VLOOKUP(B99,正厂竞争者数据汇总!D:CL,25,FALSE)</f>
        <v>#N/A</v>
      </c>
      <c r="BD99" s="202">
        <f>IFERROR(VLOOKUP(B99,Sheet4!A:D,4,FALSE),"")</f>
        <v>574</v>
      </c>
    </row>
    <row r="100" spans="1:56">
      <c r="A100" s="89" t="s">
        <v>230</v>
      </c>
      <c r="B100" s="181" t="s">
        <v>591</v>
      </c>
      <c r="C100" s="232">
        <v>17</v>
      </c>
      <c r="D100" s="232">
        <v>13</v>
      </c>
      <c r="E100" s="189">
        <v>12</v>
      </c>
      <c r="F100" s="189">
        <v>13</v>
      </c>
      <c r="G100" s="189">
        <v>19</v>
      </c>
      <c r="H100" s="189">
        <v>28</v>
      </c>
      <c r="I100" s="189">
        <v>55</v>
      </c>
      <c r="J100" s="189">
        <v>65</v>
      </c>
      <c r="K100" s="189">
        <v>66</v>
      </c>
      <c r="L100" s="189">
        <v>80</v>
      </c>
      <c r="M100" s="189">
        <v>96</v>
      </c>
      <c r="N100" s="189">
        <v>102</v>
      </c>
      <c r="O100" s="189">
        <v>102</v>
      </c>
      <c r="P100" s="189">
        <v>84</v>
      </c>
      <c r="Q100" s="189">
        <v>79</v>
      </c>
      <c r="R100" s="189">
        <v>80</v>
      </c>
      <c r="S100" s="189">
        <v>187</v>
      </c>
      <c r="T100" s="189">
        <v>247</v>
      </c>
      <c r="U100" s="224" t="s">
        <v>5467</v>
      </c>
      <c r="V100" s="221" t="s">
        <v>3040</v>
      </c>
      <c r="W100" s="225">
        <v>275</v>
      </c>
      <c r="X100" s="221" t="s">
        <v>5804</v>
      </c>
      <c r="Y100" s="221" t="s">
        <v>5804</v>
      </c>
      <c r="Z100" s="221" t="s">
        <v>5805</v>
      </c>
      <c r="AA100" s="221" t="s">
        <v>5806</v>
      </c>
      <c r="AB100" s="221" t="s">
        <v>5807</v>
      </c>
      <c r="AC100" s="221">
        <v>151</v>
      </c>
      <c r="AD100" s="221">
        <v>153</v>
      </c>
      <c r="AE100" s="221">
        <v>162</v>
      </c>
      <c r="AF100" s="221" t="s">
        <v>5665</v>
      </c>
      <c r="AG100" s="221" t="s">
        <v>5808</v>
      </c>
      <c r="AH100" s="221">
        <v>189</v>
      </c>
      <c r="AI100" s="221">
        <v>186</v>
      </c>
      <c r="AJ100" s="221">
        <v>254</v>
      </c>
      <c r="AK100" s="221">
        <v>241</v>
      </c>
      <c r="AL100" s="221">
        <v>251</v>
      </c>
      <c r="AM100" s="221">
        <v>257</v>
      </c>
      <c r="AN100" s="221" t="e">
        <f>VLOOKUP(B100,正厂竞争者数据汇总!D:CL,25,FALSE)</f>
        <v>#N/A</v>
      </c>
      <c r="BD100" s="202">
        <f>IFERROR(VLOOKUP(B100,Sheet4!A:D,4,FALSE),"")</f>
        <v>186</v>
      </c>
    </row>
    <row r="101" spans="1:56">
      <c r="A101" s="89" t="s">
        <v>238</v>
      </c>
      <c r="B101" s="165" t="s">
        <v>322</v>
      </c>
      <c r="C101" s="212">
        <v>103</v>
      </c>
      <c r="D101" s="212">
        <v>109</v>
      </c>
      <c r="E101" s="189">
        <v>108</v>
      </c>
      <c r="F101" s="189">
        <v>129</v>
      </c>
      <c r="G101" s="189">
        <v>124</v>
      </c>
      <c r="H101" s="189">
        <v>268</v>
      </c>
      <c r="I101" s="189">
        <v>375</v>
      </c>
      <c r="J101" s="189">
        <v>383</v>
      </c>
      <c r="K101" s="189">
        <v>402</v>
      </c>
      <c r="L101" s="189">
        <v>444</v>
      </c>
      <c r="M101" s="189">
        <v>473</v>
      </c>
      <c r="N101" s="189">
        <v>429</v>
      </c>
      <c r="O101" s="189">
        <v>414</v>
      </c>
      <c r="P101" s="189">
        <v>390</v>
      </c>
      <c r="Q101" s="189">
        <v>371</v>
      </c>
      <c r="R101" s="189">
        <v>360</v>
      </c>
      <c r="S101" s="189">
        <v>487</v>
      </c>
      <c r="T101" s="189">
        <v>567</v>
      </c>
      <c r="U101" s="224" t="s">
        <v>5809</v>
      </c>
      <c r="V101" s="221" t="s">
        <v>5810</v>
      </c>
      <c r="W101" s="225">
        <v>649</v>
      </c>
      <c r="X101" s="221" t="s">
        <v>5811</v>
      </c>
      <c r="Y101" s="221" t="s">
        <v>5812</v>
      </c>
      <c r="Z101" s="221" t="s">
        <v>5418</v>
      </c>
      <c r="AA101" s="221" t="s">
        <v>1576</v>
      </c>
      <c r="AB101" s="221" t="s">
        <v>5415</v>
      </c>
      <c r="AC101" s="221">
        <v>708</v>
      </c>
      <c r="AD101" s="221">
        <v>726</v>
      </c>
      <c r="AE101" s="221">
        <v>774</v>
      </c>
      <c r="AF101" s="221" t="s">
        <v>5813</v>
      </c>
      <c r="AG101" s="221" t="s">
        <v>5758</v>
      </c>
      <c r="AH101" s="221">
        <v>1193</v>
      </c>
      <c r="AI101" s="221">
        <v>1596</v>
      </c>
      <c r="AJ101" s="221">
        <v>1775</v>
      </c>
      <c r="AK101" s="221">
        <v>1775</v>
      </c>
      <c r="AL101" s="221">
        <v>2231</v>
      </c>
      <c r="AM101" s="221">
        <v>2142</v>
      </c>
      <c r="AN101" s="221">
        <f>VLOOKUP(B101,正厂竞争者数据汇总!D:CL,25,FALSE)</f>
        <v>32770</v>
      </c>
      <c r="BD101" s="202">
        <f>IFERROR(VLOOKUP(B101,Sheet4!A:D,4,FALSE),"")</f>
        <v>1596</v>
      </c>
    </row>
    <row r="102" spans="1:56">
      <c r="A102" s="89" t="s">
        <v>230</v>
      </c>
      <c r="B102" s="165" t="s">
        <v>5192</v>
      </c>
      <c r="C102" s="212" t="s">
        <v>5419</v>
      </c>
      <c r="D102" s="212" t="s">
        <v>5419</v>
      </c>
      <c r="E102" s="189">
        <v>60</v>
      </c>
      <c r="F102" s="189">
        <v>71</v>
      </c>
      <c r="G102" s="189">
        <v>65</v>
      </c>
      <c r="H102" s="189">
        <v>92</v>
      </c>
      <c r="I102" s="189">
        <v>108</v>
      </c>
      <c r="J102" s="189">
        <v>117</v>
      </c>
      <c r="K102" s="189">
        <v>117</v>
      </c>
      <c r="L102" s="189">
        <v>131</v>
      </c>
      <c r="M102" s="189">
        <v>153</v>
      </c>
      <c r="N102" s="189">
        <v>169</v>
      </c>
      <c r="O102" s="189">
        <v>172</v>
      </c>
      <c r="P102" s="189">
        <v>160</v>
      </c>
      <c r="Q102" s="189">
        <v>164</v>
      </c>
      <c r="R102" s="189">
        <v>175</v>
      </c>
      <c r="S102" s="189">
        <v>304</v>
      </c>
      <c r="T102" s="189">
        <v>375</v>
      </c>
      <c r="U102" s="224" t="s">
        <v>5814</v>
      </c>
      <c r="V102" s="221" t="s">
        <v>5400</v>
      </c>
      <c r="W102" s="225">
        <v>437</v>
      </c>
      <c r="X102" s="221" t="s">
        <v>5705</v>
      </c>
      <c r="Y102" s="221" t="s">
        <v>5603</v>
      </c>
      <c r="Z102" s="221" t="s">
        <v>1749</v>
      </c>
      <c r="AA102" s="221" t="s">
        <v>5779</v>
      </c>
      <c r="AB102" s="221" t="s">
        <v>5815</v>
      </c>
      <c r="AC102" s="221">
        <v>301</v>
      </c>
      <c r="AD102" s="221">
        <v>304</v>
      </c>
      <c r="AE102" s="221">
        <v>323</v>
      </c>
      <c r="AF102" s="221" t="s">
        <v>5816</v>
      </c>
      <c r="AG102" s="221" t="s">
        <v>5817</v>
      </c>
      <c r="AH102" s="221">
        <v>361</v>
      </c>
      <c r="AI102" s="221">
        <v>363</v>
      </c>
      <c r="AJ102" s="221">
        <v>361</v>
      </c>
      <c r="AK102" s="221">
        <v>361</v>
      </c>
      <c r="AL102" s="221">
        <v>379</v>
      </c>
      <c r="AM102" s="221">
        <v>375</v>
      </c>
      <c r="AN102" s="221" t="e">
        <f>VLOOKUP(B102,正厂竞争者数据汇总!D:CL,25,FALSE)</f>
        <v>#N/A</v>
      </c>
      <c r="BD102" s="202">
        <f>IFERROR(VLOOKUP(B102,Sheet4!A:D,4,FALSE),"")</f>
        <v>363</v>
      </c>
    </row>
    <row r="103" spans="1:56">
      <c r="A103" s="96" t="s">
        <v>168</v>
      </c>
      <c r="B103" s="238"/>
      <c r="C103" s="96"/>
      <c r="D103" s="96"/>
      <c r="E103" s="239"/>
      <c r="F103" s="189"/>
      <c r="AG103" s="200" t="s">
        <v>180</v>
      </c>
      <c r="AH103" s="200" t="s">
        <v>180</v>
      </c>
      <c r="AI103" s="200" t="s">
        <v>180</v>
      </c>
      <c r="AJ103" s="221"/>
      <c r="AK103" s="221"/>
      <c r="AL103" s="221"/>
      <c r="AM103" s="221"/>
      <c r="AN103" s="221"/>
      <c r="BD103" s="202" t="str">
        <f>IFERROR(VLOOKUP(B103,Sheet4!A:D,4,FALSE),"")</f>
        <v/>
      </c>
    </row>
    <row r="104" spans="1:56">
      <c r="A104" s="101" t="s">
        <v>3944</v>
      </c>
      <c r="B104" s="171" t="s">
        <v>207</v>
      </c>
      <c r="C104" s="102"/>
      <c r="D104" s="102"/>
      <c r="E104" s="102"/>
      <c r="F104" s="119"/>
      <c r="AG104" s="200" t="s">
        <v>180</v>
      </c>
      <c r="AH104" s="200" t="s">
        <v>180</v>
      </c>
      <c r="AI104" s="200" t="s">
        <v>180</v>
      </c>
      <c r="AJ104" s="221"/>
      <c r="AK104" s="221"/>
      <c r="AL104" s="221"/>
      <c r="AM104" s="221"/>
      <c r="AN104" s="221"/>
      <c r="BD104" s="202" t="str">
        <f>IFERROR(VLOOKUP(B104,Sheet4!A:D,4,FALSE),"")</f>
        <v/>
      </c>
    </row>
    <row r="105" spans="1:56">
      <c r="A105" s="88" t="s">
        <v>227</v>
      </c>
      <c r="B105" s="170" t="s">
        <v>593</v>
      </c>
      <c r="C105" s="240">
        <v>271</v>
      </c>
      <c r="D105" s="240">
        <v>213</v>
      </c>
      <c r="E105" s="190">
        <v>212</v>
      </c>
      <c r="F105" s="190">
        <v>240</v>
      </c>
      <c r="G105" s="190">
        <v>276</v>
      </c>
      <c r="H105" s="190">
        <v>395</v>
      </c>
      <c r="I105" s="190">
        <v>670</v>
      </c>
      <c r="J105" s="190">
        <v>786</v>
      </c>
      <c r="K105" s="190">
        <v>957</v>
      </c>
      <c r="L105" s="190" t="s">
        <v>5279</v>
      </c>
      <c r="M105" s="190" t="s">
        <v>5295</v>
      </c>
      <c r="N105" s="190" t="s">
        <v>5295</v>
      </c>
      <c r="O105" s="190" t="s">
        <v>5295</v>
      </c>
      <c r="P105" s="190" t="s">
        <v>5295</v>
      </c>
      <c r="Q105" s="190" t="s">
        <v>5280</v>
      </c>
      <c r="R105" s="190" t="s">
        <v>5295</v>
      </c>
      <c r="S105" s="190" t="s">
        <v>5280</v>
      </c>
      <c r="T105" s="190">
        <v>1308</v>
      </c>
      <c r="U105" s="224" t="s">
        <v>5684</v>
      </c>
      <c r="V105" s="221" t="s">
        <v>5818</v>
      </c>
      <c r="W105" s="225">
        <v>1092</v>
      </c>
      <c r="X105" s="221" t="s">
        <v>5819</v>
      </c>
      <c r="Y105" s="221" t="s">
        <v>5820</v>
      </c>
      <c r="Z105" s="221" t="s">
        <v>5821</v>
      </c>
      <c r="AA105" s="221" t="s">
        <v>5693</v>
      </c>
      <c r="AB105" s="221" t="s">
        <v>5822</v>
      </c>
      <c r="AC105" s="221">
        <v>713</v>
      </c>
      <c r="AD105" s="221">
        <v>680</v>
      </c>
      <c r="AE105" s="221">
        <v>726</v>
      </c>
      <c r="AF105" s="221" t="s">
        <v>5823</v>
      </c>
      <c r="AG105" s="221" t="s">
        <v>5824</v>
      </c>
      <c r="AH105" s="221">
        <v>718</v>
      </c>
      <c r="AI105" s="221">
        <v>736</v>
      </c>
      <c r="AJ105" s="221">
        <v>778</v>
      </c>
      <c r="AK105" s="221">
        <v>780</v>
      </c>
      <c r="AL105" s="221">
        <v>1203</v>
      </c>
      <c r="AM105" s="221">
        <v>1194</v>
      </c>
      <c r="AN105" s="221" t="e">
        <f>VLOOKUP(B105,正厂竞争者数据汇总!D:CL,25,FALSE)</f>
        <v>#N/A</v>
      </c>
      <c r="BD105" s="202">
        <f>IFERROR(VLOOKUP(B105,Sheet4!A:D,4,FALSE),"")</f>
        <v>736</v>
      </c>
    </row>
    <row r="106" spans="1:56">
      <c r="A106" s="89" t="s">
        <v>391</v>
      </c>
      <c r="B106" s="165" t="s">
        <v>595</v>
      </c>
      <c r="C106" s="241">
        <v>115</v>
      </c>
      <c r="D106" s="241">
        <v>132</v>
      </c>
      <c r="E106" s="189">
        <v>119</v>
      </c>
      <c r="F106" s="189">
        <v>130</v>
      </c>
      <c r="G106" s="189">
        <v>139</v>
      </c>
      <c r="H106" s="189">
        <v>337</v>
      </c>
      <c r="I106" s="189">
        <v>409</v>
      </c>
      <c r="J106" s="189">
        <v>430</v>
      </c>
      <c r="K106" s="189">
        <v>499</v>
      </c>
      <c r="L106" s="189">
        <v>583</v>
      </c>
      <c r="M106" s="189">
        <v>727</v>
      </c>
      <c r="N106" s="189">
        <v>623</v>
      </c>
      <c r="O106" s="189">
        <v>708</v>
      </c>
      <c r="P106" s="189">
        <v>758</v>
      </c>
      <c r="Q106" s="189">
        <v>864</v>
      </c>
      <c r="R106" s="189">
        <v>722</v>
      </c>
      <c r="S106" s="189" t="s">
        <v>5280</v>
      </c>
      <c r="T106" s="189">
        <v>671</v>
      </c>
      <c r="U106" s="224" t="s">
        <v>5825</v>
      </c>
      <c r="V106" s="221" t="s">
        <v>5565</v>
      </c>
      <c r="W106" s="225">
        <v>621</v>
      </c>
      <c r="X106" s="221" t="s">
        <v>3613</v>
      </c>
      <c r="Y106" s="221" t="s">
        <v>5825</v>
      </c>
      <c r="Z106" s="221" t="s">
        <v>1831</v>
      </c>
      <c r="AA106" s="221" t="s">
        <v>5329</v>
      </c>
      <c r="AB106" s="221" t="s">
        <v>5826</v>
      </c>
      <c r="AC106" s="221">
        <v>849</v>
      </c>
      <c r="AD106" s="221">
        <v>1092</v>
      </c>
      <c r="AE106" s="221">
        <v>1517</v>
      </c>
      <c r="AF106" s="221" t="s">
        <v>3577</v>
      </c>
      <c r="AG106" s="221" t="s">
        <v>5587</v>
      </c>
      <c r="AH106" s="221">
        <v>2414</v>
      </c>
      <c r="AI106" s="221">
        <v>3220</v>
      </c>
      <c r="AJ106" s="221">
        <v>3157</v>
      </c>
      <c r="AK106" s="221">
        <v>3157</v>
      </c>
      <c r="AL106" s="221">
        <v>3092</v>
      </c>
      <c r="AM106" s="221">
        <v>3006</v>
      </c>
      <c r="AN106" s="221" t="e">
        <f>VLOOKUP(B106,正厂竞争者数据汇总!D:CL,25,FALSE)</f>
        <v>#N/A</v>
      </c>
      <c r="BD106" s="202">
        <f>IFERROR(VLOOKUP(B106,Sheet4!A:D,4,FALSE),"")</f>
        <v>3220</v>
      </c>
    </row>
    <row r="107" spans="1:56">
      <c r="A107" s="89" t="s">
        <v>305</v>
      </c>
      <c r="B107" s="165" t="s">
        <v>594</v>
      </c>
      <c r="C107" s="241">
        <v>36</v>
      </c>
      <c r="D107" s="241">
        <v>29</v>
      </c>
      <c r="E107" s="189">
        <v>30</v>
      </c>
      <c r="F107" s="189">
        <v>43</v>
      </c>
      <c r="G107" s="189">
        <v>38</v>
      </c>
      <c r="H107" s="189">
        <v>69</v>
      </c>
      <c r="I107" s="189">
        <v>107</v>
      </c>
      <c r="J107" s="189">
        <v>129</v>
      </c>
      <c r="K107" s="189">
        <v>133</v>
      </c>
      <c r="L107" s="189">
        <v>151</v>
      </c>
      <c r="M107" s="189">
        <v>170</v>
      </c>
      <c r="N107" s="189">
        <v>169</v>
      </c>
      <c r="O107" s="189">
        <v>182</v>
      </c>
      <c r="P107" s="189">
        <v>226</v>
      </c>
      <c r="Q107" s="189">
        <v>375</v>
      </c>
      <c r="R107" s="189">
        <v>374</v>
      </c>
      <c r="S107" s="189">
        <v>498</v>
      </c>
      <c r="T107" s="189">
        <v>554</v>
      </c>
      <c r="U107" s="224" t="s">
        <v>5827</v>
      </c>
      <c r="V107" s="221" t="s">
        <v>5828</v>
      </c>
      <c r="W107" s="225">
        <v>535</v>
      </c>
      <c r="X107" s="221" t="s">
        <v>5335</v>
      </c>
      <c r="Y107" s="221" t="s">
        <v>5829</v>
      </c>
      <c r="Z107" s="221" t="s">
        <v>5671</v>
      </c>
      <c r="AA107" s="221" t="s">
        <v>5830</v>
      </c>
      <c r="AB107" s="221" t="s">
        <v>3040</v>
      </c>
      <c r="AC107" s="221">
        <v>268</v>
      </c>
      <c r="AD107" s="221">
        <v>275</v>
      </c>
      <c r="AE107" s="221">
        <v>298</v>
      </c>
      <c r="AF107" s="221" t="s">
        <v>5831</v>
      </c>
      <c r="AG107" s="221" t="s">
        <v>5832</v>
      </c>
      <c r="AH107" s="221">
        <v>333</v>
      </c>
      <c r="AI107" s="221">
        <v>340</v>
      </c>
      <c r="AJ107" s="221">
        <v>382</v>
      </c>
      <c r="AK107" s="221">
        <v>382</v>
      </c>
      <c r="AL107" s="221">
        <v>402</v>
      </c>
      <c r="AM107" s="221">
        <v>408</v>
      </c>
      <c r="AN107" s="221" t="e">
        <f>VLOOKUP(B107,正厂竞争者数据汇总!D:CL,25,FALSE)</f>
        <v>#N/A</v>
      </c>
      <c r="BD107" s="202">
        <f>IFERROR(VLOOKUP(B107,Sheet4!A:D,4,FALSE),"")</f>
        <v>340</v>
      </c>
    </row>
    <row r="108" spans="1:56">
      <c r="A108" s="89" t="s">
        <v>446</v>
      </c>
      <c r="B108" s="165" t="s">
        <v>5115</v>
      </c>
      <c r="C108" s="211">
        <v>40</v>
      </c>
      <c r="D108" s="211">
        <v>41</v>
      </c>
      <c r="E108" s="189">
        <v>38</v>
      </c>
      <c r="F108" s="189">
        <v>40</v>
      </c>
      <c r="G108" s="189">
        <v>44</v>
      </c>
      <c r="H108" s="189">
        <v>59</v>
      </c>
      <c r="I108" s="189">
        <v>92</v>
      </c>
      <c r="J108" s="189">
        <v>96</v>
      </c>
      <c r="K108" s="189">
        <v>102</v>
      </c>
      <c r="L108" s="189">
        <v>110</v>
      </c>
      <c r="M108" s="189">
        <v>122</v>
      </c>
      <c r="N108" s="189">
        <v>121</v>
      </c>
      <c r="O108" s="189">
        <v>118</v>
      </c>
      <c r="P108" s="189">
        <v>231</v>
      </c>
      <c r="Q108" s="189">
        <v>357</v>
      </c>
      <c r="R108" s="189">
        <v>356</v>
      </c>
      <c r="S108" s="189">
        <v>385</v>
      </c>
      <c r="T108" s="189">
        <v>428</v>
      </c>
      <c r="U108" s="224" t="s">
        <v>2778</v>
      </c>
      <c r="V108" s="221" t="s">
        <v>5608</v>
      </c>
      <c r="W108" s="225">
        <v>406</v>
      </c>
      <c r="X108" s="221" t="s">
        <v>5833</v>
      </c>
      <c r="Y108" s="221" t="s">
        <v>5834</v>
      </c>
      <c r="Z108" s="221" t="s">
        <v>5835</v>
      </c>
      <c r="AA108" s="221" t="s">
        <v>5836</v>
      </c>
      <c r="AB108" s="221" t="s">
        <v>5092</v>
      </c>
      <c r="AC108" s="221">
        <v>56</v>
      </c>
      <c r="AD108" s="221">
        <v>52</v>
      </c>
      <c r="AE108" s="221">
        <v>48</v>
      </c>
      <c r="AF108" s="221" t="s">
        <v>5837</v>
      </c>
      <c r="AG108" s="221" t="s">
        <v>5837</v>
      </c>
      <c r="AH108" s="221">
        <v>36</v>
      </c>
      <c r="AI108" s="221">
        <v>37</v>
      </c>
      <c r="AJ108" s="221">
        <v>34</v>
      </c>
      <c r="AK108" s="221">
        <v>34</v>
      </c>
      <c r="AL108" s="221">
        <v>34</v>
      </c>
      <c r="AM108" s="221">
        <v>35</v>
      </c>
      <c r="AN108" s="221" t="e">
        <f>VLOOKUP(B108,正厂竞争者数据汇总!D:CL,25,FALSE)</f>
        <v>#N/A</v>
      </c>
      <c r="BD108" s="202">
        <f>IFERROR(VLOOKUP(B108,Sheet4!A:D,4,FALSE),"")</f>
        <v>37</v>
      </c>
    </row>
    <row r="109" spans="1:56">
      <c r="A109" s="89" t="s">
        <v>230</v>
      </c>
      <c r="B109" s="165" t="s">
        <v>304</v>
      </c>
      <c r="C109" s="211"/>
      <c r="D109" s="211"/>
      <c r="E109" s="189"/>
      <c r="F109" s="18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AB109" s="221" t="s">
        <v>5838</v>
      </c>
      <c r="AC109" s="221">
        <v>125</v>
      </c>
      <c r="AD109" s="221">
        <v>136</v>
      </c>
      <c r="AE109" s="221">
        <v>143</v>
      </c>
      <c r="AF109" s="221" t="s">
        <v>5839</v>
      </c>
      <c r="AG109" s="221" t="s">
        <v>5840</v>
      </c>
      <c r="AH109" s="221">
        <v>147</v>
      </c>
      <c r="AI109" s="221">
        <v>147</v>
      </c>
      <c r="AJ109" s="221">
        <v>146</v>
      </c>
      <c r="AK109" s="221">
        <v>145</v>
      </c>
      <c r="AL109" s="221">
        <v>170</v>
      </c>
      <c r="AM109" s="221">
        <v>187</v>
      </c>
      <c r="AN109" s="221">
        <f>VLOOKUP(B109,正厂竞争者数据汇总!D:CL,25,FALSE)</f>
        <v>31125</v>
      </c>
      <c r="BD109" s="202">
        <f>IFERROR(VLOOKUP(B109,Sheet4!A:D,4,FALSE),"")</f>
        <v>147</v>
      </c>
    </row>
    <row r="110" spans="1:56">
      <c r="A110" s="89" t="s">
        <v>305</v>
      </c>
      <c r="B110" s="165" t="s">
        <v>461</v>
      </c>
      <c r="C110" s="211"/>
      <c r="D110" s="211"/>
      <c r="E110" s="189"/>
      <c r="F110" s="18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AB110" s="221" t="s">
        <v>5652</v>
      </c>
      <c r="AC110" s="221">
        <v>138</v>
      </c>
      <c r="AD110" s="221">
        <v>0</v>
      </c>
      <c r="AE110" s="221">
        <v>0</v>
      </c>
      <c r="AF110" s="221">
        <v>0</v>
      </c>
      <c r="AG110" s="221">
        <v>0</v>
      </c>
      <c r="AH110" s="221">
        <v>0</v>
      </c>
      <c r="AI110" s="221">
        <v>0</v>
      </c>
      <c r="AJ110" s="221">
        <v>0</v>
      </c>
      <c r="AK110" s="221">
        <v>0</v>
      </c>
      <c r="AL110" s="221">
        <v>121</v>
      </c>
      <c r="AM110" s="221">
        <v>109</v>
      </c>
      <c r="AN110" s="221">
        <f>VLOOKUP(B110,正厂竞争者数据汇总!D:CL,25,FALSE)</f>
        <v>4987</v>
      </c>
      <c r="BD110" s="202">
        <f>IFERROR(VLOOKUP(B110,Sheet4!A:D,4,FALSE),"")</f>
        <v>158</v>
      </c>
    </row>
    <row r="111" spans="1:56">
      <c r="A111" s="89" t="s">
        <v>5841</v>
      </c>
      <c r="B111" s="165" t="s">
        <v>597</v>
      </c>
      <c r="C111" s="211"/>
      <c r="D111" s="211"/>
      <c r="E111" s="189"/>
      <c r="F111" s="18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AB111" s="221" t="s">
        <v>5842</v>
      </c>
      <c r="AC111" s="221">
        <v>805</v>
      </c>
      <c r="AD111" s="221">
        <v>1055</v>
      </c>
      <c r="AE111" s="221">
        <v>1499</v>
      </c>
      <c r="AF111" s="221" t="s">
        <v>5843</v>
      </c>
      <c r="AG111" s="221" t="s">
        <v>5844</v>
      </c>
      <c r="AH111" s="221">
        <v>2614</v>
      </c>
      <c r="AI111" s="221">
        <v>3419</v>
      </c>
      <c r="AJ111" s="221">
        <v>3471</v>
      </c>
      <c r="AK111" s="221">
        <v>3471</v>
      </c>
      <c r="AL111" s="221">
        <v>3383</v>
      </c>
      <c r="AM111" s="221">
        <v>3335</v>
      </c>
      <c r="AN111" s="221">
        <f>VLOOKUP(B111,正厂竞争者数据汇总!D:CL,25,FALSE)</f>
        <v>205293</v>
      </c>
      <c r="BD111" s="202">
        <f>IFERROR(VLOOKUP(B111,Sheet4!A:D,4,FALSE),"")</f>
        <v>3419</v>
      </c>
    </row>
    <row r="112" spans="1:56">
      <c r="A112" s="96" t="s">
        <v>162</v>
      </c>
      <c r="B112" s="205"/>
      <c r="C112" s="97"/>
      <c r="D112" s="97"/>
      <c r="E112" s="97"/>
      <c r="AG112" s="200" t="s">
        <v>180</v>
      </c>
      <c r="AH112" s="200" t="s">
        <v>180</v>
      </c>
      <c r="AI112" s="200" t="s">
        <v>180</v>
      </c>
      <c r="AJ112" s="221"/>
      <c r="AK112" s="221"/>
      <c r="AL112" s="221"/>
      <c r="AM112" s="221"/>
      <c r="AN112" s="221"/>
      <c r="BD112" s="202" t="str">
        <f>IFERROR(VLOOKUP(B112,Sheet4!A:D,4,FALSE),"")</f>
        <v/>
      </c>
    </row>
    <row r="113" spans="1:56">
      <c r="A113" s="101" t="s">
        <v>3944</v>
      </c>
      <c r="B113" s="171" t="s">
        <v>207</v>
      </c>
      <c r="C113" s="102"/>
      <c r="D113" s="102"/>
      <c r="E113" s="102"/>
      <c r="F113" s="119"/>
      <c r="AG113" s="200" t="s">
        <v>180</v>
      </c>
      <c r="AH113" s="200" t="s">
        <v>180</v>
      </c>
      <c r="AI113" s="200" t="s">
        <v>180</v>
      </c>
      <c r="AJ113" s="221"/>
      <c r="AK113" s="221"/>
      <c r="AL113" s="221"/>
      <c r="AM113" s="221"/>
      <c r="AN113" s="221"/>
      <c r="BD113" s="202" t="str">
        <f>IFERROR(VLOOKUP(B113,Sheet4!A:D,4,FALSE),"")</f>
        <v/>
      </c>
    </row>
    <row r="114" spans="1:56">
      <c r="A114" s="88" t="s">
        <v>227</v>
      </c>
      <c r="B114" s="169" t="s">
        <v>584</v>
      </c>
      <c r="C114" s="215">
        <v>125</v>
      </c>
      <c r="D114" s="215">
        <v>156</v>
      </c>
      <c r="E114" s="190">
        <v>167</v>
      </c>
      <c r="F114" s="190">
        <v>190</v>
      </c>
      <c r="G114" s="190">
        <v>345</v>
      </c>
      <c r="H114" s="190">
        <v>474</v>
      </c>
      <c r="I114" s="190">
        <v>637</v>
      </c>
      <c r="J114" s="190">
        <v>677</v>
      </c>
      <c r="K114" s="190">
        <v>808</v>
      </c>
      <c r="L114" s="190">
        <v>887</v>
      </c>
      <c r="M114" s="190" t="s">
        <v>5295</v>
      </c>
      <c r="N114" s="190" t="s">
        <v>5295</v>
      </c>
      <c r="O114" s="190" t="s">
        <v>5295</v>
      </c>
      <c r="P114" s="190" t="s">
        <v>5279</v>
      </c>
      <c r="Q114" s="190" t="s">
        <v>5279</v>
      </c>
      <c r="R114" s="190" t="s">
        <v>5279</v>
      </c>
      <c r="S114" s="190" t="s">
        <v>5280</v>
      </c>
      <c r="T114" s="190">
        <v>1268</v>
      </c>
      <c r="U114" s="224" t="s">
        <v>5845</v>
      </c>
      <c r="V114" s="221" t="s">
        <v>5846</v>
      </c>
      <c r="W114" s="225">
        <v>1296</v>
      </c>
      <c r="X114" s="221" t="s">
        <v>5847</v>
      </c>
      <c r="Y114" s="221" t="s">
        <v>5731</v>
      </c>
      <c r="Z114" s="221" t="s">
        <v>5848</v>
      </c>
      <c r="AA114" s="221" t="s">
        <v>5849</v>
      </c>
      <c r="AB114" s="221" t="s">
        <v>5850</v>
      </c>
      <c r="AC114" s="221">
        <v>1238</v>
      </c>
      <c r="AD114" s="221">
        <v>1531</v>
      </c>
      <c r="AE114" s="221">
        <v>2071</v>
      </c>
      <c r="AF114" s="221" t="s">
        <v>5851</v>
      </c>
      <c r="AG114" s="221" t="s">
        <v>5852</v>
      </c>
      <c r="AH114" s="221">
        <v>3352</v>
      </c>
      <c r="AI114" s="221">
        <v>4062</v>
      </c>
      <c r="AJ114" s="221">
        <v>4175</v>
      </c>
      <c r="AK114" s="221">
        <v>4175</v>
      </c>
      <c r="AL114" s="221">
        <v>4587</v>
      </c>
      <c r="AM114" s="221">
        <v>4414</v>
      </c>
      <c r="AN114" s="221" t="e">
        <f>VLOOKUP(B114,正厂竞争者数据汇总!D:CL,25,FALSE)</f>
        <v>#N/A</v>
      </c>
      <c r="BD114" s="202">
        <f>IFERROR(VLOOKUP(B114,Sheet4!A:D,4,FALSE),"")</f>
        <v>4062</v>
      </c>
    </row>
    <row r="115" spans="1:56">
      <c r="A115" s="89" t="s">
        <v>243</v>
      </c>
      <c r="B115" s="164" t="s">
        <v>4562</v>
      </c>
      <c r="C115" s="232">
        <v>108</v>
      </c>
      <c r="D115" s="232">
        <v>123</v>
      </c>
      <c r="E115" s="189">
        <v>129</v>
      </c>
      <c r="F115" s="189">
        <v>126</v>
      </c>
      <c r="G115" s="189">
        <v>142</v>
      </c>
      <c r="H115" s="189">
        <v>250</v>
      </c>
      <c r="I115" s="189">
        <v>349</v>
      </c>
      <c r="J115" s="189">
        <v>349</v>
      </c>
      <c r="K115" s="189">
        <v>397</v>
      </c>
      <c r="L115" s="189">
        <v>487</v>
      </c>
      <c r="M115" s="189">
        <v>596</v>
      </c>
      <c r="N115" s="189">
        <v>508</v>
      </c>
      <c r="O115" s="189">
        <v>592</v>
      </c>
      <c r="P115" s="189">
        <v>651</v>
      </c>
      <c r="Q115" s="189">
        <v>781</v>
      </c>
      <c r="R115" s="189">
        <v>661</v>
      </c>
      <c r="S115" s="189">
        <v>719</v>
      </c>
      <c r="T115" s="189">
        <v>656</v>
      </c>
      <c r="U115" s="224" t="s">
        <v>5464</v>
      </c>
      <c r="V115" s="221" t="s">
        <v>1973</v>
      </c>
      <c r="W115" s="225">
        <v>640</v>
      </c>
      <c r="X115" s="221" t="s">
        <v>5853</v>
      </c>
      <c r="Y115" s="221" t="s">
        <v>5854</v>
      </c>
      <c r="Z115" s="221" t="s">
        <v>5855</v>
      </c>
      <c r="AA115" s="221" t="s">
        <v>5463</v>
      </c>
      <c r="AB115" s="221" t="s">
        <v>5856</v>
      </c>
      <c r="AC115" s="221">
        <v>892</v>
      </c>
      <c r="AD115" s="221">
        <v>1101</v>
      </c>
      <c r="AE115" s="221">
        <v>1193</v>
      </c>
      <c r="AF115" s="221" t="s">
        <v>5857</v>
      </c>
      <c r="AG115" s="221" t="s">
        <v>5520</v>
      </c>
      <c r="AH115" s="221">
        <v>795</v>
      </c>
      <c r="AI115" s="221">
        <v>812</v>
      </c>
      <c r="AJ115" s="221">
        <v>465</v>
      </c>
      <c r="AK115" s="221">
        <v>465</v>
      </c>
      <c r="AL115" s="221">
        <v>362</v>
      </c>
      <c r="AM115" s="221">
        <v>268</v>
      </c>
      <c r="AN115" s="221" t="e">
        <f>VLOOKUP(B115,正厂竞争者数据汇总!D:CL,25,FALSE)</f>
        <v>#N/A</v>
      </c>
      <c r="BD115" s="202">
        <f>IFERROR(VLOOKUP(B115,Sheet4!A:D,4,FALSE),"")</f>
        <v>812</v>
      </c>
    </row>
    <row r="116" spans="1:56">
      <c r="A116" s="89" t="s">
        <v>367</v>
      </c>
      <c r="B116" s="165" t="s">
        <v>4567</v>
      </c>
      <c r="C116" s="235">
        <v>68</v>
      </c>
      <c r="D116" s="235">
        <v>83</v>
      </c>
      <c r="E116" s="189">
        <v>78</v>
      </c>
      <c r="F116" s="189">
        <v>93</v>
      </c>
      <c r="G116" s="189">
        <v>168</v>
      </c>
      <c r="H116" s="189">
        <v>294</v>
      </c>
      <c r="I116" s="189">
        <v>391</v>
      </c>
      <c r="J116" s="189">
        <v>405</v>
      </c>
      <c r="K116" s="189">
        <v>449</v>
      </c>
      <c r="L116" s="189">
        <v>551</v>
      </c>
      <c r="M116" s="189">
        <v>660</v>
      </c>
      <c r="N116" s="189">
        <v>540</v>
      </c>
      <c r="O116" s="189">
        <v>616</v>
      </c>
      <c r="P116" s="189">
        <v>554</v>
      </c>
      <c r="Q116" s="189">
        <v>512</v>
      </c>
      <c r="R116" s="189">
        <v>465</v>
      </c>
      <c r="S116" s="189">
        <v>468</v>
      </c>
      <c r="T116" s="189">
        <v>490</v>
      </c>
      <c r="U116" s="224" t="s">
        <v>5858</v>
      </c>
      <c r="V116" s="221" t="s">
        <v>5334</v>
      </c>
      <c r="W116" s="225">
        <v>347</v>
      </c>
      <c r="X116" s="221" t="s">
        <v>5859</v>
      </c>
      <c r="Y116" s="221" t="s">
        <v>3843</v>
      </c>
      <c r="Z116" s="221" t="s">
        <v>5649</v>
      </c>
      <c r="AA116" s="221" t="s">
        <v>5860</v>
      </c>
      <c r="AB116" s="221" t="s">
        <v>5665</v>
      </c>
      <c r="AC116" s="221">
        <v>187</v>
      </c>
      <c r="AD116" s="221">
        <v>278</v>
      </c>
      <c r="AE116" s="221">
        <v>341</v>
      </c>
      <c r="AF116" s="221" t="s">
        <v>5861</v>
      </c>
      <c r="AG116" s="221" t="s">
        <v>5862</v>
      </c>
      <c r="AH116" s="221">
        <v>285</v>
      </c>
      <c r="AI116" s="221">
        <v>305</v>
      </c>
      <c r="AJ116" s="221">
        <v>173</v>
      </c>
      <c r="AK116" s="221">
        <v>173</v>
      </c>
      <c r="AL116" s="221">
        <v>123</v>
      </c>
      <c r="AM116" s="221">
        <v>96</v>
      </c>
      <c r="AN116" s="221" t="e">
        <f>VLOOKUP(B116,正厂竞争者数据汇总!D:CL,25,FALSE)</f>
        <v>#N/A</v>
      </c>
      <c r="BD116" s="202">
        <f>IFERROR(VLOOKUP(B116,Sheet4!A:D,4,FALSE),"")</f>
        <v>305</v>
      </c>
    </row>
    <row r="117" ht="15.6" spans="1:56">
      <c r="A117" s="192" t="s">
        <v>230</v>
      </c>
      <c r="B117" s="182" t="s">
        <v>586</v>
      </c>
      <c r="C117" s="235"/>
      <c r="D117" s="235"/>
      <c r="E117" s="189"/>
      <c r="F117" s="189"/>
      <c r="H117" s="189"/>
      <c r="I117" s="189"/>
      <c r="J117" s="189"/>
      <c r="K117" s="189"/>
      <c r="L117" s="189"/>
      <c r="M117" s="189"/>
      <c r="N117" s="189"/>
      <c r="O117" s="189"/>
      <c r="P117" s="189"/>
      <c r="Q117" s="189"/>
      <c r="R117" s="189" t="s">
        <v>5419</v>
      </c>
      <c r="S117" s="189" t="s">
        <v>5419</v>
      </c>
      <c r="T117" s="189" t="s">
        <v>5419</v>
      </c>
      <c r="U117" s="224">
        <v>161</v>
      </c>
      <c r="V117" s="221" t="s">
        <v>5863</v>
      </c>
      <c r="W117" s="225">
        <v>204</v>
      </c>
      <c r="X117" s="221" t="s">
        <v>2870</v>
      </c>
      <c r="Y117" s="221" t="s">
        <v>5864</v>
      </c>
      <c r="Z117" s="221" t="s">
        <v>5865</v>
      </c>
      <c r="AA117" s="221" t="s">
        <v>5866</v>
      </c>
      <c r="AB117" s="221" t="s">
        <v>5651</v>
      </c>
      <c r="AC117" s="221">
        <v>216</v>
      </c>
      <c r="AD117" s="221">
        <v>235</v>
      </c>
      <c r="AE117" s="221">
        <v>264</v>
      </c>
      <c r="AF117" s="221" t="s">
        <v>2813</v>
      </c>
      <c r="AG117" s="221" t="s">
        <v>5867</v>
      </c>
      <c r="AH117" s="221">
        <v>300</v>
      </c>
      <c r="AI117" s="221">
        <v>303</v>
      </c>
      <c r="AJ117" s="221">
        <v>348</v>
      </c>
      <c r="AK117" s="221">
        <v>348</v>
      </c>
      <c r="AL117" s="221">
        <v>373</v>
      </c>
      <c r="AM117" s="221">
        <v>372</v>
      </c>
      <c r="AN117" s="221" t="e">
        <f>VLOOKUP(B117,正厂竞争者数据汇总!D:CL,25,FALSE)</f>
        <v>#N/A</v>
      </c>
      <c r="BD117" s="202">
        <f>IFERROR(VLOOKUP(B117,Sheet4!A:D,4,FALSE),"")</f>
        <v>303</v>
      </c>
    </row>
    <row r="118" spans="1:56">
      <c r="A118" s="188" t="s">
        <v>230</v>
      </c>
      <c r="B118" s="183" t="s">
        <v>585</v>
      </c>
      <c r="C118" s="235"/>
      <c r="D118" s="235"/>
      <c r="E118" s="189"/>
      <c r="F118" s="189"/>
      <c r="H118" s="189"/>
      <c r="I118" s="189"/>
      <c r="J118" s="189"/>
      <c r="K118" s="189"/>
      <c r="L118" s="189"/>
      <c r="M118" s="189"/>
      <c r="N118" s="189"/>
      <c r="O118" s="189"/>
      <c r="P118" s="189"/>
      <c r="Q118" s="189"/>
      <c r="R118" s="189" t="s">
        <v>5419</v>
      </c>
      <c r="S118" s="189" t="s">
        <v>5419</v>
      </c>
      <c r="T118" s="189" t="s">
        <v>5419</v>
      </c>
      <c r="U118" s="224">
        <v>131</v>
      </c>
      <c r="V118" s="221" t="s">
        <v>5868</v>
      </c>
      <c r="W118" s="225">
        <v>195</v>
      </c>
      <c r="X118" s="221" t="s">
        <v>5663</v>
      </c>
      <c r="Y118" s="221" t="s">
        <v>3726</v>
      </c>
      <c r="Z118" s="221" t="s">
        <v>5650</v>
      </c>
      <c r="AA118" s="221" t="s">
        <v>5869</v>
      </c>
      <c r="AB118" s="221" t="s">
        <v>5561</v>
      </c>
      <c r="AC118" s="221">
        <v>227</v>
      </c>
      <c r="AD118" s="221">
        <v>240</v>
      </c>
      <c r="AE118" s="221">
        <v>261</v>
      </c>
      <c r="AF118" s="221" t="s">
        <v>5714</v>
      </c>
      <c r="AG118" s="221" t="s">
        <v>5095</v>
      </c>
      <c r="AH118" s="221">
        <v>288</v>
      </c>
      <c r="AI118" s="221">
        <v>292</v>
      </c>
      <c r="AJ118" s="221">
        <v>295</v>
      </c>
      <c r="AK118" s="221">
        <v>299</v>
      </c>
      <c r="AL118" s="221">
        <v>346</v>
      </c>
      <c r="AM118" s="221">
        <v>357</v>
      </c>
      <c r="AN118" s="221" t="e">
        <f>VLOOKUP(B118,正厂竞争者数据汇总!D:CL,25,FALSE)</f>
        <v>#N/A</v>
      </c>
      <c r="BD118" s="202">
        <f>IFERROR(VLOOKUP(B118,Sheet4!A:D,4,FALSE),"")</f>
        <v>292</v>
      </c>
    </row>
    <row r="119" spans="1:56">
      <c r="A119" s="89" t="s">
        <v>367</v>
      </c>
      <c r="B119" s="164" t="s">
        <v>4568</v>
      </c>
      <c r="C119" s="232">
        <v>53</v>
      </c>
      <c r="D119" s="232">
        <v>59</v>
      </c>
      <c r="E119" s="189">
        <v>65</v>
      </c>
      <c r="F119" s="189">
        <v>79</v>
      </c>
      <c r="G119" s="189">
        <v>130</v>
      </c>
      <c r="H119" s="189">
        <v>239</v>
      </c>
      <c r="I119" s="189">
        <v>291</v>
      </c>
      <c r="J119" s="189">
        <v>311</v>
      </c>
      <c r="K119" s="189">
        <v>333</v>
      </c>
      <c r="L119" s="189">
        <v>393</v>
      </c>
      <c r="M119" s="189">
        <v>444</v>
      </c>
      <c r="N119" s="189">
        <v>405</v>
      </c>
      <c r="O119" s="189">
        <v>409</v>
      </c>
      <c r="P119" s="189">
        <v>373</v>
      </c>
      <c r="Q119" s="189">
        <v>353</v>
      </c>
      <c r="R119" s="189">
        <v>337</v>
      </c>
      <c r="S119" s="189">
        <v>313</v>
      </c>
      <c r="T119" s="189">
        <v>445</v>
      </c>
      <c r="U119" s="224" t="s">
        <v>5870</v>
      </c>
      <c r="V119" s="221" t="s">
        <v>5871</v>
      </c>
      <c r="W119" s="225">
        <v>377</v>
      </c>
      <c r="X119" s="221" t="s">
        <v>2778</v>
      </c>
      <c r="Y119" s="221" t="s">
        <v>5872</v>
      </c>
      <c r="Z119" s="221" t="s">
        <v>2457</v>
      </c>
      <c r="AA119" s="221" t="s">
        <v>5831</v>
      </c>
      <c r="AB119" s="221" t="s">
        <v>5815</v>
      </c>
      <c r="AC119" s="221">
        <v>338</v>
      </c>
      <c r="AD119" s="221">
        <v>484</v>
      </c>
      <c r="AE119" s="221">
        <v>748</v>
      </c>
      <c r="AF119" s="221" t="s">
        <v>5313</v>
      </c>
      <c r="AG119" s="221" t="s">
        <v>5873</v>
      </c>
      <c r="AH119" s="221">
        <v>1602</v>
      </c>
      <c r="AI119" s="221">
        <v>2296</v>
      </c>
      <c r="AJ119" s="221">
        <v>2321</v>
      </c>
      <c r="AK119" s="221">
        <v>2321</v>
      </c>
      <c r="AL119" s="221">
        <v>2209</v>
      </c>
      <c r="AM119" s="221">
        <v>2179</v>
      </c>
      <c r="AN119" s="221" t="e">
        <f>VLOOKUP(B119,正厂竞争者数据汇总!D:CL,25,FALSE)</f>
        <v>#N/A</v>
      </c>
      <c r="BD119" s="202">
        <f>IFERROR(VLOOKUP(B119,Sheet4!A:D,4,FALSE),"")</f>
        <v>2296</v>
      </c>
    </row>
    <row r="120" spans="1:56">
      <c r="A120" s="96" t="s">
        <v>177</v>
      </c>
      <c r="B120" s="205"/>
      <c r="C120" s="97"/>
      <c r="D120" s="97"/>
      <c r="E120" s="97"/>
      <c r="AG120" s="200" t="s">
        <v>180</v>
      </c>
      <c r="AH120" s="200" t="s">
        <v>180</v>
      </c>
      <c r="AI120" s="200" t="s">
        <v>180</v>
      </c>
      <c r="AJ120" s="221"/>
      <c r="AK120" s="221"/>
      <c r="AL120" s="221"/>
      <c r="AM120" s="221"/>
      <c r="AN120" s="221"/>
      <c r="BD120" s="202" t="str">
        <f>IFERROR(VLOOKUP(B120,Sheet4!A:D,4,FALSE),"")</f>
        <v/>
      </c>
    </row>
    <row r="121" spans="1:56">
      <c r="A121" s="101" t="s">
        <v>3944</v>
      </c>
      <c r="B121" s="171" t="s">
        <v>207</v>
      </c>
      <c r="C121" s="102"/>
      <c r="D121" s="102"/>
      <c r="E121" s="102"/>
      <c r="F121" s="119"/>
      <c r="AG121" s="200" t="s">
        <v>180</v>
      </c>
      <c r="AH121" s="200" t="s">
        <v>180</v>
      </c>
      <c r="AI121" s="200" t="s">
        <v>180</v>
      </c>
      <c r="AJ121" s="221"/>
      <c r="AK121" s="221"/>
      <c r="AL121" s="221"/>
      <c r="AM121" s="221"/>
      <c r="AN121" s="221"/>
      <c r="BD121" s="202" t="str">
        <f>IFERROR(VLOOKUP(B121,Sheet4!A:D,4,FALSE),"")</f>
        <v/>
      </c>
    </row>
    <row r="122" spans="1:56">
      <c r="A122" s="89" t="s">
        <v>4573</v>
      </c>
      <c r="B122" s="165" t="s">
        <v>605</v>
      </c>
      <c r="C122" s="189" t="s">
        <v>5419</v>
      </c>
      <c r="D122" s="189" t="s">
        <v>5419</v>
      </c>
      <c r="E122" s="189" t="s">
        <v>5419</v>
      </c>
      <c r="F122" s="189" t="s">
        <v>5419</v>
      </c>
      <c r="G122" s="208" t="s">
        <v>5419</v>
      </c>
      <c r="H122" s="208" t="s">
        <v>5419</v>
      </c>
      <c r="I122" s="208" t="s">
        <v>5419</v>
      </c>
      <c r="J122" s="198" t="s">
        <v>5419</v>
      </c>
      <c r="K122" s="198" t="s">
        <v>5419</v>
      </c>
      <c r="L122" s="198" t="s">
        <v>5419</v>
      </c>
      <c r="M122" s="198" t="s">
        <v>5419</v>
      </c>
      <c r="N122" s="198" t="s">
        <v>5419</v>
      </c>
      <c r="O122" s="198" t="s">
        <v>5419</v>
      </c>
      <c r="P122" s="198" t="s">
        <v>5419</v>
      </c>
      <c r="Q122" s="221"/>
      <c r="R122" s="198" t="s">
        <v>5419</v>
      </c>
      <c r="S122" s="198" t="s">
        <v>5419</v>
      </c>
      <c r="T122" s="198">
        <v>848</v>
      </c>
      <c r="U122" s="224" t="s">
        <v>5874</v>
      </c>
      <c r="V122" s="221" t="s">
        <v>5875</v>
      </c>
      <c r="W122" s="225">
        <v>872</v>
      </c>
      <c r="X122" s="221" t="s">
        <v>5305</v>
      </c>
      <c r="Y122" s="221" t="s">
        <v>5876</v>
      </c>
      <c r="Z122" s="221" t="s">
        <v>5877</v>
      </c>
      <c r="AA122" s="221" t="s">
        <v>5856</v>
      </c>
      <c r="AB122" s="221" t="s">
        <v>1975</v>
      </c>
      <c r="AC122" s="221">
        <v>893</v>
      </c>
      <c r="AD122" s="221">
        <v>1126</v>
      </c>
      <c r="AE122" s="221">
        <v>1552</v>
      </c>
      <c r="AF122" s="221" t="s">
        <v>5878</v>
      </c>
      <c r="AG122" s="221" t="s">
        <v>5879</v>
      </c>
      <c r="AH122" s="221">
        <v>2506</v>
      </c>
      <c r="AI122" s="221">
        <v>3347</v>
      </c>
      <c r="AJ122" s="221">
        <v>3278</v>
      </c>
      <c r="AK122" s="221">
        <v>3278</v>
      </c>
      <c r="AL122" s="221">
        <v>3162</v>
      </c>
      <c r="AM122" s="221">
        <v>3078</v>
      </c>
      <c r="AN122" s="221">
        <f>VLOOKUP(B122,正厂竞争者数据汇总!D:CL,25,FALSE)</f>
        <v>78222</v>
      </c>
      <c r="BD122" s="202">
        <f>IFERROR(VLOOKUP(B122,Sheet4!A:D,4,FALSE),"")</f>
        <v>3347</v>
      </c>
    </row>
    <row r="123" spans="1:56">
      <c r="A123" s="88" t="s">
        <v>227</v>
      </c>
      <c r="B123" s="170" t="s">
        <v>598</v>
      </c>
      <c r="C123" s="190">
        <v>87</v>
      </c>
      <c r="D123" s="190">
        <v>102</v>
      </c>
      <c r="E123" s="190">
        <v>120</v>
      </c>
      <c r="F123" s="190">
        <v>134</v>
      </c>
      <c r="G123" s="190">
        <v>253</v>
      </c>
      <c r="H123" s="190">
        <v>388</v>
      </c>
      <c r="I123" s="190">
        <v>541</v>
      </c>
      <c r="J123" s="190">
        <v>566</v>
      </c>
      <c r="K123" s="190">
        <v>648</v>
      </c>
      <c r="L123" s="190">
        <v>759</v>
      </c>
      <c r="M123" s="190">
        <v>949</v>
      </c>
      <c r="N123" s="190">
        <v>943</v>
      </c>
      <c r="O123" s="190">
        <v>865</v>
      </c>
      <c r="P123" s="190">
        <v>816</v>
      </c>
      <c r="Q123" s="190">
        <v>753</v>
      </c>
      <c r="R123" s="190">
        <v>814</v>
      </c>
      <c r="S123" s="190">
        <v>955</v>
      </c>
      <c r="T123" s="190">
        <v>944</v>
      </c>
      <c r="U123" s="224" t="s">
        <v>5880</v>
      </c>
      <c r="V123" s="221" t="s">
        <v>5881</v>
      </c>
      <c r="W123" s="225">
        <v>962</v>
      </c>
      <c r="X123" s="221" t="s">
        <v>5882</v>
      </c>
      <c r="Y123" s="221" t="s">
        <v>2015</v>
      </c>
      <c r="Z123" s="221" t="s">
        <v>5550</v>
      </c>
      <c r="AA123" s="221" t="s">
        <v>5883</v>
      </c>
      <c r="AB123" s="221" t="s">
        <v>5884</v>
      </c>
      <c r="AC123" s="221">
        <v>1032</v>
      </c>
      <c r="AD123" s="221">
        <v>1323</v>
      </c>
      <c r="AE123" s="221">
        <v>1841</v>
      </c>
      <c r="AF123" s="221" t="s">
        <v>5385</v>
      </c>
      <c r="AG123" s="221" t="s">
        <v>3617</v>
      </c>
      <c r="AH123" s="221">
        <v>2978</v>
      </c>
      <c r="AI123" s="221">
        <v>3752</v>
      </c>
      <c r="AJ123" s="221">
        <v>3822</v>
      </c>
      <c r="AK123" s="221">
        <v>3822</v>
      </c>
      <c r="AL123" s="221">
        <v>3957</v>
      </c>
      <c r="AM123" s="221">
        <v>3820</v>
      </c>
      <c r="AN123" s="221" t="e">
        <f>VLOOKUP(B123,正厂竞争者数据汇总!D:CL,25,FALSE)</f>
        <v>#N/A</v>
      </c>
      <c r="BD123" s="202">
        <f>IFERROR(VLOOKUP(B123,Sheet4!A:D,4,FALSE),"")</f>
        <v>3752</v>
      </c>
    </row>
    <row r="124" spans="1:56">
      <c r="A124" s="89" t="s">
        <v>230</v>
      </c>
      <c r="B124" s="165" t="s">
        <v>599</v>
      </c>
      <c r="C124" s="189">
        <v>24</v>
      </c>
      <c r="D124" s="189">
        <v>21</v>
      </c>
      <c r="E124" s="189">
        <v>25</v>
      </c>
      <c r="F124" s="189">
        <v>33</v>
      </c>
      <c r="G124" s="189">
        <v>30</v>
      </c>
      <c r="H124" s="189">
        <v>55</v>
      </c>
      <c r="I124" s="189">
        <v>89</v>
      </c>
      <c r="J124" s="189">
        <v>104</v>
      </c>
      <c r="K124" s="189">
        <v>116</v>
      </c>
      <c r="L124" s="189">
        <v>129</v>
      </c>
      <c r="M124" s="189">
        <v>136</v>
      </c>
      <c r="N124" s="189">
        <v>134</v>
      </c>
      <c r="O124" s="189">
        <v>139</v>
      </c>
      <c r="P124" s="189">
        <v>113</v>
      </c>
      <c r="Q124" s="189">
        <v>109</v>
      </c>
      <c r="R124" s="189">
        <v>112</v>
      </c>
      <c r="S124" s="189">
        <v>280</v>
      </c>
      <c r="T124" s="189">
        <v>356</v>
      </c>
      <c r="U124" s="224" t="s">
        <v>5885</v>
      </c>
      <c r="V124" s="221" t="s">
        <v>3039</v>
      </c>
      <c r="W124" s="225">
        <v>414</v>
      </c>
      <c r="X124" s="221" t="s">
        <v>5713</v>
      </c>
      <c r="Y124" s="221" t="s">
        <v>5675</v>
      </c>
      <c r="Z124" s="221" t="s">
        <v>5886</v>
      </c>
      <c r="AA124" s="221" t="s">
        <v>2599</v>
      </c>
      <c r="AB124" s="221" t="s">
        <v>3565</v>
      </c>
      <c r="AC124" s="221">
        <v>233</v>
      </c>
      <c r="AD124" s="221">
        <v>240</v>
      </c>
      <c r="AE124" s="221">
        <v>261</v>
      </c>
      <c r="AF124" s="221" t="s">
        <v>3801</v>
      </c>
      <c r="AG124" s="221" t="s">
        <v>5887</v>
      </c>
      <c r="AH124" s="221">
        <v>307</v>
      </c>
      <c r="AI124" s="221">
        <v>310</v>
      </c>
      <c r="AJ124" s="221">
        <v>303</v>
      </c>
      <c r="AK124" s="221">
        <v>303</v>
      </c>
      <c r="AL124" s="221">
        <v>318</v>
      </c>
      <c r="AM124" s="221">
        <v>323</v>
      </c>
      <c r="AN124" s="221" t="e">
        <f>VLOOKUP(B124,正厂竞争者数据汇总!D:CL,25,FALSE)</f>
        <v>#N/A</v>
      </c>
      <c r="BD124" s="202">
        <f>IFERROR(VLOOKUP(B124,Sheet4!A:D,4,FALSE),"")</f>
        <v>310</v>
      </c>
    </row>
    <row r="125" spans="1:56">
      <c r="A125" s="89" t="s">
        <v>230</v>
      </c>
      <c r="B125" s="165" t="s">
        <v>602</v>
      </c>
      <c r="C125" s="189">
        <v>23</v>
      </c>
      <c r="D125" s="189">
        <v>27</v>
      </c>
      <c r="E125" s="189">
        <v>28</v>
      </c>
      <c r="F125" s="189">
        <v>24</v>
      </c>
      <c r="G125" s="189">
        <v>23</v>
      </c>
      <c r="H125" s="189">
        <v>25</v>
      </c>
      <c r="I125" s="189">
        <v>47</v>
      </c>
      <c r="J125" s="189">
        <v>50</v>
      </c>
      <c r="K125" s="189">
        <v>49</v>
      </c>
      <c r="L125" s="189">
        <v>56</v>
      </c>
      <c r="M125" s="189">
        <v>65</v>
      </c>
      <c r="N125" s="189">
        <v>48</v>
      </c>
      <c r="O125" s="189">
        <v>71</v>
      </c>
      <c r="P125" s="189">
        <v>113</v>
      </c>
      <c r="Q125" s="189">
        <v>64</v>
      </c>
      <c r="R125" s="189">
        <v>68</v>
      </c>
      <c r="S125" s="189">
        <v>146</v>
      </c>
      <c r="T125" s="189">
        <v>230</v>
      </c>
      <c r="U125" s="224" t="s">
        <v>5557</v>
      </c>
      <c r="V125" s="221" t="s">
        <v>2868</v>
      </c>
      <c r="W125" s="225">
        <v>303</v>
      </c>
      <c r="X125" s="221" t="s">
        <v>5888</v>
      </c>
      <c r="Y125" s="221" t="s">
        <v>5333</v>
      </c>
      <c r="Z125" s="221" t="s">
        <v>5869</v>
      </c>
      <c r="AA125" s="221" t="s">
        <v>1828</v>
      </c>
      <c r="AB125" s="221" t="s">
        <v>5889</v>
      </c>
      <c r="AC125" s="221">
        <v>205</v>
      </c>
      <c r="AD125" s="221">
        <v>201</v>
      </c>
      <c r="AE125" s="221">
        <v>210</v>
      </c>
      <c r="AF125" s="221" t="s">
        <v>5869</v>
      </c>
      <c r="AG125" s="221" t="s">
        <v>5152</v>
      </c>
      <c r="AH125" s="221">
        <v>222</v>
      </c>
      <c r="AI125" s="221">
        <v>226</v>
      </c>
      <c r="AJ125" s="221">
        <v>223</v>
      </c>
      <c r="AK125" s="221">
        <v>219</v>
      </c>
      <c r="AL125" s="221">
        <v>239</v>
      </c>
      <c r="AM125" s="221">
        <v>237</v>
      </c>
      <c r="AN125" s="221" t="e">
        <f>VLOOKUP(B125,正厂竞争者数据汇总!D:CL,25,FALSE)</f>
        <v>#N/A</v>
      </c>
      <c r="BD125" s="202">
        <f>IFERROR(VLOOKUP(B125,Sheet4!A:D,4,FALSE),"")</f>
        <v>226</v>
      </c>
    </row>
    <row r="126" spans="1:56">
      <c r="A126" s="89" t="s">
        <v>230</v>
      </c>
      <c r="B126" s="165" t="s">
        <v>4588</v>
      </c>
      <c r="C126" s="189">
        <v>22</v>
      </c>
      <c r="D126" s="189">
        <v>16</v>
      </c>
      <c r="E126" s="189">
        <v>18</v>
      </c>
      <c r="F126" s="189">
        <v>20</v>
      </c>
      <c r="G126" s="189">
        <v>20</v>
      </c>
      <c r="H126" s="189">
        <v>41</v>
      </c>
      <c r="I126" s="189">
        <v>60</v>
      </c>
      <c r="J126" s="189">
        <v>73</v>
      </c>
      <c r="K126" s="189">
        <v>80</v>
      </c>
      <c r="L126" s="189">
        <v>91</v>
      </c>
      <c r="M126" s="189">
        <v>99</v>
      </c>
      <c r="N126" s="189">
        <v>111</v>
      </c>
      <c r="O126" s="189">
        <v>108</v>
      </c>
      <c r="P126" s="189">
        <v>80</v>
      </c>
      <c r="Q126" s="189">
        <v>79</v>
      </c>
      <c r="R126" s="189">
        <v>88</v>
      </c>
      <c r="S126" s="189">
        <v>222</v>
      </c>
      <c r="T126" s="189">
        <v>281</v>
      </c>
      <c r="U126" s="224" t="s">
        <v>5867</v>
      </c>
      <c r="V126" s="221" t="s">
        <v>5890</v>
      </c>
      <c r="W126" s="225">
        <v>312</v>
      </c>
      <c r="X126" s="221" t="s">
        <v>5572</v>
      </c>
      <c r="Y126" s="221" t="s">
        <v>5832</v>
      </c>
      <c r="Z126" s="221" t="s">
        <v>5838</v>
      </c>
      <c r="AA126" s="221" t="s">
        <v>5891</v>
      </c>
      <c r="AB126" s="221" t="s">
        <v>5619</v>
      </c>
      <c r="AC126" s="221">
        <v>100</v>
      </c>
      <c r="AD126" s="221">
        <v>86</v>
      </c>
      <c r="AE126" s="221">
        <v>74</v>
      </c>
      <c r="AF126" s="221" t="s">
        <v>5892</v>
      </c>
      <c r="AG126" s="221" t="s">
        <v>5893</v>
      </c>
      <c r="AH126" s="221">
        <v>56</v>
      </c>
      <c r="AI126" s="221">
        <v>55</v>
      </c>
      <c r="AJ126" s="221">
        <v>49</v>
      </c>
      <c r="AK126" s="221">
        <v>41</v>
      </c>
      <c r="AL126" s="221">
        <v>39</v>
      </c>
      <c r="AM126" s="221">
        <v>38</v>
      </c>
      <c r="AN126" s="221" t="e">
        <f>VLOOKUP(B126,正厂竞争者数据汇总!D:CL,25,FALSE)</f>
        <v>#N/A</v>
      </c>
      <c r="BD126" s="202">
        <f>IFERROR(VLOOKUP(B126,Sheet4!A:D,4,FALSE),"")</f>
        <v>55</v>
      </c>
    </row>
    <row r="127" spans="1:56">
      <c r="A127" s="89" t="s">
        <v>468</v>
      </c>
      <c r="B127" s="165" t="s">
        <v>603</v>
      </c>
      <c r="C127" s="189">
        <v>272</v>
      </c>
      <c r="D127" s="189">
        <v>211</v>
      </c>
      <c r="E127" s="189">
        <v>237</v>
      </c>
      <c r="F127" s="189"/>
      <c r="G127" s="189">
        <v>206</v>
      </c>
      <c r="H127" s="189">
        <v>340</v>
      </c>
      <c r="I127" s="189">
        <v>751</v>
      </c>
      <c r="J127" s="189">
        <v>808</v>
      </c>
      <c r="K127" s="189">
        <v>926</v>
      </c>
      <c r="L127" s="189">
        <v>981</v>
      </c>
      <c r="M127" s="189" t="s">
        <v>5279</v>
      </c>
      <c r="N127" s="189" t="s">
        <v>5407</v>
      </c>
      <c r="O127" s="189">
        <v>986</v>
      </c>
      <c r="P127" s="189">
        <v>924</v>
      </c>
      <c r="Q127" s="189">
        <v>857</v>
      </c>
      <c r="R127" s="189">
        <v>814</v>
      </c>
      <c r="S127" s="189">
        <v>745</v>
      </c>
      <c r="T127" s="189">
        <v>684</v>
      </c>
      <c r="U127" s="224" t="s">
        <v>1916</v>
      </c>
      <c r="V127" s="221" t="s">
        <v>3039</v>
      </c>
      <c r="W127" s="225">
        <v>403</v>
      </c>
      <c r="X127" s="221" t="s">
        <v>5894</v>
      </c>
      <c r="Y127" s="221" t="s">
        <v>5338</v>
      </c>
      <c r="Z127" s="221" t="s">
        <v>5783</v>
      </c>
      <c r="AA127" s="221" t="s">
        <v>5335</v>
      </c>
      <c r="AB127" s="221" t="s">
        <v>5676</v>
      </c>
      <c r="AC127" s="221">
        <v>421</v>
      </c>
      <c r="AD127" s="221">
        <v>407</v>
      </c>
      <c r="AE127" s="221">
        <v>446</v>
      </c>
      <c r="AF127" s="221" t="s">
        <v>5895</v>
      </c>
      <c r="AG127" s="221" t="s">
        <v>5896</v>
      </c>
      <c r="AH127" s="221">
        <v>483</v>
      </c>
      <c r="AI127" s="221">
        <v>487</v>
      </c>
      <c r="AJ127" s="221">
        <v>457</v>
      </c>
      <c r="AK127" s="221">
        <v>457</v>
      </c>
      <c r="AL127" s="221">
        <v>482</v>
      </c>
      <c r="AM127" s="221">
        <v>489</v>
      </c>
      <c r="AN127" s="221" t="e">
        <f>VLOOKUP(B127,正厂竞争者数据汇总!D:CL,25,FALSE)</f>
        <v>#N/A</v>
      </c>
      <c r="BD127" s="202">
        <f>IFERROR(VLOOKUP(B127,Sheet4!A:D,4,FALSE),"")</f>
        <v>487</v>
      </c>
    </row>
    <row r="128" spans="1:56">
      <c r="A128" s="96" t="s">
        <v>171</v>
      </c>
      <c r="B128" s="205"/>
      <c r="C128" s="97"/>
      <c r="D128" s="97"/>
      <c r="E128" s="97"/>
      <c r="AG128" s="200" t="s">
        <v>180</v>
      </c>
      <c r="AH128" s="200" t="s">
        <v>180</v>
      </c>
      <c r="AI128" s="200" t="s">
        <v>180</v>
      </c>
      <c r="AJ128" s="221"/>
      <c r="AK128" s="221"/>
      <c r="AL128" s="221"/>
      <c r="AM128" s="221"/>
      <c r="AN128" s="221"/>
      <c r="BD128" s="202" t="str">
        <f>IFERROR(VLOOKUP(B128,Sheet4!A:D,4,FALSE),"")</f>
        <v/>
      </c>
    </row>
    <row r="129" spans="1:56">
      <c r="A129" s="101" t="s">
        <v>3944</v>
      </c>
      <c r="B129" s="171" t="s">
        <v>207</v>
      </c>
      <c r="C129" s="102"/>
      <c r="D129" s="102"/>
      <c r="E129" s="102"/>
      <c r="F129" s="119"/>
      <c r="AG129" s="200" t="s">
        <v>180</v>
      </c>
      <c r="AH129" s="200" t="s">
        <v>180</v>
      </c>
      <c r="AI129" s="200" t="s">
        <v>180</v>
      </c>
      <c r="AJ129" s="221"/>
      <c r="AK129" s="221"/>
      <c r="AL129" s="221"/>
      <c r="AM129" s="221"/>
      <c r="AN129" s="221"/>
      <c r="BD129" s="202" t="str">
        <f>IFERROR(VLOOKUP(B129,Sheet4!A:D,4,FALSE),"")</f>
        <v/>
      </c>
    </row>
    <row r="130" spans="1:56">
      <c r="A130" s="89" t="s">
        <v>230</v>
      </c>
      <c r="B130" s="165" t="s">
        <v>578</v>
      </c>
      <c r="C130" s="211">
        <v>279</v>
      </c>
      <c r="D130" s="211">
        <v>289</v>
      </c>
      <c r="E130" s="211" t="s">
        <v>5419</v>
      </c>
      <c r="F130" s="198">
        <v>281</v>
      </c>
      <c r="G130" s="189">
        <v>217</v>
      </c>
      <c r="H130" s="189">
        <v>341</v>
      </c>
      <c r="I130" s="189">
        <v>476</v>
      </c>
      <c r="J130" s="189">
        <v>482</v>
      </c>
      <c r="K130" s="189">
        <v>495</v>
      </c>
      <c r="L130" s="189">
        <v>539</v>
      </c>
      <c r="M130" s="189">
        <v>562</v>
      </c>
      <c r="N130" s="189">
        <v>571</v>
      </c>
      <c r="O130" s="189">
        <v>568</v>
      </c>
      <c r="P130" s="189">
        <v>558</v>
      </c>
      <c r="Q130" s="189">
        <v>570</v>
      </c>
      <c r="R130" s="189">
        <v>577</v>
      </c>
      <c r="T130" s="250">
        <v>830</v>
      </c>
      <c r="U130" s="224" t="s">
        <v>5897</v>
      </c>
      <c r="V130" s="221" t="s">
        <v>3009</v>
      </c>
      <c r="W130" s="225">
        <v>915</v>
      </c>
      <c r="X130" s="221" t="s">
        <v>5702</v>
      </c>
      <c r="Y130" s="221" t="s">
        <v>5768</v>
      </c>
      <c r="Z130" s="221" t="s">
        <v>5118</v>
      </c>
      <c r="AA130" s="221" t="s">
        <v>3612</v>
      </c>
      <c r="AB130" s="221" t="s">
        <v>5898</v>
      </c>
      <c r="AC130" s="221">
        <v>694</v>
      </c>
      <c r="AD130" s="221">
        <v>689</v>
      </c>
      <c r="AE130" s="221">
        <v>730</v>
      </c>
      <c r="AF130" s="221" t="s">
        <v>5899</v>
      </c>
      <c r="AG130" s="221" t="s">
        <v>5900</v>
      </c>
      <c r="AH130" s="221">
        <v>771</v>
      </c>
      <c r="AI130" s="221">
        <v>768</v>
      </c>
      <c r="AJ130" s="221">
        <v>781</v>
      </c>
      <c r="AK130" s="221">
        <v>781</v>
      </c>
      <c r="AL130" s="221">
        <v>859</v>
      </c>
      <c r="AM130" s="221">
        <v>883</v>
      </c>
      <c r="AN130" s="221" t="e">
        <f>VLOOKUP(B130,正厂竞争者数据汇总!D:CL,25,FALSE)</f>
        <v>#N/A</v>
      </c>
      <c r="BD130" s="202">
        <f>IFERROR(VLOOKUP(B130,Sheet4!A:D,4,FALSE),"")</f>
        <v>768</v>
      </c>
    </row>
    <row r="131" spans="1:56">
      <c r="A131" s="89" t="s">
        <v>243</v>
      </c>
      <c r="B131" s="165" t="s">
        <v>311</v>
      </c>
      <c r="C131" s="211">
        <v>241</v>
      </c>
      <c r="D131" s="211">
        <v>258</v>
      </c>
      <c r="E131" s="211" t="s">
        <v>5419</v>
      </c>
      <c r="F131" s="198">
        <v>425</v>
      </c>
      <c r="G131" s="189">
        <v>36</v>
      </c>
      <c r="H131" s="189">
        <v>540</v>
      </c>
      <c r="I131" s="189">
        <v>875</v>
      </c>
      <c r="J131" s="189">
        <v>991</v>
      </c>
      <c r="K131" s="189">
        <v>637</v>
      </c>
      <c r="L131" s="189">
        <v>673</v>
      </c>
      <c r="M131" s="189">
        <v>742</v>
      </c>
      <c r="N131" s="189">
        <v>799</v>
      </c>
      <c r="O131" s="189">
        <v>785</v>
      </c>
      <c r="P131" s="189">
        <v>750</v>
      </c>
      <c r="Q131" s="189">
        <v>677</v>
      </c>
      <c r="R131" s="189">
        <v>652</v>
      </c>
      <c r="T131" s="250">
        <v>682</v>
      </c>
      <c r="U131" s="224" t="s">
        <v>5901</v>
      </c>
      <c r="V131" s="221" t="s">
        <v>5722</v>
      </c>
      <c r="W131" s="225">
        <v>631</v>
      </c>
      <c r="X131" s="221" t="s">
        <v>5902</v>
      </c>
      <c r="Y131" s="221" t="s">
        <v>5903</v>
      </c>
      <c r="Z131" s="221" t="s">
        <v>5896</v>
      </c>
      <c r="AA131" s="221" t="s">
        <v>5904</v>
      </c>
      <c r="AB131" s="221" t="s">
        <v>5905</v>
      </c>
      <c r="AC131" s="221">
        <v>461</v>
      </c>
      <c r="AD131" s="221">
        <v>494</v>
      </c>
      <c r="AE131" s="221">
        <v>535</v>
      </c>
      <c r="AF131" s="221" t="s">
        <v>5906</v>
      </c>
      <c r="AG131" s="221" t="s">
        <v>5907</v>
      </c>
      <c r="AH131" s="221">
        <v>551</v>
      </c>
      <c r="AI131" s="221">
        <v>555</v>
      </c>
      <c r="AJ131" s="221">
        <v>509</v>
      </c>
      <c r="AK131" s="221">
        <v>509</v>
      </c>
      <c r="AL131" s="221">
        <v>518</v>
      </c>
      <c r="AM131" s="221">
        <v>518</v>
      </c>
      <c r="AN131" s="221">
        <f>VLOOKUP(B131,正厂竞争者数据汇总!D:CL,25,FALSE)</f>
        <v>94324</v>
      </c>
      <c r="BD131" s="202">
        <f>IFERROR(VLOOKUP(B131,Sheet4!A:D,4,FALSE),"")</f>
        <v>555</v>
      </c>
    </row>
    <row r="132" spans="1:56">
      <c r="A132" s="89" t="s">
        <v>243</v>
      </c>
      <c r="B132" s="165" t="s">
        <v>314</v>
      </c>
      <c r="C132" s="211">
        <v>38</v>
      </c>
      <c r="D132" s="211">
        <v>42</v>
      </c>
      <c r="E132" s="211" t="s">
        <v>5419</v>
      </c>
      <c r="F132" s="198">
        <v>164</v>
      </c>
      <c r="G132" s="189">
        <v>198</v>
      </c>
      <c r="H132" s="189">
        <v>333</v>
      </c>
      <c r="I132" s="189">
        <v>429</v>
      </c>
      <c r="J132" s="189">
        <v>457</v>
      </c>
      <c r="K132" s="189">
        <v>344</v>
      </c>
      <c r="L132" s="189">
        <v>388</v>
      </c>
      <c r="M132" s="189">
        <v>496</v>
      </c>
      <c r="N132" s="189">
        <v>507</v>
      </c>
      <c r="O132" s="189">
        <v>496</v>
      </c>
      <c r="P132" s="189">
        <v>482</v>
      </c>
      <c r="Q132" s="189">
        <v>486</v>
      </c>
      <c r="R132" s="189">
        <v>671</v>
      </c>
      <c r="T132" s="250">
        <v>333</v>
      </c>
      <c r="U132" s="224" t="s">
        <v>1179</v>
      </c>
      <c r="V132" s="221" t="s">
        <v>2773</v>
      </c>
      <c r="W132" s="225">
        <v>358</v>
      </c>
      <c r="X132" s="221" t="s">
        <v>5908</v>
      </c>
      <c r="Y132" s="221" t="s">
        <v>5909</v>
      </c>
      <c r="Z132" s="221" t="s">
        <v>3254</v>
      </c>
      <c r="AA132" s="221" t="s">
        <v>5327</v>
      </c>
      <c r="AB132" s="221" t="s">
        <v>5760</v>
      </c>
      <c r="AC132" s="221">
        <v>793</v>
      </c>
      <c r="AD132" s="221">
        <v>1074</v>
      </c>
      <c r="AE132" s="221">
        <v>1537</v>
      </c>
      <c r="AF132" s="221" t="s">
        <v>5910</v>
      </c>
      <c r="AG132" s="221" t="s">
        <v>5911</v>
      </c>
      <c r="AH132" s="221">
        <v>2695</v>
      </c>
      <c r="AI132" s="221">
        <v>3429</v>
      </c>
      <c r="AJ132" s="221">
        <v>3543</v>
      </c>
      <c r="AK132" s="221">
        <v>3494</v>
      </c>
      <c r="AL132" s="221">
        <v>3416</v>
      </c>
      <c r="AM132" s="221">
        <v>3267</v>
      </c>
      <c r="AN132" s="221">
        <f>VLOOKUP(B132,正厂竞争者数据汇总!D:CL,25,FALSE)</f>
        <v>97198</v>
      </c>
      <c r="BD132" s="202">
        <f>IFERROR(VLOOKUP(B132,Sheet4!A:D,4,FALSE),"")</f>
        <v>3429</v>
      </c>
    </row>
    <row r="133" spans="1:56">
      <c r="A133" s="89" t="s">
        <v>243</v>
      </c>
      <c r="B133" s="164" t="s">
        <v>388</v>
      </c>
      <c r="C133" s="232">
        <v>17</v>
      </c>
      <c r="D133" s="232">
        <v>19</v>
      </c>
      <c r="E133" s="211" t="s">
        <v>5419</v>
      </c>
      <c r="F133" s="198" t="e">
        <v>#REF!</v>
      </c>
      <c r="G133" s="189">
        <v>123</v>
      </c>
      <c r="H133" s="189">
        <v>209</v>
      </c>
      <c r="I133" s="189">
        <v>282</v>
      </c>
      <c r="J133" s="189">
        <v>293</v>
      </c>
      <c r="K133" s="189">
        <v>177</v>
      </c>
      <c r="L133" s="189">
        <v>194</v>
      </c>
      <c r="M133" s="189">
        <v>236</v>
      </c>
      <c r="N133" s="189">
        <v>225</v>
      </c>
      <c r="O133" s="189">
        <v>201</v>
      </c>
      <c r="P133" s="189">
        <v>197</v>
      </c>
      <c r="Q133" s="189">
        <v>184</v>
      </c>
      <c r="R133" s="189">
        <v>323</v>
      </c>
      <c r="T133" s="250">
        <v>147</v>
      </c>
      <c r="U133" s="224" t="s">
        <v>5912</v>
      </c>
      <c r="V133" s="221" t="s">
        <v>5807</v>
      </c>
      <c r="W133" s="225">
        <v>190</v>
      </c>
      <c r="X133" s="221" t="s">
        <v>5571</v>
      </c>
      <c r="Y133" s="221" t="s">
        <v>5481</v>
      </c>
      <c r="Z133" s="221" t="s">
        <v>5756</v>
      </c>
      <c r="AA133" s="221" t="s">
        <v>5913</v>
      </c>
      <c r="AB133" s="221" t="s">
        <v>5914</v>
      </c>
      <c r="AC133" s="221">
        <v>646</v>
      </c>
      <c r="AD133" s="221">
        <v>907</v>
      </c>
      <c r="AE133" s="221">
        <v>1367</v>
      </c>
      <c r="AF133" s="221" t="s">
        <v>5915</v>
      </c>
      <c r="AG133" s="221" t="s">
        <v>5916</v>
      </c>
      <c r="AH133" s="221">
        <v>2435</v>
      </c>
      <c r="AI133" s="221">
        <v>3215</v>
      </c>
      <c r="AJ133" s="221">
        <v>3186</v>
      </c>
      <c r="AK133" s="221">
        <v>3186</v>
      </c>
      <c r="AL133" s="221">
        <v>3056</v>
      </c>
      <c r="AM133" s="221">
        <v>2936</v>
      </c>
      <c r="AN133" s="221">
        <f>VLOOKUP(B133,正厂竞争者数据汇总!D:CL,25,FALSE)</f>
        <v>20948</v>
      </c>
      <c r="BD133" s="202">
        <f>IFERROR(VLOOKUP(B133,Sheet4!A:D,4,FALSE),"")</f>
        <v>3215</v>
      </c>
    </row>
    <row r="134" spans="1:56">
      <c r="A134" s="95" t="s">
        <v>446</v>
      </c>
      <c r="B134" s="184" t="s">
        <v>4612</v>
      </c>
      <c r="C134" s="232"/>
      <c r="D134" s="232"/>
      <c r="E134" s="211"/>
      <c r="H134" s="189"/>
      <c r="I134" s="189"/>
      <c r="J134" s="189"/>
      <c r="K134" s="189"/>
      <c r="L134" s="189"/>
      <c r="M134" s="189"/>
      <c r="N134" s="189"/>
      <c r="O134" s="189"/>
      <c r="P134" s="189"/>
      <c r="Q134" s="189"/>
      <c r="R134" s="189"/>
      <c r="T134" s="250"/>
      <c r="U134" s="224">
        <v>184</v>
      </c>
      <c r="V134" s="221" t="s">
        <v>5808</v>
      </c>
      <c r="W134" s="225">
        <v>188</v>
      </c>
      <c r="X134" s="221" t="s">
        <v>5808</v>
      </c>
      <c r="Y134" s="221" t="s">
        <v>5715</v>
      </c>
      <c r="Z134" s="221" t="s">
        <v>5776</v>
      </c>
      <c r="AA134" s="221" t="s">
        <v>5917</v>
      </c>
      <c r="AB134" s="221" t="s">
        <v>5918</v>
      </c>
      <c r="AC134" s="221">
        <v>147</v>
      </c>
      <c r="AD134" s="221">
        <v>170</v>
      </c>
      <c r="AE134" s="221">
        <v>184</v>
      </c>
      <c r="AF134" s="221" t="s">
        <v>5649</v>
      </c>
      <c r="AG134" s="221" t="s">
        <v>5497</v>
      </c>
      <c r="AH134" s="221">
        <v>242</v>
      </c>
      <c r="AI134" s="221">
        <v>248</v>
      </c>
      <c r="AJ134" s="221">
        <v>273</v>
      </c>
      <c r="AK134" s="221">
        <v>295</v>
      </c>
      <c r="AL134" s="221">
        <v>327</v>
      </c>
      <c r="AM134" s="221">
        <v>335</v>
      </c>
      <c r="AN134" s="221" t="e">
        <f>VLOOKUP(B134,正厂竞争者数据汇总!D:CL,25,FALSE)</f>
        <v>#N/A</v>
      </c>
      <c r="BD134" s="202">
        <f>IFERROR(VLOOKUP(B134,Sheet4!A:D,4,FALSE),"")</f>
        <v>248</v>
      </c>
    </row>
    <row r="135" spans="1:56">
      <c r="A135" s="89" t="s">
        <v>230</v>
      </c>
      <c r="B135" s="165" t="s">
        <v>581</v>
      </c>
      <c r="C135" s="211" t="s">
        <v>5419</v>
      </c>
      <c r="D135" s="211" t="s">
        <v>5419</v>
      </c>
      <c r="E135" s="211" t="s">
        <v>5419</v>
      </c>
      <c r="G135" s="189">
        <v>20</v>
      </c>
      <c r="H135" s="189">
        <v>22</v>
      </c>
      <c r="I135" s="189">
        <v>27</v>
      </c>
      <c r="J135" s="189">
        <v>28</v>
      </c>
      <c r="K135" s="189">
        <v>26</v>
      </c>
      <c r="L135" s="189">
        <v>30</v>
      </c>
      <c r="M135" s="189">
        <v>28</v>
      </c>
      <c r="N135" s="189">
        <v>26</v>
      </c>
      <c r="O135" s="189">
        <v>27</v>
      </c>
      <c r="P135" s="189">
        <v>33</v>
      </c>
      <c r="Q135" s="221"/>
      <c r="R135" s="189">
        <v>31</v>
      </c>
      <c r="T135" s="250">
        <v>41</v>
      </c>
      <c r="U135" s="224" t="s">
        <v>5919</v>
      </c>
      <c r="V135" s="221" t="s">
        <v>5920</v>
      </c>
      <c r="W135" s="225">
        <v>105</v>
      </c>
      <c r="X135" s="221" t="s">
        <v>1594</v>
      </c>
      <c r="Y135" s="221" t="s">
        <v>5917</v>
      </c>
      <c r="Z135" s="221" t="s">
        <v>5921</v>
      </c>
      <c r="AA135" s="221" t="s">
        <v>5921</v>
      </c>
      <c r="AB135" s="221" t="s">
        <v>5665</v>
      </c>
      <c r="AC135" s="221">
        <v>194</v>
      </c>
      <c r="AD135" s="221">
        <v>196</v>
      </c>
      <c r="AE135" s="221">
        <v>206</v>
      </c>
      <c r="AF135" s="221" t="s">
        <v>1828</v>
      </c>
      <c r="AG135" s="221" t="s">
        <v>5496</v>
      </c>
      <c r="AH135" s="221">
        <v>222</v>
      </c>
      <c r="AI135" s="221">
        <v>227</v>
      </c>
      <c r="AJ135" s="221">
        <v>219</v>
      </c>
      <c r="AK135" s="221">
        <v>219</v>
      </c>
      <c r="AL135" s="221">
        <v>228</v>
      </c>
      <c r="AM135" s="221">
        <v>234</v>
      </c>
      <c r="AN135" s="221" t="e">
        <f>VLOOKUP(B135,正厂竞争者数据汇总!D:CL,25,FALSE)</f>
        <v>#N/A</v>
      </c>
      <c r="BD135" s="202">
        <f>IFERROR(VLOOKUP(B135,Sheet4!A:D,4,FALSE),"")</f>
        <v>227</v>
      </c>
    </row>
    <row r="136" spans="1:56">
      <c r="A136" s="88" t="s">
        <v>227</v>
      </c>
      <c r="B136" s="170" t="s">
        <v>4615</v>
      </c>
      <c r="C136" s="210">
        <v>0</v>
      </c>
      <c r="D136" s="210">
        <v>0</v>
      </c>
      <c r="E136" s="211" t="s">
        <v>5419</v>
      </c>
      <c r="F136" s="244">
        <v>2</v>
      </c>
      <c r="G136" s="190">
        <v>4</v>
      </c>
      <c r="H136" s="190">
        <v>9</v>
      </c>
      <c r="I136" s="190">
        <v>11</v>
      </c>
      <c r="J136" s="190">
        <v>11</v>
      </c>
      <c r="K136" s="190">
        <v>12</v>
      </c>
      <c r="L136" s="190">
        <v>11</v>
      </c>
      <c r="M136" s="198" t="s">
        <v>5419</v>
      </c>
      <c r="N136" s="198" t="s">
        <v>5419</v>
      </c>
      <c r="O136" s="198" t="s">
        <v>5419</v>
      </c>
      <c r="P136" s="198">
        <v>10</v>
      </c>
      <c r="Q136" s="189">
        <v>35</v>
      </c>
      <c r="R136" s="189">
        <v>11</v>
      </c>
      <c r="T136" s="253">
        <v>11</v>
      </c>
      <c r="U136" s="224" t="s">
        <v>5922</v>
      </c>
      <c r="V136" s="221" t="s">
        <v>5922</v>
      </c>
      <c r="W136" s="225">
        <v>9</v>
      </c>
      <c r="X136" s="221" t="s">
        <v>5922</v>
      </c>
      <c r="Y136" s="221" t="s">
        <v>5923</v>
      </c>
      <c r="Z136" s="221" t="s">
        <v>5924</v>
      </c>
      <c r="AA136" s="221" t="s">
        <v>5925</v>
      </c>
      <c r="AB136" s="221" t="s">
        <v>5925</v>
      </c>
      <c r="AC136" s="221">
        <v>4</v>
      </c>
      <c r="AD136" s="221">
        <v>4</v>
      </c>
      <c r="AE136" s="221">
        <v>5</v>
      </c>
      <c r="AF136" s="221" t="s">
        <v>5926</v>
      </c>
      <c r="AG136" s="221" t="s">
        <v>5926</v>
      </c>
      <c r="AH136" s="221">
        <v>6</v>
      </c>
      <c r="AI136" s="221">
        <v>6</v>
      </c>
      <c r="AJ136" s="221">
        <v>6</v>
      </c>
      <c r="AK136" s="221">
        <v>6</v>
      </c>
      <c r="AL136" s="221">
        <v>6</v>
      </c>
      <c r="AM136" s="221">
        <v>6</v>
      </c>
      <c r="AN136" s="221" t="e">
        <f>VLOOKUP(B136,正厂竞争者数据汇总!D:CL,25,FALSE)</f>
        <v>#N/A</v>
      </c>
      <c r="BD136" s="202">
        <f>IFERROR(VLOOKUP(B136,Sheet4!A:D,4,FALSE),"")</f>
        <v>6</v>
      </c>
    </row>
    <row r="137" spans="1:56">
      <c r="A137" s="88" t="s">
        <v>227</v>
      </c>
      <c r="B137" s="170" t="s">
        <v>172</v>
      </c>
      <c r="C137" s="210"/>
      <c r="D137" s="210"/>
      <c r="E137" s="211"/>
      <c r="F137" s="244"/>
      <c r="G137" s="190"/>
      <c r="H137" s="234"/>
      <c r="I137" s="234"/>
      <c r="J137" s="234"/>
      <c r="K137" s="234"/>
      <c r="L137" s="234"/>
      <c r="M137" s="249"/>
      <c r="N137" s="249"/>
      <c r="O137" s="244">
        <v>2</v>
      </c>
      <c r="P137" s="244">
        <v>558</v>
      </c>
      <c r="Q137" s="190">
        <v>12</v>
      </c>
      <c r="R137" s="190">
        <v>22</v>
      </c>
      <c r="T137" s="198">
        <v>49</v>
      </c>
      <c r="U137" s="224" t="s">
        <v>5927</v>
      </c>
      <c r="V137" s="221" t="s">
        <v>5928</v>
      </c>
      <c r="W137" s="225">
        <v>87</v>
      </c>
      <c r="X137" s="221" t="s">
        <v>5840</v>
      </c>
      <c r="Y137" s="221" t="s">
        <v>5929</v>
      </c>
      <c r="Z137" s="221" t="s">
        <v>3798</v>
      </c>
      <c r="AA137" s="221" t="s">
        <v>5602</v>
      </c>
      <c r="AB137" s="221" t="s">
        <v>5676</v>
      </c>
      <c r="AC137" s="221">
        <v>492</v>
      </c>
      <c r="AD137" s="221">
        <v>706</v>
      </c>
      <c r="AE137" s="221">
        <v>1214</v>
      </c>
      <c r="AF137" s="221" t="s">
        <v>5930</v>
      </c>
      <c r="AG137" s="221" t="s">
        <v>5931</v>
      </c>
      <c r="AH137" s="221">
        <v>2420</v>
      </c>
      <c r="AI137" s="221">
        <v>3242</v>
      </c>
      <c r="AJ137" s="221">
        <v>3288</v>
      </c>
      <c r="AK137" s="221">
        <v>3288</v>
      </c>
      <c r="AL137" s="221">
        <v>3370</v>
      </c>
      <c r="AM137" s="221">
        <v>3314</v>
      </c>
      <c r="AN137" s="221">
        <f>VLOOKUP(B137,正厂竞争者数据汇总!D:CL,25,FALSE)</f>
        <v>90437</v>
      </c>
      <c r="BD137" s="202">
        <f>IFERROR(VLOOKUP(B137,Sheet4!A:D,4,FALSE),"")</f>
        <v>3242</v>
      </c>
    </row>
    <row r="138" spans="1:56">
      <c r="A138" s="96" t="s">
        <v>191</v>
      </c>
      <c r="B138" s="205"/>
      <c r="C138" s="97"/>
      <c r="D138" s="97"/>
      <c r="E138" s="97"/>
      <c r="AG138" s="200" t="s">
        <v>180</v>
      </c>
      <c r="AH138" s="200" t="s">
        <v>180</v>
      </c>
      <c r="AI138" s="200" t="s">
        <v>180</v>
      </c>
      <c r="AJ138" s="221"/>
      <c r="AK138" s="221"/>
      <c r="AL138" s="221"/>
      <c r="AM138" s="221"/>
      <c r="AN138" s="221"/>
      <c r="BD138" s="202" t="str">
        <f>IFERROR(VLOOKUP(B138,Sheet4!A:D,4,FALSE),"")</f>
        <v/>
      </c>
    </row>
    <row r="139" spans="1:56">
      <c r="A139" s="101" t="s">
        <v>3944</v>
      </c>
      <c r="B139" s="171" t="s">
        <v>207</v>
      </c>
      <c r="C139" s="102"/>
      <c r="D139" s="102"/>
      <c r="E139" s="102"/>
      <c r="F139" s="119"/>
      <c r="AG139" s="200" t="s">
        <v>180</v>
      </c>
      <c r="AH139" s="200" t="s">
        <v>180</v>
      </c>
      <c r="AI139" s="200" t="s">
        <v>180</v>
      </c>
      <c r="AJ139" s="221"/>
      <c r="AK139" s="221"/>
      <c r="AL139" s="221"/>
      <c r="AM139" s="221"/>
      <c r="AN139" s="221"/>
      <c r="BD139" s="202" t="str">
        <f>IFERROR(VLOOKUP(B139,Sheet4!A:D,4,FALSE),"")</f>
        <v/>
      </c>
    </row>
    <row r="140" spans="1:56">
      <c r="A140" s="89" t="s">
        <v>325</v>
      </c>
      <c r="B140" s="164" t="s">
        <v>606</v>
      </c>
      <c r="C140" s="198" t="s">
        <v>5419</v>
      </c>
      <c r="D140" s="198" t="s">
        <v>5419</v>
      </c>
      <c r="E140" s="198" t="s">
        <v>5419</v>
      </c>
      <c r="F140" s="198">
        <v>406</v>
      </c>
      <c r="G140" s="189">
        <v>449</v>
      </c>
      <c r="H140" s="189">
        <v>632</v>
      </c>
      <c r="I140" s="250">
        <v>980</v>
      </c>
      <c r="J140" s="189" t="s">
        <v>5279</v>
      </c>
      <c r="K140" s="189" t="s">
        <v>5280</v>
      </c>
      <c r="L140" s="189" t="s">
        <v>5358</v>
      </c>
      <c r="M140" s="189" t="s">
        <v>5282</v>
      </c>
      <c r="N140" s="189" t="s">
        <v>5282</v>
      </c>
      <c r="O140" s="189" t="s">
        <v>5282</v>
      </c>
      <c r="P140" s="189" t="s">
        <v>5282</v>
      </c>
      <c r="R140" s="189" t="s">
        <v>5358</v>
      </c>
      <c r="T140" s="189">
        <v>1224</v>
      </c>
      <c r="U140" s="224" t="s">
        <v>5932</v>
      </c>
      <c r="V140" s="221" t="s">
        <v>5933</v>
      </c>
      <c r="W140" s="225">
        <v>1195</v>
      </c>
      <c r="X140" s="221" t="s">
        <v>5934</v>
      </c>
      <c r="Y140" s="221" t="s">
        <v>5308</v>
      </c>
      <c r="Z140" s="221" t="s">
        <v>5935</v>
      </c>
      <c r="AA140" s="221" t="s">
        <v>5936</v>
      </c>
      <c r="AB140" s="221" t="s">
        <v>5937</v>
      </c>
      <c r="AC140" s="221">
        <v>1494</v>
      </c>
      <c r="AD140" s="221">
        <v>1771</v>
      </c>
      <c r="AE140" s="221">
        <v>2270</v>
      </c>
      <c r="AF140" s="221" t="s">
        <v>5938</v>
      </c>
      <c r="AG140" s="221" t="s">
        <v>5939</v>
      </c>
      <c r="AH140" s="221">
        <v>3393</v>
      </c>
      <c r="AI140" s="221">
        <v>4197</v>
      </c>
      <c r="AJ140" s="221">
        <v>4263</v>
      </c>
      <c r="AK140" s="221">
        <v>4238</v>
      </c>
      <c r="AL140" s="221">
        <v>4411</v>
      </c>
      <c r="AM140" s="221">
        <v>4274</v>
      </c>
      <c r="AN140" s="221" t="e">
        <f>VLOOKUP(B140,正厂竞争者数据汇总!D:CL,25,FALSE)</f>
        <v>#N/A</v>
      </c>
      <c r="BD140" s="202">
        <f>IFERROR(VLOOKUP(B140,Sheet4!A:D,4,FALSE),"")</f>
        <v>4197</v>
      </c>
    </row>
    <row r="141" spans="1:56">
      <c r="A141" s="89" t="s">
        <v>230</v>
      </c>
      <c r="B141" s="164" t="s">
        <v>607</v>
      </c>
      <c r="C141" s="198" t="s">
        <v>5419</v>
      </c>
      <c r="D141" s="198" t="s">
        <v>5419</v>
      </c>
      <c r="E141" s="198" t="s">
        <v>5419</v>
      </c>
      <c r="F141" s="198">
        <v>66</v>
      </c>
      <c r="G141" s="189">
        <v>55</v>
      </c>
      <c r="H141" s="189">
        <v>91</v>
      </c>
      <c r="I141" s="250">
        <v>250</v>
      </c>
      <c r="J141" s="189">
        <v>371</v>
      </c>
      <c r="K141" s="189">
        <v>141</v>
      </c>
      <c r="L141" s="189">
        <v>125</v>
      </c>
      <c r="M141" s="189">
        <v>135</v>
      </c>
      <c r="N141" s="189">
        <v>199</v>
      </c>
      <c r="O141" s="189">
        <v>194</v>
      </c>
      <c r="P141" s="189">
        <v>180</v>
      </c>
      <c r="R141" s="189">
        <v>98</v>
      </c>
      <c r="T141" s="189">
        <v>268</v>
      </c>
      <c r="U141" s="224" t="s">
        <v>5940</v>
      </c>
      <c r="V141" s="221" t="s">
        <v>5498</v>
      </c>
      <c r="W141" s="225">
        <v>280</v>
      </c>
      <c r="X141" s="221" t="s">
        <v>5867</v>
      </c>
      <c r="Y141" s="221" t="s">
        <v>2877</v>
      </c>
      <c r="Z141" s="221" t="s">
        <v>1828</v>
      </c>
      <c r="AA141" s="221" t="s">
        <v>5929</v>
      </c>
      <c r="AB141" s="221" t="s">
        <v>5941</v>
      </c>
      <c r="AC141" s="221">
        <v>185</v>
      </c>
      <c r="AD141" s="221">
        <v>171</v>
      </c>
      <c r="AE141" s="221">
        <v>163</v>
      </c>
      <c r="AF141" s="221" t="s">
        <v>5839</v>
      </c>
      <c r="AG141" s="221" t="s">
        <v>5942</v>
      </c>
      <c r="AH141" s="221">
        <v>106</v>
      </c>
      <c r="AI141" s="221">
        <v>106</v>
      </c>
      <c r="AJ141" s="221">
        <v>108</v>
      </c>
      <c r="AK141" s="221">
        <v>108</v>
      </c>
      <c r="AL141" s="221">
        <v>95</v>
      </c>
      <c r="AM141" s="221">
        <v>91</v>
      </c>
      <c r="AN141" s="221" t="e">
        <f>VLOOKUP(B141,正厂竞争者数据汇总!D:CL,25,FALSE)</f>
        <v>#N/A</v>
      </c>
      <c r="BD141" s="202">
        <f>IFERROR(VLOOKUP(B141,Sheet4!A:D,4,FALSE),"")</f>
        <v>106</v>
      </c>
    </row>
    <row r="142" spans="1:56">
      <c r="A142" s="89" t="s">
        <v>2624</v>
      </c>
      <c r="B142" s="165" t="s">
        <v>465</v>
      </c>
      <c r="C142" s="198" t="s">
        <v>5419</v>
      </c>
      <c r="D142" s="198" t="s">
        <v>5419</v>
      </c>
      <c r="E142" s="198" t="s">
        <v>5419</v>
      </c>
      <c r="F142" s="198">
        <v>17600</v>
      </c>
      <c r="G142" s="189">
        <v>19900</v>
      </c>
      <c r="H142" s="189" t="s">
        <v>5943</v>
      </c>
      <c r="I142" s="250"/>
      <c r="J142" s="189"/>
      <c r="K142" s="189"/>
      <c r="L142" s="189"/>
      <c r="M142" s="221"/>
      <c r="N142" s="198" t="s">
        <v>5419</v>
      </c>
      <c r="O142" s="198" t="s">
        <v>5419</v>
      </c>
      <c r="P142" s="198" t="s">
        <v>5419</v>
      </c>
      <c r="R142" s="189" t="s">
        <v>5944</v>
      </c>
      <c r="T142" s="221">
        <v>296</v>
      </c>
      <c r="U142" s="224" t="s">
        <v>5945</v>
      </c>
      <c r="V142" s="221" t="s">
        <v>5946</v>
      </c>
      <c r="W142" s="225">
        <v>448</v>
      </c>
      <c r="X142" s="221" t="s">
        <v>5947</v>
      </c>
      <c r="Y142" s="221" t="s">
        <v>5316</v>
      </c>
      <c r="Z142" s="221" t="s">
        <v>5842</v>
      </c>
      <c r="AA142" s="221" t="s">
        <v>1975</v>
      </c>
      <c r="AB142" s="221" t="s">
        <v>5948</v>
      </c>
      <c r="AC142" s="221">
        <v>1015</v>
      </c>
      <c r="AD142" s="221">
        <v>1329</v>
      </c>
      <c r="AE142" s="221">
        <v>1900</v>
      </c>
      <c r="AF142" s="221" t="s">
        <v>5949</v>
      </c>
      <c r="AG142" s="221" t="s">
        <v>5950</v>
      </c>
      <c r="AH142" s="221">
        <v>3168</v>
      </c>
      <c r="AI142" s="221">
        <v>3970</v>
      </c>
      <c r="AJ142" s="221">
        <v>4068</v>
      </c>
      <c r="AK142" s="221">
        <v>4068</v>
      </c>
      <c r="AL142" s="221">
        <v>3960</v>
      </c>
      <c r="AM142" s="221">
        <v>3796</v>
      </c>
      <c r="AN142" s="221">
        <f>VLOOKUP(B142,正厂竞争者数据汇总!D:CL,25,FALSE)</f>
        <v>181727</v>
      </c>
      <c r="BD142" s="202">
        <f>IFERROR(VLOOKUP(B142,Sheet4!A:D,4,FALSE),"")</f>
        <v>3970</v>
      </c>
    </row>
    <row r="143" spans="1:56">
      <c r="A143" s="89" t="s">
        <v>325</v>
      </c>
      <c r="B143" s="165" t="s">
        <v>608</v>
      </c>
      <c r="C143" s="198" t="s">
        <v>5419</v>
      </c>
      <c r="D143" s="198" t="s">
        <v>5419</v>
      </c>
      <c r="E143" s="198" t="s">
        <v>5419</v>
      </c>
      <c r="F143" s="198">
        <v>43</v>
      </c>
      <c r="G143" s="189">
        <v>55</v>
      </c>
      <c r="H143" s="189">
        <v>79</v>
      </c>
      <c r="I143" s="250">
        <v>117</v>
      </c>
      <c r="J143" s="189">
        <v>123</v>
      </c>
      <c r="K143" s="189">
        <v>136</v>
      </c>
      <c r="L143" s="189">
        <v>135</v>
      </c>
      <c r="M143" s="189">
        <v>166</v>
      </c>
      <c r="N143" s="189">
        <v>181</v>
      </c>
      <c r="O143" s="189">
        <v>172</v>
      </c>
      <c r="P143" s="189">
        <v>161</v>
      </c>
      <c r="R143" s="189">
        <v>157</v>
      </c>
      <c r="T143" s="189">
        <v>122</v>
      </c>
      <c r="U143" s="224" t="s">
        <v>5951</v>
      </c>
      <c r="V143" s="221" t="s">
        <v>5109</v>
      </c>
      <c r="W143" s="225">
        <v>193</v>
      </c>
      <c r="X143" s="221" t="s">
        <v>5804</v>
      </c>
      <c r="Y143" s="221" t="s">
        <v>5559</v>
      </c>
      <c r="Z143" s="221" t="s">
        <v>5952</v>
      </c>
      <c r="AA143" s="221" t="s">
        <v>5547</v>
      </c>
      <c r="AB143" s="221" t="s">
        <v>5720</v>
      </c>
      <c r="AC143" s="221">
        <v>760</v>
      </c>
      <c r="AD143" s="221">
        <v>1052</v>
      </c>
      <c r="AE143" s="221">
        <v>1576</v>
      </c>
      <c r="AF143" s="221" t="s">
        <v>5953</v>
      </c>
      <c r="AG143" s="221" t="s">
        <v>5954</v>
      </c>
      <c r="AH143" s="221">
        <v>2592</v>
      </c>
      <c r="AI143" s="221">
        <v>3437</v>
      </c>
      <c r="AJ143" s="221">
        <v>3374</v>
      </c>
      <c r="AK143" s="221">
        <v>3374</v>
      </c>
      <c r="AL143" s="221">
        <v>3177</v>
      </c>
      <c r="AM143" s="221">
        <v>3042</v>
      </c>
      <c r="AN143" s="221" t="e">
        <f>VLOOKUP(B143,正厂竞争者数据汇总!D:CL,25,FALSE)</f>
        <v>#N/A</v>
      </c>
      <c r="BD143" s="202">
        <f>IFERROR(VLOOKUP(B143,Sheet4!A:D,4,FALSE),"")</f>
        <v>3437</v>
      </c>
    </row>
    <row r="144" spans="2:56">
      <c r="B144" s="165" t="s">
        <v>4618</v>
      </c>
      <c r="C144" s="198" t="s">
        <v>5419</v>
      </c>
      <c r="D144" s="198" t="s">
        <v>5419</v>
      </c>
      <c r="E144" s="198" t="s">
        <v>5419</v>
      </c>
      <c r="F144" s="198">
        <v>18</v>
      </c>
      <c r="G144" s="189">
        <v>45</v>
      </c>
      <c r="H144" s="189">
        <v>77</v>
      </c>
      <c r="I144" s="250">
        <v>92</v>
      </c>
      <c r="J144" s="189">
        <v>97</v>
      </c>
      <c r="K144" s="189">
        <v>107</v>
      </c>
      <c r="L144" s="189">
        <v>119</v>
      </c>
      <c r="M144" s="189">
        <v>121</v>
      </c>
      <c r="N144" s="189">
        <v>94</v>
      </c>
      <c r="O144" s="189">
        <v>91</v>
      </c>
      <c r="P144" s="189">
        <v>89</v>
      </c>
      <c r="R144" s="189">
        <v>77</v>
      </c>
      <c r="T144" s="189">
        <v>69</v>
      </c>
      <c r="U144" s="224" t="s">
        <v>5955</v>
      </c>
      <c r="V144" s="221" t="s">
        <v>5956</v>
      </c>
      <c r="W144" s="225">
        <v>60</v>
      </c>
      <c r="X144" s="221" t="s">
        <v>5957</v>
      </c>
      <c r="Y144" s="221" t="s">
        <v>5957</v>
      </c>
      <c r="Z144" s="221" t="s">
        <v>5958</v>
      </c>
      <c r="AA144" s="221" t="s">
        <v>5959</v>
      </c>
      <c r="AB144" s="221" t="s">
        <v>5959</v>
      </c>
      <c r="AC144" s="221">
        <v>37</v>
      </c>
      <c r="AD144" s="221">
        <v>34</v>
      </c>
      <c r="AE144" s="221">
        <v>37</v>
      </c>
      <c r="AF144" s="221" t="s">
        <v>851</v>
      </c>
      <c r="AG144" s="221" t="s">
        <v>5960</v>
      </c>
      <c r="AH144" s="221">
        <v>29</v>
      </c>
      <c r="AI144" s="221">
        <v>32</v>
      </c>
      <c r="AJ144" s="221">
        <v>29</v>
      </c>
      <c r="AK144" s="221">
        <v>29</v>
      </c>
      <c r="AL144" s="221">
        <v>24</v>
      </c>
      <c r="AM144" s="221">
        <v>24</v>
      </c>
      <c r="AN144" s="221" t="e">
        <f>VLOOKUP(B144,正厂竞争者数据汇总!D:CL,25,FALSE)</f>
        <v>#N/A</v>
      </c>
      <c r="BD144" s="202">
        <f>IFERROR(VLOOKUP(B144,Sheet4!A:D,4,FALSE),"")</f>
        <v>32</v>
      </c>
    </row>
    <row r="145" spans="1:56">
      <c r="A145" s="96" t="s">
        <v>189</v>
      </c>
      <c r="B145" s="205"/>
      <c r="C145" s="97"/>
      <c r="D145" s="97"/>
      <c r="E145" s="97"/>
      <c r="J145" s="189"/>
      <c r="AG145" s="200" t="s">
        <v>180</v>
      </c>
      <c r="AH145" s="200" t="s">
        <v>180</v>
      </c>
      <c r="AI145" s="200" t="s">
        <v>180</v>
      </c>
      <c r="AJ145" s="221"/>
      <c r="AK145" s="221"/>
      <c r="AL145" s="221"/>
      <c r="AM145" s="221"/>
      <c r="AN145" s="221"/>
      <c r="BD145" s="202" t="str">
        <f>IFERROR(VLOOKUP(B145,Sheet4!A:D,4,FALSE),"")</f>
        <v/>
      </c>
    </row>
    <row r="146" spans="1:56">
      <c r="A146" s="101" t="s">
        <v>3944</v>
      </c>
      <c r="B146" s="171" t="s">
        <v>207</v>
      </c>
      <c r="C146" s="102"/>
      <c r="D146" s="102"/>
      <c r="E146" s="102"/>
      <c r="F146" s="119"/>
      <c r="AG146" s="200" t="s">
        <v>180</v>
      </c>
      <c r="AH146" s="200" t="s">
        <v>180</v>
      </c>
      <c r="AI146" s="200" t="s">
        <v>180</v>
      </c>
      <c r="AJ146" s="221"/>
      <c r="AK146" s="221"/>
      <c r="AL146" s="221"/>
      <c r="AM146" s="221"/>
      <c r="AN146" s="221"/>
      <c r="BD146" s="202" t="str">
        <f>IFERROR(VLOOKUP(B146,Sheet4!A:D,4,FALSE),"")</f>
        <v/>
      </c>
    </row>
    <row r="147" spans="1:56">
      <c r="A147" s="89" t="s">
        <v>325</v>
      </c>
      <c r="B147" s="164" t="s">
        <v>466</v>
      </c>
      <c r="C147" s="198" t="s">
        <v>5419</v>
      </c>
      <c r="D147" s="198" t="s">
        <v>5419</v>
      </c>
      <c r="E147" s="198" t="s">
        <v>5419</v>
      </c>
      <c r="F147" s="198">
        <v>9000</v>
      </c>
      <c r="G147" s="189">
        <v>218</v>
      </c>
      <c r="H147" s="189" t="s">
        <v>5961</v>
      </c>
      <c r="I147" s="189" t="s">
        <v>5962</v>
      </c>
      <c r="J147" s="189"/>
      <c r="K147" s="221"/>
      <c r="L147" s="221"/>
      <c r="M147" s="221"/>
      <c r="N147" s="221"/>
      <c r="O147" s="221"/>
      <c r="P147" s="221"/>
      <c r="Q147" s="189"/>
      <c r="R147" s="198" t="s">
        <v>5502</v>
      </c>
      <c r="T147" s="189">
        <v>635</v>
      </c>
      <c r="U147" s="224" t="s">
        <v>5963</v>
      </c>
      <c r="V147" s="221" t="s">
        <v>5964</v>
      </c>
      <c r="W147" s="225">
        <v>809</v>
      </c>
      <c r="X147" s="221" t="s">
        <v>5325</v>
      </c>
      <c r="Y147" s="221" t="s">
        <v>5461</v>
      </c>
      <c r="Z147" s="221" t="s">
        <v>5933</v>
      </c>
      <c r="AA147" s="221" t="s">
        <v>2016</v>
      </c>
      <c r="AB147" s="221" t="s">
        <v>5516</v>
      </c>
      <c r="AC147" s="221">
        <v>1341</v>
      </c>
      <c r="AD147" s="221">
        <v>1635</v>
      </c>
      <c r="AE147" s="221">
        <v>2130</v>
      </c>
      <c r="AF147" s="221" t="s">
        <v>5965</v>
      </c>
      <c r="AG147" s="221" t="s">
        <v>5966</v>
      </c>
      <c r="AH147" s="221">
        <v>3376</v>
      </c>
      <c r="AI147" s="221">
        <v>4113</v>
      </c>
      <c r="AJ147" s="221">
        <v>4169</v>
      </c>
      <c r="AK147" s="221">
        <v>4169</v>
      </c>
      <c r="AL147" s="221">
        <v>4111</v>
      </c>
      <c r="AM147" s="221">
        <v>3959</v>
      </c>
      <c r="AN147" s="221">
        <f>VLOOKUP(B147,正厂竞争者数据汇总!D:CL,25,FALSE)</f>
        <v>387977</v>
      </c>
      <c r="BD147" s="202">
        <f>IFERROR(VLOOKUP(B147,Sheet4!A:D,4,FALSE),"")</f>
        <v>4113</v>
      </c>
    </row>
    <row r="148" spans="1:56">
      <c r="A148" s="89" t="s">
        <v>230</v>
      </c>
      <c r="B148" s="164" t="s">
        <v>609</v>
      </c>
      <c r="C148" s="232">
        <v>150</v>
      </c>
      <c r="D148" s="232">
        <v>134</v>
      </c>
      <c r="E148" s="232" t="s">
        <v>5419</v>
      </c>
      <c r="F148" s="198">
        <v>144</v>
      </c>
      <c r="G148" s="189">
        <v>145</v>
      </c>
      <c r="H148" s="189">
        <v>188</v>
      </c>
      <c r="I148" s="189">
        <v>280</v>
      </c>
      <c r="J148" s="189">
        <v>283</v>
      </c>
      <c r="K148" s="189">
        <v>302</v>
      </c>
      <c r="L148" s="189">
        <v>317</v>
      </c>
      <c r="M148" s="189">
        <v>345</v>
      </c>
      <c r="N148" s="189">
        <v>340</v>
      </c>
      <c r="O148" s="189">
        <v>342</v>
      </c>
      <c r="P148" s="189">
        <v>326</v>
      </c>
      <c r="Q148" s="189">
        <v>303</v>
      </c>
      <c r="R148" s="189">
        <v>279</v>
      </c>
      <c r="T148" s="189">
        <v>533</v>
      </c>
      <c r="U148" s="224" t="s">
        <v>5740</v>
      </c>
      <c r="V148" s="221" t="s">
        <v>5967</v>
      </c>
      <c r="W148" s="225">
        <v>638</v>
      </c>
      <c r="X148" s="221" t="s">
        <v>5478</v>
      </c>
      <c r="Y148" s="221" t="s">
        <v>5968</v>
      </c>
      <c r="Z148" s="221" t="s">
        <v>5969</v>
      </c>
      <c r="AA148" s="221" t="s">
        <v>5803</v>
      </c>
      <c r="AB148" s="221" t="s">
        <v>1732</v>
      </c>
      <c r="AC148" s="221">
        <v>483</v>
      </c>
      <c r="AD148" s="221">
        <v>491</v>
      </c>
      <c r="AE148" s="221">
        <v>638</v>
      </c>
      <c r="AF148" s="221" t="s">
        <v>5659</v>
      </c>
      <c r="AG148" s="221" t="s">
        <v>5970</v>
      </c>
      <c r="AH148" s="221">
        <v>826</v>
      </c>
      <c r="AI148" s="221">
        <v>852</v>
      </c>
      <c r="AJ148" s="221">
        <v>829</v>
      </c>
      <c r="AK148" s="221">
        <v>829</v>
      </c>
      <c r="AL148" s="221">
        <v>793</v>
      </c>
      <c r="AM148" s="221">
        <v>766</v>
      </c>
      <c r="AN148" s="221" t="e">
        <f>VLOOKUP(B148,正厂竞争者数据汇总!D:CL,25,FALSE)</f>
        <v>#N/A</v>
      </c>
      <c r="BD148" s="202">
        <f>IFERROR(VLOOKUP(B148,Sheet4!A:D,4,FALSE),"")</f>
        <v>852</v>
      </c>
    </row>
    <row r="149" spans="1:56">
      <c r="A149" s="89" t="s">
        <v>243</v>
      </c>
      <c r="B149" s="164" t="s">
        <v>610</v>
      </c>
      <c r="C149" s="232">
        <v>388</v>
      </c>
      <c r="D149" s="232">
        <v>357</v>
      </c>
      <c r="E149" s="232" t="s">
        <v>5419</v>
      </c>
      <c r="F149" s="198">
        <v>354</v>
      </c>
      <c r="G149" s="189">
        <v>361</v>
      </c>
      <c r="H149" s="189">
        <v>527</v>
      </c>
      <c r="I149" s="189">
        <v>867</v>
      </c>
      <c r="J149" s="189">
        <v>985</v>
      </c>
      <c r="K149" s="189" t="s">
        <v>5295</v>
      </c>
      <c r="L149" s="189" t="s">
        <v>5280</v>
      </c>
      <c r="M149" s="189" t="s">
        <v>5282</v>
      </c>
      <c r="N149" s="189" t="s">
        <v>5282</v>
      </c>
      <c r="O149" s="189" t="s">
        <v>5282</v>
      </c>
      <c r="P149" s="189" t="s">
        <v>5282</v>
      </c>
      <c r="Q149" s="189" t="s">
        <v>5281</v>
      </c>
      <c r="R149" s="189" t="s">
        <v>5358</v>
      </c>
      <c r="T149" s="189">
        <v>1137</v>
      </c>
      <c r="U149" s="224" t="s">
        <v>5971</v>
      </c>
      <c r="V149" s="221" t="s">
        <v>5305</v>
      </c>
      <c r="W149" s="225">
        <v>1006</v>
      </c>
      <c r="X149" s="221" t="s">
        <v>5456</v>
      </c>
      <c r="Y149" s="221" t="s">
        <v>5972</v>
      </c>
      <c r="Z149" s="221" t="s">
        <v>5973</v>
      </c>
      <c r="AA149" s="221" t="s">
        <v>5974</v>
      </c>
      <c r="AB149" s="221" t="s">
        <v>5975</v>
      </c>
      <c r="AC149" s="221">
        <v>1283</v>
      </c>
      <c r="AD149" s="221">
        <v>1559</v>
      </c>
      <c r="AE149" s="221">
        <v>2083</v>
      </c>
      <c r="AF149" s="221" t="s">
        <v>5976</v>
      </c>
      <c r="AG149" s="221" t="s">
        <v>5977</v>
      </c>
      <c r="AH149" s="221">
        <v>3216</v>
      </c>
      <c r="AI149" s="221">
        <v>3963</v>
      </c>
      <c r="AJ149" s="221">
        <v>4053</v>
      </c>
      <c r="AK149" s="221">
        <v>4024</v>
      </c>
      <c r="AL149" s="221">
        <v>4065</v>
      </c>
      <c r="AM149" s="221">
        <v>3911</v>
      </c>
      <c r="AN149" s="221" t="e">
        <f>VLOOKUP(B149,正厂竞争者数据汇总!D:CL,25,FALSE)</f>
        <v>#N/A</v>
      </c>
      <c r="BD149" s="202">
        <f>IFERROR(VLOOKUP(B149,Sheet4!A:D,4,FALSE),"")</f>
        <v>3963</v>
      </c>
    </row>
    <row r="150" spans="1:56">
      <c r="A150" s="89" t="s">
        <v>230</v>
      </c>
      <c r="B150" s="165" t="s">
        <v>611</v>
      </c>
      <c r="C150" s="245">
        <v>21</v>
      </c>
      <c r="D150" s="245">
        <v>25</v>
      </c>
      <c r="E150" s="232" t="s">
        <v>5419</v>
      </c>
      <c r="F150" s="198">
        <v>26</v>
      </c>
      <c r="G150" s="189">
        <v>36</v>
      </c>
      <c r="H150" s="189">
        <v>47</v>
      </c>
      <c r="I150" s="189">
        <v>76</v>
      </c>
      <c r="J150" s="189">
        <v>74</v>
      </c>
      <c r="K150" s="189">
        <v>76</v>
      </c>
      <c r="L150" s="189">
        <v>76</v>
      </c>
      <c r="M150" s="189">
        <v>93</v>
      </c>
      <c r="N150" s="189">
        <v>126</v>
      </c>
      <c r="O150" s="189">
        <v>126</v>
      </c>
      <c r="P150" s="189">
        <v>113</v>
      </c>
      <c r="Q150" s="189">
        <v>110</v>
      </c>
      <c r="R150" s="189">
        <v>115</v>
      </c>
      <c r="T150" s="189">
        <v>289</v>
      </c>
      <c r="U150" s="224" t="s">
        <v>5831</v>
      </c>
      <c r="V150" s="221" t="s">
        <v>5978</v>
      </c>
      <c r="W150" s="225">
        <v>352</v>
      </c>
      <c r="X150" s="221" t="s">
        <v>5979</v>
      </c>
      <c r="Y150" s="221" t="s">
        <v>1746</v>
      </c>
      <c r="Z150" s="221" t="s">
        <v>5980</v>
      </c>
      <c r="AA150" s="221" t="s">
        <v>5981</v>
      </c>
      <c r="AB150" s="221" t="s">
        <v>5982</v>
      </c>
      <c r="AC150" s="221">
        <v>271</v>
      </c>
      <c r="AD150" s="221">
        <v>269</v>
      </c>
      <c r="AE150" s="221">
        <v>277</v>
      </c>
      <c r="AF150" s="221" t="s">
        <v>5788</v>
      </c>
      <c r="AG150" s="221" t="s">
        <v>5983</v>
      </c>
      <c r="AH150" s="221">
        <v>260</v>
      </c>
      <c r="AI150" s="221">
        <v>258</v>
      </c>
      <c r="AJ150" s="221">
        <v>262</v>
      </c>
      <c r="AK150" s="221">
        <v>262</v>
      </c>
      <c r="AL150" s="221">
        <v>275</v>
      </c>
      <c r="AM150" s="221">
        <v>275</v>
      </c>
      <c r="AN150" s="221" t="e">
        <f>VLOOKUP(B150,正厂竞争者数据汇总!D:CL,25,FALSE)</f>
        <v>#N/A</v>
      </c>
      <c r="BD150" s="202">
        <f>IFERROR(VLOOKUP(B150,Sheet4!A:D,4,FALSE),"")</f>
        <v>258</v>
      </c>
    </row>
    <row r="151" spans="1:56">
      <c r="A151" s="89" t="s">
        <v>367</v>
      </c>
      <c r="B151" s="165" t="s">
        <v>4625</v>
      </c>
      <c r="C151" s="232" t="s">
        <v>5419</v>
      </c>
      <c r="D151" s="232" t="s">
        <v>5419</v>
      </c>
      <c r="E151" s="232" t="s">
        <v>5419</v>
      </c>
      <c r="F151" s="198">
        <v>21</v>
      </c>
      <c r="G151" s="189" t="s">
        <v>5984</v>
      </c>
      <c r="H151" s="189">
        <v>25</v>
      </c>
      <c r="I151" s="189">
        <v>40</v>
      </c>
      <c r="J151" s="189">
        <v>38</v>
      </c>
      <c r="K151" s="189">
        <v>33</v>
      </c>
      <c r="L151" s="189">
        <v>37</v>
      </c>
      <c r="M151" s="189">
        <v>39</v>
      </c>
      <c r="N151" s="189">
        <v>38</v>
      </c>
      <c r="O151" s="189">
        <v>38</v>
      </c>
      <c r="P151" s="189">
        <v>37</v>
      </c>
      <c r="Q151" s="189">
        <v>42</v>
      </c>
      <c r="R151" s="189">
        <v>39</v>
      </c>
      <c r="T151" s="189">
        <v>128</v>
      </c>
      <c r="U151" s="224" t="s">
        <v>5806</v>
      </c>
      <c r="V151" s="221" t="s">
        <v>5985</v>
      </c>
      <c r="W151" s="225">
        <v>179</v>
      </c>
      <c r="X151" s="221" t="s">
        <v>5986</v>
      </c>
      <c r="Y151" s="221" t="s">
        <v>5665</v>
      </c>
      <c r="Z151" s="221" t="s">
        <v>5917</v>
      </c>
      <c r="AA151" s="221" t="s">
        <v>5987</v>
      </c>
      <c r="AB151" s="221" t="s">
        <v>5988</v>
      </c>
      <c r="AC151" s="221">
        <v>165</v>
      </c>
      <c r="AD151" s="221">
        <v>177</v>
      </c>
      <c r="AE151" s="221">
        <v>188</v>
      </c>
      <c r="AF151" s="221" t="s">
        <v>5929</v>
      </c>
      <c r="AG151" s="221" t="s">
        <v>5989</v>
      </c>
      <c r="AH151" s="221">
        <v>197</v>
      </c>
      <c r="AI151" s="221">
        <v>197</v>
      </c>
      <c r="AJ151" s="221">
        <v>187</v>
      </c>
      <c r="AK151" s="221">
        <v>187</v>
      </c>
      <c r="AL151" s="221">
        <v>180</v>
      </c>
      <c r="AM151" s="221">
        <v>182</v>
      </c>
      <c r="AN151" s="221" t="e">
        <f>VLOOKUP(B151,正厂竞争者数据汇总!D:CL,25,FALSE)</f>
        <v>#N/A</v>
      </c>
      <c r="BD151" s="202">
        <f>IFERROR(VLOOKUP(B151,Sheet4!A:D,4,FALSE),"")</f>
        <v>197</v>
      </c>
    </row>
    <row r="152" spans="1:56">
      <c r="A152" s="89" t="s">
        <v>367</v>
      </c>
      <c r="B152" s="165" t="s">
        <v>4626</v>
      </c>
      <c r="C152" s="232" t="s">
        <v>5419</v>
      </c>
      <c r="D152" s="232" t="s">
        <v>5419</v>
      </c>
      <c r="E152" s="232" t="s">
        <v>5419</v>
      </c>
      <c r="F152" s="198">
        <v>109</v>
      </c>
      <c r="G152" s="189">
        <v>177</v>
      </c>
      <c r="H152" s="189">
        <v>317</v>
      </c>
      <c r="I152" s="189">
        <v>412</v>
      </c>
      <c r="J152" s="189">
        <v>433</v>
      </c>
      <c r="K152" s="189">
        <v>489</v>
      </c>
      <c r="L152" s="189">
        <v>578</v>
      </c>
      <c r="M152" s="189">
        <v>692</v>
      </c>
      <c r="N152" s="189">
        <v>642</v>
      </c>
      <c r="O152" s="189">
        <v>622</v>
      </c>
      <c r="P152" s="189">
        <v>574</v>
      </c>
      <c r="Q152" s="189">
        <v>508</v>
      </c>
      <c r="R152" s="189">
        <v>480</v>
      </c>
      <c r="T152" s="189">
        <v>475</v>
      </c>
      <c r="U152" s="224" t="s">
        <v>5782</v>
      </c>
      <c r="V152" s="221" t="s">
        <v>5337</v>
      </c>
      <c r="W152" s="225">
        <v>338</v>
      </c>
      <c r="X152" s="221" t="s">
        <v>3761</v>
      </c>
      <c r="Y152" s="221" t="s">
        <v>5990</v>
      </c>
      <c r="Z152" s="221" t="s">
        <v>5991</v>
      </c>
      <c r="AA152" s="221" t="s">
        <v>5992</v>
      </c>
      <c r="AB152" s="221" t="s">
        <v>5993</v>
      </c>
      <c r="AC152" s="221">
        <v>89</v>
      </c>
      <c r="AD152" s="221">
        <v>94</v>
      </c>
      <c r="AE152" s="221">
        <v>152</v>
      </c>
      <c r="AF152" s="221" t="s">
        <v>5994</v>
      </c>
      <c r="AG152" s="221" t="s">
        <v>5995</v>
      </c>
      <c r="AH152" s="221">
        <v>241</v>
      </c>
      <c r="AI152" s="221">
        <v>285</v>
      </c>
      <c r="AJ152" s="221">
        <v>384</v>
      </c>
      <c r="AK152" s="221">
        <v>384</v>
      </c>
      <c r="AL152" s="221">
        <v>366</v>
      </c>
      <c r="AM152" s="221">
        <v>406</v>
      </c>
      <c r="AN152" s="221" t="e">
        <f>VLOOKUP(B152,正厂竞争者数据汇总!D:CL,25,FALSE)</f>
        <v>#N/A</v>
      </c>
      <c r="BD152" s="202">
        <f>IFERROR(VLOOKUP(B152,Sheet4!A:D,4,FALSE),"")</f>
        <v>285</v>
      </c>
    </row>
    <row r="153" spans="1:56">
      <c r="A153" s="89" t="s">
        <v>468</v>
      </c>
      <c r="B153" s="164" t="s">
        <v>612</v>
      </c>
      <c r="C153" s="232" t="s">
        <v>5419</v>
      </c>
      <c r="D153" s="232" t="s">
        <v>5419</v>
      </c>
      <c r="E153" s="232" t="s">
        <v>5419</v>
      </c>
      <c r="F153" s="198" t="e">
        <v>#N/A</v>
      </c>
      <c r="G153" s="189">
        <v>32</v>
      </c>
      <c r="H153" s="189">
        <v>58</v>
      </c>
      <c r="I153" s="189">
        <v>84</v>
      </c>
      <c r="J153" s="189">
        <v>92</v>
      </c>
      <c r="K153" s="189">
        <v>101</v>
      </c>
      <c r="L153" s="189">
        <v>114</v>
      </c>
      <c r="M153" s="189">
        <v>125</v>
      </c>
      <c r="N153" s="189">
        <v>106</v>
      </c>
      <c r="O153" s="251">
        <v>96</v>
      </c>
      <c r="P153" s="251">
        <v>78</v>
      </c>
      <c r="Q153" s="189">
        <v>71</v>
      </c>
      <c r="R153" s="189">
        <v>79</v>
      </c>
      <c r="T153" s="189">
        <v>263</v>
      </c>
      <c r="U153" s="224" t="s">
        <v>5862</v>
      </c>
      <c r="V153" s="221" t="s">
        <v>5978</v>
      </c>
      <c r="W153" s="225">
        <v>338</v>
      </c>
      <c r="X153" s="221" t="s">
        <v>5996</v>
      </c>
      <c r="Y153" s="221" t="s">
        <v>5787</v>
      </c>
      <c r="Z153" s="221" t="s">
        <v>5665</v>
      </c>
      <c r="AA153" s="221" t="s">
        <v>5997</v>
      </c>
      <c r="AB153" s="221" t="s">
        <v>5998</v>
      </c>
      <c r="AC153" s="221">
        <v>152</v>
      </c>
      <c r="AD153" s="221">
        <v>146</v>
      </c>
      <c r="AE153" s="221">
        <v>149</v>
      </c>
      <c r="AF153" s="221" t="s">
        <v>5999</v>
      </c>
      <c r="AG153" s="221" t="s">
        <v>5109</v>
      </c>
      <c r="AH153" s="221">
        <v>130</v>
      </c>
      <c r="AI153" s="221">
        <v>125</v>
      </c>
      <c r="AJ153" s="221">
        <v>96</v>
      </c>
      <c r="AK153" s="221">
        <v>96</v>
      </c>
      <c r="AL153" s="221">
        <v>71</v>
      </c>
      <c r="AM153" s="221">
        <v>59</v>
      </c>
      <c r="AN153" s="221" t="e">
        <f>VLOOKUP(B153,正厂竞争者数据汇总!D:CL,25,FALSE)</f>
        <v>#N/A</v>
      </c>
      <c r="BD153" s="202">
        <f>IFERROR(VLOOKUP(B153,Sheet4!A:D,4,FALSE),"")</f>
        <v>125</v>
      </c>
    </row>
    <row r="154" spans="1:56">
      <c r="A154" s="88" t="s">
        <v>227</v>
      </c>
      <c r="B154" s="173" t="s">
        <v>4627</v>
      </c>
      <c r="C154" s="217">
        <v>0</v>
      </c>
      <c r="D154" s="217">
        <v>0</v>
      </c>
      <c r="E154" s="232" t="s">
        <v>5419</v>
      </c>
      <c r="F154" s="244">
        <v>1</v>
      </c>
      <c r="G154" s="190">
        <v>5</v>
      </c>
      <c r="H154" s="190">
        <v>6</v>
      </c>
      <c r="I154" s="190">
        <v>9</v>
      </c>
      <c r="J154" s="190">
        <v>11</v>
      </c>
      <c r="K154" s="190">
        <v>12</v>
      </c>
      <c r="L154" s="190">
        <v>11</v>
      </c>
      <c r="M154" s="190">
        <v>12</v>
      </c>
      <c r="N154" s="190" t="s">
        <v>6000</v>
      </c>
      <c r="O154" s="252" t="s">
        <v>6001</v>
      </c>
      <c r="P154" s="252" t="s">
        <v>6002</v>
      </c>
      <c r="Q154" s="190">
        <v>12</v>
      </c>
      <c r="R154" s="190">
        <v>12</v>
      </c>
      <c r="T154" s="190">
        <v>16</v>
      </c>
      <c r="U154" s="224" t="s">
        <v>5624</v>
      </c>
      <c r="V154" s="221" t="s">
        <v>6003</v>
      </c>
      <c r="W154" s="225">
        <v>29</v>
      </c>
      <c r="X154" s="221" t="s">
        <v>6004</v>
      </c>
      <c r="Y154" s="221" t="s">
        <v>5960</v>
      </c>
      <c r="Z154" s="221" t="s">
        <v>5960</v>
      </c>
      <c r="AA154" s="221" t="s">
        <v>6005</v>
      </c>
      <c r="AB154" s="221" t="s">
        <v>854</v>
      </c>
      <c r="AC154" s="221">
        <v>26</v>
      </c>
      <c r="AD154" s="221">
        <v>23</v>
      </c>
      <c r="AE154" s="221">
        <v>22</v>
      </c>
      <c r="AF154" s="221" t="s">
        <v>856</v>
      </c>
      <c r="AG154" s="221" t="s">
        <v>6006</v>
      </c>
      <c r="AH154" s="221">
        <v>20</v>
      </c>
      <c r="AI154" s="221">
        <v>20</v>
      </c>
      <c r="AJ154" s="221">
        <v>18</v>
      </c>
      <c r="AK154" s="221">
        <v>18</v>
      </c>
      <c r="AL154" s="221">
        <v>16</v>
      </c>
      <c r="AM154" s="221">
        <v>16</v>
      </c>
      <c r="AN154" s="221" t="e">
        <f>VLOOKUP(B154,正厂竞争者数据汇总!D:CL,25,FALSE)</f>
        <v>#N/A</v>
      </c>
      <c r="BD154" s="202">
        <f>IFERROR(VLOOKUP(B154,Sheet4!A:D,4,FALSE),"")</f>
        <v>20</v>
      </c>
    </row>
    <row r="155" spans="1:56">
      <c r="A155" s="96" t="s">
        <v>185</v>
      </c>
      <c r="B155" s="205"/>
      <c r="C155" s="97"/>
      <c r="D155" s="97"/>
      <c r="E155" s="97"/>
      <c r="AG155" s="200" t="s">
        <v>180</v>
      </c>
      <c r="AH155" s="200" t="s">
        <v>180</v>
      </c>
      <c r="AI155" s="200" t="s">
        <v>180</v>
      </c>
      <c r="AJ155" s="221"/>
      <c r="AK155" s="221"/>
      <c r="AL155" s="221"/>
      <c r="AM155" s="221"/>
      <c r="AN155" s="221"/>
      <c r="BD155" s="202" t="str">
        <f>IFERROR(VLOOKUP(B155,Sheet4!A:D,4,FALSE),"")</f>
        <v/>
      </c>
    </row>
    <row r="156" spans="1:56">
      <c r="A156" s="101" t="s">
        <v>3944</v>
      </c>
      <c r="B156" s="171" t="s">
        <v>207</v>
      </c>
      <c r="C156" s="102"/>
      <c r="D156" s="102"/>
      <c r="E156" s="102"/>
      <c r="F156" s="119"/>
      <c r="AG156" s="200" t="s">
        <v>180</v>
      </c>
      <c r="AH156" s="200" t="s">
        <v>180</v>
      </c>
      <c r="AI156" s="200" t="s">
        <v>180</v>
      </c>
      <c r="AJ156" s="221"/>
      <c r="AK156" s="221"/>
      <c r="AL156" s="221"/>
      <c r="AM156" s="221"/>
      <c r="AN156" s="221"/>
      <c r="BD156" s="202" t="str">
        <f>IFERROR(VLOOKUP(B156,Sheet4!A:D,4,FALSE),"")</f>
        <v/>
      </c>
    </row>
    <row r="157" spans="1:56">
      <c r="A157" s="142" t="s">
        <v>243</v>
      </c>
      <c r="B157" s="165" t="s">
        <v>613</v>
      </c>
      <c r="C157" s="211">
        <v>193</v>
      </c>
      <c r="D157" s="211">
        <v>216</v>
      </c>
      <c r="E157" s="198" t="s">
        <v>5419</v>
      </c>
      <c r="F157" s="198">
        <v>239</v>
      </c>
      <c r="G157" s="189">
        <v>322</v>
      </c>
      <c r="H157" s="189">
        <v>447</v>
      </c>
      <c r="I157" s="189">
        <v>556</v>
      </c>
      <c r="J157" s="189">
        <v>593</v>
      </c>
      <c r="K157" s="189">
        <v>654</v>
      </c>
      <c r="L157" s="189">
        <v>722</v>
      </c>
      <c r="M157" s="189">
        <v>867</v>
      </c>
      <c r="N157" s="189">
        <v>883</v>
      </c>
      <c r="O157" s="189">
        <v>850</v>
      </c>
      <c r="P157" s="189">
        <v>823</v>
      </c>
      <c r="Q157" s="189">
        <v>804</v>
      </c>
      <c r="R157" s="189">
        <v>799</v>
      </c>
      <c r="T157" s="189">
        <v>655</v>
      </c>
      <c r="U157" s="224" t="s">
        <v>6007</v>
      </c>
      <c r="V157" s="221" t="s">
        <v>5901</v>
      </c>
      <c r="W157" s="225">
        <v>667</v>
      </c>
      <c r="X157" s="221" t="s">
        <v>5738</v>
      </c>
      <c r="Y157" s="221" t="s">
        <v>3010</v>
      </c>
      <c r="Z157" s="221" t="s">
        <v>5660</v>
      </c>
      <c r="AA157" s="221" t="s">
        <v>6008</v>
      </c>
      <c r="AB157" s="221" t="s">
        <v>5749</v>
      </c>
      <c r="AC157" s="221">
        <v>1075</v>
      </c>
      <c r="AD157" s="221">
        <v>1365</v>
      </c>
      <c r="AE157" s="221">
        <v>1853</v>
      </c>
      <c r="AF157" s="221" t="s">
        <v>6009</v>
      </c>
      <c r="AG157" s="221" t="s">
        <v>6010</v>
      </c>
      <c r="AH157" s="221">
        <v>3011</v>
      </c>
      <c r="AI157" s="221">
        <v>3753</v>
      </c>
      <c r="AJ157" s="221">
        <v>3848</v>
      </c>
      <c r="AK157" s="221">
        <v>3848</v>
      </c>
      <c r="AL157" s="221">
        <v>3971</v>
      </c>
      <c r="AM157" s="221">
        <v>3817</v>
      </c>
      <c r="AN157" s="221" t="e">
        <f>VLOOKUP(B157,正厂竞争者数据汇总!D:CL,25,FALSE)</f>
        <v>#N/A</v>
      </c>
      <c r="BD157" s="202">
        <f>IFERROR(VLOOKUP(B157,Sheet4!A:D,4,FALSE),"")</f>
        <v>3753</v>
      </c>
    </row>
    <row r="158" spans="1:56">
      <c r="A158" s="89" t="s">
        <v>230</v>
      </c>
      <c r="B158" s="165" t="s">
        <v>614</v>
      </c>
      <c r="C158" s="212" t="s">
        <v>5419</v>
      </c>
      <c r="D158" s="212" t="s">
        <v>5419</v>
      </c>
      <c r="E158" s="232" t="s">
        <v>5419</v>
      </c>
      <c r="F158" s="198">
        <v>28</v>
      </c>
      <c r="G158" s="189">
        <v>36</v>
      </c>
      <c r="H158" s="189">
        <v>75</v>
      </c>
      <c r="I158" s="189">
        <v>106</v>
      </c>
      <c r="J158" s="189">
        <v>115</v>
      </c>
      <c r="K158" s="189">
        <v>137</v>
      </c>
      <c r="L158" s="189">
        <v>157</v>
      </c>
      <c r="M158" s="189">
        <v>199</v>
      </c>
      <c r="N158" s="189">
        <v>238</v>
      </c>
      <c r="O158" s="189">
        <v>237</v>
      </c>
      <c r="P158" s="189">
        <v>218</v>
      </c>
      <c r="Q158" s="189">
        <v>204</v>
      </c>
      <c r="R158" s="189">
        <v>170</v>
      </c>
      <c r="T158" s="189">
        <v>469</v>
      </c>
      <c r="U158" s="224" t="s">
        <v>3879</v>
      </c>
      <c r="V158" s="221" t="s">
        <v>6011</v>
      </c>
      <c r="W158" s="225">
        <v>550</v>
      </c>
      <c r="X158" s="221" t="s">
        <v>5609</v>
      </c>
      <c r="Y158" s="221" t="s">
        <v>5556</v>
      </c>
      <c r="Z158" s="221" t="s">
        <v>2880</v>
      </c>
      <c r="AA158" s="221" t="s">
        <v>6012</v>
      </c>
      <c r="AB158" s="221" t="s">
        <v>5333</v>
      </c>
      <c r="AC158" s="221">
        <v>334</v>
      </c>
      <c r="AD158" s="221">
        <v>346</v>
      </c>
      <c r="AE158" s="221">
        <v>371</v>
      </c>
      <c r="AF158" s="221" t="s">
        <v>5858</v>
      </c>
      <c r="AG158" s="221" t="s">
        <v>6013</v>
      </c>
      <c r="AH158" s="221">
        <v>375</v>
      </c>
      <c r="AI158" s="221">
        <v>374</v>
      </c>
      <c r="AJ158" s="221">
        <v>414</v>
      </c>
      <c r="AK158" s="221">
        <v>414</v>
      </c>
      <c r="AL158" s="221">
        <v>467</v>
      </c>
      <c r="AM158" s="221">
        <v>479</v>
      </c>
      <c r="AN158" s="221" t="e">
        <f>VLOOKUP(B158,正厂竞争者数据汇总!D:CL,25,FALSE)</f>
        <v>#N/A</v>
      </c>
      <c r="BD158" s="202">
        <f>IFERROR(VLOOKUP(B158,Sheet4!A:D,4,FALSE),"")</f>
        <v>374</v>
      </c>
    </row>
    <row r="159" spans="2:56">
      <c r="B159" s="185" t="s">
        <v>615</v>
      </c>
      <c r="C159" s="211">
        <v>227</v>
      </c>
      <c r="D159" s="211">
        <v>157</v>
      </c>
      <c r="E159" s="232" t="s">
        <v>5419</v>
      </c>
      <c r="F159" s="198">
        <v>206</v>
      </c>
      <c r="G159" s="189">
        <v>179</v>
      </c>
      <c r="H159" s="189">
        <v>215</v>
      </c>
      <c r="I159" s="189">
        <v>461</v>
      </c>
      <c r="J159" s="189">
        <v>614</v>
      </c>
      <c r="K159" s="189">
        <v>688</v>
      </c>
      <c r="L159" s="189">
        <v>634</v>
      </c>
      <c r="M159" s="189">
        <v>754</v>
      </c>
      <c r="N159" s="189">
        <v>768</v>
      </c>
      <c r="O159" s="189">
        <v>765</v>
      </c>
      <c r="P159" s="189">
        <v>749</v>
      </c>
      <c r="Q159" s="189">
        <v>689</v>
      </c>
      <c r="R159" s="189">
        <v>659</v>
      </c>
      <c r="T159" s="189">
        <v>540</v>
      </c>
      <c r="U159" s="224" t="s">
        <v>6014</v>
      </c>
      <c r="V159" s="221" t="s">
        <v>6015</v>
      </c>
      <c r="W159" s="225">
        <v>501</v>
      </c>
      <c r="X159" s="221" t="s">
        <v>5700</v>
      </c>
      <c r="Y159" s="221" t="s">
        <v>6016</v>
      </c>
      <c r="Z159" s="221" t="s">
        <v>2456</v>
      </c>
      <c r="AA159" s="221" t="s">
        <v>3010</v>
      </c>
      <c r="AB159" s="221" t="s">
        <v>5709</v>
      </c>
      <c r="AC159" s="221">
        <v>888</v>
      </c>
      <c r="AD159" s="221">
        <v>1114</v>
      </c>
      <c r="AE159" s="221">
        <v>1585</v>
      </c>
      <c r="AF159" s="221" t="s">
        <v>6017</v>
      </c>
      <c r="AG159" s="221" t="s">
        <v>5911</v>
      </c>
      <c r="AH159" s="221">
        <v>2509</v>
      </c>
      <c r="AI159" s="221">
        <v>3350</v>
      </c>
      <c r="AJ159" s="221">
        <v>3332</v>
      </c>
      <c r="AK159" s="221">
        <v>3332</v>
      </c>
      <c r="AL159" s="221">
        <v>3238</v>
      </c>
      <c r="AM159" s="221">
        <v>3169</v>
      </c>
      <c r="AN159" s="221" t="e">
        <f>VLOOKUP(B159,正厂竞争者数据汇总!D:CL,25,FALSE)</f>
        <v>#N/A</v>
      </c>
      <c r="BD159" s="202">
        <f>IFERROR(VLOOKUP(B159,Sheet4!A:D,4,FALSE),"")</f>
        <v>3350</v>
      </c>
    </row>
    <row r="160" spans="2:56">
      <c r="B160" s="165" t="s">
        <v>616</v>
      </c>
      <c r="C160" s="241" t="s">
        <v>5419</v>
      </c>
      <c r="D160" s="212" t="s">
        <v>5419</v>
      </c>
      <c r="E160" s="232" t="s">
        <v>5419</v>
      </c>
      <c r="F160" s="198">
        <v>73</v>
      </c>
      <c r="G160" s="189">
        <v>81</v>
      </c>
      <c r="H160" s="189">
        <v>126</v>
      </c>
      <c r="I160" s="189">
        <v>168</v>
      </c>
      <c r="J160" s="189">
        <v>184</v>
      </c>
      <c r="K160" s="189">
        <v>201</v>
      </c>
      <c r="L160" s="189">
        <v>222</v>
      </c>
      <c r="M160" s="189">
        <v>229</v>
      </c>
      <c r="N160" s="189">
        <v>219</v>
      </c>
      <c r="O160" s="189">
        <v>220</v>
      </c>
      <c r="P160" s="189">
        <v>202</v>
      </c>
      <c r="Q160" s="189">
        <v>199</v>
      </c>
      <c r="R160" s="189">
        <v>199</v>
      </c>
      <c r="T160" s="189">
        <v>405</v>
      </c>
      <c r="U160" s="224" t="s">
        <v>6018</v>
      </c>
      <c r="V160" s="221" t="s">
        <v>5755</v>
      </c>
      <c r="W160" s="225">
        <v>476</v>
      </c>
      <c r="X160" s="221" t="s">
        <v>5147</v>
      </c>
      <c r="Y160" s="221" t="s">
        <v>6019</v>
      </c>
      <c r="Z160" s="221" t="s">
        <v>6020</v>
      </c>
      <c r="AA160" s="221" t="s">
        <v>5399</v>
      </c>
      <c r="AB160" s="221" t="s">
        <v>6021</v>
      </c>
      <c r="AC160" s="221">
        <v>376</v>
      </c>
      <c r="AD160" s="221">
        <v>374</v>
      </c>
      <c r="AE160" s="221">
        <v>392</v>
      </c>
      <c r="AF160" s="221" t="s">
        <v>6022</v>
      </c>
      <c r="AG160" s="221" t="s">
        <v>5356</v>
      </c>
      <c r="AH160" s="221">
        <v>437</v>
      </c>
      <c r="AI160" s="221">
        <v>431</v>
      </c>
      <c r="AJ160" s="221">
        <v>414</v>
      </c>
      <c r="AK160" s="221">
        <v>398</v>
      </c>
      <c r="AL160" s="221">
        <v>441</v>
      </c>
      <c r="AM160" s="221">
        <v>446</v>
      </c>
      <c r="AN160" s="221" t="e">
        <f>VLOOKUP(B160,正厂竞争者数据汇总!D:CL,25,FALSE)</f>
        <v>#N/A</v>
      </c>
      <c r="BD160" s="202">
        <f>IFERROR(VLOOKUP(B160,Sheet4!A:D,4,FALSE),"")</f>
        <v>431</v>
      </c>
    </row>
    <row r="161" spans="1:56">
      <c r="A161" s="89" t="s">
        <v>446</v>
      </c>
      <c r="B161" s="186" t="s">
        <v>617</v>
      </c>
      <c r="C161" s="246">
        <v>29</v>
      </c>
      <c r="D161" s="246">
        <v>34</v>
      </c>
      <c r="E161" s="232" t="s">
        <v>5419</v>
      </c>
      <c r="F161" s="198">
        <v>37</v>
      </c>
      <c r="G161" s="189">
        <v>39</v>
      </c>
      <c r="H161" s="189">
        <v>51</v>
      </c>
      <c r="I161" s="189">
        <v>76</v>
      </c>
      <c r="J161" s="189">
        <v>184</v>
      </c>
      <c r="K161" s="189">
        <v>90</v>
      </c>
      <c r="L161" s="189">
        <v>94</v>
      </c>
      <c r="M161" s="189">
        <v>101</v>
      </c>
      <c r="N161" s="189">
        <v>98</v>
      </c>
      <c r="O161" s="189">
        <v>99</v>
      </c>
      <c r="P161" s="189">
        <v>96</v>
      </c>
      <c r="Q161" s="189">
        <v>91</v>
      </c>
      <c r="R161" s="189">
        <v>93</v>
      </c>
      <c r="T161" s="189">
        <v>98</v>
      </c>
      <c r="U161" s="224" t="s">
        <v>5942</v>
      </c>
      <c r="V161" s="221" t="s">
        <v>5435</v>
      </c>
      <c r="W161" s="225">
        <v>123</v>
      </c>
      <c r="X161" s="221" t="s">
        <v>5666</v>
      </c>
      <c r="Y161" s="221" t="s">
        <v>6023</v>
      </c>
      <c r="Z161" s="221" t="s">
        <v>5868</v>
      </c>
      <c r="AA161" s="221" t="s">
        <v>6024</v>
      </c>
      <c r="AB161" s="221" t="s">
        <v>6025</v>
      </c>
      <c r="AC161" s="221">
        <v>224</v>
      </c>
      <c r="AD161" s="221">
        <v>244</v>
      </c>
      <c r="AE161" s="221">
        <v>277</v>
      </c>
      <c r="AF161" s="221" t="s">
        <v>5559</v>
      </c>
      <c r="AG161" s="221" t="s">
        <v>5779</v>
      </c>
      <c r="AH161" s="221">
        <v>321</v>
      </c>
      <c r="AI161" s="221">
        <v>322</v>
      </c>
      <c r="AJ161" s="221">
        <v>379</v>
      </c>
      <c r="AK161" s="221">
        <v>379</v>
      </c>
      <c r="AL161" s="221">
        <v>416</v>
      </c>
      <c r="AM161" s="221">
        <v>419</v>
      </c>
      <c r="AN161" s="221" t="e">
        <f>VLOOKUP(B161,正厂竞争者数据汇总!D:CL,25,FALSE)</f>
        <v>#N/A</v>
      </c>
      <c r="BD161" s="202">
        <f>IFERROR(VLOOKUP(B161,Sheet4!A:D,4,FALSE),"")</f>
        <v>322</v>
      </c>
    </row>
    <row r="162" spans="1:56">
      <c r="A162" s="88" t="s">
        <v>227</v>
      </c>
      <c r="B162" s="170" t="s">
        <v>4636</v>
      </c>
      <c r="C162" s="217">
        <v>0</v>
      </c>
      <c r="D162" s="217">
        <v>0</v>
      </c>
      <c r="E162" s="232" t="s">
        <v>5419</v>
      </c>
      <c r="F162" s="244">
        <v>1</v>
      </c>
      <c r="G162" s="190">
        <v>2</v>
      </c>
      <c r="H162" s="190">
        <v>3</v>
      </c>
      <c r="I162" s="190">
        <v>6</v>
      </c>
      <c r="J162" s="190">
        <v>7</v>
      </c>
      <c r="K162" s="190">
        <v>9</v>
      </c>
      <c r="L162" s="190">
        <v>9</v>
      </c>
      <c r="M162" s="190">
        <v>10</v>
      </c>
      <c r="N162" s="190" t="s">
        <v>6026</v>
      </c>
      <c r="O162" s="190" t="s">
        <v>6027</v>
      </c>
      <c r="P162" s="190" t="s">
        <v>6028</v>
      </c>
      <c r="Q162" s="190">
        <v>14</v>
      </c>
      <c r="R162" s="190">
        <v>18</v>
      </c>
      <c r="T162" s="190">
        <v>123</v>
      </c>
      <c r="U162" s="224" t="s">
        <v>6029</v>
      </c>
      <c r="V162" s="221" t="s">
        <v>2454</v>
      </c>
      <c r="W162" s="225">
        <v>133</v>
      </c>
      <c r="X162" s="221" t="s">
        <v>5666</v>
      </c>
      <c r="Y162" s="221" t="s">
        <v>6030</v>
      </c>
      <c r="Z162" s="221" t="s">
        <v>6031</v>
      </c>
      <c r="AA162" s="221" t="s">
        <v>5960</v>
      </c>
      <c r="AB162" s="221" t="s">
        <v>5623</v>
      </c>
      <c r="AC162" s="221">
        <v>23</v>
      </c>
      <c r="AD162" s="221">
        <v>22</v>
      </c>
      <c r="AE162" s="221">
        <v>21</v>
      </c>
      <c r="AF162" s="221" t="s">
        <v>6006</v>
      </c>
      <c r="AG162" s="221" t="s">
        <v>5437</v>
      </c>
      <c r="AH162" s="221">
        <v>20</v>
      </c>
      <c r="AI162" s="221">
        <v>22</v>
      </c>
      <c r="AJ162" s="221">
        <v>17</v>
      </c>
      <c r="AK162" s="221">
        <v>17</v>
      </c>
      <c r="AL162" s="221">
        <v>23</v>
      </c>
      <c r="AM162" s="221">
        <v>28</v>
      </c>
      <c r="AN162" s="221" t="e">
        <f>VLOOKUP(B162,正厂竞争者数据汇总!D:CL,25,FALSE)</f>
        <v>#N/A</v>
      </c>
      <c r="BD162" s="202">
        <f>IFERROR(VLOOKUP(B162,Sheet4!A:D,4,FALSE),"")</f>
        <v>22</v>
      </c>
    </row>
    <row r="163" spans="1:56">
      <c r="A163" s="96" t="s">
        <v>195</v>
      </c>
      <c r="B163" s="205"/>
      <c r="C163" s="97"/>
      <c r="D163" s="97"/>
      <c r="E163" s="97"/>
      <c r="AG163" s="200" t="s">
        <v>180</v>
      </c>
      <c r="AH163" s="200" t="s">
        <v>180</v>
      </c>
      <c r="AI163" s="200" t="s">
        <v>180</v>
      </c>
      <c r="AJ163" s="221"/>
      <c r="AK163" s="221"/>
      <c r="AL163" s="221"/>
      <c r="AM163" s="221"/>
      <c r="AN163" s="221"/>
      <c r="BD163" s="202" t="str">
        <f>IFERROR(VLOOKUP(B163,Sheet4!A:D,4,FALSE),"")</f>
        <v/>
      </c>
    </row>
    <row r="164" spans="1:56">
      <c r="A164" s="101" t="s">
        <v>3944</v>
      </c>
      <c r="B164" s="171" t="s">
        <v>207</v>
      </c>
      <c r="C164" s="102"/>
      <c r="D164" s="102"/>
      <c r="E164" s="102"/>
      <c r="F164" s="119"/>
      <c r="AG164" s="200" t="s">
        <v>180</v>
      </c>
      <c r="AH164" s="200" t="s">
        <v>180</v>
      </c>
      <c r="AI164" s="200" t="s">
        <v>180</v>
      </c>
      <c r="AJ164" s="221"/>
      <c r="AK164" s="221"/>
      <c r="AL164" s="221"/>
      <c r="AM164" s="221"/>
      <c r="AN164" s="221"/>
      <c r="BD164" s="202" t="str">
        <f>IFERROR(VLOOKUP(B164,Sheet4!A:D,4,FALSE),"")</f>
        <v/>
      </c>
    </row>
    <row r="165" spans="1:56">
      <c r="A165" s="89" t="s">
        <v>230</v>
      </c>
      <c r="B165" s="165" t="s">
        <v>618</v>
      </c>
      <c r="C165" s="232" t="s">
        <v>5419</v>
      </c>
      <c r="D165" s="232" t="s">
        <v>5419</v>
      </c>
      <c r="E165" s="232" t="s">
        <v>5419</v>
      </c>
      <c r="F165" s="198">
        <v>54</v>
      </c>
      <c r="G165" s="189">
        <v>79</v>
      </c>
      <c r="H165" s="189">
        <v>150</v>
      </c>
      <c r="I165" s="189">
        <v>216</v>
      </c>
      <c r="J165" s="189">
        <v>227</v>
      </c>
      <c r="K165" s="189">
        <v>246</v>
      </c>
      <c r="L165" s="189">
        <v>300</v>
      </c>
      <c r="M165" s="189">
        <v>326</v>
      </c>
      <c r="N165" s="189">
        <v>338</v>
      </c>
      <c r="O165" s="189">
        <v>337</v>
      </c>
      <c r="P165" s="189">
        <v>315</v>
      </c>
      <c r="R165" s="189">
        <v>311</v>
      </c>
      <c r="T165" s="189">
        <v>551</v>
      </c>
      <c r="U165" s="224" t="s">
        <v>1999</v>
      </c>
      <c r="V165" s="221" t="s">
        <v>1999</v>
      </c>
      <c r="W165" s="225">
        <v>614</v>
      </c>
      <c r="X165" s="221" t="s">
        <v>5317</v>
      </c>
      <c r="Y165" s="221" t="s">
        <v>5827</v>
      </c>
      <c r="Z165" s="221" t="s">
        <v>6022</v>
      </c>
      <c r="AA165" s="221" t="s">
        <v>5353</v>
      </c>
      <c r="AB165" s="221" t="s">
        <v>5858</v>
      </c>
      <c r="AC165" s="221">
        <v>404</v>
      </c>
      <c r="AD165" s="221">
        <v>405</v>
      </c>
      <c r="AE165" s="221">
        <v>427</v>
      </c>
      <c r="AF165" s="221" t="s">
        <v>5801</v>
      </c>
      <c r="AG165" s="221" t="s">
        <v>5487</v>
      </c>
      <c r="AH165" s="221">
        <v>432</v>
      </c>
      <c r="AI165" s="221">
        <v>431</v>
      </c>
      <c r="AJ165" s="221">
        <v>464</v>
      </c>
      <c r="AK165" s="221">
        <v>464</v>
      </c>
      <c r="AL165" s="221">
        <v>500</v>
      </c>
      <c r="AM165" s="221">
        <v>489</v>
      </c>
      <c r="AN165" s="221" t="e">
        <f>VLOOKUP(B165,正厂竞争者数据汇总!D:CL,25,FALSE)</f>
        <v>#N/A</v>
      </c>
      <c r="BD165" s="202">
        <f>IFERROR(VLOOKUP(B165,Sheet4!A:D,4,FALSE),"")</f>
        <v>431</v>
      </c>
    </row>
    <row r="166" spans="1:56">
      <c r="A166" s="89" t="s">
        <v>446</v>
      </c>
      <c r="B166" s="164" t="s">
        <v>619</v>
      </c>
      <c r="C166" s="232" t="s">
        <v>5419</v>
      </c>
      <c r="D166" s="232" t="s">
        <v>5419</v>
      </c>
      <c r="E166" s="232" t="s">
        <v>5419</v>
      </c>
      <c r="F166" s="198">
        <v>168</v>
      </c>
      <c r="G166" s="189">
        <v>78</v>
      </c>
      <c r="H166" s="189">
        <v>144</v>
      </c>
      <c r="I166" s="189">
        <v>477</v>
      </c>
      <c r="J166" s="189">
        <v>530</v>
      </c>
      <c r="K166" s="189">
        <v>602</v>
      </c>
      <c r="L166" s="189">
        <v>633</v>
      </c>
      <c r="M166" s="189">
        <v>652</v>
      </c>
      <c r="N166" s="189">
        <v>659</v>
      </c>
      <c r="O166" s="189">
        <v>663</v>
      </c>
      <c r="P166" s="189">
        <v>647</v>
      </c>
      <c r="R166" s="189">
        <v>555</v>
      </c>
      <c r="T166" s="189">
        <v>650</v>
      </c>
      <c r="U166" s="224" t="s">
        <v>1999</v>
      </c>
      <c r="V166" s="221" t="s">
        <v>5347</v>
      </c>
      <c r="W166" s="225">
        <v>531</v>
      </c>
      <c r="X166" s="221" t="s">
        <v>6032</v>
      </c>
      <c r="Y166" s="221" t="s">
        <v>3869</v>
      </c>
      <c r="Z166" s="221" t="s">
        <v>6033</v>
      </c>
      <c r="AA166" s="221" t="s">
        <v>6034</v>
      </c>
      <c r="AB166" s="221" t="s">
        <v>5468</v>
      </c>
      <c r="AC166" s="221">
        <v>211</v>
      </c>
      <c r="AD166" s="221">
        <v>187</v>
      </c>
      <c r="AE166" s="221">
        <v>228</v>
      </c>
      <c r="AF166" s="221" t="s">
        <v>5864</v>
      </c>
      <c r="AG166" s="221" t="s">
        <v>5484</v>
      </c>
      <c r="AH166" s="221">
        <v>210</v>
      </c>
      <c r="AI166" s="221">
        <v>210</v>
      </c>
      <c r="AJ166" s="221">
        <v>200</v>
      </c>
      <c r="AK166" s="221">
        <v>200</v>
      </c>
      <c r="AL166" s="221">
        <v>206</v>
      </c>
      <c r="AM166" s="221">
        <v>210</v>
      </c>
      <c r="AN166" s="221" t="e">
        <f>VLOOKUP(B166,正厂竞争者数据汇总!D:CL,25,FALSE)</f>
        <v>#N/A</v>
      </c>
      <c r="BD166" s="202">
        <f>IFERROR(VLOOKUP(B166,Sheet4!A:D,4,FALSE),"")</f>
        <v>210</v>
      </c>
    </row>
    <row r="167" spans="1:56">
      <c r="A167" s="89" t="s">
        <v>446</v>
      </c>
      <c r="B167" s="164" t="s">
        <v>620</v>
      </c>
      <c r="C167" s="232" t="s">
        <v>5419</v>
      </c>
      <c r="D167" s="232" t="s">
        <v>5419</v>
      </c>
      <c r="E167" s="232" t="s">
        <v>5419</v>
      </c>
      <c r="F167" s="198">
        <v>16</v>
      </c>
      <c r="G167" s="189">
        <v>28</v>
      </c>
      <c r="H167" s="189">
        <v>69</v>
      </c>
      <c r="I167" s="189">
        <v>101</v>
      </c>
      <c r="J167" s="189">
        <v>123</v>
      </c>
      <c r="K167" s="189">
        <v>131</v>
      </c>
      <c r="L167" s="189">
        <v>152</v>
      </c>
      <c r="M167" s="189">
        <v>159</v>
      </c>
      <c r="N167" s="189">
        <v>142</v>
      </c>
      <c r="O167" s="189">
        <v>151</v>
      </c>
      <c r="P167" s="189">
        <v>127</v>
      </c>
      <c r="R167" s="189">
        <v>103</v>
      </c>
      <c r="T167" s="189">
        <v>235</v>
      </c>
      <c r="U167" s="224" t="s">
        <v>5561</v>
      </c>
      <c r="V167" s="221" t="s">
        <v>6035</v>
      </c>
      <c r="W167" s="225">
        <v>243</v>
      </c>
      <c r="X167" s="221" t="s">
        <v>5995</v>
      </c>
      <c r="Y167" s="221" t="s">
        <v>6036</v>
      </c>
      <c r="Z167" s="221" t="s">
        <v>6037</v>
      </c>
      <c r="AA167" s="221" t="s">
        <v>6038</v>
      </c>
      <c r="AB167" s="221" t="s">
        <v>5834</v>
      </c>
      <c r="AC167" s="221">
        <v>126</v>
      </c>
      <c r="AD167" s="221">
        <v>118</v>
      </c>
      <c r="AE167" s="221">
        <v>111</v>
      </c>
      <c r="AF167" s="221" t="s">
        <v>1628</v>
      </c>
      <c r="AG167" s="221" t="s">
        <v>6039</v>
      </c>
      <c r="AH167" s="221">
        <v>64</v>
      </c>
      <c r="AI167" s="221">
        <v>63</v>
      </c>
      <c r="AJ167" s="221">
        <v>26</v>
      </c>
      <c r="AK167" s="221">
        <v>26</v>
      </c>
      <c r="AL167" s="221">
        <v>19</v>
      </c>
      <c r="AM167" s="221">
        <v>18</v>
      </c>
      <c r="AN167" s="221" t="e">
        <f>VLOOKUP(B167,正厂竞争者数据汇总!D:CL,25,FALSE)</f>
        <v>#N/A</v>
      </c>
      <c r="BD167" s="202">
        <f>IFERROR(VLOOKUP(B167,Sheet4!A:D,4,FALSE),"")</f>
        <v>63</v>
      </c>
    </row>
    <row r="168" spans="1:56">
      <c r="A168" s="96" t="s">
        <v>187</v>
      </c>
      <c r="B168" s="205"/>
      <c r="C168" s="97"/>
      <c r="D168" s="97"/>
      <c r="E168" s="97"/>
      <c r="AG168" s="200" t="s">
        <v>180</v>
      </c>
      <c r="AH168" s="200" t="s">
        <v>180</v>
      </c>
      <c r="AI168" s="200" t="s">
        <v>180</v>
      </c>
      <c r="AJ168" s="221"/>
      <c r="AK168" s="221"/>
      <c r="AL168" s="221"/>
      <c r="AM168" s="221"/>
      <c r="AN168" s="221"/>
      <c r="BD168" s="202" t="str">
        <f>IFERROR(VLOOKUP(B168,Sheet4!A:D,4,FALSE),"")</f>
        <v/>
      </c>
    </row>
    <row r="169" spans="1:56">
      <c r="A169" s="101" t="s">
        <v>3944</v>
      </c>
      <c r="B169" s="171" t="s">
        <v>207</v>
      </c>
      <c r="C169" s="102"/>
      <c r="D169" s="102"/>
      <c r="E169" s="102"/>
      <c r="F169" s="119"/>
      <c r="AG169" s="200" t="s">
        <v>180</v>
      </c>
      <c r="AH169" s="200" t="s">
        <v>180</v>
      </c>
      <c r="AI169" s="200" t="s">
        <v>180</v>
      </c>
      <c r="AJ169" s="221"/>
      <c r="AK169" s="221"/>
      <c r="AL169" s="221"/>
      <c r="AM169" s="221"/>
      <c r="AN169" s="221"/>
      <c r="BD169" s="202" t="str">
        <f>IFERROR(VLOOKUP(B169,Sheet4!A:D,4,FALSE),"")</f>
        <v/>
      </c>
    </row>
    <row r="170" spans="1:56">
      <c r="A170" s="89" t="s">
        <v>230</v>
      </c>
      <c r="B170" s="165" t="s">
        <v>621</v>
      </c>
      <c r="C170" s="211">
        <v>32</v>
      </c>
      <c r="D170" s="211">
        <v>27</v>
      </c>
      <c r="E170" s="232" t="s">
        <v>5419</v>
      </c>
      <c r="F170" s="198">
        <v>37</v>
      </c>
      <c r="G170" s="189">
        <v>39</v>
      </c>
      <c r="H170" s="189">
        <v>54</v>
      </c>
      <c r="I170" s="189">
        <v>106</v>
      </c>
      <c r="J170" s="189">
        <v>109</v>
      </c>
      <c r="K170" s="189">
        <v>112</v>
      </c>
      <c r="L170" s="251">
        <v>124</v>
      </c>
      <c r="M170" s="189">
        <v>137</v>
      </c>
      <c r="N170" s="189">
        <v>146</v>
      </c>
      <c r="O170" s="189">
        <v>139</v>
      </c>
      <c r="P170" s="189">
        <v>122</v>
      </c>
      <c r="Q170" s="189">
        <v>108</v>
      </c>
      <c r="R170" s="189">
        <v>108</v>
      </c>
      <c r="T170" s="189">
        <v>284</v>
      </c>
      <c r="U170" s="224" t="s">
        <v>5572</v>
      </c>
      <c r="V170" s="221" t="s">
        <v>5486</v>
      </c>
      <c r="W170" s="225">
        <v>349</v>
      </c>
      <c r="X170" s="221" t="s">
        <v>5355</v>
      </c>
      <c r="Y170" s="221" t="s">
        <v>5337</v>
      </c>
      <c r="Z170" s="221" t="s">
        <v>5980</v>
      </c>
      <c r="AA170" s="221" t="s">
        <v>6040</v>
      </c>
      <c r="AB170" s="221" t="s">
        <v>2868</v>
      </c>
      <c r="AC170" s="221">
        <v>308</v>
      </c>
      <c r="AD170" s="221">
        <v>311</v>
      </c>
      <c r="AE170" s="221">
        <v>333</v>
      </c>
      <c r="AF170" s="221" t="s">
        <v>5337</v>
      </c>
      <c r="AG170" s="221" t="s">
        <v>6041</v>
      </c>
      <c r="AH170" s="221">
        <v>411</v>
      </c>
      <c r="AI170" s="221">
        <v>460</v>
      </c>
      <c r="AJ170" s="221">
        <v>436</v>
      </c>
      <c r="AK170" s="221">
        <v>436</v>
      </c>
      <c r="AL170" s="221">
        <v>449</v>
      </c>
      <c r="AM170" s="221">
        <v>450</v>
      </c>
      <c r="AN170" s="221" t="e">
        <f>VLOOKUP(B170,正厂竞争者数据汇总!D:CL,25,FALSE)</f>
        <v>#N/A</v>
      </c>
      <c r="BD170" s="202">
        <f>IFERROR(VLOOKUP(B170,Sheet4!A:D,4,FALSE),"")</f>
        <v>460</v>
      </c>
    </row>
    <row r="171" spans="1:56">
      <c r="A171" s="89" t="s">
        <v>230</v>
      </c>
      <c r="B171" s="165" t="s">
        <v>622</v>
      </c>
      <c r="C171" s="211">
        <v>40</v>
      </c>
      <c r="D171" s="211">
        <v>42</v>
      </c>
      <c r="E171" s="232" t="s">
        <v>5419</v>
      </c>
      <c r="F171" s="198">
        <v>53</v>
      </c>
      <c r="G171" s="189">
        <v>45</v>
      </c>
      <c r="H171" s="189">
        <v>48</v>
      </c>
      <c r="I171" s="189">
        <v>81</v>
      </c>
      <c r="J171" s="189">
        <v>88</v>
      </c>
      <c r="K171" s="189">
        <v>84</v>
      </c>
      <c r="L171" s="251">
        <v>101</v>
      </c>
      <c r="M171" s="189">
        <v>122</v>
      </c>
      <c r="N171" s="189">
        <v>137</v>
      </c>
      <c r="O171" s="189">
        <v>139</v>
      </c>
      <c r="P171" s="189">
        <v>138</v>
      </c>
      <c r="Q171" s="189">
        <v>139</v>
      </c>
      <c r="R171" s="189">
        <v>141</v>
      </c>
      <c r="T171" s="189">
        <v>299</v>
      </c>
      <c r="U171" s="224" t="s">
        <v>3761</v>
      </c>
      <c r="V171" s="221" t="s">
        <v>6012</v>
      </c>
      <c r="W171" s="225">
        <v>369</v>
      </c>
      <c r="X171" s="221" t="s">
        <v>5870</v>
      </c>
      <c r="Y171" s="221" t="s">
        <v>6042</v>
      </c>
      <c r="Z171" s="221" t="s">
        <v>6033</v>
      </c>
      <c r="AA171" s="221" t="s">
        <v>3798</v>
      </c>
      <c r="AB171" s="221" t="s">
        <v>2877</v>
      </c>
      <c r="AC171" s="221">
        <v>236</v>
      </c>
      <c r="AD171" s="221">
        <v>226</v>
      </c>
      <c r="AE171" s="221">
        <v>215</v>
      </c>
      <c r="AF171" s="221" t="s">
        <v>6043</v>
      </c>
      <c r="AG171" s="221" t="s">
        <v>5664</v>
      </c>
      <c r="AH171" s="221">
        <v>162</v>
      </c>
      <c r="AI171" s="221">
        <v>154</v>
      </c>
      <c r="AJ171" s="221">
        <v>108</v>
      </c>
      <c r="AK171" s="221">
        <v>108</v>
      </c>
      <c r="AL171" s="221">
        <v>101</v>
      </c>
      <c r="AM171" s="221">
        <v>95</v>
      </c>
      <c r="AN171" s="221" t="e">
        <f>VLOOKUP(B171,正厂竞争者数据汇总!D:CL,25,FALSE)</f>
        <v>#N/A</v>
      </c>
      <c r="BD171" s="202">
        <f>IFERROR(VLOOKUP(B171,Sheet4!A:D,4,FALSE),"")</f>
        <v>154</v>
      </c>
    </row>
    <row r="172" spans="1:56">
      <c r="A172" s="89" t="s">
        <v>230</v>
      </c>
      <c r="B172" s="174" t="s">
        <v>623</v>
      </c>
      <c r="C172" s="211">
        <v>48</v>
      </c>
      <c r="D172" s="211">
        <v>44</v>
      </c>
      <c r="E172" s="232" t="s">
        <v>5419</v>
      </c>
      <c r="F172" s="198">
        <v>42</v>
      </c>
      <c r="G172" s="189">
        <v>55</v>
      </c>
      <c r="H172" s="189">
        <v>60</v>
      </c>
      <c r="I172" s="189">
        <v>96</v>
      </c>
      <c r="J172" s="189">
        <v>109</v>
      </c>
      <c r="K172" s="189">
        <v>107</v>
      </c>
      <c r="L172" s="251">
        <v>119</v>
      </c>
      <c r="M172" s="189">
        <v>127</v>
      </c>
      <c r="N172" s="189">
        <v>118</v>
      </c>
      <c r="O172" s="189">
        <v>139</v>
      </c>
      <c r="P172" s="189">
        <v>151</v>
      </c>
      <c r="Q172" s="189">
        <v>226</v>
      </c>
      <c r="R172" s="189">
        <v>241</v>
      </c>
      <c r="T172" s="189">
        <v>365</v>
      </c>
      <c r="U172" s="224" t="s">
        <v>5354</v>
      </c>
      <c r="V172" s="221" t="s">
        <v>2881</v>
      </c>
      <c r="W172" s="225">
        <v>345</v>
      </c>
      <c r="X172" s="221" t="s">
        <v>6044</v>
      </c>
      <c r="Y172" s="221" t="s">
        <v>6013</v>
      </c>
      <c r="Z172" s="221" t="s">
        <v>6045</v>
      </c>
      <c r="AA172" s="221" t="s">
        <v>5668</v>
      </c>
      <c r="AB172" s="221" t="s">
        <v>5095</v>
      </c>
      <c r="AC172" s="221">
        <v>313</v>
      </c>
      <c r="AD172" s="221">
        <v>321</v>
      </c>
      <c r="AE172" s="221">
        <v>345</v>
      </c>
      <c r="AF172" s="221" t="s">
        <v>5337</v>
      </c>
      <c r="AG172" s="221" t="s">
        <v>6046</v>
      </c>
      <c r="AH172" s="221">
        <v>363</v>
      </c>
      <c r="AI172" s="221">
        <v>363</v>
      </c>
      <c r="AJ172" s="221">
        <v>353</v>
      </c>
      <c r="AK172" s="221">
        <v>343</v>
      </c>
      <c r="AL172" s="221">
        <v>374</v>
      </c>
      <c r="AM172" s="221">
        <v>377</v>
      </c>
      <c r="AN172" s="221" t="e">
        <f>VLOOKUP(B172,正厂竞争者数据汇总!D:CL,25,FALSE)</f>
        <v>#N/A</v>
      </c>
      <c r="BD172" s="202">
        <f>IFERROR(VLOOKUP(B172,Sheet4!A:D,4,FALSE),"")</f>
        <v>363</v>
      </c>
    </row>
    <row r="173" spans="1:56">
      <c r="A173" s="89" t="s">
        <v>230</v>
      </c>
      <c r="B173" s="165" t="s">
        <v>624</v>
      </c>
      <c r="C173" s="211">
        <v>109</v>
      </c>
      <c r="D173" s="211">
        <v>95</v>
      </c>
      <c r="E173" s="232" t="s">
        <v>5419</v>
      </c>
      <c r="F173" s="198">
        <v>98</v>
      </c>
      <c r="G173" s="189">
        <v>95</v>
      </c>
      <c r="H173" s="189">
        <v>98</v>
      </c>
      <c r="I173" s="189">
        <v>130</v>
      </c>
      <c r="J173" s="189">
        <v>145</v>
      </c>
      <c r="K173" s="189">
        <v>150</v>
      </c>
      <c r="L173" s="251">
        <v>156</v>
      </c>
      <c r="M173" s="189">
        <v>163</v>
      </c>
      <c r="N173" s="189">
        <v>177</v>
      </c>
      <c r="O173" s="189">
        <v>177</v>
      </c>
      <c r="P173" s="189">
        <v>177</v>
      </c>
      <c r="Q173" s="189">
        <v>182</v>
      </c>
      <c r="R173" s="189">
        <v>170</v>
      </c>
      <c r="T173" s="189">
        <v>254</v>
      </c>
      <c r="U173" s="224" t="s">
        <v>6047</v>
      </c>
      <c r="V173" s="221" t="s">
        <v>2813</v>
      </c>
      <c r="W173" s="225">
        <v>307</v>
      </c>
      <c r="X173" s="221" t="s">
        <v>6048</v>
      </c>
      <c r="Y173" s="221" t="s">
        <v>2880</v>
      </c>
      <c r="Z173" s="221" t="s">
        <v>6049</v>
      </c>
      <c r="AA173" s="221" t="s">
        <v>1827</v>
      </c>
      <c r="AB173" s="221" t="s">
        <v>5601</v>
      </c>
      <c r="AC173" s="221">
        <v>309</v>
      </c>
      <c r="AD173" s="221">
        <v>323</v>
      </c>
      <c r="AE173" s="221">
        <v>342</v>
      </c>
      <c r="AF173" s="221" t="s">
        <v>6050</v>
      </c>
      <c r="AG173" s="221" t="s">
        <v>6051</v>
      </c>
      <c r="AH173" s="221">
        <v>379</v>
      </c>
      <c r="AI173" s="221">
        <v>382</v>
      </c>
      <c r="AJ173" s="221">
        <v>374</v>
      </c>
      <c r="AK173" s="221">
        <v>358</v>
      </c>
      <c r="AL173" s="221">
        <v>378</v>
      </c>
      <c r="AM173" s="221">
        <v>388</v>
      </c>
      <c r="AN173" s="221" t="e">
        <f>VLOOKUP(B173,正厂竞争者数据汇总!D:CL,25,FALSE)</f>
        <v>#N/A</v>
      </c>
      <c r="BD173" s="202">
        <f>IFERROR(VLOOKUP(B173,Sheet4!A:D,4,FALSE),"")</f>
        <v>382</v>
      </c>
    </row>
    <row r="174" ht="15.6" spans="1:56">
      <c r="A174" s="149" t="s">
        <v>227</v>
      </c>
      <c r="B174" s="187" t="s">
        <v>4649</v>
      </c>
      <c r="C174" s="247">
        <v>1</v>
      </c>
      <c r="D174" s="247">
        <v>1</v>
      </c>
      <c r="E174" s="232" t="s">
        <v>5419</v>
      </c>
      <c r="F174" s="244">
        <v>8</v>
      </c>
      <c r="G174" s="190">
        <v>36</v>
      </c>
      <c r="H174" s="190">
        <v>54</v>
      </c>
      <c r="I174" s="190">
        <v>65</v>
      </c>
      <c r="J174" s="190">
        <v>70</v>
      </c>
      <c r="K174" s="190">
        <v>80</v>
      </c>
      <c r="L174" s="190">
        <v>85</v>
      </c>
      <c r="M174" s="190">
        <v>90</v>
      </c>
      <c r="N174" s="190" t="s">
        <v>6052</v>
      </c>
      <c r="O174" s="190" t="s">
        <v>6053</v>
      </c>
      <c r="P174" s="190" t="s">
        <v>6054</v>
      </c>
      <c r="Q174" s="190">
        <v>58</v>
      </c>
      <c r="R174" s="190">
        <v>66</v>
      </c>
      <c r="T174" s="190">
        <v>238</v>
      </c>
      <c r="U174" s="224" t="s">
        <v>5786</v>
      </c>
      <c r="V174" s="221" t="s">
        <v>2877</v>
      </c>
      <c r="W174" s="225">
        <v>243</v>
      </c>
      <c r="X174" s="221" t="s">
        <v>5995</v>
      </c>
      <c r="Y174" s="221" t="s">
        <v>5468</v>
      </c>
      <c r="Z174" s="221" t="s">
        <v>5928</v>
      </c>
      <c r="AA174" s="221" t="s">
        <v>6055</v>
      </c>
      <c r="AB174" s="221" t="s">
        <v>5959</v>
      </c>
      <c r="AC174" s="221">
        <v>32</v>
      </c>
      <c r="AD174" s="221">
        <v>30</v>
      </c>
      <c r="AE174" s="221">
        <v>27</v>
      </c>
      <c r="AF174" s="221" t="s">
        <v>852</v>
      </c>
      <c r="AG174" s="221" t="s">
        <v>5624</v>
      </c>
      <c r="AH174" s="221">
        <v>22</v>
      </c>
      <c r="AI174" s="221">
        <v>22</v>
      </c>
      <c r="AJ174" s="221">
        <v>14</v>
      </c>
      <c r="AK174" s="221">
        <v>14</v>
      </c>
      <c r="AL174" s="221">
        <v>14</v>
      </c>
      <c r="AM174" s="221">
        <v>13</v>
      </c>
      <c r="AN174" s="221" t="e">
        <f>VLOOKUP(B174,正厂竞争者数据汇总!D:CL,25,FALSE)</f>
        <v>#N/A</v>
      </c>
      <c r="BD174" s="202">
        <f>IFERROR(VLOOKUP(B174,Sheet4!A:D,4,FALSE),"")</f>
        <v>22</v>
      </c>
    </row>
    <row r="175" spans="1:56">
      <c r="A175" s="89" t="s">
        <v>446</v>
      </c>
      <c r="B175" s="164" t="s">
        <v>4650</v>
      </c>
      <c r="C175" s="232" t="s">
        <v>5419</v>
      </c>
      <c r="D175" s="232" t="s">
        <v>5419</v>
      </c>
      <c r="E175" s="232" t="s">
        <v>5419</v>
      </c>
      <c r="F175" s="198">
        <v>3</v>
      </c>
      <c r="G175" s="189">
        <v>479</v>
      </c>
      <c r="H175" s="189">
        <v>566</v>
      </c>
      <c r="I175" s="189">
        <v>907</v>
      </c>
      <c r="J175" s="189">
        <v>8</v>
      </c>
      <c r="K175" s="189">
        <v>10</v>
      </c>
      <c r="L175" s="251">
        <v>11</v>
      </c>
      <c r="M175" s="189">
        <v>11</v>
      </c>
      <c r="N175" s="189">
        <v>10</v>
      </c>
      <c r="O175" s="189">
        <v>10</v>
      </c>
      <c r="P175" s="189">
        <v>8</v>
      </c>
      <c r="Q175" s="189">
        <v>4</v>
      </c>
      <c r="R175" s="189" t="s">
        <v>5279</v>
      </c>
      <c r="T175" s="189">
        <v>5</v>
      </c>
      <c r="U175" s="224" t="s">
        <v>5438</v>
      </c>
      <c r="V175" s="221" t="s">
        <v>5922</v>
      </c>
      <c r="W175" s="225">
        <v>9</v>
      </c>
      <c r="X175" s="221" t="s">
        <v>5922</v>
      </c>
      <c r="Y175" s="221" t="s">
        <v>5922</v>
      </c>
      <c r="Z175" s="221" t="s">
        <v>5923</v>
      </c>
      <c r="AA175" s="221" t="s">
        <v>5925</v>
      </c>
      <c r="AB175" s="221" t="s">
        <v>5925</v>
      </c>
      <c r="AC175" s="221">
        <v>3</v>
      </c>
      <c r="AD175" s="221">
        <v>3</v>
      </c>
      <c r="AE175" s="221">
        <v>3</v>
      </c>
      <c r="AF175" s="221" t="s">
        <v>6056</v>
      </c>
      <c r="AG175" s="221" t="s">
        <v>6057</v>
      </c>
      <c r="AH175" s="221">
        <v>5</v>
      </c>
      <c r="AI175" s="221">
        <v>23</v>
      </c>
      <c r="AJ175" s="221">
        <v>28</v>
      </c>
      <c r="AK175" s="221">
        <v>28</v>
      </c>
      <c r="AL175" s="221">
        <v>27</v>
      </c>
      <c r="AM175" s="221">
        <v>27</v>
      </c>
      <c r="AN175" s="221" t="e">
        <f>VLOOKUP(B175,正厂竞争者数据汇总!D:CL,25,FALSE)</f>
        <v>#N/A</v>
      </c>
      <c r="BD175" s="202">
        <f>IFERROR(VLOOKUP(B175,Sheet4!A:D,4,FALSE),"")</f>
        <v>23</v>
      </c>
    </row>
    <row r="176" spans="1:56">
      <c r="A176" s="96" t="s">
        <v>193</v>
      </c>
      <c r="B176" s="205"/>
      <c r="C176" s="97"/>
      <c r="D176" s="97"/>
      <c r="E176" s="97"/>
      <c r="AG176" s="200" t="s">
        <v>180</v>
      </c>
      <c r="AH176" s="200" t="s">
        <v>180</v>
      </c>
      <c r="AI176" s="200" t="s">
        <v>180</v>
      </c>
      <c r="AJ176" s="221"/>
      <c r="AK176" s="221"/>
      <c r="AL176" s="221"/>
      <c r="AM176" s="221"/>
      <c r="AN176" s="221"/>
      <c r="BD176" s="202" t="str">
        <f>IFERROR(VLOOKUP(B176,Sheet4!A:D,4,FALSE),"")</f>
        <v/>
      </c>
    </row>
    <row r="177" spans="1:56">
      <c r="A177" s="101" t="s">
        <v>3944</v>
      </c>
      <c r="B177" s="171" t="s">
        <v>207</v>
      </c>
      <c r="C177" s="102"/>
      <c r="D177" s="102"/>
      <c r="E177" s="102"/>
      <c r="F177" s="119"/>
      <c r="AG177" s="200" t="s">
        <v>180</v>
      </c>
      <c r="AH177" s="200" t="s">
        <v>180</v>
      </c>
      <c r="AI177" s="200" t="s">
        <v>180</v>
      </c>
      <c r="AJ177" s="221"/>
      <c r="AK177" s="221"/>
      <c r="AL177" s="221"/>
      <c r="AM177" s="221"/>
      <c r="AN177" s="221"/>
      <c r="BD177" s="202" t="str">
        <f>IFERROR(VLOOKUP(B177,Sheet4!A:D,4,FALSE),"")</f>
        <v/>
      </c>
    </row>
    <row r="178" spans="1:56">
      <c r="A178" s="89" t="s">
        <v>801</v>
      </c>
      <c r="B178" s="165" t="s">
        <v>476</v>
      </c>
      <c r="C178" s="232" t="s">
        <v>5419</v>
      </c>
      <c r="D178" s="232" t="s">
        <v>5419</v>
      </c>
      <c r="E178" s="232" t="s">
        <v>5419</v>
      </c>
      <c r="F178" s="232" t="s">
        <v>5419</v>
      </c>
      <c r="G178" s="232" t="s">
        <v>5419</v>
      </c>
      <c r="H178" s="232" t="s">
        <v>5419</v>
      </c>
      <c r="I178" s="232" t="s">
        <v>5419</v>
      </c>
      <c r="J178" s="232" t="s">
        <v>5419</v>
      </c>
      <c r="K178" s="232" t="s">
        <v>5419</v>
      </c>
      <c r="L178" s="232" t="s">
        <v>5419</v>
      </c>
      <c r="M178" s="232" t="s">
        <v>5419</v>
      </c>
      <c r="N178" s="232" t="s">
        <v>5419</v>
      </c>
      <c r="O178" s="232" t="s">
        <v>5419</v>
      </c>
      <c r="P178" s="232" t="s">
        <v>5419</v>
      </c>
      <c r="Q178" s="232" t="s">
        <v>5419</v>
      </c>
      <c r="R178" s="232" t="s">
        <v>5419</v>
      </c>
      <c r="T178" s="232">
        <v>605</v>
      </c>
      <c r="U178" s="224" t="s">
        <v>5552</v>
      </c>
      <c r="V178" s="221" t="s">
        <v>6058</v>
      </c>
      <c r="W178" s="225">
        <v>944</v>
      </c>
      <c r="X178" s="221" t="s">
        <v>6059</v>
      </c>
      <c r="Y178" s="221" t="s">
        <v>6060</v>
      </c>
      <c r="Z178" s="221" t="s">
        <v>6061</v>
      </c>
      <c r="AA178" s="221" t="s">
        <v>6062</v>
      </c>
      <c r="AB178" s="221" t="s">
        <v>6063</v>
      </c>
      <c r="AC178" s="221">
        <v>1067</v>
      </c>
      <c r="AD178" s="221">
        <v>1352</v>
      </c>
      <c r="AE178" s="221">
        <v>1836</v>
      </c>
      <c r="AF178" s="221" t="s">
        <v>6064</v>
      </c>
      <c r="AG178" s="221" t="s">
        <v>6065</v>
      </c>
      <c r="AH178" s="221">
        <v>2980</v>
      </c>
      <c r="AI178" s="221">
        <v>3733</v>
      </c>
      <c r="AJ178" s="221">
        <v>3792</v>
      </c>
      <c r="AK178" s="221">
        <v>3738</v>
      </c>
      <c r="AL178" s="221">
        <v>3626</v>
      </c>
      <c r="AM178" s="221">
        <v>3470</v>
      </c>
      <c r="AN178" s="221">
        <f>VLOOKUP(B178,正厂竞争者数据汇总!D:CL,25,FALSE)</f>
        <v>193993</v>
      </c>
      <c r="BD178" s="202">
        <f>IFERROR(VLOOKUP(B178,Sheet4!A:D,4,FALSE),"")</f>
        <v>3733</v>
      </c>
    </row>
    <row r="179" spans="1:56">
      <c r="A179" s="89" t="s">
        <v>230</v>
      </c>
      <c r="B179" s="164" t="s">
        <v>625</v>
      </c>
      <c r="C179" s="232">
        <v>35</v>
      </c>
      <c r="D179" s="232">
        <v>29</v>
      </c>
      <c r="E179" s="232" t="s">
        <v>5419</v>
      </c>
      <c r="F179" s="198">
        <v>39</v>
      </c>
      <c r="G179" s="189">
        <v>24</v>
      </c>
      <c r="H179" s="189">
        <v>44</v>
      </c>
      <c r="I179" s="189">
        <v>71</v>
      </c>
      <c r="J179" s="189">
        <v>72</v>
      </c>
      <c r="K179" s="189">
        <v>82</v>
      </c>
      <c r="L179" s="189">
        <v>97</v>
      </c>
      <c r="M179" s="189">
        <v>115</v>
      </c>
      <c r="N179" s="189">
        <v>124</v>
      </c>
      <c r="O179" s="189">
        <v>130</v>
      </c>
      <c r="P179" s="189">
        <v>118</v>
      </c>
      <c r="Q179" s="189">
        <v>117</v>
      </c>
      <c r="R179" s="189">
        <v>122</v>
      </c>
      <c r="T179" s="189">
        <v>305</v>
      </c>
      <c r="U179" s="224" t="s">
        <v>5978</v>
      </c>
      <c r="V179" s="221" t="s">
        <v>6066</v>
      </c>
      <c r="W179" s="225">
        <v>367</v>
      </c>
      <c r="X179" s="221" t="s">
        <v>6067</v>
      </c>
      <c r="Y179" s="221" t="s">
        <v>6068</v>
      </c>
      <c r="Z179" s="221" t="s">
        <v>6047</v>
      </c>
      <c r="AA179" s="221" t="s">
        <v>5832</v>
      </c>
      <c r="AB179" s="221" t="s">
        <v>6069</v>
      </c>
      <c r="AC179" s="221">
        <v>335</v>
      </c>
      <c r="AD179" s="221">
        <v>337</v>
      </c>
      <c r="AE179" s="221">
        <v>358</v>
      </c>
      <c r="AF179" s="221" t="s">
        <v>5859</v>
      </c>
      <c r="AG179" s="221" t="s">
        <v>5482</v>
      </c>
      <c r="AH179" s="221">
        <v>427</v>
      </c>
      <c r="AI179" s="221">
        <v>453</v>
      </c>
      <c r="AJ179" s="221">
        <v>476</v>
      </c>
      <c r="AK179" s="221">
        <v>476</v>
      </c>
      <c r="AL179" s="221">
        <v>493</v>
      </c>
      <c r="AM179" s="221">
        <v>489</v>
      </c>
      <c r="AN179" s="221" t="e">
        <f>VLOOKUP(B179,正厂竞争者数据汇总!D:CL,25,FALSE)</f>
        <v>#N/A</v>
      </c>
      <c r="BD179" s="202">
        <f>IFERROR(VLOOKUP(B179,Sheet4!A:D,4,FALSE),"")</f>
        <v>453</v>
      </c>
    </row>
    <row r="180" spans="1:56">
      <c r="A180" s="89" t="s">
        <v>367</v>
      </c>
      <c r="B180" s="165" t="s">
        <v>626</v>
      </c>
      <c r="C180" s="211">
        <v>90</v>
      </c>
      <c r="D180" s="211">
        <v>94</v>
      </c>
      <c r="E180" s="232" t="s">
        <v>5419</v>
      </c>
      <c r="F180" s="198">
        <v>114</v>
      </c>
      <c r="G180" s="189">
        <v>168</v>
      </c>
      <c r="H180" s="189">
        <v>273</v>
      </c>
      <c r="I180" s="189">
        <v>341</v>
      </c>
      <c r="J180" s="189">
        <v>363</v>
      </c>
      <c r="K180" s="189">
        <v>396</v>
      </c>
      <c r="L180" s="189">
        <v>456</v>
      </c>
      <c r="M180" s="189">
        <v>526</v>
      </c>
      <c r="N180" s="189">
        <v>524</v>
      </c>
      <c r="O180" s="189">
        <v>510</v>
      </c>
      <c r="P180" s="189">
        <v>481</v>
      </c>
      <c r="Q180" s="189">
        <v>457</v>
      </c>
      <c r="R180" s="189">
        <v>439</v>
      </c>
      <c r="T180" s="189">
        <v>545</v>
      </c>
      <c r="U180" s="224" t="s">
        <v>5697</v>
      </c>
      <c r="V180" s="221" t="s">
        <v>5416</v>
      </c>
      <c r="W180" s="225">
        <v>566</v>
      </c>
      <c r="X180" s="221" t="s">
        <v>6070</v>
      </c>
      <c r="Y180" s="221" t="s">
        <v>5430</v>
      </c>
      <c r="Z180" s="221" t="s">
        <v>5547</v>
      </c>
      <c r="AA180" s="221" t="s">
        <v>6071</v>
      </c>
      <c r="AB180" s="221" t="s">
        <v>5566</v>
      </c>
      <c r="AC180" s="221">
        <v>654</v>
      </c>
      <c r="AD180" s="221">
        <v>863</v>
      </c>
      <c r="AE180" s="221">
        <v>979</v>
      </c>
      <c r="AF180" s="221" t="s">
        <v>6072</v>
      </c>
      <c r="AG180" s="221" t="s">
        <v>6073</v>
      </c>
      <c r="AH180" s="221">
        <v>850</v>
      </c>
      <c r="AI180" s="221">
        <v>916</v>
      </c>
      <c r="AJ180" s="221">
        <v>714</v>
      </c>
      <c r="AK180" s="221">
        <v>714</v>
      </c>
      <c r="AL180" s="221">
        <v>676</v>
      </c>
      <c r="AM180" s="221">
        <v>599</v>
      </c>
      <c r="AN180" s="221" t="e">
        <f>VLOOKUP(B180,正厂竞争者数据汇总!D:CL,25,FALSE)</f>
        <v>#N/A</v>
      </c>
      <c r="BD180" s="202">
        <f>IFERROR(VLOOKUP(B180,Sheet4!A:D,4,FALSE),"")</f>
        <v>916</v>
      </c>
    </row>
    <row r="181" spans="1:56">
      <c r="A181" s="89" t="s">
        <v>230</v>
      </c>
      <c r="B181" s="164" t="s">
        <v>373</v>
      </c>
      <c r="C181" s="232">
        <v>40</v>
      </c>
      <c r="D181" s="232">
        <v>33</v>
      </c>
      <c r="E181" s="232" t="s">
        <v>5419</v>
      </c>
      <c r="F181" s="198">
        <v>480</v>
      </c>
      <c r="G181" s="189">
        <v>497</v>
      </c>
      <c r="H181" s="189">
        <v>37</v>
      </c>
      <c r="I181" s="189" t="s">
        <v>6074</v>
      </c>
      <c r="J181" s="189">
        <v>53</v>
      </c>
      <c r="K181" s="189">
        <v>55</v>
      </c>
      <c r="L181" s="189">
        <v>63</v>
      </c>
      <c r="M181" s="189">
        <v>69</v>
      </c>
      <c r="N181" s="189">
        <v>77</v>
      </c>
      <c r="O181" s="189">
        <v>79</v>
      </c>
      <c r="P181" s="189">
        <v>78</v>
      </c>
      <c r="Q181" s="189">
        <v>76</v>
      </c>
      <c r="R181" s="189">
        <v>71</v>
      </c>
      <c r="T181" s="189">
        <v>66</v>
      </c>
      <c r="U181" s="224" t="s">
        <v>6075</v>
      </c>
      <c r="V181" s="221" t="s">
        <v>6076</v>
      </c>
      <c r="W181" s="225">
        <v>90</v>
      </c>
      <c r="X181" s="221" t="s">
        <v>5621</v>
      </c>
      <c r="Y181" s="221" t="s">
        <v>2454</v>
      </c>
      <c r="Z181" s="221" t="s">
        <v>5918</v>
      </c>
      <c r="AA181" s="221" t="s">
        <v>5998</v>
      </c>
      <c r="AB181" s="221" t="s">
        <v>6077</v>
      </c>
      <c r="AC181" s="221">
        <v>178</v>
      </c>
      <c r="AD181" s="221">
        <v>188</v>
      </c>
      <c r="AE181" s="221">
        <v>206</v>
      </c>
      <c r="AF181" s="221" t="s">
        <v>5496</v>
      </c>
      <c r="AG181" s="221" t="s">
        <v>5496</v>
      </c>
      <c r="AH181" s="221">
        <v>217</v>
      </c>
      <c r="AI181" s="221">
        <v>218</v>
      </c>
      <c r="AJ181" s="221">
        <v>216</v>
      </c>
      <c r="AK181" s="221">
        <v>216</v>
      </c>
      <c r="AL181" s="221">
        <v>221</v>
      </c>
      <c r="AM181" s="221">
        <v>218</v>
      </c>
      <c r="AN181" s="221">
        <f>VLOOKUP(B181,正厂竞争者数据汇总!D:CL,25,FALSE)</f>
        <v>5939</v>
      </c>
      <c r="BD181" s="202">
        <f>IFERROR(VLOOKUP(B181,Sheet4!A:D,4,FALSE),"")</f>
        <v>218</v>
      </c>
    </row>
    <row r="182" spans="1:56">
      <c r="A182" s="88" t="s">
        <v>227</v>
      </c>
      <c r="B182" s="169" t="s">
        <v>4662</v>
      </c>
      <c r="C182" s="215">
        <v>0</v>
      </c>
      <c r="D182" s="215">
        <v>0</v>
      </c>
      <c r="E182" s="232" t="s">
        <v>5419</v>
      </c>
      <c r="F182" s="244">
        <v>1</v>
      </c>
      <c r="G182" s="190">
        <v>3</v>
      </c>
      <c r="H182" s="190">
        <v>10</v>
      </c>
      <c r="I182" s="190">
        <v>14</v>
      </c>
      <c r="J182" s="190">
        <v>17</v>
      </c>
      <c r="K182" s="190">
        <v>19</v>
      </c>
      <c r="L182" s="190">
        <v>23</v>
      </c>
      <c r="M182" s="190">
        <v>23</v>
      </c>
      <c r="N182" s="190" t="s">
        <v>6078</v>
      </c>
      <c r="O182" s="190" t="s">
        <v>6079</v>
      </c>
      <c r="P182" s="190" t="s">
        <v>6080</v>
      </c>
      <c r="Q182" s="190">
        <v>12</v>
      </c>
      <c r="R182" s="190">
        <v>14</v>
      </c>
      <c r="T182" s="190">
        <v>140</v>
      </c>
      <c r="U182" s="224" t="s">
        <v>5840</v>
      </c>
      <c r="V182" s="221" t="s">
        <v>5840</v>
      </c>
      <c r="W182" s="225">
        <v>146</v>
      </c>
      <c r="X182" s="221" t="s">
        <v>6081</v>
      </c>
      <c r="Y182" s="221" t="s">
        <v>5999</v>
      </c>
      <c r="Z182" s="221" t="s">
        <v>5613</v>
      </c>
      <c r="AA182" s="221" t="s">
        <v>6082</v>
      </c>
      <c r="AB182" s="221" t="s">
        <v>852</v>
      </c>
      <c r="AC182" s="221">
        <v>24</v>
      </c>
      <c r="AD182" s="221">
        <v>23</v>
      </c>
      <c r="AE182" s="221">
        <v>23</v>
      </c>
      <c r="AF182" s="221" t="s">
        <v>5624</v>
      </c>
      <c r="AG182" s="221" t="s">
        <v>3432</v>
      </c>
      <c r="AH182" s="221">
        <v>18</v>
      </c>
      <c r="AI182" s="221">
        <v>18</v>
      </c>
      <c r="AJ182" s="221">
        <v>16</v>
      </c>
      <c r="AK182" s="221">
        <v>17</v>
      </c>
      <c r="AL182" s="221">
        <v>16</v>
      </c>
      <c r="AM182" s="221">
        <v>16</v>
      </c>
      <c r="AN182" s="221" t="e">
        <f>VLOOKUP(B182,正厂竞争者数据汇总!D:CL,25,FALSE)</f>
        <v>#N/A</v>
      </c>
      <c r="BD182" s="202">
        <f>IFERROR(VLOOKUP(B182,Sheet4!A:D,4,FALSE),"")</f>
        <v>18</v>
      </c>
    </row>
    <row r="183" spans="36:40">
      <c r="AJ183"/>
      <c r="AK183"/>
      <c r="AL183"/>
      <c r="AM183"/>
      <c r="AN183"/>
    </row>
    <row r="184" spans="8:40">
      <c r="H184" s="248" t="s">
        <v>6083</v>
      </c>
      <c r="I184" s="248"/>
      <c r="AJ184"/>
      <c r="AK184"/>
      <c r="AL184"/>
      <c r="AM184"/>
      <c r="AN184"/>
    </row>
    <row r="185" spans="8:40">
      <c r="H185" s="248" t="s">
        <v>6084</v>
      </c>
      <c r="I185" s="248"/>
      <c r="AJ185"/>
      <c r="AK185"/>
      <c r="AL185"/>
      <c r="AM185"/>
      <c r="AN185"/>
    </row>
    <row r="186" spans="36:40">
      <c r="AJ186"/>
      <c r="AK186"/>
      <c r="AL186"/>
      <c r="AM186"/>
      <c r="AN186"/>
    </row>
    <row r="187" spans="36:40">
      <c r="AJ187"/>
      <c r="AK187"/>
      <c r="AL187"/>
      <c r="AM187"/>
      <c r="AN187"/>
    </row>
    <row r="188" spans="36:40">
      <c r="AJ188"/>
      <c r="AK188"/>
      <c r="AL188"/>
      <c r="AM188"/>
      <c r="AN188"/>
    </row>
    <row r="189" spans="36:40">
      <c r="AJ189"/>
      <c r="AK189"/>
      <c r="AL189"/>
      <c r="AM189"/>
      <c r="AN189"/>
    </row>
    <row r="190" spans="36:40">
      <c r="AJ190"/>
      <c r="AK190"/>
      <c r="AL190"/>
      <c r="AM190"/>
      <c r="AN190"/>
    </row>
    <row r="191" spans="36:40">
      <c r="AJ191"/>
      <c r="AK191"/>
      <c r="AL191"/>
      <c r="AM191"/>
      <c r="AN191"/>
    </row>
    <row r="192" spans="36:40">
      <c r="AJ192"/>
      <c r="AK192"/>
      <c r="AL192"/>
      <c r="AM192"/>
      <c r="AN192"/>
    </row>
    <row r="193" spans="36:40">
      <c r="AJ193"/>
      <c r="AK193"/>
      <c r="AL193"/>
      <c r="AM193"/>
      <c r="AN193"/>
    </row>
  </sheetData>
  <conditionalFormatting sqref="B4">
    <cfRule type="duplicateValues" dxfId="0" priority="8"/>
  </conditionalFormatting>
  <conditionalFormatting sqref="B5">
    <cfRule type="duplicateValues" dxfId="0" priority="7"/>
  </conditionalFormatting>
  <conditionalFormatting sqref="B8">
    <cfRule type="duplicateValues" dxfId="0" priority="6"/>
  </conditionalFormatting>
  <conditionalFormatting sqref="B15">
    <cfRule type="duplicateValues" dxfId="0" priority="9"/>
  </conditionalFormatting>
  <conditionalFormatting sqref="B10:B11">
    <cfRule type="duplicateValues" dxfId="0" priority="10"/>
  </conditionalFormatting>
  <hyperlinks>
    <hyperlink ref="B45" r:id="rId1" display="www.bluespringsfordparts.com"/>
    <hyperlink ref="B41" r:id="rId2" display="accessories.ford.com"/>
    <hyperlink ref="B162" r:id="rId3" display="www.mazdapartsprime.com"/>
    <hyperlink ref="B144" r:id="rId4" display="www.erievolvo.com"/>
    <hyperlink ref="B142" r:id="rId5" display="usparts.volvocars.com"/>
    <hyperlink ref="B59" r:id="rId6" display="www.moparpartsprime.com"/>
    <hyperlink ref="B158" r:id="rId7" display="www.realmazdaparts.com"/>
    <hyperlink ref="B154" r:id="rId8" display="www.vwpartsprime.com"/>
    <hyperlink ref="B102" r:id="rId9" display="www.acuraautomotiveparts.org"/>
    <hyperlink ref="B101" r:id="rId10" display="acura.bernardiparts.com"/>
    <hyperlink ref="B81" r:id="rId11" display="www.hyundaionlineparts.net"/>
    <hyperlink ref="B64" r:id="rId12" display="www.courtesyparts.com"/>
    <hyperlink ref="B11" r:id="rId13" display="www.gmpartsdirect.co"/>
    <hyperlink ref="B23" r:id="rId14" display="www.hondapartscheap.com"/>
    <hyperlink ref="B76" r:id="rId15" display="www.hyundaioemparts.com"/>
    <hyperlink ref="B98" r:id="rId16" display="www.acuraoemparts.com"/>
    <hyperlink ref="B125" r:id="rId17" display="www.discountinfinitiparts.com"/>
    <hyperlink ref="B126" r:id="rId18" display="www.nissaninfinitiparts.com"/>
    <hyperlink ref="B165" r:id="rId19" display="www.mitsubishipartswarehouse.com"/>
    <hyperlink ref="B116" r:id="rId20" display="www.kiapartsdepartment.com"/>
    <hyperlink ref="B29" r:id="rId21" display="www.toyotapartsdeal.com"/>
    <hyperlink ref="B152" r:id="rId22" display="www.vwpartsdepartment.com"/>
    <hyperlink ref="B5" r:id="rId23" display="www.gmpartsgiant.com"/>
    <hyperlink ref="B17" r:id="rId24" display="www.bernardiparts.com"/>
    <hyperlink ref="B70" r:id="rId25" display="www.nissanparts.cc"/>
    <hyperlink ref="B118" r:id="rId26" display="www.kia.parts"/>
    <hyperlink ref="B134" r:id="rId27" display="www.bmwpartsupply.com"/>
    <hyperlink ref="B97" r:id="rId28" display="www.acurapartswarehouse.com"/>
    <hyperlink ref="B34" r:id="rId29" display="WWW.oempartsource.com"/>
    <hyperlink ref="B9" r:id="rId30" display="www.gmpartsnow.com"/>
  </hyperlinks>
  <pageMargins left="0.7" right="0.7" top="0.75" bottom="0.75" header="0.3" footer="0.3"/>
  <pageSetup paperSize="9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26"/>
  <sheetViews>
    <sheetView workbookViewId="0">
      <selection activeCell="A1" sqref="A1"/>
    </sheetView>
  </sheetViews>
  <sheetFormatPr defaultColWidth="9" defaultRowHeight="13.8"/>
  <cols>
    <col min="1" max="1" width="19.1111111111111" style="89" customWidth="1"/>
    <col min="2" max="2" width="28.3333333333333" style="89" customWidth="1"/>
    <col min="3" max="3" width="27.7777777777778" style="90" customWidth="1"/>
    <col min="4" max="4" width="8.22222222222222" style="89" customWidth="1"/>
    <col min="5" max="5" width="19.8888888888889" style="89" customWidth="1"/>
    <col min="6" max="6" width="21.4444444444444" style="91" customWidth="1"/>
    <col min="7" max="8" width="21.3333333333333" style="91" customWidth="1"/>
    <col min="9" max="9" width="8.66666666666667" style="92" hidden="1" customWidth="1"/>
    <col min="10" max="10" width="9.33333333333333" style="91" hidden="1" customWidth="1"/>
    <col min="11" max="11" width="17.4444444444444" style="94" customWidth="1"/>
    <col min="12" max="12" width="17.7777777777778" style="89" customWidth="1"/>
    <col min="13" max="13" width="17.1111111111111" style="89" customWidth="1"/>
    <col min="14" max="14" width="12.2222222222222" style="89" customWidth="1"/>
    <col min="15" max="15" width="18" style="95" customWidth="1"/>
    <col min="16" max="16" width="20.7777777777778" style="95" customWidth="1"/>
    <col min="17" max="17" width="10.8888888888889" style="89" customWidth="1"/>
    <col min="18" max="18" width="11.1111111111111" style="89" customWidth="1"/>
    <col min="19" max="19" width="10.8888888888889" style="89" customWidth="1"/>
    <col min="20" max="20" width="10.2222222222222" style="89" customWidth="1"/>
    <col min="21" max="21" width="11" style="89" customWidth="1"/>
    <col min="22" max="22" width="10.2222222222222" style="89" customWidth="1"/>
    <col min="23" max="16384" width="9" style="89"/>
  </cols>
  <sheetData>
    <row r="1" ht="27.6" customHeight="1" spans="1:22">
      <c r="A1" s="96" t="s">
        <v>145</v>
      </c>
      <c r="B1" s="97"/>
      <c r="C1" s="98"/>
      <c r="E1" s="99" t="s">
        <v>2</v>
      </c>
      <c r="F1" s="100"/>
      <c r="G1" s="100"/>
      <c r="H1" s="100"/>
      <c r="I1" s="115"/>
      <c r="J1" s="100"/>
      <c r="L1" s="102"/>
      <c r="M1" s="102"/>
      <c r="P1" s="116"/>
      <c r="Q1" s="128"/>
      <c r="R1" s="132"/>
      <c r="S1" s="116"/>
      <c r="T1" s="128"/>
      <c r="U1" s="128"/>
      <c r="V1" s="132"/>
    </row>
    <row r="2" ht="46.8" spans="1:22">
      <c r="A2" s="101" t="s">
        <v>6085</v>
      </c>
      <c r="B2" s="102" t="s">
        <v>207</v>
      </c>
      <c r="C2" s="101" t="s">
        <v>447</v>
      </c>
      <c r="D2" s="89" t="s">
        <v>209</v>
      </c>
      <c r="E2" s="101" t="s">
        <v>210</v>
      </c>
      <c r="F2" s="103" t="s">
        <v>6086</v>
      </c>
      <c r="G2" s="104" t="s">
        <v>6087</v>
      </c>
      <c r="H2" s="104" t="s">
        <v>6088</v>
      </c>
      <c r="I2" s="117" t="s">
        <v>6089</v>
      </c>
      <c r="J2" s="91" t="s">
        <v>6090</v>
      </c>
      <c r="K2" s="118" t="s">
        <v>0</v>
      </c>
      <c r="L2" s="119" t="s">
        <v>6091</v>
      </c>
      <c r="M2" s="101" t="s">
        <v>6092</v>
      </c>
      <c r="N2" s="120" t="s">
        <v>224</v>
      </c>
      <c r="O2" s="119" t="s">
        <v>225</v>
      </c>
      <c r="P2" s="120" t="s">
        <v>226</v>
      </c>
      <c r="Q2" s="119"/>
      <c r="R2" s="119"/>
      <c r="S2" s="119"/>
      <c r="T2" s="119"/>
      <c r="U2" s="119"/>
      <c r="V2" s="119"/>
    </row>
    <row r="3" s="88" customFormat="1" ht="15.15" spans="1:22">
      <c r="A3" s="89" t="s">
        <v>230</v>
      </c>
      <c r="B3" s="108" t="s">
        <v>500</v>
      </c>
      <c r="C3" s="89" t="s">
        <v>233</v>
      </c>
      <c r="D3" s="89" t="s">
        <v>417</v>
      </c>
      <c r="E3" s="91">
        <v>0</v>
      </c>
      <c r="F3" s="91">
        <v>445923.166666667</v>
      </c>
      <c r="G3" s="92">
        <v>0.25582566206176</v>
      </c>
      <c r="H3" s="92">
        <v>0.238671394144232</v>
      </c>
      <c r="I3" s="109" t="s">
        <v>180</v>
      </c>
      <c r="J3" s="91" t="s">
        <v>180</v>
      </c>
      <c r="K3" s="118">
        <v>0</v>
      </c>
      <c r="L3" s="89" t="s">
        <v>180</v>
      </c>
      <c r="M3" s="89" t="s">
        <v>180</v>
      </c>
      <c r="N3" s="189">
        <v>2071</v>
      </c>
      <c r="O3" s="95" t="s">
        <v>6093</v>
      </c>
      <c r="P3" s="125">
        <v>0</v>
      </c>
      <c r="S3" s="89"/>
      <c r="T3" s="89"/>
      <c r="U3" s="89"/>
      <c r="V3" s="89"/>
    </row>
    <row r="4" s="88" customFormat="1" ht="28.8" spans="1:22">
      <c r="A4" s="88" t="s">
        <v>227</v>
      </c>
      <c r="B4" s="105" t="s">
        <v>501</v>
      </c>
      <c r="C4" s="88" t="s">
        <v>441</v>
      </c>
      <c r="D4" s="88" t="s">
        <v>234</v>
      </c>
      <c r="E4" s="106">
        <v>0</v>
      </c>
      <c r="F4" s="106">
        <v>409683.833333333</v>
      </c>
      <c r="G4" s="107">
        <v>0.235035193802445</v>
      </c>
      <c r="H4" s="107">
        <v>0.223706885475105</v>
      </c>
      <c r="I4" s="107" t="s">
        <v>180</v>
      </c>
      <c r="J4" s="106" t="s">
        <v>180</v>
      </c>
      <c r="K4" s="122"/>
      <c r="L4" s="88" t="s">
        <v>6094</v>
      </c>
      <c r="M4" s="123" t="s">
        <v>6095</v>
      </c>
      <c r="N4" s="190">
        <v>1306</v>
      </c>
      <c r="O4" s="126" t="s">
        <v>6096</v>
      </c>
      <c r="P4" s="124" t="s">
        <v>6097</v>
      </c>
      <c r="Q4" s="126"/>
      <c r="R4" s="126"/>
      <c r="S4" s="126"/>
      <c r="T4" s="126"/>
      <c r="U4" s="126"/>
      <c r="V4" s="126"/>
    </row>
    <row r="5" ht="14.4" spans="1:18">
      <c r="A5" s="89" t="s">
        <v>230</v>
      </c>
      <c r="B5" s="108" t="s">
        <v>499</v>
      </c>
      <c r="C5" s="89" t="s">
        <v>233</v>
      </c>
      <c r="D5" s="89" t="s">
        <v>60</v>
      </c>
      <c r="E5" s="91">
        <v>0</v>
      </c>
      <c r="F5" s="91">
        <v>212255.916666667</v>
      </c>
      <c r="G5" s="109">
        <v>0.121771001075542</v>
      </c>
      <c r="H5" s="109">
        <v>0.144756281793867</v>
      </c>
      <c r="I5" s="109">
        <v>0.0713988190790716</v>
      </c>
      <c r="J5" s="91">
        <v>63676.775</v>
      </c>
      <c r="K5" s="118">
        <v>0</v>
      </c>
      <c r="L5" s="89" t="s">
        <v>180</v>
      </c>
      <c r="M5" s="89" t="s">
        <v>180</v>
      </c>
      <c r="N5" s="189">
        <v>1205</v>
      </c>
      <c r="O5" s="95">
        <v>0</v>
      </c>
      <c r="P5" s="125">
        <v>0</v>
      </c>
      <c r="Q5" s="133"/>
      <c r="R5" s="133"/>
    </row>
    <row r="6" ht="14.4" spans="1:18">
      <c r="A6" s="89" t="s">
        <v>230</v>
      </c>
      <c r="B6" s="108" t="s">
        <v>503</v>
      </c>
      <c r="C6" s="89" t="s">
        <v>233</v>
      </c>
      <c r="D6" s="89" t="s">
        <v>58</v>
      </c>
      <c r="E6" s="91">
        <v>0</v>
      </c>
      <c r="F6" s="91">
        <v>295928.416666667</v>
      </c>
      <c r="G6" s="92">
        <v>0.169773828264073</v>
      </c>
      <c r="H6" s="92">
        <v>0.16249519304132</v>
      </c>
      <c r="I6" s="109">
        <v>0.0995446431541458</v>
      </c>
      <c r="J6" s="91">
        <v>88778.525</v>
      </c>
      <c r="K6" s="118">
        <v>0</v>
      </c>
      <c r="L6" s="89" t="s">
        <v>180</v>
      </c>
      <c r="M6" s="89" t="s">
        <v>180</v>
      </c>
      <c r="N6" s="189">
        <v>750</v>
      </c>
      <c r="O6" s="95" t="s">
        <v>6098</v>
      </c>
      <c r="P6" s="125">
        <v>0</v>
      </c>
      <c r="Q6" s="88"/>
      <c r="R6" s="88"/>
    </row>
    <row r="7" ht="14.4" spans="1:16">
      <c r="A7" s="89" t="s">
        <v>487</v>
      </c>
      <c r="B7" s="108" t="s">
        <v>504</v>
      </c>
      <c r="C7" s="89" t="s">
        <v>6099</v>
      </c>
      <c r="D7" s="89" t="s">
        <v>418</v>
      </c>
      <c r="E7" s="91">
        <v>0</v>
      </c>
      <c r="F7" s="91">
        <v>158456.833333333</v>
      </c>
      <c r="G7" s="92">
        <v>0.0909065223023324</v>
      </c>
      <c r="H7" s="92">
        <v>0.0992775291766189</v>
      </c>
      <c r="I7" s="109" t="s">
        <v>180</v>
      </c>
      <c r="J7" s="91" t="s">
        <v>180</v>
      </c>
      <c r="K7" s="118">
        <v>0</v>
      </c>
      <c r="L7" s="89" t="s">
        <v>180</v>
      </c>
      <c r="N7" s="189">
        <v>806</v>
      </c>
      <c r="O7" s="95" t="s">
        <v>4052</v>
      </c>
      <c r="P7" s="125">
        <v>0</v>
      </c>
    </row>
    <row r="8" ht="28.8" spans="1:16">
      <c r="A8" s="89" t="s">
        <v>230</v>
      </c>
      <c r="B8" s="108" t="s">
        <v>505</v>
      </c>
      <c r="C8" s="89" t="s">
        <v>233</v>
      </c>
      <c r="D8" s="89" t="s">
        <v>451</v>
      </c>
      <c r="E8" s="91">
        <v>0</v>
      </c>
      <c r="F8" s="91">
        <v>138179.416666667</v>
      </c>
      <c r="G8" s="109">
        <v>0.0792733892170314</v>
      </c>
      <c r="H8" s="109">
        <v>0.0714491783653998</v>
      </c>
      <c r="I8" s="109" t="s">
        <v>180</v>
      </c>
      <c r="J8" s="91" t="s">
        <v>180</v>
      </c>
      <c r="K8" s="118">
        <v>0</v>
      </c>
      <c r="L8" s="89" t="s">
        <v>180</v>
      </c>
      <c r="M8" s="89" t="s">
        <v>180</v>
      </c>
      <c r="N8" s="189">
        <v>718</v>
      </c>
      <c r="O8" s="95" t="s">
        <v>6100</v>
      </c>
      <c r="P8" s="125">
        <v>0</v>
      </c>
    </row>
    <row r="9" ht="14.4" spans="1:16">
      <c r="A9" s="89" t="s">
        <v>230</v>
      </c>
      <c r="B9" s="108" t="s">
        <v>506</v>
      </c>
      <c r="C9" s="89" t="s">
        <v>233</v>
      </c>
      <c r="D9" s="89" t="s">
        <v>58</v>
      </c>
      <c r="E9" s="91">
        <v>0</v>
      </c>
      <c r="F9" s="91">
        <v>71733</v>
      </c>
      <c r="G9" s="109">
        <v>0.041153148318921</v>
      </c>
      <c r="H9" s="109">
        <v>0.0488451587359524</v>
      </c>
      <c r="I9" s="109">
        <v>0.0241296052870095</v>
      </c>
      <c r="J9" s="91">
        <v>21519.9</v>
      </c>
      <c r="K9" s="118">
        <v>0</v>
      </c>
      <c r="L9" s="89" t="s">
        <v>180</v>
      </c>
      <c r="M9" s="89" t="s">
        <v>180</v>
      </c>
      <c r="N9" s="189">
        <v>284</v>
      </c>
      <c r="O9" s="95">
        <v>0</v>
      </c>
      <c r="P9" s="125">
        <v>0</v>
      </c>
    </row>
    <row r="10" ht="14.4" spans="2:18">
      <c r="B10" s="108"/>
      <c r="C10" s="89"/>
      <c r="E10" s="91"/>
      <c r="G10" s="92"/>
      <c r="H10" s="92"/>
      <c r="I10" s="109"/>
      <c r="K10" s="118"/>
      <c r="N10" s="189"/>
      <c r="P10" s="125"/>
      <c r="Q10" s="133"/>
      <c r="R10" s="133"/>
    </row>
    <row r="11" s="88" customFormat="1" ht="43.2" spans="1:16">
      <c r="A11" s="88" t="s">
        <v>227</v>
      </c>
      <c r="B11" s="88" t="s">
        <v>147</v>
      </c>
      <c r="C11" s="88" t="s">
        <v>233</v>
      </c>
      <c r="E11" s="106">
        <v>0</v>
      </c>
      <c r="F11" s="106">
        <v>10913.8333333333</v>
      </c>
      <c r="G11" s="110">
        <v>0.00626125495789456</v>
      </c>
      <c r="H11" s="110">
        <v>0.00353066708874663</v>
      </c>
      <c r="I11" s="107" t="s">
        <v>180</v>
      </c>
      <c r="J11" s="106" t="s">
        <v>180</v>
      </c>
      <c r="K11" s="122">
        <v>0</v>
      </c>
      <c r="L11" s="88" t="s">
        <v>6101</v>
      </c>
      <c r="M11" s="127" t="s">
        <v>6102</v>
      </c>
      <c r="N11" s="190">
        <v>457</v>
      </c>
      <c r="O11" s="126" t="s">
        <v>6103</v>
      </c>
      <c r="P11" s="124">
        <v>0</v>
      </c>
    </row>
    <row r="12" spans="5:11">
      <c r="E12" s="91"/>
      <c r="F12" s="91">
        <v>1743074.41666667</v>
      </c>
      <c r="I12" s="109">
        <v>0.195073067520227</v>
      </c>
      <c r="K12" s="118"/>
    </row>
    <row r="13" spans="5:11">
      <c r="E13" s="91"/>
      <c r="I13" s="109"/>
      <c r="K13" s="118"/>
    </row>
    <row r="14" ht="14.4" customHeight="1" spans="1:22">
      <c r="A14" s="96" t="s">
        <v>4082</v>
      </c>
      <c r="B14" s="98"/>
      <c r="C14" s="98"/>
      <c r="E14" s="99" t="s">
        <v>2</v>
      </c>
      <c r="F14" s="100"/>
      <c r="G14" s="100"/>
      <c r="H14" s="100"/>
      <c r="I14" s="115"/>
      <c r="J14" s="100"/>
      <c r="L14" s="102"/>
      <c r="M14" s="102"/>
      <c r="O14" s="128"/>
      <c r="P14" s="128"/>
      <c r="Q14" s="128"/>
      <c r="R14" s="132"/>
      <c r="S14" s="116"/>
      <c r="T14" s="128"/>
      <c r="U14" s="128"/>
      <c r="V14" s="132"/>
    </row>
    <row r="15" ht="46.8" spans="1:22">
      <c r="A15" s="101" t="s">
        <v>6085</v>
      </c>
      <c r="B15" s="89" t="s">
        <v>207</v>
      </c>
      <c r="C15" s="101" t="s">
        <v>447</v>
      </c>
      <c r="D15" s="89" t="s">
        <v>209</v>
      </c>
      <c r="E15" s="101" t="s">
        <v>210</v>
      </c>
      <c r="F15" s="103" t="s">
        <v>6086</v>
      </c>
      <c r="G15" s="104" t="s">
        <v>6087</v>
      </c>
      <c r="H15" s="104" t="s">
        <v>6088</v>
      </c>
      <c r="I15" s="117" t="s">
        <v>6089</v>
      </c>
      <c r="J15" s="91" t="s">
        <v>6090</v>
      </c>
      <c r="K15" s="118" t="s">
        <v>0</v>
      </c>
      <c r="L15" s="119" t="s">
        <v>6091</v>
      </c>
      <c r="M15" s="119" t="s">
        <v>6092</v>
      </c>
      <c r="N15" s="120" t="s">
        <v>224</v>
      </c>
      <c r="O15" s="119" t="s">
        <v>225</v>
      </c>
      <c r="P15" s="120" t="s">
        <v>226</v>
      </c>
      <c r="Q15" s="119"/>
      <c r="R15" s="119"/>
      <c r="S15" s="119"/>
      <c r="T15" s="119"/>
      <c r="U15" s="119"/>
      <c r="V15" s="119"/>
    </row>
    <row r="16" ht="28.8" spans="1:22">
      <c r="A16" s="88" t="s">
        <v>227</v>
      </c>
      <c r="B16" s="105" t="s">
        <v>528</v>
      </c>
      <c r="C16" s="88" t="s">
        <v>441</v>
      </c>
      <c r="D16" s="88" t="s">
        <v>234</v>
      </c>
      <c r="E16" s="106">
        <v>0</v>
      </c>
      <c r="F16" s="106">
        <v>522439.083333333</v>
      </c>
      <c r="G16" s="110">
        <v>0.408296896021683</v>
      </c>
      <c r="H16" s="110">
        <v>0.387374783578103</v>
      </c>
      <c r="I16" s="110" t="s">
        <v>180</v>
      </c>
      <c r="J16" s="106" t="s">
        <v>180</v>
      </c>
      <c r="K16" s="122">
        <v>0</v>
      </c>
      <c r="L16" s="88" t="s">
        <v>6104</v>
      </c>
      <c r="M16" s="88" t="s">
        <v>6105</v>
      </c>
      <c r="N16" s="189">
        <v>1087</v>
      </c>
      <c r="O16" s="95" t="s">
        <v>4113</v>
      </c>
      <c r="P16" s="125" t="s">
        <v>6106</v>
      </c>
      <c r="Q16" s="88"/>
      <c r="R16" s="88"/>
      <c r="S16" s="88"/>
      <c r="T16" s="88"/>
      <c r="U16" s="88"/>
      <c r="V16" s="88"/>
    </row>
    <row r="17" ht="14.4" spans="1:16">
      <c r="A17" s="89" t="s">
        <v>230</v>
      </c>
      <c r="B17" s="89" t="s">
        <v>242</v>
      </c>
      <c r="C17" s="89" t="s">
        <v>233</v>
      </c>
      <c r="D17" s="89" t="s">
        <v>414</v>
      </c>
      <c r="E17" s="91">
        <v>0</v>
      </c>
      <c r="F17" s="91">
        <v>423256.166666667</v>
      </c>
      <c r="G17" s="92">
        <v>0.330783405348284</v>
      </c>
      <c r="H17" s="92">
        <v>0.33011535568823</v>
      </c>
      <c r="I17" s="92" t="s">
        <v>180</v>
      </c>
      <c r="J17" s="91" t="s">
        <v>180</v>
      </c>
      <c r="K17" s="118">
        <v>0</v>
      </c>
      <c r="L17" s="89" t="s">
        <v>180</v>
      </c>
      <c r="M17" s="88" t="s">
        <v>180</v>
      </c>
      <c r="N17" s="189">
        <v>1381</v>
      </c>
      <c r="O17" s="95" t="s">
        <v>4052</v>
      </c>
      <c r="P17" s="125">
        <v>0</v>
      </c>
    </row>
    <row r="18" s="88" customFormat="1" ht="14.4" spans="1:22">
      <c r="A18" s="89" t="s">
        <v>446</v>
      </c>
      <c r="B18" s="108" t="s">
        <v>4114</v>
      </c>
      <c r="C18" s="89" t="s">
        <v>233</v>
      </c>
      <c r="D18" s="89" t="s">
        <v>422</v>
      </c>
      <c r="E18" s="91">
        <v>0</v>
      </c>
      <c r="F18" s="91">
        <v>55700.8333333333</v>
      </c>
      <c r="G18" s="92">
        <v>0.0435313476371572</v>
      </c>
      <c r="H18" s="92">
        <v>0.0860954410285563</v>
      </c>
      <c r="I18" s="92" t="s">
        <v>180</v>
      </c>
      <c r="J18" s="91" t="s">
        <v>180</v>
      </c>
      <c r="K18" s="118">
        <v>0</v>
      </c>
      <c r="L18" s="89" t="s">
        <v>180</v>
      </c>
      <c r="M18" s="88" t="s">
        <v>180</v>
      </c>
      <c r="N18" s="189">
        <v>960</v>
      </c>
      <c r="O18" s="95">
        <v>0</v>
      </c>
      <c r="P18" s="125">
        <v>0</v>
      </c>
      <c r="Q18" s="89"/>
      <c r="R18" s="89"/>
      <c r="S18" s="89"/>
      <c r="T18" s="89"/>
      <c r="U18" s="89"/>
      <c r="V18" s="89"/>
    </row>
    <row r="19" ht="43.2" spans="1:16">
      <c r="A19" s="89" t="s">
        <v>243</v>
      </c>
      <c r="B19" s="89" t="s">
        <v>244</v>
      </c>
      <c r="C19" s="89" t="s">
        <v>454</v>
      </c>
      <c r="D19" s="89" t="s">
        <v>266</v>
      </c>
      <c r="E19" s="91">
        <v>0</v>
      </c>
      <c r="F19" s="91">
        <v>124443.166666667</v>
      </c>
      <c r="G19" s="109">
        <v>0.0972548959333707</v>
      </c>
      <c r="H19" s="109">
        <v>0.0764054642470792</v>
      </c>
      <c r="I19" s="92" t="s">
        <v>180</v>
      </c>
      <c r="J19" s="91" t="s">
        <v>180</v>
      </c>
      <c r="K19" s="118">
        <v>0</v>
      </c>
      <c r="L19" s="89" t="s">
        <v>180</v>
      </c>
      <c r="M19" s="88" t="s">
        <v>180</v>
      </c>
      <c r="N19" s="189">
        <v>374</v>
      </c>
      <c r="O19" s="95" t="s">
        <v>6107</v>
      </c>
      <c r="P19" s="125">
        <v>0</v>
      </c>
    </row>
    <row r="20" ht="28.8" spans="1:16">
      <c r="A20" s="89" t="s">
        <v>230</v>
      </c>
      <c r="B20" s="108" t="s">
        <v>416</v>
      </c>
      <c r="C20" s="89" t="s">
        <v>233</v>
      </c>
      <c r="D20" s="89" t="s">
        <v>291</v>
      </c>
      <c r="E20" s="91">
        <v>0</v>
      </c>
      <c r="F20" s="91">
        <v>147809.416666667</v>
      </c>
      <c r="G20" s="109">
        <v>0.115516101212646</v>
      </c>
      <c r="H20" s="109">
        <v>0.104492380605094</v>
      </c>
      <c r="I20" s="92" t="s">
        <v>180</v>
      </c>
      <c r="J20" s="91" t="s">
        <v>180</v>
      </c>
      <c r="K20" s="118">
        <v>0</v>
      </c>
      <c r="L20" s="89" t="s">
        <v>180</v>
      </c>
      <c r="M20" s="88" t="s">
        <v>180</v>
      </c>
      <c r="N20" s="189">
        <v>631</v>
      </c>
      <c r="O20" s="95" t="s">
        <v>6108</v>
      </c>
      <c r="P20" s="125">
        <v>0</v>
      </c>
    </row>
    <row r="21" ht="14.4" hidden="1" spans="3:16">
      <c r="C21" s="89"/>
      <c r="E21" s="91"/>
      <c r="G21" s="109"/>
      <c r="H21" s="109"/>
      <c r="K21" s="118"/>
      <c r="M21" s="88"/>
      <c r="N21" s="189"/>
      <c r="P21" s="125"/>
    </row>
    <row r="22" s="88" customFormat="1" ht="42.75" customHeight="1" spans="1:16">
      <c r="A22" s="88" t="s">
        <v>227</v>
      </c>
      <c r="B22" s="88" t="s">
        <v>143</v>
      </c>
      <c r="C22" s="88" t="s">
        <v>233</v>
      </c>
      <c r="D22" s="88" t="s">
        <v>234</v>
      </c>
      <c r="E22" s="106">
        <v>0</v>
      </c>
      <c r="F22" s="106">
        <v>5908.16666666667</v>
      </c>
      <c r="G22" s="107">
        <v>0.00461735384685922</v>
      </c>
      <c r="H22" s="107">
        <v>0.00371198118176871</v>
      </c>
      <c r="I22" s="110" t="s">
        <v>180</v>
      </c>
      <c r="J22" s="106" t="s">
        <v>180</v>
      </c>
      <c r="K22" s="122">
        <v>0</v>
      </c>
      <c r="L22" s="88" t="s">
        <v>6109</v>
      </c>
      <c r="M22" s="88" t="s">
        <v>6102</v>
      </c>
      <c r="N22" s="190">
        <v>181</v>
      </c>
      <c r="O22" s="126" t="s">
        <v>6110</v>
      </c>
      <c r="P22" s="124">
        <v>0</v>
      </c>
    </row>
    <row r="23" s="88" customFormat="1" ht="43.2" spans="1:22">
      <c r="A23" s="89" t="s">
        <v>801</v>
      </c>
      <c r="B23" s="108" t="s">
        <v>534</v>
      </c>
      <c r="C23" s="89" t="s">
        <v>441</v>
      </c>
      <c r="D23" s="89" t="s">
        <v>234</v>
      </c>
      <c r="E23" s="91">
        <v>0</v>
      </c>
      <c r="F23" s="106">
        <v>524816.25</v>
      </c>
      <c r="G23" s="92"/>
      <c r="H23" s="92"/>
      <c r="I23" s="92" t="s">
        <v>180</v>
      </c>
      <c r="J23" s="91" t="s">
        <v>180</v>
      </c>
      <c r="K23" s="118" t="s">
        <v>6111</v>
      </c>
      <c r="L23" s="89" t="s">
        <v>180</v>
      </c>
      <c r="M23" s="88" t="s">
        <v>180</v>
      </c>
      <c r="N23" s="189">
        <v>1095</v>
      </c>
      <c r="O23" s="95">
        <v>0</v>
      </c>
      <c r="P23" s="125">
        <v>0</v>
      </c>
      <c r="Q23" s="89"/>
      <c r="R23" s="89"/>
      <c r="S23" s="89"/>
      <c r="T23" s="89"/>
      <c r="U23" s="89"/>
      <c r="V23" s="89"/>
    </row>
    <row r="24" ht="14.4" spans="5:14">
      <c r="E24" s="91"/>
      <c r="F24" s="91">
        <v>1279556.83333333</v>
      </c>
      <c r="K24" s="118"/>
      <c r="L24" s="89" t="s">
        <v>180</v>
      </c>
      <c r="N24" s="189"/>
    </row>
    <row r="25" spans="5:11">
      <c r="E25" s="91"/>
      <c r="I25" s="109"/>
      <c r="K25" s="118"/>
    </row>
    <row r="26" ht="14.4" customHeight="1" spans="1:22">
      <c r="A26" s="96" t="s">
        <v>4138</v>
      </c>
      <c r="B26" s="97"/>
      <c r="C26" s="98"/>
      <c r="E26" s="99" t="s">
        <v>2</v>
      </c>
      <c r="F26" s="100"/>
      <c r="G26" s="100"/>
      <c r="H26" s="100"/>
      <c r="I26" s="115"/>
      <c r="J26" s="100"/>
      <c r="L26" s="102"/>
      <c r="M26" s="102"/>
      <c r="O26" s="128"/>
      <c r="P26" s="128"/>
      <c r="Q26" s="128"/>
      <c r="R26" s="132"/>
      <c r="S26" s="116"/>
      <c r="T26" s="128"/>
      <c r="U26" s="128"/>
      <c r="V26" s="132"/>
    </row>
    <row r="27" ht="46.8" spans="1:22">
      <c r="A27" s="101" t="s">
        <v>6085</v>
      </c>
      <c r="B27" s="102" t="s">
        <v>207</v>
      </c>
      <c r="C27" s="101" t="s">
        <v>447</v>
      </c>
      <c r="D27" s="102" t="s">
        <v>209</v>
      </c>
      <c r="E27" s="101" t="s">
        <v>210</v>
      </c>
      <c r="F27" s="103" t="s">
        <v>6086</v>
      </c>
      <c r="G27" s="104" t="s">
        <v>6087</v>
      </c>
      <c r="H27" s="104" t="s">
        <v>6088</v>
      </c>
      <c r="I27" s="117" t="s">
        <v>6089</v>
      </c>
      <c r="J27" s="91" t="s">
        <v>6090</v>
      </c>
      <c r="K27" s="118" t="s">
        <v>0</v>
      </c>
      <c r="L27" s="119" t="s">
        <v>6091</v>
      </c>
      <c r="M27" s="119" t="s">
        <v>6092</v>
      </c>
      <c r="N27" s="120" t="s">
        <v>224</v>
      </c>
      <c r="O27" s="119" t="s">
        <v>225</v>
      </c>
      <c r="P27" s="120" t="s">
        <v>226</v>
      </c>
      <c r="Q27" s="119"/>
      <c r="R27" s="119"/>
      <c r="S27" s="119"/>
      <c r="T27" s="119"/>
      <c r="U27" s="119"/>
      <c r="V27" s="119"/>
    </row>
    <row r="28" s="88" customFormat="1" ht="28.8" spans="1:22">
      <c r="A28" s="88" t="s">
        <v>227</v>
      </c>
      <c r="B28" s="105" t="s">
        <v>515</v>
      </c>
      <c r="C28" s="88" t="s">
        <v>441</v>
      </c>
      <c r="D28" s="88" t="s">
        <v>234</v>
      </c>
      <c r="E28" s="106">
        <v>0</v>
      </c>
      <c r="F28" s="106">
        <v>680819.166666667</v>
      </c>
      <c r="G28" s="110">
        <v>0.540996143617136</v>
      </c>
      <c r="H28" s="110">
        <v>0.579535024684044</v>
      </c>
      <c r="I28" s="110" t="s">
        <v>180</v>
      </c>
      <c r="J28" s="91" t="s">
        <v>180</v>
      </c>
      <c r="K28" s="122">
        <v>0</v>
      </c>
      <c r="L28" s="88" t="s">
        <v>6112</v>
      </c>
      <c r="M28" s="88" t="s">
        <v>6113</v>
      </c>
      <c r="N28" s="189">
        <v>2334</v>
      </c>
      <c r="O28" s="95" t="s">
        <v>6114</v>
      </c>
      <c r="P28" s="125" t="s">
        <v>6106</v>
      </c>
      <c r="Q28" s="95"/>
      <c r="R28" s="95"/>
      <c r="S28" s="95"/>
      <c r="T28" s="95"/>
      <c r="U28" s="95"/>
      <c r="V28" s="95"/>
    </row>
    <row r="29" ht="14.4" spans="1:16">
      <c r="A29" s="89" t="s">
        <v>672</v>
      </c>
      <c r="B29" s="108" t="s">
        <v>526</v>
      </c>
      <c r="C29" s="89" t="s">
        <v>441</v>
      </c>
      <c r="D29" s="89" t="s">
        <v>234</v>
      </c>
      <c r="E29" s="91">
        <v>6238</v>
      </c>
      <c r="F29" s="91">
        <v>180929.5</v>
      </c>
      <c r="G29" s="110"/>
      <c r="H29" s="110"/>
      <c r="I29" s="92" t="s">
        <v>180</v>
      </c>
      <c r="J29" s="91" t="s">
        <v>180</v>
      </c>
      <c r="K29" s="118">
        <v>0</v>
      </c>
      <c r="L29" s="89" t="s">
        <v>180</v>
      </c>
      <c r="M29" s="88" t="s">
        <v>180</v>
      </c>
      <c r="N29" s="189">
        <v>2335</v>
      </c>
      <c r="O29" s="95">
        <v>0</v>
      </c>
      <c r="P29" s="125">
        <v>0</v>
      </c>
    </row>
    <row r="30" ht="14.4" spans="1:16">
      <c r="A30" s="111" t="s">
        <v>238</v>
      </c>
      <c r="B30" s="89" t="s">
        <v>519</v>
      </c>
      <c r="C30" s="89" t="s">
        <v>441</v>
      </c>
      <c r="D30" s="89" t="s">
        <v>250</v>
      </c>
      <c r="E30" s="91">
        <v>0</v>
      </c>
      <c r="F30" s="91">
        <v>212585</v>
      </c>
      <c r="G30" s="92">
        <v>0.168925422229127</v>
      </c>
      <c r="H30" s="92">
        <v>0.108234103504072</v>
      </c>
      <c r="I30" s="92" t="s">
        <v>180</v>
      </c>
      <c r="J30" s="91" t="s">
        <v>180</v>
      </c>
      <c r="K30" s="118">
        <v>0</v>
      </c>
      <c r="L30" s="89" t="s">
        <v>180</v>
      </c>
      <c r="M30" s="88" t="s">
        <v>180</v>
      </c>
      <c r="N30" s="189">
        <v>1996</v>
      </c>
      <c r="O30" s="95" t="s">
        <v>4052</v>
      </c>
      <c r="P30" s="125" t="s">
        <v>4186</v>
      </c>
    </row>
    <row r="31" ht="14.4" spans="2:16">
      <c r="B31" s="108" t="s">
        <v>527</v>
      </c>
      <c r="C31" s="89">
        <v>0</v>
      </c>
      <c r="D31" s="89">
        <v>0</v>
      </c>
      <c r="E31" s="91">
        <v>0</v>
      </c>
      <c r="F31" s="91">
        <v>77674.5833333333</v>
      </c>
      <c r="G31" s="92"/>
      <c r="H31" s="92"/>
      <c r="I31" s="92" t="s">
        <v>180</v>
      </c>
      <c r="J31" s="91" t="s">
        <v>180</v>
      </c>
      <c r="K31" s="118" t="s">
        <v>6115</v>
      </c>
      <c r="L31" s="89" t="s">
        <v>180</v>
      </c>
      <c r="M31" s="88" t="s">
        <v>180</v>
      </c>
      <c r="N31" s="189">
        <v>2118</v>
      </c>
      <c r="O31" s="95">
        <v>0</v>
      </c>
      <c r="P31" s="125">
        <v>0</v>
      </c>
    </row>
    <row r="32" ht="14.4" spans="1:16">
      <c r="A32" s="89" t="s">
        <v>243</v>
      </c>
      <c r="B32" s="89" t="s">
        <v>525</v>
      </c>
      <c r="C32" s="89" t="s">
        <v>441</v>
      </c>
      <c r="D32" s="89" t="s">
        <v>420</v>
      </c>
      <c r="E32" s="91">
        <v>0</v>
      </c>
      <c r="F32" s="91">
        <v>61564.3333333333</v>
      </c>
      <c r="G32" s="92">
        <v>0.0489205776634665</v>
      </c>
      <c r="H32" s="92">
        <v>0.0823051241319208</v>
      </c>
      <c r="I32" s="92" t="s">
        <v>180</v>
      </c>
      <c r="J32" s="91" t="s">
        <v>180</v>
      </c>
      <c r="K32" s="118">
        <v>0</v>
      </c>
      <c r="L32" s="89" t="s">
        <v>180</v>
      </c>
      <c r="M32" s="88" t="s">
        <v>180</v>
      </c>
      <c r="N32" s="189">
        <v>406</v>
      </c>
      <c r="O32" s="95" t="s">
        <v>4052</v>
      </c>
      <c r="P32" s="125">
        <v>0</v>
      </c>
    </row>
    <row r="33" ht="14.4" spans="1:16">
      <c r="A33" s="89" t="s">
        <v>230</v>
      </c>
      <c r="B33" s="89" t="s">
        <v>517</v>
      </c>
      <c r="C33" s="89" t="s">
        <v>441</v>
      </c>
      <c r="D33" s="89" t="s">
        <v>419</v>
      </c>
      <c r="E33" s="91">
        <v>0</v>
      </c>
      <c r="F33" s="91">
        <v>70812.5</v>
      </c>
      <c r="G33" s="92">
        <v>0.0562694049984713</v>
      </c>
      <c r="H33" s="92">
        <v>0.051577694373405</v>
      </c>
      <c r="I33" s="92" t="s">
        <v>180</v>
      </c>
      <c r="J33" s="91" t="s">
        <v>180</v>
      </c>
      <c r="K33" s="118">
        <v>0</v>
      </c>
      <c r="L33" s="89" t="s">
        <v>180</v>
      </c>
      <c r="M33" s="88" t="s">
        <v>180</v>
      </c>
      <c r="N33" s="189">
        <v>1144</v>
      </c>
      <c r="O33" s="95" t="s">
        <v>6116</v>
      </c>
      <c r="P33" s="125">
        <v>0</v>
      </c>
    </row>
    <row r="34" ht="28.8" spans="1:16">
      <c r="A34" s="89" t="s">
        <v>230</v>
      </c>
      <c r="B34" s="89" t="s">
        <v>516</v>
      </c>
      <c r="C34" s="89" t="s">
        <v>441</v>
      </c>
      <c r="D34" s="89" t="s">
        <v>60</v>
      </c>
      <c r="E34" s="91">
        <v>0</v>
      </c>
      <c r="F34" s="91">
        <v>154999.166666667</v>
      </c>
      <c r="G34" s="92">
        <v>0.123166261374647</v>
      </c>
      <c r="H34" s="92">
        <v>0.149672685822482</v>
      </c>
      <c r="I34" s="92">
        <v>0.0341498537913274</v>
      </c>
      <c r="J34" s="91">
        <v>46499.75</v>
      </c>
      <c r="K34" s="118">
        <v>0</v>
      </c>
      <c r="L34" s="89" t="s">
        <v>180</v>
      </c>
      <c r="M34" s="88" t="s">
        <v>180</v>
      </c>
      <c r="N34" s="189">
        <v>711</v>
      </c>
      <c r="O34" s="95" t="s">
        <v>6117</v>
      </c>
      <c r="P34" s="125">
        <v>0</v>
      </c>
    </row>
    <row r="35" ht="14.4" hidden="1" spans="2:16">
      <c r="B35" s="108"/>
      <c r="C35" s="89"/>
      <c r="E35" s="91"/>
      <c r="G35" s="92"/>
      <c r="H35" s="92"/>
      <c r="K35" s="118"/>
      <c r="M35" s="88"/>
      <c r="N35" s="189"/>
      <c r="P35" s="125"/>
    </row>
    <row r="36" ht="14.4" hidden="1" spans="2:16">
      <c r="B36" s="108"/>
      <c r="C36" s="89"/>
      <c r="E36" s="91"/>
      <c r="G36" s="92"/>
      <c r="H36" s="92"/>
      <c r="K36" s="118"/>
      <c r="M36" s="88"/>
      <c r="N36" s="189"/>
      <c r="P36" s="125"/>
    </row>
    <row r="37" s="88" customFormat="1" ht="14.4" spans="1:16">
      <c r="A37" s="88" t="s">
        <v>227</v>
      </c>
      <c r="B37" s="112" t="s">
        <v>4197</v>
      </c>
      <c r="C37" s="88" t="s">
        <v>441</v>
      </c>
      <c r="D37" s="88" t="s">
        <v>234</v>
      </c>
      <c r="E37" s="106">
        <v>0</v>
      </c>
      <c r="F37" s="106">
        <v>0</v>
      </c>
      <c r="G37" s="110">
        <v>0</v>
      </c>
      <c r="H37" s="110">
        <v>0</v>
      </c>
      <c r="I37" s="110" t="s">
        <v>180</v>
      </c>
      <c r="J37" s="106" t="s">
        <v>180</v>
      </c>
      <c r="K37" s="122" t="s">
        <v>4392</v>
      </c>
      <c r="L37" s="88" t="s">
        <v>180</v>
      </c>
      <c r="M37" s="88" t="s">
        <v>180</v>
      </c>
      <c r="N37" s="190">
        <v>141</v>
      </c>
      <c r="O37" s="126">
        <v>0</v>
      </c>
      <c r="P37" s="124">
        <v>0</v>
      </c>
    </row>
    <row r="38" spans="5:10">
      <c r="E38" s="91"/>
      <c r="F38" s="91">
        <v>1258454.75</v>
      </c>
      <c r="G38" s="109"/>
      <c r="H38" s="109"/>
      <c r="I38" s="109">
        <v>0.0341498537913274</v>
      </c>
      <c r="J38" s="109"/>
    </row>
    <row r="39" spans="5:11">
      <c r="E39" s="91"/>
      <c r="I39" s="109"/>
      <c r="K39" s="118"/>
    </row>
    <row r="40" ht="14.4" customHeight="1" spans="1:22">
      <c r="A40" s="96" t="s">
        <v>149</v>
      </c>
      <c r="B40" s="97"/>
      <c r="C40" s="98"/>
      <c r="E40" s="99" t="s">
        <v>2</v>
      </c>
      <c r="F40" s="100"/>
      <c r="G40" s="100"/>
      <c r="H40" s="100"/>
      <c r="I40" s="115"/>
      <c r="J40" s="100"/>
      <c r="L40" s="102"/>
      <c r="M40" s="102"/>
      <c r="O40" s="128"/>
      <c r="P40" s="128"/>
      <c r="Q40" s="128"/>
      <c r="R40" s="132"/>
      <c r="S40" s="116"/>
      <c r="T40" s="128"/>
      <c r="U40" s="128"/>
      <c r="V40" s="132"/>
    </row>
    <row r="41" ht="46.8" spans="1:22">
      <c r="A41" s="101" t="s">
        <v>6085</v>
      </c>
      <c r="B41" s="102" t="s">
        <v>207</v>
      </c>
      <c r="C41" s="101" t="s">
        <v>447</v>
      </c>
      <c r="D41" s="89" t="s">
        <v>209</v>
      </c>
      <c r="E41" s="101" t="s">
        <v>210</v>
      </c>
      <c r="F41" s="103" t="s">
        <v>6086</v>
      </c>
      <c r="G41" s="104" t="s">
        <v>6087</v>
      </c>
      <c r="H41" s="104" t="s">
        <v>6088</v>
      </c>
      <c r="I41" s="117" t="s">
        <v>6089</v>
      </c>
      <c r="J41" s="91" t="s">
        <v>6090</v>
      </c>
      <c r="K41" s="118" t="s">
        <v>0</v>
      </c>
      <c r="L41" s="119" t="s">
        <v>6091</v>
      </c>
      <c r="M41" s="119" t="s">
        <v>6092</v>
      </c>
      <c r="N41" s="120" t="s">
        <v>224</v>
      </c>
      <c r="O41" s="119" t="s">
        <v>225</v>
      </c>
      <c r="P41" s="120" t="s">
        <v>226</v>
      </c>
      <c r="Q41" s="119"/>
      <c r="R41" s="119"/>
      <c r="S41" s="119"/>
      <c r="T41" s="119"/>
      <c r="U41" s="119"/>
      <c r="V41" s="119"/>
    </row>
    <row r="42" ht="71.4" spans="1:22">
      <c r="A42" s="88" t="s">
        <v>227</v>
      </c>
      <c r="B42" s="105" t="s">
        <v>535</v>
      </c>
      <c r="C42" s="88" t="s">
        <v>441</v>
      </c>
      <c r="D42" s="88" t="s">
        <v>234</v>
      </c>
      <c r="E42" s="106">
        <v>0</v>
      </c>
      <c r="F42" s="106">
        <v>344689.583333333</v>
      </c>
      <c r="G42" s="110">
        <v>0.404769642572829</v>
      </c>
      <c r="H42" s="110">
        <v>0.421168198178068</v>
      </c>
      <c r="I42" s="107" t="s">
        <v>180</v>
      </c>
      <c r="J42" s="106" t="s">
        <v>180</v>
      </c>
      <c r="K42" s="122">
        <v>0</v>
      </c>
      <c r="L42" s="88" t="s">
        <v>6118</v>
      </c>
      <c r="M42" s="88" t="s">
        <v>6119</v>
      </c>
      <c r="N42" s="189">
        <v>1966</v>
      </c>
      <c r="O42" s="95" t="s">
        <v>4234</v>
      </c>
      <c r="P42" s="125" t="s">
        <v>6120</v>
      </c>
      <c r="Q42" s="126"/>
      <c r="R42" s="126"/>
      <c r="S42" s="126"/>
      <c r="T42" s="126"/>
      <c r="U42" s="126"/>
      <c r="V42" s="126"/>
    </row>
    <row r="43" s="88" customFormat="1" ht="57" customHeight="1" spans="1:22">
      <c r="A43" s="89" t="s">
        <v>243</v>
      </c>
      <c r="B43" s="108" t="s">
        <v>537</v>
      </c>
      <c r="C43" s="89" t="s">
        <v>441</v>
      </c>
      <c r="D43" s="89" t="s">
        <v>420</v>
      </c>
      <c r="E43" s="91">
        <v>0</v>
      </c>
      <c r="F43" s="91">
        <v>251363.166666667</v>
      </c>
      <c r="G43" s="109">
        <v>0.295176251465798</v>
      </c>
      <c r="H43" s="109">
        <v>0.317490955350143</v>
      </c>
      <c r="I43" s="109" t="s">
        <v>180</v>
      </c>
      <c r="J43" s="91" t="s">
        <v>180</v>
      </c>
      <c r="K43" s="118"/>
      <c r="L43" s="89" t="s">
        <v>180</v>
      </c>
      <c r="M43" s="88" t="s">
        <v>180</v>
      </c>
      <c r="N43" s="189">
        <v>1707</v>
      </c>
      <c r="O43" s="95" t="s">
        <v>4202</v>
      </c>
      <c r="P43" s="125"/>
      <c r="Q43" s="89"/>
      <c r="R43" s="89"/>
      <c r="S43" s="89"/>
      <c r="T43" s="89"/>
      <c r="U43" s="89"/>
      <c r="V43" s="89"/>
    </row>
    <row r="44" ht="28.8" spans="1:16">
      <c r="A44" s="89" t="s">
        <v>243</v>
      </c>
      <c r="B44" s="108" t="s">
        <v>539</v>
      </c>
      <c r="C44" s="89" t="s">
        <v>441</v>
      </c>
      <c r="D44" s="89" t="s">
        <v>266</v>
      </c>
      <c r="E44" s="91">
        <v>0</v>
      </c>
      <c r="F44" s="91">
        <v>149606.166666667</v>
      </c>
      <c r="G44" s="92">
        <v>0.175682810088858</v>
      </c>
      <c r="H44" s="92">
        <v>0.163055164773395</v>
      </c>
      <c r="I44" s="109" t="s">
        <v>180</v>
      </c>
      <c r="J44" s="91" t="s">
        <v>180</v>
      </c>
      <c r="K44" s="118">
        <v>0</v>
      </c>
      <c r="L44" s="89" t="s">
        <v>180</v>
      </c>
      <c r="M44" s="88" t="s">
        <v>180</v>
      </c>
      <c r="N44" s="189">
        <v>973</v>
      </c>
      <c r="O44" s="95" t="s">
        <v>6121</v>
      </c>
      <c r="P44" s="125">
        <v>0</v>
      </c>
    </row>
    <row r="45" ht="14.4" spans="1:16">
      <c r="A45" s="89" t="s">
        <v>2019</v>
      </c>
      <c r="B45" s="113" t="s">
        <v>4271</v>
      </c>
      <c r="C45" s="89" t="s">
        <v>233</v>
      </c>
      <c r="D45" s="89" t="s">
        <v>451</v>
      </c>
      <c r="E45" s="91">
        <v>0</v>
      </c>
      <c r="F45" s="91">
        <v>2000</v>
      </c>
      <c r="G45" s="109"/>
      <c r="H45" s="109"/>
      <c r="I45" s="109" t="s">
        <v>180</v>
      </c>
      <c r="J45" s="91" t="s">
        <v>180</v>
      </c>
      <c r="K45" s="118">
        <v>0</v>
      </c>
      <c r="L45" s="89" t="s">
        <v>180</v>
      </c>
      <c r="M45" s="88" t="s">
        <v>180</v>
      </c>
      <c r="N45" s="189">
        <v>18</v>
      </c>
      <c r="O45" s="95">
        <v>0</v>
      </c>
      <c r="P45" s="125">
        <v>0</v>
      </c>
    </row>
    <row r="46" ht="43.2" spans="1:15">
      <c r="A46" s="89" t="s">
        <v>230</v>
      </c>
      <c r="B46" s="108" t="s">
        <v>4279</v>
      </c>
      <c r="C46" s="89" t="s">
        <v>233</v>
      </c>
      <c r="D46" s="89" t="s">
        <v>250</v>
      </c>
      <c r="E46" s="91">
        <v>0</v>
      </c>
      <c r="F46" s="91">
        <v>34335.3333333333</v>
      </c>
      <c r="G46" s="109">
        <v>0.0403200481620364</v>
      </c>
      <c r="H46" s="109">
        <v>0.0148076702990593</v>
      </c>
      <c r="I46" s="109" t="s">
        <v>180</v>
      </c>
      <c r="J46" s="91" t="s">
        <v>180</v>
      </c>
      <c r="K46" s="129" t="s">
        <v>6122</v>
      </c>
      <c r="L46" s="89" t="s">
        <v>180</v>
      </c>
      <c r="M46" s="88" t="s">
        <v>180</v>
      </c>
      <c r="N46" s="189"/>
      <c r="O46" s="95" t="s">
        <v>6123</v>
      </c>
    </row>
    <row r="47" ht="28.8" spans="1:15">
      <c r="A47" s="89" t="s">
        <v>230</v>
      </c>
      <c r="B47" s="108" t="s">
        <v>541</v>
      </c>
      <c r="C47" s="89" t="s">
        <v>233</v>
      </c>
      <c r="D47" s="89" t="s">
        <v>423</v>
      </c>
      <c r="E47" s="91">
        <v>0</v>
      </c>
      <c r="F47" s="91">
        <v>71575.5</v>
      </c>
      <c r="G47" s="109">
        <v>0.0840512477104782</v>
      </c>
      <c r="H47" s="109">
        <v>0.083478011399334</v>
      </c>
      <c r="I47" s="109" t="s">
        <v>180</v>
      </c>
      <c r="J47" s="91" t="s">
        <v>180</v>
      </c>
      <c r="K47" s="118">
        <v>0</v>
      </c>
      <c r="L47" s="89" t="s">
        <v>180</v>
      </c>
      <c r="M47" s="88" t="s">
        <v>180</v>
      </c>
      <c r="N47" s="189">
        <v>370</v>
      </c>
      <c r="O47" s="95" t="s">
        <v>6124</v>
      </c>
    </row>
    <row r="48" s="88" customFormat="1" ht="14.4" spans="2:16">
      <c r="B48" s="105"/>
      <c r="C48" s="153"/>
      <c r="F48" s="106"/>
      <c r="G48" s="106"/>
      <c r="H48" s="106"/>
      <c r="I48" s="110"/>
      <c r="J48" s="106"/>
      <c r="K48" s="122"/>
      <c r="N48" s="190"/>
      <c r="O48" s="126"/>
      <c r="P48" s="124"/>
    </row>
    <row r="49" spans="5:11">
      <c r="E49" s="91"/>
      <c r="F49" s="91">
        <v>851569.75</v>
      </c>
      <c r="I49" s="109"/>
      <c r="K49" s="118"/>
    </row>
    <row r="50" ht="14.4" customHeight="1" spans="1:22">
      <c r="A50" s="96" t="s">
        <v>152</v>
      </c>
      <c r="B50" s="97"/>
      <c r="C50" s="98"/>
      <c r="E50" s="99" t="s">
        <v>2</v>
      </c>
      <c r="F50" s="100"/>
      <c r="G50" s="100"/>
      <c r="H50" s="100"/>
      <c r="I50" s="115"/>
      <c r="J50" s="100"/>
      <c r="L50" s="102"/>
      <c r="M50" s="102"/>
      <c r="O50" s="128"/>
      <c r="P50" s="128"/>
      <c r="Q50" s="128"/>
      <c r="R50" s="132"/>
      <c r="S50" s="116"/>
      <c r="T50" s="128"/>
      <c r="U50" s="128"/>
      <c r="V50" s="132"/>
    </row>
    <row r="51" ht="46.8" spans="1:22">
      <c r="A51" s="101" t="s">
        <v>6085</v>
      </c>
      <c r="B51" s="102" t="s">
        <v>207</v>
      </c>
      <c r="C51" s="101" t="s">
        <v>447</v>
      </c>
      <c r="D51" s="89" t="s">
        <v>209</v>
      </c>
      <c r="E51" s="101" t="s">
        <v>210</v>
      </c>
      <c r="F51" s="103" t="s">
        <v>6086</v>
      </c>
      <c r="G51" s="104" t="s">
        <v>6087</v>
      </c>
      <c r="H51" s="104" t="s">
        <v>6088</v>
      </c>
      <c r="I51" s="117" t="s">
        <v>6089</v>
      </c>
      <c r="J51" s="91" t="s">
        <v>6090</v>
      </c>
      <c r="K51" s="118" t="s">
        <v>0</v>
      </c>
      <c r="L51" s="119" t="s">
        <v>6091</v>
      </c>
      <c r="M51" s="119" t="s">
        <v>6092</v>
      </c>
      <c r="N51" s="120" t="s">
        <v>224</v>
      </c>
      <c r="O51" s="119" t="s">
        <v>225</v>
      </c>
      <c r="P51" s="120" t="s">
        <v>226</v>
      </c>
      <c r="Q51" s="119"/>
      <c r="R51" s="119"/>
      <c r="S51" s="119"/>
      <c r="T51" s="119"/>
      <c r="U51" s="119"/>
      <c r="V51" s="119"/>
    </row>
    <row r="52" ht="14.4" spans="1:15">
      <c r="A52" s="89" t="s">
        <v>672</v>
      </c>
      <c r="B52" s="108" t="s">
        <v>554</v>
      </c>
      <c r="C52" s="89" t="s">
        <v>1035</v>
      </c>
      <c r="D52" s="89" t="s">
        <v>234</v>
      </c>
      <c r="E52" s="91">
        <v>0</v>
      </c>
      <c r="F52" s="91">
        <v>399119.75</v>
      </c>
      <c r="G52" s="109"/>
      <c r="H52" s="109"/>
      <c r="I52" s="109" t="s">
        <v>180</v>
      </c>
      <c r="J52" s="91" t="s">
        <v>180</v>
      </c>
      <c r="K52" s="118">
        <v>0</v>
      </c>
      <c r="L52" s="89" t="s">
        <v>180</v>
      </c>
      <c r="M52" s="89" t="s">
        <v>180</v>
      </c>
      <c r="N52" s="189">
        <v>2762</v>
      </c>
      <c r="O52" s="95">
        <v>0</v>
      </c>
    </row>
    <row r="53" s="88" customFormat="1" ht="47.25" customHeight="1" spans="1:22">
      <c r="A53" s="88" t="s">
        <v>227</v>
      </c>
      <c r="B53" s="105" t="s">
        <v>546</v>
      </c>
      <c r="C53" s="88" t="s">
        <v>441</v>
      </c>
      <c r="D53" s="88" t="s">
        <v>234</v>
      </c>
      <c r="E53" s="106">
        <v>0</v>
      </c>
      <c r="F53" s="106">
        <v>345551.416666667</v>
      </c>
      <c r="G53" s="107">
        <v>0.343714007511015</v>
      </c>
      <c r="H53" s="107">
        <v>0.34550897392008</v>
      </c>
      <c r="I53" s="107" t="s">
        <v>180</v>
      </c>
      <c r="J53" s="106" t="s">
        <v>180</v>
      </c>
      <c r="K53" s="122">
        <v>0</v>
      </c>
      <c r="L53" s="88" t="s">
        <v>6125</v>
      </c>
      <c r="M53" s="88" t="s">
        <v>6102</v>
      </c>
      <c r="N53" s="190">
        <v>1408</v>
      </c>
      <c r="O53" s="126" t="s">
        <v>4169</v>
      </c>
      <c r="P53" s="124" t="s">
        <v>6126</v>
      </c>
      <c r="Q53" s="126"/>
      <c r="R53" s="126"/>
      <c r="S53" s="126"/>
      <c r="T53" s="126"/>
      <c r="U53" s="126"/>
      <c r="V53" s="126"/>
    </row>
    <row r="54" ht="72" spans="1:16">
      <c r="A54" s="89" t="s">
        <v>230</v>
      </c>
      <c r="B54" s="114" t="s">
        <v>507</v>
      </c>
      <c r="C54" s="89" t="s">
        <v>233</v>
      </c>
      <c r="D54" s="89" t="s">
        <v>419</v>
      </c>
      <c r="E54" s="91">
        <v>0</v>
      </c>
      <c r="F54" s="91">
        <v>305992.166666667</v>
      </c>
      <c r="G54" s="109">
        <v>0.304365106896475</v>
      </c>
      <c r="H54" s="109">
        <v>0.31322331662132</v>
      </c>
      <c r="I54" s="109" t="s">
        <v>180</v>
      </c>
      <c r="J54" s="91" t="s">
        <v>180</v>
      </c>
      <c r="K54" s="118" t="s">
        <v>6127</v>
      </c>
      <c r="L54" s="89" t="s">
        <v>180</v>
      </c>
      <c r="M54" s="89" t="s">
        <v>180</v>
      </c>
      <c r="N54" s="189">
        <v>1194</v>
      </c>
      <c r="O54" s="95" t="s">
        <v>4333</v>
      </c>
      <c r="P54" s="125"/>
    </row>
    <row r="55" ht="14.4" spans="1:15">
      <c r="A55" s="89" t="s">
        <v>672</v>
      </c>
      <c r="B55" s="108" t="s">
        <v>555</v>
      </c>
      <c r="C55" s="89" t="s">
        <v>470</v>
      </c>
      <c r="D55" s="89" t="s">
        <v>234</v>
      </c>
      <c r="E55" s="91">
        <v>0</v>
      </c>
      <c r="F55" s="91">
        <v>180640.5</v>
      </c>
      <c r="G55" s="109"/>
      <c r="H55" s="109"/>
      <c r="I55" s="109" t="s">
        <v>180</v>
      </c>
      <c r="J55" s="91" t="s">
        <v>180</v>
      </c>
      <c r="K55" s="118">
        <v>0</v>
      </c>
      <c r="L55" s="89" t="s">
        <v>180</v>
      </c>
      <c r="M55" s="89" t="s">
        <v>180</v>
      </c>
      <c r="N55" s="189">
        <v>5092</v>
      </c>
      <c r="O55" s="95">
        <v>0</v>
      </c>
    </row>
    <row r="56" ht="14.4" spans="1:15">
      <c r="A56" s="89" t="s">
        <v>672</v>
      </c>
      <c r="B56" s="108" t="s">
        <v>556</v>
      </c>
      <c r="C56" s="89" t="s">
        <v>470</v>
      </c>
      <c r="D56" s="89" t="s">
        <v>234</v>
      </c>
      <c r="E56" s="91">
        <v>0</v>
      </c>
      <c r="F56" s="91">
        <v>119916.666666667</v>
      </c>
      <c r="G56" s="109"/>
      <c r="H56" s="109"/>
      <c r="I56" s="109" t="s">
        <v>180</v>
      </c>
      <c r="J56" s="91" t="s">
        <v>180</v>
      </c>
      <c r="K56" s="118">
        <v>0</v>
      </c>
      <c r="L56" s="89" t="s">
        <v>180</v>
      </c>
      <c r="M56" s="89" t="s">
        <v>180</v>
      </c>
      <c r="N56" s="189">
        <v>1976</v>
      </c>
      <c r="O56" s="95">
        <v>0</v>
      </c>
    </row>
    <row r="57" ht="28.8" spans="1:16">
      <c r="A57" s="111" t="s">
        <v>243</v>
      </c>
      <c r="B57" s="108" t="s">
        <v>270</v>
      </c>
      <c r="C57" s="89" t="s">
        <v>233</v>
      </c>
      <c r="D57" s="89" t="s">
        <v>266</v>
      </c>
      <c r="E57" s="91">
        <v>0</v>
      </c>
      <c r="F57" s="91">
        <v>106084.833333333</v>
      </c>
      <c r="G57" s="109">
        <v>0.105520745806439</v>
      </c>
      <c r="H57" s="109">
        <v>0.0890328433425857</v>
      </c>
      <c r="I57" s="109" t="s">
        <v>180</v>
      </c>
      <c r="J57" s="91" t="s">
        <v>180</v>
      </c>
      <c r="K57" s="118">
        <v>0</v>
      </c>
      <c r="L57" s="89" t="s">
        <v>180</v>
      </c>
      <c r="M57" s="89" t="s">
        <v>180</v>
      </c>
      <c r="N57" s="189">
        <v>321</v>
      </c>
      <c r="O57" s="95" t="s">
        <v>6128</v>
      </c>
      <c r="P57" s="125"/>
    </row>
    <row r="58" ht="28.8" spans="1:15">
      <c r="A58" s="89" t="s">
        <v>230</v>
      </c>
      <c r="B58" s="108" t="s">
        <v>548</v>
      </c>
      <c r="C58" s="89" t="s">
        <v>233</v>
      </c>
      <c r="D58" s="89" t="s">
        <v>420</v>
      </c>
      <c r="E58" s="91">
        <v>0</v>
      </c>
      <c r="F58" s="91">
        <v>98484.6666666667</v>
      </c>
      <c r="G58" s="109">
        <v>0.0979609916953114</v>
      </c>
      <c r="H58" s="109">
        <v>0.112389348597518</v>
      </c>
      <c r="I58" s="109" t="s">
        <v>180</v>
      </c>
      <c r="J58" s="91" t="s">
        <v>180</v>
      </c>
      <c r="K58" s="118">
        <v>0</v>
      </c>
      <c r="L58" s="89" t="s">
        <v>180</v>
      </c>
      <c r="M58" s="89" t="s">
        <v>180</v>
      </c>
      <c r="N58" s="189">
        <v>541</v>
      </c>
      <c r="O58" s="95" t="s">
        <v>6129</v>
      </c>
    </row>
    <row r="59" ht="14.4" spans="1:15">
      <c r="A59" s="89" t="s">
        <v>230</v>
      </c>
      <c r="B59" s="108" t="s">
        <v>547</v>
      </c>
      <c r="C59" s="89" t="s">
        <v>233</v>
      </c>
      <c r="D59" s="89" t="s">
        <v>272</v>
      </c>
      <c r="E59" s="91">
        <v>0</v>
      </c>
      <c r="F59" s="91">
        <v>81562</v>
      </c>
      <c r="G59" s="109">
        <v>0.0811283083456612</v>
      </c>
      <c r="H59" s="109">
        <v>0.0734764274365424</v>
      </c>
      <c r="I59" s="109" t="s">
        <v>180</v>
      </c>
      <c r="J59" s="91" t="s">
        <v>180</v>
      </c>
      <c r="K59" s="118">
        <v>0</v>
      </c>
      <c r="L59" s="89" t="s">
        <v>180</v>
      </c>
      <c r="M59" s="89" t="s">
        <v>180</v>
      </c>
      <c r="N59" s="189">
        <v>838</v>
      </c>
      <c r="O59" s="95" t="s">
        <v>4052</v>
      </c>
    </row>
    <row r="60" ht="57" spans="1:15">
      <c r="A60" s="89" t="s">
        <v>230</v>
      </c>
      <c r="B60" s="108" t="s">
        <v>549</v>
      </c>
      <c r="C60" s="89" t="s">
        <v>233</v>
      </c>
      <c r="D60" s="89" t="s">
        <v>451</v>
      </c>
      <c r="E60" s="91">
        <v>0</v>
      </c>
      <c r="F60" s="91">
        <v>60770.0833333333</v>
      </c>
      <c r="G60" s="109">
        <v>0.0604469490554203</v>
      </c>
      <c r="H60" s="109">
        <v>0.0576505020606122</v>
      </c>
      <c r="I60" s="109" t="s">
        <v>180</v>
      </c>
      <c r="J60" s="91" t="s">
        <v>180</v>
      </c>
      <c r="K60" s="118">
        <v>0</v>
      </c>
      <c r="L60" s="89" t="s">
        <v>180</v>
      </c>
      <c r="M60" s="89" t="s">
        <v>180</v>
      </c>
      <c r="N60" s="189">
        <v>207</v>
      </c>
      <c r="O60" s="95" t="s">
        <v>6130</v>
      </c>
    </row>
    <row r="61" s="88" customFormat="1" ht="72" spans="1:16">
      <c r="A61" s="88" t="s">
        <v>227</v>
      </c>
      <c r="B61" s="88" t="s">
        <v>154</v>
      </c>
      <c r="C61" s="88" t="s">
        <v>233</v>
      </c>
      <c r="D61" s="88" t="s">
        <v>234</v>
      </c>
      <c r="E61" s="106">
        <v>0</v>
      </c>
      <c r="F61" s="106">
        <v>6900.58333333333</v>
      </c>
      <c r="G61" s="107">
        <v>0.00686389068967898</v>
      </c>
      <c r="H61" s="107">
        <v>0.00871858802134224</v>
      </c>
      <c r="I61" s="107" t="s">
        <v>180</v>
      </c>
      <c r="J61" s="106" t="s">
        <v>180</v>
      </c>
      <c r="K61" s="122">
        <v>0</v>
      </c>
      <c r="L61" s="88" t="s">
        <v>6131</v>
      </c>
      <c r="M61" s="88" t="s">
        <v>6102</v>
      </c>
      <c r="N61" s="190">
        <v>336</v>
      </c>
      <c r="O61" s="126" t="s">
        <v>6132</v>
      </c>
      <c r="P61" s="126"/>
    </row>
    <row r="62" spans="5:11">
      <c r="E62" s="91"/>
      <c r="F62" s="91">
        <v>1005345.75</v>
      </c>
      <c r="I62" s="92">
        <v>0</v>
      </c>
      <c r="J62" s="91" t="s">
        <v>180</v>
      </c>
      <c r="K62" s="95"/>
    </row>
    <row r="63" spans="5:10">
      <c r="E63" s="91"/>
      <c r="G63" s="109"/>
      <c r="H63" s="109"/>
      <c r="I63" s="109"/>
      <c r="J63" s="109"/>
    </row>
    <row r="64" spans="5:11">
      <c r="E64" s="91"/>
      <c r="K64" s="118"/>
    </row>
    <row r="65" spans="5:11">
      <c r="E65" s="91"/>
      <c r="K65" s="118"/>
    </row>
    <row r="66" ht="14.4" customHeight="1" spans="1:22">
      <c r="A66" s="96" t="s">
        <v>159</v>
      </c>
      <c r="B66" s="97"/>
      <c r="C66" s="98"/>
      <c r="E66" s="99" t="s">
        <v>2</v>
      </c>
      <c r="F66" s="100"/>
      <c r="G66" s="100"/>
      <c r="H66" s="100"/>
      <c r="I66" s="115"/>
      <c r="J66" s="100"/>
      <c r="L66" s="102"/>
      <c r="M66" s="102"/>
      <c r="O66" s="128"/>
      <c r="P66" s="128"/>
      <c r="Q66" s="128"/>
      <c r="R66" s="132"/>
      <c r="S66" s="116"/>
      <c r="T66" s="128"/>
      <c r="U66" s="128"/>
      <c r="V66" s="132"/>
    </row>
    <row r="67" ht="46.8" spans="1:22">
      <c r="A67" s="101" t="s">
        <v>6085</v>
      </c>
      <c r="B67" s="101" t="s">
        <v>207</v>
      </c>
      <c r="C67" s="101" t="s">
        <v>447</v>
      </c>
      <c r="D67" s="89" t="s">
        <v>209</v>
      </c>
      <c r="E67" s="101" t="s">
        <v>210</v>
      </c>
      <c r="F67" s="103" t="s">
        <v>6086</v>
      </c>
      <c r="G67" s="104" t="s">
        <v>6087</v>
      </c>
      <c r="H67" s="104" t="s">
        <v>6088</v>
      </c>
      <c r="I67" s="117" t="s">
        <v>6089</v>
      </c>
      <c r="J67" s="91" t="s">
        <v>6090</v>
      </c>
      <c r="K67" s="118" t="s">
        <v>0</v>
      </c>
      <c r="L67" s="119" t="s">
        <v>6091</v>
      </c>
      <c r="M67" s="119" t="s">
        <v>6092</v>
      </c>
      <c r="N67" s="120" t="s">
        <v>224</v>
      </c>
      <c r="O67" s="119" t="s">
        <v>225</v>
      </c>
      <c r="P67" s="120" t="s">
        <v>226</v>
      </c>
      <c r="Q67" s="119"/>
      <c r="R67" s="119"/>
      <c r="S67" s="119"/>
      <c r="T67" s="119"/>
      <c r="U67" s="119"/>
      <c r="V67" s="119"/>
    </row>
    <row r="68" ht="14.4" spans="1:15">
      <c r="A68" s="89" t="s">
        <v>4363</v>
      </c>
      <c r="B68" s="89" t="s">
        <v>562</v>
      </c>
      <c r="C68" s="89" t="s">
        <v>441</v>
      </c>
      <c r="D68" s="89" t="s">
        <v>234</v>
      </c>
      <c r="E68" s="91">
        <v>0</v>
      </c>
      <c r="F68" s="91">
        <v>99388.6666666667</v>
      </c>
      <c r="G68" s="92"/>
      <c r="H68" s="92"/>
      <c r="I68" s="92" t="s">
        <v>180</v>
      </c>
      <c r="J68" s="91" t="s">
        <v>180</v>
      </c>
      <c r="K68" s="118">
        <v>0</v>
      </c>
      <c r="L68" s="89" t="s">
        <v>180</v>
      </c>
      <c r="M68" s="89" t="s">
        <v>180</v>
      </c>
      <c r="N68" s="189">
        <v>1607</v>
      </c>
      <c r="O68" s="95">
        <v>0</v>
      </c>
    </row>
    <row r="69" s="88" customFormat="1" ht="57.6" spans="1:16">
      <c r="A69" s="88" t="s">
        <v>227</v>
      </c>
      <c r="B69" s="134" t="s">
        <v>557</v>
      </c>
      <c r="C69" s="88" t="s">
        <v>441</v>
      </c>
      <c r="D69" s="88" t="s">
        <v>234</v>
      </c>
      <c r="E69" s="106">
        <v>0</v>
      </c>
      <c r="F69" s="106">
        <v>386526.25</v>
      </c>
      <c r="G69" s="110">
        <v>0.765312638185814</v>
      </c>
      <c r="H69" s="110">
        <v>0.755560248220158</v>
      </c>
      <c r="I69" s="110" t="s">
        <v>180</v>
      </c>
      <c r="J69" s="106" t="s">
        <v>180</v>
      </c>
      <c r="K69" s="122"/>
      <c r="L69" s="88" t="s">
        <v>6133</v>
      </c>
      <c r="M69" s="88" t="s">
        <v>6134</v>
      </c>
      <c r="N69" s="190">
        <v>1591</v>
      </c>
      <c r="O69" s="126" t="s">
        <v>6135</v>
      </c>
      <c r="P69" s="124" t="s">
        <v>6136</v>
      </c>
    </row>
    <row r="70" ht="14.4" spans="1:18">
      <c r="A70" s="89" t="s">
        <v>230</v>
      </c>
      <c r="B70" s="135" t="s">
        <v>560</v>
      </c>
      <c r="C70" s="89" t="s">
        <v>233</v>
      </c>
      <c r="D70" s="89" t="s">
        <v>60</v>
      </c>
      <c r="E70" s="91">
        <v>0</v>
      </c>
      <c r="F70" s="91">
        <v>47570.5833333333</v>
      </c>
      <c r="G70" s="92">
        <v>0.094188605899008</v>
      </c>
      <c r="H70" s="92">
        <v>0.123239583876532</v>
      </c>
      <c r="I70" s="92">
        <v>0.0184608095827903</v>
      </c>
      <c r="J70" s="91">
        <v>14271.175</v>
      </c>
      <c r="K70" s="118">
        <v>0</v>
      </c>
      <c r="L70" s="89" t="s">
        <v>180</v>
      </c>
      <c r="M70" s="89" t="s">
        <v>180</v>
      </c>
      <c r="N70" s="189">
        <v>1394</v>
      </c>
      <c r="O70" s="95" t="s">
        <v>4052</v>
      </c>
      <c r="R70" s="88"/>
    </row>
    <row r="71" ht="42.6" spans="1:14">
      <c r="A71" s="89" t="s">
        <v>230</v>
      </c>
      <c r="B71" s="191" t="s">
        <v>4401</v>
      </c>
      <c r="C71" s="89" t="s">
        <v>233</v>
      </c>
      <c r="D71" s="89" t="s">
        <v>420</v>
      </c>
      <c r="E71" s="91">
        <v>0</v>
      </c>
      <c r="F71" s="91">
        <v>25226.25</v>
      </c>
      <c r="G71" s="92">
        <v>0.0499473656421392</v>
      </c>
      <c r="H71" s="92"/>
      <c r="K71" s="122" t="s">
        <v>6122</v>
      </c>
      <c r="N71" s="189"/>
    </row>
    <row r="72" ht="28.8" spans="1:15">
      <c r="A72" s="89" t="s">
        <v>243</v>
      </c>
      <c r="B72" s="108" t="s">
        <v>4391</v>
      </c>
      <c r="C72" s="89" t="s">
        <v>233</v>
      </c>
      <c r="D72" s="89" t="s">
        <v>422</v>
      </c>
      <c r="E72" s="91">
        <v>0</v>
      </c>
      <c r="F72" s="91">
        <v>15544.3333333333</v>
      </c>
      <c r="G72" s="92">
        <v>0.0307774045156649</v>
      </c>
      <c r="H72" s="92">
        <v>0.0187</v>
      </c>
      <c r="I72" s="92" t="s">
        <v>180</v>
      </c>
      <c r="J72" s="91" t="s">
        <v>180</v>
      </c>
      <c r="K72" s="118">
        <v>0</v>
      </c>
      <c r="L72" s="89" t="s">
        <v>180</v>
      </c>
      <c r="M72" s="89" t="s">
        <v>180</v>
      </c>
      <c r="N72" s="189">
        <v>165</v>
      </c>
      <c r="O72" s="95" t="s">
        <v>6137</v>
      </c>
    </row>
    <row r="73" ht="42.6" spans="1:14">
      <c r="A73" s="89" t="s">
        <v>230</v>
      </c>
      <c r="B73" s="191" t="s">
        <v>559</v>
      </c>
      <c r="C73" s="89" t="s">
        <v>233</v>
      </c>
      <c r="D73" s="89" t="s">
        <v>50</v>
      </c>
      <c r="E73" s="91">
        <v>0</v>
      </c>
      <c r="F73" s="91">
        <v>30189.25</v>
      </c>
      <c r="G73" s="92">
        <v>0.0597739857573738</v>
      </c>
      <c r="H73" s="92"/>
      <c r="K73" s="122" t="s">
        <v>6122</v>
      </c>
      <c r="N73" s="189"/>
    </row>
    <row r="74" s="88" customFormat="1" ht="14.4" spans="2:16">
      <c r="B74" s="134"/>
      <c r="D74" s="89"/>
      <c r="E74" s="91"/>
      <c r="F74" s="91"/>
      <c r="G74" s="92"/>
      <c r="H74" s="92"/>
      <c r="I74" s="110"/>
      <c r="J74" s="106"/>
      <c r="K74" s="118"/>
      <c r="M74" s="89"/>
      <c r="N74" s="189"/>
      <c r="O74" s="95"/>
      <c r="P74" s="126"/>
    </row>
    <row r="75" ht="14.4" hidden="1" spans="3:14">
      <c r="C75" s="89"/>
      <c r="E75" s="91"/>
      <c r="G75" s="92"/>
      <c r="H75" s="92"/>
      <c r="K75" s="118"/>
      <c r="N75" s="189"/>
    </row>
    <row r="76" ht="14.4" hidden="1" spans="2:14">
      <c r="B76" s="108"/>
      <c r="C76" s="89"/>
      <c r="E76" s="91"/>
      <c r="G76" s="92"/>
      <c r="H76" s="92"/>
      <c r="K76" s="118"/>
      <c r="N76" s="189"/>
    </row>
    <row r="77" spans="3:9">
      <c r="C77" s="89"/>
      <c r="E77" s="91"/>
      <c r="F77" s="91">
        <v>505056.666666667</v>
      </c>
      <c r="G77" s="109"/>
      <c r="H77" s="109"/>
      <c r="I77" s="109">
        <v>0.0184608095827903</v>
      </c>
    </row>
    <row r="78" spans="3:9">
      <c r="C78" s="89"/>
      <c r="E78" s="91"/>
      <c r="G78" s="109"/>
      <c r="H78" s="109"/>
      <c r="I78" s="109"/>
    </row>
    <row r="79" ht="14.4" customHeight="1" spans="1:22">
      <c r="A79" s="96" t="s">
        <v>274</v>
      </c>
      <c r="B79" s="97"/>
      <c r="C79" s="98"/>
      <c r="E79" s="99" t="s">
        <v>2</v>
      </c>
      <c r="F79" s="100"/>
      <c r="G79" s="100"/>
      <c r="H79" s="100"/>
      <c r="I79" s="115"/>
      <c r="J79" s="100"/>
      <c r="K79" s="95"/>
      <c r="L79" s="102"/>
      <c r="M79" s="102"/>
      <c r="O79" s="128"/>
      <c r="P79" s="128"/>
      <c r="Q79" s="128"/>
      <c r="R79" s="132"/>
      <c r="S79" s="116"/>
      <c r="T79" s="128"/>
      <c r="U79" s="128"/>
      <c r="V79" s="132"/>
    </row>
    <row r="80" ht="46.8" spans="1:22">
      <c r="A80" s="101" t="s">
        <v>6085</v>
      </c>
      <c r="B80" s="102" t="s">
        <v>207</v>
      </c>
      <c r="C80" s="101" t="s">
        <v>447</v>
      </c>
      <c r="D80" s="89" t="s">
        <v>209</v>
      </c>
      <c r="E80" s="101" t="s">
        <v>210</v>
      </c>
      <c r="F80" s="103" t="s">
        <v>6086</v>
      </c>
      <c r="G80" s="104" t="s">
        <v>6087</v>
      </c>
      <c r="H80" s="104" t="s">
        <v>6088</v>
      </c>
      <c r="I80" s="117" t="s">
        <v>6089</v>
      </c>
      <c r="J80" s="91" t="s">
        <v>6090</v>
      </c>
      <c r="K80" s="95"/>
      <c r="L80" s="119" t="s">
        <v>6091</v>
      </c>
      <c r="M80" s="119" t="s">
        <v>6092</v>
      </c>
      <c r="N80" s="120" t="s">
        <v>224</v>
      </c>
      <c r="O80" s="119" t="s">
        <v>225</v>
      </c>
      <c r="P80" s="120" t="s">
        <v>226</v>
      </c>
      <c r="Q80" s="119"/>
      <c r="R80" s="119"/>
      <c r="S80" s="119"/>
      <c r="T80" s="119"/>
      <c r="U80" s="119"/>
      <c r="V80" s="119"/>
    </row>
    <row r="81" s="88" customFormat="1" ht="72" spans="1:16">
      <c r="A81" s="88" t="s">
        <v>227</v>
      </c>
      <c r="B81" s="105" t="s">
        <v>564</v>
      </c>
      <c r="C81" s="88" t="s">
        <v>441</v>
      </c>
      <c r="D81" s="88" t="s">
        <v>234</v>
      </c>
      <c r="E81" s="106">
        <v>0</v>
      </c>
      <c r="F81" s="106">
        <v>248892.833333333</v>
      </c>
      <c r="G81" s="107">
        <v>0.645527977682953</v>
      </c>
      <c r="H81" s="107">
        <v>0.559383848512539</v>
      </c>
      <c r="I81" s="107" t="s">
        <v>180</v>
      </c>
      <c r="J81" s="106" t="s">
        <v>180</v>
      </c>
      <c r="K81" s="122" t="s">
        <v>6138</v>
      </c>
      <c r="L81" s="88" t="s">
        <v>6139</v>
      </c>
      <c r="M81" s="88" t="s">
        <v>6140</v>
      </c>
      <c r="N81" s="189">
        <v>1228</v>
      </c>
      <c r="O81" s="95" t="s">
        <v>4411</v>
      </c>
      <c r="P81" s="125" t="s">
        <v>6141</v>
      </c>
    </row>
    <row r="82" ht="24" customHeight="1" spans="1:15">
      <c r="A82" s="89" t="s">
        <v>230</v>
      </c>
      <c r="B82" s="108" t="s">
        <v>568</v>
      </c>
      <c r="C82" s="89" t="s">
        <v>65</v>
      </c>
      <c r="D82" s="89" t="s">
        <v>266</v>
      </c>
      <c r="E82" s="91">
        <v>0</v>
      </c>
      <c r="F82" s="91">
        <v>45235</v>
      </c>
      <c r="G82" s="109">
        <v>0.117321409698371</v>
      </c>
      <c r="H82" s="109">
        <v>0.154637786728104</v>
      </c>
      <c r="I82" s="109" t="s">
        <v>180</v>
      </c>
      <c r="J82" s="91" t="s">
        <v>180</v>
      </c>
      <c r="K82" s="118">
        <v>0</v>
      </c>
      <c r="L82" s="89" t="s">
        <v>180</v>
      </c>
      <c r="M82" s="88" t="s">
        <v>180</v>
      </c>
      <c r="N82" s="189">
        <v>593</v>
      </c>
      <c r="O82" s="95" t="s">
        <v>4417</v>
      </c>
    </row>
    <row r="83" ht="61.2" customHeight="1" spans="1:18">
      <c r="A83" s="89" t="s">
        <v>391</v>
      </c>
      <c r="B83" s="108" t="s">
        <v>565</v>
      </c>
      <c r="C83" s="89" t="s">
        <v>454</v>
      </c>
      <c r="D83" s="89" t="s">
        <v>266</v>
      </c>
      <c r="E83" s="91">
        <v>0</v>
      </c>
      <c r="F83" s="91">
        <v>30257.3333333333</v>
      </c>
      <c r="G83" s="109">
        <v>0.078475362006857</v>
      </c>
      <c r="H83" s="109">
        <v>0.10580434620092</v>
      </c>
      <c r="I83" s="109" t="s">
        <v>180</v>
      </c>
      <c r="J83" s="91" t="s">
        <v>180</v>
      </c>
      <c r="K83" s="118">
        <v>0</v>
      </c>
      <c r="L83" s="89" t="s">
        <v>180</v>
      </c>
      <c r="M83" s="88" t="s">
        <v>180</v>
      </c>
      <c r="N83" s="189">
        <v>365</v>
      </c>
      <c r="O83" s="95" t="s">
        <v>4420</v>
      </c>
      <c r="P83" s="125"/>
      <c r="Q83" s="133"/>
      <c r="R83" s="133"/>
    </row>
    <row r="84" ht="57.6" spans="1:18">
      <c r="A84" s="89" t="s">
        <v>391</v>
      </c>
      <c r="B84" s="108" t="s">
        <v>567</v>
      </c>
      <c r="C84" s="89" t="s">
        <v>454</v>
      </c>
      <c r="D84" s="89" t="s">
        <v>420</v>
      </c>
      <c r="E84" s="91">
        <v>0</v>
      </c>
      <c r="F84" s="91">
        <v>12235.75</v>
      </c>
      <c r="G84" s="109">
        <v>0.0317346178560151</v>
      </c>
      <c r="H84" s="109">
        <v>0.0560942020792518</v>
      </c>
      <c r="I84" s="109" t="s">
        <v>180</v>
      </c>
      <c r="J84" s="91" t="s">
        <v>180</v>
      </c>
      <c r="K84" s="118">
        <v>0</v>
      </c>
      <c r="L84" s="89" t="s">
        <v>180</v>
      </c>
      <c r="M84" s="88" t="s">
        <v>180</v>
      </c>
      <c r="N84" s="189">
        <v>508</v>
      </c>
      <c r="O84" s="95" t="s">
        <v>6142</v>
      </c>
      <c r="Q84" s="133"/>
      <c r="R84" s="133"/>
    </row>
    <row r="85" ht="14.4" spans="1:15">
      <c r="A85" s="89" t="s">
        <v>446</v>
      </c>
      <c r="B85" s="89" t="s">
        <v>4425</v>
      </c>
      <c r="C85" s="89" t="s">
        <v>233</v>
      </c>
      <c r="D85" s="89" t="s">
        <v>49</v>
      </c>
      <c r="E85" s="91">
        <v>0</v>
      </c>
      <c r="F85" s="91">
        <v>36151.9166666667</v>
      </c>
      <c r="G85" s="109">
        <v>0.0937635420942051</v>
      </c>
      <c r="H85" s="109">
        <v>0.0916529044590788</v>
      </c>
      <c r="I85" s="109">
        <v>0.0108938200979404</v>
      </c>
      <c r="J85" s="91">
        <v>5422.7875</v>
      </c>
      <c r="K85" s="118">
        <v>0</v>
      </c>
      <c r="L85" s="89" t="s">
        <v>180</v>
      </c>
      <c r="M85" s="88" t="s">
        <v>180</v>
      </c>
      <c r="N85" s="189">
        <v>704</v>
      </c>
      <c r="O85" s="95" t="s">
        <v>4427</v>
      </c>
    </row>
    <row r="86" ht="14.4" spans="2:15">
      <c r="B86" s="108" t="s">
        <v>4429</v>
      </c>
      <c r="C86" s="89">
        <v>0</v>
      </c>
      <c r="D86" s="89">
        <v>0</v>
      </c>
      <c r="E86" s="91">
        <v>0</v>
      </c>
      <c r="F86" s="91">
        <v>19805.75</v>
      </c>
      <c r="G86" s="109"/>
      <c r="H86" s="109"/>
      <c r="I86" s="109" t="s">
        <v>180</v>
      </c>
      <c r="J86" s="91" t="s">
        <v>180</v>
      </c>
      <c r="K86" s="118" t="s">
        <v>1630</v>
      </c>
      <c r="L86" s="89" t="s">
        <v>180</v>
      </c>
      <c r="M86" s="88" t="s">
        <v>180</v>
      </c>
      <c r="N86" s="189">
        <v>545</v>
      </c>
      <c r="O86" s="95">
        <v>0</v>
      </c>
    </row>
    <row r="87" ht="28.8" spans="1:15">
      <c r="A87" s="89" t="s">
        <v>391</v>
      </c>
      <c r="B87" s="89" t="s">
        <v>569</v>
      </c>
      <c r="C87" s="89">
        <v>0</v>
      </c>
      <c r="D87" s="89">
        <v>0</v>
      </c>
      <c r="E87" s="91">
        <v>0</v>
      </c>
      <c r="F87" s="91">
        <v>12791.9166666667</v>
      </c>
      <c r="G87" s="109">
        <v>0.0331770906615988</v>
      </c>
      <c r="H87" s="109">
        <v>0.0324269120201067</v>
      </c>
      <c r="I87" s="109" t="s">
        <v>180</v>
      </c>
      <c r="J87" s="91" t="s">
        <v>180</v>
      </c>
      <c r="K87" s="118">
        <v>0</v>
      </c>
      <c r="L87" s="89" t="s">
        <v>180</v>
      </c>
      <c r="M87" s="88" t="s">
        <v>180</v>
      </c>
      <c r="N87" s="189">
        <v>219</v>
      </c>
      <c r="O87" s="95" t="s">
        <v>6143</v>
      </c>
    </row>
    <row r="88" spans="5:11">
      <c r="E88" s="91"/>
      <c r="F88" s="91">
        <v>385564.75</v>
      </c>
      <c r="I88" s="109">
        <v>0.0108938200979404</v>
      </c>
      <c r="K88" s="95"/>
    </row>
    <row r="89" spans="5:5">
      <c r="E89" s="91"/>
    </row>
    <row r="90" ht="14.4" customHeight="1" spans="1:22">
      <c r="A90" s="96" t="s">
        <v>165</v>
      </c>
      <c r="B90" s="97"/>
      <c r="C90" s="98"/>
      <c r="E90" s="99" t="s">
        <v>2</v>
      </c>
      <c r="F90" s="100"/>
      <c r="G90" s="100"/>
      <c r="H90" s="100"/>
      <c r="I90" s="115"/>
      <c r="J90" s="100"/>
      <c r="L90" s="102"/>
      <c r="M90" s="102"/>
      <c r="O90" s="128"/>
      <c r="P90" s="128"/>
      <c r="Q90" s="128"/>
      <c r="R90" s="132"/>
      <c r="S90" s="116"/>
      <c r="T90" s="128"/>
      <c r="U90" s="128"/>
      <c r="V90" s="132"/>
    </row>
    <row r="91" ht="46.8" spans="1:22">
      <c r="A91" s="101" t="s">
        <v>6085</v>
      </c>
      <c r="B91" s="102" t="s">
        <v>207</v>
      </c>
      <c r="C91" s="101" t="s">
        <v>447</v>
      </c>
      <c r="D91" s="89" t="s">
        <v>209</v>
      </c>
      <c r="E91" s="101" t="s">
        <v>210</v>
      </c>
      <c r="F91" s="103" t="s">
        <v>6086</v>
      </c>
      <c r="G91" s="104" t="s">
        <v>6087</v>
      </c>
      <c r="H91" s="104" t="s">
        <v>6088</v>
      </c>
      <c r="I91" s="117" t="s">
        <v>6089</v>
      </c>
      <c r="J91" s="91" t="s">
        <v>6090</v>
      </c>
      <c r="K91" s="118" t="s">
        <v>0</v>
      </c>
      <c r="L91" s="119" t="s">
        <v>6091</v>
      </c>
      <c r="M91" s="119" t="s">
        <v>6092</v>
      </c>
      <c r="N91" s="120" t="s">
        <v>224</v>
      </c>
      <c r="O91" s="119" t="s">
        <v>225</v>
      </c>
      <c r="P91" s="120" t="s">
        <v>226</v>
      </c>
      <c r="Q91" s="119"/>
      <c r="R91" s="119"/>
      <c r="S91" s="119"/>
      <c r="T91" s="119"/>
      <c r="U91" s="119"/>
      <c r="V91" s="119"/>
    </row>
    <row r="92" ht="14.4" spans="1:15">
      <c r="A92" s="89" t="s">
        <v>4435</v>
      </c>
      <c r="B92" s="108" t="s">
        <v>577</v>
      </c>
      <c r="C92" s="89" t="s">
        <v>441</v>
      </c>
      <c r="D92" s="89" t="s">
        <v>234</v>
      </c>
      <c r="E92" s="91">
        <v>0</v>
      </c>
      <c r="F92" s="91">
        <v>262502.75</v>
      </c>
      <c r="I92" s="109" t="s">
        <v>180</v>
      </c>
      <c r="J92" s="91" t="s">
        <v>180</v>
      </c>
      <c r="K92" s="118">
        <v>0</v>
      </c>
      <c r="L92" s="89" t="s">
        <v>180</v>
      </c>
      <c r="M92" s="89" t="s">
        <v>180</v>
      </c>
      <c r="N92" s="189">
        <v>1165</v>
      </c>
      <c r="O92" s="95">
        <v>0</v>
      </c>
    </row>
    <row r="93" ht="14.4" spans="1:15">
      <c r="A93" s="89" t="s">
        <v>230</v>
      </c>
      <c r="B93" s="108" t="s">
        <v>570</v>
      </c>
      <c r="C93" s="89" t="s">
        <v>233</v>
      </c>
      <c r="D93" s="89" t="s">
        <v>50</v>
      </c>
      <c r="E93" s="91">
        <v>0</v>
      </c>
      <c r="F93" s="91">
        <v>105971.333333333</v>
      </c>
      <c r="G93" s="109">
        <v>0.308512692714899</v>
      </c>
      <c r="H93" s="109">
        <v>0.313975993539141</v>
      </c>
      <c r="I93" s="109" t="s">
        <v>180</v>
      </c>
      <c r="J93" s="91">
        <v>31791.4</v>
      </c>
      <c r="K93" s="118">
        <v>0</v>
      </c>
      <c r="L93" s="89" t="s">
        <v>180</v>
      </c>
      <c r="M93" s="89" t="s">
        <v>180</v>
      </c>
      <c r="N93" s="189">
        <v>729</v>
      </c>
      <c r="O93" s="95" t="s">
        <v>4436</v>
      </c>
    </row>
    <row r="94" s="88" customFormat="1" ht="28.8" spans="1:16">
      <c r="A94" s="88" t="s">
        <v>227</v>
      </c>
      <c r="B94" s="105" t="s">
        <v>571</v>
      </c>
      <c r="C94" s="88" t="s">
        <v>441</v>
      </c>
      <c r="D94" s="88" t="s">
        <v>234</v>
      </c>
      <c r="E94" s="106">
        <v>0</v>
      </c>
      <c r="F94" s="106">
        <v>85642.3333333333</v>
      </c>
      <c r="G94" s="107">
        <v>0.249329191546018</v>
      </c>
      <c r="H94" s="107">
        <v>0.236456026770199</v>
      </c>
      <c r="I94" s="107" t="s">
        <v>180</v>
      </c>
      <c r="J94" s="106" t="s">
        <v>180</v>
      </c>
      <c r="K94" s="122"/>
      <c r="L94" s="88" t="s">
        <v>6144</v>
      </c>
      <c r="M94" s="88" t="s">
        <v>6140</v>
      </c>
      <c r="N94" s="190">
        <v>1006</v>
      </c>
      <c r="O94" s="126" t="s">
        <v>6145</v>
      </c>
      <c r="P94" s="124" t="s">
        <v>4464</v>
      </c>
    </row>
    <row r="95" ht="24.6" customHeight="1" spans="1:16">
      <c r="A95" s="89" t="s">
        <v>230</v>
      </c>
      <c r="B95" s="108" t="s">
        <v>573</v>
      </c>
      <c r="C95" s="89" t="s">
        <v>233</v>
      </c>
      <c r="D95" s="89" t="s">
        <v>423</v>
      </c>
      <c r="E95" s="91">
        <v>0</v>
      </c>
      <c r="F95" s="91">
        <v>95570.3333333333</v>
      </c>
      <c r="G95" s="109">
        <v>0.278232423362863</v>
      </c>
      <c r="H95" s="109">
        <v>0.267953335848832</v>
      </c>
      <c r="I95" s="109" t="s">
        <v>180</v>
      </c>
      <c r="J95" s="91" t="s">
        <v>180</v>
      </c>
      <c r="K95" s="118">
        <v>0</v>
      </c>
      <c r="L95" s="89" t="s">
        <v>180</v>
      </c>
      <c r="M95" s="89" t="s">
        <v>180</v>
      </c>
      <c r="N95" s="189">
        <v>1152</v>
      </c>
      <c r="O95" s="95" t="s">
        <v>4445</v>
      </c>
      <c r="P95" s="125"/>
    </row>
    <row r="96" ht="14.4" spans="1:15">
      <c r="A96" s="89" t="s">
        <v>1992</v>
      </c>
      <c r="B96" s="89" t="s">
        <v>4454</v>
      </c>
      <c r="C96" s="89" t="s">
        <v>233</v>
      </c>
      <c r="D96" s="89" t="s">
        <v>424</v>
      </c>
      <c r="E96" s="91">
        <v>0</v>
      </c>
      <c r="F96" s="91">
        <v>15237.3333333333</v>
      </c>
      <c r="G96" s="109">
        <v>0.0443602112816153</v>
      </c>
      <c r="H96" s="109">
        <v>0.0797814329735509</v>
      </c>
      <c r="I96" s="109" t="s">
        <v>180</v>
      </c>
      <c r="J96" s="91" t="s">
        <v>180</v>
      </c>
      <c r="K96" s="118">
        <v>0</v>
      </c>
      <c r="L96" s="89" t="s">
        <v>180</v>
      </c>
      <c r="M96" s="89" t="s">
        <v>180</v>
      </c>
      <c r="N96" s="189">
        <v>863</v>
      </c>
      <c r="O96" s="95" t="s">
        <v>4052</v>
      </c>
    </row>
    <row r="97" s="88" customFormat="1" ht="14.4" hidden="1" spans="1:22">
      <c r="A97" s="89"/>
      <c r="B97" s="108"/>
      <c r="C97" s="89" t="e">
        <v>#N/A</v>
      </c>
      <c r="D97" s="89"/>
      <c r="E97" s="91" t="e">
        <v>#N/A</v>
      </c>
      <c r="F97" s="91"/>
      <c r="G97" s="109"/>
      <c r="H97" s="109"/>
      <c r="I97" s="109"/>
      <c r="J97" s="91"/>
      <c r="K97" s="118"/>
      <c r="L97" s="89"/>
      <c r="M97" s="89"/>
      <c r="N97" s="189"/>
      <c r="O97" s="95"/>
      <c r="P97" s="95"/>
      <c r="Q97" s="89"/>
      <c r="R97" s="89"/>
      <c r="S97" s="89"/>
      <c r="T97" s="89"/>
      <c r="U97" s="89"/>
      <c r="V97" s="89"/>
    </row>
    <row r="98" ht="28.8" spans="1:15">
      <c r="A98" s="89" t="s">
        <v>391</v>
      </c>
      <c r="B98" s="89" t="s">
        <v>297</v>
      </c>
      <c r="C98" s="89" t="s">
        <v>441</v>
      </c>
      <c r="D98" s="89" t="s">
        <v>421</v>
      </c>
      <c r="E98" s="91">
        <v>0</v>
      </c>
      <c r="F98" s="91">
        <v>34124.5</v>
      </c>
      <c r="G98" s="109">
        <v>0.0993461255171169</v>
      </c>
      <c r="H98" s="109">
        <v>0.0819806323168734</v>
      </c>
      <c r="I98" s="109" t="s">
        <v>180</v>
      </c>
      <c r="J98" s="91" t="s">
        <v>180</v>
      </c>
      <c r="K98" s="118"/>
      <c r="L98" s="89" t="s">
        <v>180</v>
      </c>
      <c r="M98" s="89" t="s">
        <v>180</v>
      </c>
      <c r="N98" s="189">
        <v>112</v>
      </c>
      <c r="O98" s="95" t="s">
        <v>6146</v>
      </c>
    </row>
    <row r="99" ht="71.4" spans="1:15">
      <c r="A99" s="89" t="s">
        <v>230</v>
      </c>
      <c r="B99" s="89" t="s">
        <v>4480</v>
      </c>
      <c r="C99" s="89" t="s">
        <v>233</v>
      </c>
      <c r="D99" s="89" t="s">
        <v>371</v>
      </c>
      <c r="E99" s="91">
        <v>0</v>
      </c>
      <c r="F99" s="91">
        <v>6945.16666666667</v>
      </c>
      <c r="G99" s="109">
        <v>0.0202193555774872</v>
      </c>
      <c r="H99" s="109">
        <v>0.0174942987551593</v>
      </c>
      <c r="I99" s="109" t="s">
        <v>180</v>
      </c>
      <c r="J99" s="91" t="s">
        <v>180</v>
      </c>
      <c r="K99" s="118">
        <v>0</v>
      </c>
      <c r="L99" s="89" t="s">
        <v>180</v>
      </c>
      <c r="M99" s="89" t="s">
        <v>180</v>
      </c>
      <c r="N99" s="189">
        <v>306</v>
      </c>
      <c r="O99" s="95" t="s">
        <v>4484</v>
      </c>
    </row>
    <row r="100" spans="6:11">
      <c r="F100" s="91">
        <v>343491</v>
      </c>
      <c r="I100" s="109">
        <v>0</v>
      </c>
      <c r="K100" s="95"/>
    </row>
    <row r="101" hidden="1" spans="5:10">
      <c r="E101" s="91"/>
      <c r="F101" s="109"/>
      <c r="G101" s="109"/>
      <c r="H101" s="109"/>
      <c r="I101" s="109"/>
      <c r="J101" s="109"/>
    </row>
    <row r="102" hidden="1" spans="3:9">
      <c r="C102" s="89"/>
      <c r="E102" s="91"/>
      <c r="G102" s="109"/>
      <c r="H102" s="109"/>
      <c r="I102" s="109"/>
    </row>
    <row r="103" hidden="1" spans="3:9">
      <c r="C103" s="89"/>
      <c r="E103" s="91"/>
      <c r="G103" s="109"/>
      <c r="H103" s="109"/>
      <c r="I103" s="109"/>
    </row>
    <row r="104" hidden="1" spans="3:10">
      <c r="C104" s="89"/>
      <c r="E104" s="91"/>
      <c r="F104" s="109"/>
      <c r="G104" s="109"/>
      <c r="H104" s="109"/>
      <c r="I104" s="109"/>
      <c r="J104" s="109"/>
    </row>
    <row r="105" ht="14.4" customHeight="1" spans="1:22">
      <c r="A105" s="96" t="s">
        <v>174</v>
      </c>
      <c r="B105" s="97"/>
      <c r="C105" s="98"/>
      <c r="E105" s="99" t="s">
        <v>2</v>
      </c>
      <c r="F105" s="100"/>
      <c r="G105" s="100"/>
      <c r="H105" s="100"/>
      <c r="I105" s="115"/>
      <c r="J105" s="100"/>
      <c r="K105" s="95"/>
      <c r="L105" s="102"/>
      <c r="M105" s="102"/>
      <c r="O105" s="128"/>
      <c r="P105" s="128"/>
      <c r="Q105" s="128"/>
      <c r="R105" s="132"/>
      <c r="S105" s="116"/>
      <c r="T105" s="128"/>
      <c r="U105" s="128"/>
      <c r="V105" s="132"/>
    </row>
    <row r="106" ht="46.8" spans="1:22">
      <c r="A106" s="101" t="s">
        <v>6085</v>
      </c>
      <c r="B106" s="102" t="s">
        <v>207</v>
      </c>
      <c r="C106" s="101" t="s">
        <v>447</v>
      </c>
      <c r="E106" s="101" t="s">
        <v>210</v>
      </c>
      <c r="F106" s="103" t="s">
        <v>6086</v>
      </c>
      <c r="G106" s="104" t="s">
        <v>6087</v>
      </c>
      <c r="H106" s="104" t="s">
        <v>6088</v>
      </c>
      <c r="I106" s="117" t="s">
        <v>6089</v>
      </c>
      <c r="J106" s="91" t="s">
        <v>6090</v>
      </c>
      <c r="K106" s="118" t="s">
        <v>0</v>
      </c>
      <c r="L106" s="119" t="s">
        <v>6091</v>
      </c>
      <c r="M106" s="119" t="s">
        <v>6092</v>
      </c>
      <c r="N106" s="120" t="s">
        <v>224</v>
      </c>
      <c r="O106" s="119" t="s">
        <v>225</v>
      </c>
      <c r="P106" s="120" t="s">
        <v>226</v>
      </c>
      <c r="Q106" s="119"/>
      <c r="R106" s="119"/>
      <c r="S106" s="119"/>
      <c r="T106" s="119"/>
      <c r="U106" s="119"/>
      <c r="V106" s="119"/>
    </row>
    <row r="107" ht="14.4" spans="1:15">
      <c r="A107" s="89" t="s">
        <v>672</v>
      </c>
      <c r="B107" s="108" t="s">
        <v>526</v>
      </c>
      <c r="C107" s="89" t="s">
        <v>441</v>
      </c>
      <c r="D107" s="89" t="s">
        <v>234</v>
      </c>
      <c r="E107" s="91">
        <v>6238</v>
      </c>
      <c r="F107" s="91">
        <v>180929.5</v>
      </c>
      <c r="I107" s="109" t="s">
        <v>180</v>
      </c>
      <c r="J107" s="91" t="s">
        <v>180</v>
      </c>
      <c r="K107" s="118">
        <v>0</v>
      </c>
      <c r="L107" s="89" t="s">
        <v>180</v>
      </c>
      <c r="M107" s="89" t="s">
        <v>180</v>
      </c>
      <c r="N107" s="189">
        <v>2335</v>
      </c>
      <c r="O107" s="95">
        <v>0</v>
      </c>
    </row>
    <row r="108" s="88" customFormat="1" ht="43.2" spans="1:16">
      <c r="A108" s="88" t="s">
        <v>227</v>
      </c>
      <c r="B108" s="88" t="s">
        <v>588</v>
      </c>
      <c r="C108" s="88" t="s">
        <v>441</v>
      </c>
      <c r="D108" s="88" t="s">
        <v>234</v>
      </c>
      <c r="E108" s="106">
        <v>325311</v>
      </c>
      <c r="F108" s="106">
        <v>140939.666666667</v>
      </c>
      <c r="G108" s="107">
        <v>0.469701686734273</v>
      </c>
      <c r="H108" s="107">
        <v>0.451258788689513</v>
      </c>
      <c r="I108" s="107" t="s">
        <v>180</v>
      </c>
      <c r="J108" s="106" t="s">
        <v>180</v>
      </c>
      <c r="K108" s="122"/>
      <c r="L108" s="88" t="s">
        <v>6147</v>
      </c>
      <c r="M108" s="88" t="s">
        <v>6113</v>
      </c>
      <c r="N108" s="190">
        <v>1107</v>
      </c>
      <c r="O108" s="126" t="s">
        <v>6148</v>
      </c>
      <c r="P108" s="124" t="s">
        <v>6149</v>
      </c>
    </row>
    <row r="109" ht="28.2" spans="1:15">
      <c r="A109" s="89" t="s">
        <v>230</v>
      </c>
      <c r="B109" s="108" t="s">
        <v>592</v>
      </c>
      <c r="C109" s="89" t="s">
        <v>441</v>
      </c>
      <c r="D109" s="89" t="s">
        <v>266</v>
      </c>
      <c r="E109" s="91">
        <v>427242</v>
      </c>
      <c r="F109" s="154">
        <v>53111.9166666667</v>
      </c>
      <c r="G109" s="109">
        <v>0.177003092415597</v>
      </c>
      <c r="H109" s="109">
        <v>0.203155275399685</v>
      </c>
      <c r="I109" s="109" t="s">
        <v>180</v>
      </c>
      <c r="J109" s="91" t="s">
        <v>180</v>
      </c>
      <c r="K109" s="118">
        <v>0</v>
      </c>
      <c r="L109" s="89" t="s">
        <v>180</v>
      </c>
      <c r="M109" s="89" t="s">
        <v>180</v>
      </c>
      <c r="N109" s="189">
        <v>542</v>
      </c>
      <c r="O109" s="95" t="s">
        <v>4504</v>
      </c>
    </row>
    <row r="110" ht="14.4" spans="1:16">
      <c r="A110" s="89" t="s">
        <v>230</v>
      </c>
      <c r="B110" s="90" t="s">
        <v>589</v>
      </c>
      <c r="C110" s="89" t="s">
        <v>441</v>
      </c>
      <c r="D110" s="89" t="s">
        <v>58</v>
      </c>
      <c r="E110" s="91">
        <v>345760</v>
      </c>
      <c r="F110" s="154">
        <v>62147.8333333333</v>
      </c>
      <c r="G110" s="109">
        <v>0.207116582818278</v>
      </c>
      <c r="H110" s="109">
        <v>0.208962990804931</v>
      </c>
      <c r="I110" s="109">
        <v>0.0661430186439115</v>
      </c>
      <c r="J110" s="91">
        <v>18644.35</v>
      </c>
      <c r="K110" s="118">
        <v>0</v>
      </c>
      <c r="L110" s="89" t="s">
        <v>180</v>
      </c>
      <c r="M110" s="89" t="s">
        <v>180</v>
      </c>
      <c r="N110" s="189">
        <v>510</v>
      </c>
      <c r="O110" s="95" t="s">
        <v>4505</v>
      </c>
      <c r="P110" s="125"/>
    </row>
    <row r="111" ht="14.4" spans="1:15">
      <c r="A111" s="89" t="s">
        <v>230</v>
      </c>
      <c r="B111" s="90" t="s">
        <v>591</v>
      </c>
      <c r="C111" s="89" t="s">
        <v>441</v>
      </c>
      <c r="D111" s="89" t="s">
        <v>414</v>
      </c>
      <c r="E111" s="91">
        <v>2240207</v>
      </c>
      <c r="F111" s="154">
        <v>9355.5</v>
      </c>
      <c r="G111" s="109">
        <v>0.0311785477727526</v>
      </c>
      <c r="H111" s="109">
        <v>0.0615388912604039</v>
      </c>
      <c r="I111" s="109" t="s">
        <v>180</v>
      </c>
      <c r="J111" s="91" t="s">
        <v>180</v>
      </c>
      <c r="K111" s="118">
        <v>0</v>
      </c>
      <c r="L111" s="89" t="s">
        <v>180</v>
      </c>
      <c r="M111" s="89" t="s">
        <v>180</v>
      </c>
      <c r="N111" s="189">
        <v>247</v>
      </c>
      <c r="O111" s="95" t="s">
        <v>4052</v>
      </c>
    </row>
    <row r="112" ht="14.4" spans="1:15">
      <c r="A112" s="89" t="s">
        <v>238</v>
      </c>
      <c r="B112" s="108" t="s">
        <v>322</v>
      </c>
      <c r="C112" s="89" t="s">
        <v>441</v>
      </c>
      <c r="D112" s="89" t="s">
        <v>250</v>
      </c>
      <c r="E112" s="91">
        <v>284511</v>
      </c>
      <c r="F112" s="154">
        <v>34507.1666666667</v>
      </c>
      <c r="G112" s="109">
        <v>0.115000090259099</v>
      </c>
      <c r="H112" s="109">
        <v>0.0718050885897474</v>
      </c>
      <c r="I112" s="109" t="s">
        <v>180</v>
      </c>
      <c r="J112" s="91" t="s">
        <v>180</v>
      </c>
      <c r="K112" s="118">
        <v>0</v>
      </c>
      <c r="L112" s="89" t="s">
        <v>180</v>
      </c>
      <c r="M112" s="89" t="s">
        <v>180</v>
      </c>
      <c r="N112" s="189">
        <v>567</v>
      </c>
      <c r="O112" s="95" t="s">
        <v>4052</v>
      </c>
    </row>
    <row r="113" ht="14.4" spans="2:14">
      <c r="B113" s="108"/>
      <c r="C113" s="89"/>
      <c r="E113" s="91"/>
      <c r="F113" s="154"/>
      <c r="G113" s="109"/>
      <c r="H113" s="109"/>
      <c r="I113" s="109"/>
      <c r="K113" s="118"/>
      <c r="N113" s="189"/>
    </row>
    <row r="114" spans="6:13">
      <c r="F114" s="91">
        <v>300062.083333333</v>
      </c>
      <c r="I114" s="109">
        <v>0.0661430186439115</v>
      </c>
      <c r="K114" s="118"/>
      <c r="L114" s="89" t="s">
        <v>180</v>
      </c>
      <c r="M114" s="89" t="s">
        <v>180</v>
      </c>
    </row>
    <row r="115" spans="5:13">
      <c r="E115" s="91"/>
      <c r="K115" s="95"/>
      <c r="M115" s="89" t="s">
        <v>180</v>
      </c>
    </row>
    <row r="116" ht="14.4" customHeight="1" spans="1:22">
      <c r="A116" s="96" t="s">
        <v>168</v>
      </c>
      <c r="B116" s="96"/>
      <c r="C116" s="98"/>
      <c r="E116" s="99" t="s">
        <v>2</v>
      </c>
      <c r="F116" s="100"/>
      <c r="G116" s="100"/>
      <c r="H116" s="100"/>
      <c r="I116" s="115"/>
      <c r="J116" s="100"/>
      <c r="L116" s="102"/>
      <c r="M116" s="102"/>
      <c r="O116" s="128"/>
      <c r="P116" s="128"/>
      <c r="Q116" s="128"/>
      <c r="R116" s="132"/>
      <c r="S116" s="116"/>
      <c r="T116" s="128"/>
      <c r="U116" s="128"/>
      <c r="V116" s="132"/>
    </row>
    <row r="117" ht="46.8" spans="1:22">
      <c r="A117" s="101" t="s">
        <v>6085</v>
      </c>
      <c r="B117" s="102" t="s">
        <v>207</v>
      </c>
      <c r="C117" s="101" t="s">
        <v>447</v>
      </c>
      <c r="D117" s="89" t="s">
        <v>209</v>
      </c>
      <c r="E117" s="101" t="s">
        <v>210</v>
      </c>
      <c r="F117" s="103" t="s">
        <v>6086</v>
      </c>
      <c r="G117" s="104" t="s">
        <v>6087</v>
      </c>
      <c r="H117" s="104" t="s">
        <v>6088</v>
      </c>
      <c r="I117" s="117" t="s">
        <v>6089</v>
      </c>
      <c r="J117" s="91" t="s">
        <v>6090</v>
      </c>
      <c r="K117" s="118" t="s">
        <v>0</v>
      </c>
      <c r="L117" s="119" t="s">
        <v>6091</v>
      </c>
      <c r="M117" s="119" t="s">
        <v>6092</v>
      </c>
      <c r="N117" s="120" t="s">
        <v>224</v>
      </c>
      <c r="O117" s="119" t="s">
        <v>225</v>
      </c>
      <c r="P117" s="120" t="s">
        <v>226</v>
      </c>
      <c r="Q117" s="119"/>
      <c r="R117" s="119"/>
      <c r="S117" s="119"/>
      <c r="T117" s="119"/>
      <c r="U117" s="119"/>
      <c r="V117" s="119"/>
    </row>
    <row r="118" s="88" customFormat="1" ht="28.8" spans="1:16">
      <c r="A118" s="88" t="s">
        <v>227</v>
      </c>
      <c r="B118" s="136" t="s">
        <v>593</v>
      </c>
      <c r="C118" s="88" t="s">
        <v>441</v>
      </c>
      <c r="D118" s="88" t="s">
        <v>234</v>
      </c>
      <c r="E118" s="106">
        <v>0</v>
      </c>
      <c r="F118" s="106">
        <v>261476.083333333</v>
      </c>
      <c r="G118" s="107">
        <v>0.845530512484707</v>
      </c>
      <c r="H118" s="107">
        <v>0.861930595909122</v>
      </c>
      <c r="I118" s="107" t="s">
        <v>180</v>
      </c>
      <c r="J118" s="106" t="s">
        <v>180</v>
      </c>
      <c r="K118" s="122">
        <v>0</v>
      </c>
      <c r="L118" s="88" t="s">
        <v>6150</v>
      </c>
      <c r="M118" s="88" t="s">
        <v>6119</v>
      </c>
      <c r="N118" s="189">
        <v>1308</v>
      </c>
      <c r="O118" s="95" t="s">
        <v>6151</v>
      </c>
      <c r="P118" s="125" t="s">
        <v>6141</v>
      </c>
    </row>
    <row r="119" ht="28.8" spans="1:16">
      <c r="A119" s="89" t="s">
        <v>305</v>
      </c>
      <c r="B119" s="114" t="s">
        <v>594</v>
      </c>
      <c r="C119" s="89" t="s">
        <v>233</v>
      </c>
      <c r="D119" s="89" t="s">
        <v>49</v>
      </c>
      <c r="E119" s="91">
        <v>0</v>
      </c>
      <c r="F119" s="154">
        <v>22632.75</v>
      </c>
      <c r="G119" s="109">
        <v>0.0731871170107843</v>
      </c>
      <c r="H119" s="109">
        <v>0.0663138894422741</v>
      </c>
      <c r="I119" s="109">
        <v>0.00649182222848298</v>
      </c>
      <c r="J119" s="91">
        <v>3394.9125</v>
      </c>
      <c r="K119" s="118">
        <v>0</v>
      </c>
      <c r="L119" s="89" t="s">
        <v>180</v>
      </c>
      <c r="M119" s="89" t="s">
        <v>180</v>
      </c>
      <c r="N119" s="189">
        <v>554</v>
      </c>
      <c r="O119" s="95" t="s">
        <v>6152</v>
      </c>
      <c r="P119" s="124"/>
    </row>
    <row r="120" ht="28.8" spans="1:15">
      <c r="A120" s="89" t="s">
        <v>446</v>
      </c>
      <c r="B120" s="114" t="s">
        <v>5115</v>
      </c>
      <c r="C120" s="89" t="s">
        <v>233</v>
      </c>
      <c r="D120" s="89" t="s">
        <v>302</v>
      </c>
      <c r="E120" s="91">
        <v>0</v>
      </c>
      <c r="F120" s="154">
        <v>18724.6666666667</v>
      </c>
      <c r="G120" s="109">
        <v>0.0605496181560467</v>
      </c>
      <c r="H120" s="109">
        <v>0.0525720217761502</v>
      </c>
      <c r="I120" s="109" t="s">
        <v>180</v>
      </c>
      <c r="J120" s="91" t="s">
        <v>180</v>
      </c>
      <c r="K120" s="118">
        <v>0</v>
      </c>
      <c r="L120" s="89" t="s">
        <v>180</v>
      </c>
      <c r="M120" s="89" t="s">
        <v>180</v>
      </c>
      <c r="N120" s="189">
        <v>428</v>
      </c>
      <c r="O120" s="95" t="s">
        <v>6153</v>
      </c>
    </row>
    <row r="121" ht="14.4" spans="1:15">
      <c r="A121" s="188" t="s">
        <v>243</v>
      </c>
      <c r="B121" s="7" t="s">
        <v>595</v>
      </c>
      <c r="C121" s="89" t="s">
        <v>441</v>
      </c>
      <c r="D121" s="89" t="s">
        <v>420</v>
      </c>
      <c r="E121" s="91">
        <v>0</v>
      </c>
      <c r="F121" s="154">
        <v>6411.5</v>
      </c>
      <c r="G121" s="109">
        <v>0.0207327523484616</v>
      </c>
      <c r="H121" s="109">
        <v>0.019183492872454</v>
      </c>
      <c r="I121" s="109"/>
      <c r="K121" s="118">
        <v>0</v>
      </c>
      <c r="L121" s="89" t="s">
        <v>180</v>
      </c>
      <c r="N121" s="189">
        <v>671</v>
      </c>
      <c r="O121" s="95" t="s">
        <v>4530</v>
      </c>
    </row>
    <row r="122" spans="5:11">
      <c r="E122" s="91"/>
      <c r="F122" s="91">
        <v>309245</v>
      </c>
      <c r="I122" s="109">
        <v>0.00649182222848298</v>
      </c>
      <c r="K122" s="95"/>
    </row>
    <row r="123" spans="5:11">
      <c r="E123" s="91"/>
      <c r="F123" s="109"/>
      <c r="G123" s="109"/>
      <c r="H123" s="109"/>
      <c r="I123" s="109"/>
      <c r="J123" s="109"/>
      <c r="K123" s="95"/>
    </row>
    <row r="124" ht="14.4" customHeight="1" spans="1:22">
      <c r="A124" s="96" t="s">
        <v>162</v>
      </c>
      <c r="B124" s="97"/>
      <c r="C124" s="98"/>
      <c r="E124" s="99" t="s">
        <v>2</v>
      </c>
      <c r="F124" s="100"/>
      <c r="G124" s="100"/>
      <c r="H124" s="100"/>
      <c r="I124" s="115"/>
      <c r="J124" s="100"/>
      <c r="L124" s="102"/>
      <c r="M124" s="102"/>
      <c r="O124" s="128"/>
      <c r="P124" s="128"/>
      <c r="Q124" s="128"/>
      <c r="R124" s="132"/>
      <c r="S124" s="116"/>
      <c r="T124" s="128"/>
      <c r="U124" s="128"/>
      <c r="V124" s="132"/>
    </row>
    <row r="125" ht="46.8" spans="1:22">
      <c r="A125" s="101" t="s">
        <v>6085</v>
      </c>
      <c r="B125" s="102" t="s">
        <v>207</v>
      </c>
      <c r="C125" s="101" t="s">
        <v>447</v>
      </c>
      <c r="D125" s="89" t="s">
        <v>209</v>
      </c>
      <c r="E125" s="101" t="s">
        <v>210</v>
      </c>
      <c r="F125" s="103" t="s">
        <v>6086</v>
      </c>
      <c r="G125" s="104" t="s">
        <v>6087</v>
      </c>
      <c r="H125" s="104" t="s">
        <v>6088</v>
      </c>
      <c r="I125" s="117" t="s">
        <v>6089</v>
      </c>
      <c r="J125" s="91" t="s">
        <v>6090</v>
      </c>
      <c r="K125" s="118" t="s">
        <v>0</v>
      </c>
      <c r="L125" s="119" t="s">
        <v>6091</v>
      </c>
      <c r="M125" s="119" t="s">
        <v>6092</v>
      </c>
      <c r="N125" s="120" t="s">
        <v>224</v>
      </c>
      <c r="O125" s="119" t="s">
        <v>225</v>
      </c>
      <c r="P125" s="120" t="s">
        <v>226</v>
      </c>
      <c r="Q125" s="119"/>
      <c r="R125" s="119"/>
      <c r="S125" s="119"/>
      <c r="T125" s="119"/>
      <c r="U125" s="119"/>
      <c r="V125" s="119"/>
    </row>
    <row r="126" s="88" customFormat="1" ht="28.8" spans="1:16">
      <c r="A126" s="88" t="s">
        <v>227</v>
      </c>
      <c r="B126" s="88" t="s">
        <v>584</v>
      </c>
      <c r="C126" s="88" t="s">
        <v>441</v>
      </c>
      <c r="D126" s="88" t="s">
        <v>234</v>
      </c>
      <c r="E126" s="106">
        <v>0</v>
      </c>
      <c r="F126" s="106">
        <v>197496.416666667</v>
      </c>
      <c r="G126" s="107">
        <v>0.714085732217813</v>
      </c>
      <c r="H126" s="107">
        <v>0.778762675573963</v>
      </c>
      <c r="I126" s="107" t="s">
        <v>180</v>
      </c>
      <c r="J126" s="106" t="s">
        <v>180</v>
      </c>
      <c r="K126" s="122">
        <v>0</v>
      </c>
      <c r="L126" s="88" t="s">
        <v>6154</v>
      </c>
      <c r="M126" s="88" t="s">
        <v>6155</v>
      </c>
      <c r="N126" s="189">
        <v>1268</v>
      </c>
      <c r="O126" s="95" t="s">
        <v>6156</v>
      </c>
      <c r="P126" s="125" t="s">
        <v>6141</v>
      </c>
    </row>
    <row r="127" s="188" customFormat="1" ht="72" spans="1:16">
      <c r="A127" s="192" t="s">
        <v>230</v>
      </c>
      <c r="B127" s="7" t="s">
        <v>586</v>
      </c>
      <c r="C127" s="188">
        <v>0</v>
      </c>
      <c r="D127" s="188" t="s">
        <v>58</v>
      </c>
      <c r="E127" s="154">
        <v>0</v>
      </c>
      <c r="F127" s="154">
        <v>24202.75</v>
      </c>
      <c r="G127" s="193">
        <v>0.0875096305398013</v>
      </c>
      <c r="H127" s="193"/>
      <c r="I127" s="193"/>
      <c r="J127" s="154"/>
      <c r="K127" s="122" t="s">
        <v>6157</v>
      </c>
      <c r="M127" s="188" t="s">
        <v>180</v>
      </c>
      <c r="N127" s="189" t="s">
        <v>5419</v>
      </c>
      <c r="O127" s="194"/>
      <c r="P127" s="194"/>
    </row>
    <row r="128" s="188" customFormat="1" ht="28.8" spans="1:16">
      <c r="A128" s="188" t="s">
        <v>243</v>
      </c>
      <c r="B128" s="188" t="s">
        <v>4562</v>
      </c>
      <c r="C128" s="188" t="s">
        <v>441</v>
      </c>
      <c r="D128" s="188" t="s">
        <v>417</v>
      </c>
      <c r="E128" s="154">
        <v>0</v>
      </c>
      <c r="F128" s="154">
        <v>22862.3333333333</v>
      </c>
      <c r="G128" s="193">
        <v>0.0826630999897857</v>
      </c>
      <c r="H128" s="193">
        <v>0.15334175311311</v>
      </c>
      <c r="I128" s="193" t="s">
        <v>180</v>
      </c>
      <c r="J128" s="154" t="s">
        <v>180</v>
      </c>
      <c r="K128" s="195">
        <v>0</v>
      </c>
      <c r="L128" s="188" t="s">
        <v>180</v>
      </c>
      <c r="M128" s="188" t="s">
        <v>180</v>
      </c>
      <c r="N128" s="189">
        <v>656</v>
      </c>
      <c r="O128" s="194" t="s">
        <v>6158</v>
      </c>
      <c r="P128" s="194"/>
    </row>
    <row r="129" s="188" customFormat="1" ht="14.4" spans="1:16">
      <c r="A129" s="188" t="s">
        <v>446</v>
      </c>
      <c r="B129" s="188" t="s">
        <v>4567</v>
      </c>
      <c r="C129" s="188" t="s">
        <v>233</v>
      </c>
      <c r="D129" s="188" t="s">
        <v>49</v>
      </c>
      <c r="E129" s="154">
        <v>0</v>
      </c>
      <c r="F129" s="154">
        <v>15961</v>
      </c>
      <c r="G129" s="193">
        <v>0.0577100210945355</v>
      </c>
      <c r="H129" s="193">
        <v>0.0657879652500467</v>
      </c>
      <c r="I129" s="193">
        <v>0.00606124921253846</v>
      </c>
      <c r="J129" s="154">
        <v>2394.15</v>
      </c>
      <c r="K129" s="195">
        <v>0</v>
      </c>
      <c r="L129" s="188" t="s">
        <v>180</v>
      </c>
      <c r="M129" s="188" t="s">
        <v>180</v>
      </c>
      <c r="N129" s="189">
        <v>490</v>
      </c>
      <c r="O129" s="194" t="s">
        <v>4052</v>
      </c>
      <c r="P129" s="194"/>
    </row>
    <row r="130" s="188" customFormat="1" ht="14.4" spans="1:16">
      <c r="A130" s="188" t="s">
        <v>230</v>
      </c>
      <c r="B130" s="188" t="s">
        <v>585</v>
      </c>
      <c r="C130" s="188">
        <v>0</v>
      </c>
      <c r="D130" s="188" t="s">
        <v>50</v>
      </c>
      <c r="E130" s="154">
        <v>0</v>
      </c>
      <c r="F130" s="154">
        <v>16049.9166666667</v>
      </c>
      <c r="G130" s="193">
        <v>0.0580315161580647</v>
      </c>
      <c r="H130" s="193"/>
      <c r="I130" s="193">
        <v>0.0121900312959265</v>
      </c>
      <c r="J130" s="154">
        <v>4814.975</v>
      </c>
      <c r="K130" s="122" t="s">
        <v>6123</v>
      </c>
      <c r="L130" s="188" t="s">
        <v>180</v>
      </c>
      <c r="M130" s="188" t="s">
        <v>180</v>
      </c>
      <c r="N130" s="189"/>
      <c r="O130" s="194" t="s">
        <v>6123</v>
      </c>
      <c r="P130" s="194"/>
    </row>
    <row r="131" spans="6:11">
      <c r="F131" s="91">
        <v>276572.416666667</v>
      </c>
      <c r="I131" s="109">
        <v>0.0182512805084649</v>
      </c>
      <c r="K131" s="118"/>
    </row>
    <row r="132" spans="5:11">
      <c r="E132" s="91"/>
      <c r="F132" s="109"/>
      <c r="G132" s="109"/>
      <c r="H132" s="109"/>
      <c r="I132" s="109"/>
      <c r="J132" s="109"/>
      <c r="K132" s="95"/>
    </row>
    <row r="133" spans="3:11">
      <c r="C133" s="139"/>
      <c r="E133" s="91"/>
      <c r="F133" s="109"/>
      <c r="G133" s="109"/>
      <c r="H133" s="109"/>
      <c r="I133" s="109"/>
      <c r="J133" s="109"/>
      <c r="K133" s="95"/>
    </row>
    <row r="134" ht="14.4" customHeight="1" spans="1:22">
      <c r="A134" s="96" t="s">
        <v>177</v>
      </c>
      <c r="B134" s="97"/>
      <c r="C134" s="98"/>
      <c r="E134" s="99" t="s">
        <v>2</v>
      </c>
      <c r="F134" s="100"/>
      <c r="G134" s="100"/>
      <c r="H134" s="100"/>
      <c r="I134" s="115"/>
      <c r="J134" s="100"/>
      <c r="L134" s="102"/>
      <c r="M134" s="102"/>
      <c r="O134" s="128"/>
      <c r="P134" s="128"/>
      <c r="Q134" s="128"/>
      <c r="R134" s="132"/>
      <c r="S134" s="116"/>
      <c r="T134" s="128"/>
      <c r="U134" s="128"/>
      <c r="V134" s="132"/>
    </row>
    <row r="135" ht="46.8" spans="1:22">
      <c r="A135" s="101" t="s">
        <v>6085</v>
      </c>
      <c r="B135" s="102" t="s">
        <v>207</v>
      </c>
      <c r="C135" s="101" t="s">
        <v>447</v>
      </c>
      <c r="D135" s="89" t="s">
        <v>209</v>
      </c>
      <c r="E135" s="101" t="s">
        <v>210</v>
      </c>
      <c r="F135" s="103" t="s">
        <v>6086</v>
      </c>
      <c r="G135" s="104" t="s">
        <v>6087</v>
      </c>
      <c r="H135" s="104" t="s">
        <v>6088</v>
      </c>
      <c r="I135" s="117" t="s">
        <v>6089</v>
      </c>
      <c r="J135" s="91" t="s">
        <v>6090</v>
      </c>
      <c r="L135" s="119" t="s">
        <v>6091</v>
      </c>
      <c r="M135" s="119" t="s">
        <v>6092</v>
      </c>
      <c r="N135" s="120" t="s">
        <v>224</v>
      </c>
      <c r="O135" s="120" t="s">
        <v>226</v>
      </c>
      <c r="P135" s="120" t="s">
        <v>226</v>
      </c>
      <c r="Q135" s="119"/>
      <c r="R135" s="119"/>
      <c r="S135" s="119"/>
      <c r="T135" s="119"/>
      <c r="U135" s="119"/>
      <c r="V135" s="119"/>
    </row>
    <row r="136" ht="14.4" spans="1:15">
      <c r="A136" s="89" t="s">
        <v>4573</v>
      </c>
      <c r="B136" s="108" t="s">
        <v>605</v>
      </c>
      <c r="C136" s="89" t="s">
        <v>441</v>
      </c>
      <c r="D136" s="89" t="s">
        <v>234</v>
      </c>
      <c r="E136" s="91">
        <v>0</v>
      </c>
      <c r="F136" s="91">
        <v>22648.9166666667</v>
      </c>
      <c r="G136" s="109"/>
      <c r="H136" s="109"/>
      <c r="I136" s="109" t="s">
        <v>180</v>
      </c>
      <c r="J136" s="91" t="s">
        <v>180</v>
      </c>
      <c r="K136" s="118">
        <v>0</v>
      </c>
      <c r="L136" s="89" t="s">
        <v>180</v>
      </c>
      <c r="M136" s="89" t="s">
        <v>180</v>
      </c>
      <c r="N136" s="189">
        <v>848</v>
      </c>
      <c r="O136" s="95">
        <v>0</v>
      </c>
    </row>
    <row r="137" s="88" customFormat="1" ht="14.4" spans="1:16">
      <c r="A137" s="88" t="s">
        <v>227</v>
      </c>
      <c r="B137" s="105" t="s">
        <v>598</v>
      </c>
      <c r="C137" s="88" t="s">
        <v>441</v>
      </c>
      <c r="D137" s="88" t="s">
        <v>234</v>
      </c>
      <c r="E137" s="106">
        <v>0</v>
      </c>
      <c r="F137" s="106">
        <v>94338.0833333333</v>
      </c>
      <c r="G137" s="107">
        <v>0.632665230760289</v>
      </c>
      <c r="H137" s="107">
        <v>0.667260229262426</v>
      </c>
      <c r="I137" s="107" t="s">
        <v>180</v>
      </c>
      <c r="J137" s="106" t="s">
        <v>180</v>
      </c>
      <c r="K137" s="122"/>
      <c r="L137" s="88" t="s">
        <v>6159</v>
      </c>
      <c r="M137" s="88" t="s">
        <v>6134</v>
      </c>
      <c r="N137" s="190">
        <v>944</v>
      </c>
      <c r="O137" s="126" t="s">
        <v>4052</v>
      </c>
      <c r="P137" s="124">
        <v>0</v>
      </c>
    </row>
    <row r="138" ht="14.4" spans="1:16">
      <c r="A138" s="89" t="s">
        <v>230</v>
      </c>
      <c r="B138" s="108" t="s">
        <v>599</v>
      </c>
      <c r="C138" s="89" t="s">
        <v>233</v>
      </c>
      <c r="D138" s="89" t="s">
        <v>58</v>
      </c>
      <c r="E138" s="91">
        <v>0</v>
      </c>
      <c r="F138" s="91">
        <v>15291.25</v>
      </c>
      <c r="G138" s="109">
        <v>0.102548640676538</v>
      </c>
      <c r="H138" s="109">
        <v>0.135229487829112</v>
      </c>
      <c r="I138" s="109">
        <v>0.101271400030171</v>
      </c>
      <c r="J138" s="91">
        <v>4587.375</v>
      </c>
      <c r="K138" s="118">
        <v>0</v>
      </c>
      <c r="L138" s="89" t="s">
        <v>180</v>
      </c>
      <c r="M138" s="89" t="s">
        <v>180</v>
      </c>
      <c r="N138" s="189">
        <v>356</v>
      </c>
      <c r="O138" s="95" t="s">
        <v>6160</v>
      </c>
      <c r="P138" s="124"/>
    </row>
    <row r="139" ht="43.2" spans="1:15">
      <c r="A139" s="89" t="s">
        <v>230</v>
      </c>
      <c r="B139" s="108" t="s">
        <v>602</v>
      </c>
      <c r="C139" s="89" t="s">
        <v>233</v>
      </c>
      <c r="D139" s="89" t="s">
        <v>420</v>
      </c>
      <c r="E139" s="91">
        <v>0</v>
      </c>
      <c r="F139" s="91">
        <v>18421.5</v>
      </c>
      <c r="G139" s="109">
        <v>0.123541226794594</v>
      </c>
      <c r="H139" s="109">
        <v>0.0584813933904476</v>
      </c>
      <c r="I139" s="109" t="s">
        <v>180</v>
      </c>
      <c r="J139" s="91" t="s">
        <v>180</v>
      </c>
      <c r="K139" s="118" t="s">
        <v>6161</v>
      </c>
      <c r="L139" s="89" t="s">
        <v>180</v>
      </c>
      <c r="M139" s="89" t="s">
        <v>180</v>
      </c>
      <c r="N139" s="189">
        <v>230</v>
      </c>
      <c r="O139" s="95" t="s">
        <v>6162</v>
      </c>
    </row>
    <row r="140" ht="14.4" spans="1:15">
      <c r="A140" s="89" t="s">
        <v>230</v>
      </c>
      <c r="B140" s="108" t="s">
        <v>4588</v>
      </c>
      <c r="C140" s="89" t="s">
        <v>233</v>
      </c>
      <c r="D140" s="89" t="s">
        <v>60</v>
      </c>
      <c r="E140" s="91">
        <v>0</v>
      </c>
      <c r="F140" s="91">
        <v>6050</v>
      </c>
      <c r="G140" s="109">
        <v>0.0405734832726594</v>
      </c>
      <c r="H140" s="109">
        <v>0.00919646350897377</v>
      </c>
      <c r="I140" s="109">
        <v>0.0400681415961764</v>
      </c>
      <c r="J140" s="91">
        <v>1815</v>
      </c>
      <c r="K140" s="118">
        <v>0</v>
      </c>
      <c r="L140" s="89" t="s">
        <v>180</v>
      </c>
      <c r="M140" s="89" t="s">
        <v>180</v>
      </c>
      <c r="N140" s="189">
        <v>281</v>
      </c>
      <c r="O140" s="95" t="s">
        <v>4052</v>
      </c>
    </row>
    <row r="141" ht="28.8" spans="1:15">
      <c r="A141" s="111" t="s">
        <v>468</v>
      </c>
      <c r="B141" s="108" t="s">
        <v>603</v>
      </c>
      <c r="C141" s="89" t="s">
        <v>233</v>
      </c>
      <c r="D141" s="89" t="s">
        <v>58</v>
      </c>
      <c r="E141" s="91">
        <v>0</v>
      </c>
      <c r="F141" s="91">
        <v>15011.3333333333</v>
      </c>
      <c r="G141" s="109">
        <v>0.10067141849592</v>
      </c>
      <c r="H141" s="109">
        <v>0.129832426009041</v>
      </c>
      <c r="I141" s="109">
        <v>0.0994175586028765</v>
      </c>
      <c r="J141" s="91">
        <v>4503.4</v>
      </c>
      <c r="K141" s="118">
        <v>0</v>
      </c>
      <c r="L141" s="89" t="s">
        <v>180</v>
      </c>
      <c r="M141" s="89" t="s">
        <v>180</v>
      </c>
      <c r="N141" s="189">
        <v>684</v>
      </c>
      <c r="O141" s="95" t="s">
        <v>6163</v>
      </c>
    </row>
    <row r="142" spans="5:12">
      <c r="E142" s="91"/>
      <c r="F142" s="91">
        <v>149112.166666667</v>
      </c>
      <c r="I142" s="109">
        <v>0.240757100229224</v>
      </c>
      <c r="K142" s="118"/>
      <c r="L142" s="95"/>
    </row>
    <row r="143" spans="5:12">
      <c r="E143" s="91"/>
      <c r="I143" s="109"/>
      <c r="K143" s="118"/>
      <c r="L143" s="95"/>
    </row>
    <row r="144" ht="14.4" customHeight="1" spans="1:22">
      <c r="A144" s="96" t="s">
        <v>171</v>
      </c>
      <c r="B144" s="97"/>
      <c r="C144" s="98"/>
      <c r="E144" s="99" t="s">
        <v>2</v>
      </c>
      <c r="F144" s="100"/>
      <c r="G144" s="100"/>
      <c r="H144" s="100"/>
      <c r="I144" s="100"/>
      <c r="J144" s="100"/>
      <c r="K144" s="95"/>
      <c r="L144" s="102"/>
      <c r="M144" s="102"/>
      <c r="O144" s="128"/>
      <c r="P144" s="128"/>
      <c r="Q144" s="128"/>
      <c r="R144" s="132"/>
      <c r="S144" s="116"/>
      <c r="T144" s="128"/>
      <c r="U144" s="128"/>
      <c r="V144" s="132"/>
    </row>
    <row r="145" ht="46.8" spans="1:22">
      <c r="A145" s="101" t="s">
        <v>6085</v>
      </c>
      <c r="B145" s="102" t="s">
        <v>207</v>
      </c>
      <c r="C145" s="101" t="s">
        <v>447</v>
      </c>
      <c r="D145" s="89" t="s">
        <v>209</v>
      </c>
      <c r="E145" s="101" t="s">
        <v>210</v>
      </c>
      <c r="F145" s="103" t="s">
        <v>6086</v>
      </c>
      <c r="G145" s="104" t="s">
        <v>6087</v>
      </c>
      <c r="H145" s="104" t="s">
        <v>6088</v>
      </c>
      <c r="K145" s="118" t="s">
        <v>0</v>
      </c>
      <c r="L145" s="119" t="s">
        <v>6091</v>
      </c>
      <c r="M145" s="119" t="s">
        <v>6092</v>
      </c>
      <c r="N145" s="120" t="s">
        <v>224</v>
      </c>
      <c r="O145" s="119" t="s">
        <v>225</v>
      </c>
      <c r="P145" s="120" t="s">
        <v>226</v>
      </c>
      <c r="Q145" s="119"/>
      <c r="R145" s="119"/>
      <c r="S145" s="119"/>
      <c r="T145" s="119"/>
      <c r="U145" s="119"/>
      <c r="V145" s="119"/>
    </row>
    <row r="146" ht="14.4" spans="1:15">
      <c r="A146" s="89" t="s">
        <v>230</v>
      </c>
      <c r="B146" s="108" t="s">
        <v>578</v>
      </c>
      <c r="C146" s="89" t="s">
        <v>233</v>
      </c>
      <c r="D146" s="89" t="s">
        <v>371</v>
      </c>
      <c r="E146" s="91">
        <v>0</v>
      </c>
      <c r="F146" s="91">
        <v>117013.083333333</v>
      </c>
      <c r="G146" s="109">
        <v>0.359868257837792</v>
      </c>
      <c r="H146" s="109">
        <v>0.349489821150237</v>
      </c>
      <c r="K146" s="118">
        <v>0</v>
      </c>
      <c r="L146" s="89" t="s">
        <v>180</v>
      </c>
      <c r="M146" s="89" t="s">
        <v>180</v>
      </c>
      <c r="N146" s="189">
        <v>830</v>
      </c>
      <c r="O146" s="95" t="s">
        <v>4598</v>
      </c>
    </row>
    <row r="147" ht="28.8" spans="1:15">
      <c r="A147" s="89" t="s">
        <v>230</v>
      </c>
      <c r="B147" s="114" t="s">
        <v>311</v>
      </c>
      <c r="C147" s="89" t="s">
        <v>441</v>
      </c>
      <c r="D147" s="89" t="s">
        <v>420</v>
      </c>
      <c r="E147" s="91">
        <v>0</v>
      </c>
      <c r="F147" s="91">
        <v>43942.25</v>
      </c>
      <c r="G147" s="109">
        <v>0.135142331972616</v>
      </c>
      <c r="H147" s="109">
        <v>0.105882140383949</v>
      </c>
      <c r="K147" s="118">
        <v>0</v>
      </c>
      <c r="L147" s="89" t="s">
        <v>180</v>
      </c>
      <c r="M147" s="89" t="s">
        <v>180</v>
      </c>
      <c r="N147" s="189">
        <v>682</v>
      </c>
      <c r="O147" s="95" t="s">
        <v>6164</v>
      </c>
    </row>
    <row r="148" ht="43.2" spans="1:15">
      <c r="A148" s="89" t="s">
        <v>243</v>
      </c>
      <c r="B148" s="108" t="s">
        <v>314</v>
      </c>
      <c r="C148" s="89" t="s">
        <v>441</v>
      </c>
      <c r="D148" s="89" t="s">
        <v>50</v>
      </c>
      <c r="E148" s="91">
        <v>0</v>
      </c>
      <c r="F148" s="91">
        <v>16480.5</v>
      </c>
      <c r="G148" s="109">
        <v>0.0506850059356246</v>
      </c>
      <c r="H148" s="109">
        <v>0.0695000074511393</v>
      </c>
      <c r="K148" s="118">
        <v>0</v>
      </c>
      <c r="L148" s="89" t="s">
        <v>180</v>
      </c>
      <c r="M148" s="89" t="s">
        <v>180</v>
      </c>
      <c r="N148" s="189">
        <v>333</v>
      </c>
      <c r="O148" s="95" t="s">
        <v>6165</v>
      </c>
    </row>
    <row r="149" ht="28.8" spans="1:15">
      <c r="A149" s="89" t="s">
        <v>230</v>
      </c>
      <c r="B149" s="89" t="s">
        <v>4608</v>
      </c>
      <c r="C149" s="89" t="s">
        <v>233</v>
      </c>
      <c r="D149" s="89" t="s">
        <v>426</v>
      </c>
      <c r="E149" s="91">
        <v>0</v>
      </c>
      <c r="F149" s="91">
        <v>115382</v>
      </c>
      <c r="G149" s="109">
        <v>0.354851937432981</v>
      </c>
      <c r="H149" s="109">
        <v>0.391733165337616</v>
      </c>
      <c r="K149" s="118">
        <v>0</v>
      </c>
      <c r="L149" s="89" t="s">
        <v>180</v>
      </c>
      <c r="M149" s="89" t="s">
        <v>180</v>
      </c>
      <c r="N149" s="189">
        <v>0</v>
      </c>
      <c r="O149" s="95" t="s">
        <v>6166</v>
      </c>
    </row>
    <row r="150" ht="14.4" spans="1:15">
      <c r="A150" s="89" t="s">
        <v>243</v>
      </c>
      <c r="B150" s="89" t="s">
        <v>388</v>
      </c>
      <c r="C150" s="89" t="s">
        <v>441</v>
      </c>
      <c r="D150" s="89" t="s">
        <v>49</v>
      </c>
      <c r="E150" s="91">
        <v>0</v>
      </c>
      <c r="F150" s="91">
        <v>16265.75</v>
      </c>
      <c r="G150" s="109">
        <v>0.0500245523677914</v>
      </c>
      <c r="H150" s="109">
        <v>0.0331513716756214</v>
      </c>
      <c r="K150" s="118">
        <v>0</v>
      </c>
      <c r="L150" s="89" t="s">
        <v>180</v>
      </c>
      <c r="M150" s="89" t="s">
        <v>180</v>
      </c>
      <c r="N150" s="189">
        <v>147</v>
      </c>
      <c r="O150" s="95">
        <v>0</v>
      </c>
    </row>
    <row r="151" s="95" customFormat="1" ht="57.6" spans="1:15">
      <c r="A151" s="95" t="s">
        <v>446</v>
      </c>
      <c r="B151" s="95" t="s">
        <v>4612</v>
      </c>
      <c r="C151" s="95">
        <v>0</v>
      </c>
      <c r="D151" s="95" t="s">
        <v>266</v>
      </c>
      <c r="E151" s="118">
        <v>0</v>
      </c>
      <c r="F151" s="118">
        <v>8072.08333333333</v>
      </c>
      <c r="G151" s="94">
        <v>0.0248253142600562</v>
      </c>
      <c r="H151" s="94"/>
      <c r="I151" s="196"/>
      <c r="J151" s="118"/>
      <c r="K151" s="122" t="s">
        <v>6122</v>
      </c>
      <c r="L151" s="95" t="s">
        <v>180</v>
      </c>
      <c r="M151" s="95" t="s">
        <v>180</v>
      </c>
      <c r="N151" s="197"/>
      <c r="O151" s="95" t="s">
        <v>6167</v>
      </c>
    </row>
    <row r="152" s="88" customFormat="1" ht="14.4" spans="1:16">
      <c r="A152" s="88" t="s">
        <v>227</v>
      </c>
      <c r="B152" s="105" t="s">
        <v>4615</v>
      </c>
      <c r="C152" s="88" t="s">
        <v>233</v>
      </c>
      <c r="D152" s="88" t="s">
        <v>234</v>
      </c>
      <c r="E152" s="106">
        <v>0</v>
      </c>
      <c r="F152" s="106">
        <v>0</v>
      </c>
      <c r="G152" s="107">
        <v>0</v>
      </c>
      <c r="H152" s="107">
        <v>0</v>
      </c>
      <c r="I152" s="110"/>
      <c r="J152" s="106"/>
      <c r="K152" s="122" t="s">
        <v>4392</v>
      </c>
      <c r="L152" s="88" t="s">
        <v>6168</v>
      </c>
      <c r="M152" s="88" t="s">
        <v>6102</v>
      </c>
      <c r="N152" s="190">
        <v>11</v>
      </c>
      <c r="O152" s="126" t="s">
        <v>4616</v>
      </c>
      <c r="P152" s="126"/>
    </row>
    <row r="153" s="88" customFormat="1" ht="14.4" spans="1:16">
      <c r="A153" s="88" t="s">
        <v>227</v>
      </c>
      <c r="B153" s="105" t="s">
        <v>172</v>
      </c>
      <c r="C153" s="88" t="s">
        <v>441</v>
      </c>
      <c r="E153" s="106">
        <v>0</v>
      </c>
      <c r="F153" s="106">
        <v>7999.66666666667</v>
      </c>
      <c r="G153" s="107">
        <v>0.0246026001931385</v>
      </c>
      <c r="H153" s="107">
        <v>0.0369219119280608</v>
      </c>
      <c r="I153" s="110"/>
      <c r="J153" s="106"/>
      <c r="K153" s="122">
        <v>0</v>
      </c>
      <c r="L153" s="145" t="s">
        <v>313</v>
      </c>
      <c r="M153" s="88" t="s">
        <v>180</v>
      </c>
      <c r="N153" s="190">
        <v>49</v>
      </c>
      <c r="O153" s="126">
        <v>0</v>
      </c>
      <c r="P153" s="124">
        <v>0</v>
      </c>
    </row>
    <row r="154" spans="5:12">
      <c r="E154" s="91"/>
      <c r="F154" s="91">
        <v>325155.333333333</v>
      </c>
      <c r="I154" s="109"/>
      <c r="K154" s="118"/>
      <c r="L154" s="95"/>
    </row>
    <row r="155" ht="14.4" customHeight="1" spans="1:22">
      <c r="A155" s="96" t="s">
        <v>191</v>
      </c>
      <c r="B155" s="97"/>
      <c r="C155" s="98"/>
      <c r="E155" s="99" t="s">
        <v>2</v>
      </c>
      <c r="F155" s="100"/>
      <c r="G155" s="100"/>
      <c r="H155" s="100"/>
      <c r="I155" s="100"/>
      <c r="J155" s="100"/>
      <c r="K155" s="95"/>
      <c r="L155" s="102"/>
      <c r="M155" s="102"/>
      <c r="O155" s="128"/>
      <c r="P155" s="128"/>
      <c r="Q155" s="128"/>
      <c r="R155" s="132"/>
      <c r="S155" s="116"/>
      <c r="T155" s="128"/>
      <c r="U155" s="128"/>
      <c r="V155" s="132"/>
    </row>
    <row r="156" ht="46.8" spans="1:22">
      <c r="A156" s="101" t="s">
        <v>6085</v>
      </c>
      <c r="B156" s="102" t="s">
        <v>207</v>
      </c>
      <c r="C156" s="101" t="s">
        <v>447</v>
      </c>
      <c r="D156" s="89" t="s">
        <v>209</v>
      </c>
      <c r="E156" s="101" t="s">
        <v>210</v>
      </c>
      <c r="F156" s="103" t="s">
        <v>6086</v>
      </c>
      <c r="G156" s="104" t="s">
        <v>6087</v>
      </c>
      <c r="H156" s="104" t="s">
        <v>6088</v>
      </c>
      <c r="K156" s="118" t="s">
        <v>0</v>
      </c>
      <c r="L156" s="119" t="s">
        <v>6091</v>
      </c>
      <c r="M156" s="119" t="s">
        <v>6092</v>
      </c>
      <c r="N156" s="120" t="s">
        <v>224</v>
      </c>
      <c r="O156" s="119" t="s">
        <v>225</v>
      </c>
      <c r="P156" s="120" t="s">
        <v>226</v>
      </c>
      <c r="Q156" s="119"/>
      <c r="R156" s="119"/>
      <c r="S156" s="119"/>
      <c r="T156" s="119"/>
      <c r="U156" s="119"/>
      <c r="V156" s="119"/>
    </row>
    <row r="157" ht="14.4" spans="1:15">
      <c r="A157" s="89" t="s">
        <v>325</v>
      </c>
      <c r="B157" s="89" t="s">
        <v>606</v>
      </c>
      <c r="C157" s="89" t="s">
        <v>441</v>
      </c>
      <c r="D157" s="89" t="s">
        <v>422</v>
      </c>
      <c r="E157" s="91">
        <v>0</v>
      </c>
      <c r="F157" s="91">
        <v>141248.75</v>
      </c>
      <c r="G157" s="109">
        <v>0.907442702115243</v>
      </c>
      <c r="H157" s="109">
        <v>0.865470698925353</v>
      </c>
      <c r="K157" s="118">
        <v>0</v>
      </c>
      <c r="L157" s="89" t="s">
        <v>180</v>
      </c>
      <c r="M157" s="89" t="s">
        <v>180</v>
      </c>
      <c r="N157" s="189">
        <v>1224</v>
      </c>
      <c r="O157" s="95">
        <v>0</v>
      </c>
    </row>
    <row r="158" ht="14.4" spans="1:15">
      <c r="A158" s="111" t="s">
        <v>230</v>
      </c>
      <c r="B158" s="89" t="s">
        <v>607</v>
      </c>
      <c r="C158" s="89" t="s">
        <v>233</v>
      </c>
      <c r="D158" s="89" t="s">
        <v>60</v>
      </c>
      <c r="E158" s="91">
        <v>0</v>
      </c>
      <c r="F158" s="91">
        <v>1650</v>
      </c>
      <c r="G158" s="109">
        <v>0.0106003094433767</v>
      </c>
      <c r="H158" s="109">
        <v>0.021512606209018</v>
      </c>
      <c r="K158" s="118">
        <v>0</v>
      </c>
      <c r="L158" s="89" t="s">
        <v>180</v>
      </c>
      <c r="M158" s="89" t="s">
        <v>180</v>
      </c>
      <c r="N158" s="189">
        <v>268</v>
      </c>
      <c r="O158" s="95">
        <v>0</v>
      </c>
    </row>
    <row r="159" ht="14.4" spans="1:15">
      <c r="A159" s="89" t="s">
        <v>2624</v>
      </c>
      <c r="B159" s="89" t="s">
        <v>465</v>
      </c>
      <c r="C159" s="89" t="s">
        <v>441</v>
      </c>
      <c r="D159" s="89">
        <v>0</v>
      </c>
      <c r="E159" s="91">
        <v>0</v>
      </c>
      <c r="F159" s="91">
        <v>14620</v>
      </c>
      <c r="G159" s="109"/>
      <c r="H159" s="109"/>
      <c r="K159" s="118">
        <v>0</v>
      </c>
      <c r="L159" s="89" t="s">
        <v>180</v>
      </c>
      <c r="M159" s="89" t="s">
        <v>180</v>
      </c>
      <c r="N159" s="189">
        <v>296</v>
      </c>
      <c r="O159" s="95">
        <v>0</v>
      </c>
    </row>
    <row r="160" ht="14.4" spans="1:15">
      <c r="A160" s="89" t="s">
        <v>325</v>
      </c>
      <c r="B160" s="108" t="s">
        <v>608</v>
      </c>
      <c r="C160" s="89" t="s">
        <v>441</v>
      </c>
      <c r="D160" s="89" t="s">
        <v>49</v>
      </c>
      <c r="E160" s="91">
        <v>0</v>
      </c>
      <c r="F160" s="91">
        <v>12757.0833333333</v>
      </c>
      <c r="G160" s="109">
        <v>0.0819569884413797</v>
      </c>
      <c r="H160" s="109">
        <v>0.113016694865629</v>
      </c>
      <c r="K160" s="118">
        <v>0</v>
      </c>
      <c r="L160" s="89" t="s">
        <v>180</v>
      </c>
      <c r="M160" s="89" t="s">
        <v>180</v>
      </c>
      <c r="N160" s="189">
        <v>122</v>
      </c>
      <c r="O160" s="95">
        <v>0</v>
      </c>
    </row>
    <row r="161" ht="14.4" spans="2:14">
      <c r="B161" s="108"/>
      <c r="C161" s="89"/>
      <c r="E161" s="91"/>
      <c r="G161" s="109"/>
      <c r="H161" s="109"/>
      <c r="K161" s="118"/>
      <c r="N161" s="189"/>
    </row>
    <row r="162" spans="6:6">
      <c r="F162" s="140">
        <v>155655.833333333</v>
      </c>
    </row>
    <row r="163" spans="3:11">
      <c r="C163" s="139"/>
      <c r="E163" s="91"/>
      <c r="F163" s="109"/>
      <c r="G163" s="109"/>
      <c r="H163" s="109"/>
      <c r="I163" s="109"/>
      <c r="J163" s="109"/>
      <c r="K163" s="147"/>
    </row>
    <row r="164" spans="2:11">
      <c r="B164" s="108"/>
      <c r="E164" s="91"/>
      <c r="K164" s="95"/>
    </row>
    <row r="165" ht="14.4" customHeight="1" spans="1:22">
      <c r="A165" s="96" t="s">
        <v>189</v>
      </c>
      <c r="B165" s="97"/>
      <c r="C165" s="98"/>
      <c r="E165" s="99" t="s">
        <v>2</v>
      </c>
      <c r="F165" s="100"/>
      <c r="G165" s="100"/>
      <c r="H165" s="100"/>
      <c r="I165" s="100"/>
      <c r="J165" s="100"/>
      <c r="K165" s="95"/>
      <c r="L165" s="102"/>
      <c r="M165" s="102"/>
      <c r="O165" s="128"/>
      <c r="P165" s="128"/>
      <c r="Q165" s="128"/>
      <c r="R165" s="132"/>
      <c r="S165" s="116"/>
      <c r="T165" s="128"/>
      <c r="U165" s="128"/>
      <c r="V165" s="132"/>
    </row>
    <row r="166" ht="46.8" spans="1:22">
      <c r="A166" s="101" t="s">
        <v>6085</v>
      </c>
      <c r="B166" s="102" t="s">
        <v>207</v>
      </c>
      <c r="C166" s="101" t="s">
        <v>447</v>
      </c>
      <c r="D166" s="89" t="s">
        <v>209</v>
      </c>
      <c r="E166" s="101" t="s">
        <v>210</v>
      </c>
      <c r="F166" s="103" t="s">
        <v>6086</v>
      </c>
      <c r="G166" s="104" t="s">
        <v>6087</v>
      </c>
      <c r="H166" s="104" t="s">
        <v>6088</v>
      </c>
      <c r="K166" s="118" t="s">
        <v>0</v>
      </c>
      <c r="L166" s="119" t="s">
        <v>6091</v>
      </c>
      <c r="M166" s="119" t="s">
        <v>6092</v>
      </c>
      <c r="N166" s="120" t="s">
        <v>224</v>
      </c>
      <c r="O166" s="119" t="s">
        <v>225</v>
      </c>
      <c r="P166" s="120" t="s">
        <v>226</v>
      </c>
      <c r="Q166" s="119"/>
      <c r="R166" s="119"/>
      <c r="S166" s="119"/>
      <c r="T166" s="119"/>
      <c r="U166" s="119"/>
      <c r="V166" s="119"/>
    </row>
    <row r="167" ht="14.4" spans="1:14">
      <c r="A167" s="89" t="s">
        <v>325</v>
      </c>
      <c r="B167" s="89" t="s">
        <v>466</v>
      </c>
      <c r="C167" s="89" t="s">
        <v>467</v>
      </c>
      <c r="D167" s="89" t="s">
        <v>234</v>
      </c>
      <c r="E167" s="91">
        <v>0</v>
      </c>
      <c r="F167" s="91">
        <v>183348.916666667</v>
      </c>
      <c r="K167" s="118"/>
      <c r="L167" s="89" t="s">
        <v>180</v>
      </c>
      <c r="M167" s="89" t="s">
        <v>180</v>
      </c>
      <c r="N167" s="189">
        <v>635</v>
      </c>
    </row>
    <row r="168" ht="14.4" spans="1:14">
      <c r="A168" s="89" t="s">
        <v>230</v>
      </c>
      <c r="B168" s="89" t="s">
        <v>609</v>
      </c>
      <c r="C168" s="89" t="s">
        <v>233</v>
      </c>
      <c r="D168" s="89" t="s">
        <v>411</v>
      </c>
      <c r="E168" s="91">
        <v>0</v>
      </c>
      <c r="F168" s="91">
        <v>52046.75</v>
      </c>
      <c r="G168" s="109">
        <v>0.288579068255568</v>
      </c>
      <c r="H168" s="109">
        <v>0.340135136935881</v>
      </c>
      <c r="K168" s="118">
        <v>0</v>
      </c>
      <c r="L168" s="89" t="s">
        <v>180</v>
      </c>
      <c r="M168" s="89" t="s">
        <v>180</v>
      </c>
      <c r="N168" s="189">
        <v>533</v>
      </c>
    </row>
    <row r="169" ht="14.4" spans="1:14">
      <c r="A169" s="89" t="s">
        <v>243</v>
      </c>
      <c r="B169" s="89" t="s">
        <v>610</v>
      </c>
      <c r="C169" s="89" t="s">
        <v>454</v>
      </c>
      <c r="D169" s="89" t="s">
        <v>420</v>
      </c>
      <c r="E169" s="91">
        <v>0</v>
      </c>
      <c r="F169" s="91">
        <v>57272.3333333333</v>
      </c>
      <c r="G169" s="109">
        <v>0.31755290369054</v>
      </c>
      <c r="H169" s="109">
        <v>0.264297981264317</v>
      </c>
      <c r="K169" s="118">
        <v>0</v>
      </c>
      <c r="L169" s="89" t="s">
        <v>180</v>
      </c>
      <c r="M169" s="89" t="s">
        <v>180</v>
      </c>
      <c r="N169" s="189">
        <v>1137</v>
      </c>
    </row>
    <row r="170" ht="14.4" spans="1:14">
      <c r="A170" s="89" t="s">
        <v>230</v>
      </c>
      <c r="B170" s="89" t="s">
        <v>611</v>
      </c>
      <c r="C170" s="89" t="s">
        <v>233</v>
      </c>
      <c r="D170" s="89" t="s">
        <v>414</v>
      </c>
      <c r="E170" s="91">
        <v>0</v>
      </c>
      <c r="F170" s="91">
        <v>57113.0833333333</v>
      </c>
      <c r="G170" s="109">
        <v>0.316669924126596</v>
      </c>
      <c r="H170" s="109">
        <v>0.255654967532166</v>
      </c>
      <c r="K170" s="118">
        <v>0</v>
      </c>
      <c r="L170" s="89" t="s">
        <v>180</v>
      </c>
      <c r="M170" s="89" t="s">
        <v>180</v>
      </c>
      <c r="N170" s="189">
        <v>289</v>
      </c>
    </row>
    <row r="171" ht="31.5" hidden="1" customHeight="1" spans="3:14">
      <c r="C171" s="89" t="e">
        <v>#N/A</v>
      </c>
      <c r="E171" s="91" t="e">
        <v>#N/A</v>
      </c>
      <c r="G171" s="109"/>
      <c r="H171" s="109"/>
      <c r="K171" s="118"/>
      <c r="N171" s="189"/>
    </row>
    <row r="172" ht="14.4" hidden="1" spans="3:14">
      <c r="C172" s="89" t="e">
        <v>#N/A</v>
      </c>
      <c r="E172" s="91" t="e">
        <v>#N/A</v>
      </c>
      <c r="G172" s="109"/>
      <c r="H172" s="109"/>
      <c r="K172" s="118"/>
      <c r="N172" s="189"/>
    </row>
    <row r="173" ht="14.4" spans="1:14">
      <c r="A173" s="111" t="s">
        <v>468</v>
      </c>
      <c r="B173" s="89" t="s">
        <v>612</v>
      </c>
      <c r="C173" s="89" t="s">
        <v>233</v>
      </c>
      <c r="D173" s="89" t="s">
        <v>49</v>
      </c>
      <c r="E173" s="91">
        <v>0</v>
      </c>
      <c r="F173" s="91">
        <v>13923.0833333333</v>
      </c>
      <c r="G173" s="109">
        <v>0.0771981039272953</v>
      </c>
      <c r="H173" s="109">
        <v>0.0278814319362669</v>
      </c>
      <c r="K173" s="118">
        <v>0</v>
      </c>
      <c r="L173" s="89" t="s">
        <v>180</v>
      </c>
      <c r="M173" s="89" t="s">
        <v>180</v>
      </c>
      <c r="N173" s="189">
        <v>263</v>
      </c>
    </row>
    <row r="174" s="88" customFormat="1" ht="14.4" spans="2:16">
      <c r="B174" s="141"/>
      <c r="D174" s="89"/>
      <c r="E174" s="106"/>
      <c r="F174" s="106"/>
      <c r="G174" s="107"/>
      <c r="H174" s="107"/>
      <c r="I174" s="110"/>
      <c r="J174" s="106"/>
      <c r="K174" s="122"/>
      <c r="N174" s="189"/>
      <c r="O174" s="95"/>
      <c r="P174" s="126"/>
    </row>
    <row r="175" spans="5:11">
      <c r="E175" s="91"/>
      <c r="F175" s="91">
        <v>180355.25</v>
      </c>
      <c r="K175" s="95"/>
    </row>
    <row r="176" spans="5:9">
      <c r="E176" s="91"/>
      <c r="F176" s="109"/>
      <c r="G176" s="109"/>
      <c r="H176" s="109"/>
      <c r="I176" s="109"/>
    </row>
    <row r="177" spans="5:5">
      <c r="E177" s="91"/>
    </row>
    <row r="178" ht="14.4" customHeight="1" spans="1:22">
      <c r="A178" s="96" t="s">
        <v>185</v>
      </c>
      <c r="B178" s="97"/>
      <c r="C178" s="98"/>
      <c r="E178" s="99" t="s">
        <v>2</v>
      </c>
      <c r="F178" s="100"/>
      <c r="G178" s="100"/>
      <c r="H178" s="100"/>
      <c r="I178" s="115"/>
      <c r="J178" s="100"/>
      <c r="K178" s="95"/>
      <c r="L178" s="102"/>
      <c r="M178" s="102"/>
      <c r="O178" s="128"/>
      <c r="P178" s="128"/>
      <c r="Q178" s="128"/>
      <c r="R178" s="132"/>
      <c r="S178" s="116"/>
      <c r="T178" s="128"/>
      <c r="U178" s="128"/>
      <c r="V178" s="132"/>
    </row>
    <row r="179" ht="46.8" spans="1:22">
      <c r="A179" s="101" t="s">
        <v>6085</v>
      </c>
      <c r="B179" s="102" t="s">
        <v>207</v>
      </c>
      <c r="C179" s="101" t="s">
        <v>447</v>
      </c>
      <c r="D179" s="89" t="s">
        <v>209</v>
      </c>
      <c r="E179" s="101" t="s">
        <v>210</v>
      </c>
      <c r="F179" s="103" t="s">
        <v>6086</v>
      </c>
      <c r="G179" s="104" t="s">
        <v>6087</v>
      </c>
      <c r="H179" s="104" t="s">
        <v>6088</v>
      </c>
      <c r="K179" s="118" t="s">
        <v>0</v>
      </c>
      <c r="L179" s="119" t="s">
        <v>6091</v>
      </c>
      <c r="M179" s="119" t="s">
        <v>6092</v>
      </c>
      <c r="N179" s="120" t="s">
        <v>224</v>
      </c>
      <c r="O179" s="119" t="s">
        <v>225</v>
      </c>
      <c r="P179" s="120" t="s">
        <v>226</v>
      </c>
      <c r="Q179" s="119"/>
      <c r="R179" s="119"/>
      <c r="S179" s="119"/>
      <c r="T179" s="119"/>
      <c r="U179" s="119"/>
      <c r="V179" s="119"/>
    </row>
    <row r="180" ht="14.4" spans="1:14">
      <c r="A180" s="142" t="s">
        <v>243</v>
      </c>
      <c r="B180" s="108" t="s">
        <v>613</v>
      </c>
      <c r="C180" s="89" t="s">
        <v>6169</v>
      </c>
      <c r="D180" s="89" t="s">
        <v>420</v>
      </c>
      <c r="E180" s="91">
        <v>0</v>
      </c>
      <c r="F180" s="91">
        <v>53812.9166666667</v>
      </c>
      <c r="G180" s="109">
        <v>0.312244180553346</v>
      </c>
      <c r="H180" s="109">
        <v>0.347106706601593</v>
      </c>
      <c r="K180" s="118">
        <v>0</v>
      </c>
      <c r="L180" s="89" t="s">
        <v>180</v>
      </c>
      <c r="M180" s="89" t="s">
        <v>180</v>
      </c>
      <c r="N180" s="189">
        <v>655</v>
      </c>
    </row>
    <row r="181" ht="14.4" spans="1:14">
      <c r="A181" s="89" t="s">
        <v>230</v>
      </c>
      <c r="B181" s="108" t="s">
        <v>614</v>
      </c>
      <c r="C181" s="89" t="s">
        <v>233</v>
      </c>
      <c r="D181" s="89" t="s">
        <v>59</v>
      </c>
      <c r="E181" s="91">
        <v>0</v>
      </c>
      <c r="F181" s="91">
        <v>65099</v>
      </c>
      <c r="G181" s="109">
        <v>0.377730574162194</v>
      </c>
      <c r="H181" s="109">
        <v>0.377653047424714</v>
      </c>
      <c r="K181" s="118">
        <v>0</v>
      </c>
      <c r="L181" s="89" t="s">
        <v>180</v>
      </c>
      <c r="M181" s="89" t="s">
        <v>180</v>
      </c>
      <c r="N181" s="189">
        <v>469</v>
      </c>
    </row>
    <row r="182" ht="14.4" spans="2:14">
      <c r="B182" s="91" t="s">
        <v>615</v>
      </c>
      <c r="C182" s="89" t="s">
        <v>233</v>
      </c>
      <c r="D182" s="89" t="s">
        <v>417</v>
      </c>
      <c r="E182" s="91">
        <v>0</v>
      </c>
      <c r="F182" s="91">
        <v>24262.6666666667</v>
      </c>
      <c r="G182" s="109">
        <v>0.140781747963961</v>
      </c>
      <c r="H182" s="109">
        <v>0.17547054799152</v>
      </c>
      <c r="K182" s="118">
        <v>0</v>
      </c>
      <c r="L182" s="89" t="s">
        <v>180</v>
      </c>
      <c r="M182" s="89" t="s">
        <v>180</v>
      </c>
      <c r="N182" s="189">
        <v>540</v>
      </c>
    </row>
    <row r="183" ht="14.4" spans="2:14">
      <c r="B183" s="143" t="s">
        <v>616</v>
      </c>
      <c r="C183" s="89" t="s">
        <v>470</v>
      </c>
      <c r="D183" s="89">
        <v>0</v>
      </c>
      <c r="E183" s="91">
        <v>0</v>
      </c>
      <c r="F183" s="91">
        <v>11041.5833333333</v>
      </c>
      <c r="G183" s="109"/>
      <c r="H183" s="109"/>
      <c r="K183" s="118" t="s">
        <v>1133</v>
      </c>
      <c r="L183" s="89" t="s">
        <v>180</v>
      </c>
      <c r="M183" s="89" t="s">
        <v>180</v>
      </c>
      <c r="N183" s="189">
        <v>405</v>
      </c>
    </row>
    <row r="184" ht="15.15" spans="1:15">
      <c r="A184" s="89" t="s">
        <v>446</v>
      </c>
      <c r="B184" s="144" t="s">
        <v>617</v>
      </c>
      <c r="C184" s="89" t="s">
        <v>233</v>
      </c>
      <c r="D184" s="89" t="s">
        <v>50</v>
      </c>
      <c r="E184" s="91">
        <v>0</v>
      </c>
      <c r="F184" s="91">
        <v>29167.8333333333</v>
      </c>
      <c r="G184" s="109">
        <v>0.169243497320499</v>
      </c>
      <c r="H184" s="109">
        <v>0.0938152572103624</v>
      </c>
      <c r="K184" s="118">
        <v>0</v>
      </c>
      <c r="L184" s="89" t="s">
        <v>180</v>
      </c>
      <c r="M184" s="89" t="s">
        <v>180</v>
      </c>
      <c r="N184" s="189">
        <v>98</v>
      </c>
      <c r="O184" s="95" t="s">
        <v>6170</v>
      </c>
    </row>
    <row r="185" s="88" customFormat="1" ht="14.4" spans="2:16">
      <c r="B185" s="105"/>
      <c r="D185" s="89"/>
      <c r="E185" s="106"/>
      <c r="F185" s="106"/>
      <c r="G185" s="107"/>
      <c r="H185" s="107"/>
      <c r="I185" s="110"/>
      <c r="J185" s="106"/>
      <c r="K185" s="122"/>
      <c r="L185" s="148"/>
      <c r="M185" s="123"/>
      <c r="N185" s="189"/>
      <c r="O185" s="95"/>
      <c r="P185" s="126"/>
    </row>
    <row r="186" spans="5:11">
      <c r="E186" s="91"/>
      <c r="F186" s="91">
        <v>172342.416666667</v>
      </c>
      <c r="K186" s="118"/>
    </row>
    <row r="187" spans="1:11">
      <c r="A187" s="101"/>
      <c r="C187" s="101"/>
      <c r="E187" s="91"/>
      <c r="K187" s="95"/>
    </row>
    <row r="188" ht="14.4" customHeight="1" spans="1:22">
      <c r="A188" s="96" t="s">
        <v>195</v>
      </c>
      <c r="B188" s="97"/>
      <c r="C188" s="98"/>
      <c r="E188" s="99" t="s">
        <v>2</v>
      </c>
      <c r="F188" s="100"/>
      <c r="G188" s="100"/>
      <c r="H188" s="100"/>
      <c r="I188" s="115"/>
      <c r="J188" s="100"/>
      <c r="K188" s="95"/>
      <c r="L188" s="102"/>
      <c r="M188" s="102"/>
      <c r="O188" s="128"/>
      <c r="P188" s="128"/>
      <c r="Q188" s="128"/>
      <c r="R188" s="132"/>
      <c r="S188" s="116"/>
      <c r="T188" s="128"/>
      <c r="U188" s="128"/>
      <c r="V188" s="132"/>
    </row>
    <row r="189" ht="46.8" spans="1:22">
      <c r="A189" s="101" t="s">
        <v>6085</v>
      </c>
      <c r="B189" s="102" t="s">
        <v>207</v>
      </c>
      <c r="C189" s="101" t="s">
        <v>447</v>
      </c>
      <c r="D189" s="89" t="s">
        <v>209</v>
      </c>
      <c r="E189" s="101" t="s">
        <v>210</v>
      </c>
      <c r="F189" s="103" t="s">
        <v>6086</v>
      </c>
      <c r="G189" s="104" t="s">
        <v>6087</v>
      </c>
      <c r="H189" s="104" t="s">
        <v>6088</v>
      </c>
      <c r="K189" s="118" t="s">
        <v>0</v>
      </c>
      <c r="L189" s="119" t="s">
        <v>6091</v>
      </c>
      <c r="M189" s="119" t="s">
        <v>6092</v>
      </c>
      <c r="N189" s="120" t="s">
        <v>224</v>
      </c>
      <c r="O189" s="119" t="s">
        <v>225</v>
      </c>
      <c r="P189" s="120" t="s">
        <v>226</v>
      </c>
      <c r="Q189" s="119"/>
      <c r="R189" s="119"/>
      <c r="S189" s="119"/>
      <c r="T189" s="119"/>
      <c r="U189" s="119"/>
      <c r="V189" s="119"/>
    </row>
    <row r="190" ht="14.4" spans="1:14">
      <c r="A190" s="89" t="s">
        <v>230</v>
      </c>
      <c r="B190" s="89" t="s">
        <v>618</v>
      </c>
      <c r="C190" s="89" t="s">
        <v>233</v>
      </c>
      <c r="D190" s="89" t="s">
        <v>266</v>
      </c>
      <c r="E190" s="91">
        <v>0</v>
      </c>
      <c r="F190" s="91">
        <v>78815.3333333333</v>
      </c>
      <c r="G190" s="109">
        <v>0.953631433062673</v>
      </c>
      <c r="H190" s="109">
        <v>0.903534522045088</v>
      </c>
      <c r="K190" s="118">
        <v>0</v>
      </c>
      <c r="L190" s="89" t="s">
        <v>180</v>
      </c>
      <c r="M190" s="89" t="s">
        <v>180</v>
      </c>
      <c r="N190" s="189">
        <v>551</v>
      </c>
    </row>
    <row r="191" ht="14.4" spans="1:14">
      <c r="A191" s="89" t="s">
        <v>446</v>
      </c>
      <c r="B191" s="89" t="s">
        <v>619</v>
      </c>
      <c r="C191" s="89" t="s">
        <v>233</v>
      </c>
      <c r="D191" s="89" t="s">
        <v>60</v>
      </c>
      <c r="E191" s="91">
        <v>0</v>
      </c>
      <c r="F191" s="91">
        <v>0</v>
      </c>
      <c r="G191" s="109">
        <v>0</v>
      </c>
      <c r="H191" s="109">
        <v>0.0439485320381494</v>
      </c>
      <c r="K191" s="118">
        <v>0</v>
      </c>
      <c r="L191" s="89" t="s">
        <v>180</v>
      </c>
      <c r="M191" s="89" t="s">
        <v>180</v>
      </c>
      <c r="N191" s="189">
        <v>650</v>
      </c>
    </row>
    <row r="192" ht="14.4" spans="1:14">
      <c r="A192" s="89" t="s">
        <v>446</v>
      </c>
      <c r="B192" s="89" t="s">
        <v>620</v>
      </c>
      <c r="C192" s="89">
        <v>0</v>
      </c>
      <c r="D192" s="89">
        <v>0</v>
      </c>
      <c r="E192" s="91">
        <v>0</v>
      </c>
      <c r="F192" s="91">
        <v>3832.25</v>
      </c>
      <c r="G192" s="109">
        <v>0.0463685669373273</v>
      </c>
      <c r="H192" s="109">
        <v>0.0525169459167628</v>
      </c>
      <c r="K192" s="118">
        <v>0</v>
      </c>
      <c r="L192" s="89" t="s">
        <v>180</v>
      </c>
      <c r="M192" s="89" t="s">
        <v>180</v>
      </c>
      <c r="N192" s="189">
        <v>235</v>
      </c>
    </row>
    <row r="193" spans="5:11">
      <c r="E193" s="91"/>
      <c r="F193" s="91">
        <v>82647.5833333333</v>
      </c>
      <c r="K193" s="95"/>
    </row>
    <row r="194" spans="1:11">
      <c r="A194" s="101"/>
      <c r="C194" s="101"/>
      <c r="E194" s="91"/>
      <c r="K194" s="95"/>
    </row>
    <row r="195" ht="14.4" customHeight="1" spans="1:22">
      <c r="A195" s="96" t="s">
        <v>187</v>
      </c>
      <c r="B195" s="97"/>
      <c r="C195" s="98"/>
      <c r="E195" s="99" t="s">
        <v>2</v>
      </c>
      <c r="F195" s="100"/>
      <c r="G195" s="100"/>
      <c r="H195" s="100"/>
      <c r="I195" s="100"/>
      <c r="J195" s="100"/>
      <c r="K195" s="95"/>
      <c r="L195" s="102"/>
      <c r="M195" s="102"/>
      <c r="O195" s="128"/>
      <c r="P195" s="128"/>
      <c r="Q195" s="128"/>
      <c r="R195" s="132"/>
      <c r="S195" s="116"/>
      <c r="T195" s="128"/>
      <c r="U195" s="128"/>
      <c r="V195" s="132"/>
    </row>
    <row r="196" ht="46.8" spans="1:22">
      <c r="A196" s="101" t="s">
        <v>6085</v>
      </c>
      <c r="B196" s="102" t="s">
        <v>207</v>
      </c>
      <c r="C196" s="101" t="s">
        <v>447</v>
      </c>
      <c r="D196" s="89" t="s">
        <v>209</v>
      </c>
      <c r="E196" s="101" t="s">
        <v>210</v>
      </c>
      <c r="F196" s="103" t="s">
        <v>6086</v>
      </c>
      <c r="G196" s="104" t="s">
        <v>6087</v>
      </c>
      <c r="H196" s="104" t="s">
        <v>6088</v>
      </c>
      <c r="K196" s="118" t="s">
        <v>0</v>
      </c>
      <c r="L196" s="119" t="s">
        <v>6091</v>
      </c>
      <c r="M196" s="119" t="s">
        <v>6092</v>
      </c>
      <c r="N196" s="120" t="s">
        <v>224</v>
      </c>
      <c r="O196" s="119" t="s">
        <v>225</v>
      </c>
      <c r="P196" s="120" t="s">
        <v>226</v>
      </c>
      <c r="Q196" s="119"/>
      <c r="R196" s="119"/>
      <c r="S196" s="119"/>
      <c r="T196" s="119"/>
      <c r="U196" s="119"/>
      <c r="V196" s="119"/>
    </row>
    <row r="197" ht="14.4" spans="1:14">
      <c r="A197" s="89" t="s">
        <v>230</v>
      </c>
      <c r="B197" s="108" t="s">
        <v>621</v>
      </c>
      <c r="C197" s="89" t="s">
        <v>233</v>
      </c>
      <c r="D197" s="89" t="s">
        <v>422</v>
      </c>
      <c r="E197" s="91">
        <v>0</v>
      </c>
      <c r="F197" s="91">
        <v>29544.25</v>
      </c>
      <c r="G197" s="109">
        <v>0.404638613415022</v>
      </c>
      <c r="H197" s="109">
        <v>0.339331956035553</v>
      </c>
      <c r="K197" s="118">
        <v>0</v>
      </c>
      <c r="L197" s="89" t="s">
        <v>180</v>
      </c>
      <c r="M197" s="89" t="s">
        <v>180</v>
      </c>
      <c r="N197" s="189">
        <v>284</v>
      </c>
    </row>
    <row r="198" ht="14.4" spans="1:14">
      <c r="A198" s="89" t="s">
        <v>230</v>
      </c>
      <c r="B198" s="108" t="s">
        <v>622</v>
      </c>
      <c r="C198" s="89" t="s">
        <v>233</v>
      </c>
      <c r="D198" s="89" t="s">
        <v>420</v>
      </c>
      <c r="E198" s="91">
        <v>0</v>
      </c>
      <c r="F198" s="91">
        <v>6252.5</v>
      </c>
      <c r="G198" s="109">
        <v>0.0856343596597452</v>
      </c>
      <c r="H198" s="109">
        <v>0.0679342513978941</v>
      </c>
      <c r="K198" s="118">
        <v>0</v>
      </c>
      <c r="L198" s="89" t="s">
        <v>180</v>
      </c>
      <c r="M198" s="89" t="s">
        <v>180</v>
      </c>
      <c r="N198" s="189">
        <v>299</v>
      </c>
    </row>
    <row r="199" ht="14.4" spans="1:14">
      <c r="A199" s="89" t="s">
        <v>230</v>
      </c>
      <c r="B199" s="114" t="s">
        <v>623</v>
      </c>
      <c r="C199" s="89" t="s">
        <v>233</v>
      </c>
      <c r="D199" s="89" t="s">
        <v>6171</v>
      </c>
      <c r="E199" s="91">
        <v>0</v>
      </c>
      <c r="F199" s="91">
        <v>18186.8333333333</v>
      </c>
      <c r="G199" s="109">
        <v>0.249087217391205</v>
      </c>
      <c r="H199" s="109">
        <v>0.361789545569238</v>
      </c>
      <c r="K199" s="118">
        <v>0</v>
      </c>
      <c r="L199" s="89" t="s">
        <v>180</v>
      </c>
      <c r="M199" s="89" t="s">
        <v>180</v>
      </c>
      <c r="N199" s="189">
        <v>365</v>
      </c>
    </row>
    <row r="200" ht="14.4" spans="1:14">
      <c r="A200" s="89" t="s">
        <v>230</v>
      </c>
      <c r="B200" s="108" t="s">
        <v>624</v>
      </c>
      <c r="C200" s="89" t="s">
        <v>233</v>
      </c>
      <c r="D200" s="89" t="s">
        <v>420</v>
      </c>
      <c r="E200" s="91">
        <v>0</v>
      </c>
      <c r="F200" s="91">
        <v>19030.3333333333</v>
      </c>
      <c r="G200" s="109">
        <v>0.260639809534027</v>
      </c>
      <c r="H200" s="109">
        <v>0.186525101811815</v>
      </c>
      <c r="K200" s="118">
        <v>0</v>
      </c>
      <c r="L200" s="89" t="s">
        <v>180</v>
      </c>
      <c r="M200" s="89" t="s">
        <v>180</v>
      </c>
      <c r="N200" s="189">
        <v>254</v>
      </c>
    </row>
    <row r="201" s="88" customFormat="1" ht="15.6" spans="1:16">
      <c r="A201" s="149"/>
      <c r="B201" s="150"/>
      <c r="E201" s="106"/>
      <c r="F201" s="106"/>
      <c r="G201" s="107"/>
      <c r="H201" s="107"/>
      <c r="I201" s="110"/>
      <c r="J201" s="106"/>
      <c r="K201" s="122"/>
      <c r="N201" s="189"/>
      <c r="O201" s="95"/>
      <c r="P201" s="126"/>
    </row>
    <row r="202" ht="14.4" spans="3:14">
      <c r="C202" s="89"/>
      <c r="E202" s="91"/>
      <c r="G202" s="109"/>
      <c r="H202" s="109"/>
      <c r="K202" s="118"/>
      <c r="N202" s="189"/>
    </row>
    <row r="203" spans="5:11">
      <c r="E203" s="91"/>
      <c r="F203" s="91">
        <v>73013.9166666667</v>
      </c>
      <c r="K203" s="95"/>
    </row>
    <row r="204" spans="1:11">
      <c r="A204" s="101"/>
      <c r="C204" s="101"/>
      <c r="E204" s="91"/>
      <c r="K204" s="95"/>
    </row>
    <row r="206" ht="14.4" customHeight="1" spans="1:22">
      <c r="A206" s="96" t="s">
        <v>193</v>
      </c>
      <c r="B206" s="97"/>
      <c r="C206" s="98"/>
      <c r="E206" s="99" t="s">
        <v>2</v>
      </c>
      <c r="F206" s="100"/>
      <c r="G206" s="100"/>
      <c r="H206" s="100"/>
      <c r="I206" s="100"/>
      <c r="J206" s="100"/>
      <c r="K206" s="95"/>
      <c r="L206" s="102"/>
      <c r="M206" s="102"/>
      <c r="O206" s="128"/>
      <c r="P206" s="128"/>
      <c r="Q206" s="128"/>
      <c r="R206" s="132"/>
      <c r="S206" s="116"/>
      <c r="T206" s="128"/>
      <c r="U206" s="128"/>
      <c r="V206" s="132"/>
    </row>
    <row r="207" ht="46.8" spans="1:22">
      <c r="A207" s="101" t="s">
        <v>6085</v>
      </c>
      <c r="B207" s="102" t="s">
        <v>207</v>
      </c>
      <c r="C207" s="101" t="s">
        <v>447</v>
      </c>
      <c r="D207" s="89" t="s">
        <v>209</v>
      </c>
      <c r="E207" s="101" t="s">
        <v>210</v>
      </c>
      <c r="F207" s="103" t="s">
        <v>6086</v>
      </c>
      <c r="G207" s="104" t="s">
        <v>6087</v>
      </c>
      <c r="H207" s="104" t="s">
        <v>6088</v>
      </c>
      <c r="K207" s="118" t="s">
        <v>0</v>
      </c>
      <c r="L207" s="119" t="s">
        <v>6091</v>
      </c>
      <c r="M207" s="119" t="s">
        <v>6092</v>
      </c>
      <c r="N207" s="120" t="s">
        <v>224</v>
      </c>
      <c r="O207" s="119" t="s">
        <v>225</v>
      </c>
      <c r="P207" s="120" t="s">
        <v>226</v>
      </c>
      <c r="Q207" s="119"/>
      <c r="R207" s="119"/>
      <c r="S207" s="119"/>
      <c r="T207" s="119"/>
      <c r="U207" s="119"/>
      <c r="V207" s="119"/>
    </row>
    <row r="208" ht="14.4" spans="1:14">
      <c r="A208" s="89" t="s">
        <v>801</v>
      </c>
      <c r="B208" s="108" t="s">
        <v>476</v>
      </c>
      <c r="C208" s="89" t="s">
        <v>233</v>
      </c>
      <c r="D208" s="89" t="s">
        <v>234</v>
      </c>
      <c r="E208" s="91">
        <v>81390</v>
      </c>
      <c r="F208" s="91">
        <v>97921.5</v>
      </c>
      <c r="K208" s="118" t="s">
        <v>672</v>
      </c>
      <c r="L208" s="89" t="s">
        <v>180</v>
      </c>
      <c r="M208" s="89" t="s">
        <v>180</v>
      </c>
      <c r="N208" s="189">
        <v>605</v>
      </c>
    </row>
    <row r="209" ht="14.4" spans="1:14">
      <c r="A209" s="89" t="s">
        <v>230</v>
      </c>
      <c r="B209" s="89" t="s">
        <v>625</v>
      </c>
      <c r="C209" s="89" t="s">
        <v>233</v>
      </c>
      <c r="D209" s="89" t="s">
        <v>52</v>
      </c>
      <c r="E209" s="91">
        <v>0</v>
      </c>
      <c r="F209" s="91">
        <v>122630.416666667</v>
      </c>
      <c r="G209" s="109">
        <v>0.607961862251801</v>
      </c>
      <c r="H209" s="109">
        <v>0.648511388627842</v>
      </c>
      <c r="K209" s="118">
        <v>0</v>
      </c>
      <c r="L209" s="89" t="s">
        <v>180</v>
      </c>
      <c r="M209" s="89" t="s">
        <v>180</v>
      </c>
      <c r="N209" s="189">
        <v>305</v>
      </c>
    </row>
    <row r="210" ht="14.4" spans="1:14">
      <c r="A210" s="89" t="s">
        <v>367</v>
      </c>
      <c r="B210" s="108" t="s">
        <v>626</v>
      </c>
      <c r="C210" s="89" t="s">
        <v>233</v>
      </c>
      <c r="D210" s="89" t="s">
        <v>49</v>
      </c>
      <c r="E210" s="91">
        <v>0</v>
      </c>
      <c r="F210" s="91">
        <v>9272</v>
      </c>
      <c r="G210" s="109">
        <v>0.0459675710156088</v>
      </c>
      <c r="H210" s="109">
        <v>0.226536326380344</v>
      </c>
      <c r="K210" s="118">
        <v>0</v>
      </c>
      <c r="L210" s="89" t="s">
        <v>180</v>
      </c>
      <c r="M210" s="89" t="s">
        <v>180</v>
      </c>
      <c r="N210" s="189">
        <v>545</v>
      </c>
    </row>
    <row r="211" ht="14.4" spans="1:15">
      <c r="A211" s="89" t="s">
        <v>230</v>
      </c>
      <c r="B211" s="89" t="s">
        <v>373</v>
      </c>
      <c r="C211" s="89" t="s">
        <v>477</v>
      </c>
      <c r="D211" s="89" t="s">
        <v>250</v>
      </c>
      <c r="E211" s="91">
        <v>3939</v>
      </c>
      <c r="F211" s="91">
        <v>69805</v>
      </c>
      <c r="G211" s="109">
        <v>0.34607056673259</v>
      </c>
      <c r="H211" s="109">
        <v>0.124952284991813</v>
      </c>
      <c r="K211" s="118">
        <v>0</v>
      </c>
      <c r="L211" s="89" t="s">
        <v>180</v>
      </c>
      <c r="M211" s="89" t="s">
        <v>180</v>
      </c>
      <c r="N211" s="189">
        <v>66</v>
      </c>
      <c r="O211" s="95" t="s">
        <v>6172</v>
      </c>
    </row>
    <row r="212" s="88" customFormat="1" ht="14.4" spans="3:16">
      <c r="C212" s="89"/>
      <c r="D212" s="89"/>
      <c r="E212" s="91"/>
      <c r="F212" s="106"/>
      <c r="G212" s="107"/>
      <c r="H212" s="107"/>
      <c r="I212" s="110"/>
      <c r="J212" s="106"/>
      <c r="K212" s="122"/>
      <c r="N212" s="189"/>
      <c r="O212" s="95"/>
      <c r="P212" s="126"/>
    </row>
    <row r="213" spans="6:6">
      <c r="F213" s="140">
        <v>201707.416666667</v>
      </c>
    </row>
    <row r="214" spans="6:6">
      <c r="F214" s="140"/>
    </row>
    <row r="215" spans="5:11">
      <c r="E215" s="91"/>
      <c r="K215" s="95"/>
    </row>
    <row r="226" s="90" customFormat="1" spans="1:22">
      <c r="A226" s="89"/>
      <c r="B226" s="108"/>
      <c r="D226" s="89"/>
      <c r="E226" s="89"/>
      <c r="F226" s="91"/>
      <c r="G226" s="91"/>
      <c r="H226" s="91"/>
      <c r="I226" s="92"/>
      <c r="J226" s="91"/>
      <c r="K226" s="94"/>
      <c r="L226" s="89"/>
      <c r="M226" s="89"/>
      <c r="N226" s="89"/>
      <c r="O226" s="95"/>
      <c r="P226" s="95"/>
      <c r="Q226" s="89"/>
      <c r="R226" s="89"/>
      <c r="S226" s="89"/>
      <c r="T226" s="89"/>
      <c r="U226" s="89"/>
      <c r="V226" s="89"/>
    </row>
  </sheetData>
  <mergeCells count="38">
    <mergeCell ref="P1:R1"/>
    <mergeCell ref="S1:V1"/>
    <mergeCell ref="P14:R14"/>
    <mergeCell ref="S14:V14"/>
    <mergeCell ref="P26:R26"/>
    <mergeCell ref="S26:V26"/>
    <mergeCell ref="P40:R40"/>
    <mergeCell ref="S40:V40"/>
    <mergeCell ref="P50:R50"/>
    <mergeCell ref="S50:V50"/>
    <mergeCell ref="P66:R66"/>
    <mergeCell ref="S66:V66"/>
    <mergeCell ref="P79:R79"/>
    <mergeCell ref="S79:V79"/>
    <mergeCell ref="P90:R90"/>
    <mergeCell ref="S90:V90"/>
    <mergeCell ref="P105:R105"/>
    <mergeCell ref="S105:V105"/>
    <mergeCell ref="P116:R116"/>
    <mergeCell ref="S116:V116"/>
    <mergeCell ref="P124:R124"/>
    <mergeCell ref="S124:V124"/>
    <mergeCell ref="P134:R134"/>
    <mergeCell ref="S134:V134"/>
    <mergeCell ref="P144:R144"/>
    <mergeCell ref="S144:V144"/>
    <mergeCell ref="P155:R155"/>
    <mergeCell ref="S155:V155"/>
    <mergeCell ref="P165:R165"/>
    <mergeCell ref="S165:V165"/>
    <mergeCell ref="P178:R178"/>
    <mergeCell ref="S178:V178"/>
    <mergeCell ref="P188:R188"/>
    <mergeCell ref="S188:V188"/>
    <mergeCell ref="P195:R195"/>
    <mergeCell ref="S195:V195"/>
    <mergeCell ref="P206:R206"/>
    <mergeCell ref="S206:V206"/>
  </mergeCells>
  <conditionalFormatting sqref="B9:B10">
    <cfRule type="duplicateValues" dxfId="0" priority="2"/>
  </conditionalFormatting>
  <conditionalFormatting sqref="B28:B33">
    <cfRule type="duplicateValues" dxfId="0" priority="1"/>
  </conditionalFormatting>
  <hyperlinks>
    <hyperlink ref="B59" r:id="rId1" display="www.bluespringsfordparts.com"/>
    <hyperlink ref="B55" r:id="rId2" display="accessories.ford.com"/>
    <hyperlink ref="B159" r:id="rId3" display="usparts.volvocars.com"/>
    <hyperlink ref="B181" r:id="rId4" display="www.realmazdaparts.com"/>
    <hyperlink ref="B112" r:id="rId5" display="acura.bernardiparts.com"/>
    <hyperlink ref="B87" r:id="rId6" display="www.hyundaionlineparts.net"/>
    <hyperlink ref="B70" r:id="rId7" display="www.courtesyparts.com"/>
    <hyperlink ref="B95" r:id="rId8" display="www.subaruonlineparts.com"/>
    <hyperlink ref="B141" r:id="rId9" display="www.infinitipartsusa.com"/>
    <hyperlink ref="B138" r:id="rId10" display="www.infinitipartsonline.com"/>
    <hyperlink ref="B110" r:id="rId11" display="www.oemacuraparts.com"/>
    <hyperlink ref="B129" r:id="rId12" display="www.kiapartsdepartment.com"/>
    <hyperlink ref="B60" r:id="rId1" display="www.villagefordparts.com"/>
    <hyperlink ref="B173" r:id="rId13" display="www.vwdiscountparts.com"/>
    <hyperlink ref="B82" r:id="rId14" display="www.hyundaioemparts.com"/>
    <hyperlink ref="B83" r:id="rId15" display="www.wholesalehyundaiparts.com"/>
    <hyperlink ref="B151" r:id="rId16" display="www.bmwpartsupply.com"/>
    <hyperlink ref="B130" r:id="rId17" display="www.kia.parts"/>
    <hyperlink ref="B73" r:id="rId18" display="www.nissanparts.cc"/>
    <hyperlink ref="B121" r:id="rId19" display="www.lexussouthatlantaparts.com" tooltip="http://www.lexussouthatlantaparts.com"/>
  </hyperlinks>
  <pageMargins left="0.7" right="0.7" top="0.75" bottom="0.75" header="0.3" footer="0.3"/>
  <pageSetup paperSize="9" orientation="portrait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3"/>
  <sheetViews>
    <sheetView workbookViewId="0">
      <selection activeCell="A1" sqref="A1"/>
    </sheetView>
  </sheetViews>
  <sheetFormatPr defaultColWidth="9" defaultRowHeight="14.4" outlineLevelCol="3"/>
  <cols>
    <col min="1" max="1" width="32.3333333333333" style="164" customWidth="1"/>
    <col min="3" max="3" width="31.2222222222222" customWidth="1"/>
  </cols>
  <sheetData>
    <row r="1" spans="1:4">
      <c r="A1" s="165" t="s">
        <v>500</v>
      </c>
      <c r="C1" s="166" t="s">
        <v>251</v>
      </c>
      <c r="D1" s="167">
        <v>1941</v>
      </c>
    </row>
    <row r="2" spans="1:4">
      <c r="A2" s="168" t="s">
        <v>501</v>
      </c>
      <c r="C2" s="166" t="s">
        <v>146</v>
      </c>
      <c r="D2" s="167">
        <v>1047</v>
      </c>
    </row>
    <row r="3" spans="1:4">
      <c r="A3" s="165" t="s">
        <v>504</v>
      </c>
      <c r="C3" s="166" t="s">
        <v>256</v>
      </c>
      <c r="D3" s="167">
        <v>4317</v>
      </c>
    </row>
    <row r="4" spans="1:4">
      <c r="A4" s="165" t="s">
        <v>503</v>
      </c>
      <c r="C4" s="166" t="s">
        <v>252</v>
      </c>
      <c r="D4" s="167">
        <v>771</v>
      </c>
    </row>
    <row r="5" spans="1:4">
      <c r="A5" s="165" t="s">
        <v>499</v>
      </c>
      <c r="C5" s="166" t="s">
        <v>450</v>
      </c>
      <c r="D5" s="167">
        <v>959</v>
      </c>
    </row>
    <row r="6" spans="1:4">
      <c r="A6" s="165" t="s">
        <v>505</v>
      </c>
      <c r="C6" s="166" t="s">
        <v>437</v>
      </c>
      <c r="D6" s="167">
        <v>591</v>
      </c>
    </row>
    <row r="7" spans="1:4">
      <c r="A7" s="165" t="s">
        <v>506</v>
      </c>
      <c r="C7" s="166" t="s">
        <v>490</v>
      </c>
      <c r="D7" s="167">
        <v>379</v>
      </c>
    </row>
    <row r="8" spans="1:4">
      <c r="A8" s="165" t="s">
        <v>5202</v>
      </c>
      <c r="C8" s="166" t="s">
        <v>6173</v>
      </c>
      <c r="D8" s="167">
        <v>631</v>
      </c>
    </row>
    <row r="9" spans="1:4">
      <c r="A9" s="169" t="s">
        <v>147</v>
      </c>
      <c r="C9" s="166" t="s">
        <v>1411</v>
      </c>
      <c r="D9" s="167">
        <v>429</v>
      </c>
    </row>
    <row r="10" spans="1:4">
      <c r="A10" s="170" t="s">
        <v>515</v>
      </c>
      <c r="C10" s="166" t="s">
        <v>139</v>
      </c>
      <c r="D10" s="167">
        <v>5146</v>
      </c>
    </row>
    <row r="11" spans="1:4">
      <c r="A11" s="165" t="s">
        <v>526</v>
      </c>
      <c r="C11" s="166" t="s">
        <v>526</v>
      </c>
      <c r="D11" s="167">
        <v>5169</v>
      </c>
    </row>
    <row r="12" spans="1:4">
      <c r="A12" s="165" t="s">
        <v>519</v>
      </c>
      <c r="C12" s="166" t="s">
        <v>239</v>
      </c>
      <c r="D12" s="167">
        <v>3641</v>
      </c>
    </row>
    <row r="13" spans="1:4">
      <c r="A13" s="165" t="s">
        <v>527</v>
      </c>
      <c r="C13" s="166" t="s">
        <v>453</v>
      </c>
      <c r="D13" s="167">
        <v>4421</v>
      </c>
    </row>
    <row r="14" spans="1:4">
      <c r="A14" s="165" t="s">
        <v>525</v>
      </c>
      <c r="C14" s="166" t="s">
        <v>525</v>
      </c>
      <c r="D14" s="167">
        <v>3516</v>
      </c>
    </row>
    <row r="15" spans="1:4">
      <c r="A15" s="165" t="s">
        <v>517</v>
      </c>
      <c r="C15" s="166" t="s">
        <v>237</v>
      </c>
      <c r="D15" s="167">
        <v>1018</v>
      </c>
    </row>
    <row r="16" spans="1:4">
      <c r="A16" s="165" t="s">
        <v>516</v>
      </c>
      <c r="C16" s="166" t="s">
        <v>231</v>
      </c>
      <c r="D16" s="167">
        <v>683</v>
      </c>
    </row>
    <row r="17" spans="1:4">
      <c r="A17" s="165" t="s">
        <v>4196</v>
      </c>
      <c r="C17" s="166" t="s">
        <v>1574</v>
      </c>
      <c r="D17" s="167">
        <v>743</v>
      </c>
    </row>
    <row r="18" spans="1:4">
      <c r="A18" s="171" t="s">
        <v>523</v>
      </c>
      <c r="C18" s="166" t="s">
        <v>1552</v>
      </c>
      <c r="D18" s="167">
        <v>575</v>
      </c>
    </row>
    <row r="19" spans="1:4">
      <c r="A19" s="172" t="s">
        <v>4197</v>
      </c>
      <c r="C19" s="166" t="s">
        <v>6174</v>
      </c>
      <c r="D19" s="167">
        <v>12</v>
      </c>
    </row>
    <row r="20" spans="1:4">
      <c r="A20" s="164" t="s">
        <v>242</v>
      </c>
      <c r="C20" s="166" t="s">
        <v>242</v>
      </c>
      <c r="D20" s="167">
        <v>909</v>
      </c>
    </row>
    <row r="21" spans="1:4">
      <c r="A21" s="165" t="s">
        <v>534</v>
      </c>
      <c r="C21" s="166" t="s">
        <v>534</v>
      </c>
      <c r="D21" s="167">
        <v>4562</v>
      </c>
    </row>
    <row r="22" spans="1:4">
      <c r="A22" s="173" t="s">
        <v>528</v>
      </c>
      <c r="C22" s="166" t="s">
        <v>142</v>
      </c>
      <c r="D22" s="167">
        <v>1009</v>
      </c>
    </row>
    <row r="23" spans="1:4">
      <c r="A23" s="165" t="s">
        <v>4114</v>
      </c>
      <c r="C23" s="166" t="s">
        <v>6175</v>
      </c>
      <c r="D23" s="167">
        <v>145</v>
      </c>
    </row>
    <row r="24" spans="1:4">
      <c r="A24" s="164" t="s">
        <v>244</v>
      </c>
      <c r="C24" s="166" t="s">
        <v>244</v>
      </c>
      <c r="D24" s="167">
        <v>3689</v>
      </c>
    </row>
    <row r="25" spans="1:4">
      <c r="A25" s="165" t="s">
        <v>416</v>
      </c>
      <c r="C25" s="166" t="s">
        <v>416</v>
      </c>
      <c r="D25" s="167">
        <v>379</v>
      </c>
    </row>
    <row r="26" spans="1:4">
      <c r="A26" s="164" t="s">
        <v>2556</v>
      </c>
      <c r="C26" s="166" t="s">
        <v>2556</v>
      </c>
      <c r="D26" s="167">
        <v>2990</v>
      </c>
    </row>
    <row r="27" spans="1:4">
      <c r="A27" s="164" t="s">
        <v>510</v>
      </c>
      <c r="C27" s="166" t="s">
        <v>1307</v>
      </c>
      <c r="D27" s="167">
        <v>395</v>
      </c>
    </row>
    <row r="28" spans="1:4">
      <c r="A28" s="169" t="s">
        <v>143</v>
      </c>
      <c r="C28" s="166" t="s">
        <v>6176</v>
      </c>
      <c r="D28" s="167">
        <v>315</v>
      </c>
    </row>
    <row r="29" spans="1:4">
      <c r="A29" s="165" t="s">
        <v>554</v>
      </c>
      <c r="C29" s="166" t="s">
        <v>554</v>
      </c>
      <c r="D29" s="167">
        <v>4332</v>
      </c>
    </row>
    <row r="30" spans="1:4">
      <c r="A30" s="170" t="s">
        <v>546</v>
      </c>
      <c r="C30" s="166" t="s">
        <v>153</v>
      </c>
      <c r="D30" s="167">
        <v>862</v>
      </c>
    </row>
    <row r="31" spans="1:4">
      <c r="A31" s="174" t="s">
        <v>507</v>
      </c>
      <c r="C31" s="166" t="s">
        <v>255</v>
      </c>
      <c r="D31" s="167">
        <v>1222</v>
      </c>
    </row>
    <row r="32" spans="1:4">
      <c r="A32" s="165" t="s">
        <v>555</v>
      </c>
      <c r="C32" s="166" t="s">
        <v>555</v>
      </c>
      <c r="D32" s="167">
        <v>6100</v>
      </c>
    </row>
    <row r="33" spans="1:4">
      <c r="A33" s="165" t="s">
        <v>556</v>
      </c>
      <c r="C33" s="166" t="s">
        <v>556</v>
      </c>
      <c r="D33" s="167">
        <v>3439</v>
      </c>
    </row>
    <row r="34" spans="1:4">
      <c r="A34" s="165" t="s">
        <v>270</v>
      </c>
      <c r="C34" s="166" t="s">
        <v>270</v>
      </c>
      <c r="D34" s="167">
        <v>3524</v>
      </c>
    </row>
    <row r="35" spans="1:4">
      <c r="A35" s="165" t="s">
        <v>548</v>
      </c>
      <c r="C35" s="166" t="s">
        <v>273</v>
      </c>
      <c r="D35" s="167">
        <v>610</v>
      </c>
    </row>
    <row r="36" spans="1:4">
      <c r="A36" s="165" t="s">
        <v>547</v>
      </c>
      <c r="C36" s="166" t="s">
        <v>400</v>
      </c>
      <c r="D36" s="167">
        <v>598</v>
      </c>
    </row>
    <row r="37" spans="1:4">
      <c r="A37" s="175" t="s">
        <v>549</v>
      </c>
      <c r="C37" s="166" t="s">
        <v>492</v>
      </c>
      <c r="D37" s="167">
        <v>230</v>
      </c>
    </row>
    <row r="38" spans="1:4">
      <c r="A38" s="165" t="s">
        <v>4357</v>
      </c>
      <c r="C38" s="166" t="s">
        <v>292</v>
      </c>
      <c r="D38" s="167">
        <v>678</v>
      </c>
    </row>
    <row r="39" spans="1:4">
      <c r="A39" s="169" t="s">
        <v>154</v>
      </c>
      <c r="C39" s="166" t="s">
        <v>1245</v>
      </c>
      <c r="D39" s="167">
        <v>345</v>
      </c>
    </row>
    <row r="40" spans="1:4">
      <c r="A40" s="165" t="s">
        <v>537</v>
      </c>
      <c r="C40" s="166" t="s">
        <v>262</v>
      </c>
      <c r="D40" s="167">
        <v>4727</v>
      </c>
    </row>
    <row r="41" spans="1:4">
      <c r="A41" s="170" t="s">
        <v>535</v>
      </c>
      <c r="C41" s="166" t="s">
        <v>150</v>
      </c>
      <c r="D41" s="167">
        <v>4837</v>
      </c>
    </row>
    <row r="42" spans="1:4">
      <c r="A42" s="165" t="s">
        <v>539</v>
      </c>
      <c r="C42" s="166" t="s">
        <v>265</v>
      </c>
      <c r="D42" s="167">
        <v>4264</v>
      </c>
    </row>
    <row r="43" spans="1:4">
      <c r="A43" s="176" t="s">
        <v>545</v>
      </c>
      <c r="C43" s="166" t="s">
        <v>545</v>
      </c>
      <c r="D43" s="167">
        <v>481</v>
      </c>
    </row>
    <row r="44" spans="1:4">
      <c r="A44" s="165" t="s">
        <v>541</v>
      </c>
      <c r="C44" s="166" t="s">
        <v>541</v>
      </c>
      <c r="D44" s="167">
        <v>446</v>
      </c>
    </row>
    <row r="45" spans="1:4">
      <c r="A45" s="165" t="s">
        <v>536</v>
      </c>
      <c r="C45" s="166" t="s">
        <v>260</v>
      </c>
      <c r="D45" s="167">
        <v>590</v>
      </c>
    </row>
    <row r="46" spans="1:4">
      <c r="A46" s="165" t="s">
        <v>2141</v>
      </c>
      <c r="C46" s="166" t="s">
        <v>2141</v>
      </c>
      <c r="D46" s="167">
        <v>67</v>
      </c>
    </row>
    <row r="47" spans="1:4">
      <c r="A47" s="177" t="s">
        <v>4279</v>
      </c>
      <c r="C47" s="166" t="s">
        <v>6177</v>
      </c>
      <c r="D47" s="167">
        <v>73</v>
      </c>
    </row>
    <row r="48" spans="1:4">
      <c r="A48" s="170" t="s">
        <v>4287</v>
      </c>
      <c r="C48" s="166" t="s">
        <v>6178</v>
      </c>
      <c r="D48" s="167">
        <v>10</v>
      </c>
    </row>
    <row r="49" spans="1:4">
      <c r="A49" s="164" t="s">
        <v>562</v>
      </c>
      <c r="C49" s="166" t="s">
        <v>562</v>
      </c>
      <c r="D49" s="167">
        <v>4241</v>
      </c>
    </row>
    <row r="50" spans="1:4">
      <c r="A50" s="178" t="s">
        <v>557</v>
      </c>
      <c r="C50" s="166" t="s">
        <v>160</v>
      </c>
      <c r="D50" s="167">
        <v>4459</v>
      </c>
    </row>
    <row r="51" spans="1:4">
      <c r="A51" s="165" t="s">
        <v>560</v>
      </c>
      <c r="C51" s="166" t="s">
        <v>493</v>
      </c>
      <c r="D51" s="167">
        <v>1256</v>
      </c>
    </row>
    <row r="52" spans="1:4">
      <c r="A52" s="179" t="s">
        <v>4391</v>
      </c>
      <c r="C52" s="166" t="s">
        <v>6179</v>
      </c>
      <c r="D52" s="167">
        <v>72</v>
      </c>
    </row>
    <row r="53" spans="1:4">
      <c r="A53" s="165" t="s">
        <v>5225</v>
      </c>
      <c r="C53" s="166" t="s">
        <v>2255</v>
      </c>
      <c r="D53" s="167">
        <v>796</v>
      </c>
    </row>
    <row r="54" spans="1:4">
      <c r="A54" s="164" t="s">
        <v>4399</v>
      </c>
      <c r="C54" s="166" t="s">
        <v>6180</v>
      </c>
      <c r="D54" s="167">
        <v>114</v>
      </c>
    </row>
    <row r="55" spans="1:4">
      <c r="A55" s="164" t="s">
        <v>563</v>
      </c>
      <c r="C55" s="166" t="s">
        <v>457</v>
      </c>
      <c r="D55" s="167">
        <v>277</v>
      </c>
    </row>
    <row r="56" spans="1:4">
      <c r="A56" s="180" t="s">
        <v>4401</v>
      </c>
      <c r="C56" s="166" t="s">
        <v>6181</v>
      </c>
      <c r="D56" s="167">
        <v>63</v>
      </c>
    </row>
    <row r="57" spans="1:4">
      <c r="A57" s="180" t="s">
        <v>559</v>
      </c>
      <c r="C57" s="166" t="s">
        <v>283</v>
      </c>
      <c r="D57" s="167">
        <v>248</v>
      </c>
    </row>
    <row r="58" spans="1:4">
      <c r="A58" s="165" t="s">
        <v>558</v>
      </c>
      <c r="C58" s="166" t="s">
        <v>282</v>
      </c>
      <c r="D58" s="167">
        <v>311</v>
      </c>
    </row>
    <row r="59" spans="1:4">
      <c r="A59" s="170" t="s">
        <v>564</v>
      </c>
      <c r="C59" s="166" t="s">
        <v>157</v>
      </c>
      <c r="D59" s="167">
        <v>4189</v>
      </c>
    </row>
    <row r="60" spans="1:4">
      <c r="A60" s="165" t="s">
        <v>568</v>
      </c>
      <c r="C60" s="166" t="s">
        <v>1591</v>
      </c>
      <c r="D60" s="167">
        <v>525</v>
      </c>
    </row>
    <row r="61" spans="1:4">
      <c r="A61" s="165" t="s">
        <v>565</v>
      </c>
      <c r="C61" s="166" t="s">
        <v>277</v>
      </c>
      <c r="D61" s="167">
        <v>3562</v>
      </c>
    </row>
    <row r="62" spans="1:4">
      <c r="A62" s="165" t="s">
        <v>567</v>
      </c>
      <c r="C62" s="166" t="s">
        <v>1616</v>
      </c>
      <c r="D62" s="167">
        <v>3662</v>
      </c>
    </row>
    <row r="63" spans="1:4">
      <c r="A63" s="165" t="s">
        <v>4425</v>
      </c>
      <c r="C63" s="166" t="s">
        <v>6182</v>
      </c>
      <c r="D63" s="167">
        <v>196</v>
      </c>
    </row>
    <row r="64" spans="1:4">
      <c r="A64" s="165" t="s">
        <v>4429</v>
      </c>
      <c r="C64" s="166" t="s">
        <v>1629</v>
      </c>
      <c r="D64" s="167">
        <v>680</v>
      </c>
    </row>
    <row r="65" spans="1:4">
      <c r="A65" s="165" t="s">
        <v>569</v>
      </c>
      <c r="C65" s="166" t="s">
        <v>1627</v>
      </c>
      <c r="D65" s="167">
        <v>3612</v>
      </c>
    </row>
    <row r="66" spans="1:4">
      <c r="A66" s="165" t="s">
        <v>577</v>
      </c>
      <c r="C66" s="166" t="s">
        <v>577</v>
      </c>
      <c r="D66" s="167">
        <v>4433</v>
      </c>
    </row>
    <row r="67" spans="1:4">
      <c r="A67" s="165" t="s">
        <v>570</v>
      </c>
      <c r="C67" s="166" t="s">
        <v>293</v>
      </c>
      <c r="D67" s="167">
        <v>748</v>
      </c>
    </row>
    <row r="68" spans="1:4">
      <c r="A68" s="165" t="s">
        <v>573</v>
      </c>
      <c r="C68" s="166" t="s">
        <v>494</v>
      </c>
      <c r="D68" s="167">
        <v>1154</v>
      </c>
    </row>
    <row r="69" spans="1:4">
      <c r="A69" s="165" t="s">
        <v>5231</v>
      </c>
      <c r="C69" s="166" t="s">
        <v>2449</v>
      </c>
      <c r="D69" s="167">
        <v>409</v>
      </c>
    </row>
    <row r="70" spans="1:4">
      <c r="A70" s="164" t="s">
        <v>4454</v>
      </c>
      <c r="C70" s="166" t="s">
        <v>2440</v>
      </c>
      <c r="D70" s="167">
        <v>1816</v>
      </c>
    </row>
    <row r="71" spans="1:4">
      <c r="A71" s="170" t="s">
        <v>571</v>
      </c>
      <c r="C71" s="166" t="s">
        <v>166</v>
      </c>
      <c r="D71" s="167">
        <v>3822</v>
      </c>
    </row>
    <row r="72" spans="1:4">
      <c r="A72" s="164" t="s">
        <v>297</v>
      </c>
      <c r="C72" s="166" t="s">
        <v>297</v>
      </c>
      <c r="D72" s="167">
        <v>1660</v>
      </c>
    </row>
    <row r="73" spans="1:4">
      <c r="A73" s="164" t="s">
        <v>574</v>
      </c>
      <c r="C73" s="166" t="s">
        <v>495</v>
      </c>
      <c r="D73" s="167">
        <v>400</v>
      </c>
    </row>
    <row r="74" spans="1:4">
      <c r="A74" s="164" t="s">
        <v>4480</v>
      </c>
      <c r="C74" s="166" t="s">
        <v>2419</v>
      </c>
      <c r="D74" s="167">
        <v>299</v>
      </c>
    </row>
    <row r="75" spans="1:4">
      <c r="A75" s="168" t="s">
        <v>588</v>
      </c>
      <c r="C75" s="166" t="s">
        <v>175</v>
      </c>
      <c r="D75" s="167">
        <v>3801</v>
      </c>
    </row>
    <row r="76" spans="1:4">
      <c r="A76" s="165" t="s">
        <v>592</v>
      </c>
      <c r="C76" s="166" t="s">
        <v>789</v>
      </c>
      <c r="D76" s="167">
        <v>538</v>
      </c>
    </row>
    <row r="77" spans="1:4">
      <c r="A77" s="165" t="s">
        <v>589</v>
      </c>
      <c r="C77" s="166" t="s">
        <v>320</v>
      </c>
      <c r="D77" s="167">
        <v>574</v>
      </c>
    </row>
    <row r="78" spans="1:4">
      <c r="A78" s="181" t="s">
        <v>591</v>
      </c>
      <c r="C78" s="166" t="s">
        <v>768</v>
      </c>
      <c r="D78" s="167">
        <v>186</v>
      </c>
    </row>
    <row r="79" spans="1:4">
      <c r="A79" s="165" t="s">
        <v>322</v>
      </c>
      <c r="C79" s="166" t="s">
        <v>322</v>
      </c>
      <c r="D79" s="167">
        <v>1596</v>
      </c>
    </row>
    <row r="80" spans="1:4">
      <c r="A80" s="165" t="s">
        <v>5192</v>
      </c>
      <c r="C80" s="166" t="s">
        <v>779</v>
      </c>
      <c r="D80" s="167">
        <v>363</v>
      </c>
    </row>
    <row r="81" spans="1:4">
      <c r="A81" s="170" t="s">
        <v>593</v>
      </c>
      <c r="C81" s="166" t="s">
        <v>169</v>
      </c>
      <c r="D81" s="167">
        <v>736</v>
      </c>
    </row>
    <row r="82" spans="1:4">
      <c r="A82" s="165" t="s">
        <v>595</v>
      </c>
      <c r="C82" s="166" t="s">
        <v>1909</v>
      </c>
      <c r="D82" s="167">
        <v>3220</v>
      </c>
    </row>
    <row r="83" spans="1:4">
      <c r="A83" s="165" t="s">
        <v>594</v>
      </c>
      <c r="C83" s="166" t="s">
        <v>306</v>
      </c>
      <c r="D83" s="167">
        <v>340</v>
      </c>
    </row>
    <row r="84" spans="1:4">
      <c r="A84" s="165" t="s">
        <v>5115</v>
      </c>
      <c r="C84" s="166" t="s">
        <v>6183</v>
      </c>
      <c r="D84" s="167">
        <v>37</v>
      </c>
    </row>
    <row r="85" spans="1:4">
      <c r="A85" s="165" t="s">
        <v>304</v>
      </c>
      <c r="C85" s="166" t="s">
        <v>304</v>
      </c>
      <c r="D85" s="167">
        <v>147</v>
      </c>
    </row>
    <row r="86" spans="1:4">
      <c r="A86" s="165" t="s">
        <v>461</v>
      </c>
      <c r="C86" s="166" t="s">
        <v>461</v>
      </c>
      <c r="D86" s="167">
        <v>158</v>
      </c>
    </row>
    <row r="87" spans="1:4">
      <c r="A87" s="165" t="s">
        <v>597</v>
      </c>
      <c r="C87" s="166" t="s">
        <v>597</v>
      </c>
      <c r="D87" s="167">
        <v>3419</v>
      </c>
    </row>
    <row r="88" spans="1:4">
      <c r="A88" s="169" t="s">
        <v>584</v>
      </c>
      <c r="C88" s="166" t="s">
        <v>163</v>
      </c>
      <c r="D88" s="167">
        <v>4062</v>
      </c>
    </row>
    <row r="89" spans="1:4">
      <c r="A89" s="164" t="s">
        <v>4562</v>
      </c>
      <c r="C89" s="166" t="s">
        <v>1823</v>
      </c>
      <c r="D89" s="167">
        <v>812</v>
      </c>
    </row>
    <row r="90" spans="1:4">
      <c r="A90" s="165" t="s">
        <v>4567</v>
      </c>
      <c r="C90" s="166" t="s">
        <v>1830</v>
      </c>
      <c r="D90" s="167">
        <v>305</v>
      </c>
    </row>
    <row r="91" spans="1:4">
      <c r="A91" s="182" t="s">
        <v>586</v>
      </c>
      <c r="C91" s="166" t="s">
        <v>289</v>
      </c>
      <c r="D91" s="167">
        <v>303</v>
      </c>
    </row>
    <row r="92" spans="1:4">
      <c r="A92" s="183" t="s">
        <v>585</v>
      </c>
      <c r="C92" s="166" t="s">
        <v>285</v>
      </c>
      <c r="D92" s="167">
        <v>292</v>
      </c>
    </row>
    <row r="93" spans="1:4">
      <c r="A93" s="164" t="s">
        <v>4568</v>
      </c>
      <c r="C93" s="166" t="s">
        <v>6184</v>
      </c>
      <c r="D93" s="167">
        <v>2296</v>
      </c>
    </row>
    <row r="94" spans="1:4">
      <c r="A94" s="165" t="s">
        <v>605</v>
      </c>
      <c r="C94" s="166" t="s">
        <v>605</v>
      </c>
      <c r="D94" s="167">
        <v>3347</v>
      </c>
    </row>
    <row r="95" spans="1:4">
      <c r="A95" s="170" t="s">
        <v>598</v>
      </c>
      <c r="C95" s="166" t="s">
        <v>178</v>
      </c>
      <c r="D95" s="167">
        <v>3752</v>
      </c>
    </row>
    <row r="96" spans="1:4">
      <c r="A96" s="165" t="s">
        <v>599</v>
      </c>
      <c r="C96" s="166" t="s">
        <v>329</v>
      </c>
      <c r="D96" s="167">
        <v>310</v>
      </c>
    </row>
    <row r="97" spans="1:4">
      <c r="A97" s="165" t="s">
        <v>602</v>
      </c>
      <c r="C97" s="166" t="s">
        <v>394</v>
      </c>
      <c r="D97" s="167">
        <v>226</v>
      </c>
    </row>
    <row r="98" spans="1:4">
      <c r="A98" s="165" t="s">
        <v>4588</v>
      </c>
      <c r="C98" s="166" t="s">
        <v>6185</v>
      </c>
      <c r="D98" s="167">
        <v>55</v>
      </c>
    </row>
    <row r="99" spans="1:4">
      <c r="A99" s="165" t="s">
        <v>603</v>
      </c>
      <c r="C99" s="166" t="s">
        <v>463</v>
      </c>
      <c r="D99" s="167">
        <v>487</v>
      </c>
    </row>
    <row r="100" spans="1:4">
      <c r="A100" s="165" t="s">
        <v>578</v>
      </c>
      <c r="C100" s="166" t="s">
        <v>310</v>
      </c>
      <c r="D100" s="167">
        <v>768</v>
      </c>
    </row>
    <row r="101" spans="1:4">
      <c r="A101" s="165" t="s">
        <v>311</v>
      </c>
      <c r="C101" s="166" t="s">
        <v>311</v>
      </c>
      <c r="D101" s="167">
        <v>555</v>
      </c>
    </row>
    <row r="102" spans="1:4">
      <c r="A102" s="165" t="s">
        <v>314</v>
      </c>
      <c r="C102" s="166" t="s">
        <v>314</v>
      </c>
      <c r="D102" s="167">
        <v>3429</v>
      </c>
    </row>
    <row r="103" spans="1:4">
      <c r="A103" s="164" t="s">
        <v>4608</v>
      </c>
      <c r="C103" s="166" t="s">
        <v>6186</v>
      </c>
      <c r="D103" s="167">
        <v>0</v>
      </c>
    </row>
    <row r="104" spans="1:4">
      <c r="A104" s="164" t="s">
        <v>388</v>
      </c>
      <c r="C104" s="166" t="s">
        <v>388</v>
      </c>
      <c r="D104" s="167">
        <v>3215</v>
      </c>
    </row>
    <row r="105" spans="1:4">
      <c r="A105" s="184" t="s">
        <v>4612</v>
      </c>
      <c r="C105" s="166" t="s">
        <v>5093</v>
      </c>
      <c r="D105" s="167">
        <v>248</v>
      </c>
    </row>
    <row r="106" spans="1:4">
      <c r="A106" s="165" t="s">
        <v>581</v>
      </c>
      <c r="C106" s="166" t="s">
        <v>316</v>
      </c>
      <c r="D106" s="167">
        <v>227</v>
      </c>
    </row>
    <row r="107" spans="1:4">
      <c r="A107" s="170" t="s">
        <v>4615</v>
      </c>
      <c r="C107" s="166" t="s">
        <v>6187</v>
      </c>
      <c r="D107" s="167">
        <v>6</v>
      </c>
    </row>
    <row r="108" spans="1:4">
      <c r="A108" s="170" t="s">
        <v>172</v>
      </c>
      <c r="C108" s="166" t="s">
        <v>312</v>
      </c>
      <c r="D108" s="167">
        <v>3242</v>
      </c>
    </row>
    <row r="109" spans="1:4">
      <c r="A109" s="164" t="s">
        <v>606</v>
      </c>
      <c r="C109" s="166" t="s">
        <v>357</v>
      </c>
      <c r="D109" s="167">
        <v>4197</v>
      </c>
    </row>
    <row r="110" spans="1:4">
      <c r="A110" s="164" t="s">
        <v>607</v>
      </c>
      <c r="C110" s="166" t="s">
        <v>360</v>
      </c>
      <c r="D110" s="167">
        <v>106</v>
      </c>
    </row>
    <row r="111" spans="1:4">
      <c r="A111" s="165" t="s">
        <v>465</v>
      </c>
      <c r="C111" s="166" t="s">
        <v>465</v>
      </c>
      <c r="D111" s="167">
        <v>3970</v>
      </c>
    </row>
    <row r="112" spans="1:4">
      <c r="A112" s="165" t="s">
        <v>608</v>
      </c>
      <c r="C112" s="166" t="s">
        <v>362</v>
      </c>
      <c r="D112" s="167">
        <v>3437</v>
      </c>
    </row>
    <row r="113" spans="1:4">
      <c r="A113" s="165" t="s">
        <v>4618</v>
      </c>
      <c r="C113" s="166" t="s">
        <v>6188</v>
      </c>
      <c r="D113" s="167">
        <v>32</v>
      </c>
    </row>
    <row r="114" spans="1:4">
      <c r="A114" s="164" t="s">
        <v>466</v>
      </c>
      <c r="C114" s="166" t="s">
        <v>466</v>
      </c>
      <c r="D114" s="167">
        <v>4113</v>
      </c>
    </row>
    <row r="115" spans="1:4">
      <c r="A115" s="164" t="s">
        <v>609</v>
      </c>
      <c r="C115" s="166" t="s">
        <v>354</v>
      </c>
      <c r="D115" s="167">
        <v>852</v>
      </c>
    </row>
    <row r="116" spans="1:4">
      <c r="A116" s="164" t="s">
        <v>610</v>
      </c>
      <c r="C116" s="166" t="s">
        <v>355</v>
      </c>
      <c r="D116" s="167">
        <v>3963</v>
      </c>
    </row>
    <row r="117" spans="1:4">
      <c r="A117" s="165" t="s">
        <v>611</v>
      </c>
      <c r="C117" s="166" t="s">
        <v>356</v>
      </c>
      <c r="D117" s="167">
        <v>258</v>
      </c>
    </row>
    <row r="118" spans="1:4">
      <c r="A118" s="165" t="s">
        <v>4625</v>
      </c>
      <c r="C118" s="166" t="s">
        <v>2597</v>
      </c>
      <c r="D118" s="167">
        <v>197</v>
      </c>
    </row>
    <row r="119" spans="1:4">
      <c r="A119" s="165" t="s">
        <v>4626</v>
      </c>
      <c r="C119" s="166" t="s">
        <v>6189</v>
      </c>
      <c r="D119" s="167">
        <v>285</v>
      </c>
    </row>
    <row r="120" spans="1:4">
      <c r="A120" s="164" t="s">
        <v>612</v>
      </c>
      <c r="C120" s="166" t="s">
        <v>469</v>
      </c>
      <c r="D120" s="167">
        <v>125</v>
      </c>
    </row>
    <row r="121" spans="1:4">
      <c r="A121" s="173" t="s">
        <v>4627</v>
      </c>
      <c r="C121" s="166" t="s">
        <v>6190</v>
      </c>
      <c r="D121" s="167">
        <v>20</v>
      </c>
    </row>
    <row r="122" spans="1:4">
      <c r="A122" s="165" t="s">
        <v>613</v>
      </c>
      <c r="C122" s="166" t="s">
        <v>331</v>
      </c>
      <c r="D122" s="167">
        <v>3753</v>
      </c>
    </row>
    <row r="123" spans="1:4">
      <c r="A123" s="165" t="s">
        <v>614</v>
      </c>
      <c r="C123" s="166" t="s">
        <v>330</v>
      </c>
      <c r="D123" s="167">
        <v>374</v>
      </c>
    </row>
    <row r="124" spans="1:4">
      <c r="A124" s="185" t="s">
        <v>615</v>
      </c>
      <c r="C124" s="166" t="s">
        <v>340</v>
      </c>
      <c r="D124" s="167">
        <v>3350</v>
      </c>
    </row>
    <row r="125" spans="1:4">
      <c r="A125" s="165" t="s">
        <v>616</v>
      </c>
      <c r="C125" s="166" t="s">
        <v>337</v>
      </c>
      <c r="D125" s="167">
        <v>431</v>
      </c>
    </row>
    <row r="126" spans="1:4">
      <c r="A126" s="186" t="s">
        <v>617</v>
      </c>
      <c r="C126" s="166" t="s">
        <v>334</v>
      </c>
      <c r="D126" s="167">
        <v>322</v>
      </c>
    </row>
    <row r="127" spans="1:4">
      <c r="A127" s="170" t="s">
        <v>4636</v>
      </c>
      <c r="C127" s="166" t="s">
        <v>6191</v>
      </c>
      <c r="D127" s="167">
        <v>22</v>
      </c>
    </row>
    <row r="128" spans="1:4">
      <c r="A128" s="165" t="s">
        <v>618</v>
      </c>
      <c r="C128" s="166" t="s">
        <v>378</v>
      </c>
      <c r="D128" s="167">
        <v>431</v>
      </c>
    </row>
    <row r="129" spans="1:4">
      <c r="A129" s="164" t="s">
        <v>619</v>
      </c>
      <c r="C129" s="166" t="s">
        <v>471</v>
      </c>
      <c r="D129" s="167">
        <v>210</v>
      </c>
    </row>
    <row r="130" spans="1:4">
      <c r="A130" s="164" t="s">
        <v>620</v>
      </c>
      <c r="C130" s="166" t="s">
        <v>472</v>
      </c>
      <c r="D130" s="167">
        <v>63</v>
      </c>
    </row>
    <row r="131" spans="1:4">
      <c r="A131" s="165" t="s">
        <v>621</v>
      </c>
      <c r="C131" s="166" t="s">
        <v>341</v>
      </c>
      <c r="D131" s="167">
        <v>460</v>
      </c>
    </row>
    <row r="132" spans="1:4">
      <c r="A132" s="165" t="s">
        <v>622</v>
      </c>
      <c r="C132" s="166" t="s">
        <v>473</v>
      </c>
      <c r="D132" s="167">
        <v>154</v>
      </c>
    </row>
    <row r="133" spans="1:4">
      <c r="A133" s="174" t="s">
        <v>623</v>
      </c>
      <c r="C133" s="166" t="s">
        <v>344</v>
      </c>
      <c r="D133" s="167">
        <v>363</v>
      </c>
    </row>
    <row r="134" spans="1:4">
      <c r="A134" s="165" t="s">
        <v>624</v>
      </c>
      <c r="C134" s="166" t="s">
        <v>474</v>
      </c>
      <c r="D134" s="167">
        <v>382</v>
      </c>
    </row>
    <row r="135" spans="1:4">
      <c r="A135" s="187" t="s">
        <v>4649</v>
      </c>
      <c r="C135" s="166" t="s">
        <v>6192</v>
      </c>
      <c r="D135" s="167">
        <v>22</v>
      </c>
    </row>
    <row r="136" spans="1:4">
      <c r="A136" s="164" t="s">
        <v>4650</v>
      </c>
      <c r="C136" s="166" t="s">
        <v>4650</v>
      </c>
      <c r="D136" s="167">
        <v>23</v>
      </c>
    </row>
    <row r="137" spans="1:4">
      <c r="A137" s="165" t="s">
        <v>476</v>
      </c>
      <c r="C137" s="166" t="s">
        <v>476</v>
      </c>
      <c r="D137" s="167">
        <v>3733</v>
      </c>
    </row>
    <row r="138" spans="1:4">
      <c r="A138" s="164" t="s">
        <v>625</v>
      </c>
      <c r="C138" s="166" t="s">
        <v>365</v>
      </c>
      <c r="D138" s="167">
        <v>453</v>
      </c>
    </row>
    <row r="139" spans="1:4">
      <c r="A139" s="165" t="s">
        <v>626</v>
      </c>
      <c r="C139" s="166" t="s">
        <v>368</v>
      </c>
      <c r="D139" s="167">
        <v>916</v>
      </c>
    </row>
    <row r="140" spans="1:4">
      <c r="A140" s="164" t="s">
        <v>373</v>
      </c>
      <c r="C140" s="166" t="s">
        <v>373</v>
      </c>
      <c r="D140" s="167">
        <v>218</v>
      </c>
    </row>
    <row r="141" spans="1:4">
      <c r="A141" s="169" t="s">
        <v>4662</v>
      </c>
      <c r="C141" s="166" t="s">
        <v>6193</v>
      </c>
      <c r="D141" s="167">
        <v>18</v>
      </c>
    </row>
    <row r="142" spans="1:4">
      <c r="A142" s="169" t="s">
        <v>566</v>
      </c>
      <c r="C142" s="166" t="s">
        <v>278</v>
      </c>
      <c r="D142" s="167">
        <v>239</v>
      </c>
    </row>
    <row r="143" spans="1:4">
      <c r="A143" s="168" t="s">
        <v>510</v>
      </c>
      <c r="C143" t="s">
        <v>1307</v>
      </c>
      <c r="D143" s="167">
        <v>395</v>
      </c>
    </row>
  </sheetData>
  <conditionalFormatting sqref="A1">
    <cfRule type="duplicateValues" dxfId="0" priority="3"/>
  </conditionalFormatting>
  <conditionalFormatting sqref="A2">
    <cfRule type="duplicateValues" dxfId="0" priority="2"/>
  </conditionalFormatting>
  <conditionalFormatting sqref="A5">
    <cfRule type="duplicateValues" dxfId="0" priority="1"/>
  </conditionalFormatting>
  <conditionalFormatting sqref="A10">
    <cfRule type="duplicateValues" dxfId="0" priority="4"/>
  </conditionalFormatting>
  <conditionalFormatting sqref="A7:A8">
    <cfRule type="duplicateValues" dxfId="0" priority="5"/>
  </conditionalFormatting>
  <hyperlinks>
    <hyperlink ref="A36" r:id="rId1" display="www.bluespringsfordparts.com"/>
    <hyperlink ref="A32" r:id="rId2" display="accessories.ford.com"/>
    <hyperlink ref="A48" r:id="rId3" display="www.moparpartsprime.com"/>
    <hyperlink ref="A51" r:id="rId4" display="www.courtesyparts.com"/>
    <hyperlink ref="A8" r:id="rId5" display="www.gmpartsdirect.co"/>
    <hyperlink ref="A18" r:id="rId6" display="www.hondapartscheap.com"/>
    <hyperlink ref="A22" r:id="rId7" display="www.toyotapartsdeal.com"/>
    <hyperlink ref="A2" r:id="rId8" display="www.gmpartsgiant.com"/>
    <hyperlink ref="A12" r:id="rId9" display="www.bernardiparts.com"/>
    <hyperlink ref="A57" r:id="rId10" display="www.nissanparts.cc"/>
    <hyperlink ref="A27" r:id="rId11" display="www.oempartsource.com" tooltip="http://www.oempartsource.com"/>
    <hyperlink ref="A65" r:id="rId12" display="www.hyundaionlineparts.net"/>
    <hyperlink ref="A60" r:id="rId13" display="www.hyundaioemparts.com"/>
    <hyperlink ref="A127" r:id="rId14" display="www.mazdapartsprime.com"/>
    <hyperlink ref="A113" r:id="rId15" display="www.erievolvo.com"/>
    <hyperlink ref="A111" r:id="rId16" display="usparts.volvocars.com"/>
    <hyperlink ref="A123" r:id="rId17" display="www.realmazdaparts.com"/>
    <hyperlink ref="A121" r:id="rId18" display="www.vwpartsprime.com"/>
    <hyperlink ref="A80" r:id="rId19" display="www.acuraautomotiveparts.org"/>
    <hyperlink ref="A79" r:id="rId20" display="acura.bernardiparts.com"/>
    <hyperlink ref="A76" r:id="rId21" display="www.acuraoemparts.com"/>
    <hyperlink ref="A97" r:id="rId22" display="www.discountinfinitiparts.com"/>
    <hyperlink ref="A98" r:id="rId23" display="www.nissaninfinitiparts.com"/>
    <hyperlink ref="A128" r:id="rId24" display="www.mitsubishipartswarehouse.com"/>
    <hyperlink ref="A90" r:id="rId25" display="www.kiapartsdepartment.com"/>
    <hyperlink ref="A119" r:id="rId26" display="www.vwpartsdepartment.com"/>
    <hyperlink ref="A92" r:id="rId27" display="www.kia.parts"/>
    <hyperlink ref="A105" r:id="rId28" display="www.bmwpartsupply.com"/>
    <hyperlink ref="A75" r:id="rId29" display="www.acurapartswarehouse.com"/>
    <hyperlink ref="A143" r:id="rId11" display="www.oempartsource.com"/>
  </hyperlinks>
  <pageMargins left="0.7" right="0.7" top="0.75" bottom="0.75" header="0.3" footer="0.3"/>
  <pageSetup paperSize="9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36"/>
  <sheetViews>
    <sheetView workbookViewId="0">
      <selection activeCell="A1" sqref="A1"/>
    </sheetView>
  </sheetViews>
  <sheetFormatPr defaultColWidth="9" defaultRowHeight="14.4"/>
  <sheetData>
    <row r="1" spans="1:1">
      <c r="A1" s="108" t="s">
        <v>500</v>
      </c>
    </row>
    <row r="2" spans="1:1">
      <c r="A2" s="155" t="s">
        <v>501</v>
      </c>
    </row>
    <row r="3" spans="1:1">
      <c r="A3" s="108" t="s">
        <v>504</v>
      </c>
    </row>
    <row r="4" spans="1:1">
      <c r="A4" s="108" t="s">
        <v>503</v>
      </c>
    </row>
    <row r="5" spans="1:1">
      <c r="A5" s="108" t="s">
        <v>499</v>
      </c>
    </row>
    <row r="6" spans="1:1">
      <c r="A6" s="108" t="s">
        <v>505</v>
      </c>
    </row>
    <row r="7" spans="1:1">
      <c r="A7" s="108" t="s">
        <v>506</v>
      </c>
    </row>
    <row r="8" spans="1:1">
      <c r="A8" s="108" t="s">
        <v>5202</v>
      </c>
    </row>
    <row r="9" spans="1:1">
      <c r="A9" s="88" t="s">
        <v>147</v>
      </c>
    </row>
    <row r="10" spans="1:1">
      <c r="A10" s="105" t="s">
        <v>515</v>
      </c>
    </row>
    <row r="11" spans="1:1">
      <c r="A11" s="108" t="s">
        <v>526</v>
      </c>
    </row>
    <row r="12" spans="1:1">
      <c r="A12" s="108" t="s">
        <v>519</v>
      </c>
    </row>
    <row r="13" spans="1:1">
      <c r="A13" s="108" t="s">
        <v>527</v>
      </c>
    </row>
    <row r="14" spans="1:1">
      <c r="A14" s="108" t="s">
        <v>525</v>
      </c>
    </row>
    <row r="15" spans="1:1">
      <c r="A15" s="108" t="s">
        <v>517</v>
      </c>
    </row>
    <row r="16" spans="1:1">
      <c r="A16" s="108" t="s">
        <v>516</v>
      </c>
    </row>
    <row r="17" spans="1:1">
      <c r="A17" s="108" t="s">
        <v>4196</v>
      </c>
    </row>
    <row r="18" spans="1:1">
      <c r="A18" s="102" t="s">
        <v>523</v>
      </c>
    </row>
    <row r="19" spans="1:1">
      <c r="A19" s="112" t="s">
        <v>4197</v>
      </c>
    </row>
    <row r="20" spans="1:1">
      <c r="A20" s="89" t="s">
        <v>242</v>
      </c>
    </row>
    <row r="21" spans="1:1">
      <c r="A21" s="108" t="s">
        <v>534</v>
      </c>
    </row>
    <row r="22" spans="1:1">
      <c r="A22" s="141" t="s">
        <v>528</v>
      </c>
    </row>
    <row r="23" spans="1:1">
      <c r="A23" s="108" t="s">
        <v>4114</v>
      </c>
    </row>
    <row r="24" spans="1:1">
      <c r="A24" s="89" t="s">
        <v>244</v>
      </c>
    </row>
    <row r="25" spans="1:1">
      <c r="A25" s="108" t="s">
        <v>416</v>
      </c>
    </row>
    <row r="26" spans="1:1">
      <c r="A26" s="89" t="s">
        <v>2556</v>
      </c>
    </row>
    <row r="27" spans="1:1">
      <c r="A27" s="88" t="s">
        <v>143</v>
      </c>
    </row>
    <row r="28" spans="1:1">
      <c r="A28" s="108" t="s">
        <v>554</v>
      </c>
    </row>
    <row r="29" spans="1:1">
      <c r="A29" s="105" t="s">
        <v>546</v>
      </c>
    </row>
    <row r="30" spans="1:1">
      <c r="A30" s="114" t="s">
        <v>507</v>
      </c>
    </row>
    <row r="31" spans="1:1">
      <c r="A31" s="108" t="s">
        <v>555</v>
      </c>
    </row>
    <row r="32" spans="1:1">
      <c r="A32" s="108" t="s">
        <v>556</v>
      </c>
    </row>
    <row r="33" spans="1:1">
      <c r="A33" s="108" t="s">
        <v>270</v>
      </c>
    </row>
    <row r="34" spans="1:1">
      <c r="A34" s="108" t="s">
        <v>548</v>
      </c>
    </row>
    <row r="35" spans="1:1">
      <c r="A35" s="108" t="s">
        <v>547</v>
      </c>
    </row>
    <row r="36" spans="1:1">
      <c r="A36" s="156" t="s">
        <v>549</v>
      </c>
    </row>
    <row r="37" spans="1:1">
      <c r="A37" s="88" t="s">
        <v>154</v>
      </c>
    </row>
    <row r="38" spans="1:1">
      <c r="A38" s="108" t="s">
        <v>537</v>
      </c>
    </row>
    <row r="39" spans="1:1">
      <c r="A39" s="105" t="s">
        <v>535</v>
      </c>
    </row>
    <row r="40" spans="1:1">
      <c r="A40" s="108" t="s">
        <v>539</v>
      </c>
    </row>
    <row r="41" spans="1:1">
      <c r="A41" s="113" t="s">
        <v>4271</v>
      </c>
    </row>
    <row r="42" spans="1:1">
      <c r="A42" s="108" t="s">
        <v>541</v>
      </c>
    </row>
    <row r="43" spans="1:1">
      <c r="A43" s="108" t="s">
        <v>2141</v>
      </c>
    </row>
    <row r="44" spans="1:1">
      <c r="A44" s="157" t="s">
        <v>4279</v>
      </c>
    </row>
    <row r="45" spans="1:1">
      <c r="A45" s="105" t="s">
        <v>4287</v>
      </c>
    </row>
    <row r="46" spans="1:1">
      <c r="A46" s="89" t="s">
        <v>562</v>
      </c>
    </row>
    <row r="47" spans="1:1">
      <c r="A47" s="134" t="s">
        <v>557</v>
      </c>
    </row>
    <row r="48" spans="1:1">
      <c r="A48" s="108" t="s">
        <v>560</v>
      </c>
    </row>
    <row r="49" spans="1:1">
      <c r="A49" s="135" t="s">
        <v>4391</v>
      </c>
    </row>
    <row r="50" spans="1:1">
      <c r="A50" s="108" t="s">
        <v>5225</v>
      </c>
    </row>
    <row r="51" spans="1:1">
      <c r="A51" s="89" t="s">
        <v>4399</v>
      </c>
    </row>
    <row r="52" spans="1:1">
      <c r="A52" s="89" t="s">
        <v>563</v>
      </c>
    </row>
    <row r="53" spans="1:1">
      <c r="A53" s="158" t="s">
        <v>4401</v>
      </c>
    </row>
    <row r="54" spans="1:1">
      <c r="A54" s="158" t="s">
        <v>559</v>
      </c>
    </row>
    <row r="55" spans="1:1">
      <c r="A55" s="108" t="s">
        <v>558</v>
      </c>
    </row>
    <row r="56" spans="1:1">
      <c r="A56" s="159" t="s">
        <v>5681</v>
      </c>
    </row>
    <row r="57" spans="1:1">
      <c r="A57" s="105" t="s">
        <v>564</v>
      </c>
    </row>
    <row r="58" spans="1:1">
      <c r="A58" s="108" t="s">
        <v>568</v>
      </c>
    </row>
    <row r="59" spans="1:1">
      <c r="A59" s="108" t="s">
        <v>565</v>
      </c>
    </row>
    <row r="60" spans="1:1">
      <c r="A60" s="108" t="s">
        <v>567</v>
      </c>
    </row>
    <row r="61" spans="1:1">
      <c r="A61" s="108" t="s">
        <v>4425</v>
      </c>
    </row>
    <row r="62" spans="1:1">
      <c r="A62" s="108" t="s">
        <v>4429</v>
      </c>
    </row>
    <row r="63" spans="1:1">
      <c r="A63" s="108" t="s">
        <v>569</v>
      </c>
    </row>
    <row r="64" spans="1:1">
      <c r="A64" s="108" t="s">
        <v>577</v>
      </c>
    </row>
    <row r="65" spans="1:1">
      <c r="A65" s="108" t="s">
        <v>570</v>
      </c>
    </row>
    <row r="66" spans="1:1">
      <c r="A66" s="108" t="s">
        <v>573</v>
      </c>
    </row>
    <row r="67" spans="1:1">
      <c r="A67" s="108" t="s">
        <v>5231</v>
      </c>
    </row>
    <row r="68" spans="1:1">
      <c r="A68" s="89" t="s">
        <v>4454</v>
      </c>
    </row>
    <row r="69" spans="1:1">
      <c r="A69" s="105" t="s">
        <v>571</v>
      </c>
    </row>
    <row r="70" spans="1:1">
      <c r="A70" s="89" t="s">
        <v>297</v>
      </c>
    </row>
    <row r="71" spans="1:1">
      <c r="A71" s="89" t="s">
        <v>4480</v>
      </c>
    </row>
    <row r="72" spans="1:1">
      <c r="A72" s="108" t="s">
        <v>526</v>
      </c>
    </row>
    <row r="73" spans="1:1">
      <c r="A73" s="88" t="s">
        <v>588</v>
      </c>
    </row>
    <row r="74" spans="1:1">
      <c r="A74" s="108" t="s">
        <v>592</v>
      </c>
    </row>
    <row r="75" spans="1:1">
      <c r="A75" s="108" t="s">
        <v>589</v>
      </c>
    </row>
    <row r="76" spans="1:1">
      <c r="A76" s="90" t="s">
        <v>591</v>
      </c>
    </row>
    <row r="77" spans="1:1">
      <c r="A77" s="108" t="s">
        <v>322</v>
      </c>
    </row>
    <row r="78" spans="1:1">
      <c r="A78" s="108" t="s">
        <v>5192</v>
      </c>
    </row>
    <row r="79" spans="1:1">
      <c r="A79" s="160" t="s">
        <v>593</v>
      </c>
    </row>
    <row r="80" spans="1:1">
      <c r="A80" s="143" t="s">
        <v>595</v>
      </c>
    </row>
    <row r="81" spans="1:1">
      <c r="A81" s="108" t="s">
        <v>594</v>
      </c>
    </row>
    <row r="82" spans="1:1">
      <c r="A82" s="108" t="s">
        <v>5115</v>
      </c>
    </row>
    <row r="83" spans="1:1">
      <c r="A83" s="88" t="s">
        <v>584</v>
      </c>
    </row>
    <row r="84" spans="1:1">
      <c r="A84" s="89" t="s">
        <v>4562</v>
      </c>
    </row>
    <row r="85" spans="1:1">
      <c r="A85" s="108" t="s">
        <v>4567</v>
      </c>
    </row>
    <row r="86" spans="1:1">
      <c r="A86" s="161" t="s">
        <v>586</v>
      </c>
    </row>
    <row r="87" spans="1:1">
      <c r="A87" s="162" t="s">
        <v>585</v>
      </c>
    </row>
    <row r="88" spans="1:1">
      <c r="A88" s="89" t="s">
        <v>4568</v>
      </c>
    </row>
    <row r="89" spans="1:1">
      <c r="A89" s="108" t="s">
        <v>605</v>
      </c>
    </row>
    <row r="90" spans="1:1">
      <c r="A90" s="105" t="s">
        <v>598</v>
      </c>
    </row>
    <row r="91" spans="1:1">
      <c r="A91" s="108" t="s">
        <v>599</v>
      </c>
    </row>
    <row r="92" spans="1:1">
      <c r="A92" s="108" t="s">
        <v>602</v>
      </c>
    </row>
    <row r="93" spans="1:1">
      <c r="A93" s="108" t="s">
        <v>4588</v>
      </c>
    </row>
    <row r="94" spans="1:1">
      <c r="A94" s="108" t="s">
        <v>603</v>
      </c>
    </row>
    <row r="95" spans="1:1">
      <c r="A95" s="108" t="s">
        <v>578</v>
      </c>
    </row>
    <row r="96" spans="1:1">
      <c r="A96" s="114" t="s">
        <v>311</v>
      </c>
    </row>
    <row r="97" spans="1:1">
      <c r="A97" s="108" t="s">
        <v>314</v>
      </c>
    </row>
    <row r="98" spans="1:1">
      <c r="A98" s="89" t="s">
        <v>4608</v>
      </c>
    </row>
    <row r="99" spans="1:1">
      <c r="A99" s="89" t="s">
        <v>388</v>
      </c>
    </row>
    <row r="100" ht="41.4" spans="1:1">
      <c r="A100" s="163" t="s">
        <v>4612</v>
      </c>
    </row>
    <row r="101" spans="1:1">
      <c r="A101" s="108" t="s">
        <v>581</v>
      </c>
    </row>
    <row r="102" spans="1:1">
      <c r="A102" s="105" t="s">
        <v>4615</v>
      </c>
    </row>
    <row r="103" spans="1:1">
      <c r="A103" s="105" t="s">
        <v>172</v>
      </c>
    </row>
    <row r="104" spans="1:1">
      <c r="A104" s="89" t="s">
        <v>606</v>
      </c>
    </row>
    <row r="105" spans="1:1">
      <c r="A105" s="89" t="s">
        <v>607</v>
      </c>
    </row>
    <row r="106" spans="1:1">
      <c r="A106" s="108" t="s">
        <v>465</v>
      </c>
    </row>
    <row r="107" spans="1:1">
      <c r="A107" s="108" t="s">
        <v>608</v>
      </c>
    </row>
    <row r="108" spans="1:1">
      <c r="A108" s="108" t="s">
        <v>4618</v>
      </c>
    </row>
    <row r="109" spans="1:1">
      <c r="A109" s="89" t="s">
        <v>466</v>
      </c>
    </row>
    <row r="110" spans="1:1">
      <c r="A110" s="89" t="s">
        <v>609</v>
      </c>
    </row>
    <row r="111" spans="1:1">
      <c r="A111" s="89" t="s">
        <v>610</v>
      </c>
    </row>
    <row r="112" spans="1:1">
      <c r="A112" s="108" t="s">
        <v>611</v>
      </c>
    </row>
    <row r="113" spans="1:1">
      <c r="A113" s="108" t="s">
        <v>4625</v>
      </c>
    </row>
    <row r="114" spans="1:1">
      <c r="A114" s="108" t="s">
        <v>4626</v>
      </c>
    </row>
    <row r="115" spans="1:1">
      <c r="A115" s="89" t="s">
        <v>612</v>
      </c>
    </row>
    <row r="116" spans="1:1">
      <c r="A116" s="141" t="s">
        <v>4627</v>
      </c>
    </row>
    <row r="117" spans="1:1">
      <c r="A117" s="108" t="s">
        <v>613</v>
      </c>
    </row>
    <row r="118" spans="1:1">
      <c r="A118" s="108" t="s">
        <v>614</v>
      </c>
    </row>
    <row r="119" spans="1:1">
      <c r="A119" s="91" t="s">
        <v>615</v>
      </c>
    </row>
    <row r="120" spans="1:1">
      <c r="A120" s="143" t="s">
        <v>616</v>
      </c>
    </row>
    <row r="121" ht="55.2" spans="1:1">
      <c r="A121" s="144" t="s">
        <v>617</v>
      </c>
    </row>
    <row r="122" spans="1:1">
      <c r="A122" s="105" t="s">
        <v>4636</v>
      </c>
    </row>
    <row r="123" spans="1:1">
      <c r="A123" s="108" t="s">
        <v>618</v>
      </c>
    </row>
    <row r="124" spans="1:1">
      <c r="A124" s="89" t="s">
        <v>619</v>
      </c>
    </row>
    <row r="125" spans="1:1">
      <c r="A125" s="89" t="s">
        <v>620</v>
      </c>
    </row>
    <row r="126" spans="1:1">
      <c r="A126" s="108" t="s">
        <v>621</v>
      </c>
    </row>
    <row r="127" spans="1:1">
      <c r="A127" s="108" t="s">
        <v>622</v>
      </c>
    </row>
    <row r="128" spans="1:1">
      <c r="A128" s="114" t="s">
        <v>623</v>
      </c>
    </row>
    <row r="129" spans="1:1">
      <c r="A129" s="108" t="s">
        <v>624</v>
      </c>
    </row>
    <row r="130" spans="1:1">
      <c r="A130" s="150" t="s">
        <v>4649</v>
      </c>
    </row>
    <row r="131" spans="1:1">
      <c r="A131" s="89" t="s">
        <v>4650</v>
      </c>
    </row>
    <row r="132" spans="1:1">
      <c r="A132" s="108" t="s">
        <v>476</v>
      </c>
    </row>
    <row r="133" spans="1:1">
      <c r="A133" s="89" t="s">
        <v>625</v>
      </c>
    </row>
    <row r="134" spans="1:1">
      <c r="A134" s="108" t="s">
        <v>626</v>
      </c>
    </row>
    <row r="135" spans="1:1">
      <c r="A135" s="89" t="s">
        <v>373</v>
      </c>
    </row>
    <row r="136" spans="1:1">
      <c r="A136" s="88" t="s">
        <v>4662</v>
      </c>
    </row>
  </sheetData>
  <conditionalFormatting sqref="A1">
    <cfRule type="duplicateValues" dxfId="0" priority="4"/>
  </conditionalFormatting>
  <conditionalFormatting sqref="A2">
    <cfRule type="duplicateValues" dxfId="0" priority="3"/>
  </conditionalFormatting>
  <conditionalFormatting sqref="A5">
    <cfRule type="duplicateValues" dxfId="0" priority="2"/>
  </conditionalFormatting>
  <conditionalFormatting sqref="A10">
    <cfRule type="duplicateValues" dxfId="0" priority="1"/>
  </conditionalFormatting>
  <conditionalFormatting sqref="A7:A8">
    <cfRule type="duplicateValues" dxfId="0" priority="5"/>
  </conditionalFormatting>
  <hyperlinks>
    <hyperlink ref="A8" r:id="rId1" display="www.gmpartsdirect.co"/>
    <hyperlink ref="A2" r:id="rId2" display="www.gmpartsgiant.com"/>
    <hyperlink ref="A18" r:id="rId3" display="www.hondapartscheap.com"/>
    <hyperlink ref="A12" r:id="rId4" display="www.bernardiparts.com"/>
    <hyperlink ref="A22" r:id="rId5" display="www.toyotapartsdeal.com"/>
    <hyperlink ref="A35" r:id="rId6" display="www.bluespringsfordparts.com"/>
    <hyperlink ref="A31" r:id="rId7" display="accessories.ford.com"/>
    <hyperlink ref="A45" r:id="rId8" display="www.moparpartsprime.com"/>
    <hyperlink ref="A48" r:id="rId9" display="www.courtesyparts.com"/>
    <hyperlink ref="A54" r:id="rId10" display="www.nissanparts.cc"/>
    <hyperlink ref="A63" r:id="rId11" display="www.hyundaionlineparts.net"/>
    <hyperlink ref="A58" r:id="rId12" display="www.hyundaioemparts.com"/>
    <hyperlink ref="A78" r:id="rId13" display="www.acuraautomotiveparts.org"/>
    <hyperlink ref="A77" r:id="rId14" display="acura.bernardiparts.com"/>
    <hyperlink ref="A74" r:id="rId15" display="www.acuraoemparts.com"/>
    <hyperlink ref="A85" r:id="rId16" display="www.kiapartsdepartment.com"/>
    <hyperlink ref="A87" r:id="rId17" display="www.kia.parts"/>
    <hyperlink ref="A92" r:id="rId18" display="www.discountinfinitiparts.com"/>
    <hyperlink ref="A93" r:id="rId19" display="www.nissaninfinitiparts.com"/>
    <hyperlink ref="A100" r:id="rId20" display="www.bmwpartsupply.com"/>
    <hyperlink ref="A108" r:id="rId21" display="www.erievolvo.com"/>
    <hyperlink ref="A106" r:id="rId22" display="usparts.volvocars.com"/>
    <hyperlink ref="A116" r:id="rId23" display="www.vwpartsprime.com"/>
    <hyperlink ref="A114" r:id="rId24" display="www.vwpartsdepartment.com"/>
    <hyperlink ref="A122" r:id="rId25" display="www.mazdapartsprime.com"/>
    <hyperlink ref="A118" r:id="rId26" display="www.realmazdaparts.com"/>
    <hyperlink ref="A123" r:id="rId27" display="www.mitsubishipartswarehouse.com"/>
  </hyperlinks>
  <pageMargins left="0.7" right="0.7" top="0.75" bottom="0.75" header="0.3" footer="0.3"/>
  <pageSetup paperSize="9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26"/>
  <sheetViews>
    <sheetView workbookViewId="0">
      <selection activeCell="A1" sqref="A1"/>
    </sheetView>
  </sheetViews>
  <sheetFormatPr defaultColWidth="9" defaultRowHeight="13.8"/>
  <cols>
    <col min="1" max="1" width="19.1111111111111" style="89" customWidth="1"/>
    <col min="2" max="2" width="28.3333333333333" style="89" customWidth="1"/>
    <col min="3" max="3" width="27.7777777777778" style="90" customWidth="1"/>
    <col min="4" max="4" width="8.22222222222222" style="89" customWidth="1"/>
    <col min="5" max="5" width="19.8888888888889" style="89" customWidth="1"/>
    <col min="6" max="6" width="21.4444444444444" style="91" customWidth="1"/>
    <col min="7" max="7" width="21.3333333333333" style="91" customWidth="1"/>
    <col min="8" max="8" width="18.7777777777778" style="91" customWidth="1"/>
    <col min="9" max="9" width="8.66666666666667" style="92" hidden="1" customWidth="1"/>
    <col min="10" max="10" width="9.33333333333333" style="91" hidden="1" customWidth="1"/>
    <col min="11" max="11" width="17.4444444444444" style="94" customWidth="1"/>
    <col min="12" max="12" width="17.7777777777778" style="89" customWidth="1"/>
    <col min="13" max="13" width="17.1111111111111" style="89" customWidth="1"/>
    <col min="14" max="14" width="12.2222222222222" style="89" customWidth="1"/>
    <col min="15" max="15" width="18" style="95" customWidth="1"/>
    <col min="16" max="16" width="20.7777777777778" style="95" customWidth="1"/>
    <col min="17" max="17" width="10.8888888888889" style="89" customWidth="1"/>
    <col min="18" max="18" width="11.1111111111111" style="89" customWidth="1"/>
    <col min="19" max="19" width="10.8888888888889" style="89" customWidth="1"/>
    <col min="20" max="20" width="10.2222222222222" style="89" customWidth="1"/>
    <col min="21" max="21" width="11" style="89" customWidth="1"/>
    <col min="22" max="22" width="10.2222222222222" style="89" customWidth="1"/>
    <col min="23" max="16384" width="9" style="89"/>
  </cols>
  <sheetData>
    <row r="1" ht="27.6" customHeight="1" spans="1:22">
      <c r="A1" s="96" t="s">
        <v>145</v>
      </c>
      <c r="B1" s="97"/>
      <c r="C1" s="98"/>
      <c r="E1" s="99" t="s">
        <v>2</v>
      </c>
      <c r="F1" s="100"/>
      <c r="G1" s="100"/>
      <c r="H1" s="100"/>
      <c r="I1" s="115"/>
      <c r="J1" s="100"/>
      <c r="L1" s="102"/>
      <c r="M1" s="102"/>
      <c r="P1" s="116"/>
      <c r="Q1" s="128"/>
      <c r="R1" s="132"/>
      <c r="S1" s="116"/>
      <c r="T1" s="128"/>
      <c r="U1" s="128"/>
      <c r="V1" s="132"/>
    </row>
    <row r="2" ht="46.8" spans="1:22">
      <c r="A2" s="101" t="s">
        <v>3944</v>
      </c>
      <c r="B2" s="102" t="s">
        <v>207</v>
      </c>
      <c r="C2" s="101" t="s">
        <v>447</v>
      </c>
      <c r="D2" s="89" t="s">
        <v>209</v>
      </c>
      <c r="E2" s="101" t="s">
        <v>210</v>
      </c>
      <c r="F2" s="103" t="s">
        <v>6086</v>
      </c>
      <c r="G2" s="104" t="s">
        <v>6194</v>
      </c>
      <c r="H2" s="104" t="s">
        <v>6195</v>
      </c>
      <c r="I2" s="117" t="s">
        <v>6196</v>
      </c>
      <c r="J2" s="91" t="s">
        <v>6197</v>
      </c>
      <c r="K2" s="118" t="s">
        <v>0</v>
      </c>
      <c r="L2" s="119" t="s">
        <v>6091</v>
      </c>
      <c r="M2" s="101" t="s">
        <v>6092</v>
      </c>
      <c r="N2" s="120" t="s">
        <v>6198</v>
      </c>
      <c r="O2" s="119" t="s">
        <v>225</v>
      </c>
      <c r="P2" s="120" t="s">
        <v>226</v>
      </c>
      <c r="Q2" s="119"/>
      <c r="R2" s="119"/>
      <c r="S2" s="119"/>
      <c r="T2" s="119"/>
      <c r="U2" s="119"/>
      <c r="V2" s="119"/>
    </row>
    <row r="3" s="88" customFormat="1" ht="15.15" spans="1:22">
      <c r="A3" s="89" t="s">
        <v>230</v>
      </c>
      <c r="B3" s="108" t="s">
        <v>500</v>
      </c>
      <c r="C3" s="89" t="s">
        <v>233</v>
      </c>
      <c r="D3" s="89" t="s">
        <v>417</v>
      </c>
      <c r="E3" s="91">
        <v>0</v>
      </c>
      <c r="F3" s="91">
        <v>437292.833333333</v>
      </c>
      <c r="G3" s="92">
        <f t="shared" ref="G3:G11" si="0">F3/F$12</f>
        <v>0.238671394144232</v>
      </c>
      <c r="H3" s="92">
        <v>0.247697029755675</v>
      </c>
      <c r="I3" s="109" t="str">
        <f t="shared" ref="I3:I11" si="1">IFERROR(J3*0.5/$F$3,"")</f>
        <v/>
      </c>
      <c r="J3" s="91" t="s">
        <v>180</v>
      </c>
      <c r="K3" s="118" t="e">
        <f>VLOOKUP(B3,正厂竞争者数据汇总!D:H,11,FALSE)</f>
        <v>#N/A</v>
      </c>
      <c r="L3" s="89" t="s">
        <v>180</v>
      </c>
      <c r="M3" s="89" t="s">
        <v>180</v>
      </c>
      <c r="N3" s="89">
        <v>1900</v>
      </c>
      <c r="O3" s="126" t="s">
        <v>4048</v>
      </c>
      <c r="P3" s="125"/>
      <c r="S3" s="89"/>
      <c r="T3" s="89"/>
      <c r="U3" s="89"/>
      <c r="V3" s="89"/>
    </row>
    <row r="4" ht="14.4" spans="1:22">
      <c r="A4" s="88" t="s">
        <v>227</v>
      </c>
      <c r="B4" s="105" t="s">
        <v>501</v>
      </c>
      <c r="C4" s="88" t="s">
        <v>441</v>
      </c>
      <c r="D4" s="88" t="s">
        <v>234</v>
      </c>
      <c r="E4" s="106">
        <v>0</v>
      </c>
      <c r="F4" s="106">
        <v>409874.916666667</v>
      </c>
      <c r="G4" s="107">
        <f t="shared" si="0"/>
        <v>0.223706885475105</v>
      </c>
      <c r="H4" s="107">
        <v>0.196966987041717</v>
      </c>
      <c r="I4" s="107" t="str">
        <f t="shared" si="1"/>
        <v/>
      </c>
      <c r="J4" s="106" t="s">
        <v>180</v>
      </c>
      <c r="K4" s="122"/>
      <c r="L4" s="88" t="str">
        <f>IFERROR(VLOOKUP(B4,'Competitive Matrix'!$B$4:$D$22,2,FALSE),"")</f>
        <v>L:78% N:49% D:82% 有销售:81%</v>
      </c>
      <c r="M4" s="123" t="s">
        <v>6095</v>
      </c>
      <c r="N4" s="88">
        <v>1200</v>
      </c>
      <c r="O4" s="124"/>
      <c r="P4" s="125"/>
      <c r="Q4" s="126"/>
      <c r="R4" s="126"/>
      <c r="S4" s="126"/>
      <c r="T4" s="126"/>
      <c r="U4" s="126"/>
      <c r="V4" s="126"/>
    </row>
    <row r="5" ht="14.4" spans="1:18">
      <c r="A5" s="89" t="s">
        <v>230</v>
      </c>
      <c r="B5" s="108" t="s">
        <v>499</v>
      </c>
      <c r="C5" s="89" t="s">
        <v>233</v>
      </c>
      <c r="D5" s="89" t="s">
        <v>60</v>
      </c>
      <c r="E5" s="91">
        <v>0</v>
      </c>
      <c r="F5" s="91">
        <v>265221.916666667</v>
      </c>
      <c r="G5" s="109">
        <f t="shared" si="0"/>
        <v>0.144756281793867</v>
      </c>
      <c r="H5" s="109">
        <v>0.145994613255424</v>
      </c>
      <c r="I5" s="109">
        <f t="shared" si="1"/>
        <v>0.0909763080193785</v>
      </c>
      <c r="J5" s="91">
        <v>79566.5750000001</v>
      </c>
      <c r="K5" s="118" t="e">
        <f>VLOOKUP(B5,正厂竞争者数据汇总!D:H,11,FALSE)</f>
        <v>#N/A</v>
      </c>
      <c r="L5" s="89" t="s">
        <v>180</v>
      </c>
      <c r="M5" s="89" t="s">
        <v>180</v>
      </c>
      <c r="N5" s="89">
        <v>899</v>
      </c>
      <c r="O5" s="125"/>
      <c r="P5" s="125"/>
      <c r="Q5" s="133"/>
      <c r="R5" s="133"/>
    </row>
    <row r="6" ht="14.4" spans="1:18">
      <c r="A6" s="89" t="s">
        <v>230</v>
      </c>
      <c r="B6" s="108" t="s">
        <v>503</v>
      </c>
      <c r="C6" s="89" t="s">
        <v>233</v>
      </c>
      <c r="D6" s="89" t="s">
        <v>58</v>
      </c>
      <c r="E6" s="91">
        <v>0</v>
      </c>
      <c r="F6" s="91">
        <v>297723.083333333</v>
      </c>
      <c r="G6" s="92">
        <f t="shared" si="0"/>
        <v>0.16249519304132</v>
      </c>
      <c r="H6" s="92">
        <v>0.162507328543373</v>
      </c>
      <c r="I6" s="109">
        <f t="shared" si="1"/>
        <v>0.102124844259586</v>
      </c>
      <c r="J6" s="91">
        <v>89316.9249999999</v>
      </c>
      <c r="K6" s="118" t="e">
        <f>VLOOKUP(B6,正厂竞争者数据汇总!D:H,11,FALSE)</f>
        <v>#N/A</v>
      </c>
      <c r="L6" s="89" t="s">
        <v>180</v>
      </c>
      <c r="M6" s="89" t="s">
        <v>180</v>
      </c>
      <c r="N6" s="89">
        <v>558</v>
      </c>
      <c r="O6" s="125"/>
      <c r="P6" s="124"/>
      <c r="Q6" s="88"/>
      <c r="R6" s="88"/>
    </row>
    <row r="7" spans="1:14">
      <c r="A7" s="89" t="s">
        <v>487</v>
      </c>
      <c r="B7" s="108" t="s">
        <v>504</v>
      </c>
      <c r="C7" s="89" t="s">
        <v>6099</v>
      </c>
      <c r="D7" s="89" t="s">
        <v>418</v>
      </c>
      <c r="E7" s="91">
        <v>0</v>
      </c>
      <c r="F7" s="91">
        <v>181895.916666667</v>
      </c>
      <c r="G7" s="92">
        <f t="shared" si="0"/>
        <v>0.099277529176619</v>
      </c>
      <c r="H7" s="92">
        <v>0.10929555677364</v>
      </c>
      <c r="I7" s="109" t="str">
        <f t="shared" si="1"/>
        <v/>
      </c>
      <c r="J7" s="91" t="s">
        <v>180</v>
      </c>
      <c r="K7" s="118" t="e">
        <f>VLOOKUP(B7,正厂竞争者数据汇总!D:H,11,FALSE)</f>
        <v>#N/A</v>
      </c>
      <c r="L7" s="89" t="s">
        <v>180</v>
      </c>
      <c r="N7" s="89">
        <v>1100</v>
      </c>
    </row>
    <row r="8" spans="1:14">
      <c r="A8" s="89" t="s">
        <v>230</v>
      </c>
      <c r="B8" s="108" t="s">
        <v>505</v>
      </c>
      <c r="C8" s="89" t="s">
        <v>233</v>
      </c>
      <c r="D8" s="89" t="s">
        <v>451</v>
      </c>
      <c r="E8" s="91">
        <v>0</v>
      </c>
      <c r="F8" s="91">
        <v>130908.916666667</v>
      </c>
      <c r="G8" s="109">
        <f t="shared" si="0"/>
        <v>0.0714491783654</v>
      </c>
      <c r="H8" s="109">
        <v>0.0802279575052277</v>
      </c>
      <c r="I8" s="109" t="str">
        <f t="shared" si="1"/>
        <v/>
      </c>
      <c r="J8" s="91" t="s">
        <v>180</v>
      </c>
      <c r="K8" s="118" t="e">
        <f>VLOOKUP(B8,正厂竞争者数据汇总!D:H,11,FALSE)</f>
        <v>#N/A</v>
      </c>
      <c r="L8" s="89" t="s">
        <v>180</v>
      </c>
      <c r="M8" s="89" t="s">
        <v>180</v>
      </c>
      <c r="N8" s="89">
        <v>394</v>
      </c>
    </row>
    <row r="9" spans="1:14">
      <c r="A9" s="89" t="s">
        <v>230</v>
      </c>
      <c r="B9" s="108" t="s">
        <v>506</v>
      </c>
      <c r="C9" s="89" t="s">
        <v>233</v>
      </c>
      <c r="D9" s="89" t="s">
        <v>58</v>
      </c>
      <c r="E9" s="91">
        <v>0</v>
      </c>
      <c r="F9" s="91">
        <v>89493.9166666667</v>
      </c>
      <c r="G9" s="109">
        <f t="shared" si="0"/>
        <v>0.0488451587359524</v>
      </c>
      <c r="H9" s="109">
        <v>0.0490230101796623</v>
      </c>
      <c r="I9" s="109">
        <f t="shared" si="1"/>
        <v>0.0306981648834096</v>
      </c>
      <c r="J9" s="91">
        <v>26848.175</v>
      </c>
      <c r="K9" s="118" t="e">
        <f>VLOOKUP(B9,正厂竞争者数据汇总!D:H,11,FALSE)</f>
        <v>#N/A</v>
      </c>
      <c r="L9" s="89" t="s">
        <v>180</v>
      </c>
      <c r="M9" s="89" t="s">
        <v>180</v>
      </c>
      <c r="N9" s="89">
        <v>137</v>
      </c>
    </row>
    <row r="10" spans="1:18">
      <c r="A10" s="89" t="s">
        <v>230</v>
      </c>
      <c r="B10" s="108" t="s">
        <v>5202</v>
      </c>
      <c r="C10" s="89" t="s">
        <v>233</v>
      </c>
      <c r="D10" s="89" t="s">
        <v>59</v>
      </c>
      <c r="E10" s="91">
        <v>0</v>
      </c>
      <c r="F10" s="91">
        <v>13315.875</v>
      </c>
      <c r="G10" s="92">
        <f t="shared" si="0"/>
        <v>0.00726771217875814</v>
      </c>
      <c r="H10" s="92">
        <v>0.00551566779247322</v>
      </c>
      <c r="I10" s="109">
        <f t="shared" si="1"/>
        <v>0.00456760572720721</v>
      </c>
      <c r="J10" s="91">
        <v>3994.7625</v>
      </c>
      <c r="K10" s="118" t="e">
        <f>VLOOKUP(B10,正厂竞争者数据汇总!D:H,11,FALSE)</f>
        <v>#N/A</v>
      </c>
      <c r="L10" s="89" t="s">
        <v>180</v>
      </c>
      <c r="N10" s="89">
        <v>738</v>
      </c>
      <c r="O10" s="126"/>
      <c r="Q10" s="133"/>
      <c r="R10" s="133"/>
    </row>
    <row r="11" s="88" customFormat="1" spans="1:16">
      <c r="A11" s="88" t="s">
        <v>227</v>
      </c>
      <c r="B11" s="88" t="s">
        <v>147</v>
      </c>
      <c r="C11" s="88" t="s">
        <v>233</v>
      </c>
      <c r="E11" s="106">
        <v>0</v>
      </c>
      <c r="F11" s="106">
        <v>6468.875</v>
      </c>
      <c r="G11" s="110">
        <f t="shared" si="0"/>
        <v>0.00353066708874663</v>
      </c>
      <c r="H11" s="110">
        <v>0.00277184915280774</v>
      </c>
      <c r="I11" s="107" t="str">
        <f t="shared" si="1"/>
        <v/>
      </c>
      <c r="J11" s="106" t="s">
        <v>180</v>
      </c>
      <c r="K11" s="118" t="e">
        <f>VLOOKUP(B11,正厂竞争者数据汇总!D:H,11,FALSE)</f>
        <v>#N/A</v>
      </c>
      <c r="L11" s="88" t="str">
        <f>IFERROR(VLOOKUP(B11,'Competitive Matrix'!$B$4:$D$22,2,FALSE),"")</f>
        <v>L:70% N:20%</v>
      </c>
      <c r="M11" s="127" t="s">
        <v>6102</v>
      </c>
      <c r="N11" s="88">
        <v>440</v>
      </c>
      <c r="O11" s="126"/>
      <c r="P11" s="126"/>
    </row>
    <row r="12" spans="5:11">
      <c r="E12" s="91"/>
      <c r="F12" s="91">
        <v>1832196.25</v>
      </c>
      <c r="I12" s="109">
        <f>SUM(I4:I11)</f>
        <v>0.228366922889582</v>
      </c>
      <c r="K12" s="118"/>
    </row>
    <row r="13" spans="5:11">
      <c r="E13" s="91"/>
      <c r="I13" s="109"/>
      <c r="K13" s="118"/>
    </row>
    <row r="14" ht="14.4" customHeight="1" spans="1:22">
      <c r="A14" s="96" t="s">
        <v>4082</v>
      </c>
      <c r="B14" s="98"/>
      <c r="C14" s="98"/>
      <c r="E14" s="99" t="s">
        <v>2</v>
      </c>
      <c r="F14" s="100"/>
      <c r="G14" s="100"/>
      <c r="H14" s="100"/>
      <c r="I14" s="115"/>
      <c r="J14" s="100"/>
      <c r="L14" s="102"/>
      <c r="M14" s="102"/>
      <c r="O14" s="128"/>
      <c r="P14" s="128"/>
      <c r="Q14" s="128"/>
      <c r="R14" s="132"/>
      <c r="S14" s="116"/>
      <c r="T14" s="128"/>
      <c r="U14" s="128"/>
      <c r="V14" s="132"/>
    </row>
    <row r="15" ht="46.8" spans="1:22">
      <c r="A15" s="101" t="s">
        <v>3944</v>
      </c>
      <c r="B15" s="89" t="s">
        <v>207</v>
      </c>
      <c r="C15" s="101" t="s">
        <v>447</v>
      </c>
      <c r="D15" s="89" t="s">
        <v>209</v>
      </c>
      <c r="E15" s="101" t="s">
        <v>210</v>
      </c>
      <c r="F15" s="103" t="s">
        <v>6086</v>
      </c>
      <c r="G15" s="104" t="s">
        <v>6194</v>
      </c>
      <c r="H15" s="104" t="s">
        <v>6195</v>
      </c>
      <c r="I15" s="117" t="s">
        <v>6196</v>
      </c>
      <c r="J15" s="91" t="s">
        <v>6197</v>
      </c>
      <c r="K15" s="118" t="s">
        <v>0</v>
      </c>
      <c r="L15" s="119" t="s">
        <v>6091</v>
      </c>
      <c r="M15" s="119" t="s">
        <v>6092</v>
      </c>
      <c r="N15" s="120" t="s">
        <v>6198</v>
      </c>
      <c r="O15" s="119" t="s">
        <v>225</v>
      </c>
      <c r="P15" s="120" t="s">
        <v>226</v>
      </c>
      <c r="Q15" s="119"/>
      <c r="R15" s="119"/>
      <c r="S15" s="119"/>
      <c r="T15" s="119"/>
      <c r="U15" s="119"/>
      <c r="V15" s="119"/>
    </row>
    <row r="16" ht="14.4" spans="1:22">
      <c r="A16" s="88" t="s">
        <v>227</v>
      </c>
      <c r="B16" s="105" t="s">
        <v>528</v>
      </c>
      <c r="C16" s="88" t="s">
        <v>441</v>
      </c>
      <c r="D16" s="88" t="s">
        <v>234</v>
      </c>
      <c r="E16" s="106">
        <v>0</v>
      </c>
      <c r="F16" s="106">
        <v>482733.833333333</v>
      </c>
      <c r="G16" s="110">
        <f t="shared" ref="G16:G22" si="2">F16/F$24</f>
        <v>0.387374783578101</v>
      </c>
      <c r="H16" s="110">
        <v>0.366317387777068</v>
      </c>
      <c r="I16" s="110" t="str">
        <f t="shared" ref="I16:I23" si="3">IFERROR(J16*0.5/$D$18,"")</f>
        <v/>
      </c>
      <c r="J16" s="106" t="s">
        <v>180</v>
      </c>
      <c r="K16" s="122" t="e">
        <f>VLOOKUP(B16,正厂竞争者数据汇总!D:H,11,FALSE)</f>
        <v>#N/A</v>
      </c>
      <c r="L16" s="88" t="str">
        <f>IFERROR(VLOOKUP(B16,'Competitive Matrix'!$B$4:$D$22,2,FALSE),"")</f>
        <v>L:92% N:66% D:96% 有销售:90%</v>
      </c>
      <c r="M16" s="88" t="s">
        <v>6105</v>
      </c>
      <c r="N16" s="88">
        <v>648</v>
      </c>
      <c r="O16" s="125"/>
      <c r="P16" s="125"/>
      <c r="Q16" s="88"/>
      <c r="R16" s="88"/>
      <c r="S16" s="88"/>
      <c r="T16" s="88"/>
      <c r="U16" s="88"/>
      <c r="V16" s="88"/>
    </row>
    <row r="17" spans="1:14">
      <c r="A17" s="89" t="s">
        <v>230</v>
      </c>
      <c r="B17" s="89" t="s">
        <v>242</v>
      </c>
      <c r="C17" s="89" t="s">
        <v>233</v>
      </c>
      <c r="D17" s="89" t="s">
        <v>414</v>
      </c>
      <c r="E17" s="91">
        <v>0</v>
      </c>
      <c r="F17" s="91">
        <v>411379</v>
      </c>
      <c r="G17" s="92">
        <f t="shared" si="2"/>
        <v>0.33011535568823</v>
      </c>
      <c r="H17" s="92">
        <v>0.31904665804242</v>
      </c>
      <c r="I17" s="92" t="str">
        <f t="shared" si="3"/>
        <v/>
      </c>
      <c r="J17" s="91" t="s">
        <v>180</v>
      </c>
      <c r="K17" s="118" t="e">
        <f>VLOOKUP(B17,正厂竞争者数据汇总!D:H,11,FALSE)</f>
        <v>#REF!</v>
      </c>
      <c r="L17" s="89" t="s">
        <v>180</v>
      </c>
      <c r="M17" s="89" t="s">
        <v>180</v>
      </c>
      <c r="N17" s="89">
        <v>872</v>
      </c>
    </row>
    <row r="18" s="88" customFormat="1" spans="1:22">
      <c r="A18" s="89" t="s">
        <v>446</v>
      </c>
      <c r="B18" s="108" t="s">
        <v>4114</v>
      </c>
      <c r="C18" s="89" t="s">
        <v>233</v>
      </c>
      <c r="D18" s="89" t="s">
        <v>266</v>
      </c>
      <c r="E18" s="91">
        <v>0</v>
      </c>
      <c r="F18" s="91">
        <v>107289.333333333</v>
      </c>
      <c r="G18" s="92">
        <f t="shared" si="2"/>
        <v>0.0860954410285558</v>
      </c>
      <c r="H18" s="92">
        <v>0.0972787742781688</v>
      </c>
      <c r="I18" s="92" t="str">
        <f t="shared" si="3"/>
        <v/>
      </c>
      <c r="J18" s="91" t="s">
        <v>180</v>
      </c>
      <c r="K18" s="118" t="e">
        <f>VLOOKUP(B18,正厂竞争者数据汇总!D:H,11,FALSE)</f>
        <v>#N/A</v>
      </c>
      <c r="L18" s="89" t="s">
        <v>180</v>
      </c>
      <c r="M18" s="89" t="s">
        <v>180</v>
      </c>
      <c r="N18" s="89">
        <v>672</v>
      </c>
      <c r="O18" s="95"/>
      <c r="P18" s="95"/>
      <c r="Q18" s="89"/>
      <c r="R18" s="89"/>
      <c r="S18" s="89"/>
      <c r="T18" s="89"/>
      <c r="U18" s="89"/>
      <c r="V18" s="89"/>
    </row>
    <row r="19" spans="1:15">
      <c r="A19" s="89" t="s">
        <v>243</v>
      </c>
      <c r="B19" s="89" t="s">
        <v>244</v>
      </c>
      <c r="C19" s="89" t="s">
        <v>454</v>
      </c>
      <c r="D19" s="89" t="s">
        <v>266</v>
      </c>
      <c r="E19" s="91">
        <v>0</v>
      </c>
      <c r="F19" s="91">
        <v>95214</v>
      </c>
      <c r="G19" s="109">
        <f t="shared" si="2"/>
        <v>0.076405464247079</v>
      </c>
      <c r="H19" s="109">
        <v>0.0912526516768456</v>
      </c>
      <c r="I19" s="92" t="str">
        <f t="shared" si="3"/>
        <v/>
      </c>
      <c r="J19" s="91" t="s">
        <v>180</v>
      </c>
      <c r="K19" s="118" t="e">
        <f>VLOOKUP(B19,正厂竞争者数据汇总!D:H,11,FALSE)</f>
        <v>#REF!</v>
      </c>
      <c r="L19" s="89" t="s">
        <v>180</v>
      </c>
      <c r="M19" s="89" t="s">
        <v>180</v>
      </c>
      <c r="N19" s="89">
        <v>464</v>
      </c>
      <c r="O19" s="126"/>
    </row>
    <row r="20" ht="14.4" spans="1:16">
      <c r="A20" s="89" t="s">
        <v>230</v>
      </c>
      <c r="B20" s="108" t="s">
        <v>416</v>
      </c>
      <c r="C20" s="89" t="s">
        <v>233</v>
      </c>
      <c r="D20" s="89" t="s">
        <v>291</v>
      </c>
      <c r="E20" s="91">
        <v>0</v>
      </c>
      <c r="F20" s="91">
        <v>130215</v>
      </c>
      <c r="G20" s="109">
        <f t="shared" si="2"/>
        <v>0.104492380605094</v>
      </c>
      <c r="H20" s="109">
        <v>0.106498348156064</v>
      </c>
      <c r="I20" s="92" t="str">
        <f t="shared" si="3"/>
        <v/>
      </c>
      <c r="J20" s="91" t="s">
        <v>180</v>
      </c>
      <c r="K20" s="118" t="e">
        <f>VLOOKUP(B20,正厂竞争者数据汇总!D:H,11,FALSE)</f>
        <v>#REF!</v>
      </c>
      <c r="L20" s="89" t="s">
        <v>180</v>
      </c>
      <c r="M20" s="89" t="s">
        <v>180</v>
      </c>
      <c r="N20" s="89">
        <v>230</v>
      </c>
      <c r="O20" s="126"/>
      <c r="P20" s="125"/>
    </row>
    <row r="21" spans="1:14">
      <c r="A21" s="89" t="s">
        <v>243</v>
      </c>
      <c r="B21" s="89" t="s">
        <v>2556</v>
      </c>
      <c r="C21" s="89" t="s">
        <v>454</v>
      </c>
      <c r="D21" s="89" t="s">
        <v>266</v>
      </c>
      <c r="E21" s="91">
        <v>0</v>
      </c>
      <c r="F21" s="91">
        <v>14710.5</v>
      </c>
      <c r="G21" s="109">
        <f t="shared" si="2"/>
        <v>0.0118045936711687</v>
      </c>
      <c r="H21" s="109">
        <v>0.0121441917000771</v>
      </c>
      <c r="I21" s="92" t="str">
        <f t="shared" si="3"/>
        <v/>
      </c>
      <c r="J21" s="91" t="s">
        <v>180</v>
      </c>
      <c r="K21" s="118" t="e">
        <f>VLOOKUP(B21,正厂竞争者数据汇总!D:H,11,FALSE)</f>
        <v>#REF!</v>
      </c>
      <c r="L21" s="89" t="s">
        <v>180</v>
      </c>
      <c r="M21" s="89" t="s">
        <v>180</v>
      </c>
      <c r="N21" s="89">
        <v>343</v>
      </c>
    </row>
    <row r="22" spans="1:22">
      <c r="A22" s="88" t="s">
        <v>227</v>
      </c>
      <c r="B22" s="88" t="s">
        <v>143</v>
      </c>
      <c r="C22" s="88" t="s">
        <v>233</v>
      </c>
      <c r="D22" s="88" t="s">
        <v>234</v>
      </c>
      <c r="E22" s="106">
        <v>0</v>
      </c>
      <c r="F22" s="106">
        <v>4625.75</v>
      </c>
      <c r="G22" s="107">
        <f t="shared" si="2"/>
        <v>0.00371198118176871</v>
      </c>
      <c r="H22" s="107">
        <v>0.00746198836935708</v>
      </c>
      <c r="I22" s="110" t="str">
        <f t="shared" si="3"/>
        <v/>
      </c>
      <c r="J22" s="106" t="s">
        <v>180</v>
      </c>
      <c r="K22" s="122" t="e">
        <f>VLOOKUP(B22,正厂竞争者数据汇总!D:H,11,FALSE)</f>
        <v>#N/A</v>
      </c>
      <c r="L22" s="88" t="str">
        <f>IFERROR(VLOOKUP(B22,'Competitive Matrix'!$B$4:$D$22,2,FALSE),"")</f>
        <v>L:71% N:20%</v>
      </c>
      <c r="M22" s="88" t="s">
        <v>6102</v>
      </c>
      <c r="N22" s="88" t="s">
        <v>5495</v>
      </c>
      <c r="O22" s="126"/>
      <c r="P22" s="126"/>
      <c r="Q22" s="88"/>
      <c r="R22" s="88"/>
      <c r="S22" s="88"/>
      <c r="T22" s="88"/>
      <c r="U22" s="88"/>
      <c r="V22" s="88"/>
    </row>
    <row r="23" s="88" customFormat="1" spans="1:22">
      <c r="A23" s="89" t="s">
        <v>801</v>
      </c>
      <c r="B23" s="108" t="s">
        <v>534</v>
      </c>
      <c r="C23" s="89" t="s">
        <v>441</v>
      </c>
      <c r="D23" s="89" t="s">
        <v>234</v>
      </c>
      <c r="E23" s="91">
        <v>0</v>
      </c>
      <c r="F23" s="106">
        <v>468201.5</v>
      </c>
      <c r="G23" s="92"/>
      <c r="H23" s="92"/>
      <c r="I23" s="92" t="str">
        <f t="shared" si="3"/>
        <v/>
      </c>
      <c r="J23" s="91" t="s">
        <v>180</v>
      </c>
      <c r="K23" s="118" t="e">
        <f>VLOOKUP(B23,正厂竞争者数据汇总!D:H,11,FALSE)</f>
        <v>#REF!</v>
      </c>
      <c r="L23" s="89" t="s">
        <v>180</v>
      </c>
      <c r="M23" s="89" t="s">
        <v>180</v>
      </c>
      <c r="N23" s="89" t="s">
        <v>5419</v>
      </c>
      <c r="O23" s="95"/>
      <c r="P23" s="95"/>
      <c r="Q23" s="89"/>
      <c r="R23" s="89"/>
      <c r="S23" s="89"/>
      <c r="T23" s="89"/>
      <c r="U23" s="89"/>
      <c r="V23" s="89"/>
    </row>
    <row r="24" spans="5:12">
      <c r="E24" s="91"/>
      <c r="F24" s="91">
        <v>1246167.41666667</v>
      </c>
      <c r="K24" s="118"/>
      <c r="L24" s="89" t="s">
        <v>180</v>
      </c>
    </row>
    <row r="25" spans="5:11">
      <c r="E25" s="91"/>
      <c r="I25" s="109"/>
      <c r="K25" s="118"/>
    </row>
    <row r="26" ht="14.4" customHeight="1" spans="1:22">
      <c r="A26" s="96" t="s">
        <v>4138</v>
      </c>
      <c r="B26" s="97"/>
      <c r="C26" s="98"/>
      <c r="E26" s="99" t="s">
        <v>2</v>
      </c>
      <c r="F26" s="100"/>
      <c r="G26" s="100"/>
      <c r="H26" s="100"/>
      <c r="I26" s="115"/>
      <c r="J26" s="100"/>
      <c r="L26" s="102"/>
      <c r="M26" s="102"/>
      <c r="O26" s="128"/>
      <c r="P26" s="128"/>
      <c r="Q26" s="128"/>
      <c r="R26" s="132"/>
      <c r="S26" s="116"/>
      <c r="T26" s="128"/>
      <c r="U26" s="128"/>
      <c r="V26" s="132"/>
    </row>
    <row r="27" ht="46.8" spans="1:22">
      <c r="A27" s="101" t="s">
        <v>3944</v>
      </c>
      <c r="B27" s="102" t="s">
        <v>207</v>
      </c>
      <c r="C27" s="101" t="s">
        <v>447</v>
      </c>
      <c r="D27" s="102" t="s">
        <v>209</v>
      </c>
      <c r="E27" s="101" t="s">
        <v>210</v>
      </c>
      <c r="F27" s="103" t="s">
        <v>6086</v>
      </c>
      <c r="G27" s="104" t="s">
        <v>6194</v>
      </c>
      <c r="H27" s="104" t="s">
        <v>6195</v>
      </c>
      <c r="I27" s="117" t="s">
        <v>6196</v>
      </c>
      <c r="J27" s="91" t="s">
        <v>6197</v>
      </c>
      <c r="K27" s="118" t="s">
        <v>0</v>
      </c>
      <c r="L27" s="119" t="s">
        <v>6091</v>
      </c>
      <c r="M27" s="119" t="s">
        <v>6092</v>
      </c>
      <c r="N27" s="120" t="s">
        <v>6198</v>
      </c>
      <c r="O27" s="119" t="s">
        <v>225</v>
      </c>
      <c r="P27" s="120" t="s">
        <v>226</v>
      </c>
      <c r="Q27" s="119"/>
      <c r="R27" s="119"/>
      <c r="S27" s="119"/>
      <c r="T27" s="119"/>
      <c r="U27" s="119"/>
      <c r="V27" s="119"/>
    </row>
    <row r="28" s="88" customFormat="1" spans="1:22">
      <c r="A28" s="88" t="s">
        <v>227</v>
      </c>
      <c r="B28" s="105" t="s">
        <v>515</v>
      </c>
      <c r="C28" s="88" t="s">
        <v>441</v>
      </c>
      <c r="D28" s="88" t="s">
        <v>234</v>
      </c>
      <c r="E28" s="106">
        <v>0</v>
      </c>
      <c r="F28" s="106">
        <v>667042.833333333</v>
      </c>
      <c r="G28" s="110">
        <f>F28/F$38</f>
        <v>0.579535024684045</v>
      </c>
      <c r="H28" s="110">
        <v>0.577671995303412</v>
      </c>
      <c r="I28" s="110" t="str">
        <f t="shared" ref="I28:I37" si="4">IFERROR(J28*0.5/$F$28,"")</f>
        <v/>
      </c>
      <c r="J28" s="91" t="s">
        <v>180</v>
      </c>
      <c r="K28" s="122" t="e">
        <f>VLOOKUP(B28,正厂竞争者数据汇总!D:H,11,FALSE)</f>
        <v>#N/A</v>
      </c>
      <c r="L28" s="88" t="str">
        <f>IFERROR(VLOOKUP(B28,'Competitive Matrix'!$B$4:$D$22,2,FALSE),"")</f>
        <v>L:82% N:39% D:78% 有销售:82%</v>
      </c>
      <c r="M28" s="88" t="s">
        <v>6113</v>
      </c>
      <c r="N28" s="88">
        <v>2300</v>
      </c>
      <c r="O28" s="95"/>
      <c r="P28" s="126"/>
      <c r="Q28" s="95"/>
      <c r="R28" s="95"/>
      <c r="S28" s="95"/>
      <c r="T28" s="95"/>
      <c r="U28" s="95"/>
      <c r="V28" s="95"/>
    </row>
    <row r="29" spans="1:13">
      <c r="A29" s="89" t="s">
        <v>672</v>
      </c>
      <c r="B29" s="108" t="s">
        <v>526</v>
      </c>
      <c r="C29" s="89" t="s">
        <v>441</v>
      </c>
      <c r="D29" s="89" t="s">
        <v>234</v>
      </c>
      <c r="E29" s="91">
        <v>6238</v>
      </c>
      <c r="F29" s="91">
        <v>171339</v>
      </c>
      <c r="G29" s="110"/>
      <c r="H29" s="92"/>
      <c r="I29" s="92" t="str">
        <f t="shared" si="4"/>
        <v/>
      </c>
      <c r="J29" s="91" t="s">
        <v>180</v>
      </c>
      <c r="K29" s="118" t="e">
        <f>VLOOKUP(B29,正厂竞争者数据汇总!D:H,11,FALSE)</f>
        <v>#REF!</v>
      </c>
      <c r="L29" s="89" t="s">
        <v>180</v>
      </c>
      <c r="M29" s="89" t="s">
        <v>180</v>
      </c>
    </row>
    <row r="30" ht="14.4" spans="1:16">
      <c r="A30" s="111" t="s">
        <v>238</v>
      </c>
      <c r="B30" s="89" t="s">
        <v>519</v>
      </c>
      <c r="C30" s="89" t="s">
        <v>441</v>
      </c>
      <c r="D30" s="89" t="s">
        <v>250</v>
      </c>
      <c r="E30" s="91">
        <v>0</v>
      </c>
      <c r="F30" s="91">
        <v>124577.083333333</v>
      </c>
      <c r="G30" s="92">
        <f>F30/F$38</f>
        <v>0.108234103504072</v>
      </c>
      <c r="H30" s="92">
        <v>0.111770834683095</v>
      </c>
      <c r="I30" s="92" t="str">
        <f t="shared" si="4"/>
        <v/>
      </c>
      <c r="J30" s="91" t="s">
        <v>180</v>
      </c>
      <c r="K30" s="118" t="e">
        <f>VLOOKUP(B30,正厂竞争者数据汇总!D:H,11,FALSE)</f>
        <v>#N/A</v>
      </c>
      <c r="L30" s="89" t="s">
        <v>180</v>
      </c>
      <c r="M30" s="89" t="s">
        <v>180</v>
      </c>
      <c r="N30" s="89">
        <v>1900</v>
      </c>
      <c r="P30" s="125"/>
    </row>
    <row r="31" spans="2:14">
      <c r="B31" s="108" t="s">
        <v>527</v>
      </c>
      <c r="C31" s="89">
        <v>0</v>
      </c>
      <c r="D31" s="89">
        <v>0</v>
      </c>
      <c r="E31" s="91">
        <v>0</v>
      </c>
      <c r="F31" s="91">
        <v>81859.5</v>
      </c>
      <c r="G31" s="92"/>
      <c r="H31" s="92"/>
      <c r="I31" s="92" t="str">
        <f t="shared" si="4"/>
        <v/>
      </c>
      <c r="J31" s="91" t="s">
        <v>180</v>
      </c>
      <c r="K31" s="118" t="e">
        <f>VLOOKUP(B31,正厂竞争者数据汇总!D:H,11,FALSE)</f>
        <v>#N/A</v>
      </c>
      <c r="L31" s="89" t="s">
        <v>180</v>
      </c>
      <c r="M31" s="89" t="s">
        <v>180</v>
      </c>
      <c r="N31" s="89">
        <v>2000</v>
      </c>
    </row>
    <row r="32" ht="14.4" spans="1:16">
      <c r="A32" s="89" t="s">
        <v>243</v>
      </c>
      <c r="B32" s="89" t="s">
        <v>525</v>
      </c>
      <c r="C32" s="89" t="s">
        <v>441</v>
      </c>
      <c r="D32" s="89" t="s">
        <v>420</v>
      </c>
      <c r="E32" s="91">
        <v>0</v>
      </c>
      <c r="F32" s="91">
        <v>94732.9166666667</v>
      </c>
      <c r="G32" s="92">
        <f>F32/F$38</f>
        <v>0.082305124131921</v>
      </c>
      <c r="H32" s="92">
        <v>0.0599193454339178</v>
      </c>
      <c r="I32" s="92" t="str">
        <f t="shared" si="4"/>
        <v/>
      </c>
      <c r="J32" s="91" t="s">
        <v>180</v>
      </c>
      <c r="K32" s="118" t="e">
        <f>VLOOKUP(B32,正厂竞争者数据汇总!D:H,11,FALSE)</f>
        <v>#REF!</v>
      </c>
      <c r="L32" s="89" t="s">
        <v>180</v>
      </c>
      <c r="M32" s="89" t="s">
        <v>180</v>
      </c>
      <c r="N32" s="89">
        <v>502</v>
      </c>
      <c r="P32" s="125"/>
    </row>
    <row r="33" ht="14.4" spans="1:15">
      <c r="A33" s="89" t="s">
        <v>230</v>
      </c>
      <c r="B33" s="89" t="s">
        <v>517</v>
      </c>
      <c r="C33" s="89" t="s">
        <v>441</v>
      </c>
      <c r="D33" s="89" t="s">
        <v>419</v>
      </c>
      <c r="E33" s="91">
        <v>0</v>
      </c>
      <c r="F33" s="91">
        <v>59365.75</v>
      </c>
      <c r="G33" s="92">
        <f>F33/F$38</f>
        <v>0.0515776943734051</v>
      </c>
      <c r="H33" s="92">
        <v>0.0794527210409336</v>
      </c>
      <c r="I33" s="92" t="str">
        <f t="shared" si="4"/>
        <v/>
      </c>
      <c r="J33" s="91" t="s">
        <v>180</v>
      </c>
      <c r="K33" s="118" t="e">
        <f>VLOOKUP(B33,正厂竞争者数据汇总!D:H,11,FALSE)</f>
        <v>#N/A</v>
      </c>
      <c r="L33" s="89" t="s">
        <v>180</v>
      </c>
      <c r="M33" s="89" t="s">
        <v>180</v>
      </c>
      <c r="N33" s="89">
        <v>1000</v>
      </c>
      <c r="O33" s="125"/>
    </row>
    <row r="34" ht="14.4" spans="1:16">
      <c r="A34" s="89" t="s">
        <v>230</v>
      </c>
      <c r="B34" s="89" t="s">
        <v>516</v>
      </c>
      <c r="C34" s="89" t="s">
        <v>441</v>
      </c>
      <c r="D34" s="89" t="s">
        <v>60</v>
      </c>
      <c r="E34" s="91">
        <v>0</v>
      </c>
      <c r="F34" s="91">
        <v>172272.75</v>
      </c>
      <c r="G34" s="92">
        <f>F34/F$38</f>
        <v>0.149672685822482</v>
      </c>
      <c r="H34" s="92">
        <v>0.15351187965205</v>
      </c>
      <c r="I34" s="92">
        <f t="shared" si="4"/>
        <v>0.038739509981493</v>
      </c>
      <c r="J34" s="91">
        <v>51681.825</v>
      </c>
      <c r="K34" s="118" t="e">
        <f>VLOOKUP(B34,正厂竞争者数据汇总!D:H,11,FALSE)</f>
        <v>#N/A</v>
      </c>
      <c r="L34" s="89" t="s">
        <v>180</v>
      </c>
      <c r="M34" s="89" t="s">
        <v>180</v>
      </c>
      <c r="N34" s="89">
        <v>421</v>
      </c>
      <c r="O34" s="126"/>
      <c r="P34" s="125"/>
    </row>
    <row r="35" spans="2:13">
      <c r="B35" s="108" t="s">
        <v>4196</v>
      </c>
      <c r="C35" s="89">
        <v>0</v>
      </c>
      <c r="D35" s="89">
        <v>0</v>
      </c>
      <c r="E35" s="91">
        <v>0</v>
      </c>
      <c r="F35" s="91">
        <v>42682.1666666667</v>
      </c>
      <c r="G35" s="92"/>
      <c r="H35" s="92"/>
      <c r="I35" s="92" t="str">
        <f t="shared" si="4"/>
        <v/>
      </c>
      <c r="J35" s="91" t="s">
        <v>180</v>
      </c>
      <c r="K35" s="118" t="e">
        <f>VLOOKUP(B35,正厂竞争者数据汇总!D:H,11,FALSE)</f>
        <v>#N/A</v>
      </c>
      <c r="L35" s="89" t="s">
        <v>180</v>
      </c>
      <c r="M35" s="89" t="s">
        <v>180</v>
      </c>
    </row>
    <row r="36" spans="1:14">
      <c r="A36" s="89" t="s">
        <v>230</v>
      </c>
      <c r="B36" s="108" t="s">
        <v>523</v>
      </c>
      <c r="C36" s="89">
        <v>0</v>
      </c>
      <c r="D36" s="89" t="s">
        <v>49</v>
      </c>
      <c r="E36" s="91">
        <v>0</v>
      </c>
      <c r="F36" s="91">
        <v>33005.25</v>
      </c>
      <c r="G36" s="92">
        <f>F36/F$38</f>
        <v>0.0286753674840767</v>
      </c>
      <c r="H36" s="92">
        <v>0.0176183764232145</v>
      </c>
      <c r="I36" s="92">
        <f t="shared" si="4"/>
        <v>0.00371099669511478</v>
      </c>
      <c r="J36" s="91">
        <v>4950.7875</v>
      </c>
      <c r="K36" s="118" t="e">
        <f>VLOOKUP(B36,正厂竞争者数据汇总!D:H,11,FALSE)</f>
        <v>#N/A</v>
      </c>
      <c r="L36" s="89" t="s">
        <v>180</v>
      </c>
      <c r="M36" s="89" t="s">
        <v>180</v>
      </c>
      <c r="N36" s="89">
        <v>793</v>
      </c>
    </row>
    <row r="37" s="88" customFormat="1" spans="1:16">
      <c r="A37" s="88" t="s">
        <v>227</v>
      </c>
      <c r="B37" s="112" t="s">
        <v>4197</v>
      </c>
      <c r="C37" s="88" t="s">
        <v>441</v>
      </c>
      <c r="D37" s="88" t="s">
        <v>234</v>
      </c>
      <c r="E37" s="106">
        <v>0</v>
      </c>
      <c r="F37" s="106">
        <v>0</v>
      </c>
      <c r="G37" s="110">
        <f>F37/F$38</f>
        <v>0</v>
      </c>
      <c r="H37" s="110">
        <v>5.48474633768061e-5</v>
      </c>
      <c r="I37" s="110" t="str">
        <f t="shared" si="4"/>
        <v/>
      </c>
      <c r="J37" s="106" t="s">
        <v>180</v>
      </c>
      <c r="K37" s="122" t="e">
        <f>VLOOKUP(B37,正厂竞争者数据汇总!D:H,11,FALSE)</f>
        <v>#N/A</v>
      </c>
      <c r="L37" s="88" t="s">
        <v>180</v>
      </c>
      <c r="M37" s="88" t="s">
        <v>180</v>
      </c>
      <c r="N37" s="88" t="s">
        <v>5419</v>
      </c>
      <c r="O37" s="126"/>
      <c r="P37" s="126"/>
    </row>
    <row r="38" spans="5:10">
      <c r="E38" s="91"/>
      <c r="F38" s="91">
        <v>1150996.58333333</v>
      </c>
      <c r="G38" s="109"/>
      <c r="H38" s="109"/>
      <c r="I38" s="109">
        <f>SUM(I28:I36)</f>
        <v>0.0424505066766077</v>
      </c>
      <c r="J38" s="109"/>
    </row>
    <row r="39" spans="5:11">
      <c r="E39" s="91"/>
      <c r="I39" s="109"/>
      <c r="K39" s="118"/>
    </row>
    <row r="40" ht="14.4" customHeight="1" spans="1:22">
      <c r="A40" s="96" t="s">
        <v>149</v>
      </c>
      <c r="B40" s="97"/>
      <c r="C40" s="98"/>
      <c r="E40" s="99" t="s">
        <v>2</v>
      </c>
      <c r="F40" s="100"/>
      <c r="G40" s="100"/>
      <c r="H40" s="100"/>
      <c r="I40" s="115"/>
      <c r="J40" s="100"/>
      <c r="L40" s="102"/>
      <c r="M40" s="102"/>
      <c r="O40" s="128"/>
      <c r="P40" s="128"/>
      <c r="Q40" s="128"/>
      <c r="R40" s="132"/>
      <c r="S40" s="116"/>
      <c r="T40" s="128"/>
      <c r="U40" s="128"/>
      <c r="V40" s="132"/>
    </row>
    <row r="41" ht="46.8" spans="1:22">
      <c r="A41" s="101" t="s">
        <v>3944</v>
      </c>
      <c r="B41" s="102" t="s">
        <v>207</v>
      </c>
      <c r="C41" s="101" t="s">
        <v>447</v>
      </c>
      <c r="D41" s="89" t="s">
        <v>209</v>
      </c>
      <c r="E41" s="101" t="s">
        <v>210</v>
      </c>
      <c r="F41" s="103" t="s">
        <v>6086</v>
      </c>
      <c r="G41" s="104" t="s">
        <v>6194</v>
      </c>
      <c r="H41" s="104" t="s">
        <v>6195</v>
      </c>
      <c r="I41" s="117" t="s">
        <v>6196</v>
      </c>
      <c r="J41" s="91" t="s">
        <v>6197</v>
      </c>
      <c r="K41" s="118" t="s">
        <v>0</v>
      </c>
      <c r="L41" s="119" t="s">
        <v>6091</v>
      </c>
      <c r="M41" s="119" t="s">
        <v>6092</v>
      </c>
      <c r="N41" s="120" t="s">
        <v>6198</v>
      </c>
      <c r="O41" s="119" t="s">
        <v>225</v>
      </c>
      <c r="P41" s="120" t="s">
        <v>226</v>
      </c>
      <c r="Q41" s="119"/>
      <c r="R41" s="119"/>
      <c r="S41" s="119"/>
      <c r="T41" s="119"/>
      <c r="U41" s="119"/>
      <c r="V41" s="119"/>
    </row>
    <row r="42" spans="1:22">
      <c r="A42" s="88" t="s">
        <v>227</v>
      </c>
      <c r="B42" s="105" t="s">
        <v>535</v>
      </c>
      <c r="C42" s="88" t="s">
        <v>441</v>
      </c>
      <c r="D42" s="88" t="s">
        <v>234</v>
      </c>
      <c r="E42" s="106">
        <v>0</v>
      </c>
      <c r="F42" s="106">
        <v>360649.416666667</v>
      </c>
      <c r="G42" s="110">
        <f>F42/F$49</f>
        <v>0.421168198178069</v>
      </c>
      <c r="H42" s="110">
        <v>0.403997076852807</v>
      </c>
      <c r="I42" s="107" t="str">
        <f t="shared" ref="I42:I47" si="5">IFERROR(J42*0.5/F$43,"")</f>
        <v/>
      </c>
      <c r="J42" s="106" t="s">
        <v>180</v>
      </c>
      <c r="K42" s="122" t="e">
        <f>VLOOKUP(B42,正厂竞争者数据汇总!D:H,11,FALSE)</f>
        <v>#N/A</v>
      </c>
      <c r="L42" s="88" t="str">
        <f>IFERROR(VLOOKUP(B42,'Competitive Matrix'!$B$4:$D$22,2,FALSE),"")</f>
        <v>L:77% N:26% D:70% 有销售:80%</v>
      </c>
      <c r="M42" s="88" t="s">
        <v>6199</v>
      </c>
      <c r="N42" s="88">
        <v>2000</v>
      </c>
      <c r="O42" s="126"/>
      <c r="P42" s="126"/>
      <c r="Q42" s="126"/>
      <c r="R42" s="126"/>
      <c r="S42" s="126"/>
      <c r="T42" s="126"/>
      <c r="U42" s="126"/>
      <c r="V42" s="126"/>
    </row>
    <row r="43" s="88" customFormat="1" ht="28.8" spans="1:22">
      <c r="A43" s="89" t="s">
        <v>243</v>
      </c>
      <c r="B43" s="108" t="s">
        <v>537</v>
      </c>
      <c r="C43" s="89" t="s">
        <v>441</v>
      </c>
      <c r="D43" s="89" t="s">
        <v>420</v>
      </c>
      <c r="E43" s="91">
        <v>0</v>
      </c>
      <c r="F43" s="91">
        <v>271869.833333333</v>
      </c>
      <c r="G43" s="109">
        <f>F43/F$49</f>
        <v>0.317490955350143</v>
      </c>
      <c r="H43" s="109">
        <v>0.335041359231704</v>
      </c>
      <c r="I43" s="109" t="str">
        <f t="shared" si="5"/>
        <v/>
      </c>
      <c r="J43" s="91" t="s">
        <v>180</v>
      </c>
      <c r="K43" s="118" t="e">
        <f>VLOOKUP(B43,正厂竞争者数据汇总!D:H,11,FALSE)</f>
        <v>#N/A</v>
      </c>
      <c r="L43" s="89" t="s">
        <v>180</v>
      </c>
      <c r="M43" s="89" t="s">
        <v>180</v>
      </c>
      <c r="N43" s="89">
        <v>2100</v>
      </c>
      <c r="O43" s="131" t="s">
        <v>6200</v>
      </c>
      <c r="P43" s="125"/>
      <c r="Q43" s="89"/>
      <c r="R43" s="89"/>
      <c r="S43" s="89"/>
      <c r="T43" s="89"/>
      <c r="U43" s="89"/>
      <c r="V43" s="89"/>
    </row>
    <row r="44" ht="14.4" spans="1:16">
      <c r="A44" s="89" t="s">
        <v>243</v>
      </c>
      <c r="B44" s="108" t="s">
        <v>539</v>
      </c>
      <c r="C44" s="89" t="s">
        <v>441</v>
      </c>
      <c r="D44" s="89" t="s">
        <v>266</v>
      </c>
      <c r="E44" s="91">
        <v>0</v>
      </c>
      <c r="F44" s="91">
        <v>139625.333333333</v>
      </c>
      <c r="G44" s="92">
        <f>F44/F$49</f>
        <v>0.163055164773395</v>
      </c>
      <c r="H44" s="92">
        <v>0.160881227095463</v>
      </c>
      <c r="I44" s="109" t="str">
        <f t="shared" si="5"/>
        <v/>
      </c>
      <c r="J44" s="91" t="s">
        <v>180</v>
      </c>
      <c r="K44" s="118" t="e">
        <f>VLOOKUP(B44,正厂竞争者数据汇总!D:H,11,FALSE)</f>
        <v>#N/A</v>
      </c>
      <c r="L44" s="89" t="s">
        <v>180</v>
      </c>
      <c r="M44" s="89" t="s">
        <v>180</v>
      </c>
      <c r="N44" s="89">
        <v>1200</v>
      </c>
      <c r="O44" s="125"/>
      <c r="P44" s="124"/>
    </row>
    <row r="45" spans="1:14">
      <c r="A45" s="89" t="s">
        <v>2019</v>
      </c>
      <c r="B45" s="113" t="s">
        <v>4271</v>
      </c>
      <c r="C45" s="89" t="s">
        <v>233</v>
      </c>
      <c r="D45" s="89" t="s">
        <v>451</v>
      </c>
      <c r="E45" s="91">
        <v>0</v>
      </c>
      <c r="F45" s="91">
        <v>1650</v>
      </c>
      <c r="G45" s="109"/>
      <c r="H45" s="109"/>
      <c r="I45" s="109" t="str">
        <f t="shared" si="5"/>
        <v/>
      </c>
      <c r="J45" s="91" t="s">
        <v>180</v>
      </c>
      <c r="K45" s="118" t="e">
        <f>VLOOKUP(B45,正厂竞争者数据汇总!D:H,11,FALSE)</f>
        <v>#N/A</v>
      </c>
      <c r="L45" s="89" t="s">
        <v>180</v>
      </c>
      <c r="M45" s="89" t="s">
        <v>180</v>
      </c>
      <c r="N45" s="89" t="s">
        <v>5419</v>
      </c>
    </row>
    <row r="46" spans="1:15">
      <c r="A46" s="89" t="s">
        <v>230</v>
      </c>
      <c r="B46" s="108" t="s">
        <v>541</v>
      </c>
      <c r="C46" s="89" t="s">
        <v>233</v>
      </c>
      <c r="D46" s="89" t="s">
        <v>423</v>
      </c>
      <c r="E46" s="91">
        <v>0</v>
      </c>
      <c r="F46" s="91">
        <v>71482.8333333333</v>
      </c>
      <c r="G46" s="109">
        <f>F46/F$49</f>
        <v>0.083478011399334</v>
      </c>
      <c r="H46" s="109">
        <v>0.0743081199015136</v>
      </c>
      <c r="I46" s="109" t="str">
        <f t="shared" si="5"/>
        <v/>
      </c>
      <c r="J46" s="91" t="s">
        <v>180</v>
      </c>
      <c r="K46" s="118" t="e">
        <f>VLOOKUP(B46,正厂竞争者数据汇总!D:H,11,FALSE)</f>
        <v>#REF!</v>
      </c>
      <c r="L46" s="89" t="s">
        <v>180</v>
      </c>
      <c r="M46" s="89" t="s">
        <v>180</v>
      </c>
      <c r="N46" s="89">
        <v>159</v>
      </c>
      <c r="O46" s="126"/>
    </row>
    <row r="47" spans="1:14">
      <c r="A47" s="89" t="s">
        <v>230</v>
      </c>
      <c r="B47" s="108" t="s">
        <v>2141</v>
      </c>
      <c r="C47" s="89">
        <v>0</v>
      </c>
      <c r="D47" s="89">
        <v>0</v>
      </c>
      <c r="E47" s="91">
        <v>0</v>
      </c>
      <c r="F47" s="91">
        <v>12679.9166666667</v>
      </c>
      <c r="G47" s="109">
        <f>F47/F$49</f>
        <v>0.0148076702990593</v>
      </c>
      <c r="H47" s="109">
        <v>0.0257722169185132</v>
      </c>
      <c r="I47" s="109" t="str">
        <f t="shared" si="5"/>
        <v/>
      </c>
      <c r="J47" s="91" t="s">
        <v>180</v>
      </c>
      <c r="K47" s="118" t="e">
        <f>VLOOKUP(B47,正厂竞争者数据汇总!D:H,11,FALSE)</f>
        <v>#REF!</v>
      </c>
      <c r="L47" s="89" t="s">
        <v>180</v>
      </c>
      <c r="M47" s="89" t="s">
        <v>180</v>
      </c>
      <c r="N47" s="89">
        <v>22</v>
      </c>
    </row>
    <row r="48" spans="1:13">
      <c r="A48" s="88" t="s">
        <v>227</v>
      </c>
      <c r="B48" s="108" t="s">
        <v>6201</v>
      </c>
      <c r="K48" s="122" t="e">
        <f>VLOOKUP(B48,正厂竞争者数据汇总!D:H,11,FALSE)</f>
        <v>#N/A</v>
      </c>
      <c r="L48" s="89" t="s">
        <v>6202</v>
      </c>
      <c r="M48" s="89" t="s">
        <v>6102</v>
      </c>
    </row>
    <row r="49" spans="5:11">
      <c r="E49" s="91"/>
      <c r="F49" s="91">
        <v>856307.333333333</v>
      </c>
      <c r="I49" s="109"/>
      <c r="K49" s="118"/>
    </row>
    <row r="50" ht="14.4" customHeight="1" spans="1:22">
      <c r="A50" s="96" t="s">
        <v>152</v>
      </c>
      <c r="B50" s="97"/>
      <c r="C50" s="98"/>
      <c r="E50" s="99" t="s">
        <v>2</v>
      </c>
      <c r="F50" s="100"/>
      <c r="G50" s="100"/>
      <c r="H50" s="100"/>
      <c r="I50" s="115"/>
      <c r="J50" s="100"/>
      <c r="L50" s="102"/>
      <c r="M50" s="102"/>
      <c r="O50" s="128"/>
      <c r="P50" s="128"/>
      <c r="Q50" s="128"/>
      <c r="R50" s="132"/>
      <c r="S50" s="116"/>
      <c r="T50" s="128"/>
      <c r="U50" s="128"/>
      <c r="V50" s="132"/>
    </row>
    <row r="51" ht="46.8" spans="1:22">
      <c r="A51" s="101" t="s">
        <v>3944</v>
      </c>
      <c r="B51" s="102" t="s">
        <v>207</v>
      </c>
      <c r="C51" s="101" t="s">
        <v>447</v>
      </c>
      <c r="D51" s="89" t="s">
        <v>209</v>
      </c>
      <c r="E51" s="101" t="s">
        <v>210</v>
      </c>
      <c r="F51" s="103" t="s">
        <v>6086</v>
      </c>
      <c r="G51" s="104" t="s">
        <v>6194</v>
      </c>
      <c r="H51" s="104" t="s">
        <v>6195</v>
      </c>
      <c r="I51" s="117" t="s">
        <v>6196</v>
      </c>
      <c r="J51" s="91" t="s">
        <v>6197</v>
      </c>
      <c r="K51" s="118" t="s">
        <v>0</v>
      </c>
      <c r="L51" s="119" t="s">
        <v>6091</v>
      </c>
      <c r="M51" s="119" t="s">
        <v>6092</v>
      </c>
      <c r="N51" s="120" t="s">
        <v>6198</v>
      </c>
      <c r="O51" s="119" t="s">
        <v>225</v>
      </c>
      <c r="P51" s="120" t="s">
        <v>226</v>
      </c>
      <c r="Q51" s="119"/>
      <c r="R51" s="119"/>
      <c r="S51" s="119"/>
      <c r="T51" s="119"/>
      <c r="U51" s="119"/>
      <c r="V51" s="119"/>
    </row>
    <row r="52" spans="1:14">
      <c r="A52" s="89" t="s">
        <v>672</v>
      </c>
      <c r="B52" s="108" t="s">
        <v>554</v>
      </c>
      <c r="C52" s="89" t="s">
        <v>1035</v>
      </c>
      <c r="D52" s="89" t="s">
        <v>234</v>
      </c>
      <c r="E52" s="91">
        <v>0</v>
      </c>
      <c r="F52" s="91">
        <v>399464.833333333</v>
      </c>
      <c r="G52" s="109"/>
      <c r="H52" s="109"/>
      <c r="I52" s="109" t="str">
        <f t="shared" ref="I52:I61" si="6">IFERROR(J52*0.5/$F$55,"")</f>
        <v/>
      </c>
      <c r="J52" s="91" t="s">
        <v>180</v>
      </c>
      <c r="K52" s="118" t="e">
        <f>VLOOKUP(B52,正厂竞争者数据汇总!D:H,11,FALSE)</f>
        <v>#REF!</v>
      </c>
      <c r="L52" s="89" t="s">
        <v>180</v>
      </c>
      <c r="M52" s="89" t="s">
        <v>180</v>
      </c>
      <c r="N52" s="89" t="s">
        <v>5419</v>
      </c>
    </row>
    <row r="53" s="88" customFormat="1" spans="1:22">
      <c r="A53" s="88" t="s">
        <v>227</v>
      </c>
      <c r="B53" s="105" t="s">
        <v>546</v>
      </c>
      <c r="C53" s="88" t="s">
        <v>441</v>
      </c>
      <c r="D53" s="88" t="s">
        <v>234</v>
      </c>
      <c r="E53" s="106">
        <v>0</v>
      </c>
      <c r="F53" s="106">
        <v>332249.583333333</v>
      </c>
      <c r="G53" s="107">
        <f>F53/F$62</f>
        <v>0.34550897392008</v>
      </c>
      <c r="H53" s="107">
        <v>0.320090980385755</v>
      </c>
      <c r="I53" s="107" t="str">
        <f t="shared" si="6"/>
        <v/>
      </c>
      <c r="J53" s="106" t="s">
        <v>180</v>
      </c>
      <c r="K53" s="118" t="e">
        <f>VLOOKUP(B53,正厂竞争者数据汇总!D:H,11,FALSE)</f>
        <v>#N/A</v>
      </c>
      <c r="L53" s="88" t="str">
        <f>IFERROR(VLOOKUP(B53,'Competitive Matrix'!$B$4:$D$22,2,FALSE),"")</f>
        <v>L:71% N:44% D:79% 有销售:87%</v>
      </c>
      <c r="M53" s="88" t="s">
        <v>6102</v>
      </c>
      <c r="N53" s="88">
        <v>1100</v>
      </c>
      <c r="O53" s="126"/>
      <c r="P53" s="126"/>
      <c r="Q53" s="126"/>
      <c r="R53" s="126"/>
      <c r="S53" s="126"/>
      <c r="T53" s="126"/>
      <c r="U53" s="126"/>
      <c r="V53" s="126"/>
    </row>
    <row r="54" ht="14.4" spans="1:16">
      <c r="A54" s="89" t="s">
        <v>230</v>
      </c>
      <c r="B54" s="114" t="s">
        <v>507</v>
      </c>
      <c r="C54" s="89" t="s">
        <v>233</v>
      </c>
      <c r="D54" s="89" t="s">
        <v>419</v>
      </c>
      <c r="E54" s="91">
        <v>0</v>
      </c>
      <c r="F54" s="91">
        <v>301202.933333333</v>
      </c>
      <c r="G54" s="109">
        <f>F54/F$62</f>
        <v>0.313223316621319</v>
      </c>
      <c r="H54" s="109">
        <v>0.286101398694039</v>
      </c>
      <c r="I54" s="109" t="str">
        <f t="shared" si="6"/>
        <v/>
      </c>
      <c r="J54" s="91" t="s">
        <v>180</v>
      </c>
      <c r="K54" s="118" t="e">
        <f>VLOOKUP(B54,正厂竞争者数据汇总!D:H,11,FALSE)</f>
        <v>#N/A</v>
      </c>
      <c r="L54" s="89" t="s">
        <v>180</v>
      </c>
      <c r="M54" s="89" t="s">
        <v>180</v>
      </c>
      <c r="N54" s="89">
        <v>820</v>
      </c>
      <c r="P54" s="125"/>
    </row>
    <row r="55" spans="1:14">
      <c r="A55" s="89" t="s">
        <v>672</v>
      </c>
      <c r="B55" s="108" t="s">
        <v>555</v>
      </c>
      <c r="C55" s="89" t="s">
        <v>470</v>
      </c>
      <c r="D55" s="89" t="s">
        <v>234</v>
      </c>
      <c r="E55" s="91">
        <v>0</v>
      </c>
      <c r="F55" s="91">
        <v>188504.166666667</v>
      </c>
      <c r="G55" s="109"/>
      <c r="H55" s="109"/>
      <c r="I55" s="109" t="str">
        <f t="shared" si="6"/>
        <v/>
      </c>
      <c r="J55" s="91" t="s">
        <v>180</v>
      </c>
      <c r="K55" s="118" t="e">
        <f>VLOOKUP(B55,正厂竞争者数据汇总!D:H,11,FALSE)</f>
        <v>#REF!</v>
      </c>
      <c r="L55" s="89" t="s">
        <v>180</v>
      </c>
      <c r="M55" s="89" t="s">
        <v>180</v>
      </c>
      <c r="N55" s="89" t="s">
        <v>5419</v>
      </c>
    </row>
    <row r="56" spans="1:14">
      <c r="A56" s="89" t="s">
        <v>672</v>
      </c>
      <c r="B56" s="108" t="s">
        <v>556</v>
      </c>
      <c r="C56" s="89" t="s">
        <v>470</v>
      </c>
      <c r="D56" s="89" t="s">
        <v>234</v>
      </c>
      <c r="E56" s="91">
        <v>0</v>
      </c>
      <c r="F56" s="91">
        <v>125613.916666667</v>
      </c>
      <c r="G56" s="109"/>
      <c r="H56" s="109"/>
      <c r="I56" s="109" t="str">
        <f t="shared" si="6"/>
        <v/>
      </c>
      <c r="J56" s="91" t="s">
        <v>180</v>
      </c>
      <c r="K56" s="118" t="e">
        <f>VLOOKUP(B56,正厂竞争者数据汇总!D:H,11,FALSE)</f>
        <v>#REF!</v>
      </c>
      <c r="L56" s="89" t="s">
        <v>180</v>
      </c>
      <c r="M56" s="89" t="s">
        <v>180</v>
      </c>
      <c r="N56" s="89" t="s">
        <v>5419</v>
      </c>
    </row>
    <row r="57" ht="14.4" spans="1:16">
      <c r="A57" s="111" t="s">
        <v>243</v>
      </c>
      <c r="B57" s="108" t="s">
        <v>270</v>
      </c>
      <c r="C57" s="89" t="s">
        <v>233</v>
      </c>
      <c r="D57" s="89" t="s">
        <v>266</v>
      </c>
      <c r="E57" s="91">
        <v>0</v>
      </c>
      <c r="F57" s="91">
        <v>85616.0833333333</v>
      </c>
      <c r="G57" s="109">
        <f>F57/F$62</f>
        <v>0.0890328433425857</v>
      </c>
      <c r="H57" s="109">
        <v>0.108111575682089</v>
      </c>
      <c r="I57" s="109" t="str">
        <f t="shared" si="6"/>
        <v/>
      </c>
      <c r="J57" s="91" t="s">
        <v>180</v>
      </c>
      <c r="K57" s="118" t="e">
        <f>VLOOKUP(B57,正厂竞争者数据汇总!D:H,11,FALSE)</f>
        <v>#REF!</v>
      </c>
      <c r="L57" s="89" t="s">
        <v>180</v>
      </c>
      <c r="M57" s="89" t="s">
        <v>180</v>
      </c>
      <c r="N57" s="89">
        <v>351</v>
      </c>
      <c r="O57" s="125"/>
      <c r="P57" s="125"/>
    </row>
    <row r="58" spans="1:15">
      <c r="A58" s="89" t="s">
        <v>230</v>
      </c>
      <c r="B58" s="108" t="s">
        <v>548</v>
      </c>
      <c r="C58" s="89" t="s">
        <v>233</v>
      </c>
      <c r="D58" s="89" t="s">
        <v>420</v>
      </c>
      <c r="E58" s="91">
        <v>0</v>
      </c>
      <c r="F58" s="91">
        <v>108076.25</v>
      </c>
      <c r="G58" s="109">
        <f>F58/F$62</f>
        <v>0.112389348597518</v>
      </c>
      <c r="H58" s="109">
        <v>0.116254156332139</v>
      </c>
      <c r="I58" s="109" t="str">
        <f t="shared" si="6"/>
        <v/>
      </c>
      <c r="J58" s="91" t="s">
        <v>180</v>
      </c>
      <c r="K58" s="118" t="e">
        <f>VLOOKUP(B58,正厂竞争者数据汇总!D:H,11,FALSE)</f>
        <v>#N/A</v>
      </c>
      <c r="L58" s="89" t="s">
        <v>180</v>
      </c>
      <c r="M58" s="89" t="s">
        <v>180</v>
      </c>
      <c r="N58" s="89">
        <v>274</v>
      </c>
      <c r="O58" s="126"/>
    </row>
    <row r="59" spans="1:14">
      <c r="A59" s="89" t="s">
        <v>230</v>
      </c>
      <c r="B59" s="108" t="s">
        <v>547</v>
      </c>
      <c r="C59" s="89" t="s">
        <v>233</v>
      </c>
      <c r="D59" s="89" t="s">
        <v>272</v>
      </c>
      <c r="E59" s="91">
        <v>0</v>
      </c>
      <c r="F59" s="91">
        <v>70656.6666666667</v>
      </c>
      <c r="G59" s="109">
        <f>F59/F$62</f>
        <v>0.0734764274365424</v>
      </c>
      <c r="H59" s="109">
        <v>0.0955815413494771</v>
      </c>
      <c r="I59" s="109" t="str">
        <f t="shared" si="6"/>
        <v/>
      </c>
      <c r="J59" s="91" t="s">
        <v>180</v>
      </c>
      <c r="K59" s="118" t="e">
        <f>VLOOKUP(B59,正厂竞争者数据汇总!D:H,11,FALSE)</f>
        <v>#N/A</v>
      </c>
      <c r="L59" s="89" t="s">
        <v>180</v>
      </c>
      <c r="M59" s="89" t="s">
        <v>180</v>
      </c>
      <c r="N59" s="89">
        <v>548</v>
      </c>
    </row>
    <row r="60" ht="28.8" spans="1:15">
      <c r="A60" s="89" t="s">
        <v>230</v>
      </c>
      <c r="B60" s="108" t="s">
        <v>549</v>
      </c>
      <c r="C60" s="89" t="s">
        <v>233</v>
      </c>
      <c r="D60" s="89" t="s">
        <v>451</v>
      </c>
      <c r="E60" s="91">
        <v>0</v>
      </c>
      <c r="F60" s="91">
        <v>55438.0833333333</v>
      </c>
      <c r="G60" s="109">
        <f>F60/F$62</f>
        <v>0.0576505020606122</v>
      </c>
      <c r="H60" s="109">
        <v>0.0696421470534579</v>
      </c>
      <c r="I60" s="109" t="str">
        <f t="shared" si="6"/>
        <v/>
      </c>
      <c r="J60" s="91" t="s">
        <v>180</v>
      </c>
      <c r="K60" s="118" t="e">
        <f>VLOOKUP(B60,正厂竞争者数据汇总!D:H,11,FALSE)</f>
        <v>#N/A</v>
      </c>
      <c r="L60" s="89" t="s">
        <v>180</v>
      </c>
      <c r="M60" s="89" t="s">
        <v>180</v>
      </c>
      <c r="N60" s="89">
        <v>77</v>
      </c>
      <c r="O60" s="126" t="s">
        <v>4353</v>
      </c>
    </row>
    <row r="61" s="88" customFormat="1" spans="1:16">
      <c r="A61" s="88" t="s">
        <v>227</v>
      </c>
      <c r="B61" s="88" t="s">
        <v>154</v>
      </c>
      <c r="C61" s="88" t="s">
        <v>233</v>
      </c>
      <c r="D61" s="88" t="s">
        <v>234</v>
      </c>
      <c r="E61" s="106">
        <v>0</v>
      </c>
      <c r="F61" s="106">
        <v>8384</v>
      </c>
      <c r="G61" s="107">
        <f>F61/F$62</f>
        <v>0.00871858802134224</v>
      </c>
      <c r="H61" s="107">
        <v>0.00421820050304259</v>
      </c>
      <c r="I61" s="107" t="str">
        <f t="shared" si="6"/>
        <v/>
      </c>
      <c r="J61" s="106" t="s">
        <v>180</v>
      </c>
      <c r="K61" s="118" t="e">
        <f>VLOOKUP(B61,正厂竞争者数据汇总!D:H,11,FALSE)</f>
        <v>#N/A</v>
      </c>
      <c r="L61" s="88" t="str">
        <f>IFERROR(VLOOKUP(B61,'Competitive Matrix'!$B$4:$D$22,2,FALSE),"")</f>
        <v>L:81% N:25%</v>
      </c>
      <c r="M61" s="88" t="s">
        <v>6102</v>
      </c>
      <c r="N61" s="88">
        <v>184</v>
      </c>
      <c r="O61" s="126"/>
      <c r="P61" s="126"/>
    </row>
    <row r="62" spans="5:11">
      <c r="E62" s="91"/>
      <c r="F62" s="91">
        <v>961623.6</v>
      </c>
      <c r="I62" s="92">
        <f>SUM(I53:I61)</f>
        <v>0</v>
      </c>
      <c r="J62" s="91" t="s">
        <v>180</v>
      </c>
      <c r="K62" s="95"/>
    </row>
    <row r="63" spans="5:10">
      <c r="E63" s="91"/>
      <c r="G63" s="109"/>
      <c r="H63" s="109"/>
      <c r="I63" s="109"/>
      <c r="J63" s="109"/>
    </row>
    <row r="64" spans="5:11">
      <c r="E64" s="91"/>
      <c r="K64" s="118"/>
    </row>
    <row r="65" spans="5:11">
      <c r="E65" s="91"/>
      <c r="K65" s="118"/>
    </row>
    <row r="66" ht="14.4" customHeight="1" spans="1:22">
      <c r="A66" s="96" t="s">
        <v>159</v>
      </c>
      <c r="B66" s="97"/>
      <c r="C66" s="98"/>
      <c r="E66" s="99" t="s">
        <v>2</v>
      </c>
      <c r="F66" s="100"/>
      <c r="G66" s="100"/>
      <c r="H66" s="100"/>
      <c r="I66" s="115"/>
      <c r="J66" s="100"/>
      <c r="L66" s="102"/>
      <c r="M66" s="102"/>
      <c r="O66" s="128"/>
      <c r="P66" s="128"/>
      <c r="Q66" s="128"/>
      <c r="R66" s="132"/>
      <c r="S66" s="116"/>
      <c r="T66" s="128"/>
      <c r="U66" s="128"/>
      <c r="V66" s="132"/>
    </row>
    <row r="67" ht="46.8" spans="1:22">
      <c r="A67" s="101" t="s">
        <v>3944</v>
      </c>
      <c r="B67" s="101" t="s">
        <v>207</v>
      </c>
      <c r="C67" s="101" t="s">
        <v>447</v>
      </c>
      <c r="D67" s="89" t="s">
        <v>209</v>
      </c>
      <c r="E67" s="101" t="s">
        <v>210</v>
      </c>
      <c r="F67" s="103" t="s">
        <v>6086</v>
      </c>
      <c r="G67" s="104" t="s">
        <v>6194</v>
      </c>
      <c r="H67" s="104" t="s">
        <v>6195</v>
      </c>
      <c r="I67" s="117" t="s">
        <v>6196</v>
      </c>
      <c r="J67" s="91" t="s">
        <v>6197</v>
      </c>
      <c r="K67" s="118" t="s">
        <v>0</v>
      </c>
      <c r="L67" s="119" t="s">
        <v>6091</v>
      </c>
      <c r="M67" s="119" t="s">
        <v>6092</v>
      </c>
      <c r="N67" s="120" t="s">
        <v>6198</v>
      </c>
      <c r="O67" s="119" t="s">
        <v>225</v>
      </c>
      <c r="P67" s="120" t="s">
        <v>226</v>
      </c>
      <c r="Q67" s="119"/>
      <c r="R67" s="119"/>
      <c r="S67" s="119"/>
      <c r="T67" s="119"/>
      <c r="U67" s="119"/>
      <c r="V67" s="119"/>
    </row>
    <row r="68" spans="1:14">
      <c r="A68" s="89" t="s">
        <v>4363</v>
      </c>
      <c r="B68" s="89" t="s">
        <v>562</v>
      </c>
      <c r="C68" s="89" t="s">
        <v>441</v>
      </c>
      <c r="D68" s="89" t="s">
        <v>234</v>
      </c>
      <c r="E68" s="91">
        <v>0</v>
      </c>
      <c r="F68" s="91">
        <v>87671.3333333333</v>
      </c>
      <c r="G68" s="92"/>
      <c r="H68" s="92"/>
      <c r="I68" s="92" t="str">
        <f t="shared" ref="I68:I76" si="7">IFERROR(J68*0.5/$F$69,"")</f>
        <v/>
      </c>
      <c r="J68" s="91" t="s">
        <v>180</v>
      </c>
      <c r="K68" s="118" t="e">
        <f>VLOOKUP(B68,正厂竞争者数据汇总!D:H,11,FALSE)</f>
        <v>#REF!</v>
      </c>
      <c r="L68" s="89" t="s">
        <v>180</v>
      </c>
      <c r="M68" s="89" t="s">
        <v>180</v>
      </c>
      <c r="N68" s="89" t="s">
        <v>5419</v>
      </c>
    </row>
    <row r="69" s="88" customFormat="1" ht="14.4" spans="1:16">
      <c r="A69" s="88" t="s">
        <v>227</v>
      </c>
      <c r="B69" s="134" t="s">
        <v>557</v>
      </c>
      <c r="C69" s="88" t="s">
        <v>441</v>
      </c>
      <c r="D69" s="88" t="s">
        <v>234</v>
      </c>
      <c r="E69" s="106">
        <v>0</v>
      </c>
      <c r="F69" s="106">
        <v>365847.75</v>
      </c>
      <c r="G69" s="110">
        <f>F69/F$77</f>
        <v>0.755560248220158</v>
      </c>
      <c r="H69" s="110">
        <v>0.73564123955099</v>
      </c>
      <c r="I69" s="110" t="str">
        <f t="shared" si="7"/>
        <v/>
      </c>
      <c r="J69" s="106" t="s">
        <v>180</v>
      </c>
      <c r="K69" s="122"/>
      <c r="L69" s="88" t="str">
        <f>IFERROR(VLOOKUP(B69,'Competitive Matrix'!$B$4:$D$22,2,FALSE),"")</f>
        <v>L:77% N:44% D:85% 有销售:91%</v>
      </c>
      <c r="M69" s="88" t="s">
        <v>6134</v>
      </c>
      <c r="N69" s="88">
        <v>1600</v>
      </c>
      <c r="O69" s="124"/>
      <c r="P69" s="124"/>
    </row>
    <row r="70" spans="1:18">
      <c r="A70" s="89" t="s">
        <v>230</v>
      </c>
      <c r="B70" s="135" t="s">
        <v>560</v>
      </c>
      <c r="C70" s="89" t="s">
        <v>233</v>
      </c>
      <c r="D70" s="89" t="s">
        <v>60</v>
      </c>
      <c r="E70" s="91">
        <v>0</v>
      </c>
      <c r="F70" s="91">
        <v>59673.5</v>
      </c>
      <c r="G70" s="92">
        <f>F70/F$77</f>
        <v>0.123239583876532</v>
      </c>
      <c r="H70" s="92">
        <v>0.125186080935109</v>
      </c>
      <c r="I70" s="92">
        <f t="shared" si="7"/>
        <v>0.0244665301344617</v>
      </c>
      <c r="J70" s="91">
        <v>17902.05</v>
      </c>
      <c r="K70" s="118" t="e">
        <f>VLOOKUP(B70,正厂竞争者数据汇总!D:H,11,FALSE)</f>
        <v>#N/A</v>
      </c>
      <c r="L70" s="89" t="s">
        <v>180</v>
      </c>
      <c r="M70" s="89" t="s">
        <v>180</v>
      </c>
      <c r="N70" s="89">
        <v>1300</v>
      </c>
      <c r="O70" s="138"/>
      <c r="R70" s="88"/>
    </row>
    <row r="71" spans="1:15">
      <c r="A71" s="89" t="s">
        <v>230</v>
      </c>
      <c r="B71" s="135" t="s">
        <v>4391</v>
      </c>
      <c r="C71" s="89" t="s">
        <v>233</v>
      </c>
      <c r="D71" s="89" t="s">
        <v>422</v>
      </c>
      <c r="E71" s="91">
        <v>0</v>
      </c>
      <c r="F71" s="91">
        <v>19767.3333333333</v>
      </c>
      <c r="G71" s="92">
        <f>F71/F$77</f>
        <v>0.0408241168081091</v>
      </c>
      <c r="H71" s="92">
        <v>0.0471571708291346</v>
      </c>
      <c r="I71" s="92" t="str">
        <f t="shared" si="7"/>
        <v/>
      </c>
      <c r="J71" s="91" t="s">
        <v>180</v>
      </c>
      <c r="K71" s="118" t="e">
        <f>VLOOKUP(B71,正厂竞争者数据汇总!D:H,11,FALSE)</f>
        <v>#N/A</v>
      </c>
      <c r="L71" s="89" t="s">
        <v>180</v>
      </c>
      <c r="M71" s="89" t="s">
        <v>180</v>
      </c>
      <c r="N71" s="89">
        <v>84</v>
      </c>
      <c r="O71" s="126"/>
    </row>
    <row r="72" spans="1:14">
      <c r="A72" s="89" t="s">
        <v>367</v>
      </c>
      <c r="B72" s="108" t="s">
        <v>5225</v>
      </c>
      <c r="C72" s="89">
        <v>0</v>
      </c>
      <c r="D72" s="89">
        <v>0</v>
      </c>
      <c r="E72" s="91">
        <v>0</v>
      </c>
      <c r="F72" s="91">
        <v>9037.16666666667</v>
      </c>
      <c r="G72" s="92">
        <f>F72/F$77</f>
        <v>0.018663840053338</v>
      </c>
      <c r="H72" s="92">
        <v>0.0325814884881001</v>
      </c>
      <c r="I72" s="92" t="str">
        <f t="shared" si="7"/>
        <v/>
      </c>
      <c r="J72" s="91" t="s">
        <v>180</v>
      </c>
      <c r="K72" s="118" t="e">
        <f>VLOOKUP(B72,正厂竞争者数据汇总!D:H,11,FALSE)</f>
        <v>#N/A</v>
      </c>
      <c r="L72" s="89" t="s">
        <v>180</v>
      </c>
      <c r="M72" s="89" t="s">
        <v>180</v>
      </c>
      <c r="N72" s="89">
        <v>597</v>
      </c>
    </row>
    <row r="73" spans="2:14">
      <c r="B73" s="89" t="s">
        <v>4399</v>
      </c>
      <c r="C73" s="89">
        <v>0</v>
      </c>
      <c r="D73" s="89">
        <v>0</v>
      </c>
      <c r="E73" s="91">
        <v>0</v>
      </c>
      <c r="F73" s="91">
        <v>278.5</v>
      </c>
      <c r="G73" s="92"/>
      <c r="H73" s="92"/>
      <c r="I73" s="92" t="str">
        <f t="shared" si="7"/>
        <v/>
      </c>
      <c r="J73" s="91" t="s">
        <v>180</v>
      </c>
      <c r="K73" s="118" t="e">
        <f>VLOOKUP(B73,正厂竞争者数据汇总!D:H,11,FALSE)</f>
        <v>#N/A</v>
      </c>
      <c r="L73" s="89" t="s">
        <v>180</v>
      </c>
      <c r="M73" s="89" t="s">
        <v>180</v>
      </c>
      <c r="N73" s="89">
        <v>901</v>
      </c>
    </row>
    <row r="74" s="88" customFormat="1" spans="1:16">
      <c r="A74" s="88" t="s">
        <v>227</v>
      </c>
      <c r="B74" s="134" t="s">
        <v>4400</v>
      </c>
      <c r="C74" s="88" t="s">
        <v>441</v>
      </c>
      <c r="D74" s="88">
        <v>0</v>
      </c>
      <c r="E74" s="106">
        <v>0</v>
      </c>
      <c r="F74" s="91">
        <v>0</v>
      </c>
      <c r="G74" s="92">
        <f>F74/F$77</f>
        <v>0</v>
      </c>
      <c r="H74" s="110">
        <v>0.00102503699742913</v>
      </c>
      <c r="I74" s="110" t="str">
        <f t="shared" si="7"/>
        <v/>
      </c>
      <c r="J74" s="106" t="s">
        <v>180</v>
      </c>
      <c r="K74" s="118" t="e">
        <f>VLOOKUP(B74,正厂竞争者数据汇总!D:H,11,FALSE)</f>
        <v>#N/A</v>
      </c>
      <c r="L74" s="88" t="s">
        <v>180</v>
      </c>
      <c r="M74" s="88" t="s">
        <v>180</v>
      </c>
      <c r="N74" s="88">
        <v>78</v>
      </c>
      <c r="O74" s="126"/>
      <c r="P74" s="126"/>
    </row>
    <row r="75" spans="1:14">
      <c r="A75" s="89" t="s">
        <v>230</v>
      </c>
      <c r="B75" s="89" t="s">
        <v>563</v>
      </c>
      <c r="C75" s="89" t="s">
        <v>233</v>
      </c>
      <c r="D75" s="89" t="s">
        <v>58</v>
      </c>
      <c r="E75" s="91">
        <v>0</v>
      </c>
      <c r="F75" s="91">
        <v>14642.5</v>
      </c>
      <c r="G75" s="92">
        <f>F75/F$77</f>
        <v>0.0302401502662341</v>
      </c>
      <c r="H75" s="92">
        <v>0.0368086723130163</v>
      </c>
      <c r="I75" s="92">
        <f t="shared" si="7"/>
        <v>0.0060035219568796</v>
      </c>
      <c r="J75" s="91">
        <v>4392.75</v>
      </c>
      <c r="K75" s="118" t="e">
        <f>VLOOKUP(B75,正厂竞争者数据汇总!D:H,11,FALSE)</f>
        <v>#N/A</v>
      </c>
      <c r="L75" s="89" t="s">
        <v>180</v>
      </c>
      <c r="M75" s="89" t="s">
        <v>180</v>
      </c>
      <c r="N75" s="89">
        <v>127</v>
      </c>
    </row>
    <row r="76" spans="1:14">
      <c r="A76" s="89" t="s">
        <v>230</v>
      </c>
      <c r="B76" s="108" t="s">
        <v>558</v>
      </c>
      <c r="C76" s="89">
        <v>0</v>
      </c>
      <c r="D76" s="89" t="s">
        <v>250</v>
      </c>
      <c r="E76" s="91">
        <v>0</v>
      </c>
      <c r="F76" s="91">
        <v>15239</v>
      </c>
      <c r="G76" s="92">
        <f>F76/F$77</f>
        <v>0.0314720607756286</v>
      </c>
      <c r="H76" s="92">
        <v>0.021600310886221</v>
      </c>
      <c r="I76" s="92" t="str">
        <f t="shared" si="7"/>
        <v/>
      </c>
      <c r="J76" s="91" t="s">
        <v>180</v>
      </c>
      <c r="K76" s="118" t="e">
        <f>VLOOKUP(B76,正厂竞争者数据汇总!D:H,11,FALSE)</f>
        <v>#N/A</v>
      </c>
      <c r="L76" s="89" t="s">
        <v>180</v>
      </c>
      <c r="M76" s="89" t="s">
        <v>180</v>
      </c>
      <c r="N76" s="89" t="s">
        <v>5419</v>
      </c>
    </row>
    <row r="77" spans="3:9">
      <c r="C77" s="89"/>
      <c r="E77" s="91"/>
      <c r="F77" s="91">
        <v>484207.25</v>
      </c>
      <c r="G77" s="109"/>
      <c r="H77" s="109"/>
      <c r="I77" s="109">
        <f>SUM(I68:I76)</f>
        <v>0.0304700520913413</v>
      </c>
    </row>
    <row r="78" spans="3:9">
      <c r="C78" s="89"/>
      <c r="E78" s="91"/>
      <c r="G78" s="109"/>
      <c r="H78" s="109"/>
      <c r="I78" s="109"/>
    </row>
    <row r="79" ht="14.4" customHeight="1" spans="1:22">
      <c r="A79" s="96" t="s">
        <v>274</v>
      </c>
      <c r="B79" s="97"/>
      <c r="C79" s="98"/>
      <c r="E79" s="99" t="s">
        <v>2</v>
      </c>
      <c r="F79" s="100"/>
      <c r="G79" s="100"/>
      <c r="H79" s="100"/>
      <c r="I79" s="115"/>
      <c r="J79" s="100"/>
      <c r="K79" s="95"/>
      <c r="L79" s="102"/>
      <c r="M79" s="102"/>
      <c r="O79" s="128"/>
      <c r="P79" s="128"/>
      <c r="Q79" s="128"/>
      <c r="R79" s="132"/>
      <c r="S79" s="116"/>
      <c r="T79" s="128"/>
      <c r="U79" s="128"/>
      <c r="V79" s="132"/>
    </row>
    <row r="80" ht="46.8" spans="1:22">
      <c r="A80" s="101" t="s">
        <v>3944</v>
      </c>
      <c r="B80" s="102" t="s">
        <v>207</v>
      </c>
      <c r="C80" s="101" t="s">
        <v>447</v>
      </c>
      <c r="D80" s="89" t="s">
        <v>209</v>
      </c>
      <c r="E80" s="101" t="s">
        <v>210</v>
      </c>
      <c r="F80" s="103" t="s">
        <v>6086</v>
      </c>
      <c r="G80" s="104" t="s">
        <v>6194</v>
      </c>
      <c r="H80" s="104" t="s">
        <v>6195</v>
      </c>
      <c r="I80" s="117" t="s">
        <v>6196</v>
      </c>
      <c r="J80" s="91" t="s">
        <v>6197</v>
      </c>
      <c r="K80" s="95"/>
      <c r="L80" s="119" t="s">
        <v>6091</v>
      </c>
      <c r="M80" s="119" t="s">
        <v>6092</v>
      </c>
      <c r="N80" s="120" t="s">
        <v>6198</v>
      </c>
      <c r="O80" s="119" t="s">
        <v>225</v>
      </c>
      <c r="P80" s="120" t="s">
        <v>226</v>
      </c>
      <c r="Q80" s="119"/>
      <c r="R80" s="119"/>
      <c r="S80" s="119"/>
      <c r="T80" s="119"/>
      <c r="U80" s="119"/>
      <c r="V80" s="119"/>
    </row>
    <row r="81" s="88" customFormat="1" ht="14.4" spans="1:16">
      <c r="A81" s="88" t="s">
        <v>227</v>
      </c>
      <c r="B81" s="105" t="s">
        <v>564</v>
      </c>
      <c r="C81" s="88" t="s">
        <v>441</v>
      </c>
      <c r="D81" s="88" t="s">
        <v>234</v>
      </c>
      <c r="E81" s="106">
        <v>0</v>
      </c>
      <c r="F81" s="106">
        <v>226349.5</v>
      </c>
      <c r="G81" s="107">
        <f>F81/F$88</f>
        <v>0.559383848512539</v>
      </c>
      <c r="H81" s="107">
        <v>0.532174720752986</v>
      </c>
      <c r="I81" s="107" t="str">
        <f t="shared" ref="I81:I87" si="8">IFERROR(J81*0.5/$F$81,"")</f>
        <v/>
      </c>
      <c r="J81" s="106" t="s">
        <v>180</v>
      </c>
      <c r="K81" s="122" t="e">
        <f>VLOOKUP(B81,正厂竞争者数据汇总!D:H,11,FALSE)</f>
        <v>#N/A</v>
      </c>
      <c r="L81" s="88" t="str">
        <f>IFERROR(VLOOKUP(B81,'Competitive Matrix'!$B$4:$D$22,2,FALSE),"")</f>
        <v>L:80% N:53% D:69% 有销售:88%</v>
      </c>
      <c r="M81" s="88" t="s">
        <v>6155</v>
      </c>
      <c r="N81" s="88">
        <v>1100</v>
      </c>
      <c r="O81" s="124"/>
      <c r="P81" s="124"/>
    </row>
    <row r="82" ht="24" customHeight="1" spans="1:14">
      <c r="A82" s="89" t="s">
        <v>230</v>
      </c>
      <c r="B82" s="108" t="s">
        <v>568</v>
      </c>
      <c r="C82" s="89" t="s">
        <v>65</v>
      </c>
      <c r="D82" s="89" t="s">
        <v>266</v>
      </c>
      <c r="E82" s="91">
        <v>0</v>
      </c>
      <c r="F82" s="91">
        <v>62572.75</v>
      </c>
      <c r="G82" s="109">
        <f>F82/F$88</f>
        <v>0.154637786728104</v>
      </c>
      <c r="H82" s="109">
        <v>0.191693886687337</v>
      </c>
      <c r="I82" s="109" t="str">
        <f t="shared" si="8"/>
        <v/>
      </c>
      <c r="J82" s="91" t="s">
        <v>180</v>
      </c>
      <c r="K82" s="118" t="e">
        <f>VLOOKUP(B82,正厂竞争者数据汇总!D:H,11,FALSE)</f>
        <v>#N/A</v>
      </c>
      <c r="L82" s="89" t="s">
        <v>180</v>
      </c>
      <c r="M82" s="89" t="s">
        <v>180</v>
      </c>
      <c r="N82" s="89">
        <v>338</v>
      </c>
    </row>
    <row r="83" ht="61.2" customHeight="1" spans="1:18">
      <c r="A83" s="89" t="s">
        <v>391</v>
      </c>
      <c r="B83" s="108" t="s">
        <v>565</v>
      </c>
      <c r="C83" s="89" t="s">
        <v>454</v>
      </c>
      <c r="D83" s="89" t="s">
        <v>266</v>
      </c>
      <c r="E83" s="91">
        <v>0</v>
      </c>
      <c r="F83" s="91">
        <v>42812.75</v>
      </c>
      <c r="G83" s="109">
        <f>F83/F$88</f>
        <v>0.10580434620092</v>
      </c>
      <c r="H83" s="109">
        <v>0.0896245087960737</v>
      </c>
      <c r="I83" s="109" t="str">
        <f t="shared" si="8"/>
        <v/>
      </c>
      <c r="J83" s="91" t="s">
        <v>180</v>
      </c>
      <c r="K83" s="118" t="e">
        <f>VLOOKUP(B83,正厂竞争者数据汇总!D:H,11,FALSE)</f>
        <v>#N/A</v>
      </c>
      <c r="L83" s="89" t="s">
        <v>180</v>
      </c>
      <c r="M83" s="89" t="s">
        <v>180</v>
      </c>
      <c r="N83" s="89">
        <v>480</v>
      </c>
      <c r="O83" s="124"/>
      <c r="P83" s="125"/>
      <c r="Q83" s="133"/>
      <c r="R83" s="133"/>
    </row>
    <row r="84" spans="1:18">
      <c r="A84" s="89" t="s">
        <v>391</v>
      </c>
      <c r="B84" s="108" t="s">
        <v>567</v>
      </c>
      <c r="C84" s="89" t="s">
        <v>454</v>
      </c>
      <c r="D84" s="89" t="s">
        <v>420</v>
      </c>
      <c r="E84" s="91">
        <v>0</v>
      </c>
      <c r="F84" s="91">
        <v>22698</v>
      </c>
      <c r="G84" s="109">
        <f>F84/F$88</f>
        <v>0.0560942020792518</v>
      </c>
      <c r="H84" s="109">
        <v>0.0594296300287952</v>
      </c>
      <c r="I84" s="109" t="str">
        <f t="shared" si="8"/>
        <v/>
      </c>
      <c r="J84" s="91" t="s">
        <v>180</v>
      </c>
      <c r="K84" s="118" t="e">
        <f>VLOOKUP(B84,正厂竞争者数据汇总!D:H,11,FALSE)</f>
        <v>#N/A</v>
      </c>
      <c r="L84" s="89" t="s">
        <v>180</v>
      </c>
      <c r="M84" s="89" t="s">
        <v>180</v>
      </c>
      <c r="N84" s="89">
        <v>678</v>
      </c>
      <c r="Q84" s="133"/>
      <c r="R84" s="133"/>
    </row>
    <row r="85" ht="14.4" spans="1:15">
      <c r="A85" s="89" t="s">
        <v>446</v>
      </c>
      <c r="B85" s="89" t="s">
        <v>4425</v>
      </c>
      <c r="C85" s="89" t="s">
        <v>233</v>
      </c>
      <c r="D85" s="89" t="s">
        <v>49</v>
      </c>
      <c r="E85" s="91">
        <v>0</v>
      </c>
      <c r="F85" s="91">
        <v>37086.5</v>
      </c>
      <c r="G85" s="109">
        <f>F85/F$88</f>
        <v>0.0916529044590788</v>
      </c>
      <c r="H85" s="109">
        <v>0.0940681426273814</v>
      </c>
      <c r="I85" s="109">
        <f t="shared" si="8"/>
        <v>0.0122884631951915</v>
      </c>
      <c r="J85" s="91">
        <v>5562.975</v>
      </c>
      <c r="K85" s="118" t="e">
        <f>VLOOKUP(B85,正厂竞争者数据汇总!D:H,11,FALSE)</f>
        <v>#N/A</v>
      </c>
      <c r="L85" s="89" t="s">
        <v>180</v>
      </c>
      <c r="M85" s="89" t="s">
        <v>180</v>
      </c>
      <c r="N85" s="89">
        <v>798</v>
      </c>
      <c r="O85" s="125"/>
    </row>
    <row r="86" spans="2:14">
      <c r="B86" s="108" t="s">
        <v>4429</v>
      </c>
      <c r="C86" s="89">
        <v>0</v>
      </c>
      <c r="D86" s="89">
        <v>0</v>
      </c>
      <c r="E86" s="91">
        <v>0</v>
      </c>
      <c r="F86" s="91">
        <v>31744.5833333333</v>
      </c>
      <c r="G86" s="109"/>
      <c r="H86" s="109"/>
      <c r="I86" s="109" t="str">
        <f t="shared" si="8"/>
        <v/>
      </c>
      <c r="J86" s="91" t="s">
        <v>180</v>
      </c>
      <c r="K86" s="118" t="e">
        <f>VLOOKUP(B86,正厂竞争者数据汇总!D:H,11,FALSE)</f>
        <v>#N/A</v>
      </c>
      <c r="L86" s="89" t="s">
        <v>180</v>
      </c>
      <c r="M86" s="89" t="s">
        <v>180</v>
      </c>
      <c r="N86" s="89">
        <v>543</v>
      </c>
    </row>
    <row r="87" spans="1:15">
      <c r="A87" s="89" t="s">
        <v>391</v>
      </c>
      <c r="B87" s="89" t="s">
        <v>569</v>
      </c>
      <c r="C87" s="89">
        <v>0</v>
      </c>
      <c r="D87" s="89">
        <v>0</v>
      </c>
      <c r="E87" s="91">
        <v>0</v>
      </c>
      <c r="F87" s="91">
        <v>13121.25</v>
      </c>
      <c r="G87" s="109">
        <f>F87/F$88</f>
        <v>0.0324269120201067</v>
      </c>
      <c r="H87" s="109">
        <v>0.0330091111074265</v>
      </c>
      <c r="I87" s="109" t="str">
        <f t="shared" si="8"/>
        <v/>
      </c>
      <c r="J87" s="91" t="s">
        <v>180</v>
      </c>
      <c r="K87" s="118" t="e">
        <f>VLOOKUP(B87,正厂竞争者数据汇总!D:H,11,FALSE)</f>
        <v>#N/A</v>
      </c>
      <c r="L87" s="89" t="s">
        <v>180</v>
      </c>
      <c r="M87" s="89" t="s">
        <v>180</v>
      </c>
      <c r="N87" s="89">
        <v>219</v>
      </c>
      <c r="O87" s="126"/>
    </row>
    <row r="88" spans="5:11">
      <c r="E88" s="91"/>
      <c r="F88" s="91">
        <v>404640.75</v>
      </c>
      <c r="I88" s="109">
        <f>SUM(I81:I87)</f>
        <v>0.0122884631951915</v>
      </c>
      <c r="K88" s="95"/>
    </row>
    <row r="89" spans="5:5">
      <c r="E89" s="91"/>
    </row>
    <row r="90" ht="14.4" customHeight="1" spans="1:22">
      <c r="A90" s="96" t="s">
        <v>165</v>
      </c>
      <c r="B90" s="97"/>
      <c r="C90" s="98"/>
      <c r="E90" s="99" t="s">
        <v>2</v>
      </c>
      <c r="F90" s="100"/>
      <c r="G90" s="100"/>
      <c r="H90" s="100"/>
      <c r="I90" s="115"/>
      <c r="J90" s="100"/>
      <c r="L90" s="102"/>
      <c r="M90" s="102"/>
      <c r="O90" s="128"/>
      <c r="P90" s="128"/>
      <c r="Q90" s="128"/>
      <c r="R90" s="132"/>
      <c r="S90" s="116"/>
      <c r="T90" s="128"/>
      <c r="U90" s="128"/>
      <c r="V90" s="132"/>
    </row>
    <row r="91" ht="46.8" spans="1:22">
      <c r="A91" s="101" t="s">
        <v>3944</v>
      </c>
      <c r="B91" s="102" t="s">
        <v>207</v>
      </c>
      <c r="C91" s="101" t="s">
        <v>447</v>
      </c>
      <c r="D91" s="89" t="s">
        <v>209</v>
      </c>
      <c r="E91" s="101" t="s">
        <v>210</v>
      </c>
      <c r="F91" s="103" t="s">
        <v>6086</v>
      </c>
      <c r="G91" s="104" t="s">
        <v>6194</v>
      </c>
      <c r="H91" s="104" t="s">
        <v>6195</v>
      </c>
      <c r="I91" s="117" t="s">
        <v>6196</v>
      </c>
      <c r="J91" s="91" t="s">
        <v>6197</v>
      </c>
      <c r="K91" s="118" t="s">
        <v>0</v>
      </c>
      <c r="L91" s="119" t="s">
        <v>6091</v>
      </c>
      <c r="M91" s="119" t="s">
        <v>6092</v>
      </c>
      <c r="N91" s="120" t="s">
        <v>6198</v>
      </c>
      <c r="O91" s="119" t="s">
        <v>225</v>
      </c>
      <c r="P91" s="120" t="s">
        <v>226</v>
      </c>
      <c r="Q91" s="119"/>
      <c r="R91" s="119"/>
      <c r="S91" s="119"/>
      <c r="T91" s="119"/>
      <c r="U91" s="119"/>
      <c r="V91" s="119"/>
    </row>
    <row r="92" spans="1:14">
      <c r="A92" s="89" t="s">
        <v>4435</v>
      </c>
      <c r="B92" s="108" t="s">
        <v>577</v>
      </c>
      <c r="C92" s="89" t="s">
        <v>441</v>
      </c>
      <c r="D92" s="89" t="s">
        <v>234</v>
      </c>
      <c r="E92" s="91">
        <v>0</v>
      </c>
      <c r="F92" s="91">
        <v>255579</v>
      </c>
      <c r="I92" s="109" t="str">
        <f t="shared" ref="I92:I99" si="9">IFERROR(J92*0.5/$F$97,"")</f>
        <v/>
      </c>
      <c r="J92" s="91" t="s">
        <v>180</v>
      </c>
      <c r="K92" s="118">
        <v>0</v>
      </c>
      <c r="L92" s="89" t="s">
        <v>180</v>
      </c>
      <c r="M92" s="89" t="s">
        <v>180</v>
      </c>
      <c r="N92" s="89" t="s">
        <v>5419</v>
      </c>
    </row>
    <row r="93" spans="1:15">
      <c r="A93" s="89" t="s">
        <v>230</v>
      </c>
      <c r="B93" s="108" t="s">
        <v>570</v>
      </c>
      <c r="C93" s="89" t="s">
        <v>233</v>
      </c>
      <c r="D93" s="89" t="s">
        <v>50</v>
      </c>
      <c r="E93" s="91">
        <v>0</v>
      </c>
      <c r="F93" s="91">
        <v>126480.833333333</v>
      </c>
      <c r="G93" s="109">
        <f t="shared" ref="G93:G99" si="10">F93/F$100</f>
        <v>0.31397599353914</v>
      </c>
      <c r="H93" s="109">
        <v>0.308389143117111</v>
      </c>
      <c r="I93" s="109">
        <f t="shared" si="9"/>
        <v>19.9706578947368</v>
      </c>
      <c r="J93" s="91">
        <v>37944.2499999999</v>
      </c>
      <c r="K93" s="118" t="e">
        <f>VLOOKUP(B93,正厂竞争者数据汇总!D:H,11,FALSE)</f>
        <v>#N/A</v>
      </c>
      <c r="L93" s="89" t="s">
        <v>180</v>
      </c>
      <c r="M93" s="89" t="s">
        <v>180</v>
      </c>
      <c r="N93" s="89">
        <v>454</v>
      </c>
      <c r="O93" s="126"/>
    </row>
    <row r="94" spans="1:22">
      <c r="A94" s="88" t="s">
        <v>227</v>
      </c>
      <c r="B94" s="105" t="s">
        <v>571</v>
      </c>
      <c r="C94" s="88" t="s">
        <v>441</v>
      </c>
      <c r="D94" s="88" t="s">
        <v>234</v>
      </c>
      <c r="E94" s="106">
        <v>0</v>
      </c>
      <c r="F94" s="106">
        <v>95253</v>
      </c>
      <c r="G94" s="107">
        <f t="shared" si="10"/>
        <v>0.236456026770199</v>
      </c>
      <c r="H94" s="107">
        <v>0.223827130486136</v>
      </c>
      <c r="I94" s="107" t="str">
        <f t="shared" si="9"/>
        <v/>
      </c>
      <c r="J94" s="106" t="s">
        <v>180</v>
      </c>
      <c r="K94" s="122"/>
      <c r="L94" s="88" t="str">
        <f>IFERROR(VLOOKUP(B94,'Competitive Matrix'!$B$4:$D$22,2,FALSE),"")</f>
        <v>L:74% N:17% D:89% 有销售:84%</v>
      </c>
      <c r="M94" s="88" t="s">
        <v>6203</v>
      </c>
      <c r="N94" s="88">
        <v>934</v>
      </c>
      <c r="O94" s="88"/>
      <c r="P94" s="126"/>
      <c r="Q94" s="88"/>
      <c r="R94" s="88"/>
      <c r="S94" s="88"/>
      <c r="T94" s="88"/>
      <c r="U94" s="88"/>
      <c r="V94" s="88"/>
    </row>
    <row r="95" ht="24.6" customHeight="1" spans="1:16">
      <c r="A95" s="89" t="s">
        <v>230</v>
      </c>
      <c r="B95" s="108" t="s">
        <v>573</v>
      </c>
      <c r="C95" s="89" t="s">
        <v>233</v>
      </c>
      <c r="D95" s="89" t="s">
        <v>423</v>
      </c>
      <c r="E95" s="91">
        <v>0</v>
      </c>
      <c r="F95" s="91">
        <v>107941.25</v>
      </c>
      <c r="G95" s="109">
        <f t="shared" si="10"/>
        <v>0.267953335848832</v>
      </c>
      <c r="H95" s="109">
        <v>0.236241152363245</v>
      </c>
      <c r="I95" s="109" t="str">
        <f t="shared" si="9"/>
        <v/>
      </c>
      <c r="J95" s="91" t="s">
        <v>180</v>
      </c>
      <c r="K95" s="118" t="e">
        <f>VLOOKUP(B95,正厂竞争者数据汇总!D:H,11,FALSE)</f>
        <v>#N/A</v>
      </c>
      <c r="L95" s="89" t="s">
        <v>180</v>
      </c>
      <c r="M95" s="89" t="s">
        <v>180</v>
      </c>
      <c r="N95" s="89">
        <v>1000</v>
      </c>
      <c r="O95" s="124"/>
      <c r="P95" s="125"/>
    </row>
    <row r="96" spans="1:14">
      <c r="A96" s="89" t="s">
        <v>1992</v>
      </c>
      <c r="B96" s="89" t="s">
        <v>4454</v>
      </c>
      <c r="C96" s="89" t="s">
        <v>233</v>
      </c>
      <c r="D96" s="89" t="s">
        <v>424</v>
      </c>
      <c r="E96" s="91">
        <v>0</v>
      </c>
      <c r="F96" s="91">
        <v>32138.8333333333</v>
      </c>
      <c r="G96" s="109">
        <f t="shared" si="10"/>
        <v>0.0797814329735508</v>
      </c>
      <c r="H96" s="109">
        <v>0.110705109830724</v>
      </c>
      <c r="I96" s="109" t="str">
        <f t="shared" si="9"/>
        <v/>
      </c>
      <c r="J96" s="91" t="s">
        <v>180</v>
      </c>
      <c r="K96" s="118" t="e">
        <f>VLOOKUP(B96,正厂竞争者数据汇总!D:H,11,FALSE)</f>
        <v>#N/A</v>
      </c>
      <c r="L96" s="89" t="s">
        <v>180</v>
      </c>
      <c r="M96" s="89" t="s">
        <v>180</v>
      </c>
      <c r="N96" s="89">
        <v>747</v>
      </c>
    </row>
    <row r="97" s="88" customFormat="1" spans="1:22">
      <c r="A97" s="89" t="s">
        <v>230</v>
      </c>
      <c r="B97" s="108" t="s">
        <v>5231</v>
      </c>
      <c r="C97" s="89" t="s">
        <v>233</v>
      </c>
      <c r="D97" s="89" t="s">
        <v>50</v>
      </c>
      <c r="E97" s="91">
        <v>0</v>
      </c>
      <c r="F97" s="91">
        <v>950</v>
      </c>
      <c r="G97" s="109">
        <f t="shared" si="10"/>
        <v>0.00235827979624463</v>
      </c>
      <c r="H97" s="109">
        <v>0.00719494460471195</v>
      </c>
      <c r="I97" s="109">
        <f t="shared" si="9"/>
        <v>0.15</v>
      </c>
      <c r="J97" s="91">
        <v>285</v>
      </c>
      <c r="K97" s="118" t="e">
        <f>VLOOKUP(B97,正厂竞争者数据汇总!D:H,11,FALSE)</f>
        <v>#N/A</v>
      </c>
      <c r="L97" s="89" t="s">
        <v>180</v>
      </c>
      <c r="M97" s="89" t="s">
        <v>180</v>
      </c>
      <c r="N97" s="89">
        <v>848</v>
      </c>
      <c r="O97" s="126"/>
      <c r="P97" s="95"/>
      <c r="Q97" s="89"/>
      <c r="R97" s="89"/>
      <c r="S97" s="89"/>
      <c r="T97" s="89"/>
      <c r="U97" s="89"/>
      <c r="V97" s="89"/>
    </row>
    <row r="98" spans="1:15">
      <c r="A98" s="89" t="s">
        <v>391</v>
      </c>
      <c r="B98" s="89" t="s">
        <v>297</v>
      </c>
      <c r="C98" s="89" t="s">
        <v>441</v>
      </c>
      <c r="D98" s="89" t="s">
        <v>421</v>
      </c>
      <c r="E98" s="91">
        <v>0</v>
      </c>
      <c r="F98" s="91">
        <v>33024.75</v>
      </c>
      <c r="G98" s="109">
        <f t="shared" si="10"/>
        <v>0.0819806323168734</v>
      </c>
      <c r="H98" s="109">
        <v>0.0958890163264984</v>
      </c>
      <c r="I98" s="109" t="str">
        <f t="shared" si="9"/>
        <v/>
      </c>
      <c r="J98" s="91" t="s">
        <v>180</v>
      </c>
      <c r="K98" s="118" t="e">
        <f>VLOOKUP(B98,正厂竞争者数据汇总!D:H,11,FALSE)</f>
        <v>#REF!</v>
      </c>
      <c r="L98" s="89" t="s">
        <v>180</v>
      </c>
      <c r="M98" s="89" t="s">
        <v>180</v>
      </c>
      <c r="N98" s="89">
        <v>132</v>
      </c>
      <c r="O98" s="126"/>
    </row>
    <row r="99" spans="1:15">
      <c r="A99" s="89" t="s">
        <v>230</v>
      </c>
      <c r="B99" s="89" t="s">
        <v>4480</v>
      </c>
      <c r="C99" s="89" t="s">
        <v>233</v>
      </c>
      <c r="D99" s="89" t="s">
        <v>371</v>
      </c>
      <c r="E99" s="91">
        <v>0</v>
      </c>
      <c r="F99" s="91">
        <v>7047.33333333333</v>
      </c>
      <c r="G99" s="109">
        <f t="shared" si="10"/>
        <v>0.0174942987551592</v>
      </c>
      <c r="H99" s="109">
        <v>0.0177535032715735</v>
      </c>
      <c r="I99" s="109" t="str">
        <f t="shared" si="9"/>
        <v/>
      </c>
      <c r="J99" s="91" t="s">
        <v>180</v>
      </c>
      <c r="K99" s="118" t="e">
        <f>VLOOKUP(B99,正厂竞争者数据汇总!D:H,11,FALSE)</f>
        <v>#N/A</v>
      </c>
      <c r="L99" s="89" t="s">
        <v>180</v>
      </c>
      <c r="M99" s="89" t="s">
        <v>180</v>
      </c>
      <c r="N99" s="89">
        <v>169</v>
      </c>
      <c r="O99" s="138"/>
    </row>
    <row r="100" spans="6:11">
      <c r="F100" s="91">
        <v>402836</v>
      </c>
      <c r="I100" s="109">
        <f>SUM(I93:I98)</f>
        <v>20.1206578947368</v>
      </c>
      <c r="K100" s="95"/>
    </row>
    <row r="101" spans="5:10">
      <c r="E101" s="91"/>
      <c r="F101" s="109"/>
      <c r="G101" s="109"/>
      <c r="H101" s="109"/>
      <c r="I101" s="109"/>
      <c r="J101" s="109"/>
    </row>
    <row r="102" spans="3:9">
      <c r="C102" s="89"/>
      <c r="E102" s="91"/>
      <c r="G102" s="109"/>
      <c r="H102" s="109"/>
      <c r="I102" s="109"/>
    </row>
    <row r="103" spans="3:9">
      <c r="C103" s="89"/>
      <c r="E103" s="91"/>
      <c r="G103" s="109"/>
      <c r="H103" s="109"/>
      <c r="I103" s="109"/>
    </row>
    <row r="104" spans="3:10">
      <c r="C104" s="89"/>
      <c r="E104" s="91"/>
      <c r="F104" s="109"/>
      <c r="G104" s="109"/>
      <c r="H104" s="109"/>
      <c r="I104" s="109"/>
      <c r="J104" s="109"/>
    </row>
    <row r="105" ht="14.4" customHeight="1" spans="1:22">
      <c r="A105" s="96" t="s">
        <v>174</v>
      </c>
      <c r="B105" s="97"/>
      <c r="C105" s="98"/>
      <c r="E105" s="99" t="s">
        <v>2</v>
      </c>
      <c r="F105" s="100"/>
      <c r="G105" s="100"/>
      <c r="H105" s="100"/>
      <c r="I105" s="115"/>
      <c r="J105" s="100"/>
      <c r="K105" s="95"/>
      <c r="L105" s="102"/>
      <c r="M105" s="102"/>
      <c r="O105" s="128"/>
      <c r="P105" s="128"/>
      <c r="Q105" s="128"/>
      <c r="R105" s="132"/>
      <c r="S105" s="116"/>
      <c r="T105" s="128"/>
      <c r="U105" s="128"/>
      <c r="V105" s="132"/>
    </row>
    <row r="106" ht="46.8" spans="1:22">
      <c r="A106" s="101" t="s">
        <v>3944</v>
      </c>
      <c r="B106" s="102" t="s">
        <v>207</v>
      </c>
      <c r="C106" s="101" t="s">
        <v>447</v>
      </c>
      <c r="E106" s="101" t="s">
        <v>210</v>
      </c>
      <c r="F106" s="103" t="s">
        <v>6086</v>
      </c>
      <c r="G106" s="104" t="s">
        <v>6194</v>
      </c>
      <c r="H106" s="104" t="s">
        <v>6195</v>
      </c>
      <c r="I106" s="117" t="s">
        <v>6196</v>
      </c>
      <c r="J106" s="91" t="s">
        <v>6197</v>
      </c>
      <c r="K106" s="118" t="s">
        <v>0</v>
      </c>
      <c r="L106" s="119" t="s">
        <v>6091</v>
      </c>
      <c r="M106" s="119" t="s">
        <v>6092</v>
      </c>
      <c r="N106" s="120" t="s">
        <v>6198</v>
      </c>
      <c r="O106" s="119" t="s">
        <v>225</v>
      </c>
      <c r="P106" s="120" t="s">
        <v>226</v>
      </c>
      <c r="Q106" s="119"/>
      <c r="R106" s="119"/>
      <c r="S106" s="119"/>
      <c r="T106" s="119"/>
      <c r="U106" s="119"/>
      <c r="V106" s="119"/>
    </row>
    <row r="107" spans="1:14">
      <c r="A107" s="89" t="s">
        <v>672</v>
      </c>
      <c r="B107" s="108" t="s">
        <v>526</v>
      </c>
      <c r="C107" s="89" t="s">
        <v>441</v>
      </c>
      <c r="D107" s="89" t="s">
        <v>234</v>
      </c>
      <c r="E107" s="91">
        <v>6238</v>
      </c>
      <c r="F107" s="91">
        <v>171339</v>
      </c>
      <c r="I107" s="109" t="str">
        <f t="shared" ref="I107:I113" si="11">IFERROR(J107*0.5/$F$108,"")</f>
        <v/>
      </c>
      <c r="J107" s="91" t="s">
        <v>180</v>
      </c>
      <c r="K107" s="118" t="e">
        <f>VLOOKUP(B107,正厂竞争者数据汇总!D:H,11,FALSE)</f>
        <v>#REF!</v>
      </c>
      <c r="L107" s="89" t="s">
        <v>180</v>
      </c>
      <c r="M107" s="89" t="s">
        <v>180</v>
      </c>
      <c r="N107" s="89" t="s">
        <v>5419</v>
      </c>
    </row>
    <row r="108" s="88" customFormat="1" ht="14.4" spans="1:16">
      <c r="A108" s="88" t="s">
        <v>227</v>
      </c>
      <c r="B108" s="88" t="s">
        <v>588</v>
      </c>
      <c r="C108" s="88" t="s">
        <v>441</v>
      </c>
      <c r="D108" s="88" t="s">
        <v>234</v>
      </c>
      <c r="E108" s="106">
        <v>325311</v>
      </c>
      <c r="F108" s="106">
        <v>123860.083333333</v>
      </c>
      <c r="G108" s="107">
        <f t="shared" ref="G108:G113" si="12">F108/F$114</f>
        <v>0.451258788689512</v>
      </c>
      <c r="H108" s="107">
        <v>0.497434309690293</v>
      </c>
      <c r="I108" s="107" t="str">
        <f t="shared" si="11"/>
        <v/>
      </c>
      <c r="J108" s="106" t="s">
        <v>180</v>
      </c>
      <c r="K108" s="122"/>
      <c r="L108" s="88" t="str">
        <f>IFERROR(VLOOKUP(B108,'Competitive Matrix'!$B$4:$D$22,2,FALSE),"")</f>
        <v>L:70% N:33% D:52% 有销售:72%</v>
      </c>
      <c r="M108" s="88" t="s">
        <v>6113</v>
      </c>
      <c r="N108" s="88">
        <v>956</v>
      </c>
      <c r="O108" s="126"/>
      <c r="P108" s="125"/>
    </row>
    <row r="109" spans="1:14">
      <c r="A109" s="89" t="s">
        <v>230</v>
      </c>
      <c r="B109" s="108" t="s">
        <v>592</v>
      </c>
      <c r="C109" s="89" t="s">
        <v>441</v>
      </c>
      <c r="D109" s="89" t="s">
        <v>266</v>
      </c>
      <c r="E109" s="91">
        <v>427242</v>
      </c>
      <c r="F109" s="154">
        <v>55761.4166666667</v>
      </c>
      <c r="G109" s="109">
        <f t="shared" si="12"/>
        <v>0.203155275399685</v>
      </c>
      <c r="H109" s="109">
        <v>0.175988269896044</v>
      </c>
      <c r="I109" s="109" t="str">
        <f t="shared" si="11"/>
        <v/>
      </c>
      <c r="J109" s="91" t="s">
        <v>180</v>
      </c>
      <c r="K109" s="118" t="e">
        <f>VLOOKUP(B109,正厂竞争者数据汇总!D:H,11,FALSE)</f>
        <v>#N/A</v>
      </c>
      <c r="L109" s="89" t="s">
        <v>180</v>
      </c>
      <c r="M109" s="89" t="s">
        <v>180</v>
      </c>
      <c r="N109" s="89">
        <v>341</v>
      </c>
    </row>
    <row r="110" ht="14.4" spans="1:16">
      <c r="A110" s="89" t="s">
        <v>230</v>
      </c>
      <c r="B110" s="90" t="s">
        <v>589</v>
      </c>
      <c r="C110" s="89" t="s">
        <v>441</v>
      </c>
      <c r="D110" s="89" t="s">
        <v>58</v>
      </c>
      <c r="E110" s="91">
        <v>345760</v>
      </c>
      <c r="F110" s="154">
        <v>57355.5</v>
      </c>
      <c r="G110" s="109">
        <f t="shared" si="12"/>
        <v>0.208962990804932</v>
      </c>
      <c r="H110" s="109">
        <v>0.196619335236524</v>
      </c>
      <c r="I110" s="109">
        <f t="shared" si="11"/>
        <v>0.0694600291592464</v>
      </c>
      <c r="J110" s="91">
        <v>17206.65</v>
      </c>
      <c r="K110" s="118" t="e">
        <f>VLOOKUP(B110,正厂竞争者数据汇总!D:H,11,FALSE)</f>
        <v>#N/A</v>
      </c>
      <c r="L110" s="89" t="s">
        <v>180</v>
      </c>
      <c r="M110" s="89" t="s">
        <v>180</v>
      </c>
      <c r="N110" s="89">
        <v>293</v>
      </c>
      <c r="O110" s="124" t="s">
        <v>4505</v>
      </c>
      <c r="P110" s="125"/>
    </row>
    <row r="111" spans="1:14">
      <c r="A111" s="89" t="s">
        <v>230</v>
      </c>
      <c r="B111" s="90" t="s">
        <v>591</v>
      </c>
      <c r="C111" s="89" t="s">
        <v>441</v>
      </c>
      <c r="D111" s="89" t="s">
        <v>414</v>
      </c>
      <c r="E111" s="91">
        <v>2240207</v>
      </c>
      <c r="F111" s="154">
        <v>16891</v>
      </c>
      <c r="G111" s="109">
        <f t="shared" si="12"/>
        <v>0.061538891260404</v>
      </c>
      <c r="H111" s="109">
        <v>0.0340803572585417</v>
      </c>
      <c r="I111" s="109" t="str">
        <f t="shared" si="11"/>
        <v/>
      </c>
      <c r="J111" s="91" t="s">
        <v>180</v>
      </c>
      <c r="K111" s="118" t="e">
        <f>VLOOKUP(B111,正厂竞争者数据汇总!D:H,11,FALSE)</f>
        <v>#N/A</v>
      </c>
      <c r="L111" s="89" t="s">
        <v>180</v>
      </c>
      <c r="M111" s="89" t="s">
        <v>180</v>
      </c>
      <c r="N111" s="89">
        <v>84</v>
      </c>
    </row>
    <row r="112" spans="1:14">
      <c r="A112" s="89" t="s">
        <v>238</v>
      </c>
      <c r="B112" s="108" t="s">
        <v>322</v>
      </c>
      <c r="C112" s="89" t="s">
        <v>441</v>
      </c>
      <c r="D112" s="89" t="s">
        <v>250</v>
      </c>
      <c r="E112" s="91">
        <v>284511</v>
      </c>
      <c r="F112" s="154">
        <v>19708.8333333333</v>
      </c>
      <c r="G112" s="109">
        <f t="shared" si="12"/>
        <v>0.0718050885897474</v>
      </c>
      <c r="H112" s="109">
        <v>0.0680187310238791</v>
      </c>
      <c r="I112" s="109" t="str">
        <f t="shared" si="11"/>
        <v/>
      </c>
      <c r="J112" s="91" t="s">
        <v>180</v>
      </c>
      <c r="K112" s="118" t="e">
        <f>VLOOKUP(B112,正厂竞争者数据汇总!D:H,11,FALSE)</f>
        <v>#REF!</v>
      </c>
      <c r="L112" s="89" t="s">
        <v>180</v>
      </c>
      <c r="M112" s="89" t="s">
        <v>180</v>
      </c>
      <c r="N112" s="89">
        <v>390</v>
      </c>
    </row>
    <row r="113" spans="1:14">
      <c r="A113" s="89" t="s">
        <v>230</v>
      </c>
      <c r="B113" s="108" t="s">
        <v>5192</v>
      </c>
      <c r="C113" s="89">
        <v>0</v>
      </c>
      <c r="D113" s="89" t="s">
        <v>420</v>
      </c>
      <c r="E113" s="91">
        <v>2886095</v>
      </c>
      <c r="F113" s="154">
        <v>900</v>
      </c>
      <c r="G113" s="109">
        <f t="shared" si="12"/>
        <v>0.00327896525571982</v>
      </c>
      <c r="H113" s="109">
        <v>0.0278589968947184</v>
      </c>
      <c r="I113" s="109" t="str">
        <f t="shared" si="11"/>
        <v/>
      </c>
      <c r="J113" s="91" t="s">
        <v>180</v>
      </c>
      <c r="K113" s="118" t="e">
        <f>VLOOKUP(B113,正厂竞争者数据汇总!D:H,11,FALSE)</f>
        <v>#N/A</v>
      </c>
      <c r="L113" s="89" t="s">
        <v>180</v>
      </c>
      <c r="M113" s="89" t="s">
        <v>180</v>
      </c>
      <c r="N113" s="89">
        <v>160</v>
      </c>
    </row>
    <row r="114" spans="6:13">
      <c r="F114" s="91">
        <v>274476.833333333</v>
      </c>
      <c r="I114" s="109">
        <f>SUM(I107:I113)</f>
        <v>0.0694600291592464</v>
      </c>
      <c r="K114" s="118"/>
      <c r="L114" s="89" t="s">
        <v>180</v>
      </c>
      <c r="M114" s="89" t="s">
        <v>180</v>
      </c>
    </row>
    <row r="115" spans="5:11">
      <c r="E115" s="91"/>
      <c r="K115" s="95"/>
    </row>
    <row r="116" ht="14.4" customHeight="1" spans="1:22">
      <c r="A116" s="96" t="s">
        <v>168</v>
      </c>
      <c r="B116" s="96"/>
      <c r="C116" s="98"/>
      <c r="E116" s="99" t="s">
        <v>2</v>
      </c>
      <c r="F116" s="100"/>
      <c r="G116" s="100"/>
      <c r="H116" s="100"/>
      <c r="I116" s="115"/>
      <c r="J116" s="100"/>
      <c r="L116" s="102"/>
      <c r="M116" s="102"/>
      <c r="O116" s="128"/>
      <c r="P116" s="128"/>
      <c r="Q116" s="128"/>
      <c r="R116" s="132"/>
      <c r="S116" s="116"/>
      <c r="T116" s="128"/>
      <c r="U116" s="128"/>
      <c r="V116" s="132"/>
    </row>
    <row r="117" ht="46.8" spans="1:22">
      <c r="A117" s="101" t="s">
        <v>3944</v>
      </c>
      <c r="B117" s="102" t="s">
        <v>207</v>
      </c>
      <c r="C117" s="101" t="s">
        <v>447</v>
      </c>
      <c r="D117" s="89" t="s">
        <v>209</v>
      </c>
      <c r="E117" s="101" t="s">
        <v>210</v>
      </c>
      <c r="F117" s="103" t="s">
        <v>6086</v>
      </c>
      <c r="G117" s="104" t="s">
        <v>6194</v>
      </c>
      <c r="H117" s="104" t="s">
        <v>6195</v>
      </c>
      <c r="I117" s="117" t="s">
        <v>6196</v>
      </c>
      <c r="J117" s="91" t="s">
        <v>6197</v>
      </c>
      <c r="K117" s="118" t="s">
        <v>0</v>
      </c>
      <c r="L117" s="119" t="s">
        <v>6091</v>
      </c>
      <c r="M117" s="119" t="s">
        <v>6092</v>
      </c>
      <c r="N117" s="120" t="s">
        <v>6198</v>
      </c>
      <c r="O117" s="119" t="s">
        <v>225</v>
      </c>
      <c r="P117" s="120" t="s">
        <v>226</v>
      </c>
      <c r="Q117" s="119"/>
      <c r="R117" s="119"/>
      <c r="S117" s="119"/>
      <c r="T117" s="119"/>
      <c r="U117" s="119"/>
      <c r="V117" s="119"/>
    </row>
    <row r="118" s="88" customFormat="1" ht="14.4" spans="1:16">
      <c r="A118" s="88" t="s">
        <v>227</v>
      </c>
      <c r="B118" s="136" t="s">
        <v>593</v>
      </c>
      <c r="C118" s="88" t="s">
        <v>441</v>
      </c>
      <c r="D118" s="88" t="s">
        <v>234</v>
      </c>
      <c r="E118" s="106">
        <v>0</v>
      </c>
      <c r="F118" s="106">
        <v>178650.666666667</v>
      </c>
      <c r="G118" s="107">
        <f>F118/F$122</f>
        <v>0.861930595909122</v>
      </c>
      <c r="H118" s="107">
        <v>0.81823007065922</v>
      </c>
      <c r="I118" s="107" t="str">
        <f>IFERROR(J118*0.5/$F$118,"")</f>
        <v/>
      </c>
      <c r="J118" s="106" t="s">
        <v>180</v>
      </c>
      <c r="K118" s="122" t="e">
        <f>VLOOKUP(B118,正厂竞争者数据汇总!D:H,11,FALSE)</f>
        <v>#N/A</v>
      </c>
      <c r="L118" s="88" t="str">
        <f>IFERROR(VLOOKUP(B118,'Competitive Matrix'!$B$4:$D$22,2,FALSE),"")</f>
        <v>L:86% N:59% D:87% 有销售:92%</v>
      </c>
      <c r="M118" s="88" t="s">
        <v>6105</v>
      </c>
      <c r="N118" s="88">
        <v>1200</v>
      </c>
      <c r="O118" s="125"/>
      <c r="P118" s="125"/>
    </row>
    <row r="119" spans="1:14">
      <c r="A119" s="89" t="s">
        <v>391</v>
      </c>
      <c r="B119" s="137" t="s">
        <v>595</v>
      </c>
      <c r="C119" s="89" t="s">
        <v>441</v>
      </c>
      <c r="D119" s="89" t="s">
        <v>420</v>
      </c>
      <c r="E119" s="91">
        <v>0</v>
      </c>
      <c r="F119" s="154">
        <v>3976.125</v>
      </c>
      <c r="G119" s="109">
        <f>F119/F$122</f>
        <v>0.019183492872454</v>
      </c>
      <c r="H119" s="109">
        <v>0.0312676783554096</v>
      </c>
      <c r="I119" s="109" t="str">
        <f>IFERROR(J119*0.5/$F$118,"")</f>
        <v/>
      </c>
      <c r="J119" s="91" t="s">
        <v>180</v>
      </c>
      <c r="K119" s="118" t="e">
        <f>VLOOKUP(B119,正厂竞争者数据汇总!D:H,11,FALSE)</f>
        <v>#N/A</v>
      </c>
      <c r="L119" s="89" t="s">
        <v>180</v>
      </c>
      <c r="M119" s="89" t="s">
        <v>180</v>
      </c>
      <c r="N119" s="89">
        <v>758</v>
      </c>
    </row>
    <row r="120" ht="14.4" spans="1:16">
      <c r="A120" s="89" t="s">
        <v>305</v>
      </c>
      <c r="B120" s="114" t="s">
        <v>594</v>
      </c>
      <c r="C120" s="89" t="s">
        <v>233</v>
      </c>
      <c r="D120" s="89" t="s">
        <v>49</v>
      </c>
      <c r="E120" s="91">
        <v>0</v>
      </c>
      <c r="F120" s="154">
        <v>13744.75</v>
      </c>
      <c r="G120" s="109">
        <f>F120/F$122</f>
        <v>0.066313889442274</v>
      </c>
      <c r="H120" s="109">
        <v>0.0897784426545768</v>
      </c>
      <c r="I120" s="109">
        <f>IFERROR(J120*0.5/$F$118,"")</f>
        <v>0.00577023455458697</v>
      </c>
      <c r="J120" s="91">
        <v>2061.7125</v>
      </c>
      <c r="K120" s="118" t="e">
        <f>VLOOKUP(B120,正厂竞争者数据汇总!D:H,11,FALSE)</f>
        <v>#N/A</v>
      </c>
      <c r="L120" s="89" t="s">
        <v>180</v>
      </c>
      <c r="M120" s="89" t="s">
        <v>180</v>
      </c>
      <c r="N120" s="89">
        <v>226</v>
      </c>
      <c r="O120" s="126"/>
      <c r="P120" s="124"/>
    </row>
    <row r="121" spans="1:14">
      <c r="A121" s="89" t="s">
        <v>446</v>
      </c>
      <c r="B121" s="114" t="s">
        <v>5115</v>
      </c>
      <c r="C121" s="89" t="s">
        <v>233</v>
      </c>
      <c r="D121" s="89" t="s">
        <v>302</v>
      </c>
      <c r="E121" s="91">
        <v>0</v>
      </c>
      <c r="F121" s="154">
        <v>10896.5</v>
      </c>
      <c r="G121" s="109">
        <f>F121/F$122</f>
        <v>0.0525720217761501</v>
      </c>
      <c r="H121" s="109">
        <v>0.0607238083307939</v>
      </c>
      <c r="I121" s="109" t="str">
        <f>IFERROR(J121*0.5/$F$118,"")</f>
        <v/>
      </c>
      <c r="J121" s="91" t="s">
        <v>180</v>
      </c>
      <c r="K121" s="118" t="e">
        <f>VLOOKUP(B121,正厂竞争者数据汇总!D:H,11,FALSE)</f>
        <v>#N/A</v>
      </c>
      <c r="L121" s="89" t="s">
        <v>180</v>
      </c>
      <c r="M121" s="89" t="s">
        <v>180</v>
      </c>
      <c r="N121" s="89">
        <v>231</v>
      </c>
    </row>
    <row r="122" spans="5:11">
      <c r="E122" s="91"/>
      <c r="F122" s="91">
        <v>207268.041666667</v>
      </c>
      <c r="I122" s="109">
        <f>SUM(I118:I121)</f>
        <v>0.00577023455458697</v>
      </c>
      <c r="K122" s="95"/>
    </row>
    <row r="123" spans="5:11">
      <c r="E123" s="91"/>
      <c r="F123" s="109"/>
      <c r="G123" s="109"/>
      <c r="H123" s="109"/>
      <c r="I123" s="109"/>
      <c r="J123" s="109"/>
      <c r="K123" s="95"/>
    </row>
    <row r="124" ht="14.4" customHeight="1" spans="1:22">
      <c r="A124" s="96" t="s">
        <v>162</v>
      </c>
      <c r="B124" s="97"/>
      <c r="C124" s="98"/>
      <c r="E124" s="99" t="s">
        <v>2</v>
      </c>
      <c r="F124" s="100"/>
      <c r="G124" s="100"/>
      <c r="H124" s="100"/>
      <c r="I124" s="115"/>
      <c r="J124" s="100"/>
      <c r="L124" s="102"/>
      <c r="M124" s="102"/>
      <c r="O124" s="128"/>
      <c r="P124" s="128"/>
      <c r="Q124" s="128"/>
      <c r="R124" s="132"/>
      <c r="S124" s="116"/>
      <c r="T124" s="128"/>
      <c r="U124" s="128"/>
      <c r="V124" s="132"/>
    </row>
    <row r="125" ht="46.8" spans="1:22">
      <c r="A125" s="101" t="s">
        <v>3944</v>
      </c>
      <c r="B125" s="102" t="s">
        <v>207</v>
      </c>
      <c r="C125" s="101" t="s">
        <v>447</v>
      </c>
      <c r="D125" s="89" t="s">
        <v>209</v>
      </c>
      <c r="E125" s="101" t="s">
        <v>210</v>
      </c>
      <c r="F125" s="103" t="s">
        <v>6086</v>
      </c>
      <c r="G125" s="104" t="s">
        <v>6194</v>
      </c>
      <c r="H125" s="104" t="s">
        <v>6195</v>
      </c>
      <c r="I125" s="117" t="s">
        <v>6196</v>
      </c>
      <c r="J125" s="91" t="s">
        <v>6197</v>
      </c>
      <c r="K125" s="118" t="s">
        <v>0</v>
      </c>
      <c r="L125" s="119" t="s">
        <v>6091</v>
      </c>
      <c r="M125" s="119" t="s">
        <v>6092</v>
      </c>
      <c r="N125" s="120" t="s">
        <v>6198</v>
      </c>
      <c r="O125" s="119" t="s">
        <v>225</v>
      </c>
      <c r="P125" s="120" t="s">
        <v>226</v>
      </c>
      <c r="Q125" s="119"/>
      <c r="R125" s="119"/>
      <c r="S125" s="119"/>
      <c r="T125" s="119"/>
      <c r="U125" s="119"/>
      <c r="V125" s="119"/>
    </row>
    <row r="126" s="88" customFormat="1" ht="14.4" spans="1:16">
      <c r="A126" s="88" t="s">
        <v>227</v>
      </c>
      <c r="B126" s="88" t="s">
        <v>584</v>
      </c>
      <c r="C126" s="88" t="s">
        <v>441</v>
      </c>
      <c r="D126" s="88" t="s">
        <v>234</v>
      </c>
      <c r="E126" s="106">
        <v>0</v>
      </c>
      <c r="F126" s="106">
        <v>203225.583333333</v>
      </c>
      <c r="G126" s="107">
        <f>F126/F$131</f>
        <v>0.778762675573963</v>
      </c>
      <c r="H126" s="107">
        <v>0.781184452921052</v>
      </c>
      <c r="I126" s="107" t="str">
        <f>IFERROR(J126*0.5/$F$126,"")</f>
        <v/>
      </c>
      <c r="J126" s="106" t="s">
        <v>180</v>
      </c>
      <c r="K126" s="122" t="e">
        <f>VLOOKUP(B126,正厂竞争者数据汇总!D:H,11,FALSE)</f>
        <v>#N/A</v>
      </c>
      <c r="L126" s="88" t="str">
        <f>IFERROR(VLOOKUP(B126,'Competitive Matrix'!$B$4:$D$22,2,FALSE),"")</f>
        <v>L:64% N:23% D:82% 有销售:80%</v>
      </c>
      <c r="M126" s="88" t="s">
        <v>6155</v>
      </c>
      <c r="N126" s="88">
        <v>1100</v>
      </c>
      <c r="O126" s="126"/>
      <c r="P126" s="125"/>
    </row>
    <row r="127" spans="1:14">
      <c r="A127" s="89" t="s">
        <v>243</v>
      </c>
      <c r="B127" s="89" t="s">
        <v>4562</v>
      </c>
      <c r="C127" s="89" t="s">
        <v>441</v>
      </c>
      <c r="D127" s="89" t="s">
        <v>417</v>
      </c>
      <c r="E127" s="91">
        <v>0</v>
      </c>
      <c r="F127" s="91">
        <v>40016</v>
      </c>
      <c r="G127" s="109">
        <f>F127/F$131</f>
        <v>0.15334175311311</v>
      </c>
      <c r="H127" s="109">
        <v>0.142213906946213</v>
      </c>
      <c r="I127" s="109" t="str">
        <f>IFERROR(J127*0.5/$F$126,"")</f>
        <v/>
      </c>
      <c r="J127" s="91" t="s">
        <v>180</v>
      </c>
      <c r="K127" s="118" t="e">
        <f>VLOOKUP(B127,正厂竞争者数据汇总!D:H,11,FALSE)</f>
        <v>#N/A</v>
      </c>
      <c r="L127" s="89" t="s">
        <v>180</v>
      </c>
      <c r="M127" s="89" t="s">
        <v>180</v>
      </c>
      <c r="N127" s="89">
        <v>651</v>
      </c>
    </row>
    <row r="128" spans="1:14">
      <c r="A128" s="89" t="s">
        <v>446</v>
      </c>
      <c r="B128" s="89" t="s">
        <v>4567</v>
      </c>
      <c r="C128" s="89" t="s">
        <v>233</v>
      </c>
      <c r="D128" s="89" t="s">
        <v>49</v>
      </c>
      <c r="E128" s="91">
        <v>0</v>
      </c>
      <c r="F128" s="91">
        <v>17168</v>
      </c>
      <c r="G128" s="109">
        <f>F128/F$131</f>
        <v>0.0657879652500468</v>
      </c>
      <c r="H128" s="109">
        <v>0.0738319877307665</v>
      </c>
      <c r="I128" s="109">
        <f>IFERROR(J128*0.5/$F$126,"")</f>
        <v>0.00633581647979853</v>
      </c>
      <c r="J128" s="91">
        <v>2575.2</v>
      </c>
      <c r="K128" s="118" t="e">
        <f>VLOOKUP(B128,正厂竞争者数据汇总!D:H,11,FALSE)</f>
        <v>#N/A</v>
      </c>
      <c r="L128" s="89" t="s">
        <v>180</v>
      </c>
      <c r="M128" s="89" t="s">
        <v>180</v>
      </c>
      <c r="N128" s="89">
        <v>554</v>
      </c>
    </row>
    <row r="129" spans="1:14">
      <c r="A129" s="89" t="s">
        <v>367</v>
      </c>
      <c r="B129" s="89" t="s">
        <v>4568</v>
      </c>
      <c r="C129" s="89" t="s">
        <v>233</v>
      </c>
      <c r="D129" s="89" t="s">
        <v>49</v>
      </c>
      <c r="E129" s="91">
        <v>0</v>
      </c>
      <c r="F129" s="91">
        <v>550</v>
      </c>
      <c r="G129" s="109">
        <f>F129/F$131</f>
        <v>0.00210760606288011</v>
      </c>
      <c r="H129" s="109">
        <v>0.00276965240196864</v>
      </c>
      <c r="I129" s="109">
        <f>IFERROR(J129*0.5/$F$126,"")</f>
        <v>0.000202976413320666</v>
      </c>
      <c r="J129" s="91">
        <v>82.5</v>
      </c>
      <c r="K129" s="118" t="e">
        <f>VLOOKUP(B129,正厂竞争者数据汇总!D:H,11,FALSE)</f>
        <v>#N/A</v>
      </c>
      <c r="L129" s="89" t="s">
        <v>180</v>
      </c>
      <c r="M129" s="89" t="s">
        <v>180</v>
      </c>
      <c r="N129" s="89">
        <v>373</v>
      </c>
    </row>
    <row r="130" spans="3:11">
      <c r="C130" s="89"/>
      <c r="E130" s="91"/>
      <c r="G130" s="109"/>
      <c r="H130" s="109"/>
      <c r="I130" s="109"/>
      <c r="K130" s="118"/>
    </row>
    <row r="131" spans="6:11">
      <c r="F131" s="91">
        <v>260959.583333333</v>
      </c>
      <c r="I131" s="109">
        <f>SUM(I126:I129)</f>
        <v>0.00653879289311919</v>
      </c>
      <c r="K131" s="118"/>
    </row>
    <row r="132" spans="5:11">
      <c r="E132" s="91"/>
      <c r="F132" s="109"/>
      <c r="G132" s="109"/>
      <c r="H132" s="109"/>
      <c r="I132" s="109"/>
      <c r="J132" s="109"/>
      <c r="K132" s="95"/>
    </row>
    <row r="133" spans="3:11">
      <c r="C133" s="139"/>
      <c r="E133" s="91"/>
      <c r="F133" s="109"/>
      <c r="G133" s="109"/>
      <c r="H133" s="109"/>
      <c r="I133" s="109"/>
      <c r="J133" s="109"/>
      <c r="K133" s="95"/>
    </row>
    <row r="134" ht="14.4" customHeight="1" spans="1:22">
      <c r="A134" s="96" t="s">
        <v>177</v>
      </c>
      <c r="B134" s="97"/>
      <c r="C134" s="98"/>
      <c r="E134" s="99" t="s">
        <v>2</v>
      </c>
      <c r="F134" s="100"/>
      <c r="G134" s="100"/>
      <c r="H134" s="100"/>
      <c r="I134" s="115"/>
      <c r="J134" s="100"/>
      <c r="L134" s="102"/>
      <c r="M134" s="102"/>
      <c r="O134" s="128"/>
      <c r="P134" s="128"/>
      <c r="Q134" s="128"/>
      <c r="R134" s="132"/>
      <c r="S134" s="116"/>
      <c r="T134" s="128"/>
      <c r="U134" s="128"/>
      <c r="V134" s="132"/>
    </row>
    <row r="135" ht="46.8" spans="1:22">
      <c r="A135" s="101" t="s">
        <v>3944</v>
      </c>
      <c r="B135" s="102" t="s">
        <v>207</v>
      </c>
      <c r="C135" s="101" t="s">
        <v>447</v>
      </c>
      <c r="D135" s="89" t="s">
        <v>209</v>
      </c>
      <c r="E135" s="101" t="s">
        <v>210</v>
      </c>
      <c r="F135" s="103" t="s">
        <v>6086</v>
      </c>
      <c r="G135" s="104" t="s">
        <v>6194</v>
      </c>
      <c r="H135" s="104" t="s">
        <v>6195</v>
      </c>
      <c r="I135" s="117" t="s">
        <v>6196</v>
      </c>
      <c r="J135" s="91" t="s">
        <v>6197</v>
      </c>
      <c r="L135" s="119" t="s">
        <v>6091</v>
      </c>
      <c r="M135" s="119" t="s">
        <v>6092</v>
      </c>
      <c r="N135" s="120" t="s">
        <v>6198</v>
      </c>
      <c r="O135" s="120" t="s">
        <v>226</v>
      </c>
      <c r="P135" s="120" t="s">
        <v>226</v>
      </c>
      <c r="Q135" s="119"/>
      <c r="R135" s="119"/>
      <c r="S135" s="119"/>
      <c r="T135" s="119"/>
      <c r="U135" s="119"/>
      <c r="V135" s="119"/>
    </row>
    <row r="136" spans="1:14">
      <c r="A136" s="89" t="s">
        <v>4573</v>
      </c>
      <c r="B136" s="108" t="s">
        <v>605</v>
      </c>
      <c r="C136" s="89" t="s">
        <v>441</v>
      </c>
      <c r="D136" s="89" t="s">
        <v>234</v>
      </c>
      <c r="E136" s="91">
        <v>0</v>
      </c>
      <c r="F136" s="91">
        <v>28289.0833333333</v>
      </c>
      <c r="G136" s="109"/>
      <c r="H136" s="109"/>
      <c r="I136" s="109" t="str">
        <f t="shared" ref="I136:I141" si="13">IFERROR(J136*0.5/$F$136,"")</f>
        <v/>
      </c>
      <c r="J136" s="91" t="s">
        <v>180</v>
      </c>
      <c r="K136" s="118" t="e">
        <f>VLOOKUP(B136,正厂竞争者数据汇总!D:H,11,FALSE)</f>
        <v>#REF!</v>
      </c>
      <c r="L136" s="89" t="s">
        <v>180</v>
      </c>
      <c r="M136" s="89" t="s">
        <v>180</v>
      </c>
      <c r="N136" s="89" t="s">
        <v>5419</v>
      </c>
    </row>
    <row r="137" s="88" customFormat="1" spans="1:16">
      <c r="A137" s="88" t="s">
        <v>227</v>
      </c>
      <c r="B137" s="105" t="s">
        <v>598</v>
      </c>
      <c r="C137" s="88" t="s">
        <v>441</v>
      </c>
      <c r="D137" s="88" t="s">
        <v>234</v>
      </c>
      <c r="E137" s="106">
        <v>0</v>
      </c>
      <c r="F137" s="106">
        <v>61672.75</v>
      </c>
      <c r="G137" s="107">
        <f>F137/F$142</f>
        <v>0.667260229262426</v>
      </c>
      <c r="H137" s="107">
        <v>0.659992933959525</v>
      </c>
      <c r="I137" s="107" t="str">
        <f t="shared" si="13"/>
        <v/>
      </c>
      <c r="J137" s="106" t="s">
        <v>180</v>
      </c>
      <c r="K137" s="122"/>
      <c r="L137" s="88" t="str">
        <f>IFERROR(VLOOKUP(B137,'Competitive Matrix'!$B$4:$D$22,2,FALSE),"")</f>
        <v>L:74% N:44% D:100% 有销售:100%</v>
      </c>
      <c r="M137" s="88" t="s">
        <v>6134</v>
      </c>
      <c r="N137" s="88">
        <v>816</v>
      </c>
      <c r="O137" s="126"/>
      <c r="P137" s="126"/>
    </row>
    <row r="138" ht="14.4" spans="1:16">
      <c r="A138" s="89" t="s">
        <v>230</v>
      </c>
      <c r="B138" s="108" t="s">
        <v>599</v>
      </c>
      <c r="C138" s="89" t="s">
        <v>233</v>
      </c>
      <c r="D138" s="89" t="s">
        <v>58</v>
      </c>
      <c r="E138" s="91">
        <v>0</v>
      </c>
      <c r="F138" s="91">
        <v>12498.8333333333</v>
      </c>
      <c r="G138" s="109">
        <f>F138/F$142</f>
        <v>0.135229487829111</v>
      </c>
      <c r="H138" s="109">
        <v>0.126929190323275</v>
      </c>
      <c r="I138" s="109">
        <f t="shared" si="13"/>
        <v>0.0662737981965952</v>
      </c>
      <c r="J138" s="91">
        <v>3749.64999999999</v>
      </c>
      <c r="K138" s="118" t="e">
        <f>VLOOKUP(B138,正厂竞争者数据汇总!D:H,11,FALSE)</f>
        <v>#N/A</v>
      </c>
      <c r="L138" s="89" t="s">
        <v>180</v>
      </c>
      <c r="M138" s="89" t="s">
        <v>180</v>
      </c>
      <c r="N138" s="89">
        <v>113</v>
      </c>
      <c r="O138" s="126"/>
      <c r="P138" s="124"/>
    </row>
    <row r="139" spans="1:14">
      <c r="A139" s="89" t="s">
        <v>230</v>
      </c>
      <c r="B139" s="108" t="s">
        <v>602</v>
      </c>
      <c r="C139" s="89" t="s">
        <v>233</v>
      </c>
      <c r="D139" s="89" t="s">
        <v>420</v>
      </c>
      <c r="E139" s="91">
        <v>0</v>
      </c>
      <c r="F139" s="91">
        <v>5405.25</v>
      </c>
      <c r="G139" s="109">
        <f>F139/F$142</f>
        <v>0.0584813933904476</v>
      </c>
      <c r="H139" s="109">
        <v>0.0836643195710568</v>
      </c>
      <c r="I139" s="109" t="str">
        <f t="shared" si="13"/>
        <v/>
      </c>
      <c r="J139" s="91" t="s">
        <v>180</v>
      </c>
      <c r="K139" s="118" t="e">
        <f>VLOOKUP(B139,正厂竞争者数据汇总!D:H,11,FALSE)</f>
        <v>#N/A</v>
      </c>
      <c r="L139" s="89" t="s">
        <v>180</v>
      </c>
      <c r="M139" s="89" t="s">
        <v>180</v>
      </c>
      <c r="N139" s="89">
        <v>80</v>
      </c>
    </row>
    <row r="140" spans="1:14">
      <c r="A140" s="89" t="s">
        <v>230</v>
      </c>
      <c r="B140" s="108" t="s">
        <v>4588</v>
      </c>
      <c r="C140" s="89" t="s">
        <v>233</v>
      </c>
      <c r="D140" s="89" t="s">
        <v>60</v>
      </c>
      <c r="E140" s="91">
        <v>0</v>
      </c>
      <c r="F140" s="91">
        <v>850</v>
      </c>
      <c r="G140" s="109">
        <f>F140/F$142</f>
        <v>0.00919646350897377</v>
      </c>
      <c r="H140" s="109">
        <v>0.020225978275301</v>
      </c>
      <c r="I140" s="109">
        <f t="shared" si="13"/>
        <v>0.00450703893433569</v>
      </c>
      <c r="J140" s="91">
        <v>255</v>
      </c>
      <c r="K140" s="118" t="e">
        <f>VLOOKUP(B140,正厂竞争者数据汇总!D:H,11,FALSE)</f>
        <v>#N/A</v>
      </c>
      <c r="L140" s="89" t="s">
        <v>180</v>
      </c>
      <c r="M140" s="89" t="s">
        <v>180</v>
      </c>
      <c r="N140" s="89">
        <v>113</v>
      </c>
    </row>
    <row r="141" spans="1:15">
      <c r="A141" s="111" t="s">
        <v>468</v>
      </c>
      <c r="B141" s="108" t="s">
        <v>603</v>
      </c>
      <c r="C141" s="89" t="s">
        <v>233</v>
      </c>
      <c r="D141" s="89" t="s">
        <v>58</v>
      </c>
      <c r="E141" s="91">
        <v>0</v>
      </c>
      <c r="F141" s="91">
        <v>12000</v>
      </c>
      <c r="G141" s="109">
        <f>F141/F$142</f>
        <v>0.129832426009041</v>
      </c>
      <c r="H141" s="109">
        <v>0.109187577870841</v>
      </c>
      <c r="I141" s="109">
        <f t="shared" si="13"/>
        <v>0.0636287849553274</v>
      </c>
      <c r="J141" s="91">
        <v>3600</v>
      </c>
      <c r="K141" s="118" t="e">
        <f>VLOOKUP(B141,正厂竞争者数据汇总!D:H,11,FALSE)</f>
        <v>#N/A</v>
      </c>
      <c r="L141" s="89" t="s">
        <v>180</v>
      </c>
      <c r="M141" s="89" t="s">
        <v>180</v>
      </c>
      <c r="N141" s="89">
        <v>924</v>
      </c>
      <c r="O141" s="126"/>
    </row>
    <row r="142" spans="5:12">
      <c r="E142" s="91"/>
      <c r="F142" s="91">
        <v>92426.8333333333</v>
      </c>
      <c r="I142" s="109">
        <f>SUM(I136:I141)</f>
        <v>0.134409622086258</v>
      </c>
      <c r="K142" s="118"/>
      <c r="L142" s="95"/>
    </row>
    <row r="143" spans="5:12">
      <c r="E143" s="91"/>
      <c r="I143" s="109"/>
      <c r="K143" s="118"/>
      <c r="L143" s="95"/>
    </row>
    <row r="144" ht="14.4" customHeight="1" spans="1:22">
      <c r="A144" s="96" t="s">
        <v>171</v>
      </c>
      <c r="B144" s="97"/>
      <c r="C144" s="98"/>
      <c r="E144" s="99" t="s">
        <v>2</v>
      </c>
      <c r="F144" s="100"/>
      <c r="G144" s="100"/>
      <c r="H144" s="100"/>
      <c r="I144" s="100"/>
      <c r="J144" s="100"/>
      <c r="K144" s="95"/>
      <c r="L144" s="102"/>
      <c r="M144" s="102"/>
      <c r="O144" s="128"/>
      <c r="P144" s="128"/>
      <c r="Q144" s="128"/>
      <c r="R144" s="132"/>
      <c r="S144" s="116"/>
      <c r="T144" s="128"/>
      <c r="U144" s="128"/>
      <c r="V144" s="132"/>
    </row>
    <row r="145" ht="46.8" spans="1:22">
      <c r="A145" s="101" t="s">
        <v>3944</v>
      </c>
      <c r="B145" s="102" t="s">
        <v>207</v>
      </c>
      <c r="C145" s="101" t="s">
        <v>447</v>
      </c>
      <c r="D145" s="89" t="s">
        <v>209</v>
      </c>
      <c r="E145" s="101" t="s">
        <v>210</v>
      </c>
      <c r="F145" s="103" t="s">
        <v>6086</v>
      </c>
      <c r="G145" s="104" t="s">
        <v>6194</v>
      </c>
      <c r="H145" s="104" t="s">
        <v>6195</v>
      </c>
      <c r="K145" s="118" t="s">
        <v>0</v>
      </c>
      <c r="L145" s="119" t="s">
        <v>6091</v>
      </c>
      <c r="M145" s="119" t="s">
        <v>6092</v>
      </c>
      <c r="N145" s="120" t="s">
        <v>6198</v>
      </c>
      <c r="O145" s="119" t="s">
        <v>225</v>
      </c>
      <c r="P145" s="120" t="s">
        <v>226</v>
      </c>
      <c r="Q145" s="119"/>
      <c r="R145" s="119"/>
      <c r="S145" s="119"/>
      <c r="T145" s="119"/>
      <c r="U145" s="119"/>
      <c r="V145" s="119"/>
    </row>
    <row r="146" spans="1:14">
      <c r="A146" s="89" t="s">
        <v>230</v>
      </c>
      <c r="B146" s="108" t="s">
        <v>578</v>
      </c>
      <c r="C146" s="89" t="s">
        <v>233</v>
      </c>
      <c r="D146" s="89" t="s">
        <v>371</v>
      </c>
      <c r="E146" s="91">
        <v>0</v>
      </c>
      <c r="F146" s="91">
        <v>110420.333333333</v>
      </c>
      <c r="G146" s="109">
        <f>F146/F$154</f>
        <v>0.349489821150236</v>
      </c>
      <c r="H146" s="109">
        <v>0.329112573591911</v>
      </c>
      <c r="K146" s="118" t="e">
        <f>VLOOKUP(B146,正厂竞争者数据汇总!D:H,11,FALSE)</f>
        <v>#N/A</v>
      </c>
      <c r="L146" s="89" t="s">
        <v>180</v>
      </c>
      <c r="M146" s="89" t="s">
        <v>180</v>
      </c>
      <c r="N146" s="89">
        <v>558</v>
      </c>
    </row>
    <row r="147" spans="1:14">
      <c r="A147" s="89" t="s">
        <v>230</v>
      </c>
      <c r="B147" s="114" t="s">
        <v>311</v>
      </c>
      <c r="C147" s="89" t="s">
        <v>441</v>
      </c>
      <c r="D147" s="89" t="s">
        <v>420</v>
      </c>
      <c r="E147" s="91">
        <v>0</v>
      </c>
      <c r="F147" s="91">
        <v>33453.1666666667</v>
      </c>
      <c r="G147" s="109">
        <f t="shared" ref="G147:G153" si="14">F147/F$154</f>
        <v>0.105882140383949</v>
      </c>
      <c r="H147" s="109">
        <v>0.115101145324633</v>
      </c>
      <c r="K147" s="118" t="e">
        <f>VLOOKUP(B147,正厂竞争者数据汇总!D:H,11,FALSE)</f>
        <v>#REF!</v>
      </c>
      <c r="L147" s="89" t="s">
        <v>180</v>
      </c>
      <c r="M147" s="89" t="s">
        <v>180</v>
      </c>
      <c r="N147" s="89">
        <v>750</v>
      </c>
    </row>
    <row r="148" spans="1:14">
      <c r="A148" s="89" t="s">
        <v>243</v>
      </c>
      <c r="B148" s="108" t="s">
        <v>314</v>
      </c>
      <c r="C148" s="89" t="s">
        <v>441</v>
      </c>
      <c r="D148" s="89" t="s">
        <v>50</v>
      </c>
      <c r="E148" s="91">
        <v>0</v>
      </c>
      <c r="F148" s="91">
        <v>21958.3333333333</v>
      </c>
      <c r="G148" s="109">
        <f t="shared" si="14"/>
        <v>0.0695000074511393</v>
      </c>
      <c r="H148" s="109">
        <v>0.0586083305377803</v>
      </c>
      <c r="K148" s="118" t="e">
        <f>VLOOKUP(B148,正厂竞争者数据汇总!D:H,11,FALSE)</f>
        <v>#REF!</v>
      </c>
      <c r="L148" s="89" t="s">
        <v>180</v>
      </c>
      <c r="M148" s="89" t="s">
        <v>180</v>
      </c>
      <c r="N148" s="89">
        <v>482</v>
      </c>
    </row>
    <row r="149" spans="1:14">
      <c r="A149" s="89" t="s">
        <v>230</v>
      </c>
      <c r="B149" s="89" t="s">
        <v>4608</v>
      </c>
      <c r="C149" s="89" t="s">
        <v>233</v>
      </c>
      <c r="D149" s="89" t="s">
        <v>426</v>
      </c>
      <c r="E149" s="91">
        <v>0</v>
      </c>
      <c r="F149" s="91">
        <v>123767</v>
      </c>
      <c r="G149" s="109">
        <f t="shared" si="14"/>
        <v>0.391733165337617</v>
      </c>
      <c r="H149" s="109">
        <v>0.363361190814525</v>
      </c>
      <c r="K149" s="118" t="e">
        <f>VLOOKUP(B149,正厂竞争者数据汇总!D:H,11,FALSE)</f>
        <v>#N/A</v>
      </c>
      <c r="L149" s="89" t="s">
        <v>180</v>
      </c>
      <c r="M149" s="89" t="s">
        <v>180</v>
      </c>
      <c r="N149" s="89">
        <v>241</v>
      </c>
    </row>
    <row r="150" spans="1:14">
      <c r="A150" s="89" t="s">
        <v>243</v>
      </c>
      <c r="B150" s="89" t="s">
        <v>388</v>
      </c>
      <c r="C150" s="89" t="s">
        <v>441</v>
      </c>
      <c r="D150" s="89" t="s">
        <v>49</v>
      </c>
      <c r="E150" s="91">
        <v>0</v>
      </c>
      <c r="F150" s="91">
        <v>10474.0833333333</v>
      </c>
      <c r="G150" s="109">
        <f t="shared" si="14"/>
        <v>0.0331513716756214</v>
      </c>
      <c r="H150" s="109">
        <v>0.0657170891044869</v>
      </c>
      <c r="K150" s="118" t="e">
        <f>VLOOKUP(B150,正厂竞争者数据汇总!D:H,11,FALSE)</f>
        <v>#REF!</v>
      </c>
      <c r="L150" s="89" t="s">
        <v>180</v>
      </c>
      <c r="M150" s="89" t="s">
        <v>180</v>
      </c>
      <c r="N150" s="89">
        <v>197</v>
      </c>
    </row>
    <row r="151" spans="1:14">
      <c r="A151" s="89" t="s">
        <v>230</v>
      </c>
      <c r="B151" s="108" t="s">
        <v>581</v>
      </c>
      <c r="C151" s="89">
        <v>0</v>
      </c>
      <c r="D151" s="89">
        <v>0</v>
      </c>
      <c r="E151" s="91">
        <v>0</v>
      </c>
      <c r="F151" s="91">
        <v>4208.91666666667</v>
      </c>
      <c r="G151" s="109">
        <f t="shared" si="14"/>
        <v>0.0133215820733765</v>
      </c>
      <c r="H151" s="109">
        <v>0.0555522483599617</v>
      </c>
      <c r="K151" s="118" t="e">
        <f>VLOOKUP(B151,正厂竞争者数据汇总!D:H,11,FALSE)</f>
        <v>#N/A</v>
      </c>
      <c r="L151" s="89" t="s">
        <v>180</v>
      </c>
      <c r="N151" s="89">
        <v>33</v>
      </c>
    </row>
    <row r="152" s="88" customFormat="1" spans="1:16">
      <c r="A152" s="88" t="s">
        <v>227</v>
      </c>
      <c r="B152" s="105" t="s">
        <v>4615</v>
      </c>
      <c r="C152" s="88" t="s">
        <v>233</v>
      </c>
      <c r="D152" s="88" t="s">
        <v>234</v>
      </c>
      <c r="E152" s="106">
        <v>0</v>
      </c>
      <c r="F152" s="106">
        <v>0</v>
      </c>
      <c r="G152" s="107">
        <f t="shared" si="14"/>
        <v>0</v>
      </c>
      <c r="H152" s="107">
        <v>0.00028013892089087</v>
      </c>
      <c r="I152" s="110"/>
      <c r="J152" s="106"/>
      <c r="K152" s="118" t="e">
        <f>VLOOKUP(B152,正厂竞争者数据汇总!D:H,11,FALSE)</f>
        <v>#N/A</v>
      </c>
      <c r="L152" s="88" t="str">
        <f>IFERROR(VLOOKUP(B152,'Competitive Matrix'!$B$4:$D$22,2,FALSE),"")</f>
        <v/>
      </c>
      <c r="M152" s="88" t="s">
        <v>6102</v>
      </c>
      <c r="N152" s="88">
        <v>10</v>
      </c>
      <c r="O152" s="126"/>
      <c r="P152" s="126"/>
    </row>
    <row r="153" spans="1:13">
      <c r="A153" s="88" t="s">
        <v>227</v>
      </c>
      <c r="B153" s="105" t="s">
        <v>172</v>
      </c>
      <c r="C153" s="88" t="s">
        <v>441</v>
      </c>
      <c r="E153" s="91"/>
      <c r="F153" s="106">
        <v>11665.375</v>
      </c>
      <c r="G153" s="107">
        <f t="shared" si="14"/>
        <v>0.0369219119280608</v>
      </c>
      <c r="H153" s="107">
        <v>0.0122672833458112</v>
      </c>
      <c r="K153" s="118" t="e">
        <f>VLOOKUP(B153,正厂竞争者数据汇总!D:H,11,FALSE)</f>
        <v>#REF!</v>
      </c>
      <c r="L153" s="145" t="s">
        <v>313</v>
      </c>
      <c r="M153" s="146" t="s">
        <v>6113</v>
      </c>
    </row>
    <row r="154" spans="5:12">
      <c r="E154" s="91"/>
      <c r="F154" s="91">
        <v>315947.208333333</v>
      </c>
      <c r="I154" s="109"/>
      <c r="K154" s="118"/>
      <c r="L154" s="95"/>
    </row>
    <row r="155" ht="14.4" customHeight="1" spans="1:22">
      <c r="A155" s="96" t="s">
        <v>191</v>
      </c>
      <c r="B155" s="97"/>
      <c r="C155" s="98"/>
      <c r="E155" s="99" t="s">
        <v>2</v>
      </c>
      <c r="F155" s="100"/>
      <c r="G155" s="100"/>
      <c r="H155" s="100"/>
      <c r="I155" s="100"/>
      <c r="J155" s="100"/>
      <c r="K155" s="95"/>
      <c r="L155" s="102"/>
      <c r="M155" s="102"/>
      <c r="O155" s="128"/>
      <c r="P155" s="128"/>
      <c r="Q155" s="128"/>
      <c r="R155" s="132"/>
      <c r="S155" s="116"/>
      <c r="T155" s="128"/>
      <c r="U155" s="128"/>
      <c r="V155" s="132"/>
    </row>
    <row r="156" ht="46.8" spans="1:22">
      <c r="A156" s="101" t="s">
        <v>3944</v>
      </c>
      <c r="B156" s="102" t="s">
        <v>207</v>
      </c>
      <c r="C156" s="101" t="s">
        <v>447</v>
      </c>
      <c r="D156" s="89" t="s">
        <v>209</v>
      </c>
      <c r="E156" s="101" t="s">
        <v>210</v>
      </c>
      <c r="F156" s="103" t="s">
        <v>6086</v>
      </c>
      <c r="G156" s="104" t="s">
        <v>6194</v>
      </c>
      <c r="H156" s="104" t="s">
        <v>6195</v>
      </c>
      <c r="K156" s="118" t="s">
        <v>0</v>
      </c>
      <c r="L156" s="119" t="s">
        <v>6091</v>
      </c>
      <c r="M156" s="119" t="s">
        <v>6092</v>
      </c>
      <c r="N156" s="120" t="s">
        <v>6198</v>
      </c>
      <c r="O156" s="119" t="s">
        <v>225</v>
      </c>
      <c r="P156" s="120" t="s">
        <v>226</v>
      </c>
      <c r="Q156" s="119"/>
      <c r="R156" s="119"/>
      <c r="S156" s="119"/>
      <c r="T156" s="119"/>
      <c r="U156" s="119"/>
      <c r="V156" s="119"/>
    </row>
    <row r="157" spans="1:14">
      <c r="A157" s="89" t="s">
        <v>325</v>
      </c>
      <c r="B157" s="89" t="s">
        <v>606</v>
      </c>
      <c r="C157" s="89" t="s">
        <v>441</v>
      </c>
      <c r="D157" s="89" t="s">
        <v>422</v>
      </c>
      <c r="E157" s="91">
        <v>0</v>
      </c>
      <c r="F157" s="91">
        <v>124641.916666667</v>
      </c>
      <c r="G157" s="109">
        <f>F157/F$162</f>
        <v>0.865470698925358</v>
      </c>
      <c r="H157" s="109">
        <v>0.915121403293796</v>
      </c>
      <c r="K157" s="118" t="e">
        <f>VLOOKUP(B157,正厂竞争者数据汇总!D:H,11,FALSE)</f>
        <v>#N/A</v>
      </c>
      <c r="L157" s="89" t="s">
        <v>180</v>
      </c>
      <c r="M157" s="89" t="s">
        <v>180</v>
      </c>
      <c r="N157" s="95">
        <v>1600</v>
      </c>
    </row>
    <row r="158" spans="1:14">
      <c r="A158" s="111" t="s">
        <v>230</v>
      </c>
      <c r="B158" s="89" t="s">
        <v>607</v>
      </c>
      <c r="C158" s="89" t="s">
        <v>233</v>
      </c>
      <c r="D158" s="89" t="s">
        <v>60</v>
      </c>
      <c r="E158" s="91">
        <v>0</v>
      </c>
      <c r="F158" s="91">
        <v>3098.16666666667</v>
      </c>
      <c r="G158" s="109">
        <f>F158/F$162</f>
        <v>0.021512606209018</v>
      </c>
      <c r="H158" s="109">
        <v>0.0205726648732996</v>
      </c>
      <c r="K158" s="118" t="e">
        <f>VLOOKUP(B158,正厂竞争者数据汇总!D:H,11,FALSE)</f>
        <v>#N/A</v>
      </c>
      <c r="L158" s="89" t="s">
        <v>180</v>
      </c>
      <c r="M158" s="89" t="s">
        <v>180</v>
      </c>
      <c r="N158" s="95">
        <v>180</v>
      </c>
    </row>
    <row r="159" spans="1:14">
      <c r="A159" s="89" t="s">
        <v>2624</v>
      </c>
      <c r="B159" s="89" t="s">
        <v>465</v>
      </c>
      <c r="C159" s="89" t="s">
        <v>441</v>
      </c>
      <c r="D159" s="89">
        <v>0</v>
      </c>
      <c r="E159" s="91">
        <v>0</v>
      </c>
      <c r="F159" s="91">
        <v>11893.5833333333</v>
      </c>
      <c r="G159" s="109"/>
      <c r="H159" s="109"/>
      <c r="K159" s="118" t="e">
        <f>VLOOKUP(B159,正厂竞争者数据汇总!D:H,11,FALSE)</f>
        <v>#REF!</v>
      </c>
      <c r="L159" s="89" t="s">
        <v>180</v>
      </c>
      <c r="M159" s="89" t="s">
        <v>180</v>
      </c>
      <c r="N159" s="95" t="s">
        <v>5419</v>
      </c>
    </row>
    <row r="160" spans="1:14">
      <c r="A160" s="89" t="s">
        <v>325</v>
      </c>
      <c r="B160" s="108" t="s">
        <v>608</v>
      </c>
      <c r="C160" s="89" t="s">
        <v>441</v>
      </c>
      <c r="D160" s="89" t="s">
        <v>49</v>
      </c>
      <c r="E160" s="91">
        <v>0</v>
      </c>
      <c r="F160" s="91">
        <v>16276.25</v>
      </c>
      <c r="G160" s="109">
        <f>F160/F$162</f>
        <v>0.113016694865629</v>
      </c>
      <c r="H160" s="109">
        <v>0.0643059318329041</v>
      </c>
      <c r="K160" s="118" t="e">
        <f>VLOOKUP(B160,正厂竞争者数据汇总!D:H,11,FALSE)</f>
        <v>#N/A</v>
      </c>
      <c r="L160" s="89" t="s">
        <v>180</v>
      </c>
      <c r="M160" s="89" t="s">
        <v>180</v>
      </c>
      <c r="N160" s="95">
        <v>161</v>
      </c>
    </row>
    <row r="161" spans="2:14">
      <c r="B161" s="108" t="s">
        <v>4618</v>
      </c>
      <c r="C161" s="89">
        <v>0</v>
      </c>
      <c r="D161" s="89">
        <v>0</v>
      </c>
      <c r="E161" s="91">
        <v>0</v>
      </c>
      <c r="F161" s="91">
        <v>0</v>
      </c>
      <c r="G161" s="109">
        <f>F161/F$162</f>
        <v>0</v>
      </c>
      <c r="H161" s="109">
        <v>0</v>
      </c>
      <c r="K161" s="118" t="e">
        <f>VLOOKUP(B161,正厂竞争者数据汇总!D:H,11,FALSE)</f>
        <v>#N/A</v>
      </c>
      <c r="L161" s="89" t="s">
        <v>180</v>
      </c>
      <c r="M161" s="89" t="s">
        <v>180</v>
      </c>
      <c r="N161" s="95">
        <v>89</v>
      </c>
    </row>
    <row r="162" spans="6:6">
      <c r="F162" s="140">
        <v>144016.333333333</v>
      </c>
    </row>
    <row r="163" spans="3:11">
      <c r="C163" s="139"/>
      <c r="E163" s="91"/>
      <c r="F163" s="109"/>
      <c r="G163" s="109"/>
      <c r="H163" s="109"/>
      <c r="I163" s="109"/>
      <c r="J163" s="109"/>
      <c r="K163" s="147"/>
    </row>
    <row r="164" spans="2:11">
      <c r="B164" s="108"/>
      <c r="E164" s="91"/>
      <c r="K164" s="95"/>
    </row>
    <row r="165" ht="14.4" customHeight="1" spans="1:22">
      <c r="A165" s="96" t="s">
        <v>189</v>
      </c>
      <c r="B165" s="97"/>
      <c r="C165" s="98"/>
      <c r="E165" s="99" t="s">
        <v>2</v>
      </c>
      <c r="F165" s="100"/>
      <c r="G165" s="100"/>
      <c r="H165" s="100"/>
      <c r="I165" s="100"/>
      <c r="J165" s="100"/>
      <c r="K165" s="95"/>
      <c r="L165" s="102"/>
      <c r="M165" s="102"/>
      <c r="O165" s="128"/>
      <c r="P165" s="128"/>
      <c r="Q165" s="128"/>
      <c r="R165" s="132"/>
      <c r="S165" s="116"/>
      <c r="T165" s="128"/>
      <c r="U165" s="128"/>
      <c r="V165" s="132"/>
    </row>
    <row r="166" ht="46.8" spans="1:22">
      <c r="A166" s="101" t="s">
        <v>3944</v>
      </c>
      <c r="B166" s="102" t="s">
        <v>207</v>
      </c>
      <c r="C166" s="101" t="s">
        <v>447</v>
      </c>
      <c r="D166" s="89" t="s">
        <v>209</v>
      </c>
      <c r="E166" s="101" t="s">
        <v>210</v>
      </c>
      <c r="F166" s="103" t="s">
        <v>6086</v>
      </c>
      <c r="G166" s="104" t="s">
        <v>6194</v>
      </c>
      <c r="H166" s="104" t="s">
        <v>6195</v>
      </c>
      <c r="K166" s="118" t="s">
        <v>0</v>
      </c>
      <c r="L166" s="119" t="s">
        <v>6091</v>
      </c>
      <c r="M166" s="119" t="s">
        <v>6092</v>
      </c>
      <c r="N166" s="120" t="s">
        <v>6198</v>
      </c>
      <c r="O166" s="119" t="s">
        <v>225</v>
      </c>
      <c r="P166" s="120" t="s">
        <v>226</v>
      </c>
      <c r="Q166" s="119"/>
      <c r="R166" s="119"/>
      <c r="S166" s="119"/>
      <c r="T166" s="119"/>
      <c r="U166" s="119"/>
      <c r="V166" s="119"/>
    </row>
    <row r="167" spans="1:13">
      <c r="A167" s="89" t="s">
        <v>325</v>
      </c>
      <c r="B167" s="89" t="s">
        <v>466</v>
      </c>
      <c r="C167" s="89" t="s">
        <v>467</v>
      </c>
      <c r="D167" s="89" t="s">
        <v>234</v>
      </c>
      <c r="E167" s="91">
        <v>0</v>
      </c>
      <c r="F167" s="91">
        <v>190454.583333333</v>
      </c>
      <c r="K167" s="118"/>
      <c r="L167" s="89" t="s">
        <v>180</v>
      </c>
      <c r="M167" s="89" t="s">
        <v>180</v>
      </c>
    </row>
    <row r="168" spans="1:14">
      <c r="A168" s="89" t="s">
        <v>230</v>
      </c>
      <c r="B168" s="89" t="s">
        <v>609</v>
      </c>
      <c r="C168" s="89" t="s">
        <v>233</v>
      </c>
      <c r="D168" s="89" t="s">
        <v>411</v>
      </c>
      <c r="E168" s="91">
        <v>0</v>
      </c>
      <c r="F168" s="91">
        <v>70194</v>
      </c>
      <c r="G168" s="109">
        <f t="shared" ref="G168:G174" si="15">F168/F$175</f>
        <v>0.340135136935881</v>
      </c>
      <c r="H168" s="109">
        <v>0.291973424436944</v>
      </c>
      <c r="K168" s="118" t="e">
        <f>VLOOKUP(B168,正厂竞争者数据汇总!D:H,11,FALSE)</f>
        <v>#N/A</v>
      </c>
      <c r="L168" s="89" t="s">
        <v>180</v>
      </c>
      <c r="M168" s="89" t="s">
        <v>180</v>
      </c>
      <c r="N168" s="89">
        <v>326</v>
      </c>
    </row>
    <row r="169" spans="1:14">
      <c r="A169" s="89" t="s">
        <v>243</v>
      </c>
      <c r="B169" s="89" t="s">
        <v>610</v>
      </c>
      <c r="C169" s="89" t="s">
        <v>454</v>
      </c>
      <c r="D169" s="89" t="s">
        <v>420</v>
      </c>
      <c r="E169" s="91">
        <v>0</v>
      </c>
      <c r="F169" s="91">
        <v>54543.4166666667</v>
      </c>
      <c r="G169" s="109">
        <f t="shared" si="15"/>
        <v>0.264297981264317</v>
      </c>
      <c r="H169" s="109">
        <v>0.223704999669115</v>
      </c>
      <c r="K169" s="118" t="e">
        <f>VLOOKUP(B169,正厂竞争者数据汇总!D:H,11,FALSE)</f>
        <v>#N/A</v>
      </c>
      <c r="L169" s="89" t="s">
        <v>180</v>
      </c>
      <c r="M169" s="89" t="s">
        <v>180</v>
      </c>
      <c r="N169" s="89">
        <v>1600</v>
      </c>
    </row>
    <row r="170" spans="1:14">
      <c r="A170" s="89" t="s">
        <v>230</v>
      </c>
      <c r="B170" s="89" t="s">
        <v>611</v>
      </c>
      <c r="C170" s="89" t="s">
        <v>233</v>
      </c>
      <c r="D170" s="89" t="s">
        <v>414</v>
      </c>
      <c r="E170" s="91">
        <v>0</v>
      </c>
      <c r="F170" s="91">
        <v>52759.75</v>
      </c>
      <c r="G170" s="109">
        <f t="shared" si="15"/>
        <v>0.255654967532166</v>
      </c>
      <c r="H170" s="109">
        <v>0.29074742737079</v>
      </c>
      <c r="K170" s="118" t="e">
        <f>VLOOKUP(B170,正厂竞争者数据汇总!D:H,11,FALSE)</f>
        <v>#N/A</v>
      </c>
      <c r="L170" s="89" t="s">
        <v>180</v>
      </c>
      <c r="M170" s="89" t="s">
        <v>180</v>
      </c>
      <c r="N170" s="89">
        <v>113</v>
      </c>
    </row>
    <row r="171" ht="31.5" customHeight="1" spans="1:14">
      <c r="A171" s="89" t="s">
        <v>230</v>
      </c>
      <c r="B171" s="89" t="s">
        <v>4625</v>
      </c>
      <c r="C171" s="89">
        <v>0</v>
      </c>
      <c r="D171" s="89">
        <v>0</v>
      </c>
      <c r="E171" s="91">
        <v>0</v>
      </c>
      <c r="F171" s="91">
        <v>21169.8333333333</v>
      </c>
      <c r="G171" s="109">
        <f t="shared" si="15"/>
        <v>0.102581476475811</v>
      </c>
      <c r="H171" s="109">
        <v>0.0984551127214171</v>
      </c>
      <c r="K171" s="118" t="e">
        <f>VLOOKUP(B171,正厂竞争者数据汇总!D:H,11,FALSE)</f>
        <v>#N/A</v>
      </c>
      <c r="L171" s="89" t="s">
        <v>180</v>
      </c>
      <c r="M171" s="89" t="s">
        <v>180</v>
      </c>
      <c r="N171" s="89">
        <v>37</v>
      </c>
    </row>
    <row r="172" spans="1:14">
      <c r="A172" s="89" t="s">
        <v>6204</v>
      </c>
      <c r="B172" s="89" t="s">
        <v>4626</v>
      </c>
      <c r="C172" s="89" t="s">
        <v>233</v>
      </c>
      <c r="D172" s="89" t="s">
        <v>49</v>
      </c>
      <c r="E172" s="91">
        <v>0</v>
      </c>
      <c r="F172" s="91">
        <v>1950</v>
      </c>
      <c r="G172" s="109">
        <f t="shared" si="15"/>
        <v>0.00944900585555699</v>
      </c>
      <c r="H172" s="109">
        <v>0.0419120728828888</v>
      </c>
      <c r="K172" s="118" t="e">
        <f>VLOOKUP(B172,正厂竞争者数据汇总!D:H,11,FALSE)</f>
        <v>#N/A</v>
      </c>
      <c r="L172" s="89" t="s">
        <v>180</v>
      </c>
      <c r="M172" s="89" t="s">
        <v>180</v>
      </c>
      <c r="N172" s="89">
        <v>574</v>
      </c>
    </row>
    <row r="173" spans="1:14">
      <c r="A173" s="111" t="s">
        <v>468</v>
      </c>
      <c r="B173" s="89" t="s">
        <v>612</v>
      </c>
      <c r="C173" s="89" t="s">
        <v>233</v>
      </c>
      <c r="D173" s="89" t="s">
        <v>49</v>
      </c>
      <c r="E173" s="91">
        <v>0</v>
      </c>
      <c r="F173" s="91">
        <v>5753.91666666667</v>
      </c>
      <c r="G173" s="109">
        <f t="shared" si="15"/>
        <v>0.0278814319362668</v>
      </c>
      <c r="H173" s="109">
        <v>0.0527306266957845</v>
      </c>
      <c r="K173" s="118" t="e">
        <f>VLOOKUP(B173,正厂竞争者数据汇总!D:H,11,FALSE)</f>
        <v>#N/A</v>
      </c>
      <c r="L173" s="89" t="s">
        <v>180</v>
      </c>
      <c r="M173" s="89" t="s">
        <v>180</v>
      </c>
      <c r="N173" s="89">
        <v>78</v>
      </c>
    </row>
    <row r="174" s="88" customFormat="1" ht="14.4" spans="1:16">
      <c r="A174" s="88" t="s">
        <v>227</v>
      </c>
      <c r="B174" s="141" t="s">
        <v>4627</v>
      </c>
      <c r="C174" s="88" t="s">
        <v>233</v>
      </c>
      <c r="D174" s="88" t="s">
        <v>234</v>
      </c>
      <c r="E174" s="106">
        <v>0</v>
      </c>
      <c r="F174" s="106">
        <v>0</v>
      </c>
      <c r="G174" s="107">
        <f t="shared" si="15"/>
        <v>0</v>
      </c>
      <c r="H174" s="107">
        <v>0.000476336223060464</v>
      </c>
      <c r="I174" s="110"/>
      <c r="J174" s="106"/>
      <c r="K174" s="122" t="e">
        <f>VLOOKUP(B174,正厂竞争者数据汇总!D:H,11,FALSE)</f>
        <v>#N/A</v>
      </c>
      <c r="L174" s="88" t="str">
        <f>IFERROR(VLOOKUP(B174,'Competitive Matrix'!$B$4:$D$22,2,FALSE),"")</f>
        <v>L:80% N:22%</v>
      </c>
      <c r="M174" s="88" t="s">
        <v>6102</v>
      </c>
      <c r="N174" s="88" t="s">
        <v>6002</v>
      </c>
      <c r="O174" s="126"/>
      <c r="P174" s="126"/>
    </row>
    <row r="175" spans="5:11">
      <c r="E175" s="91"/>
      <c r="F175" s="91">
        <v>206370.916666667</v>
      </c>
      <c r="K175" s="95"/>
    </row>
    <row r="176" spans="5:9">
      <c r="E176" s="91"/>
      <c r="F176" s="109"/>
      <c r="G176" s="109"/>
      <c r="H176" s="109"/>
      <c r="I176" s="109"/>
    </row>
    <row r="177" spans="5:5">
      <c r="E177" s="91"/>
    </row>
    <row r="178" ht="14.4" customHeight="1" spans="1:22">
      <c r="A178" s="96" t="s">
        <v>185</v>
      </c>
      <c r="B178" s="97"/>
      <c r="C178" s="98"/>
      <c r="E178" s="99" t="s">
        <v>2</v>
      </c>
      <c r="F178" s="100"/>
      <c r="G178" s="100"/>
      <c r="H178" s="100"/>
      <c r="I178" s="115"/>
      <c r="J178" s="100"/>
      <c r="K178" s="95"/>
      <c r="L178" s="102"/>
      <c r="M178" s="102"/>
      <c r="O178" s="128"/>
      <c r="P178" s="128"/>
      <c r="Q178" s="128"/>
      <c r="R178" s="132"/>
      <c r="S178" s="116"/>
      <c r="T178" s="128"/>
      <c r="U178" s="128"/>
      <c r="V178" s="132"/>
    </row>
    <row r="179" ht="46.8" spans="1:22">
      <c r="A179" s="101" t="s">
        <v>3944</v>
      </c>
      <c r="B179" s="102" t="s">
        <v>207</v>
      </c>
      <c r="C179" s="101" t="s">
        <v>447</v>
      </c>
      <c r="D179" s="89" t="s">
        <v>209</v>
      </c>
      <c r="E179" s="101" t="s">
        <v>210</v>
      </c>
      <c r="F179" s="103" t="s">
        <v>6086</v>
      </c>
      <c r="G179" s="104" t="s">
        <v>6194</v>
      </c>
      <c r="H179" s="104" t="s">
        <v>6195</v>
      </c>
      <c r="K179" s="118" t="s">
        <v>0</v>
      </c>
      <c r="L179" s="119" t="s">
        <v>6091</v>
      </c>
      <c r="M179" s="119" t="s">
        <v>6092</v>
      </c>
      <c r="N179" s="120" t="s">
        <v>6198</v>
      </c>
      <c r="O179" s="119" t="s">
        <v>225</v>
      </c>
      <c r="P179" s="120" t="s">
        <v>226</v>
      </c>
      <c r="Q179" s="119"/>
      <c r="R179" s="119"/>
      <c r="S179" s="119"/>
      <c r="T179" s="119"/>
      <c r="U179" s="119"/>
      <c r="V179" s="119"/>
    </row>
    <row r="180" spans="1:14">
      <c r="A180" s="142" t="s">
        <v>243</v>
      </c>
      <c r="B180" s="108" t="s">
        <v>613</v>
      </c>
      <c r="C180" s="89" t="s">
        <v>6169</v>
      </c>
      <c r="D180" s="89" t="s">
        <v>420</v>
      </c>
      <c r="E180" s="91">
        <v>0</v>
      </c>
      <c r="F180" s="91">
        <v>58177.1666666667</v>
      </c>
      <c r="G180" s="109">
        <f>F180/F$186</f>
        <v>0.347106706601594</v>
      </c>
      <c r="H180" s="109">
        <v>0.367747495787416</v>
      </c>
      <c r="K180" s="118" t="e">
        <f>VLOOKUP(B180,正厂竞争者数据汇总!D:H,11,FALSE)</f>
        <v>#N/A</v>
      </c>
      <c r="L180" s="89" t="s">
        <v>180</v>
      </c>
      <c r="M180" s="89" t="s">
        <v>180</v>
      </c>
      <c r="N180" s="89">
        <v>823</v>
      </c>
    </row>
    <row r="181" spans="1:15">
      <c r="A181" s="89" t="s">
        <v>230</v>
      </c>
      <c r="B181" s="108" t="s">
        <v>614</v>
      </c>
      <c r="C181" s="89" t="s">
        <v>233</v>
      </c>
      <c r="D181" s="89" t="s">
        <v>59</v>
      </c>
      <c r="E181" s="91">
        <v>0</v>
      </c>
      <c r="F181" s="91">
        <v>63296.9166666667</v>
      </c>
      <c r="G181" s="109">
        <f>F181/F$186</f>
        <v>0.377653047424715</v>
      </c>
      <c r="H181" s="109">
        <v>0.349356867855462</v>
      </c>
      <c r="K181" s="118" t="e">
        <f>VLOOKUP(B181,正厂竞争者数据汇总!D:H,11,FALSE)</f>
        <v>#N/A</v>
      </c>
      <c r="L181" s="89" t="s">
        <v>180</v>
      </c>
      <c r="M181" s="89" t="s">
        <v>180</v>
      </c>
      <c r="N181" s="89">
        <v>218</v>
      </c>
      <c r="O181" s="126"/>
    </row>
    <row r="182" spans="2:14">
      <c r="B182" s="91" t="s">
        <v>615</v>
      </c>
      <c r="C182" s="89" t="s">
        <v>233</v>
      </c>
      <c r="D182" s="89" t="s">
        <v>417</v>
      </c>
      <c r="E182" s="91">
        <v>0</v>
      </c>
      <c r="F182" s="91">
        <v>29409.9166666667</v>
      </c>
      <c r="G182" s="109">
        <f>F182/F$186</f>
        <v>0.17547054799152</v>
      </c>
      <c r="H182" s="109">
        <v>0.161008870235443</v>
      </c>
      <c r="K182" s="118" t="e">
        <f>VLOOKUP(B182,正厂竞争者数据汇总!D:H,11,FALSE)</f>
        <v>#N/A</v>
      </c>
      <c r="L182" s="89" t="s">
        <v>180</v>
      </c>
      <c r="M182" s="89" t="s">
        <v>180</v>
      </c>
      <c r="N182" s="89">
        <v>749</v>
      </c>
    </row>
    <row r="183" spans="2:14">
      <c r="B183" s="143" t="s">
        <v>616</v>
      </c>
      <c r="C183" s="89" t="s">
        <v>470</v>
      </c>
      <c r="D183" s="89">
        <v>0</v>
      </c>
      <c r="E183" s="91">
        <v>0</v>
      </c>
      <c r="F183" s="91">
        <v>16910.0833333333</v>
      </c>
      <c r="G183" s="109"/>
      <c r="H183" s="109"/>
      <c r="K183" s="118" t="e">
        <f>VLOOKUP(B183,正厂竞争者数据汇总!D:H,11,FALSE)</f>
        <v>#N/A</v>
      </c>
      <c r="L183" s="89" t="s">
        <v>180</v>
      </c>
      <c r="M183" s="89" t="s">
        <v>180</v>
      </c>
      <c r="N183" s="89">
        <v>202</v>
      </c>
    </row>
    <row r="184" ht="15.15" spans="1:15">
      <c r="A184" s="89" t="s">
        <v>446</v>
      </c>
      <c r="B184" s="144" t="s">
        <v>617</v>
      </c>
      <c r="C184" s="89" t="s">
        <v>233</v>
      </c>
      <c r="D184" s="89" t="s">
        <v>50</v>
      </c>
      <c r="E184" s="91">
        <v>0</v>
      </c>
      <c r="F184" s="91">
        <v>15724</v>
      </c>
      <c r="G184" s="109">
        <f>F184/F$186</f>
        <v>0.0938152572103624</v>
      </c>
      <c r="H184" s="109">
        <v>0.121321002194221</v>
      </c>
      <c r="K184" s="118" t="e">
        <f>VLOOKUP(B184,正厂竞争者数据汇总!D:H,11,FALSE)</f>
        <v>#N/A</v>
      </c>
      <c r="L184" s="89" t="s">
        <v>180</v>
      </c>
      <c r="M184" s="89" t="s">
        <v>180</v>
      </c>
      <c r="N184" s="89">
        <v>96</v>
      </c>
      <c r="O184" s="126" t="s">
        <v>4635</v>
      </c>
    </row>
    <row r="185" s="88" customFormat="1" spans="1:16">
      <c r="A185" s="88" t="s">
        <v>227</v>
      </c>
      <c r="B185" s="105" t="s">
        <v>4636</v>
      </c>
      <c r="C185" s="88" t="s">
        <v>233</v>
      </c>
      <c r="D185" s="88" t="s">
        <v>234</v>
      </c>
      <c r="E185" s="106">
        <v>0</v>
      </c>
      <c r="F185" s="106">
        <v>998</v>
      </c>
      <c r="G185" s="107">
        <f>F185/F$186</f>
        <v>0.00595444077181008</v>
      </c>
      <c r="H185" s="107">
        <v>0.000565763927457749</v>
      </c>
      <c r="I185" s="110"/>
      <c r="J185" s="106"/>
      <c r="K185" s="122" t="e">
        <f>VLOOKUP(B185,正厂竞争者数据汇总!D:H,11,FALSE)</f>
        <v>#N/A</v>
      </c>
      <c r="L185" s="148" t="s">
        <v>6205</v>
      </c>
      <c r="M185" s="123" t="s">
        <v>6102</v>
      </c>
      <c r="N185" s="88" t="s">
        <v>6028</v>
      </c>
      <c r="O185" s="126"/>
      <c r="P185" s="126"/>
    </row>
    <row r="186" spans="5:11">
      <c r="E186" s="91"/>
      <c r="F186" s="91">
        <v>167606</v>
      </c>
      <c r="K186" s="118"/>
    </row>
    <row r="187" spans="1:11">
      <c r="A187" s="101"/>
      <c r="C187" s="101"/>
      <c r="E187" s="91"/>
      <c r="K187" s="95"/>
    </row>
    <row r="188" ht="14.4" customHeight="1" spans="1:22">
      <c r="A188" s="96" t="s">
        <v>195</v>
      </c>
      <c r="B188" s="97"/>
      <c r="C188" s="98"/>
      <c r="E188" s="99" t="s">
        <v>2</v>
      </c>
      <c r="F188" s="100"/>
      <c r="G188" s="100"/>
      <c r="H188" s="100"/>
      <c r="I188" s="115"/>
      <c r="J188" s="100"/>
      <c r="K188" s="95"/>
      <c r="L188" s="102"/>
      <c r="M188" s="102"/>
      <c r="O188" s="128"/>
      <c r="P188" s="128"/>
      <c r="Q188" s="128"/>
      <c r="R188" s="132"/>
      <c r="S188" s="116"/>
      <c r="T188" s="128"/>
      <c r="U188" s="128"/>
      <c r="V188" s="132"/>
    </row>
    <row r="189" ht="46.8" spans="1:22">
      <c r="A189" s="101" t="s">
        <v>3944</v>
      </c>
      <c r="B189" s="102" t="s">
        <v>207</v>
      </c>
      <c r="C189" s="101" t="s">
        <v>447</v>
      </c>
      <c r="D189" s="89" t="s">
        <v>209</v>
      </c>
      <c r="E189" s="101" t="s">
        <v>210</v>
      </c>
      <c r="F189" s="103" t="s">
        <v>6086</v>
      </c>
      <c r="G189" s="104" t="s">
        <v>6194</v>
      </c>
      <c r="H189" s="104" t="s">
        <v>6195</v>
      </c>
      <c r="K189" s="118" t="s">
        <v>0</v>
      </c>
      <c r="L189" s="119" t="s">
        <v>6091</v>
      </c>
      <c r="M189" s="119" t="s">
        <v>6092</v>
      </c>
      <c r="N189" s="120" t="s">
        <v>6198</v>
      </c>
      <c r="O189" s="119" t="s">
        <v>225</v>
      </c>
      <c r="P189" s="120" t="s">
        <v>226</v>
      </c>
      <c r="Q189" s="119"/>
      <c r="R189" s="119"/>
      <c r="S189" s="119"/>
      <c r="T189" s="119"/>
      <c r="U189" s="119"/>
      <c r="V189" s="119"/>
    </row>
    <row r="190" spans="1:14">
      <c r="A190" s="89" t="s">
        <v>230</v>
      </c>
      <c r="B190" s="89" t="s">
        <v>618</v>
      </c>
      <c r="C190" s="89" t="s">
        <v>233</v>
      </c>
      <c r="D190" s="89" t="s">
        <v>266</v>
      </c>
      <c r="E190" s="91">
        <v>0</v>
      </c>
      <c r="F190" s="91">
        <v>73357.6666666667</v>
      </c>
      <c r="G190" s="109">
        <f>F190/F$193</f>
        <v>0.903534522045088</v>
      </c>
      <c r="H190" s="109">
        <v>0.873216319049074</v>
      </c>
      <c r="K190" s="118" t="e">
        <f>VLOOKUP(B190,正厂竞争者数据汇总!D:H,11,FALSE)</f>
        <v>#N/A</v>
      </c>
      <c r="L190" s="89" t="s">
        <v>180</v>
      </c>
      <c r="M190" s="89" t="s">
        <v>180</v>
      </c>
      <c r="N190" s="89">
        <v>315</v>
      </c>
    </row>
    <row r="191" spans="1:14">
      <c r="A191" s="89" t="s">
        <v>446</v>
      </c>
      <c r="B191" s="89" t="s">
        <v>619</v>
      </c>
      <c r="C191" s="89" t="s">
        <v>233</v>
      </c>
      <c r="D191" s="89" t="s">
        <v>60</v>
      </c>
      <c r="E191" s="91">
        <v>0</v>
      </c>
      <c r="F191" s="91">
        <v>3568.16666666667</v>
      </c>
      <c r="G191" s="109">
        <f>F191/F$193</f>
        <v>0.0439485320381494</v>
      </c>
      <c r="H191" s="109">
        <v>0.0564647151942678</v>
      </c>
      <c r="K191" s="118" t="e">
        <f>VLOOKUP(B191,正厂竞争者数据汇总!D:H,11,FALSE)</f>
        <v>#N/A</v>
      </c>
      <c r="L191" s="89" t="s">
        <v>180</v>
      </c>
      <c r="M191" s="89" t="s">
        <v>180</v>
      </c>
      <c r="N191" s="89">
        <v>647</v>
      </c>
    </row>
    <row r="192" spans="1:14">
      <c r="A192" s="89" t="s">
        <v>446</v>
      </c>
      <c r="B192" s="89" t="s">
        <v>620</v>
      </c>
      <c r="C192" s="89">
        <v>0</v>
      </c>
      <c r="D192" s="89">
        <v>0</v>
      </c>
      <c r="E192" s="91">
        <v>0</v>
      </c>
      <c r="F192" s="91">
        <v>4263.83333333333</v>
      </c>
      <c r="G192" s="109">
        <f>F192/F$193</f>
        <v>0.0525169459167627</v>
      </c>
      <c r="H192" s="109">
        <v>0.0703189657566584</v>
      </c>
      <c r="K192" s="118" t="e">
        <f>VLOOKUP(B192,正厂竞争者数据汇总!D:H,11,FALSE)</f>
        <v>#N/A</v>
      </c>
      <c r="L192" s="89" t="s">
        <v>180</v>
      </c>
      <c r="M192" s="89" t="s">
        <v>180</v>
      </c>
      <c r="N192" s="89">
        <v>127</v>
      </c>
    </row>
    <row r="193" spans="5:11">
      <c r="E193" s="91"/>
      <c r="F193" s="91">
        <v>81189.6666666667</v>
      </c>
      <c r="K193" s="95"/>
    </row>
    <row r="194" spans="1:11">
      <c r="A194" s="101"/>
      <c r="C194" s="101"/>
      <c r="E194" s="91"/>
      <c r="K194" s="95"/>
    </row>
    <row r="195" ht="14.4" customHeight="1" spans="1:22">
      <c r="A195" s="96" t="s">
        <v>187</v>
      </c>
      <c r="B195" s="97"/>
      <c r="C195" s="98"/>
      <c r="E195" s="99" t="s">
        <v>2</v>
      </c>
      <c r="F195" s="100"/>
      <c r="G195" s="100"/>
      <c r="H195" s="100"/>
      <c r="I195" s="100"/>
      <c r="J195" s="100"/>
      <c r="K195" s="95"/>
      <c r="L195" s="102"/>
      <c r="M195" s="102"/>
      <c r="O195" s="128"/>
      <c r="P195" s="128"/>
      <c r="Q195" s="128"/>
      <c r="R195" s="132"/>
      <c r="S195" s="116"/>
      <c r="T195" s="128"/>
      <c r="U195" s="128"/>
      <c r="V195" s="132"/>
    </row>
    <row r="196" ht="46.8" spans="1:22">
      <c r="A196" s="101" t="s">
        <v>3944</v>
      </c>
      <c r="B196" s="102" t="s">
        <v>207</v>
      </c>
      <c r="C196" s="101" t="s">
        <v>447</v>
      </c>
      <c r="D196" s="89" t="s">
        <v>209</v>
      </c>
      <c r="E196" s="101" t="s">
        <v>210</v>
      </c>
      <c r="F196" s="103" t="s">
        <v>6086</v>
      </c>
      <c r="G196" s="104" t="s">
        <v>6194</v>
      </c>
      <c r="H196" s="104" t="s">
        <v>6195</v>
      </c>
      <c r="K196" s="118" t="s">
        <v>0</v>
      </c>
      <c r="L196" s="119" t="s">
        <v>6091</v>
      </c>
      <c r="M196" s="119" t="s">
        <v>6092</v>
      </c>
      <c r="N196" s="120" t="s">
        <v>6198</v>
      </c>
      <c r="O196" s="119" t="s">
        <v>225</v>
      </c>
      <c r="P196" s="120" t="s">
        <v>226</v>
      </c>
      <c r="Q196" s="119"/>
      <c r="R196" s="119"/>
      <c r="S196" s="119"/>
      <c r="T196" s="119"/>
      <c r="U196" s="119"/>
      <c r="V196" s="119"/>
    </row>
    <row r="197" spans="1:14">
      <c r="A197" s="89" t="s">
        <v>230</v>
      </c>
      <c r="B197" s="108" t="s">
        <v>621</v>
      </c>
      <c r="C197" s="89" t="s">
        <v>233</v>
      </c>
      <c r="D197" s="89" t="s">
        <v>422</v>
      </c>
      <c r="E197" s="91">
        <v>0</v>
      </c>
      <c r="F197" s="91">
        <v>32836.3333333333</v>
      </c>
      <c r="G197" s="109">
        <f t="shared" ref="G197:G202" si="16">F197/F$203</f>
        <v>0.339331956035552</v>
      </c>
      <c r="H197" s="109">
        <v>0.302444430084405</v>
      </c>
      <c r="K197" s="118" t="e">
        <f>VLOOKUP(B197,正厂竞争者数据汇总!D:H,11,FALSE)</f>
        <v>#N/A</v>
      </c>
      <c r="L197" s="89" t="s">
        <v>180</v>
      </c>
      <c r="M197" s="89" t="s">
        <v>180</v>
      </c>
      <c r="N197" s="89">
        <v>122</v>
      </c>
    </row>
    <row r="198" spans="1:14">
      <c r="A198" s="89" t="s">
        <v>230</v>
      </c>
      <c r="B198" s="108" t="s">
        <v>622</v>
      </c>
      <c r="C198" s="89" t="s">
        <v>233</v>
      </c>
      <c r="D198" s="89" t="s">
        <v>420</v>
      </c>
      <c r="E198" s="91">
        <v>0</v>
      </c>
      <c r="F198" s="91">
        <v>6573.83333333333</v>
      </c>
      <c r="G198" s="109">
        <f t="shared" si="16"/>
        <v>0.0679342513978941</v>
      </c>
      <c r="H198" s="109">
        <v>0.0991988472860213</v>
      </c>
      <c r="K198" s="118" t="e">
        <f>VLOOKUP(B198,正厂竞争者数据汇总!D:H,11,FALSE)</f>
        <v>#N/A</v>
      </c>
      <c r="L198" s="89" t="s">
        <v>180</v>
      </c>
      <c r="M198" s="89" t="s">
        <v>180</v>
      </c>
      <c r="N198" s="89">
        <v>138</v>
      </c>
    </row>
    <row r="199" spans="1:14">
      <c r="A199" s="89" t="s">
        <v>230</v>
      </c>
      <c r="B199" s="114" t="s">
        <v>623</v>
      </c>
      <c r="C199" s="89" t="s">
        <v>233</v>
      </c>
      <c r="D199" s="89" t="s">
        <v>6171</v>
      </c>
      <c r="E199" s="91">
        <v>0</v>
      </c>
      <c r="F199" s="91">
        <v>35009.5</v>
      </c>
      <c r="G199" s="109">
        <f t="shared" si="16"/>
        <v>0.361789545569238</v>
      </c>
      <c r="H199" s="109">
        <v>0.385423612762897</v>
      </c>
      <c r="K199" s="118" t="e">
        <f>VLOOKUP(B199,正厂竞争者数据汇总!D:H,11,FALSE)</f>
        <v>#N/A</v>
      </c>
      <c r="L199" s="89" t="s">
        <v>180</v>
      </c>
      <c r="M199" s="89" t="s">
        <v>180</v>
      </c>
      <c r="N199" s="89">
        <v>151</v>
      </c>
    </row>
    <row r="200" spans="1:14">
      <c r="A200" s="89" t="s">
        <v>230</v>
      </c>
      <c r="B200" s="108" t="s">
        <v>624</v>
      </c>
      <c r="C200" s="89" t="s">
        <v>233</v>
      </c>
      <c r="D200" s="89" t="s">
        <v>420</v>
      </c>
      <c r="E200" s="91">
        <v>0</v>
      </c>
      <c r="F200" s="91">
        <v>18049.5833333333</v>
      </c>
      <c r="G200" s="109">
        <f t="shared" si="16"/>
        <v>0.186525101811815</v>
      </c>
      <c r="H200" s="109">
        <v>0.189790836858799</v>
      </c>
      <c r="K200" s="118" t="e">
        <f>VLOOKUP(B200,正厂竞争者数据汇总!D:H,11,FALSE)</f>
        <v>#N/A</v>
      </c>
      <c r="L200" s="89" t="s">
        <v>180</v>
      </c>
      <c r="M200" s="89" t="s">
        <v>180</v>
      </c>
      <c r="N200" s="89">
        <v>177</v>
      </c>
    </row>
    <row r="201" s="88" customFormat="1" ht="15.6" spans="1:16">
      <c r="A201" s="149" t="s">
        <v>227</v>
      </c>
      <c r="B201" s="150" t="s">
        <v>4649</v>
      </c>
      <c r="C201" s="88" t="s">
        <v>6206</v>
      </c>
      <c r="E201" s="106">
        <v>0</v>
      </c>
      <c r="F201" s="106">
        <v>445</v>
      </c>
      <c r="G201" s="107">
        <f t="shared" si="16"/>
        <v>0.00459864744650197</v>
      </c>
      <c r="H201" s="107">
        <v>0.00507474629705758</v>
      </c>
      <c r="I201" s="110"/>
      <c r="J201" s="106"/>
      <c r="K201" s="122" t="e">
        <f>VLOOKUP(B201,正厂竞争者数据汇总!D:H,11,FALSE)</f>
        <v>#N/A</v>
      </c>
      <c r="L201" s="88" t="str">
        <f>IFERROR(VLOOKUP(B201,'Competitive Matrix'!$B$4:$D$22,2,FALSE),"")</f>
        <v>L:81% N:23%</v>
      </c>
      <c r="M201" s="88" t="s">
        <v>6102</v>
      </c>
      <c r="N201" s="88" t="s">
        <v>6054</v>
      </c>
      <c r="O201" s="126"/>
      <c r="P201" s="126"/>
    </row>
    <row r="202" spans="1:14">
      <c r="A202" s="89" t="s">
        <v>446</v>
      </c>
      <c r="B202" s="89" t="s">
        <v>4650</v>
      </c>
      <c r="C202" s="89">
        <v>0</v>
      </c>
      <c r="D202" s="89">
        <v>0</v>
      </c>
      <c r="E202" s="91">
        <v>0</v>
      </c>
      <c r="F202" s="91">
        <v>3853.33333333333</v>
      </c>
      <c r="G202" s="109">
        <f t="shared" si="16"/>
        <v>0.0398204977389983</v>
      </c>
      <c r="H202" s="109">
        <v>0.0180675267108192</v>
      </c>
      <c r="K202" s="118" t="e">
        <f>VLOOKUP(B202,正厂竞争者数据汇总!D:H,11,FALSE)</f>
        <v>#N/A</v>
      </c>
      <c r="L202" s="89" t="s">
        <v>180</v>
      </c>
      <c r="M202" s="89" t="s">
        <v>180</v>
      </c>
      <c r="N202" s="89">
        <v>8</v>
      </c>
    </row>
    <row r="203" spans="5:11">
      <c r="E203" s="91"/>
      <c r="F203" s="91">
        <v>96767.5833333333</v>
      </c>
      <c r="K203" s="95"/>
    </row>
    <row r="204" spans="1:11">
      <c r="A204" s="101"/>
      <c r="C204" s="101"/>
      <c r="E204" s="91"/>
      <c r="K204" s="95"/>
    </row>
    <row r="206" ht="14.4" customHeight="1" spans="1:22">
      <c r="A206" s="96" t="s">
        <v>193</v>
      </c>
      <c r="B206" s="97"/>
      <c r="C206" s="98"/>
      <c r="E206" s="99" t="s">
        <v>2</v>
      </c>
      <c r="F206" s="100"/>
      <c r="G206" s="100"/>
      <c r="H206" s="100"/>
      <c r="I206" s="100"/>
      <c r="J206" s="100"/>
      <c r="K206" s="95"/>
      <c r="L206" s="102"/>
      <c r="M206" s="102"/>
      <c r="O206" s="128"/>
      <c r="P206" s="128"/>
      <c r="Q206" s="128"/>
      <c r="R206" s="132"/>
      <c r="S206" s="116"/>
      <c r="T206" s="128"/>
      <c r="U206" s="128"/>
      <c r="V206" s="132"/>
    </row>
    <row r="207" ht="46.8" spans="1:22">
      <c r="A207" s="101" t="s">
        <v>3944</v>
      </c>
      <c r="B207" s="102" t="s">
        <v>207</v>
      </c>
      <c r="C207" s="101" t="s">
        <v>447</v>
      </c>
      <c r="D207" s="89" t="s">
        <v>209</v>
      </c>
      <c r="E207" s="101" t="s">
        <v>210</v>
      </c>
      <c r="F207" s="103" t="s">
        <v>6086</v>
      </c>
      <c r="G207" s="104" t="s">
        <v>6194</v>
      </c>
      <c r="H207" s="104" t="s">
        <v>6195</v>
      </c>
      <c r="K207" s="118" t="s">
        <v>0</v>
      </c>
      <c r="L207" s="119" t="s">
        <v>6091</v>
      </c>
      <c r="M207" s="119" t="s">
        <v>6092</v>
      </c>
      <c r="N207" s="120" t="s">
        <v>6198</v>
      </c>
      <c r="O207" s="119" t="s">
        <v>225</v>
      </c>
      <c r="P207" s="120" t="s">
        <v>226</v>
      </c>
      <c r="Q207" s="119"/>
      <c r="R207" s="119"/>
      <c r="S207" s="119"/>
      <c r="T207" s="119"/>
      <c r="U207" s="119"/>
      <c r="V207" s="119"/>
    </row>
    <row r="208" spans="1:14">
      <c r="A208" s="89" t="s">
        <v>801</v>
      </c>
      <c r="B208" s="108" t="s">
        <v>476</v>
      </c>
      <c r="C208" s="89" t="s">
        <v>233</v>
      </c>
      <c r="D208" s="89" t="s">
        <v>234</v>
      </c>
      <c r="E208" s="91">
        <v>81390</v>
      </c>
      <c r="F208" s="91">
        <v>94116.0833333333</v>
      </c>
      <c r="K208" s="118" t="e">
        <f>VLOOKUP(B208,正厂竞争者数据汇总!D:H,11,FALSE)</f>
        <v>#REF!</v>
      </c>
      <c r="L208" s="89" t="s">
        <v>180</v>
      </c>
      <c r="M208" s="89" t="s">
        <v>180</v>
      </c>
      <c r="N208" s="89" t="s">
        <v>5419</v>
      </c>
    </row>
    <row r="209" spans="1:15">
      <c r="A209" s="89" t="s">
        <v>230</v>
      </c>
      <c r="B209" s="89" t="s">
        <v>625</v>
      </c>
      <c r="C209" s="89" t="s">
        <v>233</v>
      </c>
      <c r="D209" s="89" t="s">
        <v>52</v>
      </c>
      <c r="E209" s="91">
        <v>0</v>
      </c>
      <c r="F209" s="91">
        <v>27890.5833333333</v>
      </c>
      <c r="G209" s="109">
        <f>F209/F$213</f>
        <v>0.648511388627842</v>
      </c>
      <c r="H209" s="109">
        <v>0.645916856209567</v>
      </c>
      <c r="K209" s="118" t="e">
        <f>VLOOKUP(B209,正厂竞争者数据汇总!D:H,11,FALSE)</f>
        <v>#N/A</v>
      </c>
      <c r="L209" s="89" t="s">
        <v>180</v>
      </c>
      <c r="M209" s="89" t="s">
        <v>180</v>
      </c>
      <c r="N209" s="89">
        <v>118</v>
      </c>
      <c r="O209" s="126"/>
    </row>
    <row r="210" ht="14.4" spans="1:14">
      <c r="A210" s="89" t="s">
        <v>367</v>
      </c>
      <c r="B210" s="108" t="s">
        <v>626</v>
      </c>
      <c r="C210" s="89" t="s">
        <v>233</v>
      </c>
      <c r="D210" s="89" t="s">
        <v>49</v>
      </c>
      <c r="E210" s="151"/>
      <c r="F210" s="91">
        <v>9742.66666666667</v>
      </c>
      <c r="G210" s="109">
        <f>F210/F$213</f>
        <v>0.226536326380345</v>
      </c>
      <c r="H210" s="109">
        <v>0.240056969155879</v>
      </c>
      <c r="K210" s="118" t="e">
        <f>VLOOKUP(B210,正厂竞争者数据汇总!D:H,11,FALSE)</f>
        <v>#N/A</v>
      </c>
      <c r="L210" s="89" t="s">
        <v>180</v>
      </c>
      <c r="M210" s="89" t="s">
        <v>180</v>
      </c>
      <c r="N210" s="89">
        <v>481</v>
      </c>
    </row>
    <row r="211" ht="14.4" spans="1:15">
      <c r="A211" s="89" t="s">
        <v>230</v>
      </c>
      <c r="B211" s="89" t="s">
        <v>373</v>
      </c>
      <c r="C211" s="89" t="s">
        <v>477</v>
      </c>
      <c r="D211" s="89" t="s">
        <v>250</v>
      </c>
      <c r="E211" s="91">
        <v>3939</v>
      </c>
      <c r="F211" s="91">
        <v>5373.83333333333</v>
      </c>
      <c r="G211" s="109">
        <f>F211/F$213</f>
        <v>0.124952284991813</v>
      </c>
      <c r="H211" s="109">
        <v>0.108357601910309</v>
      </c>
      <c r="K211" s="118" t="e">
        <f>VLOOKUP(B211,正厂竞争者数据汇总!D:H,11,FALSE)</f>
        <v>#REF!</v>
      </c>
      <c r="L211" s="89" t="s">
        <v>180</v>
      </c>
      <c r="M211" s="89" t="s">
        <v>180</v>
      </c>
      <c r="N211" s="89">
        <v>78</v>
      </c>
      <c r="O211" s="126" t="s">
        <v>4660</v>
      </c>
    </row>
    <row r="212" s="88" customFormat="1" spans="1:16">
      <c r="A212" s="88" t="s">
        <v>227</v>
      </c>
      <c r="B212" s="88" t="s">
        <v>4662</v>
      </c>
      <c r="C212" s="88" t="s">
        <v>233</v>
      </c>
      <c r="D212" s="88" t="s">
        <v>234</v>
      </c>
      <c r="E212" s="106">
        <v>0</v>
      </c>
      <c r="F212" s="106">
        <v>0</v>
      </c>
      <c r="G212" s="107">
        <f>F212/F$213</f>
        <v>0</v>
      </c>
      <c r="H212" s="107">
        <v>0.00566857272424519</v>
      </c>
      <c r="I212" s="110"/>
      <c r="J212" s="106"/>
      <c r="K212" s="122" t="e">
        <f>VLOOKUP(B212,正厂竞争者数据汇总!D:H,11,FALSE)</f>
        <v>#N/A</v>
      </c>
      <c r="L212" s="88" t="str">
        <f>IFERROR(VLOOKUP(B212,'Competitive Matrix'!$B$4:$D$22,2,FALSE),"")</f>
        <v>L:89% N:29%</v>
      </c>
      <c r="M212" s="88" t="s">
        <v>6102</v>
      </c>
      <c r="N212" s="153" t="s">
        <v>6080</v>
      </c>
      <c r="O212" s="126"/>
      <c r="P212" s="126"/>
    </row>
    <row r="213" spans="6:6">
      <c r="F213" s="140">
        <v>43007.0833333333</v>
      </c>
    </row>
    <row r="214" spans="6:6">
      <c r="F214" s="140"/>
    </row>
    <row r="215" spans="5:11">
      <c r="E215" s="91"/>
      <c r="K215" s="95"/>
    </row>
    <row r="226" spans="2:2">
      <c r="B226" s="108"/>
    </row>
  </sheetData>
  <mergeCells count="38">
    <mergeCell ref="P1:R1"/>
    <mergeCell ref="S1:V1"/>
    <mergeCell ref="P14:R14"/>
    <mergeCell ref="S14:V14"/>
    <mergeCell ref="P26:R26"/>
    <mergeCell ref="S26:V26"/>
    <mergeCell ref="P40:R40"/>
    <mergeCell ref="S40:V40"/>
    <mergeCell ref="P50:R50"/>
    <mergeCell ref="S50:V50"/>
    <mergeCell ref="P66:R66"/>
    <mergeCell ref="S66:V66"/>
    <mergeCell ref="P79:R79"/>
    <mergeCell ref="S79:V79"/>
    <mergeCell ref="P90:R90"/>
    <mergeCell ref="S90:V90"/>
    <mergeCell ref="P105:R105"/>
    <mergeCell ref="S105:V105"/>
    <mergeCell ref="P116:R116"/>
    <mergeCell ref="S116:V116"/>
    <mergeCell ref="P124:R124"/>
    <mergeCell ref="S124:V124"/>
    <mergeCell ref="P134:R134"/>
    <mergeCell ref="S134:V134"/>
    <mergeCell ref="P144:R144"/>
    <mergeCell ref="S144:V144"/>
    <mergeCell ref="P155:R155"/>
    <mergeCell ref="S155:V155"/>
    <mergeCell ref="P165:R165"/>
    <mergeCell ref="S165:V165"/>
    <mergeCell ref="P178:R178"/>
    <mergeCell ref="S178:V178"/>
    <mergeCell ref="P188:R188"/>
    <mergeCell ref="S188:V188"/>
    <mergeCell ref="P195:R195"/>
    <mergeCell ref="S195:V195"/>
    <mergeCell ref="P206:R206"/>
    <mergeCell ref="S206:V206"/>
  </mergeCells>
  <conditionalFormatting sqref="B9:B10">
    <cfRule type="duplicateValues" dxfId="0" priority="2"/>
  </conditionalFormatting>
  <conditionalFormatting sqref="B28:B33">
    <cfRule type="duplicateValues" dxfId="0" priority="1"/>
  </conditionalFormatting>
  <hyperlinks>
    <hyperlink ref="B59" r:id="rId1" display="www.bluespringsfordparts.com"/>
    <hyperlink ref="B55" r:id="rId2" display="accessories.ford.com"/>
    <hyperlink ref="B185" r:id="rId3" display="www.mazdapartsprime.com"/>
    <hyperlink ref="B161" r:id="rId4" display="www.erievolvo.com"/>
    <hyperlink ref="B159" r:id="rId5" display="usparts.volvocars.com"/>
    <hyperlink ref="B181" r:id="rId6" display="www.realmazdaparts.com"/>
    <hyperlink ref="B174" r:id="rId7" display="www.vwpartsprime.com"/>
    <hyperlink ref="B112" r:id="rId8" display="acura.bernardiparts.com"/>
    <hyperlink ref="B87" r:id="rId9" display="www.hyundaionlineparts.net"/>
    <hyperlink ref="B70" r:id="rId10" display="www.courtesyparts.com"/>
    <hyperlink ref="B10" r:id="rId11" display="www.gmpartsdirect.co"/>
    <hyperlink ref="B95" r:id="rId12" display="www.subaruonlineparts.com"/>
    <hyperlink ref="B141" r:id="rId13" display="www.infinitipartsusa.com"/>
    <hyperlink ref="B138" r:id="rId14" display="www.infinitipartsonline.com"/>
    <hyperlink ref="B110" r:id="rId15" display="www.oemacuraparts.com"/>
    <hyperlink ref="B128" r:id="rId16" display="www.kiapartsdepartment.com"/>
    <hyperlink ref="B60" r:id="rId1" display="www.villagefordparts.com"/>
    <hyperlink ref="B113" r:id="rId17" display="www.acuraautomotiveparts.org"/>
    <hyperlink ref="B173" r:id="rId18" display="www.vwdiscountparts.com"/>
    <hyperlink ref="B82" r:id="rId19" display="www.hyundaioemparts.com"/>
    <hyperlink ref="B83" r:id="rId20" display="www.wholesalehyundaiparts.com"/>
    <hyperlink ref="B48" r:id="rId21" display="www.MoparPartsPrime.com"/>
  </hyperlinks>
  <pageMargins left="0.7" right="0.7" top="0.75" bottom="0.75" header="0.3" footer="0.3"/>
  <pageSetup paperSize="9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25"/>
  <sheetViews>
    <sheetView workbookViewId="0">
      <selection activeCell="A1" sqref="A1"/>
    </sheetView>
  </sheetViews>
  <sheetFormatPr defaultColWidth="9" defaultRowHeight="13.8"/>
  <cols>
    <col min="1" max="1" width="19.1111111111111" style="89" customWidth="1"/>
    <col min="2" max="2" width="28.3333333333333" style="89" customWidth="1"/>
    <col min="3" max="3" width="27.7777777777778" style="90" customWidth="1"/>
    <col min="4" max="4" width="8.22222222222222" style="89" customWidth="1"/>
    <col min="5" max="5" width="19.8888888888889" style="89" customWidth="1"/>
    <col min="6" max="6" width="21.4444444444444" style="91" customWidth="1"/>
    <col min="7" max="7" width="21.3333333333333" style="91" customWidth="1"/>
    <col min="8" max="8" width="18.7777777777778" style="91" customWidth="1"/>
    <col min="9" max="9" width="8.66666666666667" style="92" hidden="1" customWidth="1"/>
    <col min="10" max="10" width="9.33333333333333" style="91" hidden="1" customWidth="1"/>
    <col min="11" max="11" width="17.4444444444444" style="94" customWidth="1"/>
    <col min="12" max="12" width="17.7777777777778" style="89" customWidth="1"/>
    <col min="13" max="13" width="17.1111111111111" style="89" customWidth="1"/>
    <col min="14" max="14" width="12.2222222222222" style="89" customWidth="1"/>
    <col min="15" max="15" width="18" style="95" customWidth="1"/>
    <col min="16" max="16" width="20.7777777777778" style="95" customWidth="1"/>
    <col min="17" max="17" width="10.8888888888889" style="89" customWidth="1"/>
    <col min="18" max="18" width="11.1111111111111" style="89" customWidth="1"/>
    <col min="19" max="19" width="10.8888888888889" style="89" customWidth="1"/>
    <col min="20" max="20" width="10.2222222222222" style="89" customWidth="1"/>
    <col min="21" max="21" width="11" style="89" customWidth="1"/>
    <col min="22" max="22" width="10.2222222222222" style="89" customWidth="1"/>
    <col min="23" max="16384" width="9" style="89"/>
  </cols>
  <sheetData>
    <row r="1" ht="27.6" customHeight="1" spans="1:22">
      <c r="A1" s="96" t="s">
        <v>145</v>
      </c>
      <c r="B1" s="97"/>
      <c r="C1" s="98"/>
      <c r="E1" s="99" t="s">
        <v>2</v>
      </c>
      <c r="F1" s="100"/>
      <c r="G1" s="100"/>
      <c r="H1" s="100"/>
      <c r="I1" s="115"/>
      <c r="J1" s="100"/>
      <c r="L1" s="102"/>
      <c r="M1" s="102"/>
      <c r="P1" s="116"/>
      <c r="Q1" s="128"/>
      <c r="R1" s="132"/>
      <c r="S1" s="116"/>
      <c r="T1" s="128"/>
      <c r="U1" s="128"/>
      <c r="V1" s="132"/>
    </row>
    <row r="2" ht="46.8" spans="1:22">
      <c r="A2" s="101" t="s">
        <v>3944</v>
      </c>
      <c r="B2" s="102" t="s">
        <v>207</v>
      </c>
      <c r="C2" s="101" t="s">
        <v>447</v>
      </c>
      <c r="D2" s="89" t="s">
        <v>209</v>
      </c>
      <c r="E2" s="101" t="s">
        <v>210</v>
      </c>
      <c r="F2" s="103" t="s">
        <v>6086</v>
      </c>
      <c r="G2" s="104" t="s">
        <v>6207</v>
      </c>
      <c r="H2" s="104" t="s">
        <v>6208</v>
      </c>
      <c r="I2" s="117" t="s">
        <v>6196</v>
      </c>
      <c r="J2" s="91" t="s">
        <v>6197</v>
      </c>
      <c r="K2" s="118" t="s">
        <v>0</v>
      </c>
      <c r="L2" s="119" t="s">
        <v>6091</v>
      </c>
      <c r="M2" s="101" t="s">
        <v>6092</v>
      </c>
      <c r="N2" s="120" t="s">
        <v>6198</v>
      </c>
      <c r="O2" s="119" t="s">
        <v>225</v>
      </c>
      <c r="P2" s="120" t="s">
        <v>226</v>
      </c>
      <c r="Q2" s="119"/>
      <c r="R2" s="119"/>
      <c r="S2" s="119"/>
      <c r="T2" s="119"/>
      <c r="U2" s="119"/>
      <c r="V2" s="119"/>
    </row>
    <row r="3" s="88" customFormat="1" ht="15.15" spans="1:22">
      <c r="A3" s="89" t="s">
        <v>230</v>
      </c>
      <c r="B3" s="108" t="s">
        <v>500</v>
      </c>
      <c r="C3" s="89" t="s">
        <v>233</v>
      </c>
      <c r="D3" s="89" t="s">
        <v>417</v>
      </c>
      <c r="E3" s="91">
        <v>0</v>
      </c>
      <c r="F3" s="91">
        <v>481599.75</v>
      </c>
      <c r="G3" s="92">
        <f t="shared" ref="G3:G11" si="0">F3/F$12</f>
        <v>0.247697029755676</v>
      </c>
      <c r="H3" s="92">
        <v>0.233942638881701</v>
      </c>
      <c r="I3" s="109" t="str">
        <f t="shared" ref="I3:I11" si="1">IFERROR(J3*0.5/$F$3,"")</f>
        <v/>
      </c>
      <c r="J3" s="91" t="s">
        <v>180</v>
      </c>
      <c r="K3" s="118" t="e">
        <f>VLOOKUP(B3,正厂竞争者数据汇总!D:H,11,FALSE)</f>
        <v>#N/A</v>
      </c>
      <c r="L3" s="89" t="s">
        <v>180</v>
      </c>
      <c r="M3" s="89" t="s">
        <v>180</v>
      </c>
      <c r="N3" s="89">
        <v>1900</v>
      </c>
      <c r="O3" s="126" t="s">
        <v>4048</v>
      </c>
      <c r="P3" s="125"/>
      <c r="S3" s="89"/>
      <c r="T3" s="89"/>
      <c r="U3" s="89"/>
      <c r="V3" s="89"/>
    </row>
    <row r="4" ht="14.4" spans="1:22">
      <c r="A4" s="88" t="s">
        <v>227</v>
      </c>
      <c r="B4" s="105" t="s">
        <v>501</v>
      </c>
      <c r="C4" s="88" t="s">
        <v>441</v>
      </c>
      <c r="D4" s="88" t="s">
        <v>234</v>
      </c>
      <c r="E4" s="106">
        <v>0</v>
      </c>
      <c r="F4" s="106">
        <v>382964.833333333</v>
      </c>
      <c r="G4" s="107">
        <f t="shared" si="0"/>
        <v>0.196966987041716</v>
      </c>
      <c r="H4" s="107">
        <v>0.203317511627672</v>
      </c>
      <c r="I4" s="107" t="str">
        <f t="shared" si="1"/>
        <v/>
      </c>
      <c r="J4" s="106" t="s">
        <v>180</v>
      </c>
      <c r="K4" s="122" t="e">
        <f>VLOOKUP(B4,正厂竞争者数据汇总!D:H,11,FALSE)</f>
        <v>#N/A</v>
      </c>
      <c r="L4" s="88" t="str">
        <f>IFERROR(VLOOKUP(B4,'Competitive Matrix'!$B$4:$D$22,2,FALSE),"")</f>
        <v>L:78% N:49% D:82% 有销售:81%</v>
      </c>
      <c r="M4" s="123" t="s">
        <v>6095</v>
      </c>
      <c r="N4" s="88">
        <v>1200</v>
      </c>
      <c r="O4" s="124"/>
      <c r="P4" s="125"/>
      <c r="Q4" s="126"/>
      <c r="R4" s="126"/>
      <c r="S4" s="126"/>
      <c r="T4" s="126"/>
      <c r="U4" s="126"/>
      <c r="V4" s="126"/>
    </row>
    <row r="5" ht="14.4" spans="1:18">
      <c r="A5" s="89" t="s">
        <v>230</v>
      </c>
      <c r="B5" s="108" t="s">
        <v>499</v>
      </c>
      <c r="C5" s="89" t="s">
        <v>233</v>
      </c>
      <c r="D5" s="89" t="s">
        <v>60</v>
      </c>
      <c r="E5" s="91">
        <v>0</v>
      </c>
      <c r="F5" s="91">
        <v>283858.75</v>
      </c>
      <c r="G5" s="109">
        <f t="shared" si="0"/>
        <v>0.145994613255424</v>
      </c>
      <c r="H5" s="109">
        <v>0.164308795887148</v>
      </c>
      <c r="I5" s="109">
        <f t="shared" si="1"/>
        <v>0.0884112014177748</v>
      </c>
      <c r="J5" s="91">
        <v>85157.625</v>
      </c>
      <c r="K5" s="118" t="e">
        <f>VLOOKUP(B5,正厂竞争者数据汇总!D:H,11,FALSE)</f>
        <v>#N/A</v>
      </c>
      <c r="L5" s="89" t="s">
        <v>180</v>
      </c>
      <c r="M5" s="89" t="s">
        <v>180</v>
      </c>
      <c r="N5" s="89">
        <v>899</v>
      </c>
      <c r="O5" s="125"/>
      <c r="P5" s="125"/>
      <c r="Q5" s="133"/>
      <c r="R5" s="133"/>
    </row>
    <row r="6" ht="14.4" spans="1:18">
      <c r="A6" s="89" t="s">
        <v>230</v>
      </c>
      <c r="B6" s="108" t="s">
        <v>503</v>
      </c>
      <c r="C6" s="89" t="s">
        <v>233</v>
      </c>
      <c r="D6" s="89" t="s">
        <v>58</v>
      </c>
      <c r="E6" s="91">
        <v>0</v>
      </c>
      <c r="F6" s="91">
        <v>315964.583333333</v>
      </c>
      <c r="G6" s="92">
        <f t="shared" si="0"/>
        <v>0.162507328543373</v>
      </c>
      <c r="H6" s="92">
        <v>0.150822259604559</v>
      </c>
      <c r="I6" s="109">
        <f t="shared" si="1"/>
        <v>0.0984109470571776</v>
      </c>
      <c r="J6" s="91">
        <v>94789.3749999999</v>
      </c>
      <c r="K6" s="118" t="e">
        <f>VLOOKUP(B6,正厂竞争者数据汇总!D:H,11,FALSE)</f>
        <v>#N/A</v>
      </c>
      <c r="L6" s="89" t="s">
        <v>180</v>
      </c>
      <c r="M6" s="89" t="s">
        <v>180</v>
      </c>
      <c r="N6" s="89">
        <v>558</v>
      </c>
      <c r="O6" s="125"/>
      <c r="P6" s="124"/>
      <c r="Q6" s="88"/>
      <c r="R6" s="88"/>
    </row>
    <row r="7" spans="1:14">
      <c r="A7" s="89" t="s">
        <v>487</v>
      </c>
      <c r="B7" s="108" t="s">
        <v>504</v>
      </c>
      <c r="C7" s="89" t="s">
        <v>6099</v>
      </c>
      <c r="D7" s="89" t="s">
        <v>418</v>
      </c>
      <c r="E7" s="91">
        <v>0</v>
      </c>
      <c r="F7" s="91">
        <v>212504.416666667</v>
      </c>
      <c r="G7" s="92">
        <f t="shared" si="0"/>
        <v>0.10929555677364</v>
      </c>
      <c r="H7" s="92">
        <v>0.106782236075087</v>
      </c>
      <c r="I7" s="109" t="str">
        <f t="shared" si="1"/>
        <v/>
      </c>
      <c r="J7" s="91" t="s">
        <v>180</v>
      </c>
      <c r="K7" s="118" t="e">
        <f>VLOOKUP(B7,正厂竞争者数据汇总!D:H,11,FALSE)</f>
        <v>#N/A</v>
      </c>
      <c r="L7" s="89" t="s">
        <v>180</v>
      </c>
      <c r="N7" s="89">
        <v>1100</v>
      </c>
    </row>
    <row r="8" spans="1:14">
      <c r="A8" s="89" t="s">
        <v>230</v>
      </c>
      <c r="B8" s="108" t="s">
        <v>505</v>
      </c>
      <c r="C8" s="89" t="s">
        <v>233</v>
      </c>
      <c r="D8" s="89" t="s">
        <v>451</v>
      </c>
      <c r="E8" s="91">
        <v>0</v>
      </c>
      <c r="F8" s="91">
        <v>155988</v>
      </c>
      <c r="G8" s="109">
        <f t="shared" si="0"/>
        <v>0.0802279575052278</v>
      </c>
      <c r="H8" s="109">
        <v>0.0848852767970831</v>
      </c>
      <c r="I8" s="109" t="str">
        <f t="shared" si="1"/>
        <v/>
      </c>
      <c r="J8" s="91" t="s">
        <v>180</v>
      </c>
      <c r="K8" s="118" t="e">
        <f>VLOOKUP(B8,正厂竞争者数据汇总!D:H,11,FALSE)</f>
        <v>#N/A</v>
      </c>
      <c r="L8" s="89" t="s">
        <v>180</v>
      </c>
      <c r="M8" s="89" t="s">
        <v>180</v>
      </c>
      <c r="N8" s="89">
        <v>394</v>
      </c>
    </row>
    <row r="9" spans="1:14">
      <c r="A9" s="89" t="s">
        <v>230</v>
      </c>
      <c r="B9" s="108" t="s">
        <v>506</v>
      </c>
      <c r="C9" s="89" t="s">
        <v>233</v>
      </c>
      <c r="D9" s="89" t="s">
        <v>58</v>
      </c>
      <c r="E9" s="91">
        <v>0</v>
      </c>
      <c r="F9" s="91">
        <v>95315.9166666667</v>
      </c>
      <c r="G9" s="109">
        <f t="shared" si="0"/>
        <v>0.0490230101796623</v>
      </c>
      <c r="H9" s="109">
        <v>0.0451741067980802</v>
      </c>
      <c r="I9" s="109">
        <f t="shared" si="1"/>
        <v>0.0296872818144112</v>
      </c>
      <c r="J9" s="91">
        <v>28594.775</v>
      </c>
      <c r="K9" s="118" t="e">
        <f>VLOOKUP(B9,正厂竞争者数据汇总!D:H,11,FALSE)</f>
        <v>#N/A</v>
      </c>
      <c r="L9" s="89" t="s">
        <v>180</v>
      </c>
      <c r="M9" s="89" t="s">
        <v>180</v>
      </c>
      <c r="N9" s="89">
        <v>137</v>
      </c>
    </row>
    <row r="10" spans="1:18">
      <c r="A10" s="89" t="s">
        <v>230</v>
      </c>
      <c r="B10" s="108" t="s">
        <v>5202</v>
      </c>
      <c r="C10" s="89" t="s">
        <v>233</v>
      </c>
      <c r="D10" s="89" t="s">
        <v>59</v>
      </c>
      <c r="E10" s="91">
        <v>0</v>
      </c>
      <c r="F10" s="91">
        <v>10724.1666666667</v>
      </c>
      <c r="G10" s="92">
        <f t="shared" si="0"/>
        <v>0.00551566779247324</v>
      </c>
      <c r="H10" s="92">
        <v>0.00826590535731087</v>
      </c>
      <c r="I10" s="109">
        <f t="shared" si="1"/>
        <v>0.00334016992326098</v>
      </c>
      <c r="J10" s="91">
        <v>3217.25000000001</v>
      </c>
      <c r="K10" s="118" t="e">
        <f>VLOOKUP(B10,正厂竞争者数据汇总!D:H,11,FALSE)</f>
        <v>#N/A</v>
      </c>
      <c r="L10" s="89" t="s">
        <v>180</v>
      </c>
      <c r="N10" s="89">
        <v>738</v>
      </c>
      <c r="O10" s="126"/>
      <c r="Q10" s="133"/>
      <c r="R10" s="133"/>
    </row>
    <row r="11" s="88" customFormat="1" spans="1:16">
      <c r="A11" s="88" t="s">
        <v>227</v>
      </c>
      <c r="B11" s="88" t="s">
        <v>147</v>
      </c>
      <c r="C11" s="88" t="s">
        <v>233</v>
      </c>
      <c r="E11" s="106">
        <v>0</v>
      </c>
      <c r="F11" s="106">
        <v>5389.33333333333</v>
      </c>
      <c r="G11" s="110">
        <f t="shared" si="0"/>
        <v>0.00277184915280774</v>
      </c>
      <c r="H11" s="110">
        <v>0.00250126897135945</v>
      </c>
      <c r="I11" s="107" t="str">
        <f t="shared" si="1"/>
        <v/>
      </c>
      <c r="J11" s="106" t="s">
        <v>180</v>
      </c>
      <c r="K11" s="118" t="e">
        <f>VLOOKUP(B11,正厂竞争者数据汇总!D:H,11,FALSE)</f>
        <v>#N/A</v>
      </c>
      <c r="L11" s="88" t="str">
        <f>IFERROR(VLOOKUP(B11,'Competitive Matrix'!$B$4:$D$22,2,FALSE),"")</f>
        <v>L:70% N:20%</v>
      </c>
      <c r="M11" s="127" t="s">
        <v>6102</v>
      </c>
      <c r="N11" s="88">
        <v>440</v>
      </c>
      <c r="O11" s="126"/>
      <c r="P11" s="126"/>
    </row>
    <row r="12" spans="5:11">
      <c r="E12" s="91"/>
      <c r="F12" s="91">
        <v>1944309.75</v>
      </c>
      <c r="I12" s="109">
        <f>SUM(I4:I11)</f>
        <v>0.219849600212625</v>
      </c>
      <c r="K12" s="118"/>
    </row>
    <row r="13" spans="5:11">
      <c r="E13" s="91"/>
      <c r="I13" s="109"/>
      <c r="K13" s="118"/>
    </row>
    <row r="14" ht="14.4" customHeight="1" spans="1:22">
      <c r="A14" s="96" t="s">
        <v>4082</v>
      </c>
      <c r="B14" s="98"/>
      <c r="C14" s="98"/>
      <c r="E14" s="99" t="s">
        <v>2</v>
      </c>
      <c r="F14" s="100"/>
      <c r="G14" s="100"/>
      <c r="H14" s="100"/>
      <c r="I14" s="115"/>
      <c r="J14" s="100"/>
      <c r="L14" s="102"/>
      <c r="M14" s="102"/>
      <c r="O14" s="128"/>
      <c r="P14" s="128"/>
      <c r="Q14" s="128"/>
      <c r="R14" s="132"/>
      <c r="S14" s="116"/>
      <c r="T14" s="128"/>
      <c r="U14" s="128"/>
      <c r="V14" s="132"/>
    </row>
    <row r="15" ht="46.8" spans="1:22">
      <c r="A15" s="101" t="s">
        <v>3944</v>
      </c>
      <c r="B15" s="89" t="s">
        <v>207</v>
      </c>
      <c r="C15" s="101" t="s">
        <v>447</v>
      </c>
      <c r="D15" s="89" t="s">
        <v>209</v>
      </c>
      <c r="E15" s="101" t="s">
        <v>210</v>
      </c>
      <c r="F15" s="103" t="s">
        <v>6086</v>
      </c>
      <c r="G15" s="104" t="s">
        <v>6207</v>
      </c>
      <c r="H15" s="104" t="s">
        <v>6208</v>
      </c>
      <c r="I15" s="117" t="s">
        <v>6196</v>
      </c>
      <c r="J15" s="91" t="s">
        <v>6197</v>
      </c>
      <c r="K15" s="118" t="s">
        <v>0</v>
      </c>
      <c r="L15" s="119" t="s">
        <v>6091</v>
      </c>
      <c r="M15" s="119" t="s">
        <v>6092</v>
      </c>
      <c r="N15" s="120" t="s">
        <v>6198</v>
      </c>
      <c r="O15" s="119" t="s">
        <v>225</v>
      </c>
      <c r="P15" s="120" t="s">
        <v>226</v>
      </c>
      <c r="Q15" s="119"/>
      <c r="R15" s="119"/>
      <c r="S15" s="119"/>
      <c r="T15" s="119"/>
      <c r="U15" s="119"/>
      <c r="V15" s="119"/>
    </row>
    <row r="16" ht="14.4" spans="1:22">
      <c r="A16" s="88" t="s">
        <v>227</v>
      </c>
      <c r="B16" s="105" t="s">
        <v>528</v>
      </c>
      <c r="C16" s="88" t="s">
        <v>441</v>
      </c>
      <c r="D16" s="88" t="s">
        <v>234</v>
      </c>
      <c r="E16" s="106">
        <v>0</v>
      </c>
      <c r="F16" s="106">
        <v>492359.416666667</v>
      </c>
      <c r="G16" s="110">
        <f t="shared" ref="G16:G22" si="2">F16/F$24</f>
        <v>0.366317387777068</v>
      </c>
      <c r="H16" s="110">
        <v>0.359861613642283</v>
      </c>
      <c r="I16" s="110" t="str">
        <f t="shared" ref="I16:I23" si="3">IFERROR(J16*0.5/$D$18,"")</f>
        <v/>
      </c>
      <c r="J16" s="106" t="s">
        <v>180</v>
      </c>
      <c r="K16" s="122" t="e">
        <f>VLOOKUP(B16,正厂竞争者数据汇总!D:H,11,FALSE)</f>
        <v>#N/A</v>
      </c>
      <c r="L16" s="88" t="str">
        <f>IFERROR(VLOOKUP(B16,'Competitive Matrix'!$B$4:$D$22,2,FALSE),"")</f>
        <v>L:92% N:66% D:96% 有销售:90%</v>
      </c>
      <c r="M16" s="88" t="s">
        <v>6105</v>
      </c>
      <c r="N16" s="88">
        <v>648</v>
      </c>
      <c r="O16" s="125"/>
      <c r="P16" s="125"/>
      <c r="Q16" s="88"/>
      <c r="R16" s="88"/>
      <c r="S16" s="88"/>
      <c r="T16" s="88"/>
      <c r="U16" s="88"/>
      <c r="V16" s="88"/>
    </row>
    <row r="17" spans="1:14">
      <c r="A17" s="89" t="s">
        <v>230</v>
      </c>
      <c r="B17" s="89" t="s">
        <v>242</v>
      </c>
      <c r="C17" s="89" t="s">
        <v>233</v>
      </c>
      <c r="D17" s="89" t="s">
        <v>414</v>
      </c>
      <c r="E17" s="91">
        <v>0</v>
      </c>
      <c r="F17" s="91">
        <v>428823.833333333</v>
      </c>
      <c r="G17" s="92">
        <f t="shared" si="2"/>
        <v>0.31904665804242</v>
      </c>
      <c r="H17" s="92">
        <v>0.301551781920856</v>
      </c>
      <c r="I17" s="92" t="str">
        <f t="shared" si="3"/>
        <v/>
      </c>
      <c r="J17" s="91" t="s">
        <v>180</v>
      </c>
      <c r="K17" s="118" t="e">
        <f>VLOOKUP(B17,正厂竞争者数据汇总!D:H,11,FALSE)</f>
        <v>#REF!</v>
      </c>
      <c r="L17" s="89" t="s">
        <v>180</v>
      </c>
      <c r="M17" s="89" t="s">
        <v>180</v>
      </c>
      <c r="N17" s="89">
        <v>872</v>
      </c>
    </row>
    <row r="18" s="88" customFormat="1" spans="1:22">
      <c r="A18" s="89" t="s">
        <v>446</v>
      </c>
      <c r="B18" s="108" t="s">
        <v>4114</v>
      </c>
      <c r="C18" s="89" t="s">
        <v>233</v>
      </c>
      <c r="D18" s="89" t="s">
        <v>266</v>
      </c>
      <c r="E18" s="91">
        <v>0</v>
      </c>
      <c r="F18" s="91">
        <v>130750.333333333</v>
      </c>
      <c r="G18" s="92">
        <f t="shared" si="2"/>
        <v>0.0972787742781686</v>
      </c>
      <c r="H18" s="92">
        <v>0.109364382718519</v>
      </c>
      <c r="I18" s="92" t="str">
        <f t="shared" si="3"/>
        <v/>
      </c>
      <c r="J18" s="91" t="s">
        <v>180</v>
      </c>
      <c r="K18" s="118" t="e">
        <f>VLOOKUP(B18,正厂竞争者数据汇总!D:H,11,FALSE)</f>
        <v>#N/A</v>
      </c>
      <c r="L18" s="89" t="s">
        <v>180</v>
      </c>
      <c r="M18" s="89" t="s">
        <v>180</v>
      </c>
      <c r="N18" s="89">
        <v>672</v>
      </c>
      <c r="O18" s="95"/>
      <c r="P18" s="95"/>
      <c r="Q18" s="89"/>
      <c r="R18" s="89"/>
      <c r="S18" s="89"/>
      <c r="T18" s="89"/>
      <c r="U18" s="89"/>
      <c r="V18" s="89"/>
    </row>
    <row r="19" spans="1:15">
      <c r="A19" s="89" t="s">
        <v>243</v>
      </c>
      <c r="B19" s="89" t="s">
        <v>244</v>
      </c>
      <c r="C19" s="89" t="s">
        <v>454</v>
      </c>
      <c r="D19" s="89" t="s">
        <v>266</v>
      </c>
      <c r="E19" s="91">
        <v>0</v>
      </c>
      <c r="F19" s="91">
        <v>122650.75</v>
      </c>
      <c r="G19" s="109">
        <f t="shared" si="2"/>
        <v>0.0912526516768456</v>
      </c>
      <c r="H19" s="109">
        <v>0.100616346459308</v>
      </c>
      <c r="I19" s="92" t="str">
        <f t="shared" si="3"/>
        <v/>
      </c>
      <c r="J19" s="91" t="s">
        <v>180</v>
      </c>
      <c r="K19" s="118" t="e">
        <f>VLOOKUP(B19,正厂竞争者数据汇总!D:H,11,FALSE)</f>
        <v>#REF!</v>
      </c>
      <c r="L19" s="89" t="s">
        <v>180</v>
      </c>
      <c r="M19" s="89" t="s">
        <v>180</v>
      </c>
      <c r="N19" s="89">
        <v>464</v>
      </c>
      <c r="O19" s="126"/>
    </row>
    <row r="20" ht="14.4" spans="1:16">
      <c r="A20" s="89" t="s">
        <v>230</v>
      </c>
      <c r="B20" s="108" t="s">
        <v>416</v>
      </c>
      <c r="C20" s="89" t="s">
        <v>233</v>
      </c>
      <c r="D20" s="89" t="s">
        <v>291</v>
      </c>
      <c r="E20" s="91">
        <v>0</v>
      </c>
      <c r="F20" s="91">
        <v>143142.166666667</v>
      </c>
      <c r="G20" s="109">
        <f t="shared" si="2"/>
        <v>0.106498348156064</v>
      </c>
      <c r="H20" s="109">
        <v>0.11191182681312</v>
      </c>
      <c r="I20" s="92" t="str">
        <f t="shared" si="3"/>
        <v/>
      </c>
      <c r="J20" s="91" t="s">
        <v>180</v>
      </c>
      <c r="K20" s="118" t="e">
        <f>VLOOKUP(B20,正厂竞争者数据汇总!D:H,11,FALSE)</f>
        <v>#REF!</v>
      </c>
      <c r="L20" s="89" t="s">
        <v>180</v>
      </c>
      <c r="M20" s="89" t="s">
        <v>180</v>
      </c>
      <c r="N20" s="89">
        <v>230</v>
      </c>
      <c r="O20" s="126"/>
      <c r="P20" s="125"/>
    </row>
    <row r="21" spans="1:14">
      <c r="A21" s="89" t="s">
        <v>243</v>
      </c>
      <c r="B21" s="89" t="s">
        <v>2556</v>
      </c>
      <c r="C21" s="89" t="s">
        <v>454</v>
      </c>
      <c r="D21" s="89" t="s">
        <v>266</v>
      </c>
      <c r="E21" s="91">
        <v>0</v>
      </c>
      <c r="F21" s="91">
        <v>16322.75</v>
      </c>
      <c r="G21" s="109">
        <f t="shared" si="2"/>
        <v>0.0121441917000771</v>
      </c>
      <c r="H21" s="109">
        <v>0.0134893676531566</v>
      </c>
      <c r="I21" s="92" t="str">
        <f t="shared" si="3"/>
        <v/>
      </c>
      <c r="J21" s="91" t="s">
        <v>180</v>
      </c>
      <c r="K21" s="118" t="e">
        <f>VLOOKUP(B21,正厂竞争者数据汇总!D:H,11,FALSE)</f>
        <v>#REF!</v>
      </c>
      <c r="L21" s="89" t="s">
        <v>180</v>
      </c>
      <c r="M21" s="89" t="s">
        <v>180</v>
      </c>
      <c r="N21" s="89">
        <v>343</v>
      </c>
    </row>
    <row r="22" spans="1:22">
      <c r="A22" s="88" t="s">
        <v>227</v>
      </c>
      <c r="B22" s="88" t="s">
        <v>143</v>
      </c>
      <c r="C22" s="88" t="s">
        <v>233</v>
      </c>
      <c r="D22" s="88" t="s">
        <v>234</v>
      </c>
      <c r="E22" s="106">
        <v>0</v>
      </c>
      <c r="F22" s="106">
        <v>10029.5</v>
      </c>
      <c r="G22" s="107">
        <f t="shared" si="2"/>
        <v>0.00746198836935708</v>
      </c>
      <c r="H22" s="107">
        <v>0.00320468079275838</v>
      </c>
      <c r="I22" s="110" t="str">
        <f t="shared" si="3"/>
        <v/>
      </c>
      <c r="J22" s="106" t="s">
        <v>180</v>
      </c>
      <c r="K22" s="122" t="e">
        <f>VLOOKUP(B22,正厂竞争者数据汇总!D:H,11,FALSE)</f>
        <v>#N/A</v>
      </c>
      <c r="L22" s="88" t="str">
        <f>IFERROR(VLOOKUP(B22,'Competitive Matrix'!$B$4:$D$22,2,FALSE),"")</f>
        <v>L:71% N:20%</v>
      </c>
      <c r="M22" s="88" t="s">
        <v>6102</v>
      </c>
      <c r="N22" s="88" t="s">
        <v>5495</v>
      </c>
      <c r="O22" s="126"/>
      <c r="P22" s="126"/>
      <c r="Q22" s="88"/>
      <c r="R22" s="88"/>
      <c r="S22" s="88"/>
      <c r="T22" s="88"/>
      <c r="U22" s="88"/>
      <c r="V22" s="88"/>
    </row>
    <row r="23" s="88" customFormat="1" spans="1:22">
      <c r="A23" s="89" t="s">
        <v>801</v>
      </c>
      <c r="B23" s="108" t="s">
        <v>534</v>
      </c>
      <c r="C23" s="89" t="s">
        <v>441</v>
      </c>
      <c r="D23" s="89" t="s">
        <v>234</v>
      </c>
      <c r="E23" s="91">
        <v>0</v>
      </c>
      <c r="F23" s="106">
        <v>457534.25</v>
      </c>
      <c r="G23" s="92"/>
      <c r="H23" s="92"/>
      <c r="I23" s="92" t="str">
        <f t="shared" si="3"/>
        <v/>
      </c>
      <c r="J23" s="91" t="s">
        <v>180</v>
      </c>
      <c r="K23" s="118" t="e">
        <f>VLOOKUP(B23,正厂竞争者数据汇总!D:H,11,FALSE)</f>
        <v>#REF!</v>
      </c>
      <c r="L23" s="89" t="s">
        <v>180</v>
      </c>
      <c r="M23" s="89" t="s">
        <v>180</v>
      </c>
      <c r="N23" s="89" t="s">
        <v>5419</v>
      </c>
      <c r="O23" s="95"/>
      <c r="P23" s="95"/>
      <c r="Q23" s="89"/>
      <c r="R23" s="89"/>
      <c r="S23" s="89"/>
      <c r="T23" s="89"/>
      <c r="U23" s="89"/>
      <c r="V23" s="89"/>
    </row>
    <row r="24" spans="5:12">
      <c r="E24" s="91"/>
      <c r="F24" s="91">
        <v>1344078.75</v>
      </c>
      <c r="K24" s="118"/>
      <c r="L24" s="89" t="s">
        <v>180</v>
      </c>
    </row>
    <row r="25" spans="5:11">
      <c r="E25" s="91"/>
      <c r="I25" s="109"/>
      <c r="K25" s="118"/>
    </row>
    <row r="26" ht="14.4" customHeight="1" spans="1:22">
      <c r="A26" s="96" t="s">
        <v>4138</v>
      </c>
      <c r="B26" s="97"/>
      <c r="C26" s="98"/>
      <c r="E26" s="99" t="s">
        <v>2</v>
      </c>
      <c r="F26" s="100"/>
      <c r="G26" s="100"/>
      <c r="H26" s="100"/>
      <c r="I26" s="115"/>
      <c r="J26" s="100"/>
      <c r="L26" s="102"/>
      <c r="M26" s="102"/>
      <c r="O26" s="128"/>
      <c r="P26" s="128"/>
      <c r="Q26" s="128"/>
      <c r="R26" s="132"/>
      <c r="S26" s="116"/>
      <c r="T26" s="128"/>
      <c r="U26" s="128"/>
      <c r="V26" s="132"/>
    </row>
    <row r="27" ht="46.8" spans="1:22">
      <c r="A27" s="101" t="s">
        <v>3944</v>
      </c>
      <c r="B27" s="102" t="s">
        <v>207</v>
      </c>
      <c r="C27" s="101" t="s">
        <v>447</v>
      </c>
      <c r="D27" s="102" t="s">
        <v>209</v>
      </c>
      <c r="E27" s="101" t="s">
        <v>210</v>
      </c>
      <c r="F27" s="103" t="s">
        <v>6086</v>
      </c>
      <c r="G27" s="104" t="s">
        <v>6207</v>
      </c>
      <c r="H27" s="104" t="s">
        <v>6208</v>
      </c>
      <c r="I27" s="117" t="s">
        <v>6196</v>
      </c>
      <c r="J27" s="91" t="s">
        <v>6197</v>
      </c>
      <c r="K27" s="118" t="s">
        <v>0</v>
      </c>
      <c r="L27" s="119" t="s">
        <v>6091</v>
      </c>
      <c r="M27" s="119" t="s">
        <v>6092</v>
      </c>
      <c r="N27" s="120" t="s">
        <v>6198</v>
      </c>
      <c r="O27" s="119" t="s">
        <v>225</v>
      </c>
      <c r="P27" s="120" t="s">
        <v>226</v>
      </c>
      <c r="Q27" s="119"/>
      <c r="R27" s="119"/>
      <c r="S27" s="119"/>
      <c r="T27" s="119"/>
      <c r="U27" s="119"/>
      <c r="V27" s="119"/>
    </row>
    <row r="28" s="88" customFormat="1" spans="1:22">
      <c r="A28" s="88" t="s">
        <v>227</v>
      </c>
      <c r="B28" s="105" t="s">
        <v>515</v>
      </c>
      <c r="C28" s="88" t="s">
        <v>441</v>
      </c>
      <c r="D28" s="88" t="s">
        <v>234</v>
      </c>
      <c r="E28" s="106">
        <v>0</v>
      </c>
      <c r="F28" s="106">
        <v>702155.833333333</v>
      </c>
      <c r="G28" s="110">
        <f>F28/F$38</f>
        <v>0.577671995303411</v>
      </c>
      <c r="H28" s="110">
        <v>0.589175691942671</v>
      </c>
      <c r="I28" s="110" t="str">
        <f t="shared" ref="I28:I37" si="4">IFERROR(J28*0.5/$F$28,"")</f>
        <v/>
      </c>
      <c r="J28" s="91" t="s">
        <v>180</v>
      </c>
      <c r="K28" s="122" t="e">
        <f>VLOOKUP(B28,正厂竞争者数据汇总!D:H,11,FALSE)</f>
        <v>#N/A</v>
      </c>
      <c r="L28" s="88" t="str">
        <f>IFERROR(VLOOKUP(B28,'Competitive Matrix'!$B$4:$D$22,2,FALSE),"")</f>
        <v>L:82% N:39% D:78% 有销售:82%</v>
      </c>
      <c r="M28" s="88" t="s">
        <v>6113</v>
      </c>
      <c r="N28" s="88">
        <v>2300</v>
      </c>
      <c r="O28" s="95"/>
      <c r="P28" s="126"/>
      <c r="Q28" s="95"/>
      <c r="R28" s="95"/>
      <c r="S28" s="95"/>
      <c r="T28" s="95"/>
      <c r="U28" s="95"/>
      <c r="V28" s="95"/>
    </row>
    <row r="29" spans="1:13">
      <c r="A29" s="89" t="s">
        <v>672</v>
      </c>
      <c r="B29" s="108" t="s">
        <v>526</v>
      </c>
      <c r="C29" s="89" t="s">
        <v>441</v>
      </c>
      <c r="D29" s="89" t="s">
        <v>234</v>
      </c>
      <c r="E29" s="91">
        <v>6238</v>
      </c>
      <c r="F29" s="91">
        <v>223152.416666667</v>
      </c>
      <c r="G29" s="110"/>
      <c r="H29" s="92"/>
      <c r="I29" s="92" t="str">
        <f t="shared" si="4"/>
        <v/>
      </c>
      <c r="J29" s="91" t="s">
        <v>180</v>
      </c>
      <c r="K29" s="118" t="e">
        <f>VLOOKUP(B29,正厂竞争者数据汇总!D:H,11,FALSE)</f>
        <v>#REF!</v>
      </c>
      <c r="L29" s="89" t="s">
        <v>180</v>
      </c>
      <c r="M29" s="89" t="s">
        <v>180</v>
      </c>
    </row>
    <row r="30" ht="14.4" spans="1:16">
      <c r="A30" s="111" t="s">
        <v>238</v>
      </c>
      <c r="B30" s="89" t="s">
        <v>519</v>
      </c>
      <c r="C30" s="89" t="s">
        <v>441</v>
      </c>
      <c r="D30" s="89" t="s">
        <v>250</v>
      </c>
      <c r="E30" s="91">
        <v>0</v>
      </c>
      <c r="F30" s="91">
        <v>135856.583333333</v>
      </c>
      <c r="G30" s="92">
        <f>F30/F$38</f>
        <v>0.111770834683095</v>
      </c>
      <c r="H30" s="92">
        <v>0.119189582073341</v>
      </c>
      <c r="I30" s="92" t="str">
        <f t="shared" si="4"/>
        <v/>
      </c>
      <c r="J30" s="91" t="s">
        <v>180</v>
      </c>
      <c r="K30" s="118" t="e">
        <f>VLOOKUP(B30,正厂竞争者数据汇总!D:H,11,FALSE)</f>
        <v>#N/A</v>
      </c>
      <c r="L30" s="89" t="s">
        <v>180</v>
      </c>
      <c r="M30" s="89" t="s">
        <v>180</v>
      </c>
      <c r="N30" s="89">
        <v>1900</v>
      </c>
      <c r="P30" s="125"/>
    </row>
    <row r="31" spans="2:14">
      <c r="B31" s="108" t="s">
        <v>527</v>
      </c>
      <c r="C31" s="89">
        <v>0</v>
      </c>
      <c r="D31" s="89">
        <v>0</v>
      </c>
      <c r="E31" s="91">
        <v>0</v>
      </c>
      <c r="F31" s="91">
        <v>119839.083333333</v>
      </c>
      <c r="G31" s="92"/>
      <c r="H31" s="92"/>
      <c r="I31" s="92" t="str">
        <f t="shared" si="4"/>
        <v/>
      </c>
      <c r="J31" s="91" t="s">
        <v>180</v>
      </c>
      <c r="K31" s="118" t="e">
        <f>VLOOKUP(B31,正厂竞争者数据汇总!D:H,11,FALSE)</f>
        <v>#N/A</v>
      </c>
      <c r="L31" s="89" t="s">
        <v>180</v>
      </c>
      <c r="M31" s="89" t="s">
        <v>180</v>
      </c>
      <c r="N31" s="89">
        <v>2000</v>
      </c>
    </row>
    <row r="32" ht="14.4" spans="1:16">
      <c r="A32" s="89" t="s">
        <v>243</v>
      </c>
      <c r="B32" s="89" t="s">
        <v>525</v>
      </c>
      <c r="C32" s="89" t="s">
        <v>441</v>
      </c>
      <c r="D32" s="89" t="s">
        <v>420</v>
      </c>
      <c r="E32" s="91">
        <v>0</v>
      </c>
      <c r="F32" s="91">
        <v>72831.5</v>
      </c>
      <c r="G32" s="92">
        <f>F32/F$38</f>
        <v>0.0599193454339178</v>
      </c>
      <c r="H32" s="92">
        <v>0.0538012671013305</v>
      </c>
      <c r="I32" s="92" t="str">
        <f t="shared" si="4"/>
        <v/>
      </c>
      <c r="J32" s="91" t="s">
        <v>180</v>
      </c>
      <c r="K32" s="118" t="e">
        <f>VLOOKUP(B32,正厂竞争者数据汇总!D:H,11,FALSE)</f>
        <v>#REF!</v>
      </c>
      <c r="L32" s="89" t="s">
        <v>180</v>
      </c>
      <c r="M32" s="89" t="s">
        <v>180</v>
      </c>
      <c r="N32" s="89">
        <v>502</v>
      </c>
      <c r="P32" s="125"/>
    </row>
    <row r="33" ht="14.4" spans="1:15">
      <c r="A33" s="89" t="s">
        <v>230</v>
      </c>
      <c r="B33" s="89" t="s">
        <v>517</v>
      </c>
      <c r="C33" s="89" t="s">
        <v>441</v>
      </c>
      <c r="D33" s="89" t="s">
        <v>419</v>
      </c>
      <c r="E33" s="91">
        <v>0</v>
      </c>
      <c r="F33" s="91">
        <v>96574.1666666667</v>
      </c>
      <c r="G33" s="92">
        <f>F33/F$38</f>
        <v>0.0794527210409336</v>
      </c>
      <c r="H33" s="92">
        <v>0.0637702478887625</v>
      </c>
      <c r="I33" s="92" t="str">
        <f t="shared" si="4"/>
        <v/>
      </c>
      <c r="J33" s="91" t="s">
        <v>180</v>
      </c>
      <c r="K33" s="118" t="e">
        <f>VLOOKUP(B33,正厂竞争者数据汇总!D:H,11,FALSE)</f>
        <v>#N/A</v>
      </c>
      <c r="L33" s="89" t="s">
        <v>180</v>
      </c>
      <c r="M33" s="89" t="s">
        <v>180</v>
      </c>
      <c r="N33" s="89">
        <v>1000</v>
      </c>
      <c r="O33" s="125"/>
    </row>
    <row r="34" ht="14.4" spans="1:16">
      <c r="A34" s="89" t="s">
        <v>230</v>
      </c>
      <c r="B34" s="89" t="s">
        <v>516</v>
      </c>
      <c r="C34" s="89" t="s">
        <v>441</v>
      </c>
      <c r="D34" s="89" t="s">
        <v>60</v>
      </c>
      <c r="E34" s="91">
        <v>0</v>
      </c>
      <c r="F34" s="91">
        <v>186592.5</v>
      </c>
      <c r="G34" s="92">
        <f>F34/F$38</f>
        <v>0.15351187965205</v>
      </c>
      <c r="H34" s="92">
        <v>0.154003310853398</v>
      </c>
      <c r="I34" s="92">
        <f t="shared" si="4"/>
        <v>0.0398613436950725</v>
      </c>
      <c r="J34" s="91">
        <v>55977.75</v>
      </c>
      <c r="K34" s="118" t="e">
        <f>VLOOKUP(B34,正厂竞争者数据汇总!D:H,11,FALSE)</f>
        <v>#N/A</v>
      </c>
      <c r="L34" s="89" t="s">
        <v>180</v>
      </c>
      <c r="M34" s="89" t="s">
        <v>180</v>
      </c>
      <c r="N34" s="89">
        <v>421</v>
      </c>
      <c r="O34" s="126"/>
      <c r="P34" s="125"/>
    </row>
    <row r="35" spans="2:13">
      <c r="B35" s="108" t="s">
        <v>4196</v>
      </c>
      <c r="C35" s="89">
        <v>0</v>
      </c>
      <c r="D35" s="89">
        <v>0</v>
      </c>
      <c r="E35" s="91">
        <v>0</v>
      </c>
      <c r="F35" s="91">
        <v>64807.0833333333</v>
      </c>
      <c r="G35" s="92"/>
      <c r="H35" s="92"/>
      <c r="I35" s="92" t="str">
        <f t="shared" si="4"/>
        <v/>
      </c>
      <c r="J35" s="91" t="s">
        <v>180</v>
      </c>
      <c r="K35" s="118" t="e">
        <f>VLOOKUP(B35,正厂竞争者数据汇总!D:H,11,FALSE)</f>
        <v>#N/A</v>
      </c>
      <c r="L35" s="89" t="s">
        <v>180</v>
      </c>
      <c r="M35" s="89" t="s">
        <v>180</v>
      </c>
    </row>
    <row r="36" spans="1:14">
      <c r="A36" s="89" t="s">
        <v>230</v>
      </c>
      <c r="B36" s="108" t="s">
        <v>523</v>
      </c>
      <c r="C36" s="89">
        <v>0</v>
      </c>
      <c r="D36" s="89" t="s">
        <v>49</v>
      </c>
      <c r="E36" s="91">
        <v>0</v>
      </c>
      <c r="F36" s="91">
        <v>21415</v>
      </c>
      <c r="G36" s="92">
        <f>F36/F$38</f>
        <v>0.0176183764232145</v>
      </c>
      <c r="H36" s="92">
        <v>0.0199633151380156</v>
      </c>
      <c r="I36" s="92">
        <f t="shared" si="4"/>
        <v>0.00228741957803764</v>
      </c>
      <c r="J36" s="91">
        <v>3212.25</v>
      </c>
      <c r="K36" s="118" t="e">
        <f>VLOOKUP(B36,正厂竞争者数据汇总!D:H,11,FALSE)</f>
        <v>#N/A</v>
      </c>
      <c r="L36" s="89" t="s">
        <v>180</v>
      </c>
      <c r="M36" s="89" t="s">
        <v>180</v>
      </c>
      <c r="N36" s="89">
        <v>793</v>
      </c>
    </row>
    <row r="37" s="88" customFormat="1" spans="1:16">
      <c r="A37" s="88" t="s">
        <v>227</v>
      </c>
      <c r="B37" s="112" t="s">
        <v>4197</v>
      </c>
      <c r="C37" s="88" t="s">
        <v>441</v>
      </c>
      <c r="D37" s="88" t="s">
        <v>234</v>
      </c>
      <c r="E37" s="106">
        <v>0</v>
      </c>
      <c r="F37" s="106">
        <v>66.6666666666667</v>
      </c>
      <c r="G37" s="110">
        <f>F37/F$38</f>
        <v>5.48474633768061e-5</v>
      </c>
      <c r="H37" s="110">
        <v>9.65850024820333e-5</v>
      </c>
      <c r="I37" s="110" t="str">
        <f t="shared" si="4"/>
        <v/>
      </c>
      <c r="J37" s="106" t="s">
        <v>180</v>
      </c>
      <c r="K37" s="122" t="e">
        <f>VLOOKUP(B37,正厂竞争者数据汇总!D:H,11,FALSE)</f>
        <v>#N/A</v>
      </c>
      <c r="L37" s="88" t="s">
        <v>180</v>
      </c>
      <c r="M37" s="88" t="s">
        <v>180</v>
      </c>
      <c r="N37" s="88" t="s">
        <v>5419</v>
      </c>
      <c r="O37" s="126"/>
      <c r="P37" s="126"/>
    </row>
    <row r="38" spans="5:10">
      <c r="E38" s="91"/>
      <c r="F38" s="91">
        <v>1215492.25</v>
      </c>
      <c r="G38" s="109"/>
      <c r="H38" s="109"/>
      <c r="I38" s="109">
        <f>SUM(I28:I36)</f>
        <v>0.0421487632731101</v>
      </c>
      <c r="J38" s="109"/>
    </row>
    <row r="39" spans="5:11">
      <c r="E39" s="91"/>
      <c r="I39" s="109"/>
      <c r="K39" s="118"/>
    </row>
    <row r="40" ht="14.4" customHeight="1" spans="1:22">
      <c r="A40" s="96" t="s">
        <v>149</v>
      </c>
      <c r="B40" s="97"/>
      <c r="C40" s="98"/>
      <c r="E40" s="99" t="s">
        <v>2</v>
      </c>
      <c r="F40" s="100"/>
      <c r="G40" s="100"/>
      <c r="H40" s="100"/>
      <c r="I40" s="115"/>
      <c r="J40" s="100"/>
      <c r="L40" s="102"/>
      <c r="M40" s="102"/>
      <c r="O40" s="128"/>
      <c r="P40" s="128"/>
      <c r="Q40" s="128"/>
      <c r="R40" s="132"/>
      <c r="S40" s="116"/>
      <c r="T40" s="128"/>
      <c r="U40" s="128"/>
      <c r="V40" s="132"/>
    </row>
    <row r="41" ht="46.8" spans="1:22">
      <c r="A41" s="101" t="s">
        <v>3944</v>
      </c>
      <c r="B41" s="102" t="s">
        <v>207</v>
      </c>
      <c r="C41" s="101" t="s">
        <v>447</v>
      </c>
      <c r="D41" s="89" t="s">
        <v>209</v>
      </c>
      <c r="E41" s="101" t="s">
        <v>210</v>
      </c>
      <c r="F41" s="103" t="s">
        <v>6086</v>
      </c>
      <c r="G41" s="104" t="s">
        <v>6207</v>
      </c>
      <c r="H41" s="104" t="s">
        <v>6208</v>
      </c>
      <c r="I41" s="117" t="s">
        <v>6196</v>
      </c>
      <c r="J41" s="91" t="s">
        <v>6197</v>
      </c>
      <c r="K41" s="118" t="s">
        <v>0</v>
      </c>
      <c r="L41" s="119" t="s">
        <v>6091</v>
      </c>
      <c r="M41" s="119" t="s">
        <v>6092</v>
      </c>
      <c r="N41" s="120" t="s">
        <v>6198</v>
      </c>
      <c r="O41" s="119" t="s">
        <v>225</v>
      </c>
      <c r="P41" s="120" t="s">
        <v>226</v>
      </c>
      <c r="Q41" s="119"/>
      <c r="R41" s="119"/>
      <c r="S41" s="119"/>
      <c r="T41" s="119"/>
      <c r="U41" s="119"/>
      <c r="V41" s="119"/>
    </row>
    <row r="42" spans="1:22">
      <c r="A42" s="88" t="s">
        <v>227</v>
      </c>
      <c r="B42" s="105" t="s">
        <v>535</v>
      </c>
      <c r="C42" s="88" t="s">
        <v>441</v>
      </c>
      <c r="D42" s="88" t="s">
        <v>234</v>
      </c>
      <c r="E42" s="106">
        <v>0</v>
      </c>
      <c r="F42" s="106">
        <v>318196.75</v>
      </c>
      <c r="G42" s="110">
        <f>F42/F$49</f>
        <v>0.403997076852807</v>
      </c>
      <c r="H42" s="110">
        <v>0.435833129046131</v>
      </c>
      <c r="I42" s="107" t="str">
        <f t="shared" ref="I42:I47" si="5">IFERROR(J42*0.5/F$43,"")</f>
        <v/>
      </c>
      <c r="J42" s="106" t="s">
        <v>180</v>
      </c>
      <c r="K42" s="122" t="e">
        <f>VLOOKUP(B42,正厂竞争者数据汇总!D:H,11,FALSE)</f>
        <v>#N/A</v>
      </c>
      <c r="L42" s="88" t="str">
        <f>IFERROR(VLOOKUP(B42,'Competitive Matrix'!$B$4:$D$22,2,FALSE),"")</f>
        <v>L:77% N:26% D:70% 有销售:80%</v>
      </c>
      <c r="M42" s="88" t="s">
        <v>6199</v>
      </c>
      <c r="N42" s="88">
        <v>2000</v>
      </c>
      <c r="O42" s="126"/>
      <c r="P42" s="126"/>
      <c r="Q42" s="126"/>
      <c r="R42" s="126"/>
      <c r="S42" s="126"/>
      <c r="T42" s="126"/>
      <c r="U42" s="126"/>
      <c r="V42" s="126"/>
    </row>
    <row r="43" s="88" customFormat="1" ht="28.8" spans="1:22">
      <c r="A43" s="89" t="s">
        <v>243</v>
      </c>
      <c r="B43" s="108" t="s">
        <v>537</v>
      </c>
      <c r="C43" s="89" t="s">
        <v>441</v>
      </c>
      <c r="D43" s="89" t="s">
        <v>420</v>
      </c>
      <c r="E43" s="91">
        <v>0</v>
      </c>
      <c r="F43" s="91">
        <v>263885.75</v>
      </c>
      <c r="G43" s="109">
        <f>F43/F$49</f>
        <v>0.335041359231704</v>
      </c>
      <c r="H43" s="109">
        <v>0.310633445221078</v>
      </c>
      <c r="I43" s="109" t="str">
        <f t="shared" si="5"/>
        <v/>
      </c>
      <c r="J43" s="91" t="s">
        <v>180</v>
      </c>
      <c r="K43" s="118" t="e">
        <f>VLOOKUP(B43,正厂竞争者数据汇总!D:H,11,FALSE)</f>
        <v>#N/A</v>
      </c>
      <c r="L43" s="89" t="s">
        <v>180</v>
      </c>
      <c r="M43" s="89" t="s">
        <v>180</v>
      </c>
      <c r="N43" s="89">
        <v>2100</v>
      </c>
      <c r="O43" s="131" t="s">
        <v>6200</v>
      </c>
      <c r="P43" s="125"/>
      <c r="Q43" s="89"/>
      <c r="R43" s="89"/>
      <c r="S43" s="89"/>
      <c r="T43" s="89"/>
      <c r="U43" s="89"/>
      <c r="V43" s="89"/>
    </row>
    <row r="44" ht="14.4" spans="1:16">
      <c r="A44" s="89" t="s">
        <v>243</v>
      </c>
      <c r="B44" s="108" t="s">
        <v>539</v>
      </c>
      <c r="C44" s="89" t="s">
        <v>441</v>
      </c>
      <c r="D44" s="89" t="s">
        <v>266</v>
      </c>
      <c r="E44" s="91">
        <v>0</v>
      </c>
      <c r="F44" s="91">
        <v>126713.5</v>
      </c>
      <c r="G44" s="92">
        <f>F44/F$49</f>
        <v>0.160881227095463</v>
      </c>
      <c r="H44" s="92">
        <v>0.127486688930415</v>
      </c>
      <c r="I44" s="109" t="str">
        <f t="shared" si="5"/>
        <v/>
      </c>
      <c r="J44" s="91" t="s">
        <v>180</v>
      </c>
      <c r="K44" s="118" t="e">
        <f>VLOOKUP(B44,正厂竞争者数据汇总!D:H,11,FALSE)</f>
        <v>#N/A</v>
      </c>
      <c r="L44" s="89" t="s">
        <v>180</v>
      </c>
      <c r="M44" s="89" t="s">
        <v>180</v>
      </c>
      <c r="N44" s="89">
        <v>1200</v>
      </c>
      <c r="O44" s="125"/>
      <c r="P44" s="124"/>
    </row>
    <row r="45" spans="1:14">
      <c r="A45" s="89" t="s">
        <v>2019</v>
      </c>
      <c r="B45" s="113" t="s">
        <v>4271</v>
      </c>
      <c r="C45" s="89" t="s">
        <v>233</v>
      </c>
      <c r="D45" s="89" t="s">
        <v>451</v>
      </c>
      <c r="E45" s="91">
        <v>0</v>
      </c>
      <c r="F45" s="91">
        <v>4420.33333333333</v>
      </c>
      <c r="G45" s="109"/>
      <c r="H45" s="109"/>
      <c r="I45" s="109" t="str">
        <f t="shared" si="5"/>
        <v/>
      </c>
      <c r="J45" s="91" t="s">
        <v>180</v>
      </c>
      <c r="K45" s="118" t="e">
        <f>VLOOKUP(B45,正厂竞争者数据汇总!D:H,11,FALSE)</f>
        <v>#N/A</v>
      </c>
      <c r="L45" s="89" t="s">
        <v>180</v>
      </c>
      <c r="M45" s="89" t="s">
        <v>180</v>
      </c>
      <c r="N45" s="89" t="s">
        <v>5419</v>
      </c>
    </row>
    <row r="46" spans="1:15">
      <c r="A46" s="89" t="s">
        <v>230</v>
      </c>
      <c r="B46" s="108" t="s">
        <v>541</v>
      </c>
      <c r="C46" s="89" t="s">
        <v>233</v>
      </c>
      <c r="D46" s="89" t="s">
        <v>423</v>
      </c>
      <c r="E46" s="91">
        <v>0</v>
      </c>
      <c r="F46" s="91">
        <v>58526.6666666667</v>
      </c>
      <c r="G46" s="109">
        <f>F46/F$49</f>
        <v>0.0743081199015136</v>
      </c>
      <c r="H46" s="109">
        <v>0.0903596513730234</v>
      </c>
      <c r="I46" s="109" t="str">
        <f t="shared" si="5"/>
        <v/>
      </c>
      <c r="J46" s="91" t="s">
        <v>180</v>
      </c>
      <c r="K46" s="118" t="e">
        <f>VLOOKUP(B46,正厂竞争者数据汇总!D:H,11,FALSE)</f>
        <v>#REF!</v>
      </c>
      <c r="L46" s="89" t="s">
        <v>180</v>
      </c>
      <c r="M46" s="89" t="s">
        <v>180</v>
      </c>
      <c r="N46" s="89">
        <v>159</v>
      </c>
      <c r="O46" s="126"/>
    </row>
    <row r="47" spans="1:14">
      <c r="A47" s="89" t="s">
        <v>230</v>
      </c>
      <c r="B47" s="108" t="s">
        <v>2141</v>
      </c>
      <c r="C47" s="89">
        <v>0</v>
      </c>
      <c r="D47" s="89">
        <v>0</v>
      </c>
      <c r="E47" s="91">
        <v>0</v>
      </c>
      <c r="F47" s="91">
        <v>20298.75</v>
      </c>
      <c r="G47" s="109">
        <f>F47/F$49</f>
        <v>0.0257722169185132</v>
      </c>
      <c r="H47" s="109">
        <v>0.0356870854293516</v>
      </c>
      <c r="I47" s="109" t="str">
        <f t="shared" si="5"/>
        <v/>
      </c>
      <c r="J47" s="91" t="s">
        <v>180</v>
      </c>
      <c r="K47" s="118" t="e">
        <f>VLOOKUP(B47,正厂竞争者数据汇总!D:H,11,FALSE)</f>
        <v>#REF!</v>
      </c>
      <c r="L47" s="89" t="s">
        <v>180</v>
      </c>
      <c r="M47" s="89" t="s">
        <v>180</v>
      </c>
      <c r="N47" s="89">
        <v>22</v>
      </c>
    </row>
    <row r="48" spans="1:13">
      <c r="A48" s="88" t="s">
        <v>227</v>
      </c>
      <c r="B48" s="108" t="s">
        <v>6201</v>
      </c>
      <c r="K48" s="122" t="e">
        <f>VLOOKUP(B48,正厂竞争者数据汇总!D:H,11,FALSE)</f>
        <v>#N/A</v>
      </c>
      <c r="L48" s="89" t="s">
        <v>6202</v>
      </c>
      <c r="M48" s="89" t="s">
        <v>6102</v>
      </c>
    </row>
    <row r="49" spans="5:11">
      <c r="E49" s="91"/>
      <c r="F49" s="91">
        <v>787621.416666667</v>
      </c>
      <c r="I49" s="109"/>
      <c r="K49" s="118"/>
    </row>
    <row r="50" ht="14.4" customHeight="1" spans="1:22">
      <c r="A50" s="96" t="s">
        <v>152</v>
      </c>
      <c r="B50" s="97"/>
      <c r="C50" s="98"/>
      <c r="E50" s="99" t="s">
        <v>2</v>
      </c>
      <c r="F50" s="100"/>
      <c r="G50" s="100"/>
      <c r="H50" s="100"/>
      <c r="I50" s="115"/>
      <c r="J50" s="100"/>
      <c r="L50" s="102"/>
      <c r="M50" s="102"/>
      <c r="O50" s="128"/>
      <c r="P50" s="128"/>
      <c r="Q50" s="128"/>
      <c r="R50" s="132"/>
      <c r="S50" s="116"/>
      <c r="T50" s="128"/>
      <c r="U50" s="128"/>
      <c r="V50" s="132"/>
    </row>
    <row r="51" ht="46.8" spans="1:22">
      <c r="A51" s="101" t="s">
        <v>3944</v>
      </c>
      <c r="B51" s="102" t="s">
        <v>207</v>
      </c>
      <c r="C51" s="101" t="s">
        <v>447</v>
      </c>
      <c r="D51" s="89" t="s">
        <v>209</v>
      </c>
      <c r="E51" s="101" t="s">
        <v>210</v>
      </c>
      <c r="F51" s="103" t="s">
        <v>6086</v>
      </c>
      <c r="G51" s="104" t="s">
        <v>6207</v>
      </c>
      <c r="H51" s="104" t="s">
        <v>6208</v>
      </c>
      <c r="I51" s="117" t="s">
        <v>6196</v>
      </c>
      <c r="J51" s="91" t="s">
        <v>6197</v>
      </c>
      <c r="K51" s="118" t="s">
        <v>0</v>
      </c>
      <c r="L51" s="119" t="s">
        <v>6091</v>
      </c>
      <c r="M51" s="119" t="s">
        <v>6092</v>
      </c>
      <c r="N51" s="120" t="s">
        <v>6198</v>
      </c>
      <c r="O51" s="119" t="s">
        <v>225</v>
      </c>
      <c r="P51" s="120" t="s">
        <v>226</v>
      </c>
      <c r="Q51" s="119"/>
      <c r="R51" s="119"/>
      <c r="S51" s="119"/>
      <c r="T51" s="119"/>
      <c r="U51" s="119"/>
      <c r="V51" s="119"/>
    </row>
    <row r="52" spans="1:14">
      <c r="A52" s="89" t="s">
        <v>672</v>
      </c>
      <c r="B52" s="108" t="s">
        <v>554</v>
      </c>
      <c r="C52" s="89" t="s">
        <v>1035</v>
      </c>
      <c r="D52" s="89" t="s">
        <v>234</v>
      </c>
      <c r="E52" s="91">
        <v>0</v>
      </c>
      <c r="F52" s="91">
        <v>446377.416666667</v>
      </c>
      <c r="G52" s="109"/>
      <c r="H52" s="109"/>
      <c r="I52" s="109" t="str">
        <f t="shared" ref="I52:I61" si="6">IFERROR(J52*0.5/$F$55,"")</f>
        <v/>
      </c>
      <c r="J52" s="91" t="s">
        <v>180</v>
      </c>
      <c r="K52" s="118" t="e">
        <f>VLOOKUP(B52,正厂竞争者数据汇总!D:H,11,FALSE)</f>
        <v>#REF!</v>
      </c>
      <c r="L52" s="89" t="s">
        <v>180</v>
      </c>
      <c r="M52" s="89" t="s">
        <v>180</v>
      </c>
      <c r="N52" s="89" t="s">
        <v>5419</v>
      </c>
    </row>
    <row r="53" s="88" customFormat="1" spans="1:22">
      <c r="A53" s="88" t="s">
        <v>227</v>
      </c>
      <c r="B53" s="105" t="s">
        <v>546</v>
      </c>
      <c r="C53" s="88" t="s">
        <v>441</v>
      </c>
      <c r="D53" s="88" t="s">
        <v>234</v>
      </c>
      <c r="E53" s="106">
        <v>0</v>
      </c>
      <c r="F53" s="106">
        <v>337263.333333333</v>
      </c>
      <c r="G53" s="107">
        <f>F53/F$62</f>
        <v>0.320090980385755</v>
      </c>
      <c r="H53" s="107">
        <v>0.321639264251795</v>
      </c>
      <c r="I53" s="107" t="str">
        <f t="shared" si="6"/>
        <v/>
      </c>
      <c r="J53" s="106" t="s">
        <v>180</v>
      </c>
      <c r="K53" s="118" t="e">
        <f>VLOOKUP(B53,正厂竞争者数据汇总!D:H,11,FALSE)</f>
        <v>#N/A</v>
      </c>
      <c r="L53" s="88" t="str">
        <f>IFERROR(VLOOKUP(B53,'Competitive Matrix'!$B$4:$D$22,2,FALSE),"")</f>
        <v>L:71% N:44% D:79% 有销售:87%</v>
      </c>
      <c r="M53" s="88" t="s">
        <v>6102</v>
      </c>
      <c r="N53" s="88">
        <v>1100</v>
      </c>
      <c r="O53" s="126"/>
      <c r="P53" s="126"/>
      <c r="Q53" s="126"/>
      <c r="R53" s="126"/>
      <c r="S53" s="126"/>
      <c r="T53" s="126"/>
      <c r="U53" s="126"/>
      <c r="V53" s="126"/>
    </row>
    <row r="54" ht="14.4" spans="1:16">
      <c r="A54" s="89" t="s">
        <v>230</v>
      </c>
      <c r="B54" s="114" t="s">
        <v>507</v>
      </c>
      <c r="C54" s="89" t="s">
        <v>233</v>
      </c>
      <c r="D54" s="89" t="s">
        <v>419</v>
      </c>
      <c r="E54" s="91">
        <v>0</v>
      </c>
      <c r="F54" s="91">
        <v>301450.266666667</v>
      </c>
      <c r="G54" s="109">
        <f>F54/F$62</f>
        <v>0.28610139869404</v>
      </c>
      <c r="H54" s="109">
        <v>0.292445616262389</v>
      </c>
      <c r="I54" s="109" t="str">
        <f t="shared" si="6"/>
        <v/>
      </c>
      <c r="J54" s="91" t="s">
        <v>180</v>
      </c>
      <c r="K54" s="118" t="e">
        <f>VLOOKUP(B54,正厂竞争者数据汇总!D:H,11,FALSE)</f>
        <v>#N/A</v>
      </c>
      <c r="L54" s="89" t="s">
        <v>180</v>
      </c>
      <c r="M54" s="89" t="s">
        <v>180</v>
      </c>
      <c r="N54" s="89">
        <v>820</v>
      </c>
      <c r="P54" s="125"/>
    </row>
    <row r="55" spans="1:14">
      <c r="A55" s="89" t="s">
        <v>672</v>
      </c>
      <c r="B55" s="108" t="s">
        <v>555</v>
      </c>
      <c r="C55" s="89" t="s">
        <v>470</v>
      </c>
      <c r="D55" s="89" t="s">
        <v>234</v>
      </c>
      <c r="E55" s="91">
        <v>0</v>
      </c>
      <c r="F55" s="91">
        <v>234408.75</v>
      </c>
      <c r="G55" s="109"/>
      <c r="H55" s="109"/>
      <c r="I55" s="109" t="str">
        <f t="shared" si="6"/>
        <v/>
      </c>
      <c r="J55" s="91" t="s">
        <v>180</v>
      </c>
      <c r="K55" s="118" t="e">
        <f>VLOOKUP(B55,正厂竞争者数据汇总!D:H,11,FALSE)</f>
        <v>#REF!</v>
      </c>
      <c r="L55" s="89" t="s">
        <v>180</v>
      </c>
      <c r="M55" s="89" t="s">
        <v>180</v>
      </c>
      <c r="N55" s="89" t="s">
        <v>5419</v>
      </c>
    </row>
    <row r="56" spans="1:14">
      <c r="A56" s="89" t="s">
        <v>672</v>
      </c>
      <c r="B56" s="108" t="s">
        <v>556</v>
      </c>
      <c r="C56" s="89" t="s">
        <v>470</v>
      </c>
      <c r="D56" s="89" t="s">
        <v>234</v>
      </c>
      <c r="E56" s="91">
        <v>0</v>
      </c>
      <c r="F56" s="91">
        <v>122184.75</v>
      </c>
      <c r="G56" s="109"/>
      <c r="H56" s="109"/>
      <c r="I56" s="109" t="str">
        <f t="shared" si="6"/>
        <v/>
      </c>
      <c r="J56" s="91" t="s">
        <v>180</v>
      </c>
      <c r="K56" s="118" t="e">
        <f>VLOOKUP(B56,正厂竞争者数据汇总!D:H,11,FALSE)</f>
        <v>#REF!</v>
      </c>
      <c r="L56" s="89" t="s">
        <v>180</v>
      </c>
      <c r="M56" s="89" t="s">
        <v>180</v>
      </c>
      <c r="N56" s="89" t="s">
        <v>5419</v>
      </c>
    </row>
    <row r="57" ht="14.4" spans="1:16">
      <c r="A57" s="111" t="s">
        <v>243</v>
      </c>
      <c r="B57" s="108" t="s">
        <v>270</v>
      </c>
      <c r="C57" s="89" t="s">
        <v>233</v>
      </c>
      <c r="D57" s="89" t="s">
        <v>266</v>
      </c>
      <c r="E57" s="91">
        <v>0</v>
      </c>
      <c r="F57" s="91">
        <v>113911.583333333</v>
      </c>
      <c r="G57" s="109">
        <f>F57/F$62</f>
        <v>0.108111575682089</v>
      </c>
      <c r="H57" s="109">
        <v>0.0986162500612585</v>
      </c>
      <c r="I57" s="109" t="str">
        <f t="shared" si="6"/>
        <v/>
      </c>
      <c r="J57" s="91" t="s">
        <v>180</v>
      </c>
      <c r="K57" s="118" t="e">
        <f>VLOOKUP(B57,正厂竞争者数据汇总!D:H,11,FALSE)</f>
        <v>#REF!</v>
      </c>
      <c r="L57" s="89" t="s">
        <v>180</v>
      </c>
      <c r="M57" s="89" t="s">
        <v>180</v>
      </c>
      <c r="N57" s="89">
        <v>351</v>
      </c>
      <c r="O57" s="125"/>
      <c r="P57" s="125"/>
    </row>
    <row r="58" spans="1:15">
      <c r="A58" s="89" t="s">
        <v>230</v>
      </c>
      <c r="B58" s="108" t="s">
        <v>548</v>
      </c>
      <c r="C58" s="89" t="s">
        <v>233</v>
      </c>
      <c r="D58" s="89" t="s">
        <v>420</v>
      </c>
      <c r="E58" s="91">
        <v>0</v>
      </c>
      <c r="F58" s="91">
        <v>122491</v>
      </c>
      <c r="G58" s="109">
        <f>F58/F$62</f>
        <v>0.116254156332139</v>
      </c>
      <c r="H58" s="109">
        <v>0.130208028116181</v>
      </c>
      <c r="I58" s="109" t="str">
        <f t="shared" si="6"/>
        <v/>
      </c>
      <c r="J58" s="91" t="s">
        <v>180</v>
      </c>
      <c r="K58" s="118" t="e">
        <f>VLOOKUP(B58,正厂竞争者数据汇总!D:H,11,FALSE)</f>
        <v>#N/A</v>
      </c>
      <c r="L58" s="89" t="s">
        <v>180</v>
      </c>
      <c r="M58" s="89" t="s">
        <v>180</v>
      </c>
      <c r="N58" s="89">
        <v>274</v>
      </c>
      <c r="O58" s="126"/>
    </row>
    <row r="59" spans="1:14">
      <c r="A59" s="89" t="s">
        <v>230</v>
      </c>
      <c r="B59" s="108" t="s">
        <v>547</v>
      </c>
      <c r="C59" s="89" t="s">
        <v>233</v>
      </c>
      <c r="D59" s="89" t="s">
        <v>272</v>
      </c>
      <c r="E59" s="91">
        <v>0</v>
      </c>
      <c r="F59" s="91">
        <v>100709.333333333</v>
      </c>
      <c r="G59" s="109">
        <f>F59/F$62</f>
        <v>0.0955815413494768</v>
      </c>
      <c r="H59" s="109">
        <v>0.0816874202690565</v>
      </c>
      <c r="I59" s="109" t="str">
        <f t="shared" si="6"/>
        <v/>
      </c>
      <c r="J59" s="91" t="s">
        <v>180</v>
      </c>
      <c r="K59" s="118" t="e">
        <f>VLOOKUP(B59,正厂竞争者数据汇总!D:H,11,FALSE)</f>
        <v>#N/A</v>
      </c>
      <c r="L59" s="89" t="s">
        <v>180</v>
      </c>
      <c r="M59" s="89" t="s">
        <v>180</v>
      </c>
      <c r="N59" s="89">
        <v>548</v>
      </c>
    </row>
    <row r="60" ht="28.8" spans="1:15">
      <c r="A60" s="89" t="s">
        <v>230</v>
      </c>
      <c r="B60" s="108" t="s">
        <v>549</v>
      </c>
      <c r="C60" s="89" t="s">
        <v>233</v>
      </c>
      <c r="D60" s="89" t="s">
        <v>451</v>
      </c>
      <c r="E60" s="91">
        <v>0</v>
      </c>
      <c r="F60" s="91">
        <v>73378.3333333333</v>
      </c>
      <c r="G60" s="109">
        <f>F60/F$62</f>
        <v>0.0696421470534579</v>
      </c>
      <c r="H60" s="109">
        <v>0.0705512008458562</v>
      </c>
      <c r="I60" s="109" t="str">
        <f t="shared" si="6"/>
        <v/>
      </c>
      <c r="J60" s="91" t="s">
        <v>180</v>
      </c>
      <c r="K60" s="118" t="e">
        <f>VLOOKUP(B60,正厂竞争者数据汇总!D:H,11,FALSE)</f>
        <v>#N/A</v>
      </c>
      <c r="L60" s="89" t="s">
        <v>180</v>
      </c>
      <c r="M60" s="89" t="s">
        <v>180</v>
      </c>
      <c r="N60" s="89">
        <v>77</v>
      </c>
      <c r="O60" s="126" t="s">
        <v>4353</v>
      </c>
    </row>
    <row r="61" s="88" customFormat="1" spans="1:16">
      <c r="A61" s="88" t="s">
        <v>227</v>
      </c>
      <c r="B61" s="88" t="s">
        <v>154</v>
      </c>
      <c r="C61" s="88" t="s">
        <v>233</v>
      </c>
      <c r="D61" s="88" t="s">
        <v>234</v>
      </c>
      <c r="E61" s="106">
        <v>0</v>
      </c>
      <c r="F61" s="106">
        <v>4444.5</v>
      </c>
      <c r="G61" s="107">
        <f>F61/F$62</f>
        <v>0.00421820050304259</v>
      </c>
      <c r="H61" s="107">
        <v>0.00485222019346332</v>
      </c>
      <c r="I61" s="107" t="str">
        <f t="shared" si="6"/>
        <v/>
      </c>
      <c r="J61" s="106" t="s">
        <v>180</v>
      </c>
      <c r="K61" s="118" t="e">
        <f>VLOOKUP(B61,正厂竞争者数据汇总!D:H,11,FALSE)</f>
        <v>#N/A</v>
      </c>
      <c r="L61" s="88" t="str">
        <f>IFERROR(VLOOKUP(B61,'Competitive Matrix'!$B$4:$D$22,2,FALSE),"")</f>
        <v>L:81% N:25%</v>
      </c>
      <c r="M61" s="88" t="s">
        <v>6102</v>
      </c>
      <c r="N61" s="88">
        <v>184</v>
      </c>
      <c r="O61" s="126"/>
      <c r="P61" s="126"/>
    </row>
    <row r="62" spans="5:11">
      <c r="E62" s="91"/>
      <c r="F62" s="91">
        <v>1053648.35</v>
      </c>
      <c r="I62" s="92">
        <f>SUM(I53:I61)</f>
        <v>0</v>
      </c>
      <c r="J62" s="91" t="s">
        <v>180</v>
      </c>
      <c r="K62" s="95"/>
    </row>
    <row r="63" spans="5:10">
      <c r="E63" s="91"/>
      <c r="G63" s="109"/>
      <c r="H63" s="109"/>
      <c r="I63" s="109"/>
      <c r="J63" s="109"/>
    </row>
    <row r="64" spans="5:11">
      <c r="E64" s="91"/>
      <c r="K64" s="118"/>
    </row>
    <row r="65" spans="5:11">
      <c r="E65" s="91"/>
      <c r="K65" s="118"/>
    </row>
    <row r="66" ht="14.4" customHeight="1" spans="1:22">
      <c r="A66" s="96" t="s">
        <v>159</v>
      </c>
      <c r="B66" s="97"/>
      <c r="C66" s="98"/>
      <c r="E66" s="99" t="s">
        <v>2</v>
      </c>
      <c r="F66" s="100"/>
      <c r="G66" s="100"/>
      <c r="H66" s="100"/>
      <c r="I66" s="115"/>
      <c r="J66" s="100"/>
      <c r="L66" s="102"/>
      <c r="M66" s="102"/>
      <c r="O66" s="128"/>
      <c r="P66" s="128"/>
      <c r="Q66" s="128"/>
      <c r="R66" s="132"/>
      <c r="S66" s="116"/>
      <c r="T66" s="128"/>
      <c r="U66" s="128"/>
      <c r="V66" s="132"/>
    </row>
    <row r="67" ht="46.8" spans="1:22">
      <c r="A67" s="101" t="s">
        <v>3944</v>
      </c>
      <c r="B67" s="101" t="s">
        <v>207</v>
      </c>
      <c r="C67" s="101" t="s">
        <v>447</v>
      </c>
      <c r="D67" s="89" t="s">
        <v>209</v>
      </c>
      <c r="E67" s="101" t="s">
        <v>210</v>
      </c>
      <c r="F67" s="103" t="s">
        <v>6086</v>
      </c>
      <c r="G67" s="104" t="s">
        <v>6207</v>
      </c>
      <c r="H67" s="104" t="s">
        <v>6208</v>
      </c>
      <c r="I67" s="117" t="s">
        <v>6196</v>
      </c>
      <c r="J67" s="91" t="s">
        <v>6197</v>
      </c>
      <c r="K67" s="118" t="s">
        <v>0</v>
      </c>
      <c r="L67" s="119" t="s">
        <v>6091</v>
      </c>
      <c r="M67" s="119" t="s">
        <v>6092</v>
      </c>
      <c r="N67" s="120" t="s">
        <v>6198</v>
      </c>
      <c r="O67" s="119" t="s">
        <v>225</v>
      </c>
      <c r="P67" s="120" t="s">
        <v>226</v>
      </c>
      <c r="Q67" s="119"/>
      <c r="R67" s="119"/>
      <c r="S67" s="119"/>
      <c r="T67" s="119"/>
      <c r="U67" s="119"/>
      <c r="V67" s="119"/>
    </row>
    <row r="68" spans="1:14">
      <c r="A68" s="89" t="s">
        <v>4363</v>
      </c>
      <c r="B68" s="89" t="s">
        <v>562</v>
      </c>
      <c r="C68" s="89" t="s">
        <v>441</v>
      </c>
      <c r="D68" s="89" t="s">
        <v>234</v>
      </c>
      <c r="E68" s="91">
        <v>0</v>
      </c>
      <c r="F68" s="91">
        <v>133546.333333333</v>
      </c>
      <c r="G68" s="92"/>
      <c r="H68" s="92"/>
      <c r="I68" s="92" t="str">
        <f t="shared" ref="I68:I76" si="7">IFERROR(J68*0.5/$F$69,"")</f>
        <v/>
      </c>
      <c r="J68" s="91" t="s">
        <v>180</v>
      </c>
      <c r="K68" s="118" t="e">
        <f>VLOOKUP(B68,正厂竞争者数据汇总!D:H,11,FALSE)</f>
        <v>#REF!</v>
      </c>
      <c r="L68" s="89" t="s">
        <v>180</v>
      </c>
      <c r="M68" s="89" t="s">
        <v>180</v>
      </c>
      <c r="N68" s="89" t="s">
        <v>5419</v>
      </c>
    </row>
    <row r="69" s="88" customFormat="1" ht="14.4" spans="1:16">
      <c r="A69" s="88" t="s">
        <v>227</v>
      </c>
      <c r="B69" s="134" t="s">
        <v>557</v>
      </c>
      <c r="C69" s="88" t="s">
        <v>441</v>
      </c>
      <c r="D69" s="88" t="s">
        <v>234</v>
      </c>
      <c r="E69" s="106">
        <v>0</v>
      </c>
      <c r="F69" s="106">
        <v>392327.833333333</v>
      </c>
      <c r="G69" s="110">
        <f>F69/F$77</f>
        <v>0.73564123955099</v>
      </c>
      <c r="H69" s="110">
        <v>0.721590863418605</v>
      </c>
      <c r="I69" s="110" t="str">
        <f t="shared" si="7"/>
        <v/>
      </c>
      <c r="J69" s="106" t="s">
        <v>180</v>
      </c>
      <c r="K69" s="122" t="e">
        <f>VLOOKUP(B69,正厂竞争者数据汇总!D:H,11,FALSE)</f>
        <v>#N/A</v>
      </c>
      <c r="L69" s="88" t="str">
        <f>IFERROR(VLOOKUP(B69,'Competitive Matrix'!$B$4:$D$22,2,FALSE),"")</f>
        <v>L:77% N:44% D:85% 有销售:91%</v>
      </c>
      <c r="M69" s="88" t="s">
        <v>6134</v>
      </c>
      <c r="N69" s="88">
        <v>1600</v>
      </c>
      <c r="O69" s="124"/>
      <c r="P69" s="124"/>
    </row>
    <row r="70" spans="1:18">
      <c r="A70" s="89" t="s">
        <v>230</v>
      </c>
      <c r="B70" s="135" t="s">
        <v>560</v>
      </c>
      <c r="C70" s="89" t="s">
        <v>233</v>
      </c>
      <c r="D70" s="89" t="s">
        <v>60</v>
      </c>
      <c r="E70" s="91">
        <v>0</v>
      </c>
      <c r="F70" s="91">
        <v>66763.5</v>
      </c>
      <c r="G70" s="92">
        <f>F70/F$77</f>
        <v>0.125186080935109</v>
      </c>
      <c r="H70" s="92">
        <v>0.135670542137769</v>
      </c>
      <c r="I70" s="92">
        <f t="shared" si="7"/>
        <v>0.0255259100913479</v>
      </c>
      <c r="J70" s="91">
        <v>20029.05</v>
      </c>
      <c r="K70" s="118" t="e">
        <f>VLOOKUP(B70,正厂竞争者数据汇总!D:H,11,FALSE)</f>
        <v>#N/A</v>
      </c>
      <c r="L70" s="89" t="s">
        <v>180</v>
      </c>
      <c r="M70" s="89" t="s">
        <v>180</v>
      </c>
      <c r="N70" s="89">
        <v>1300</v>
      </c>
      <c r="O70" s="138"/>
      <c r="R70" s="88"/>
    </row>
    <row r="71" spans="1:15">
      <c r="A71" s="89" t="s">
        <v>230</v>
      </c>
      <c r="B71" s="135" t="s">
        <v>4391</v>
      </c>
      <c r="C71" s="89" t="s">
        <v>233</v>
      </c>
      <c r="D71" s="89" t="s">
        <v>422</v>
      </c>
      <c r="E71" s="91">
        <v>0</v>
      </c>
      <c r="F71" s="91">
        <v>25149.5833333333</v>
      </c>
      <c r="G71" s="92">
        <f>F71/F$77</f>
        <v>0.0471571708291346</v>
      </c>
      <c r="H71" s="92">
        <v>0.0521171924808558</v>
      </c>
      <c r="I71" s="92" t="str">
        <f t="shared" si="7"/>
        <v/>
      </c>
      <c r="J71" s="91" t="s">
        <v>180</v>
      </c>
      <c r="K71" s="118" t="e">
        <f>VLOOKUP(B71,正厂竞争者数据汇总!D:H,11,FALSE)</f>
        <v>#N/A</v>
      </c>
      <c r="L71" s="89" t="s">
        <v>180</v>
      </c>
      <c r="M71" s="89" t="s">
        <v>180</v>
      </c>
      <c r="N71" s="89">
        <v>84</v>
      </c>
      <c r="O71" s="126"/>
    </row>
    <row r="72" spans="1:14">
      <c r="A72" s="89" t="s">
        <v>367</v>
      </c>
      <c r="B72" s="108" t="s">
        <v>5225</v>
      </c>
      <c r="C72" s="89">
        <v>0</v>
      </c>
      <c r="D72" s="89">
        <v>0</v>
      </c>
      <c r="E72" s="91">
        <v>0</v>
      </c>
      <c r="F72" s="91">
        <v>17376.1666666667</v>
      </c>
      <c r="G72" s="92">
        <f>F72/F$77</f>
        <v>0.0325814884881002</v>
      </c>
      <c r="H72" s="92">
        <v>0.0287176270232741</v>
      </c>
      <c r="I72" s="92" t="str">
        <f t="shared" si="7"/>
        <v/>
      </c>
      <c r="J72" s="91" t="s">
        <v>180</v>
      </c>
      <c r="K72" s="118" t="e">
        <f>VLOOKUP(B72,正厂竞争者数据汇总!D:H,11,FALSE)</f>
        <v>#N/A</v>
      </c>
      <c r="L72" s="89" t="s">
        <v>180</v>
      </c>
      <c r="M72" s="89" t="s">
        <v>180</v>
      </c>
      <c r="N72" s="89">
        <v>597</v>
      </c>
    </row>
    <row r="73" spans="2:14">
      <c r="B73" s="89" t="s">
        <v>4399</v>
      </c>
      <c r="C73" s="89">
        <v>0</v>
      </c>
      <c r="D73" s="89">
        <v>0</v>
      </c>
      <c r="E73" s="91">
        <v>0</v>
      </c>
      <c r="F73" s="91">
        <v>7919</v>
      </c>
      <c r="G73" s="92"/>
      <c r="H73" s="92"/>
      <c r="I73" s="92" t="str">
        <f t="shared" si="7"/>
        <v/>
      </c>
      <c r="J73" s="91" t="s">
        <v>180</v>
      </c>
      <c r="K73" s="118" t="e">
        <f>VLOOKUP(B73,正厂竞争者数据汇总!D:H,11,FALSE)</f>
        <v>#N/A</v>
      </c>
      <c r="L73" s="89" t="s">
        <v>180</v>
      </c>
      <c r="M73" s="89" t="s">
        <v>180</v>
      </c>
      <c r="N73" s="89">
        <v>901</v>
      </c>
    </row>
    <row r="74" s="88" customFormat="1" spans="1:16">
      <c r="A74" s="88" t="s">
        <v>227</v>
      </c>
      <c r="B74" s="134" t="s">
        <v>4400</v>
      </c>
      <c r="C74" s="88" t="s">
        <v>441</v>
      </c>
      <c r="D74" s="88">
        <v>0</v>
      </c>
      <c r="E74" s="106">
        <v>0</v>
      </c>
      <c r="F74" s="91">
        <v>546.666666666667</v>
      </c>
      <c r="G74" s="92">
        <f>F74/F$77</f>
        <v>0.00102503699742913</v>
      </c>
      <c r="H74" s="110">
        <v>0.000794375693995135</v>
      </c>
      <c r="I74" s="110" t="str">
        <f t="shared" si="7"/>
        <v/>
      </c>
      <c r="J74" s="106" t="s">
        <v>180</v>
      </c>
      <c r="K74" s="118" t="e">
        <f>VLOOKUP(B74,正厂竞争者数据汇总!D:H,11,FALSE)</f>
        <v>#N/A</v>
      </c>
      <c r="L74" s="88" t="s">
        <v>180</v>
      </c>
      <c r="M74" s="88" t="s">
        <v>180</v>
      </c>
      <c r="N74" s="88">
        <v>78</v>
      </c>
      <c r="O74" s="126"/>
      <c r="P74" s="126"/>
    </row>
    <row r="75" spans="1:14">
      <c r="A75" s="89" t="s">
        <v>230</v>
      </c>
      <c r="B75" s="89" t="s">
        <v>563</v>
      </c>
      <c r="C75" s="89" t="s">
        <v>233</v>
      </c>
      <c r="D75" s="89" t="s">
        <v>58</v>
      </c>
      <c r="E75" s="91">
        <v>0</v>
      </c>
      <c r="F75" s="91">
        <v>19630.5833333333</v>
      </c>
      <c r="G75" s="92">
        <f>F75/F$77</f>
        <v>0.0368086723130163</v>
      </c>
      <c r="H75" s="92">
        <v>0.034115914229491</v>
      </c>
      <c r="I75" s="92">
        <f t="shared" si="7"/>
        <v>0.00750542594692278</v>
      </c>
      <c r="J75" s="91">
        <v>5889.17499999999</v>
      </c>
      <c r="K75" s="118" t="e">
        <f>VLOOKUP(B75,正厂竞争者数据汇总!D:H,11,FALSE)</f>
        <v>#N/A</v>
      </c>
      <c r="L75" s="89" t="s">
        <v>180</v>
      </c>
      <c r="M75" s="89" t="s">
        <v>180</v>
      </c>
      <c r="N75" s="89">
        <v>127</v>
      </c>
    </row>
    <row r="76" spans="1:14">
      <c r="A76" s="89" t="s">
        <v>230</v>
      </c>
      <c r="B76" s="108" t="s">
        <v>558</v>
      </c>
      <c r="C76" s="89">
        <v>0</v>
      </c>
      <c r="D76" s="89" t="s">
        <v>250</v>
      </c>
      <c r="E76" s="91">
        <v>0</v>
      </c>
      <c r="F76" s="91">
        <v>11519.75</v>
      </c>
      <c r="G76" s="92">
        <f>F76/F$77</f>
        <v>0.0216003108862211</v>
      </c>
      <c r="H76" s="92">
        <v>0.0269934850160097</v>
      </c>
      <c r="I76" s="92" t="str">
        <f t="shared" si="7"/>
        <v/>
      </c>
      <c r="J76" s="91" t="s">
        <v>180</v>
      </c>
      <c r="K76" s="118" t="e">
        <f>VLOOKUP(B76,正厂竞争者数据汇总!D:H,11,FALSE)</f>
        <v>#N/A</v>
      </c>
      <c r="L76" s="89" t="s">
        <v>180</v>
      </c>
      <c r="M76" s="89" t="s">
        <v>180</v>
      </c>
      <c r="N76" s="89" t="s">
        <v>5419</v>
      </c>
    </row>
    <row r="77" spans="3:9">
      <c r="C77" s="89"/>
      <c r="E77" s="91"/>
      <c r="F77" s="91">
        <v>533314.083333333</v>
      </c>
      <c r="G77" s="109"/>
      <c r="H77" s="109"/>
      <c r="I77" s="109">
        <f>SUM(I68:I76)</f>
        <v>0.0330313360382707</v>
      </c>
    </row>
    <row r="78" spans="3:9">
      <c r="C78" s="89"/>
      <c r="E78" s="91"/>
      <c r="G78" s="109"/>
      <c r="H78" s="109"/>
      <c r="I78" s="109"/>
    </row>
    <row r="79" ht="14.4" customHeight="1" spans="1:22">
      <c r="A79" s="96" t="s">
        <v>274</v>
      </c>
      <c r="B79" s="97"/>
      <c r="C79" s="98"/>
      <c r="E79" s="99" t="s">
        <v>2</v>
      </c>
      <c r="F79" s="100"/>
      <c r="G79" s="100"/>
      <c r="H79" s="100"/>
      <c r="I79" s="115"/>
      <c r="J79" s="100"/>
      <c r="K79" s="95"/>
      <c r="L79" s="102"/>
      <c r="M79" s="102"/>
      <c r="O79" s="128"/>
      <c r="P79" s="128"/>
      <c r="Q79" s="128"/>
      <c r="R79" s="132"/>
      <c r="S79" s="116"/>
      <c r="T79" s="128"/>
      <c r="U79" s="128"/>
      <c r="V79" s="132"/>
    </row>
    <row r="80" ht="46.8" spans="1:22">
      <c r="A80" s="101" t="s">
        <v>3944</v>
      </c>
      <c r="B80" s="102" t="s">
        <v>207</v>
      </c>
      <c r="C80" s="101" t="s">
        <v>447</v>
      </c>
      <c r="D80" s="89" t="s">
        <v>209</v>
      </c>
      <c r="E80" s="101" t="s">
        <v>210</v>
      </c>
      <c r="F80" s="103" t="s">
        <v>6086</v>
      </c>
      <c r="G80" s="104" t="s">
        <v>6207</v>
      </c>
      <c r="H80" s="104" t="s">
        <v>6208</v>
      </c>
      <c r="I80" s="117" t="s">
        <v>6196</v>
      </c>
      <c r="J80" s="91" t="s">
        <v>6197</v>
      </c>
      <c r="K80" s="95"/>
      <c r="L80" s="119" t="s">
        <v>6091</v>
      </c>
      <c r="M80" s="119" t="s">
        <v>6092</v>
      </c>
      <c r="N80" s="120" t="s">
        <v>6198</v>
      </c>
      <c r="O80" s="119" t="s">
        <v>225</v>
      </c>
      <c r="P80" s="120" t="s">
        <v>226</v>
      </c>
      <c r="Q80" s="119"/>
      <c r="R80" s="119"/>
      <c r="S80" s="119"/>
      <c r="T80" s="119"/>
      <c r="U80" s="119"/>
      <c r="V80" s="119"/>
    </row>
    <row r="81" s="88" customFormat="1" ht="14.4" spans="1:16">
      <c r="A81" s="88" t="s">
        <v>227</v>
      </c>
      <c r="B81" s="105" t="s">
        <v>564</v>
      </c>
      <c r="C81" s="88" t="s">
        <v>441</v>
      </c>
      <c r="D81" s="88" t="s">
        <v>234</v>
      </c>
      <c r="E81" s="106">
        <v>0</v>
      </c>
      <c r="F81" s="106">
        <v>256767.916666667</v>
      </c>
      <c r="G81" s="107">
        <f>F81/F$88</f>
        <v>0.532174720752987</v>
      </c>
      <c r="H81" s="107">
        <v>0.499201127851316</v>
      </c>
      <c r="I81" s="107" t="str">
        <f t="shared" ref="I81:I87" si="8">IFERROR(J81*0.5/$F$81,"")</f>
        <v/>
      </c>
      <c r="J81" s="106" t="s">
        <v>180</v>
      </c>
      <c r="K81" s="122" t="e">
        <f>VLOOKUP(B81,正厂竞争者数据汇总!D:H,11,FALSE)</f>
        <v>#N/A</v>
      </c>
      <c r="L81" s="88" t="str">
        <f>IFERROR(VLOOKUP(B81,'Competitive Matrix'!$B$4:$D$22,2,FALSE),"")</f>
        <v>L:80% N:53% D:69% 有销售:88%</v>
      </c>
      <c r="M81" s="88" t="s">
        <v>6155</v>
      </c>
      <c r="N81" s="88">
        <v>1100</v>
      </c>
      <c r="O81" s="124"/>
      <c r="P81" s="124"/>
    </row>
    <row r="82" ht="24" customHeight="1" spans="1:14">
      <c r="A82" s="89" t="s">
        <v>230</v>
      </c>
      <c r="B82" s="108" t="s">
        <v>568</v>
      </c>
      <c r="C82" s="89" t="s">
        <v>65</v>
      </c>
      <c r="D82" s="89" t="s">
        <v>266</v>
      </c>
      <c r="E82" s="91">
        <v>0</v>
      </c>
      <c r="F82" s="91">
        <v>92490</v>
      </c>
      <c r="G82" s="109">
        <f>F82/F$88</f>
        <v>0.191693886687337</v>
      </c>
      <c r="H82" s="109">
        <v>0.227072521434515</v>
      </c>
      <c r="I82" s="109" t="str">
        <f t="shared" si="8"/>
        <v/>
      </c>
      <c r="J82" s="91" t="s">
        <v>180</v>
      </c>
      <c r="K82" s="118" t="e">
        <f>VLOOKUP(B82,正厂竞争者数据汇总!D:H,11,FALSE)</f>
        <v>#N/A</v>
      </c>
      <c r="L82" s="89" t="s">
        <v>180</v>
      </c>
      <c r="M82" s="89" t="s">
        <v>180</v>
      </c>
      <c r="N82" s="89">
        <v>338</v>
      </c>
    </row>
    <row r="83" ht="61.2" customHeight="1" spans="1:18">
      <c r="A83" s="89" t="s">
        <v>391</v>
      </c>
      <c r="B83" s="108" t="s">
        <v>565</v>
      </c>
      <c r="C83" s="89" t="s">
        <v>454</v>
      </c>
      <c r="D83" s="89" t="s">
        <v>266</v>
      </c>
      <c r="E83" s="91">
        <v>0</v>
      </c>
      <c r="F83" s="91">
        <v>43242.75</v>
      </c>
      <c r="G83" s="109">
        <f>F83/F$88</f>
        <v>0.0896245087960737</v>
      </c>
      <c r="H83" s="109">
        <v>0.0982438670887659</v>
      </c>
      <c r="I83" s="109" t="str">
        <f t="shared" si="8"/>
        <v/>
      </c>
      <c r="J83" s="91" t="s">
        <v>180</v>
      </c>
      <c r="K83" s="118" t="e">
        <f>VLOOKUP(B83,正厂竞争者数据汇总!D:H,11,FALSE)</f>
        <v>#N/A</v>
      </c>
      <c r="L83" s="89" t="s">
        <v>180</v>
      </c>
      <c r="M83" s="89" t="s">
        <v>180</v>
      </c>
      <c r="N83" s="89">
        <v>480</v>
      </c>
      <c r="O83" s="124"/>
      <c r="P83" s="125"/>
      <c r="Q83" s="133"/>
      <c r="R83" s="133"/>
    </row>
    <row r="84" spans="1:18">
      <c r="A84" s="89" t="s">
        <v>391</v>
      </c>
      <c r="B84" s="108" t="s">
        <v>567</v>
      </c>
      <c r="C84" s="89" t="s">
        <v>454</v>
      </c>
      <c r="D84" s="89" t="s">
        <v>420</v>
      </c>
      <c r="E84" s="91">
        <v>0</v>
      </c>
      <c r="F84" s="91">
        <v>28674.0833333333</v>
      </c>
      <c r="G84" s="109">
        <f>F84/F$88</f>
        <v>0.0594296300287951</v>
      </c>
      <c r="H84" s="109">
        <v>0.0563155009251166</v>
      </c>
      <c r="I84" s="109" t="str">
        <f t="shared" si="8"/>
        <v/>
      </c>
      <c r="J84" s="91" t="s">
        <v>180</v>
      </c>
      <c r="K84" s="118" t="e">
        <f>VLOOKUP(B84,正厂竞争者数据汇总!D:H,11,FALSE)</f>
        <v>#N/A</v>
      </c>
      <c r="L84" s="89" t="s">
        <v>180</v>
      </c>
      <c r="M84" s="89" t="s">
        <v>180</v>
      </c>
      <c r="N84" s="89">
        <v>678</v>
      </c>
      <c r="Q84" s="133"/>
      <c r="R84" s="133"/>
    </row>
    <row r="85" ht="14.4" spans="1:15">
      <c r="A85" s="89" t="s">
        <v>446</v>
      </c>
      <c r="B85" s="89" t="s">
        <v>4425</v>
      </c>
      <c r="C85" s="89" t="s">
        <v>233</v>
      </c>
      <c r="D85" s="89" t="s">
        <v>49</v>
      </c>
      <c r="E85" s="91">
        <v>0</v>
      </c>
      <c r="F85" s="91">
        <v>45386.75</v>
      </c>
      <c r="G85" s="109">
        <f>F85/F$88</f>
        <v>0.0940681426273814</v>
      </c>
      <c r="H85" s="109">
        <v>0.0776411791467836</v>
      </c>
      <c r="I85" s="109">
        <f t="shared" si="8"/>
        <v>0.0132571323325376</v>
      </c>
      <c r="J85" s="91">
        <v>6808.0125</v>
      </c>
      <c r="K85" s="118" t="e">
        <f>VLOOKUP(B85,正厂竞争者数据汇总!D:H,11,FALSE)</f>
        <v>#N/A</v>
      </c>
      <c r="L85" s="89" t="s">
        <v>180</v>
      </c>
      <c r="M85" s="89" t="s">
        <v>180</v>
      </c>
      <c r="N85" s="89">
        <v>798</v>
      </c>
      <c r="O85" s="125"/>
    </row>
    <row r="86" spans="2:14">
      <c r="B86" s="108" t="s">
        <v>4429</v>
      </c>
      <c r="C86" s="89">
        <v>0</v>
      </c>
      <c r="D86" s="89">
        <v>0</v>
      </c>
      <c r="E86" s="91">
        <v>0</v>
      </c>
      <c r="F86" s="91">
        <v>41787.8333333333</v>
      </c>
      <c r="G86" s="109"/>
      <c r="H86" s="109"/>
      <c r="I86" s="109" t="str">
        <f t="shared" si="8"/>
        <v/>
      </c>
      <c r="J86" s="91" t="s">
        <v>180</v>
      </c>
      <c r="K86" s="118" t="e">
        <f>VLOOKUP(B86,正厂竞争者数据汇总!D:H,11,FALSE)</f>
        <v>#N/A</v>
      </c>
      <c r="L86" s="89" t="s">
        <v>180</v>
      </c>
      <c r="M86" s="89" t="s">
        <v>180</v>
      </c>
      <c r="N86" s="89">
        <v>543</v>
      </c>
    </row>
    <row r="87" spans="1:15">
      <c r="A87" s="89" t="s">
        <v>391</v>
      </c>
      <c r="B87" s="89" t="s">
        <v>569</v>
      </c>
      <c r="C87" s="89">
        <v>0</v>
      </c>
      <c r="D87" s="89">
        <v>0</v>
      </c>
      <c r="E87" s="91">
        <v>0</v>
      </c>
      <c r="F87" s="91">
        <v>15926.5</v>
      </c>
      <c r="G87" s="109">
        <f>F87/F$88</f>
        <v>0.0330091111074265</v>
      </c>
      <c r="H87" s="109">
        <v>0.0415258035535023</v>
      </c>
      <c r="I87" s="109" t="str">
        <f t="shared" si="8"/>
        <v/>
      </c>
      <c r="J87" s="91" t="s">
        <v>180</v>
      </c>
      <c r="K87" s="118" t="e">
        <f>VLOOKUP(B87,正厂竞争者数据汇总!D:H,11,FALSE)</f>
        <v>#N/A</v>
      </c>
      <c r="L87" s="89" t="s">
        <v>180</v>
      </c>
      <c r="M87" s="89" t="s">
        <v>180</v>
      </c>
      <c r="N87" s="89">
        <v>219</v>
      </c>
      <c r="O87" s="126"/>
    </row>
    <row r="88" spans="5:11">
      <c r="E88" s="91"/>
      <c r="F88" s="91">
        <v>482488</v>
      </c>
      <c r="I88" s="109">
        <f>SUM(I81:I87)</f>
        <v>0.0132571323325376</v>
      </c>
      <c r="K88" s="95"/>
    </row>
    <row r="89" spans="5:5">
      <c r="E89" s="91"/>
    </row>
    <row r="90" ht="14.4" customHeight="1" spans="1:22">
      <c r="A90" s="96" t="s">
        <v>165</v>
      </c>
      <c r="B90" s="97"/>
      <c r="C90" s="98"/>
      <c r="E90" s="99" t="s">
        <v>2</v>
      </c>
      <c r="F90" s="100"/>
      <c r="G90" s="100"/>
      <c r="H90" s="100"/>
      <c r="I90" s="115"/>
      <c r="J90" s="100"/>
      <c r="L90" s="102"/>
      <c r="M90" s="102"/>
      <c r="O90" s="128"/>
      <c r="P90" s="128"/>
      <c r="Q90" s="128"/>
      <c r="R90" s="132"/>
      <c r="S90" s="116"/>
      <c r="T90" s="128"/>
      <c r="U90" s="128"/>
      <c r="V90" s="132"/>
    </row>
    <row r="91" ht="46.8" spans="1:22">
      <c r="A91" s="101" t="s">
        <v>3944</v>
      </c>
      <c r="B91" s="102" t="s">
        <v>207</v>
      </c>
      <c r="C91" s="101" t="s">
        <v>447</v>
      </c>
      <c r="D91" s="89" t="s">
        <v>209</v>
      </c>
      <c r="E91" s="101" t="s">
        <v>210</v>
      </c>
      <c r="F91" s="103" t="s">
        <v>6086</v>
      </c>
      <c r="G91" s="104" t="s">
        <v>6207</v>
      </c>
      <c r="H91" s="104" t="s">
        <v>6208</v>
      </c>
      <c r="I91" s="117" t="s">
        <v>6196</v>
      </c>
      <c r="J91" s="91" t="s">
        <v>6197</v>
      </c>
      <c r="K91" s="118" t="s">
        <v>0</v>
      </c>
      <c r="L91" s="119" t="s">
        <v>6091</v>
      </c>
      <c r="M91" s="119" t="s">
        <v>6092</v>
      </c>
      <c r="N91" s="120" t="s">
        <v>6198</v>
      </c>
      <c r="O91" s="119" t="s">
        <v>225</v>
      </c>
      <c r="P91" s="120" t="s">
        <v>226</v>
      </c>
      <c r="Q91" s="119"/>
      <c r="R91" s="119"/>
      <c r="S91" s="119"/>
      <c r="T91" s="119"/>
      <c r="U91" s="119"/>
      <c r="V91" s="119"/>
    </row>
    <row r="92" spans="1:14">
      <c r="A92" s="89" t="s">
        <v>4435</v>
      </c>
      <c r="B92" s="108" t="s">
        <v>577</v>
      </c>
      <c r="C92" s="89" t="s">
        <v>441</v>
      </c>
      <c r="D92" s="89" t="s">
        <v>234</v>
      </c>
      <c r="E92" s="91">
        <v>0</v>
      </c>
      <c r="F92" s="91">
        <v>285317.583333333</v>
      </c>
      <c r="I92" s="109" t="str">
        <f t="shared" ref="I92:I99" si="9">IFERROR(J92*0.5/$F$97,"")</f>
        <v/>
      </c>
      <c r="J92" s="91" t="s">
        <v>180</v>
      </c>
      <c r="K92" s="118">
        <v>0</v>
      </c>
      <c r="L92" s="89" t="s">
        <v>180</v>
      </c>
      <c r="M92" s="89" t="s">
        <v>180</v>
      </c>
      <c r="N92" s="89" t="s">
        <v>5419</v>
      </c>
    </row>
    <row r="93" spans="1:15">
      <c r="A93" s="89" t="s">
        <v>230</v>
      </c>
      <c r="B93" s="108" t="s">
        <v>570</v>
      </c>
      <c r="C93" s="89" t="s">
        <v>233</v>
      </c>
      <c r="D93" s="89" t="s">
        <v>50</v>
      </c>
      <c r="E93" s="91">
        <v>0</v>
      </c>
      <c r="F93" s="91">
        <v>136815.25</v>
      </c>
      <c r="G93" s="109">
        <f t="shared" ref="G93:G99" si="10">F93/F$100</f>
        <v>0.308389143117111</v>
      </c>
      <c r="H93" s="109">
        <v>0.31950394874602</v>
      </c>
      <c r="I93" s="109">
        <f t="shared" si="9"/>
        <v>6.42928806390977</v>
      </c>
      <c r="J93" s="91">
        <v>41044.575</v>
      </c>
      <c r="K93" s="118" t="e">
        <f>VLOOKUP(B93,正厂竞争者数据汇总!D:H,11,FALSE)</f>
        <v>#N/A</v>
      </c>
      <c r="L93" s="89" t="s">
        <v>180</v>
      </c>
      <c r="M93" s="89" t="s">
        <v>180</v>
      </c>
      <c r="N93" s="89">
        <v>454</v>
      </c>
      <c r="O93" s="126"/>
    </row>
    <row r="94" spans="1:22">
      <c r="A94" s="88" t="s">
        <v>227</v>
      </c>
      <c r="B94" s="105" t="s">
        <v>571</v>
      </c>
      <c r="C94" s="88" t="s">
        <v>441</v>
      </c>
      <c r="D94" s="88" t="s">
        <v>234</v>
      </c>
      <c r="E94" s="106">
        <v>0</v>
      </c>
      <c r="F94" s="106">
        <v>99299.75</v>
      </c>
      <c r="G94" s="107">
        <f t="shared" si="10"/>
        <v>0.223827130486136</v>
      </c>
      <c r="H94" s="107">
        <v>0.246461683651119</v>
      </c>
      <c r="I94" s="107" t="str">
        <f t="shared" si="9"/>
        <v/>
      </c>
      <c r="J94" s="106" t="s">
        <v>180</v>
      </c>
      <c r="K94" s="122" t="e">
        <f>VLOOKUP(B94,正厂竞争者数据汇总!D:H,11,FALSE)</f>
        <v>#N/A</v>
      </c>
      <c r="L94" s="88" t="str">
        <f>IFERROR(VLOOKUP(B94,'Competitive Matrix'!$B$4:$D$22,2,FALSE),"")</f>
        <v>L:74% N:17% D:89% 有销售:84%</v>
      </c>
      <c r="M94" s="88" t="s">
        <v>6203</v>
      </c>
      <c r="N94" s="88">
        <v>934</v>
      </c>
      <c r="O94" s="88"/>
      <c r="P94" s="126"/>
      <c r="Q94" s="88"/>
      <c r="R94" s="88"/>
      <c r="S94" s="88"/>
      <c r="T94" s="88"/>
      <c r="U94" s="88"/>
      <c r="V94" s="88"/>
    </row>
    <row r="95" ht="24.6" customHeight="1" spans="1:16">
      <c r="A95" s="89" t="s">
        <v>230</v>
      </c>
      <c r="B95" s="108" t="s">
        <v>573</v>
      </c>
      <c r="C95" s="89" t="s">
        <v>233</v>
      </c>
      <c r="D95" s="89" t="s">
        <v>423</v>
      </c>
      <c r="E95" s="91">
        <v>0</v>
      </c>
      <c r="F95" s="91">
        <v>104807.166666667</v>
      </c>
      <c r="G95" s="109">
        <f t="shared" si="10"/>
        <v>0.236241152363246</v>
      </c>
      <c r="H95" s="109">
        <v>0.234225263057822</v>
      </c>
      <c r="I95" s="109" t="str">
        <f t="shared" si="9"/>
        <v/>
      </c>
      <c r="J95" s="91" t="s">
        <v>180</v>
      </c>
      <c r="K95" s="118" t="e">
        <f>VLOOKUP(B95,正厂竞争者数据汇总!D:H,11,FALSE)</f>
        <v>#N/A</v>
      </c>
      <c r="L95" s="89" t="s">
        <v>180</v>
      </c>
      <c r="M95" s="89" t="s">
        <v>180</v>
      </c>
      <c r="N95" s="89">
        <v>1000</v>
      </c>
      <c r="O95" s="124"/>
      <c r="P95" s="125"/>
    </row>
    <row r="96" spans="1:14">
      <c r="A96" s="89" t="s">
        <v>1992</v>
      </c>
      <c r="B96" s="89" t="s">
        <v>4454</v>
      </c>
      <c r="C96" s="89" t="s">
        <v>233</v>
      </c>
      <c r="D96" s="89" t="s">
        <v>424</v>
      </c>
      <c r="E96" s="91">
        <v>0</v>
      </c>
      <c r="F96" s="91">
        <v>49113.75</v>
      </c>
      <c r="G96" s="109">
        <f t="shared" si="10"/>
        <v>0.110705109830724</v>
      </c>
      <c r="H96" s="109">
        <v>0.08141908596074</v>
      </c>
      <c r="I96" s="109" t="str">
        <f t="shared" si="9"/>
        <v/>
      </c>
      <c r="J96" s="91" t="s">
        <v>180</v>
      </c>
      <c r="K96" s="118" t="e">
        <f>VLOOKUP(B96,正厂竞争者数据汇总!D:H,11,FALSE)</f>
        <v>#N/A</v>
      </c>
      <c r="L96" s="89" t="s">
        <v>180</v>
      </c>
      <c r="M96" s="89" t="s">
        <v>180</v>
      </c>
      <c r="N96" s="89">
        <v>747</v>
      </c>
    </row>
    <row r="97" s="88" customFormat="1" spans="1:22">
      <c r="A97" s="89" t="s">
        <v>230</v>
      </c>
      <c r="B97" s="108" t="s">
        <v>5231</v>
      </c>
      <c r="C97" s="89" t="s">
        <v>233</v>
      </c>
      <c r="D97" s="89" t="s">
        <v>50</v>
      </c>
      <c r="E97" s="91">
        <v>0</v>
      </c>
      <c r="F97" s="91">
        <v>3192</v>
      </c>
      <c r="G97" s="109">
        <f t="shared" si="10"/>
        <v>0.00719494460471196</v>
      </c>
      <c r="H97" s="109">
        <v>0.0084563379565918</v>
      </c>
      <c r="I97" s="109">
        <f t="shared" si="9"/>
        <v>0.15</v>
      </c>
      <c r="J97" s="91">
        <v>957.6</v>
      </c>
      <c r="K97" s="118" t="e">
        <f>VLOOKUP(B97,正厂竞争者数据汇总!D:H,11,FALSE)</f>
        <v>#N/A</v>
      </c>
      <c r="L97" s="89" t="s">
        <v>180</v>
      </c>
      <c r="M97" s="89" t="s">
        <v>180</v>
      </c>
      <c r="N97" s="89">
        <v>848</v>
      </c>
      <c r="O97" s="126"/>
      <c r="P97" s="95"/>
      <c r="Q97" s="89"/>
      <c r="R97" s="89"/>
      <c r="S97" s="89"/>
      <c r="T97" s="89"/>
      <c r="U97" s="89"/>
      <c r="V97" s="89"/>
    </row>
    <row r="98" spans="1:15">
      <c r="A98" s="89" t="s">
        <v>391</v>
      </c>
      <c r="B98" s="89" t="s">
        <v>297</v>
      </c>
      <c r="C98" s="89" t="s">
        <v>441</v>
      </c>
      <c r="D98" s="89" t="s">
        <v>421</v>
      </c>
      <c r="E98" s="91">
        <v>0</v>
      </c>
      <c r="F98" s="91">
        <v>42540.6666666667</v>
      </c>
      <c r="G98" s="109">
        <f t="shared" si="10"/>
        <v>0.0958890163264986</v>
      </c>
      <c r="H98" s="109">
        <v>0.0806791618141721</v>
      </c>
      <c r="I98" s="109" t="str">
        <f t="shared" si="9"/>
        <v/>
      </c>
      <c r="J98" s="91" t="s">
        <v>180</v>
      </c>
      <c r="K98" s="118" t="e">
        <f>VLOOKUP(B98,正厂竞争者数据汇总!D:H,11,FALSE)</f>
        <v>#REF!</v>
      </c>
      <c r="L98" s="89" t="s">
        <v>180</v>
      </c>
      <c r="M98" s="89" t="s">
        <v>180</v>
      </c>
      <c r="N98" s="89">
        <v>132</v>
      </c>
      <c r="O98" s="126"/>
    </row>
    <row r="99" spans="1:15">
      <c r="A99" s="89" t="s">
        <v>230</v>
      </c>
      <c r="B99" s="89" t="s">
        <v>4480</v>
      </c>
      <c r="C99" s="89" t="s">
        <v>233</v>
      </c>
      <c r="D99" s="89" t="s">
        <v>371</v>
      </c>
      <c r="E99" s="91">
        <v>0</v>
      </c>
      <c r="F99" s="91">
        <v>7876.25</v>
      </c>
      <c r="G99" s="109">
        <f t="shared" si="10"/>
        <v>0.0177535032715735</v>
      </c>
      <c r="H99" s="109">
        <v>0.0292545188135342</v>
      </c>
      <c r="I99" s="109" t="str">
        <f t="shared" si="9"/>
        <v/>
      </c>
      <c r="J99" s="91" t="s">
        <v>180</v>
      </c>
      <c r="K99" s="118" t="e">
        <f>VLOOKUP(B99,正厂竞争者数据汇总!D:H,11,FALSE)</f>
        <v>#N/A</v>
      </c>
      <c r="L99" s="89" t="s">
        <v>180</v>
      </c>
      <c r="M99" s="89" t="s">
        <v>180</v>
      </c>
      <c r="N99" s="89">
        <v>169</v>
      </c>
      <c r="O99" s="138"/>
    </row>
    <row r="100" spans="6:11">
      <c r="F100" s="91">
        <v>443644.833333333</v>
      </c>
      <c r="I100" s="109">
        <f>SUM(I93:I98)</f>
        <v>6.57928806390977</v>
      </c>
      <c r="K100" s="95"/>
    </row>
    <row r="101" spans="5:10">
      <c r="E101" s="91"/>
      <c r="F101" s="109"/>
      <c r="G101" s="109"/>
      <c r="H101" s="109"/>
      <c r="I101" s="109"/>
      <c r="J101" s="109"/>
    </row>
    <row r="102" spans="3:9">
      <c r="C102" s="89"/>
      <c r="E102" s="91"/>
      <c r="G102" s="109"/>
      <c r="H102" s="109"/>
      <c r="I102" s="109"/>
    </row>
    <row r="103" spans="3:9">
      <c r="C103" s="89"/>
      <c r="E103" s="91"/>
      <c r="G103" s="109"/>
      <c r="H103" s="109"/>
      <c r="I103" s="109"/>
    </row>
    <row r="104" spans="3:10">
      <c r="C104" s="89"/>
      <c r="E104" s="91"/>
      <c r="F104" s="109"/>
      <c r="G104" s="109"/>
      <c r="H104" s="109"/>
      <c r="I104" s="109"/>
      <c r="J104" s="109"/>
    </row>
    <row r="105" ht="14.4" customHeight="1" spans="1:22">
      <c r="A105" s="96" t="s">
        <v>174</v>
      </c>
      <c r="B105" s="97"/>
      <c r="C105" s="98"/>
      <c r="E105" s="99" t="s">
        <v>2</v>
      </c>
      <c r="F105" s="100"/>
      <c r="G105" s="100"/>
      <c r="H105" s="100"/>
      <c r="I105" s="115"/>
      <c r="J105" s="100"/>
      <c r="K105" s="95"/>
      <c r="L105" s="102"/>
      <c r="M105" s="102"/>
      <c r="O105" s="128"/>
      <c r="P105" s="128"/>
      <c r="Q105" s="128"/>
      <c r="R105" s="132"/>
      <c r="S105" s="116"/>
      <c r="T105" s="128"/>
      <c r="U105" s="128"/>
      <c r="V105" s="132"/>
    </row>
    <row r="106" ht="46.8" spans="1:22">
      <c r="A106" s="101" t="s">
        <v>3944</v>
      </c>
      <c r="B106" s="102" t="s">
        <v>207</v>
      </c>
      <c r="C106" s="101" t="s">
        <v>447</v>
      </c>
      <c r="E106" s="101" t="s">
        <v>210</v>
      </c>
      <c r="F106" s="103" t="s">
        <v>6086</v>
      </c>
      <c r="G106" s="104" t="s">
        <v>6207</v>
      </c>
      <c r="H106" s="104" t="s">
        <v>6208</v>
      </c>
      <c r="I106" s="117" t="s">
        <v>6196</v>
      </c>
      <c r="J106" s="91" t="s">
        <v>6197</v>
      </c>
      <c r="K106" s="118" t="s">
        <v>0</v>
      </c>
      <c r="L106" s="119" t="s">
        <v>6091</v>
      </c>
      <c r="M106" s="119" t="s">
        <v>6092</v>
      </c>
      <c r="N106" s="120" t="s">
        <v>6198</v>
      </c>
      <c r="O106" s="119" t="s">
        <v>225</v>
      </c>
      <c r="P106" s="120" t="s">
        <v>226</v>
      </c>
      <c r="Q106" s="119"/>
      <c r="R106" s="119"/>
      <c r="S106" s="119"/>
      <c r="T106" s="119"/>
      <c r="U106" s="119"/>
      <c r="V106" s="119"/>
    </row>
    <row r="107" spans="1:14">
      <c r="A107" s="89" t="s">
        <v>672</v>
      </c>
      <c r="B107" s="108" t="s">
        <v>526</v>
      </c>
      <c r="C107" s="89" t="s">
        <v>441</v>
      </c>
      <c r="D107" s="89" t="s">
        <v>234</v>
      </c>
      <c r="E107" s="91">
        <v>6238</v>
      </c>
      <c r="F107" s="91">
        <v>223152.416666667</v>
      </c>
      <c r="I107" s="109" t="str">
        <f t="shared" ref="I107:I113" si="11">IFERROR(J107*0.5/$F$108,"")</f>
        <v/>
      </c>
      <c r="J107" s="91" t="s">
        <v>180</v>
      </c>
      <c r="K107" s="118" t="e">
        <f>VLOOKUP(B107,正厂竞争者数据汇总!D:H,11,FALSE)</f>
        <v>#REF!</v>
      </c>
      <c r="L107" s="89" t="s">
        <v>180</v>
      </c>
      <c r="M107" s="89" t="s">
        <v>180</v>
      </c>
      <c r="N107" s="89" t="s">
        <v>5419</v>
      </c>
    </row>
    <row r="108" s="88" customFormat="1" ht="14.4" spans="1:16">
      <c r="A108" s="88" t="s">
        <v>227</v>
      </c>
      <c r="B108" s="88" t="s">
        <v>588</v>
      </c>
      <c r="C108" s="88" t="s">
        <v>441</v>
      </c>
      <c r="D108" s="88" t="s">
        <v>234</v>
      </c>
      <c r="E108" s="106">
        <v>325311</v>
      </c>
      <c r="F108" s="106">
        <v>153568.583333333</v>
      </c>
      <c r="G108" s="107">
        <f t="shared" ref="G108:G113" si="12">F108/F$114</f>
        <v>0.497434309690292</v>
      </c>
      <c r="H108" s="107">
        <v>0.46781415920362</v>
      </c>
      <c r="I108" s="107" t="str">
        <f t="shared" si="11"/>
        <v/>
      </c>
      <c r="J108" s="106" t="s">
        <v>180</v>
      </c>
      <c r="K108" s="122" t="e">
        <f>VLOOKUP(B108,正厂竞争者数据汇总!D:H,11,FALSE)</f>
        <v>#N/A</v>
      </c>
      <c r="L108" s="88" t="str">
        <f>IFERROR(VLOOKUP(B108,'Competitive Matrix'!$B$4:$D$22,2,FALSE),"")</f>
        <v>L:70% N:33% D:52% 有销售:72%</v>
      </c>
      <c r="M108" s="88" t="s">
        <v>6113</v>
      </c>
      <c r="N108" s="88">
        <v>956</v>
      </c>
      <c r="O108" s="126"/>
      <c r="P108" s="125"/>
    </row>
    <row r="109" spans="1:14">
      <c r="A109" s="89" t="s">
        <v>230</v>
      </c>
      <c r="B109" s="108" t="s">
        <v>592</v>
      </c>
      <c r="C109" s="89" t="s">
        <v>441</v>
      </c>
      <c r="D109" s="89" t="s">
        <v>266</v>
      </c>
      <c r="E109" s="91">
        <v>427242</v>
      </c>
      <c r="F109" s="154">
        <v>54331.3333333333</v>
      </c>
      <c r="G109" s="109">
        <f t="shared" si="12"/>
        <v>0.175988269896044</v>
      </c>
      <c r="H109" s="109">
        <v>0.231571028882762</v>
      </c>
      <c r="I109" s="109" t="str">
        <f t="shared" si="11"/>
        <v/>
      </c>
      <c r="J109" s="91" t="s">
        <v>180</v>
      </c>
      <c r="K109" s="118" t="e">
        <f>VLOOKUP(B109,正厂竞争者数据汇总!D:H,11,FALSE)</f>
        <v>#N/A</v>
      </c>
      <c r="L109" s="89" t="s">
        <v>180</v>
      </c>
      <c r="M109" s="89" t="s">
        <v>180</v>
      </c>
      <c r="N109" s="89">
        <v>341</v>
      </c>
    </row>
    <row r="110" ht="14.4" spans="1:16">
      <c r="A110" s="89" t="s">
        <v>230</v>
      </c>
      <c r="B110" s="90" t="s">
        <v>589</v>
      </c>
      <c r="C110" s="89" t="s">
        <v>441</v>
      </c>
      <c r="D110" s="89" t="s">
        <v>58</v>
      </c>
      <c r="E110" s="91">
        <v>345760</v>
      </c>
      <c r="F110" s="154">
        <v>60700.5833333333</v>
      </c>
      <c r="G110" s="109">
        <f t="shared" si="12"/>
        <v>0.196619335236524</v>
      </c>
      <c r="H110" s="109">
        <v>0.156315219061098</v>
      </c>
      <c r="I110" s="109">
        <f t="shared" si="11"/>
        <v>0.0592900403348559</v>
      </c>
      <c r="J110" s="91">
        <v>18210.175</v>
      </c>
      <c r="K110" s="118" t="e">
        <f>VLOOKUP(B110,正厂竞争者数据汇总!D:H,11,FALSE)</f>
        <v>#N/A</v>
      </c>
      <c r="L110" s="89" t="s">
        <v>180</v>
      </c>
      <c r="M110" s="89" t="s">
        <v>180</v>
      </c>
      <c r="N110" s="89">
        <v>293</v>
      </c>
      <c r="O110" s="124" t="s">
        <v>4505</v>
      </c>
      <c r="P110" s="125"/>
    </row>
    <row r="111" spans="1:14">
      <c r="A111" s="89" t="s">
        <v>230</v>
      </c>
      <c r="B111" s="90" t="s">
        <v>591</v>
      </c>
      <c r="C111" s="89" t="s">
        <v>441</v>
      </c>
      <c r="D111" s="89" t="s">
        <v>414</v>
      </c>
      <c r="E111" s="91">
        <v>2240207</v>
      </c>
      <c r="F111" s="154">
        <v>10521.3333333333</v>
      </c>
      <c r="G111" s="109">
        <f t="shared" si="12"/>
        <v>0.0340803572585416</v>
      </c>
      <c r="H111" s="109">
        <v>0.0223003065083617</v>
      </c>
      <c r="I111" s="109" t="str">
        <f t="shared" si="11"/>
        <v/>
      </c>
      <c r="J111" s="91" t="s">
        <v>180</v>
      </c>
      <c r="K111" s="118" t="e">
        <f>VLOOKUP(B111,正厂竞争者数据汇总!D:H,11,FALSE)</f>
        <v>#N/A</v>
      </c>
      <c r="L111" s="89" t="s">
        <v>180</v>
      </c>
      <c r="M111" s="89" t="s">
        <v>180</v>
      </c>
      <c r="N111" s="89">
        <v>84</v>
      </c>
    </row>
    <row r="112" spans="1:14">
      <c r="A112" s="89" t="s">
        <v>238</v>
      </c>
      <c r="B112" s="108" t="s">
        <v>322</v>
      </c>
      <c r="C112" s="89" t="s">
        <v>441</v>
      </c>
      <c r="D112" s="89" t="s">
        <v>250</v>
      </c>
      <c r="E112" s="91">
        <v>284511</v>
      </c>
      <c r="F112" s="154">
        <v>20998.8333333333</v>
      </c>
      <c r="G112" s="109">
        <f t="shared" si="12"/>
        <v>0.0680187310238791</v>
      </c>
      <c r="H112" s="109">
        <v>0.0883155273677105</v>
      </c>
      <c r="I112" s="109" t="str">
        <f t="shared" si="11"/>
        <v/>
      </c>
      <c r="J112" s="91" t="s">
        <v>180</v>
      </c>
      <c r="K112" s="118" t="e">
        <f>VLOOKUP(B112,正厂竞争者数据汇总!D:H,11,FALSE)</f>
        <v>#REF!</v>
      </c>
      <c r="L112" s="89" t="s">
        <v>180</v>
      </c>
      <c r="M112" s="89" t="s">
        <v>180</v>
      </c>
      <c r="N112" s="89">
        <v>390</v>
      </c>
    </row>
    <row r="113" spans="1:14">
      <c r="A113" s="89" t="s">
        <v>230</v>
      </c>
      <c r="B113" s="108" t="s">
        <v>5192</v>
      </c>
      <c r="C113" s="89">
        <v>0</v>
      </c>
      <c r="D113" s="89" t="s">
        <v>420</v>
      </c>
      <c r="E113" s="91">
        <v>2886095</v>
      </c>
      <c r="F113" s="154">
        <v>8600.66666666667</v>
      </c>
      <c r="G113" s="109">
        <f t="shared" si="12"/>
        <v>0.0278589968947185</v>
      </c>
      <c r="H113" s="109">
        <v>0.0336837589764478</v>
      </c>
      <c r="I113" s="109" t="str">
        <f t="shared" si="11"/>
        <v/>
      </c>
      <c r="J113" s="91" t="s">
        <v>180</v>
      </c>
      <c r="K113" s="118" t="e">
        <f>VLOOKUP(B113,正厂竞争者数据汇总!D:H,11,FALSE)</f>
        <v>#N/A</v>
      </c>
      <c r="L113" s="89" t="s">
        <v>180</v>
      </c>
      <c r="M113" s="89" t="s">
        <v>180</v>
      </c>
      <c r="N113" s="89">
        <v>160</v>
      </c>
    </row>
    <row r="114" spans="6:13">
      <c r="F114" s="91">
        <v>308721.333333333</v>
      </c>
      <c r="I114" s="109">
        <f>SUM(I107:I113)</f>
        <v>0.0592900403348559</v>
      </c>
      <c r="K114" s="118"/>
      <c r="L114" s="89" t="s">
        <v>180</v>
      </c>
      <c r="M114" s="89" t="s">
        <v>180</v>
      </c>
    </row>
    <row r="115" spans="5:11">
      <c r="E115" s="91"/>
      <c r="K115" s="95"/>
    </row>
    <row r="116" ht="14.4" customHeight="1" spans="1:22">
      <c r="A116" s="96" t="s">
        <v>168</v>
      </c>
      <c r="B116" s="96"/>
      <c r="C116" s="98"/>
      <c r="E116" s="99" t="s">
        <v>2</v>
      </c>
      <c r="F116" s="100"/>
      <c r="G116" s="100"/>
      <c r="H116" s="100"/>
      <c r="I116" s="115"/>
      <c r="J116" s="100"/>
      <c r="L116" s="102"/>
      <c r="M116" s="102"/>
      <c r="O116" s="128"/>
      <c r="P116" s="128"/>
      <c r="Q116" s="128"/>
      <c r="R116" s="132"/>
      <c r="S116" s="116"/>
      <c r="T116" s="128"/>
      <c r="U116" s="128"/>
      <c r="V116" s="132"/>
    </row>
    <row r="117" ht="46.8" spans="1:22">
      <c r="A117" s="101" t="s">
        <v>3944</v>
      </c>
      <c r="B117" s="102" t="s">
        <v>207</v>
      </c>
      <c r="C117" s="101" t="s">
        <v>447</v>
      </c>
      <c r="D117" s="89" t="s">
        <v>209</v>
      </c>
      <c r="E117" s="101" t="s">
        <v>210</v>
      </c>
      <c r="F117" s="103" t="s">
        <v>6086</v>
      </c>
      <c r="G117" s="104" t="s">
        <v>6207</v>
      </c>
      <c r="H117" s="104" t="s">
        <v>6208</v>
      </c>
      <c r="I117" s="117" t="s">
        <v>6196</v>
      </c>
      <c r="J117" s="91" t="s">
        <v>6197</v>
      </c>
      <c r="K117" s="118" t="s">
        <v>0</v>
      </c>
      <c r="L117" s="119" t="s">
        <v>6091</v>
      </c>
      <c r="M117" s="119" t="s">
        <v>6092</v>
      </c>
      <c r="N117" s="120" t="s">
        <v>6198</v>
      </c>
      <c r="O117" s="119" t="s">
        <v>225</v>
      </c>
      <c r="P117" s="120" t="s">
        <v>226</v>
      </c>
      <c r="Q117" s="119"/>
      <c r="R117" s="119"/>
      <c r="S117" s="119"/>
      <c r="T117" s="119"/>
      <c r="U117" s="119"/>
      <c r="V117" s="119"/>
    </row>
    <row r="118" s="88" customFormat="1" ht="14.4" spans="1:16">
      <c r="A118" s="88" t="s">
        <v>227</v>
      </c>
      <c r="B118" s="136" t="s">
        <v>593</v>
      </c>
      <c r="C118" s="88" t="s">
        <v>441</v>
      </c>
      <c r="D118" s="88" t="s">
        <v>234</v>
      </c>
      <c r="E118" s="106">
        <v>0</v>
      </c>
      <c r="F118" s="106">
        <v>169829.583333333</v>
      </c>
      <c r="G118" s="107">
        <f>F118/F$122</f>
        <v>0.818230070659218</v>
      </c>
      <c r="H118" s="107">
        <v>0.779542181903221</v>
      </c>
      <c r="I118" s="107" t="str">
        <f>IFERROR(J118*0.5/$F$118,"")</f>
        <v/>
      </c>
      <c r="J118" s="106" t="s">
        <v>180</v>
      </c>
      <c r="K118" s="122" t="e">
        <f>VLOOKUP(B118,正厂竞争者数据汇总!D:H,11,FALSE)</f>
        <v>#N/A</v>
      </c>
      <c r="L118" s="88" t="str">
        <f>IFERROR(VLOOKUP(B118,'Competitive Matrix'!$B$4:$D$22,2,FALSE),"")</f>
        <v>L:86% N:59% D:87% 有销售:92%</v>
      </c>
      <c r="M118" s="88" t="s">
        <v>6105</v>
      </c>
      <c r="N118" s="88">
        <v>1200</v>
      </c>
      <c r="O118" s="125"/>
      <c r="P118" s="125"/>
    </row>
    <row r="119" spans="1:14">
      <c r="A119" s="89" t="s">
        <v>391</v>
      </c>
      <c r="B119" s="137" t="s">
        <v>595</v>
      </c>
      <c r="C119" s="89" t="s">
        <v>441</v>
      </c>
      <c r="D119" s="89" t="s">
        <v>420</v>
      </c>
      <c r="E119" s="91">
        <v>0</v>
      </c>
      <c r="F119" s="154">
        <v>6489.83333333333</v>
      </c>
      <c r="G119" s="109">
        <f>F119/F$122</f>
        <v>0.0312676783554096</v>
      </c>
      <c r="H119" s="109">
        <v>0.042290440591123</v>
      </c>
      <c r="I119" s="109" t="str">
        <f>IFERROR(J119*0.5/$F$118,"")</f>
        <v/>
      </c>
      <c r="J119" s="91" t="s">
        <v>180</v>
      </c>
      <c r="K119" s="118" t="e">
        <f>VLOOKUP(B119,正厂竞争者数据汇总!D:H,11,FALSE)</f>
        <v>#N/A</v>
      </c>
      <c r="L119" s="89" t="s">
        <v>180</v>
      </c>
      <c r="M119" s="89" t="s">
        <v>180</v>
      </c>
      <c r="N119" s="89">
        <v>758</v>
      </c>
    </row>
    <row r="120" ht="14.4" spans="1:16">
      <c r="A120" s="89" t="s">
        <v>305</v>
      </c>
      <c r="B120" s="114" t="s">
        <v>594</v>
      </c>
      <c r="C120" s="89" t="s">
        <v>233</v>
      </c>
      <c r="D120" s="89" t="s">
        <v>49</v>
      </c>
      <c r="E120" s="91">
        <v>0</v>
      </c>
      <c r="F120" s="154">
        <v>18634.1666666667</v>
      </c>
      <c r="G120" s="109">
        <f>F120/F$122</f>
        <v>0.089778442654577</v>
      </c>
      <c r="H120" s="109">
        <v>0.105582583638182</v>
      </c>
      <c r="I120" s="109">
        <f>IFERROR(J120*0.5/$F$118,"")</f>
        <v>0.00822920525723095</v>
      </c>
      <c r="J120" s="91">
        <v>2795.12500000001</v>
      </c>
      <c r="K120" s="118" t="e">
        <f>VLOOKUP(B120,正厂竞争者数据汇总!D:H,11,FALSE)</f>
        <v>#N/A</v>
      </c>
      <c r="L120" s="89" t="s">
        <v>180</v>
      </c>
      <c r="M120" s="89" t="s">
        <v>180</v>
      </c>
      <c r="N120" s="89">
        <v>226</v>
      </c>
      <c r="O120" s="126"/>
      <c r="P120" s="124"/>
    </row>
    <row r="121" spans="1:14">
      <c r="A121" s="89" t="s">
        <v>446</v>
      </c>
      <c r="B121" s="114" t="s">
        <v>5115</v>
      </c>
      <c r="C121" s="89" t="s">
        <v>233</v>
      </c>
      <c r="D121" s="89" t="s">
        <v>302</v>
      </c>
      <c r="E121" s="91">
        <v>0</v>
      </c>
      <c r="F121" s="154">
        <v>12603.6666666667</v>
      </c>
      <c r="G121" s="109">
        <f>F121/F$122</f>
        <v>0.060723808330794</v>
      </c>
      <c r="H121" s="109">
        <v>0.0725847938674745</v>
      </c>
      <c r="I121" s="109" t="str">
        <f>IFERROR(J121*0.5/$F$118,"")</f>
        <v/>
      </c>
      <c r="J121" s="91" t="s">
        <v>180</v>
      </c>
      <c r="K121" s="118" t="e">
        <f>VLOOKUP(B121,正厂竞争者数据汇总!D:H,11,FALSE)</f>
        <v>#N/A</v>
      </c>
      <c r="L121" s="89" t="s">
        <v>180</v>
      </c>
      <c r="M121" s="89" t="s">
        <v>180</v>
      </c>
      <c r="N121" s="89">
        <v>231</v>
      </c>
    </row>
    <row r="122" spans="5:11">
      <c r="E122" s="91"/>
      <c r="F122" s="91">
        <v>207557.25</v>
      </c>
      <c r="I122" s="109">
        <f>SUM(I118:I121)</f>
        <v>0.00822920525723095</v>
      </c>
      <c r="K122" s="95"/>
    </row>
    <row r="123" spans="5:11">
      <c r="E123" s="91"/>
      <c r="F123" s="109"/>
      <c r="G123" s="109"/>
      <c r="H123" s="109"/>
      <c r="I123" s="109"/>
      <c r="J123" s="109"/>
      <c r="K123" s="95"/>
    </row>
    <row r="124" ht="14.4" customHeight="1" spans="1:22">
      <c r="A124" s="96" t="s">
        <v>162</v>
      </c>
      <c r="B124" s="97"/>
      <c r="C124" s="98"/>
      <c r="E124" s="99" t="s">
        <v>2</v>
      </c>
      <c r="F124" s="100"/>
      <c r="G124" s="100"/>
      <c r="H124" s="100"/>
      <c r="I124" s="115"/>
      <c r="J124" s="100"/>
      <c r="L124" s="102"/>
      <c r="M124" s="102"/>
      <c r="O124" s="128"/>
      <c r="P124" s="128"/>
      <c r="Q124" s="128"/>
      <c r="R124" s="132"/>
      <c r="S124" s="116"/>
      <c r="T124" s="128"/>
      <c r="U124" s="128"/>
      <c r="V124" s="132"/>
    </row>
    <row r="125" ht="46.8" spans="1:22">
      <c r="A125" s="101" t="s">
        <v>3944</v>
      </c>
      <c r="B125" s="102" t="s">
        <v>207</v>
      </c>
      <c r="C125" s="101" t="s">
        <v>447</v>
      </c>
      <c r="D125" s="89" t="s">
        <v>209</v>
      </c>
      <c r="E125" s="101" t="s">
        <v>210</v>
      </c>
      <c r="F125" s="103" t="s">
        <v>6086</v>
      </c>
      <c r="G125" s="104" t="s">
        <v>6207</v>
      </c>
      <c r="H125" s="104" t="s">
        <v>6208</v>
      </c>
      <c r="I125" s="117" t="s">
        <v>6196</v>
      </c>
      <c r="J125" s="91" t="s">
        <v>6197</v>
      </c>
      <c r="K125" s="118" t="s">
        <v>0</v>
      </c>
      <c r="L125" s="119" t="s">
        <v>6091</v>
      </c>
      <c r="M125" s="119" t="s">
        <v>6092</v>
      </c>
      <c r="N125" s="120" t="s">
        <v>6198</v>
      </c>
      <c r="O125" s="119" t="s">
        <v>225</v>
      </c>
      <c r="P125" s="120" t="s">
        <v>226</v>
      </c>
      <c r="Q125" s="119"/>
      <c r="R125" s="119"/>
      <c r="S125" s="119"/>
      <c r="T125" s="119"/>
      <c r="U125" s="119"/>
      <c r="V125" s="119"/>
    </row>
    <row r="126" s="88" customFormat="1" ht="14.4" spans="1:16">
      <c r="A126" s="88" t="s">
        <v>227</v>
      </c>
      <c r="B126" s="88" t="s">
        <v>584</v>
      </c>
      <c r="C126" s="88" t="s">
        <v>441</v>
      </c>
      <c r="D126" s="88" t="s">
        <v>234</v>
      </c>
      <c r="E126" s="106">
        <v>0</v>
      </c>
      <c r="F126" s="106">
        <v>215205.25</v>
      </c>
      <c r="G126" s="107">
        <f>F126/F$130</f>
        <v>0.781184452921052</v>
      </c>
      <c r="H126" s="107">
        <v>0.757279802647395</v>
      </c>
      <c r="I126" s="107" t="str">
        <f>IFERROR(J126*0.5/$F$126,"")</f>
        <v/>
      </c>
      <c r="J126" s="106" t="s">
        <v>180</v>
      </c>
      <c r="K126" s="122" t="e">
        <f>VLOOKUP(B126,正厂竞争者数据汇总!D:H,11,FALSE)</f>
        <v>#N/A</v>
      </c>
      <c r="L126" s="88" t="str">
        <f>IFERROR(VLOOKUP(B126,'Competitive Matrix'!$B$4:$D$22,2,FALSE),"")</f>
        <v>L:64% N:23% D:82% 有销售:80%</v>
      </c>
      <c r="M126" s="88" t="s">
        <v>6155</v>
      </c>
      <c r="N126" s="88">
        <v>1100</v>
      </c>
      <c r="O126" s="126"/>
      <c r="P126" s="125"/>
    </row>
    <row r="127" spans="1:14">
      <c r="A127" s="89" t="s">
        <v>243</v>
      </c>
      <c r="B127" s="89" t="s">
        <v>4562</v>
      </c>
      <c r="C127" s="89" t="s">
        <v>441</v>
      </c>
      <c r="D127" s="89" t="s">
        <v>417</v>
      </c>
      <c r="E127" s="91">
        <v>0</v>
      </c>
      <c r="F127" s="91">
        <v>39177.9166666667</v>
      </c>
      <c r="G127" s="109">
        <f>F127/F$130</f>
        <v>0.142213906946213</v>
      </c>
      <c r="H127" s="109">
        <v>0.15292880561108</v>
      </c>
      <c r="I127" s="109" t="str">
        <f>IFERROR(J127*0.5/$F$126,"")</f>
        <v/>
      </c>
      <c r="J127" s="91" t="s">
        <v>180</v>
      </c>
      <c r="K127" s="118" t="e">
        <f>VLOOKUP(B127,正厂竞争者数据汇总!D:H,11,FALSE)</f>
        <v>#N/A</v>
      </c>
      <c r="L127" s="89" t="s">
        <v>180</v>
      </c>
      <c r="M127" s="89" t="s">
        <v>180</v>
      </c>
      <c r="N127" s="89">
        <v>651</v>
      </c>
    </row>
    <row r="128" spans="1:14">
      <c r="A128" s="89" t="s">
        <v>446</v>
      </c>
      <c r="B128" s="89" t="s">
        <v>4567</v>
      </c>
      <c r="C128" s="89" t="s">
        <v>233</v>
      </c>
      <c r="D128" s="89" t="s">
        <v>49</v>
      </c>
      <c r="E128" s="91">
        <v>0</v>
      </c>
      <c r="F128" s="91">
        <v>20339.6666666667</v>
      </c>
      <c r="G128" s="109">
        <f>F128/F$130</f>
        <v>0.0738319877307668</v>
      </c>
      <c r="H128" s="109">
        <v>0.0802422434547228</v>
      </c>
      <c r="I128" s="109">
        <f>IFERROR(J128*0.5/$F$126,"")</f>
        <v>0.00708846554626339</v>
      </c>
      <c r="J128" s="91">
        <v>3050.95</v>
      </c>
      <c r="K128" s="118" t="e">
        <f>VLOOKUP(B128,正厂竞争者数据汇总!D:H,11,FALSE)</f>
        <v>#N/A</v>
      </c>
      <c r="L128" s="89" t="s">
        <v>180</v>
      </c>
      <c r="M128" s="89" t="s">
        <v>180</v>
      </c>
      <c r="N128" s="89">
        <v>554</v>
      </c>
    </row>
    <row r="129" spans="1:14">
      <c r="A129" s="89" t="s">
        <v>367</v>
      </c>
      <c r="B129" s="89" t="s">
        <v>4568</v>
      </c>
      <c r="C129" s="89" t="s">
        <v>233</v>
      </c>
      <c r="D129" s="89" t="s">
        <v>49</v>
      </c>
      <c r="E129" s="91">
        <v>0</v>
      </c>
      <c r="F129" s="91">
        <v>763</v>
      </c>
      <c r="G129" s="109">
        <f>F129/F$130</f>
        <v>0.00276965240196865</v>
      </c>
      <c r="H129" s="109">
        <v>0.00954914828680197</v>
      </c>
      <c r="I129" s="109">
        <f>IFERROR(J129*0.5/$F$126,"")</f>
        <v>0.000265908940418507</v>
      </c>
      <c r="J129" s="91">
        <v>114.45</v>
      </c>
      <c r="K129" s="118" t="e">
        <f>VLOOKUP(B129,正厂竞争者数据汇总!D:H,11,FALSE)</f>
        <v>#N/A</v>
      </c>
      <c r="L129" s="89" t="s">
        <v>180</v>
      </c>
      <c r="M129" s="89" t="s">
        <v>180</v>
      </c>
      <c r="N129" s="89">
        <v>373</v>
      </c>
    </row>
    <row r="130" spans="6:11">
      <c r="F130" s="91">
        <v>275485.833333333</v>
      </c>
      <c r="I130" s="109">
        <f>SUM(I126:I129)</f>
        <v>0.0073543744866819</v>
      </c>
      <c r="K130" s="118"/>
    </row>
    <row r="131" spans="5:11">
      <c r="E131" s="91"/>
      <c r="F131" s="109"/>
      <c r="G131" s="109"/>
      <c r="H131" s="109"/>
      <c r="I131" s="109"/>
      <c r="J131" s="109"/>
      <c r="K131" s="95"/>
    </row>
    <row r="132" spans="3:11">
      <c r="C132" s="139"/>
      <c r="E132" s="91"/>
      <c r="F132" s="109"/>
      <c r="G132" s="109"/>
      <c r="H132" s="109"/>
      <c r="I132" s="109"/>
      <c r="J132" s="109"/>
      <c r="K132" s="95"/>
    </row>
    <row r="133" ht="14.4" customHeight="1" spans="1:22">
      <c r="A133" s="96" t="s">
        <v>177</v>
      </c>
      <c r="B133" s="97"/>
      <c r="C133" s="98"/>
      <c r="E133" s="99" t="s">
        <v>2</v>
      </c>
      <c r="F133" s="100"/>
      <c r="G133" s="100"/>
      <c r="H133" s="100"/>
      <c r="I133" s="115"/>
      <c r="J133" s="100"/>
      <c r="L133" s="102"/>
      <c r="M133" s="102"/>
      <c r="O133" s="128"/>
      <c r="P133" s="128"/>
      <c r="Q133" s="128"/>
      <c r="R133" s="132"/>
      <c r="S133" s="116"/>
      <c r="T133" s="128"/>
      <c r="U133" s="128"/>
      <c r="V133" s="132"/>
    </row>
    <row r="134" ht="46.8" spans="1:22">
      <c r="A134" s="101" t="s">
        <v>3944</v>
      </c>
      <c r="B134" s="102" t="s">
        <v>207</v>
      </c>
      <c r="C134" s="101" t="s">
        <v>447</v>
      </c>
      <c r="D134" s="89" t="s">
        <v>209</v>
      </c>
      <c r="E134" s="101" t="s">
        <v>210</v>
      </c>
      <c r="F134" s="103" t="s">
        <v>6086</v>
      </c>
      <c r="G134" s="104" t="s">
        <v>6207</v>
      </c>
      <c r="H134" s="104" t="s">
        <v>6208</v>
      </c>
      <c r="I134" s="117" t="s">
        <v>6196</v>
      </c>
      <c r="J134" s="91" t="s">
        <v>6197</v>
      </c>
      <c r="L134" s="119" t="s">
        <v>6091</v>
      </c>
      <c r="M134" s="119" t="s">
        <v>6092</v>
      </c>
      <c r="N134" s="120" t="s">
        <v>6198</v>
      </c>
      <c r="O134" s="120" t="s">
        <v>226</v>
      </c>
      <c r="P134" s="120" t="s">
        <v>226</v>
      </c>
      <c r="Q134" s="119"/>
      <c r="R134" s="119"/>
      <c r="S134" s="119"/>
      <c r="T134" s="119"/>
      <c r="U134" s="119"/>
      <c r="V134" s="119"/>
    </row>
    <row r="135" spans="1:14">
      <c r="A135" s="89" t="s">
        <v>4573</v>
      </c>
      <c r="B135" s="108" t="s">
        <v>605</v>
      </c>
      <c r="C135" s="89" t="s">
        <v>441</v>
      </c>
      <c r="D135" s="89" t="s">
        <v>234</v>
      </c>
      <c r="E135" s="91">
        <v>0</v>
      </c>
      <c r="F135" s="91">
        <v>28437.6666666667</v>
      </c>
      <c r="G135" s="109"/>
      <c r="H135" s="109"/>
      <c r="I135" s="109" t="str">
        <f t="shared" ref="I135:I140" si="13">IFERROR(J135*0.5/$F$135,"")</f>
        <v/>
      </c>
      <c r="J135" s="91" t="s">
        <v>180</v>
      </c>
      <c r="K135" s="118" t="e">
        <f>VLOOKUP(B135,正厂竞争者数据汇总!D:H,11,FALSE)</f>
        <v>#REF!</v>
      </c>
      <c r="L135" s="89" t="s">
        <v>180</v>
      </c>
      <c r="M135" s="89" t="s">
        <v>180</v>
      </c>
      <c r="N135" s="89" t="s">
        <v>5419</v>
      </c>
    </row>
    <row r="136" s="88" customFormat="1" spans="1:16">
      <c r="A136" s="88" t="s">
        <v>227</v>
      </c>
      <c r="B136" s="105" t="s">
        <v>598</v>
      </c>
      <c r="C136" s="88" t="s">
        <v>441</v>
      </c>
      <c r="D136" s="88" t="s">
        <v>234</v>
      </c>
      <c r="E136" s="106">
        <v>0</v>
      </c>
      <c r="F136" s="106">
        <v>73321.75</v>
      </c>
      <c r="G136" s="107">
        <f>F136/F$141</f>
        <v>0.659992933959526</v>
      </c>
      <c r="H136" s="107">
        <v>0.639977015466726</v>
      </c>
      <c r="I136" s="107" t="str">
        <f t="shared" si="13"/>
        <v/>
      </c>
      <c r="J136" s="106" t="s">
        <v>180</v>
      </c>
      <c r="K136" s="122" t="e">
        <f>VLOOKUP(B136,正厂竞争者数据汇总!D:H,11,FALSE)</f>
        <v>#N/A</v>
      </c>
      <c r="L136" s="88" t="str">
        <f>IFERROR(VLOOKUP(B136,'Competitive Matrix'!$B$4:$D$22,2,FALSE),"")</f>
        <v>L:74% N:44% D:100% 有销售:100%</v>
      </c>
      <c r="M136" s="88" t="s">
        <v>6134</v>
      </c>
      <c r="N136" s="88">
        <v>816</v>
      </c>
      <c r="O136" s="126"/>
      <c r="P136" s="126"/>
    </row>
    <row r="137" ht="14.4" spans="1:16">
      <c r="A137" s="89" t="s">
        <v>230</v>
      </c>
      <c r="B137" s="108" t="s">
        <v>599</v>
      </c>
      <c r="C137" s="89" t="s">
        <v>233</v>
      </c>
      <c r="D137" s="89" t="s">
        <v>58</v>
      </c>
      <c r="E137" s="91">
        <v>0</v>
      </c>
      <c r="F137" s="91">
        <v>14101.1666666667</v>
      </c>
      <c r="G137" s="109">
        <f>F137/F$141</f>
        <v>0.126929190323275</v>
      </c>
      <c r="H137" s="109">
        <v>0.142616004872515</v>
      </c>
      <c r="I137" s="109">
        <f t="shared" si="13"/>
        <v>0.0743793442968833</v>
      </c>
      <c r="J137" s="91">
        <v>4230.35000000001</v>
      </c>
      <c r="K137" s="118" t="e">
        <f>VLOOKUP(B137,正厂竞争者数据汇总!D:H,11,FALSE)</f>
        <v>#N/A</v>
      </c>
      <c r="L137" s="89" t="s">
        <v>180</v>
      </c>
      <c r="M137" s="89" t="s">
        <v>180</v>
      </c>
      <c r="N137" s="89">
        <v>113</v>
      </c>
      <c r="O137" s="126"/>
      <c r="P137" s="124"/>
    </row>
    <row r="138" spans="1:14">
      <c r="A138" s="89" t="s">
        <v>230</v>
      </c>
      <c r="B138" s="108" t="s">
        <v>602</v>
      </c>
      <c r="C138" s="89" t="s">
        <v>233</v>
      </c>
      <c r="D138" s="89" t="s">
        <v>420</v>
      </c>
      <c r="E138" s="91">
        <v>0</v>
      </c>
      <c r="F138" s="91">
        <v>9294.66666666667</v>
      </c>
      <c r="G138" s="109">
        <f>F138/F$141</f>
        <v>0.0836643195710569</v>
      </c>
      <c r="H138" s="109">
        <v>0.0894607568368053</v>
      </c>
      <c r="I138" s="109" t="str">
        <f t="shared" si="13"/>
        <v/>
      </c>
      <c r="J138" s="91" t="s">
        <v>180</v>
      </c>
      <c r="K138" s="118" t="e">
        <f>VLOOKUP(B138,正厂竞争者数据汇总!D:H,11,FALSE)</f>
        <v>#N/A</v>
      </c>
      <c r="L138" s="89" t="s">
        <v>180</v>
      </c>
      <c r="M138" s="89" t="s">
        <v>180</v>
      </c>
      <c r="N138" s="89">
        <v>80</v>
      </c>
    </row>
    <row r="139" spans="1:14">
      <c r="A139" s="89" t="s">
        <v>230</v>
      </c>
      <c r="B139" s="108" t="s">
        <v>4588</v>
      </c>
      <c r="C139" s="89" t="s">
        <v>233</v>
      </c>
      <c r="D139" s="89" t="s">
        <v>60</v>
      </c>
      <c r="E139" s="91">
        <v>0</v>
      </c>
      <c r="F139" s="91">
        <v>2247</v>
      </c>
      <c r="G139" s="109">
        <f>F139/F$141</f>
        <v>0.020225978275301</v>
      </c>
      <c r="H139" s="109">
        <v>0.0465202454465346</v>
      </c>
      <c r="I139" s="109">
        <f t="shared" si="13"/>
        <v>0.0118522382286404</v>
      </c>
      <c r="J139" s="91">
        <v>674.1</v>
      </c>
      <c r="K139" s="118" t="e">
        <f>VLOOKUP(B139,正厂竞争者数据汇总!D:H,11,FALSE)</f>
        <v>#N/A</v>
      </c>
      <c r="L139" s="89" t="s">
        <v>180</v>
      </c>
      <c r="M139" s="89" t="s">
        <v>180</v>
      </c>
      <c r="N139" s="89">
        <v>113</v>
      </c>
    </row>
    <row r="140" spans="1:15">
      <c r="A140" s="111" t="s">
        <v>468</v>
      </c>
      <c r="B140" s="108" t="s">
        <v>603</v>
      </c>
      <c r="C140" s="89" t="s">
        <v>233</v>
      </c>
      <c r="D140" s="89" t="s">
        <v>58</v>
      </c>
      <c r="E140" s="91">
        <v>0</v>
      </c>
      <c r="F140" s="91">
        <v>12130.1666666667</v>
      </c>
      <c r="G140" s="109">
        <f>F140/F$141</f>
        <v>0.109187577870842</v>
      </c>
      <c r="H140" s="109">
        <v>0.0814259773774188</v>
      </c>
      <c r="I140" s="109">
        <f t="shared" si="13"/>
        <v>0.0639829217118142</v>
      </c>
      <c r="J140" s="91">
        <v>3639.05000000001</v>
      </c>
      <c r="K140" s="118" t="e">
        <f>VLOOKUP(B140,正厂竞争者数据汇总!D:H,11,FALSE)</f>
        <v>#N/A</v>
      </c>
      <c r="L140" s="89" t="s">
        <v>180</v>
      </c>
      <c r="M140" s="89" t="s">
        <v>180</v>
      </c>
      <c r="N140" s="89">
        <v>924</v>
      </c>
      <c r="O140" s="126"/>
    </row>
    <row r="141" spans="5:12">
      <c r="E141" s="91"/>
      <c r="F141" s="91">
        <v>111094.75</v>
      </c>
      <c r="I141" s="109">
        <f>SUM(I135:I140)</f>
        <v>0.150214504237338</v>
      </c>
      <c r="K141" s="118"/>
      <c r="L141" s="95"/>
    </row>
    <row r="142" spans="5:12">
      <c r="E142" s="91"/>
      <c r="I142" s="109"/>
      <c r="K142" s="118"/>
      <c r="L142" s="95"/>
    </row>
    <row r="143" ht="14.4" customHeight="1" spans="1:22">
      <c r="A143" s="96" t="s">
        <v>171</v>
      </c>
      <c r="B143" s="97"/>
      <c r="C143" s="98"/>
      <c r="E143" s="99" t="s">
        <v>2</v>
      </c>
      <c r="F143" s="100"/>
      <c r="G143" s="100"/>
      <c r="H143" s="100"/>
      <c r="I143" s="100"/>
      <c r="J143" s="100"/>
      <c r="K143" s="95"/>
      <c r="L143" s="102"/>
      <c r="M143" s="102"/>
      <c r="O143" s="128"/>
      <c r="P143" s="128"/>
      <c r="Q143" s="128"/>
      <c r="R143" s="132"/>
      <c r="S143" s="116"/>
      <c r="T143" s="128"/>
      <c r="U143" s="128"/>
      <c r="V143" s="132"/>
    </row>
    <row r="144" ht="46.8" spans="1:22">
      <c r="A144" s="101" t="s">
        <v>3944</v>
      </c>
      <c r="B144" s="102" t="s">
        <v>207</v>
      </c>
      <c r="C144" s="101" t="s">
        <v>447</v>
      </c>
      <c r="D144" s="89" t="s">
        <v>209</v>
      </c>
      <c r="E144" s="101" t="s">
        <v>210</v>
      </c>
      <c r="F144" s="103" t="s">
        <v>6086</v>
      </c>
      <c r="G144" s="104" t="s">
        <v>6207</v>
      </c>
      <c r="H144" s="104" t="s">
        <v>6208</v>
      </c>
      <c r="K144" s="118" t="s">
        <v>0</v>
      </c>
      <c r="L144" s="119" t="s">
        <v>6091</v>
      </c>
      <c r="M144" s="119" t="s">
        <v>6092</v>
      </c>
      <c r="N144" s="120" t="s">
        <v>6198</v>
      </c>
      <c r="O144" s="119" t="s">
        <v>225</v>
      </c>
      <c r="P144" s="120" t="s">
        <v>226</v>
      </c>
      <c r="Q144" s="119"/>
      <c r="R144" s="119"/>
      <c r="S144" s="119"/>
      <c r="T144" s="119"/>
      <c r="U144" s="119"/>
      <c r="V144" s="119"/>
    </row>
    <row r="145" spans="1:14">
      <c r="A145" s="89" t="s">
        <v>230</v>
      </c>
      <c r="B145" s="108" t="s">
        <v>578</v>
      </c>
      <c r="C145" s="89" t="s">
        <v>233</v>
      </c>
      <c r="D145" s="89" t="s">
        <v>371</v>
      </c>
      <c r="E145" s="91">
        <v>0</v>
      </c>
      <c r="F145" s="91">
        <v>117481.916666667</v>
      </c>
      <c r="G145" s="109">
        <f>F145/F$153</f>
        <v>0.329112573591912</v>
      </c>
      <c r="H145" s="109">
        <v>0.313692315542981</v>
      </c>
      <c r="K145" s="118" t="e">
        <f>VLOOKUP(B145,正厂竞争者数据汇总!D:H,11,FALSE)</f>
        <v>#N/A</v>
      </c>
      <c r="L145" s="89" t="s">
        <v>180</v>
      </c>
      <c r="M145" s="89" t="s">
        <v>180</v>
      </c>
      <c r="N145" s="89">
        <v>558</v>
      </c>
    </row>
    <row r="146" spans="1:14">
      <c r="A146" s="89" t="s">
        <v>230</v>
      </c>
      <c r="B146" s="114" t="s">
        <v>311</v>
      </c>
      <c r="C146" s="89" t="s">
        <v>441</v>
      </c>
      <c r="D146" s="89" t="s">
        <v>420</v>
      </c>
      <c r="E146" s="91">
        <v>0</v>
      </c>
      <c r="F146" s="91">
        <v>41087.1666666667</v>
      </c>
      <c r="G146" s="109">
        <f t="shared" ref="G146:G152" si="14">F146/F$153</f>
        <v>0.115101145324633</v>
      </c>
      <c r="H146" s="109">
        <v>0.154739665133895</v>
      </c>
      <c r="K146" s="118" t="e">
        <f>VLOOKUP(B146,正厂竞争者数据汇总!D:H,11,FALSE)</f>
        <v>#REF!</v>
      </c>
      <c r="L146" s="89" t="s">
        <v>180</v>
      </c>
      <c r="M146" s="89" t="s">
        <v>180</v>
      </c>
      <c r="N146" s="89">
        <v>750</v>
      </c>
    </row>
    <row r="147" spans="1:14">
      <c r="A147" s="89" t="s">
        <v>243</v>
      </c>
      <c r="B147" s="108" t="s">
        <v>314</v>
      </c>
      <c r="C147" s="89" t="s">
        <v>441</v>
      </c>
      <c r="D147" s="89" t="s">
        <v>50</v>
      </c>
      <c r="E147" s="91">
        <v>0</v>
      </c>
      <c r="F147" s="91">
        <v>20921.1666666667</v>
      </c>
      <c r="G147" s="109">
        <f t="shared" si="14"/>
        <v>0.0586083305377804</v>
      </c>
      <c r="H147" s="109">
        <v>0.0779023524542295</v>
      </c>
      <c r="K147" s="118" t="e">
        <f>VLOOKUP(B147,正厂竞争者数据汇总!D:H,11,FALSE)</f>
        <v>#REF!</v>
      </c>
      <c r="L147" s="89" t="s">
        <v>180</v>
      </c>
      <c r="M147" s="89" t="s">
        <v>180</v>
      </c>
      <c r="N147" s="89">
        <v>482</v>
      </c>
    </row>
    <row r="148" spans="1:14">
      <c r="A148" s="89" t="s">
        <v>230</v>
      </c>
      <c r="B148" s="89" t="s">
        <v>4608</v>
      </c>
      <c r="C148" s="89" t="s">
        <v>233</v>
      </c>
      <c r="D148" s="89" t="s">
        <v>426</v>
      </c>
      <c r="E148" s="91">
        <v>0</v>
      </c>
      <c r="F148" s="91">
        <v>129707.5</v>
      </c>
      <c r="G148" s="109">
        <f t="shared" si="14"/>
        <v>0.363361190814525</v>
      </c>
      <c r="H148" s="109">
        <v>0.356229496113263</v>
      </c>
      <c r="K148" s="118" t="e">
        <f>VLOOKUP(B148,正厂竞争者数据汇总!D:H,11,FALSE)</f>
        <v>#N/A</v>
      </c>
      <c r="L148" s="89" t="s">
        <v>180</v>
      </c>
      <c r="M148" s="89" t="s">
        <v>180</v>
      </c>
      <c r="N148" s="89">
        <v>241</v>
      </c>
    </row>
    <row r="149" spans="1:14">
      <c r="A149" s="89" t="s">
        <v>243</v>
      </c>
      <c r="B149" s="89" t="s">
        <v>388</v>
      </c>
      <c r="C149" s="89" t="s">
        <v>441</v>
      </c>
      <c r="D149" s="89" t="s">
        <v>49</v>
      </c>
      <c r="E149" s="91">
        <v>0</v>
      </c>
      <c r="F149" s="91">
        <v>23458.75</v>
      </c>
      <c r="G149" s="109">
        <f t="shared" si="14"/>
        <v>0.0657170891044869</v>
      </c>
      <c r="H149" s="109">
        <v>0.0708571234173806</v>
      </c>
      <c r="K149" s="118" t="e">
        <f>VLOOKUP(B149,正厂竞争者数据汇总!D:H,11,FALSE)</f>
        <v>#REF!</v>
      </c>
      <c r="L149" s="89" t="s">
        <v>180</v>
      </c>
      <c r="M149" s="89" t="s">
        <v>180</v>
      </c>
      <c r="N149" s="89">
        <v>197</v>
      </c>
    </row>
    <row r="150" spans="1:14">
      <c r="A150" s="89" t="s">
        <v>230</v>
      </c>
      <c r="B150" s="108" t="s">
        <v>581</v>
      </c>
      <c r="C150" s="89">
        <v>0</v>
      </c>
      <c r="D150" s="89">
        <v>0</v>
      </c>
      <c r="E150" s="91">
        <v>0</v>
      </c>
      <c r="F150" s="91">
        <v>19830.25</v>
      </c>
      <c r="G150" s="109">
        <f t="shared" si="14"/>
        <v>0.0555522483599617</v>
      </c>
      <c r="H150" s="109">
        <v>0.0248522132574319</v>
      </c>
      <c r="K150" s="118" t="e">
        <f>VLOOKUP(B150,正厂竞争者数据汇总!D:H,11,FALSE)</f>
        <v>#N/A</v>
      </c>
      <c r="L150" s="89" t="s">
        <v>180</v>
      </c>
      <c r="N150" s="89">
        <v>33</v>
      </c>
    </row>
    <row r="151" s="88" customFormat="1" spans="1:16">
      <c r="A151" s="88" t="s">
        <v>227</v>
      </c>
      <c r="B151" s="105" t="s">
        <v>4615</v>
      </c>
      <c r="C151" s="88" t="s">
        <v>233</v>
      </c>
      <c r="D151" s="88" t="s">
        <v>234</v>
      </c>
      <c r="E151" s="106">
        <v>0</v>
      </c>
      <c r="F151" s="106">
        <v>100</v>
      </c>
      <c r="G151" s="107">
        <f t="shared" si="14"/>
        <v>0.00028013892089087</v>
      </c>
      <c r="H151" s="107">
        <v>0.000353803672981079</v>
      </c>
      <c r="I151" s="110"/>
      <c r="J151" s="106"/>
      <c r="K151" s="118" t="e">
        <f>VLOOKUP(B151,正厂竞争者数据汇总!D:H,11,FALSE)</f>
        <v>#N/A</v>
      </c>
      <c r="L151" s="88" t="str">
        <f>IFERROR(VLOOKUP(B151,'Competitive Matrix'!$B$4:$D$22,2,FALSE),"")</f>
        <v/>
      </c>
      <c r="M151" s="88" t="s">
        <v>6102</v>
      </c>
      <c r="N151" s="88">
        <v>10</v>
      </c>
      <c r="O151" s="126"/>
      <c r="P151" s="126"/>
    </row>
    <row r="152" spans="1:13">
      <c r="A152" s="88" t="s">
        <v>227</v>
      </c>
      <c r="B152" s="105" t="s">
        <v>172</v>
      </c>
      <c r="C152" s="88" t="s">
        <v>441</v>
      </c>
      <c r="E152" s="91"/>
      <c r="F152" s="106">
        <v>4379</v>
      </c>
      <c r="G152" s="107">
        <f t="shared" si="14"/>
        <v>0.0122672833458112</v>
      </c>
      <c r="H152" s="107">
        <v>0.00137303040783811</v>
      </c>
      <c r="K152" s="118" t="e">
        <f>VLOOKUP(B152,正厂竞争者数据汇总!D:H,11,FALSE)</f>
        <v>#REF!</v>
      </c>
      <c r="L152" s="145" t="s">
        <v>313</v>
      </c>
      <c r="M152" s="146" t="s">
        <v>6113</v>
      </c>
    </row>
    <row r="153" spans="5:12">
      <c r="E153" s="91"/>
      <c r="F153" s="91">
        <v>356965.75</v>
      </c>
      <c r="I153" s="109"/>
      <c r="K153" s="118"/>
      <c r="L153" s="95"/>
    </row>
    <row r="154" ht="14.4" customHeight="1" spans="1:22">
      <c r="A154" s="96" t="s">
        <v>191</v>
      </c>
      <c r="B154" s="97"/>
      <c r="C154" s="98"/>
      <c r="E154" s="99" t="s">
        <v>2</v>
      </c>
      <c r="F154" s="100"/>
      <c r="G154" s="100"/>
      <c r="H154" s="100"/>
      <c r="I154" s="100"/>
      <c r="J154" s="100"/>
      <c r="K154" s="95"/>
      <c r="L154" s="102"/>
      <c r="M154" s="102"/>
      <c r="O154" s="128"/>
      <c r="P154" s="128"/>
      <c r="Q154" s="128"/>
      <c r="R154" s="132"/>
      <c r="S154" s="116"/>
      <c r="T154" s="128"/>
      <c r="U154" s="128"/>
      <c r="V154" s="132"/>
    </row>
    <row r="155" ht="46.8" spans="1:22">
      <c r="A155" s="101" t="s">
        <v>3944</v>
      </c>
      <c r="B155" s="102" t="s">
        <v>207</v>
      </c>
      <c r="C155" s="101" t="s">
        <v>447</v>
      </c>
      <c r="D155" s="89" t="s">
        <v>209</v>
      </c>
      <c r="E155" s="101" t="s">
        <v>210</v>
      </c>
      <c r="F155" s="103" t="s">
        <v>6086</v>
      </c>
      <c r="G155" s="104" t="s">
        <v>6207</v>
      </c>
      <c r="H155" s="104" t="s">
        <v>6208</v>
      </c>
      <c r="K155" s="118" t="s">
        <v>0</v>
      </c>
      <c r="L155" s="119" t="s">
        <v>6091</v>
      </c>
      <c r="M155" s="119" t="s">
        <v>6092</v>
      </c>
      <c r="N155" s="120" t="s">
        <v>6198</v>
      </c>
      <c r="O155" s="119" t="s">
        <v>225</v>
      </c>
      <c r="P155" s="120" t="s">
        <v>226</v>
      </c>
      <c r="Q155" s="119"/>
      <c r="R155" s="119"/>
      <c r="S155" s="119"/>
      <c r="T155" s="119"/>
      <c r="U155" s="119"/>
      <c r="V155" s="119"/>
    </row>
    <row r="156" spans="1:14">
      <c r="A156" s="89" t="s">
        <v>325</v>
      </c>
      <c r="B156" s="89" t="s">
        <v>606</v>
      </c>
      <c r="C156" s="89" t="s">
        <v>441</v>
      </c>
      <c r="D156" s="89" t="s">
        <v>422</v>
      </c>
      <c r="E156" s="91">
        <v>0</v>
      </c>
      <c r="F156" s="91">
        <v>167287.166666667</v>
      </c>
      <c r="G156" s="109">
        <f>F156/F$161</f>
        <v>0.915121403293798</v>
      </c>
      <c r="H156" s="109">
        <v>0.885167739726183</v>
      </c>
      <c r="K156" s="118" t="e">
        <f>VLOOKUP(B156,正厂竞争者数据汇总!D:H,11,FALSE)</f>
        <v>#N/A</v>
      </c>
      <c r="L156" s="89" t="s">
        <v>180</v>
      </c>
      <c r="M156" s="89" t="s">
        <v>180</v>
      </c>
      <c r="N156" s="95">
        <v>1600</v>
      </c>
    </row>
    <row r="157" spans="1:14">
      <c r="A157" s="111" t="s">
        <v>230</v>
      </c>
      <c r="B157" s="89" t="s">
        <v>607</v>
      </c>
      <c r="C157" s="89" t="s">
        <v>233</v>
      </c>
      <c r="D157" s="89" t="s">
        <v>60</v>
      </c>
      <c r="E157" s="91">
        <v>0</v>
      </c>
      <c r="F157" s="91">
        <v>3760.75</v>
      </c>
      <c r="G157" s="109">
        <f>F157/F$161</f>
        <v>0.0205726648732996</v>
      </c>
      <c r="H157" s="109">
        <v>0.0229626421076265</v>
      </c>
      <c r="K157" s="118" t="e">
        <f>VLOOKUP(B157,正厂竞争者数据汇总!D:H,11,FALSE)</f>
        <v>#N/A</v>
      </c>
      <c r="L157" s="89" t="s">
        <v>180</v>
      </c>
      <c r="M157" s="89" t="s">
        <v>180</v>
      </c>
      <c r="N157" s="95">
        <v>180</v>
      </c>
    </row>
    <row r="158" spans="1:14">
      <c r="A158" s="89" t="s">
        <v>2624</v>
      </c>
      <c r="B158" s="89" t="s">
        <v>465</v>
      </c>
      <c r="C158" s="89" t="s">
        <v>441</v>
      </c>
      <c r="D158" s="89">
        <v>0</v>
      </c>
      <c r="E158" s="91">
        <v>0</v>
      </c>
      <c r="F158" s="91">
        <v>17019.0833333333</v>
      </c>
      <c r="G158" s="109"/>
      <c r="H158" s="109"/>
      <c r="K158" s="118" t="e">
        <f>VLOOKUP(B158,正厂竞争者数据汇总!D:H,11,FALSE)</f>
        <v>#REF!</v>
      </c>
      <c r="L158" s="89" t="s">
        <v>180</v>
      </c>
      <c r="M158" s="89" t="s">
        <v>180</v>
      </c>
      <c r="N158" s="95" t="s">
        <v>5419</v>
      </c>
    </row>
    <row r="159" spans="1:14">
      <c r="A159" s="89" t="s">
        <v>325</v>
      </c>
      <c r="B159" s="108" t="s">
        <v>608</v>
      </c>
      <c r="C159" s="89" t="s">
        <v>441</v>
      </c>
      <c r="D159" s="89" t="s">
        <v>49</v>
      </c>
      <c r="E159" s="91">
        <v>0</v>
      </c>
      <c r="F159" s="91">
        <v>11755.3333333333</v>
      </c>
      <c r="G159" s="109">
        <f>F159/F$161</f>
        <v>0.064305931832904</v>
      </c>
      <c r="H159" s="109">
        <v>0.0918696181661908</v>
      </c>
      <c r="K159" s="118" t="e">
        <f>VLOOKUP(B159,正厂竞争者数据汇总!D:H,11,FALSE)</f>
        <v>#N/A</v>
      </c>
      <c r="L159" s="89" t="s">
        <v>180</v>
      </c>
      <c r="M159" s="89" t="s">
        <v>180</v>
      </c>
      <c r="N159" s="95">
        <v>161</v>
      </c>
    </row>
    <row r="160" spans="2:14">
      <c r="B160" s="108" t="s">
        <v>4618</v>
      </c>
      <c r="C160" s="89">
        <v>0</v>
      </c>
      <c r="D160" s="89">
        <v>0</v>
      </c>
      <c r="E160" s="91">
        <v>0</v>
      </c>
      <c r="F160" s="91">
        <v>0</v>
      </c>
      <c r="G160" s="109">
        <f>F160/F$161</f>
        <v>0</v>
      </c>
      <c r="H160" s="109">
        <v>0</v>
      </c>
      <c r="K160" s="118" t="e">
        <f>VLOOKUP(B160,正厂竞争者数据汇总!D:H,11,FALSE)</f>
        <v>#N/A</v>
      </c>
      <c r="L160" s="89" t="s">
        <v>180</v>
      </c>
      <c r="M160" s="89" t="s">
        <v>180</v>
      </c>
      <c r="N160" s="95">
        <v>89</v>
      </c>
    </row>
    <row r="161" spans="6:6">
      <c r="F161" s="140">
        <v>182803.25</v>
      </c>
    </row>
    <row r="162" spans="3:11">
      <c r="C162" s="139"/>
      <c r="E162" s="91"/>
      <c r="F162" s="109"/>
      <c r="G162" s="109"/>
      <c r="H162" s="109"/>
      <c r="I162" s="109"/>
      <c r="J162" s="109"/>
      <c r="K162" s="147"/>
    </row>
    <row r="163" spans="2:11">
      <c r="B163" s="108"/>
      <c r="E163" s="91"/>
      <c r="K163" s="95"/>
    </row>
    <row r="164" ht="14.4" customHeight="1" spans="1:22">
      <c r="A164" s="96" t="s">
        <v>189</v>
      </c>
      <c r="B164" s="97"/>
      <c r="C164" s="98"/>
      <c r="E164" s="99" t="s">
        <v>2</v>
      </c>
      <c r="F164" s="100"/>
      <c r="G164" s="100"/>
      <c r="H164" s="100"/>
      <c r="I164" s="100"/>
      <c r="J164" s="100"/>
      <c r="K164" s="95"/>
      <c r="L164" s="102"/>
      <c r="M164" s="102"/>
      <c r="O164" s="128"/>
      <c r="P164" s="128"/>
      <c r="Q164" s="128"/>
      <c r="R164" s="132"/>
      <c r="S164" s="116"/>
      <c r="T164" s="128"/>
      <c r="U164" s="128"/>
      <c r="V164" s="132"/>
    </row>
    <row r="165" ht="46.8" spans="1:22">
      <c r="A165" s="101" t="s">
        <v>3944</v>
      </c>
      <c r="B165" s="102" t="s">
        <v>207</v>
      </c>
      <c r="C165" s="101" t="s">
        <v>447</v>
      </c>
      <c r="D165" s="89" t="s">
        <v>209</v>
      </c>
      <c r="E165" s="101" t="s">
        <v>210</v>
      </c>
      <c r="F165" s="103" t="s">
        <v>6086</v>
      </c>
      <c r="G165" s="104" t="s">
        <v>6207</v>
      </c>
      <c r="H165" s="104" t="s">
        <v>6208</v>
      </c>
      <c r="K165" s="118" t="s">
        <v>0</v>
      </c>
      <c r="L165" s="119" t="s">
        <v>6091</v>
      </c>
      <c r="M165" s="119" t="s">
        <v>6092</v>
      </c>
      <c r="N165" s="120" t="s">
        <v>6198</v>
      </c>
      <c r="O165" s="119" t="s">
        <v>225</v>
      </c>
      <c r="P165" s="120" t="s">
        <v>226</v>
      </c>
      <c r="Q165" s="119"/>
      <c r="R165" s="119"/>
      <c r="S165" s="119"/>
      <c r="T165" s="119"/>
      <c r="U165" s="119"/>
      <c r="V165" s="119"/>
    </row>
    <row r="166" spans="1:13">
      <c r="A166" s="89" t="s">
        <v>325</v>
      </c>
      <c r="B166" s="89" t="s">
        <v>466</v>
      </c>
      <c r="C166" s="89" t="s">
        <v>467</v>
      </c>
      <c r="D166" s="89" t="s">
        <v>234</v>
      </c>
      <c r="E166" s="91">
        <v>0</v>
      </c>
      <c r="F166" s="91">
        <v>235180.666666667</v>
      </c>
      <c r="K166" s="118"/>
      <c r="L166" s="89" t="s">
        <v>180</v>
      </c>
      <c r="M166" s="89" t="s">
        <v>180</v>
      </c>
    </row>
    <row r="167" spans="1:14">
      <c r="A167" s="89" t="s">
        <v>230</v>
      </c>
      <c r="B167" s="89" t="s">
        <v>609</v>
      </c>
      <c r="C167" s="89" t="s">
        <v>233</v>
      </c>
      <c r="D167" s="89" t="s">
        <v>411</v>
      </c>
      <c r="E167" s="91">
        <v>0</v>
      </c>
      <c r="F167" s="91">
        <v>70592.1666666667</v>
      </c>
      <c r="G167" s="109">
        <f t="shared" ref="G167:G173" si="15">F167/F$174</f>
        <v>0.291973424436945</v>
      </c>
      <c r="H167" s="109">
        <v>0.312088379226184</v>
      </c>
      <c r="K167" s="118" t="e">
        <f>VLOOKUP(B167,正厂竞争者数据汇总!D:H,11,FALSE)</f>
        <v>#N/A</v>
      </c>
      <c r="L167" s="89" t="s">
        <v>180</v>
      </c>
      <c r="M167" s="89" t="s">
        <v>180</v>
      </c>
      <c r="N167" s="89">
        <v>326</v>
      </c>
    </row>
    <row r="168" spans="1:14">
      <c r="A168" s="89" t="s">
        <v>243</v>
      </c>
      <c r="B168" s="89" t="s">
        <v>610</v>
      </c>
      <c r="C168" s="89" t="s">
        <v>454</v>
      </c>
      <c r="D168" s="89" t="s">
        <v>420</v>
      </c>
      <c r="E168" s="91">
        <v>0</v>
      </c>
      <c r="F168" s="91">
        <v>54086.5</v>
      </c>
      <c r="G168" s="109">
        <f t="shared" si="15"/>
        <v>0.223704999669115</v>
      </c>
      <c r="H168" s="109">
        <v>0.309840961662734</v>
      </c>
      <c r="K168" s="118" t="e">
        <f>VLOOKUP(B168,正厂竞争者数据汇总!D:H,11,FALSE)</f>
        <v>#N/A</v>
      </c>
      <c r="L168" s="89" t="s">
        <v>180</v>
      </c>
      <c r="M168" s="89" t="s">
        <v>180</v>
      </c>
      <c r="N168" s="89">
        <v>1600</v>
      </c>
    </row>
    <row r="169" spans="1:14">
      <c r="A169" s="89" t="s">
        <v>230</v>
      </c>
      <c r="B169" s="89" t="s">
        <v>611</v>
      </c>
      <c r="C169" s="89" t="s">
        <v>233</v>
      </c>
      <c r="D169" s="89" t="s">
        <v>414</v>
      </c>
      <c r="E169" s="91">
        <v>0</v>
      </c>
      <c r="F169" s="91">
        <v>70295.75</v>
      </c>
      <c r="G169" s="109">
        <f t="shared" si="15"/>
        <v>0.29074742737079</v>
      </c>
      <c r="H169" s="109">
        <v>0.194946879219826</v>
      </c>
      <c r="K169" s="118" t="e">
        <f>VLOOKUP(B169,正厂竞争者数据汇总!D:H,11,FALSE)</f>
        <v>#N/A</v>
      </c>
      <c r="L169" s="89" t="s">
        <v>180</v>
      </c>
      <c r="M169" s="89" t="s">
        <v>180</v>
      </c>
      <c r="N169" s="89">
        <v>113</v>
      </c>
    </row>
    <row r="170" ht="31.5" customHeight="1" spans="1:14">
      <c r="A170" s="89" t="s">
        <v>230</v>
      </c>
      <c r="B170" s="89" t="s">
        <v>4625</v>
      </c>
      <c r="C170" s="89">
        <v>0</v>
      </c>
      <c r="D170" s="89">
        <v>0</v>
      </c>
      <c r="E170" s="91">
        <v>0</v>
      </c>
      <c r="F170" s="91">
        <v>23804.0833333333</v>
      </c>
      <c r="G170" s="109">
        <f t="shared" si="15"/>
        <v>0.0984551127214169</v>
      </c>
      <c r="H170" s="109">
        <v>0.0994464656918072</v>
      </c>
      <c r="K170" s="118" t="e">
        <f>VLOOKUP(B170,正厂竞争者数据汇总!D:H,11,FALSE)</f>
        <v>#N/A</v>
      </c>
      <c r="L170" s="89" t="s">
        <v>180</v>
      </c>
      <c r="M170" s="89" t="s">
        <v>180</v>
      </c>
      <c r="N170" s="89">
        <v>37</v>
      </c>
    </row>
    <row r="171" spans="1:14">
      <c r="A171" s="89" t="s">
        <v>6204</v>
      </c>
      <c r="B171" s="89" t="s">
        <v>4626</v>
      </c>
      <c r="C171" s="89" t="s">
        <v>233</v>
      </c>
      <c r="D171" s="89" t="s">
        <v>49</v>
      </c>
      <c r="E171" s="91">
        <v>0</v>
      </c>
      <c r="F171" s="91">
        <v>10133.3333333333</v>
      </c>
      <c r="G171" s="109">
        <f t="shared" si="15"/>
        <v>0.0419120728828887</v>
      </c>
      <c r="H171" s="109">
        <v>0.0298992232633726</v>
      </c>
      <c r="K171" s="118" t="e">
        <f>VLOOKUP(B171,正厂竞争者数据汇总!D:H,11,FALSE)</f>
        <v>#N/A</v>
      </c>
      <c r="L171" s="89" t="s">
        <v>180</v>
      </c>
      <c r="M171" s="89" t="s">
        <v>180</v>
      </c>
      <c r="N171" s="89">
        <v>574</v>
      </c>
    </row>
    <row r="172" spans="1:14">
      <c r="A172" s="111" t="s">
        <v>468</v>
      </c>
      <c r="B172" s="89" t="s">
        <v>612</v>
      </c>
      <c r="C172" s="89" t="s">
        <v>233</v>
      </c>
      <c r="D172" s="89" t="s">
        <v>49</v>
      </c>
      <c r="E172" s="91">
        <v>0</v>
      </c>
      <c r="F172" s="91">
        <v>12749</v>
      </c>
      <c r="G172" s="109">
        <f t="shared" si="15"/>
        <v>0.0527306266957845</v>
      </c>
      <c r="H172" s="109">
        <v>0.0503364537259036</v>
      </c>
      <c r="K172" s="118" t="e">
        <f>VLOOKUP(B172,正厂竞争者数据汇总!D:H,11,FALSE)</f>
        <v>#N/A</v>
      </c>
      <c r="L172" s="89" t="s">
        <v>180</v>
      </c>
      <c r="M172" s="89" t="s">
        <v>180</v>
      </c>
      <c r="N172" s="89">
        <v>78</v>
      </c>
    </row>
    <row r="173" s="88" customFormat="1" ht="14.4" spans="1:16">
      <c r="A173" s="88" t="s">
        <v>227</v>
      </c>
      <c r="B173" s="141" t="s">
        <v>4627</v>
      </c>
      <c r="C173" s="88" t="s">
        <v>233</v>
      </c>
      <c r="D173" s="88" t="s">
        <v>234</v>
      </c>
      <c r="E173" s="106">
        <v>0</v>
      </c>
      <c r="F173" s="106">
        <v>115.166666666667</v>
      </c>
      <c r="G173" s="107">
        <f t="shared" si="15"/>
        <v>0.000476336223060465</v>
      </c>
      <c r="H173" s="107">
        <v>0.00344163721017239</v>
      </c>
      <c r="I173" s="110"/>
      <c r="J173" s="106"/>
      <c r="K173" s="122" t="e">
        <f>VLOOKUP(B173,正厂竞争者数据汇总!D:H,11,FALSE)</f>
        <v>#N/A</v>
      </c>
      <c r="L173" s="88" t="str">
        <f>IFERROR(VLOOKUP(B173,'Competitive Matrix'!$B$4:$D$22,2,FALSE),"")</f>
        <v>L:80% N:22%</v>
      </c>
      <c r="M173" s="88" t="s">
        <v>6102</v>
      </c>
      <c r="N173" s="88" t="s">
        <v>6002</v>
      </c>
      <c r="O173" s="126"/>
      <c r="P173" s="126"/>
    </row>
    <row r="174" spans="5:11">
      <c r="E174" s="91"/>
      <c r="F174" s="91">
        <v>241776</v>
      </c>
      <c r="K174" s="95"/>
    </row>
    <row r="175" spans="5:9">
      <c r="E175" s="91"/>
      <c r="F175" s="109"/>
      <c r="G175" s="109"/>
      <c r="H175" s="109"/>
      <c r="I175" s="109"/>
    </row>
    <row r="176" spans="5:5">
      <c r="E176" s="91"/>
    </row>
    <row r="177" ht="14.4" customHeight="1" spans="1:22">
      <c r="A177" s="96" t="s">
        <v>185</v>
      </c>
      <c r="B177" s="97"/>
      <c r="C177" s="98"/>
      <c r="E177" s="99" t="s">
        <v>2</v>
      </c>
      <c r="F177" s="100"/>
      <c r="G177" s="100"/>
      <c r="H177" s="100"/>
      <c r="I177" s="115"/>
      <c r="J177" s="100"/>
      <c r="K177" s="95"/>
      <c r="L177" s="102"/>
      <c r="M177" s="102"/>
      <c r="O177" s="128"/>
      <c r="P177" s="128"/>
      <c r="Q177" s="128"/>
      <c r="R177" s="132"/>
      <c r="S177" s="116"/>
      <c r="T177" s="128"/>
      <c r="U177" s="128"/>
      <c r="V177" s="132"/>
    </row>
    <row r="178" ht="46.8" spans="1:22">
      <c r="A178" s="101" t="s">
        <v>3944</v>
      </c>
      <c r="B178" s="102" t="s">
        <v>207</v>
      </c>
      <c r="C178" s="101" t="s">
        <v>447</v>
      </c>
      <c r="D178" s="89" t="s">
        <v>209</v>
      </c>
      <c r="E178" s="101" t="s">
        <v>210</v>
      </c>
      <c r="F178" s="103" t="s">
        <v>6086</v>
      </c>
      <c r="G178" s="104" t="s">
        <v>6207</v>
      </c>
      <c r="H178" s="104" t="s">
        <v>6208</v>
      </c>
      <c r="K178" s="118" t="s">
        <v>0</v>
      </c>
      <c r="L178" s="119" t="s">
        <v>6091</v>
      </c>
      <c r="M178" s="119" t="s">
        <v>6092</v>
      </c>
      <c r="N178" s="120" t="s">
        <v>6198</v>
      </c>
      <c r="O178" s="119" t="s">
        <v>225</v>
      </c>
      <c r="P178" s="120" t="s">
        <v>226</v>
      </c>
      <c r="Q178" s="119"/>
      <c r="R178" s="119"/>
      <c r="S178" s="119"/>
      <c r="T178" s="119"/>
      <c r="U178" s="119"/>
      <c r="V178" s="119"/>
    </row>
    <row r="179" spans="1:14">
      <c r="A179" s="142" t="s">
        <v>243</v>
      </c>
      <c r="B179" s="108" t="s">
        <v>613</v>
      </c>
      <c r="C179" s="89" t="s">
        <v>6169</v>
      </c>
      <c r="D179" s="89" t="s">
        <v>420</v>
      </c>
      <c r="E179" s="91">
        <v>0</v>
      </c>
      <c r="F179" s="91">
        <v>65000.1666666667</v>
      </c>
      <c r="G179" s="109">
        <f>F179/F$185</f>
        <v>0.367747495787416</v>
      </c>
      <c r="H179" s="109">
        <v>0.365249982794241</v>
      </c>
      <c r="K179" s="118" t="e">
        <f>VLOOKUP(B179,正厂竞争者数据汇总!D:H,11,FALSE)</f>
        <v>#N/A</v>
      </c>
      <c r="L179" s="89" t="s">
        <v>180</v>
      </c>
      <c r="M179" s="89" t="s">
        <v>180</v>
      </c>
      <c r="N179" s="89">
        <v>823</v>
      </c>
    </row>
    <row r="180" spans="1:15">
      <c r="A180" s="89" t="s">
        <v>230</v>
      </c>
      <c r="B180" s="108" t="s">
        <v>614</v>
      </c>
      <c r="C180" s="89" t="s">
        <v>233</v>
      </c>
      <c r="D180" s="89" t="s">
        <v>59</v>
      </c>
      <c r="E180" s="91">
        <v>0</v>
      </c>
      <c r="F180" s="91">
        <v>61749.5833333333</v>
      </c>
      <c r="G180" s="109">
        <f>F180/F$185</f>
        <v>0.349356867855462</v>
      </c>
      <c r="H180" s="109">
        <v>0.315824372994262</v>
      </c>
      <c r="K180" s="118" t="e">
        <f>VLOOKUP(B180,正厂竞争者数据汇总!D:H,11,FALSE)</f>
        <v>#N/A</v>
      </c>
      <c r="L180" s="89" t="s">
        <v>180</v>
      </c>
      <c r="M180" s="89" t="s">
        <v>180</v>
      </c>
      <c r="N180" s="89">
        <v>218</v>
      </c>
      <c r="O180" s="126"/>
    </row>
    <row r="181" spans="2:14">
      <c r="B181" s="91" t="s">
        <v>615</v>
      </c>
      <c r="C181" s="89" t="s">
        <v>233</v>
      </c>
      <c r="D181" s="89" t="s">
        <v>417</v>
      </c>
      <c r="E181" s="91">
        <v>0</v>
      </c>
      <c r="F181" s="91">
        <v>28458.6666666667</v>
      </c>
      <c r="G181" s="109">
        <f>F181/F$185</f>
        <v>0.161008870235443</v>
      </c>
      <c r="H181" s="109">
        <v>0.175519429269023</v>
      </c>
      <c r="K181" s="118" t="e">
        <f>VLOOKUP(B181,正厂竞争者数据汇总!D:H,11,FALSE)</f>
        <v>#N/A</v>
      </c>
      <c r="L181" s="89" t="s">
        <v>180</v>
      </c>
      <c r="M181" s="89" t="s">
        <v>180</v>
      </c>
      <c r="N181" s="89">
        <v>749</v>
      </c>
    </row>
    <row r="182" spans="2:14">
      <c r="B182" s="143" t="s">
        <v>616</v>
      </c>
      <c r="C182" s="89" t="s">
        <v>470</v>
      </c>
      <c r="D182" s="89">
        <v>0</v>
      </c>
      <c r="E182" s="91">
        <v>0</v>
      </c>
      <c r="F182" s="91">
        <v>16646.3333333333</v>
      </c>
      <c r="G182" s="109"/>
      <c r="H182" s="109"/>
      <c r="K182" s="118" t="e">
        <f>VLOOKUP(B182,正厂竞争者数据汇总!D:H,11,FALSE)</f>
        <v>#N/A</v>
      </c>
      <c r="L182" s="89" t="s">
        <v>180</v>
      </c>
      <c r="M182" s="89" t="s">
        <v>180</v>
      </c>
      <c r="N182" s="89">
        <v>202</v>
      </c>
    </row>
    <row r="183" ht="15.15" spans="1:15">
      <c r="A183" s="89" t="s">
        <v>446</v>
      </c>
      <c r="B183" s="144" t="s">
        <v>617</v>
      </c>
      <c r="C183" s="89" t="s">
        <v>233</v>
      </c>
      <c r="D183" s="89" t="s">
        <v>50</v>
      </c>
      <c r="E183" s="91">
        <v>0</v>
      </c>
      <c r="F183" s="91">
        <v>21443.75</v>
      </c>
      <c r="G183" s="109">
        <f>F183/F$185</f>
        <v>0.121321002194221</v>
      </c>
      <c r="H183" s="109">
        <v>0.139450994241231</v>
      </c>
      <c r="K183" s="118" t="e">
        <f>VLOOKUP(B183,正厂竞争者数据汇总!D:H,11,FALSE)</f>
        <v>#N/A</v>
      </c>
      <c r="L183" s="89" t="s">
        <v>180</v>
      </c>
      <c r="M183" s="89" t="s">
        <v>180</v>
      </c>
      <c r="N183" s="89">
        <v>96</v>
      </c>
      <c r="O183" s="126" t="s">
        <v>4635</v>
      </c>
    </row>
    <row r="184" s="88" customFormat="1" spans="1:16">
      <c r="A184" s="88" t="s">
        <v>227</v>
      </c>
      <c r="B184" s="105" t="s">
        <v>4636</v>
      </c>
      <c r="C184" s="88" t="s">
        <v>233</v>
      </c>
      <c r="D184" s="88" t="s">
        <v>234</v>
      </c>
      <c r="E184" s="106">
        <v>0</v>
      </c>
      <c r="F184" s="106">
        <v>100</v>
      </c>
      <c r="G184" s="107">
        <f>F184/F$185</f>
        <v>0.000565763927457748</v>
      </c>
      <c r="H184" s="107">
        <v>0.0039552207012431</v>
      </c>
      <c r="I184" s="110"/>
      <c r="J184" s="106"/>
      <c r="K184" s="122" t="e">
        <f>VLOOKUP(B184,正厂竞争者数据汇总!D:H,11,FALSE)</f>
        <v>#N/A</v>
      </c>
      <c r="L184" s="148" t="s">
        <v>6205</v>
      </c>
      <c r="M184" s="123" t="s">
        <v>6102</v>
      </c>
      <c r="N184" s="88" t="s">
        <v>6028</v>
      </c>
      <c r="O184" s="126"/>
      <c r="P184" s="126"/>
    </row>
    <row r="185" spans="5:11">
      <c r="E185" s="91"/>
      <c r="F185" s="91">
        <v>176752.166666667</v>
      </c>
      <c r="K185" s="118"/>
    </row>
    <row r="186" spans="1:11">
      <c r="A186" s="101"/>
      <c r="C186" s="101"/>
      <c r="E186" s="91"/>
      <c r="K186" s="95"/>
    </row>
    <row r="187" ht="14.4" customHeight="1" spans="1:22">
      <c r="A187" s="96" t="s">
        <v>195</v>
      </c>
      <c r="B187" s="97"/>
      <c r="C187" s="98"/>
      <c r="E187" s="99" t="s">
        <v>2</v>
      </c>
      <c r="F187" s="100"/>
      <c r="G187" s="100"/>
      <c r="H187" s="100"/>
      <c r="I187" s="115"/>
      <c r="J187" s="100"/>
      <c r="K187" s="95"/>
      <c r="L187" s="102"/>
      <c r="M187" s="102"/>
      <c r="O187" s="128"/>
      <c r="P187" s="128"/>
      <c r="Q187" s="128"/>
      <c r="R187" s="132"/>
      <c r="S187" s="116"/>
      <c r="T187" s="128"/>
      <c r="U187" s="128"/>
      <c r="V187" s="132"/>
    </row>
    <row r="188" ht="46.8" spans="1:22">
      <c r="A188" s="101" t="s">
        <v>3944</v>
      </c>
      <c r="B188" s="102" t="s">
        <v>207</v>
      </c>
      <c r="C188" s="101" t="s">
        <v>447</v>
      </c>
      <c r="D188" s="89" t="s">
        <v>209</v>
      </c>
      <c r="E188" s="101" t="s">
        <v>210</v>
      </c>
      <c r="F188" s="103" t="s">
        <v>6086</v>
      </c>
      <c r="G188" s="104" t="s">
        <v>6207</v>
      </c>
      <c r="H188" s="104" t="s">
        <v>6208</v>
      </c>
      <c r="K188" s="118" t="s">
        <v>0</v>
      </c>
      <c r="L188" s="119" t="s">
        <v>6091</v>
      </c>
      <c r="M188" s="119" t="s">
        <v>6092</v>
      </c>
      <c r="N188" s="120" t="s">
        <v>6198</v>
      </c>
      <c r="O188" s="119" t="s">
        <v>225</v>
      </c>
      <c r="P188" s="120" t="s">
        <v>226</v>
      </c>
      <c r="Q188" s="119"/>
      <c r="R188" s="119"/>
      <c r="S188" s="119"/>
      <c r="T188" s="119"/>
      <c r="U188" s="119"/>
      <c r="V188" s="119"/>
    </row>
    <row r="189" spans="1:14">
      <c r="A189" s="89" t="s">
        <v>230</v>
      </c>
      <c r="B189" s="89" t="s">
        <v>618</v>
      </c>
      <c r="C189" s="89" t="s">
        <v>233</v>
      </c>
      <c r="D189" s="89" t="s">
        <v>266</v>
      </c>
      <c r="E189" s="91">
        <v>0</v>
      </c>
      <c r="F189" s="91">
        <v>104806.333333333</v>
      </c>
      <c r="G189" s="109">
        <f>F189/F$192</f>
        <v>0.873216319049073</v>
      </c>
      <c r="H189" s="109">
        <v>0.859003300782596</v>
      </c>
      <c r="K189" s="118" t="e">
        <f>VLOOKUP(B189,正厂竞争者数据汇总!D:H,11,FALSE)</f>
        <v>#N/A</v>
      </c>
      <c r="L189" s="89" t="s">
        <v>180</v>
      </c>
      <c r="M189" s="89" t="s">
        <v>180</v>
      </c>
      <c r="N189" s="89">
        <v>315</v>
      </c>
    </row>
    <row r="190" spans="1:14">
      <c r="A190" s="89" t="s">
        <v>446</v>
      </c>
      <c r="B190" s="89" t="s">
        <v>619</v>
      </c>
      <c r="C190" s="89" t="s">
        <v>233</v>
      </c>
      <c r="D190" s="89" t="s">
        <v>60</v>
      </c>
      <c r="E190" s="91">
        <v>0</v>
      </c>
      <c r="F190" s="91">
        <v>6777.08333333333</v>
      </c>
      <c r="G190" s="109">
        <f>F190/F$192</f>
        <v>0.0564647151942679</v>
      </c>
      <c r="H190" s="109">
        <v>0.070437346880322</v>
      </c>
      <c r="K190" s="118" t="e">
        <f>VLOOKUP(B190,正厂竞争者数据汇总!D:H,11,FALSE)</f>
        <v>#N/A</v>
      </c>
      <c r="L190" s="89" t="s">
        <v>180</v>
      </c>
      <c r="M190" s="89" t="s">
        <v>180</v>
      </c>
      <c r="N190" s="89">
        <v>647</v>
      </c>
    </row>
    <row r="191" spans="1:14">
      <c r="A191" s="89" t="s">
        <v>446</v>
      </c>
      <c r="B191" s="89" t="s">
        <v>620</v>
      </c>
      <c r="C191" s="89">
        <v>0</v>
      </c>
      <c r="D191" s="89">
        <v>0</v>
      </c>
      <c r="E191" s="91">
        <v>0</v>
      </c>
      <c r="F191" s="91">
        <v>8439.91666666667</v>
      </c>
      <c r="G191" s="109">
        <f>F191/F$192</f>
        <v>0.0703189657566586</v>
      </c>
      <c r="H191" s="109">
        <v>0.0705593523370822</v>
      </c>
      <c r="K191" s="118" t="e">
        <f>VLOOKUP(B191,正厂竞争者数据汇总!D:H,11,FALSE)</f>
        <v>#N/A</v>
      </c>
      <c r="L191" s="89" t="s">
        <v>180</v>
      </c>
      <c r="M191" s="89" t="s">
        <v>180</v>
      </c>
      <c r="N191" s="89">
        <v>127</v>
      </c>
    </row>
    <row r="192" spans="5:11">
      <c r="E192" s="91"/>
      <c r="F192" s="91">
        <v>120023.333333333</v>
      </c>
      <c r="K192" s="95"/>
    </row>
    <row r="193" spans="1:11">
      <c r="A193" s="101"/>
      <c r="C193" s="101"/>
      <c r="E193" s="91"/>
      <c r="K193" s="95"/>
    </row>
    <row r="194" ht="14.4" customHeight="1" spans="1:22">
      <c r="A194" s="96" t="s">
        <v>187</v>
      </c>
      <c r="B194" s="97"/>
      <c r="C194" s="98"/>
      <c r="E194" s="99" t="s">
        <v>2</v>
      </c>
      <c r="F194" s="100"/>
      <c r="G194" s="100"/>
      <c r="H194" s="100"/>
      <c r="I194" s="100"/>
      <c r="J194" s="100"/>
      <c r="K194" s="95"/>
      <c r="L194" s="102"/>
      <c r="M194" s="102"/>
      <c r="O194" s="128"/>
      <c r="P194" s="128"/>
      <c r="Q194" s="128"/>
      <c r="R194" s="132"/>
      <c r="S194" s="116"/>
      <c r="T194" s="128"/>
      <c r="U194" s="128"/>
      <c r="V194" s="132"/>
    </row>
    <row r="195" ht="46.8" spans="1:22">
      <c r="A195" s="101" t="s">
        <v>3944</v>
      </c>
      <c r="B195" s="102" t="s">
        <v>207</v>
      </c>
      <c r="C195" s="101" t="s">
        <v>447</v>
      </c>
      <c r="D195" s="89" t="s">
        <v>209</v>
      </c>
      <c r="E195" s="101" t="s">
        <v>210</v>
      </c>
      <c r="F195" s="103" t="s">
        <v>6086</v>
      </c>
      <c r="G195" s="104" t="s">
        <v>6207</v>
      </c>
      <c r="H195" s="104" t="s">
        <v>6208</v>
      </c>
      <c r="K195" s="118" t="s">
        <v>0</v>
      </c>
      <c r="L195" s="119" t="s">
        <v>6091</v>
      </c>
      <c r="M195" s="119" t="s">
        <v>6092</v>
      </c>
      <c r="N195" s="120" t="s">
        <v>6198</v>
      </c>
      <c r="O195" s="119" t="s">
        <v>225</v>
      </c>
      <c r="P195" s="120" t="s">
        <v>226</v>
      </c>
      <c r="Q195" s="119"/>
      <c r="R195" s="119"/>
      <c r="S195" s="119"/>
      <c r="T195" s="119"/>
      <c r="U195" s="119"/>
      <c r="V195" s="119"/>
    </row>
    <row r="196" spans="1:14">
      <c r="A196" s="89" t="s">
        <v>230</v>
      </c>
      <c r="B196" s="108" t="s">
        <v>621</v>
      </c>
      <c r="C196" s="89" t="s">
        <v>233</v>
      </c>
      <c r="D196" s="89" t="s">
        <v>422</v>
      </c>
      <c r="E196" s="91">
        <v>0</v>
      </c>
      <c r="F196" s="91">
        <v>36662.6666666667</v>
      </c>
      <c r="G196" s="109">
        <f t="shared" ref="G196:G201" si="16">F196/F$202</f>
        <v>0.302444430084404</v>
      </c>
      <c r="H196" s="109">
        <v>0.337702513687132</v>
      </c>
      <c r="K196" s="118" t="e">
        <f>VLOOKUP(B196,正厂竞争者数据汇总!D:H,11,FALSE)</f>
        <v>#N/A</v>
      </c>
      <c r="L196" s="89" t="s">
        <v>180</v>
      </c>
      <c r="M196" s="89" t="s">
        <v>180</v>
      </c>
      <c r="N196" s="89">
        <v>122</v>
      </c>
    </row>
    <row r="197" spans="1:14">
      <c r="A197" s="89" t="s">
        <v>230</v>
      </c>
      <c r="B197" s="108" t="s">
        <v>622</v>
      </c>
      <c r="C197" s="89" t="s">
        <v>233</v>
      </c>
      <c r="D197" s="89" t="s">
        <v>420</v>
      </c>
      <c r="E197" s="91">
        <v>0</v>
      </c>
      <c r="F197" s="91">
        <v>12025</v>
      </c>
      <c r="G197" s="109">
        <f t="shared" si="16"/>
        <v>0.099198847286021</v>
      </c>
      <c r="H197" s="109">
        <v>0.138555108920083</v>
      </c>
      <c r="K197" s="118" t="e">
        <f>VLOOKUP(B197,正厂竞争者数据汇总!D:H,11,FALSE)</f>
        <v>#N/A</v>
      </c>
      <c r="L197" s="89" t="s">
        <v>180</v>
      </c>
      <c r="M197" s="89" t="s">
        <v>180</v>
      </c>
      <c r="N197" s="89">
        <v>138</v>
      </c>
    </row>
    <row r="198" spans="1:14">
      <c r="A198" s="89" t="s">
        <v>230</v>
      </c>
      <c r="B198" s="114" t="s">
        <v>623</v>
      </c>
      <c r="C198" s="89" t="s">
        <v>233</v>
      </c>
      <c r="D198" s="89" t="s">
        <v>6171</v>
      </c>
      <c r="E198" s="91">
        <v>0</v>
      </c>
      <c r="F198" s="91">
        <v>46721.5</v>
      </c>
      <c r="G198" s="109">
        <f t="shared" si="16"/>
        <v>0.385423612762896</v>
      </c>
      <c r="H198" s="109">
        <v>0.345854987869684</v>
      </c>
      <c r="K198" s="118" t="e">
        <f>VLOOKUP(B198,正厂竞争者数据汇总!D:H,11,FALSE)</f>
        <v>#N/A</v>
      </c>
      <c r="L198" s="89" t="s">
        <v>180</v>
      </c>
      <c r="M198" s="89" t="s">
        <v>180</v>
      </c>
      <c r="N198" s="89">
        <v>151</v>
      </c>
    </row>
    <row r="199" spans="1:14">
      <c r="A199" s="89" t="s">
        <v>230</v>
      </c>
      <c r="B199" s="108" t="s">
        <v>624</v>
      </c>
      <c r="C199" s="89" t="s">
        <v>233</v>
      </c>
      <c r="D199" s="89" t="s">
        <v>420</v>
      </c>
      <c r="E199" s="91">
        <v>0</v>
      </c>
      <c r="F199" s="91">
        <v>23006.6666666667</v>
      </c>
      <c r="G199" s="109">
        <f t="shared" si="16"/>
        <v>0.189790836858799</v>
      </c>
      <c r="H199" s="109">
        <v>0.165519920931525</v>
      </c>
      <c r="K199" s="118" t="e">
        <f>VLOOKUP(B199,正厂竞争者数据汇总!D:H,11,FALSE)</f>
        <v>#N/A</v>
      </c>
      <c r="L199" s="89" t="s">
        <v>180</v>
      </c>
      <c r="M199" s="89" t="s">
        <v>180</v>
      </c>
      <c r="N199" s="89">
        <v>177</v>
      </c>
    </row>
    <row r="200" s="88" customFormat="1" ht="15.6" spans="1:16">
      <c r="A200" s="149" t="s">
        <v>227</v>
      </c>
      <c r="B200" s="150" t="s">
        <v>4649</v>
      </c>
      <c r="C200" s="88" t="s">
        <v>6206</v>
      </c>
      <c r="E200" s="106">
        <v>0</v>
      </c>
      <c r="F200" s="106">
        <v>615.166666666667</v>
      </c>
      <c r="G200" s="107">
        <f t="shared" si="16"/>
        <v>0.00507474629705757</v>
      </c>
      <c r="H200" s="107">
        <v>0.00771573084438332</v>
      </c>
      <c r="I200" s="110"/>
      <c r="J200" s="106"/>
      <c r="K200" s="122" t="e">
        <f>VLOOKUP(B200,正厂竞争者数据汇总!D:H,11,FALSE)</f>
        <v>#N/A</v>
      </c>
      <c r="L200" s="88" t="str">
        <f>IFERROR(VLOOKUP(B200,'Competitive Matrix'!$B$4:$D$22,2,FALSE),"")</f>
        <v>L:81% N:23%</v>
      </c>
      <c r="M200" s="88" t="s">
        <v>6102</v>
      </c>
      <c r="N200" s="88" t="s">
        <v>6054</v>
      </c>
      <c r="O200" s="126"/>
      <c r="P200" s="126"/>
    </row>
    <row r="201" spans="1:14">
      <c r="A201" s="89" t="s">
        <v>446</v>
      </c>
      <c r="B201" s="89" t="s">
        <v>4650</v>
      </c>
      <c r="C201" s="89">
        <v>0</v>
      </c>
      <c r="D201" s="89">
        <v>0</v>
      </c>
      <c r="E201" s="91">
        <v>0</v>
      </c>
      <c r="F201" s="91">
        <v>2190.16666666667</v>
      </c>
      <c r="G201" s="109">
        <f t="shared" si="16"/>
        <v>0.0180675267108192</v>
      </c>
      <c r="H201" s="109">
        <v>0.00465173774719324</v>
      </c>
      <c r="K201" s="118" t="e">
        <f>VLOOKUP(B201,正厂竞争者数据汇总!D:H,11,FALSE)</f>
        <v>#N/A</v>
      </c>
      <c r="L201" s="89" t="s">
        <v>180</v>
      </c>
      <c r="M201" s="89" t="s">
        <v>180</v>
      </c>
      <c r="N201" s="89">
        <v>8</v>
      </c>
    </row>
    <row r="202" spans="5:11">
      <c r="E202" s="91"/>
      <c r="F202" s="91">
        <v>121221.166666667</v>
      </c>
      <c r="K202" s="95"/>
    </row>
    <row r="203" spans="1:11">
      <c r="A203" s="101"/>
      <c r="C203" s="101"/>
      <c r="E203" s="91"/>
      <c r="K203" s="95"/>
    </row>
    <row r="205" ht="14.4" customHeight="1" spans="1:22">
      <c r="A205" s="96" t="s">
        <v>193</v>
      </c>
      <c r="B205" s="97"/>
      <c r="C205" s="98"/>
      <c r="E205" s="99" t="s">
        <v>2</v>
      </c>
      <c r="F205" s="100"/>
      <c r="G205" s="100"/>
      <c r="H205" s="100"/>
      <c r="I205" s="100"/>
      <c r="J205" s="100"/>
      <c r="K205" s="95"/>
      <c r="L205" s="102"/>
      <c r="M205" s="102"/>
      <c r="O205" s="128"/>
      <c r="P205" s="128"/>
      <c r="Q205" s="128"/>
      <c r="R205" s="132"/>
      <c r="S205" s="116"/>
      <c r="T205" s="128"/>
      <c r="U205" s="128"/>
      <c r="V205" s="132"/>
    </row>
    <row r="206" ht="46.8" spans="1:22">
      <c r="A206" s="101" t="s">
        <v>3944</v>
      </c>
      <c r="B206" s="102" t="s">
        <v>207</v>
      </c>
      <c r="C206" s="101" t="s">
        <v>447</v>
      </c>
      <c r="D206" s="89" t="s">
        <v>209</v>
      </c>
      <c r="E206" s="101" t="s">
        <v>210</v>
      </c>
      <c r="F206" s="103" t="s">
        <v>6086</v>
      </c>
      <c r="G206" s="104" t="s">
        <v>6207</v>
      </c>
      <c r="H206" s="104" t="s">
        <v>6208</v>
      </c>
      <c r="K206" s="118" t="s">
        <v>0</v>
      </c>
      <c r="L206" s="119" t="s">
        <v>6091</v>
      </c>
      <c r="M206" s="119" t="s">
        <v>6092</v>
      </c>
      <c r="N206" s="120" t="s">
        <v>6198</v>
      </c>
      <c r="O206" s="119" t="s">
        <v>225</v>
      </c>
      <c r="P206" s="120" t="s">
        <v>226</v>
      </c>
      <c r="Q206" s="119"/>
      <c r="R206" s="119"/>
      <c r="S206" s="119"/>
      <c r="T206" s="119"/>
      <c r="U206" s="119"/>
      <c r="V206" s="119"/>
    </row>
    <row r="207" spans="1:14">
      <c r="A207" s="89" t="s">
        <v>801</v>
      </c>
      <c r="B207" s="108" t="s">
        <v>476</v>
      </c>
      <c r="C207" s="89" t="s">
        <v>233</v>
      </c>
      <c r="D207" s="89" t="s">
        <v>234</v>
      </c>
      <c r="E207" s="91">
        <v>81390</v>
      </c>
      <c r="F207" s="91">
        <v>122282.5</v>
      </c>
      <c r="K207" s="118" t="e">
        <f>VLOOKUP(B207,正厂竞争者数据汇总!D:H,11,FALSE)</f>
        <v>#REF!</v>
      </c>
      <c r="L207" s="89" t="s">
        <v>180</v>
      </c>
      <c r="M207" s="89" t="s">
        <v>180</v>
      </c>
      <c r="N207" s="89" t="s">
        <v>5419</v>
      </c>
    </row>
    <row r="208" spans="1:15">
      <c r="A208" s="89" t="s">
        <v>230</v>
      </c>
      <c r="B208" s="89" t="s">
        <v>625</v>
      </c>
      <c r="C208" s="89" t="s">
        <v>233</v>
      </c>
      <c r="D208" s="89" t="s">
        <v>52</v>
      </c>
      <c r="E208" s="91">
        <v>0</v>
      </c>
      <c r="F208" s="91">
        <v>37982.3333333333</v>
      </c>
      <c r="G208" s="109">
        <f>F208/F$212</f>
        <v>0.645916856209567</v>
      </c>
      <c r="H208" s="109">
        <v>0.641638896283279</v>
      </c>
      <c r="K208" s="118" t="e">
        <f>VLOOKUP(B208,正厂竞争者数据汇总!D:H,11,FALSE)</f>
        <v>#N/A</v>
      </c>
      <c r="L208" s="89" t="s">
        <v>180</v>
      </c>
      <c r="M208" s="89" t="s">
        <v>180</v>
      </c>
      <c r="N208" s="89">
        <v>118</v>
      </c>
      <c r="O208" s="126"/>
    </row>
    <row r="209" ht="14.4" spans="1:14">
      <c r="A209" s="89" t="s">
        <v>367</v>
      </c>
      <c r="B209" s="108" t="s">
        <v>626</v>
      </c>
      <c r="C209" s="89" t="s">
        <v>233</v>
      </c>
      <c r="D209" s="89" t="s">
        <v>49</v>
      </c>
      <c r="E209" s="151"/>
      <c r="F209" s="91">
        <v>14116.25</v>
      </c>
      <c r="G209" s="109">
        <f>F209/F$212</f>
        <v>0.240056969155879</v>
      </c>
      <c r="H209" s="109">
        <v>0.219906090633253</v>
      </c>
      <c r="K209" s="118" t="e">
        <f>VLOOKUP(B209,正厂竞争者数据汇总!D:H,11,FALSE)</f>
        <v>#N/A</v>
      </c>
      <c r="L209" s="89" t="s">
        <v>180</v>
      </c>
      <c r="M209" s="89" t="s">
        <v>180</v>
      </c>
      <c r="N209" s="89">
        <v>481</v>
      </c>
    </row>
    <row r="210" ht="14.4" spans="1:15">
      <c r="A210" s="89" t="s">
        <v>230</v>
      </c>
      <c r="B210" s="89" t="s">
        <v>373</v>
      </c>
      <c r="C210" s="89" t="s">
        <v>477</v>
      </c>
      <c r="D210" s="89" t="s">
        <v>250</v>
      </c>
      <c r="E210" s="91">
        <v>3939</v>
      </c>
      <c r="F210" s="91">
        <v>6371.83333333333</v>
      </c>
      <c r="G210" s="109">
        <f>F210/F$212</f>
        <v>0.108357601910309</v>
      </c>
      <c r="H210" s="109">
        <v>0.10319757969649</v>
      </c>
      <c r="K210" s="118" t="e">
        <f>VLOOKUP(B210,正厂竞争者数据汇总!D:H,11,FALSE)</f>
        <v>#REF!</v>
      </c>
      <c r="L210" s="89" t="s">
        <v>180</v>
      </c>
      <c r="M210" s="89" t="s">
        <v>180</v>
      </c>
      <c r="N210" s="89">
        <v>78</v>
      </c>
      <c r="O210" s="126" t="s">
        <v>4660</v>
      </c>
    </row>
    <row r="211" s="88" customFormat="1" spans="1:16">
      <c r="A211" s="88" t="s">
        <v>227</v>
      </c>
      <c r="B211" s="88" t="s">
        <v>4662</v>
      </c>
      <c r="C211" s="88" t="s">
        <v>233</v>
      </c>
      <c r="D211" s="88" t="s">
        <v>234</v>
      </c>
      <c r="E211" s="106">
        <v>0</v>
      </c>
      <c r="F211" s="106">
        <v>333.333333333333</v>
      </c>
      <c r="G211" s="107">
        <f>F211/F$212</f>
        <v>0.00566857272424519</v>
      </c>
      <c r="H211" s="107">
        <v>0.0352574333869779</v>
      </c>
      <c r="I211" s="110"/>
      <c r="J211" s="106"/>
      <c r="K211" s="122" t="e">
        <f>VLOOKUP(B211,正厂竞争者数据汇总!D:H,11,FALSE)</f>
        <v>#N/A</v>
      </c>
      <c r="L211" s="88" t="str">
        <f>IFERROR(VLOOKUP(B211,'Competitive Matrix'!$B$4:$D$22,2,FALSE),"")</f>
        <v>L:89% N:29%</v>
      </c>
      <c r="M211" s="88" t="s">
        <v>6102</v>
      </c>
      <c r="N211" s="153" t="s">
        <v>6080</v>
      </c>
      <c r="O211" s="126"/>
      <c r="P211" s="126"/>
    </row>
    <row r="212" spans="6:6">
      <c r="F212" s="140">
        <v>58803.75</v>
      </c>
    </row>
    <row r="213" spans="6:6">
      <c r="F213" s="140"/>
    </row>
    <row r="214" spans="5:11">
      <c r="E214" s="91"/>
      <c r="K214" s="95"/>
    </row>
    <row r="225" spans="2:2">
      <c r="B225" s="108"/>
    </row>
  </sheetData>
  <mergeCells count="38">
    <mergeCell ref="P1:R1"/>
    <mergeCell ref="S1:V1"/>
    <mergeCell ref="P14:R14"/>
    <mergeCell ref="S14:V14"/>
    <mergeCell ref="P26:R26"/>
    <mergeCell ref="S26:V26"/>
    <mergeCell ref="P40:R40"/>
    <mergeCell ref="S40:V40"/>
    <mergeCell ref="P50:R50"/>
    <mergeCell ref="S50:V50"/>
    <mergeCell ref="P66:R66"/>
    <mergeCell ref="S66:V66"/>
    <mergeCell ref="P79:R79"/>
    <mergeCell ref="S79:V79"/>
    <mergeCell ref="P90:R90"/>
    <mergeCell ref="S90:V90"/>
    <mergeCell ref="P105:R105"/>
    <mergeCell ref="S105:V105"/>
    <mergeCell ref="P116:R116"/>
    <mergeCell ref="S116:V116"/>
    <mergeCell ref="P124:R124"/>
    <mergeCell ref="S124:V124"/>
    <mergeCell ref="P133:R133"/>
    <mergeCell ref="S133:V133"/>
    <mergeCell ref="P143:R143"/>
    <mergeCell ref="S143:V143"/>
    <mergeCell ref="P154:R154"/>
    <mergeCell ref="S154:V154"/>
    <mergeCell ref="P164:R164"/>
    <mergeCell ref="S164:V164"/>
    <mergeCell ref="P177:R177"/>
    <mergeCell ref="S177:V177"/>
    <mergeCell ref="P187:R187"/>
    <mergeCell ref="S187:V187"/>
    <mergeCell ref="P194:R194"/>
    <mergeCell ref="S194:V194"/>
    <mergeCell ref="P205:R205"/>
    <mergeCell ref="S205:V205"/>
  </mergeCells>
  <conditionalFormatting sqref="B9:B10">
    <cfRule type="duplicateValues" dxfId="0" priority="2"/>
  </conditionalFormatting>
  <conditionalFormatting sqref="B28:B33">
    <cfRule type="duplicateValues" dxfId="0" priority="1"/>
  </conditionalFormatting>
  <hyperlinks>
    <hyperlink ref="B59" r:id="rId1" display="www.bluespringsfordparts.com"/>
    <hyperlink ref="B55" r:id="rId2" display="accessories.ford.com"/>
    <hyperlink ref="B184" r:id="rId3" display="www.mazdapartsprime.com"/>
    <hyperlink ref="B160" r:id="rId4" display="www.erievolvo.com"/>
    <hyperlink ref="B158" r:id="rId5" display="usparts.volvocars.com"/>
    <hyperlink ref="B180" r:id="rId6" display="www.realmazdaparts.com"/>
    <hyperlink ref="B173" r:id="rId7" display="www.vwpartsprime.com"/>
    <hyperlink ref="B112" r:id="rId8" display="acura.bernardiparts.com"/>
    <hyperlink ref="B87" r:id="rId9" display="www.hyundaionlineparts.net"/>
    <hyperlink ref="B70" r:id="rId10" display="www.courtesyparts.com"/>
    <hyperlink ref="B10" r:id="rId11" display="www.gmpartsdirect.co"/>
    <hyperlink ref="B95" r:id="rId12" display="www.subaruonlineparts.com"/>
    <hyperlink ref="B140" r:id="rId13" display="www.infinitipartsusa.com"/>
    <hyperlink ref="B137" r:id="rId14" display="www.infinitipartsonline.com"/>
    <hyperlink ref="B110" r:id="rId15" display="www.oemacuraparts.com"/>
    <hyperlink ref="B128" r:id="rId16" display="www.kiapartsdepartment.com"/>
    <hyperlink ref="B60" r:id="rId1" display="www.villagefordparts.com"/>
    <hyperlink ref="B113" r:id="rId17" display="www.acuraautomotiveparts.org"/>
    <hyperlink ref="B172" r:id="rId18" display="www.vwdiscountparts.com"/>
    <hyperlink ref="B82" r:id="rId19" display="www.hyundaioemparts.com"/>
    <hyperlink ref="B83" r:id="rId20" display="www.wholesalehyundaiparts.com"/>
    <hyperlink ref="B48" r:id="rId21" display="www.MoparPartsPrime.com"/>
  </hyperlinks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25"/>
  <sheetViews>
    <sheetView workbookViewId="0">
      <selection activeCell="A1" sqref="A1"/>
    </sheetView>
  </sheetViews>
  <sheetFormatPr defaultColWidth="9" defaultRowHeight="13.8"/>
  <cols>
    <col min="1" max="1" width="19.1111111111111" style="89" customWidth="1"/>
    <col min="2" max="2" width="28.3333333333333" style="89" customWidth="1"/>
    <col min="3" max="3" width="27.7777777777778" style="90" customWidth="1"/>
    <col min="4" max="4" width="8.22222222222222" style="89" customWidth="1"/>
    <col min="5" max="5" width="19.8888888888889" style="89" customWidth="1"/>
    <col min="6" max="6" width="21.4444444444444" style="91" customWidth="1"/>
    <col min="7" max="7" width="21.3333333333333" style="91" customWidth="1"/>
    <col min="8" max="8" width="18.7777777777778" style="91" customWidth="1"/>
    <col min="9" max="9" width="8.66666666666667" style="92" hidden="1" customWidth="1"/>
    <col min="10" max="10" width="9.33333333333333" style="91" hidden="1" customWidth="1"/>
    <col min="11" max="11" width="17.4444444444444" style="94" customWidth="1"/>
    <col min="12" max="12" width="17.7777777777778" style="89" customWidth="1"/>
    <col min="13" max="13" width="17.1111111111111" style="89" customWidth="1"/>
    <col min="14" max="14" width="12.2222222222222" style="89" customWidth="1"/>
    <col min="15" max="15" width="18" style="95" customWidth="1"/>
    <col min="16" max="16" width="20.7777777777778" style="95" customWidth="1"/>
    <col min="17" max="17" width="10.8888888888889" style="89" customWidth="1"/>
    <col min="18" max="18" width="11.1111111111111" style="89" customWidth="1"/>
    <col min="19" max="19" width="10.8888888888889" style="89" customWidth="1"/>
    <col min="20" max="20" width="10.2222222222222" style="89" customWidth="1"/>
    <col min="21" max="21" width="11" style="89" customWidth="1"/>
    <col min="22" max="22" width="10.2222222222222" style="89" customWidth="1"/>
    <col min="23" max="16384" width="9" style="89"/>
  </cols>
  <sheetData>
    <row r="1" ht="27.6" customHeight="1" spans="1:22">
      <c r="A1" s="96" t="s">
        <v>145</v>
      </c>
      <c r="B1" s="97"/>
      <c r="C1" s="98"/>
      <c r="E1" s="99" t="s">
        <v>2</v>
      </c>
      <c r="F1" s="100"/>
      <c r="G1" s="100"/>
      <c r="H1" s="100"/>
      <c r="I1" s="115"/>
      <c r="J1" s="100"/>
      <c r="L1" s="102"/>
      <c r="M1" s="102"/>
      <c r="P1" s="116"/>
      <c r="Q1" s="128"/>
      <c r="R1" s="132"/>
      <c r="S1" s="116"/>
      <c r="T1" s="128"/>
      <c r="U1" s="128"/>
      <c r="V1" s="132"/>
    </row>
    <row r="2" ht="46.8" spans="1:22">
      <c r="A2" s="101" t="s">
        <v>3944</v>
      </c>
      <c r="B2" s="102" t="s">
        <v>207</v>
      </c>
      <c r="C2" s="101" t="s">
        <v>447</v>
      </c>
      <c r="D2" s="89" t="s">
        <v>209</v>
      </c>
      <c r="E2" s="101" t="s">
        <v>210</v>
      </c>
      <c r="F2" s="103" t="s">
        <v>6086</v>
      </c>
      <c r="G2" s="104" t="s">
        <v>6209</v>
      </c>
      <c r="H2" s="104" t="s">
        <v>6210</v>
      </c>
      <c r="I2" s="117" t="s">
        <v>6196</v>
      </c>
      <c r="J2" s="91" t="s">
        <v>6197</v>
      </c>
      <c r="K2" s="118" t="s">
        <v>0</v>
      </c>
      <c r="L2" s="119" t="s">
        <v>6091</v>
      </c>
      <c r="M2" s="101" t="s">
        <v>6092</v>
      </c>
      <c r="N2" s="120" t="s">
        <v>6198</v>
      </c>
      <c r="O2" s="119" t="s">
        <v>225</v>
      </c>
      <c r="P2" s="120" t="s">
        <v>226</v>
      </c>
      <c r="Q2" s="119"/>
      <c r="R2" s="119"/>
      <c r="S2" s="119"/>
      <c r="T2" s="119"/>
      <c r="U2" s="119"/>
      <c r="V2" s="119"/>
    </row>
    <row r="3" s="88" customFormat="1" ht="15.15" spans="1:22">
      <c r="A3" s="89" t="s">
        <v>230</v>
      </c>
      <c r="B3" s="108" t="s">
        <v>500</v>
      </c>
      <c r="C3" s="89" t="s">
        <v>233</v>
      </c>
      <c r="D3" s="89" t="s">
        <v>417</v>
      </c>
      <c r="E3" s="91">
        <v>0</v>
      </c>
      <c r="F3" s="91">
        <v>479488.75</v>
      </c>
      <c r="G3" s="92">
        <f t="shared" ref="G3:G11" si="0">F3/F$12</f>
        <v>0.233942638881701</v>
      </c>
      <c r="H3" s="92">
        <v>0.230540972893154</v>
      </c>
      <c r="I3" s="109" t="str">
        <f t="shared" ref="I3:I11" si="1">IFERROR(J3*0.5/$F$3,"")</f>
        <v/>
      </c>
      <c r="J3" s="91" t="s">
        <v>180</v>
      </c>
      <c r="K3" s="118">
        <v>0</v>
      </c>
      <c r="L3" s="89" t="s">
        <v>180</v>
      </c>
      <c r="M3" s="89" t="s">
        <v>180</v>
      </c>
      <c r="N3" s="89">
        <v>1900</v>
      </c>
      <c r="O3" s="126" t="s">
        <v>4048</v>
      </c>
      <c r="P3" s="125"/>
      <c r="S3" s="89"/>
      <c r="T3" s="89"/>
      <c r="U3" s="89"/>
      <c r="V3" s="89"/>
    </row>
    <row r="4" ht="14.4" spans="1:22">
      <c r="A4" s="88" t="s">
        <v>227</v>
      </c>
      <c r="B4" s="105" t="s">
        <v>501</v>
      </c>
      <c r="C4" s="88" t="s">
        <v>441</v>
      </c>
      <c r="D4" s="88" t="s">
        <v>234</v>
      </c>
      <c r="E4" s="106">
        <v>0</v>
      </c>
      <c r="F4" s="106">
        <v>416719.5</v>
      </c>
      <c r="G4" s="107">
        <f t="shared" si="0"/>
        <v>0.203317511627672</v>
      </c>
      <c r="H4" s="107">
        <v>0.193119274445799</v>
      </c>
      <c r="I4" s="107" t="str">
        <f t="shared" si="1"/>
        <v/>
      </c>
      <c r="J4" s="106" t="s">
        <v>180</v>
      </c>
      <c r="K4" s="152"/>
      <c r="L4" s="88" t="str">
        <f>IFERROR(VLOOKUP(B4,'Competitive Matrix'!$B$4:$D$22,2,FALSE),"")</f>
        <v>L:78% N:49% D:82% 有销售:81%</v>
      </c>
      <c r="M4" s="123" t="s">
        <v>6095</v>
      </c>
      <c r="N4" s="88">
        <v>1200</v>
      </c>
      <c r="O4" s="124"/>
      <c r="P4" s="125"/>
      <c r="Q4" s="126"/>
      <c r="R4" s="126"/>
      <c r="S4" s="126"/>
      <c r="T4" s="126"/>
      <c r="U4" s="126"/>
      <c r="V4" s="126"/>
    </row>
    <row r="5" ht="14.4" spans="1:18">
      <c r="A5" s="89" t="s">
        <v>230</v>
      </c>
      <c r="B5" s="108" t="s">
        <v>499</v>
      </c>
      <c r="C5" s="89" t="s">
        <v>233</v>
      </c>
      <c r="D5" s="89" t="s">
        <v>60</v>
      </c>
      <c r="E5" s="91">
        <v>0</v>
      </c>
      <c r="F5" s="91">
        <v>336767.25</v>
      </c>
      <c r="G5" s="109">
        <f t="shared" si="0"/>
        <v>0.164308795887148</v>
      </c>
      <c r="H5" s="109">
        <v>0.172957217046001</v>
      </c>
      <c r="I5" s="109">
        <f t="shared" si="1"/>
        <v>0.105351976454088</v>
      </c>
      <c r="J5" s="91">
        <v>101030.175</v>
      </c>
      <c r="K5" s="118">
        <v>0</v>
      </c>
      <c r="L5" s="89" t="s">
        <v>180</v>
      </c>
      <c r="M5" s="89" t="s">
        <v>180</v>
      </c>
      <c r="N5" s="89">
        <v>899</v>
      </c>
      <c r="O5" s="125"/>
      <c r="P5" s="125"/>
      <c r="Q5" s="133"/>
      <c r="R5" s="133"/>
    </row>
    <row r="6" ht="14.4" spans="1:18">
      <c r="A6" s="89" t="s">
        <v>230</v>
      </c>
      <c r="B6" s="108" t="s">
        <v>503</v>
      </c>
      <c r="C6" s="89" t="s">
        <v>233</v>
      </c>
      <c r="D6" s="89" t="s">
        <v>58</v>
      </c>
      <c r="E6" s="91">
        <v>0</v>
      </c>
      <c r="F6" s="91">
        <v>309125.25</v>
      </c>
      <c r="G6" s="92">
        <f t="shared" si="0"/>
        <v>0.150822259604559</v>
      </c>
      <c r="H6" s="92">
        <v>0.13013073677874</v>
      </c>
      <c r="I6" s="109">
        <f t="shared" si="1"/>
        <v>0.0967046411412155</v>
      </c>
      <c r="J6" s="91">
        <v>92737.575</v>
      </c>
      <c r="K6" s="118">
        <v>0</v>
      </c>
      <c r="L6" s="89" t="s">
        <v>180</v>
      </c>
      <c r="M6" s="89" t="s">
        <v>180</v>
      </c>
      <c r="N6" s="89">
        <v>558</v>
      </c>
      <c r="O6" s="125"/>
      <c r="P6" s="124"/>
      <c r="Q6" s="88"/>
      <c r="R6" s="88"/>
    </row>
    <row r="7" spans="1:14">
      <c r="A7" s="89" t="s">
        <v>487</v>
      </c>
      <c r="B7" s="108" t="s">
        <v>504</v>
      </c>
      <c r="C7" s="89" t="s">
        <v>6099</v>
      </c>
      <c r="D7" s="89" t="s">
        <v>418</v>
      </c>
      <c r="E7" s="91">
        <v>0</v>
      </c>
      <c r="F7" s="91">
        <v>218860.833333333</v>
      </c>
      <c r="G7" s="92">
        <f t="shared" si="0"/>
        <v>0.106782236075086</v>
      </c>
      <c r="H7" s="92">
        <v>0.114608695941373</v>
      </c>
      <c r="I7" s="109" t="str">
        <f t="shared" si="1"/>
        <v/>
      </c>
      <c r="J7" s="91" t="s">
        <v>180</v>
      </c>
      <c r="K7" s="118">
        <v>0</v>
      </c>
      <c r="L7" s="89" t="s">
        <v>180</v>
      </c>
      <c r="N7" s="89">
        <v>1100</v>
      </c>
    </row>
    <row r="8" spans="1:14">
      <c r="A8" s="89" t="s">
        <v>230</v>
      </c>
      <c r="B8" s="108" t="s">
        <v>505</v>
      </c>
      <c r="C8" s="89" t="s">
        <v>233</v>
      </c>
      <c r="D8" s="89" t="s">
        <v>451</v>
      </c>
      <c r="E8" s="91">
        <v>0</v>
      </c>
      <c r="F8" s="91">
        <v>173980.833333333</v>
      </c>
      <c r="G8" s="109">
        <f t="shared" si="0"/>
        <v>0.084885276797083</v>
      </c>
      <c r="H8" s="109">
        <v>0.0923693920955965</v>
      </c>
      <c r="I8" s="109" t="str">
        <f t="shared" si="1"/>
        <v/>
      </c>
      <c r="J8" s="91" t="s">
        <v>180</v>
      </c>
      <c r="K8" s="118">
        <v>0</v>
      </c>
      <c r="L8" s="89" t="s">
        <v>180</v>
      </c>
      <c r="M8" s="89" t="s">
        <v>180</v>
      </c>
      <c r="N8" s="89">
        <v>394</v>
      </c>
    </row>
    <row r="9" spans="1:14">
      <c r="A9" s="89" t="s">
        <v>230</v>
      </c>
      <c r="B9" s="108" t="s">
        <v>506</v>
      </c>
      <c r="C9" s="89" t="s">
        <v>233</v>
      </c>
      <c r="D9" s="89" t="s">
        <v>58</v>
      </c>
      <c r="E9" s="91">
        <v>0</v>
      </c>
      <c r="F9" s="91">
        <v>92588.8333333333</v>
      </c>
      <c r="G9" s="109">
        <f t="shared" si="0"/>
        <v>0.0451741067980802</v>
      </c>
      <c r="H9" s="109">
        <v>0.0546320762403947</v>
      </c>
      <c r="I9" s="109">
        <f t="shared" si="1"/>
        <v>0.0289648610108162</v>
      </c>
      <c r="J9" s="91">
        <v>27776.65</v>
      </c>
      <c r="K9" s="118">
        <v>0</v>
      </c>
      <c r="L9" s="89" t="s">
        <v>180</v>
      </c>
      <c r="M9" s="89" t="s">
        <v>180</v>
      </c>
      <c r="N9" s="89">
        <v>137</v>
      </c>
    </row>
    <row r="10" spans="1:18">
      <c r="A10" s="89" t="s">
        <v>230</v>
      </c>
      <c r="B10" s="108" t="s">
        <v>5202</v>
      </c>
      <c r="C10" s="89" t="s">
        <v>233</v>
      </c>
      <c r="D10" s="89" t="s">
        <v>59</v>
      </c>
      <c r="E10" s="91">
        <v>0</v>
      </c>
      <c r="F10" s="91">
        <v>16941.7967</v>
      </c>
      <c r="G10" s="92">
        <f t="shared" si="0"/>
        <v>0.00826590535731087</v>
      </c>
      <c r="H10" s="92">
        <v>0.0093950638634697</v>
      </c>
      <c r="I10" s="109">
        <f t="shared" si="1"/>
        <v>0.00529995647447412</v>
      </c>
      <c r="J10" s="91">
        <v>5082.53901</v>
      </c>
      <c r="K10" s="118">
        <v>0</v>
      </c>
      <c r="L10" s="89" t="s">
        <v>180</v>
      </c>
      <c r="N10" s="89">
        <v>738</v>
      </c>
      <c r="O10" s="126"/>
      <c r="Q10" s="133"/>
      <c r="R10" s="133"/>
    </row>
    <row r="11" s="88" customFormat="1" spans="1:16">
      <c r="A11" s="88" t="s">
        <v>227</v>
      </c>
      <c r="B11" s="88" t="s">
        <v>147</v>
      </c>
      <c r="C11" s="88" t="s">
        <v>233</v>
      </c>
      <c r="E11" s="106">
        <v>0</v>
      </c>
      <c r="F11" s="106">
        <v>5126.6</v>
      </c>
      <c r="G11" s="110">
        <f t="shared" si="0"/>
        <v>0.00250126897135945</v>
      </c>
      <c r="H11" s="110">
        <v>0.00224657069547244</v>
      </c>
      <c r="I11" s="107" t="str">
        <f t="shared" si="1"/>
        <v/>
      </c>
      <c r="J11" s="106" t="s">
        <v>180</v>
      </c>
      <c r="K11" s="122">
        <v>0</v>
      </c>
      <c r="L11" s="88" t="str">
        <f>IFERROR(VLOOKUP(B11,'Competitive Matrix'!$B$4:$D$22,2,FALSE),"")</f>
        <v>L:70% N:20%</v>
      </c>
      <c r="M11" s="127" t="s">
        <v>6102</v>
      </c>
      <c r="N11" s="88">
        <v>440</v>
      </c>
      <c r="O11" s="126"/>
      <c r="P11" s="126"/>
    </row>
    <row r="12" spans="5:11">
      <c r="E12" s="91"/>
      <c r="F12" s="91">
        <v>2049599.6467</v>
      </c>
      <c r="I12" s="109">
        <f>SUM(I4:I11)</f>
        <v>0.236321435080594</v>
      </c>
      <c r="K12" s="118"/>
    </row>
    <row r="13" spans="5:11">
      <c r="E13" s="91"/>
      <c r="I13" s="109"/>
      <c r="K13" s="118"/>
    </row>
    <row r="14" ht="14.4" customHeight="1" spans="1:22">
      <c r="A14" s="96" t="s">
        <v>4082</v>
      </c>
      <c r="B14" s="98"/>
      <c r="C14" s="98"/>
      <c r="E14" s="99" t="s">
        <v>2</v>
      </c>
      <c r="F14" s="100"/>
      <c r="G14" s="100"/>
      <c r="H14" s="100"/>
      <c r="I14" s="115"/>
      <c r="J14" s="100"/>
      <c r="L14" s="102"/>
      <c r="M14" s="102"/>
      <c r="O14" s="128"/>
      <c r="P14" s="128"/>
      <c r="Q14" s="128"/>
      <c r="R14" s="132"/>
      <c r="S14" s="116"/>
      <c r="T14" s="128"/>
      <c r="U14" s="128"/>
      <c r="V14" s="132"/>
    </row>
    <row r="15" ht="46.8" spans="1:22">
      <c r="A15" s="101" t="s">
        <v>3944</v>
      </c>
      <c r="B15" s="89" t="s">
        <v>207</v>
      </c>
      <c r="C15" s="101" t="s">
        <v>447</v>
      </c>
      <c r="D15" s="89" t="s">
        <v>209</v>
      </c>
      <c r="E15" s="101" t="s">
        <v>210</v>
      </c>
      <c r="F15" s="103" t="s">
        <v>6086</v>
      </c>
      <c r="G15" s="104" t="s">
        <v>6209</v>
      </c>
      <c r="H15" s="104" t="s">
        <v>6210</v>
      </c>
      <c r="I15" s="117" t="s">
        <v>6196</v>
      </c>
      <c r="J15" s="91" t="s">
        <v>6197</v>
      </c>
      <c r="K15" s="118" t="s">
        <v>0</v>
      </c>
      <c r="L15" s="119" t="s">
        <v>6091</v>
      </c>
      <c r="M15" s="119" t="s">
        <v>6092</v>
      </c>
      <c r="N15" s="120" t="s">
        <v>6198</v>
      </c>
      <c r="O15" s="119" t="s">
        <v>225</v>
      </c>
      <c r="P15" s="120" t="s">
        <v>226</v>
      </c>
      <c r="Q15" s="119"/>
      <c r="R15" s="119"/>
      <c r="S15" s="119"/>
      <c r="T15" s="119"/>
      <c r="U15" s="119"/>
      <c r="V15" s="119"/>
    </row>
    <row r="16" ht="14.4" spans="1:22">
      <c r="A16" s="88" t="s">
        <v>227</v>
      </c>
      <c r="B16" s="105" t="s">
        <v>528</v>
      </c>
      <c r="C16" s="88" t="s">
        <v>441</v>
      </c>
      <c r="D16" s="88" t="s">
        <v>234</v>
      </c>
      <c r="E16" s="106">
        <v>0</v>
      </c>
      <c r="F16" s="106">
        <v>494835.137283333</v>
      </c>
      <c r="G16" s="110">
        <f t="shared" ref="G16:G22" si="2">F16/F$24</f>
        <v>0.359861613642281</v>
      </c>
      <c r="H16" s="110">
        <v>0.355279447915432</v>
      </c>
      <c r="I16" s="110" t="str">
        <f t="shared" ref="I16:I23" si="3">IFERROR(J16*0.5/$D$18,"")</f>
        <v/>
      </c>
      <c r="J16" s="106" t="s">
        <v>180</v>
      </c>
      <c r="K16" s="122">
        <v>0</v>
      </c>
      <c r="L16" s="88" t="str">
        <f>IFERROR(VLOOKUP(B16,'Competitive Matrix'!$B$4:$D$22,2,FALSE),"")</f>
        <v>L:92% N:66% D:96% 有销售:90%</v>
      </c>
      <c r="M16" s="88" t="s">
        <v>6105</v>
      </c>
      <c r="N16" s="88">
        <v>648</v>
      </c>
      <c r="O16" s="125"/>
      <c r="P16" s="125"/>
      <c r="Q16" s="88"/>
      <c r="R16" s="88"/>
      <c r="S16" s="88"/>
      <c r="T16" s="88"/>
      <c r="U16" s="88"/>
      <c r="V16" s="88"/>
    </row>
    <row r="17" spans="1:14">
      <c r="A17" s="89" t="s">
        <v>230</v>
      </c>
      <c r="B17" s="89" t="s">
        <v>242</v>
      </c>
      <c r="C17" s="89" t="s">
        <v>233</v>
      </c>
      <c r="D17" s="89" t="s">
        <v>414</v>
      </c>
      <c r="E17" s="91">
        <v>0</v>
      </c>
      <c r="F17" s="91">
        <v>414655</v>
      </c>
      <c r="G17" s="92">
        <f t="shared" si="2"/>
        <v>0.301551781920855</v>
      </c>
      <c r="H17" s="92">
        <v>0.304593644219328</v>
      </c>
      <c r="I17" s="92" t="str">
        <f t="shared" si="3"/>
        <v/>
      </c>
      <c r="J17" s="91" t="s">
        <v>180</v>
      </c>
      <c r="K17" s="118">
        <v>0</v>
      </c>
      <c r="L17" s="89" t="s">
        <v>180</v>
      </c>
      <c r="M17" s="89" t="s">
        <v>180</v>
      </c>
      <c r="N17" s="89">
        <v>872</v>
      </c>
    </row>
    <row r="18" s="88" customFormat="1" spans="1:22">
      <c r="A18" s="89" t="s">
        <v>446</v>
      </c>
      <c r="B18" s="108" t="s">
        <v>4114</v>
      </c>
      <c r="C18" s="89" t="s">
        <v>233</v>
      </c>
      <c r="D18" s="89" t="s">
        <v>266</v>
      </c>
      <c r="E18" s="91">
        <v>0</v>
      </c>
      <c r="F18" s="91">
        <v>150383.7511</v>
      </c>
      <c r="G18" s="92">
        <f t="shared" si="2"/>
        <v>0.109364382718519</v>
      </c>
      <c r="H18" s="92">
        <v>0.1124157391784</v>
      </c>
      <c r="I18" s="92" t="str">
        <f t="shared" si="3"/>
        <v/>
      </c>
      <c r="J18" s="91" t="s">
        <v>180</v>
      </c>
      <c r="K18" s="118">
        <v>0</v>
      </c>
      <c r="L18" s="89" t="s">
        <v>180</v>
      </c>
      <c r="M18" s="89" t="s">
        <v>180</v>
      </c>
      <c r="N18" s="89">
        <v>672</v>
      </c>
      <c r="O18" s="95"/>
      <c r="P18" s="95"/>
      <c r="Q18" s="89"/>
      <c r="R18" s="89"/>
      <c r="S18" s="89"/>
      <c r="T18" s="89"/>
      <c r="U18" s="89"/>
      <c r="V18" s="89"/>
    </row>
    <row r="19" spans="1:15">
      <c r="A19" s="89" t="s">
        <v>243</v>
      </c>
      <c r="B19" s="89" t="s">
        <v>244</v>
      </c>
      <c r="C19" s="89" t="s">
        <v>454</v>
      </c>
      <c r="D19" s="89" t="s">
        <v>266</v>
      </c>
      <c r="E19" s="91">
        <v>0</v>
      </c>
      <c r="F19" s="91">
        <v>138354.583333333</v>
      </c>
      <c r="G19" s="109">
        <f t="shared" si="2"/>
        <v>0.100616346459307</v>
      </c>
      <c r="H19" s="109">
        <v>0.105290601865917</v>
      </c>
      <c r="I19" s="92" t="str">
        <f t="shared" si="3"/>
        <v/>
      </c>
      <c r="J19" s="91" t="s">
        <v>180</v>
      </c>
      <c r="K19" s="118">
        <v>0</v>
      </c>
      <c r="L19" s="89" t="s">
        <v>180</v>
      </c>
      <c r="M19" s="89" t="s">
        <v>180</v>
      </c>
      <c r="N19" s="89">
        <v>464</v>
      </c>
      <c r="O19" s="126"/>
    </row>
    <row r="20" ht="14.4" spans="1:16">
      <c r="A20" s="89" t="s">
        <v>230</v>
      </c>
      <c r="B20" s="108" t="s">
        <v>416</v>
      </c>
      <c r="C20" s="89" t="s">
        <v>233</v>
      </c>
      <c r="D20" s="89" t="s">
        <v>291</v>
      </c>
      <c r="E20" s="91">
        <v>0</v>
      </c>
      <c r="F20" s="91">
        <v>153886.666666667</v>
      </c>
      <c r="G20" s="109">
        <f t="shared" si="2"/>
        <v>0.11191182681312</v>
      </c>
      <c r="H20" s="109">
        <v>0.111144595559007</v>
      </c>
      <c r="I20" s="92" t="str">
        <f t="shared" si="3"/>
        <v/>
      </c>
      <c r="J20" s="91" t="s">
        <v>180</v>
      </c>
      <c r="K20" s="118">
        <v>0</v>
      </c>
      <c r="L20" s="89" t="s">
        <v>180</v>
      </c>
      <c r="M20" s="89" t="s">
        <v>180</v>
      </c>
      <c r="N20" s="89">
        <v>230</v>
      </c>
      <c r="O20" s="126"/>
      <c r="P20" s="125"/>
    </row>
    <row r="21" spans="1:14">
      <c r="A21" s="89" t="s">
        <v>243</v>
      </c>
      <c r="B21" s="89" t="s">
        <v>2556</v>
      </c>
      <c r="C21" s="89" t="s">
        <v>454</v>
      </c>
      <c r="D21" s="89" t="s">
        <v>266</v>
      </c>
      <c r="E21" s="91">
        <v>0</v>
      </c>
      <c r="F21" s="91">
        <v>18548.8333333333</v>
      </c>
      <c r="G21" s="109">
        <f t="shared" si="2"/>
        <v>0.0134893676531565</v>
      </c>
      <c r="H21" s="109">
        <v>0.00973450469107312</v>
      </c>
      <c r="I21" s="92" t="str">
        <f t="shared" si="3"/>
        <v/>
      </c>
      <c r="J21" s="91" t="s">
        <v>180</v>
      </c>
      <c r="K21" s="118">
        <v>0</v>
      </c>
      <c r="L21" s="89" t="s">
        <v>180</v>
      </c>
      <c r="M21" s="89" t="s">
        <v>180</v>
      </c>
      <c r="N21" s="89">
        <v>343</v>
      </c>
    </row>
    <row r="22" spans="1:22">
      <c r="A22" s="88" t="s">
        <v>227</v>
      </c>
      <c r="B22" s="88" t="s">
        <v>143</v>
      </c>
      <c r="C22" s="88" t="s">
        <v>233</v>
      </c>
      <c r="D22" s="88" t="s">
        <v>234</v>
      </c>
      <c r="E22" s="106">
        <v>0</v>
      </c>
      <c r="F22" s="106">
        <v>4406.66245</v>
      </c>
      <c r="G22" s="107">
        <f t="shared" si="2"/>
        <v>0.00320468079275837</v>
      </c>
      <c r="H22" s="107">
        <v>0.00154146657084386</v>
      </c>
      <c r="I22" s="110" t="str">
        <f t="shared" si="3"/>
        <v/>
      </c>
      <c r="J22" s="106" t="s">
        <v>180</v>
      </c>
      <c r="K22" s="122">
        <v>0</v>
      </c>
      <c r="L22" s="88" t="str">
        <f>IFERROR(VLOOKUP(B22,'Competitive Matrix'!$B$4:$D$22,2,FALSE),"")</f>
        <v>L:71% N:20%</v>
      </c>
      <c r="M22" s="88" t="s">
        <v>6102</v>
      </c>
      <c r="N22" s="88" t="s">
        <v>5495</v>
      </c>
      <c r="O22" s="126"/>
      <c r="P22" s="126"/>
      <c r="Q22" s="88"/>
      <c r="R22" s="88"/>
      <c r="S22" s="88"/>
      <c r="T22" s="88"/>
      <c r="U22" s="88"/>
      <c r="V22" s="88"/>
    </row>
    <row r="23" s="88" customFormat="1" ht="43.2" spans="1:22">
      <c r="A23" s="89" t="s">
        <v>801</v>
      </c>
      <c r="B23" s="108" t="s">
        <v>534</v>
      </c>
      <c r="C23" s="89" t="s">
        <v>441</v>
      </c>
      <c r="D23" s="89" t="s">
        <v>234</v>
      </c>
      <c r="E23" s="91">
        <v>0</v>
      </c>
      <c r="F23" s="106">
        <v>483875.166666667</v>
      </c>
      <c r="G23" s="92"/>
      <c r="H23" s="92"/>
      <c r="I23" s="92" t="str">
        <f t="shared" si="3"/>
        <v/>
      </c>
      <c r="J23" s="91" t="s">
        <v>180</v>
      </c>
      <c r="K23" s="118" t="s">
        <v>6111</v>
      </c>
      <c r="L23" s="89" t="s">
        <v>180</v>
      </c>
      <c r="M23" s="89" t="s">
        <v>180</v>
      </c>
      <c r="N23" s="89" t="s">
        <v>5419</v>
      </c>
      <c r="O23" s="95"/>
      <c r="P23" s="95"/>
      <c r="Q23" s="89"/>
      <c r="R23" s="89"/>
      <c r="S23" s="89"/>
      <c r="T23" s="89"/>
      <c r="U23" s="89"/>
      <c r="V23" s="89"/>
    </row>
    <row r="24" spans="5:12">
      <c r="E24" s="91"/>
      <c r="F24" s="91">
        <v>1375070.63416667</v>
      </c>
      <c r="K24" s="118"/>
      <c r="L24" s="89" t="s">
        <v>180</v>
      </c>
    </row>
    <row r="25" spans="5:11">
      <c r="E25" s="91"/>
      <c r="I25" s="109"/>
      <c r="K25" s="118"/>
    </row>
    <row r="26" ht="14.4" customHeight="1" spans="1:22">
      <c r="A26" s="96" t="s">
        <v>4138</v>
      </c>
      <c r="B26" s="97"/>
      <c r="C26" s="98"/>
      <c r="E26" s="99" t="s">
        <v>2</v>
      </c>
      <c r="F26" s="100"/>
      <c r="G26" s="100"/>
      <c r="H26" s="100"/>
      <c r="I26" s="115"/>
      <c r="J26" s="100"/>
      <c r="L26" s="102"/>
      <c r="M26" s="102"/>
      <c r="O26" s="128"/>
      <c r="P26" s="128"/>
      <c r="Q26" s="128"/>
      <c r="R26" s="132"/>
      <c r="S26" s="116"/>
      <c r="T26" s="128"/>
      <c r="U26" s="128"/>
      <c r="V26" s="132"/>
    </row>
    <row r="27" ht="46.8" spans="1:22">
      <c r="A27" s="101" t="s">
        <v>3944</v>
      </c>
      <c r="B27" s="102" t="s">
        <v>207</v>
      </c>
      <c r="C27" s="101" t="s">
        <v>447</v>
      </c>
      <c r="D27" s="102" t="s">
        <v>209</v>
      </c>
      <c r="E27" s="101" t="s">
        <v>210</v>
      </c>
      <c r="F27" s="103" t="s">
        <v>6086</v>
      </c>
      <c r="G27" s="104" t="s">
        <v>6209</v>
      </c>
      <c r="H27" s="104" t="s">
        <v>6210</v>
      </c>
      <c r="I27" s="117" t="s">
        <v>6196</v>
      </c>
      <c r="J27" s="91" t="s">
        <v>6197</v>
      </c>
      <c r="K27" s="118" t="s">
        <v>0</v>
      </c>
      <c r="L27" s="119" t="s">
        <v>6091</v>
      </c>
      <c r="M27" s="119" t="s">
        <v>6092</v>
      </c>
      <c r="N27" s="120" t="s">
        <v>6198</v>
      </c>
      <c r="O27" s="119" t="s">
        <v>225</v>
      </c>
      <c r="P27" s="120" t="s">
        <v>226</v>
      </c>
      <c r="Q27" s="119"/>
      <c r="R27" s="119"/>
      <c r="S27" s="119"/>
      <c r="T27" s="119"/>
      <c r="U27" s="119"/>
      <c r="V27" s="119"/>
    </row>
    <row r="28" s="88" customFormat="1" spans="1:22">
      <c r="A28" s="88" t="s">
        <v>227</v>
      </c>
      <c r="B28" s="105" t="s">
        <v>515</v>
      </c>
      <c r="C28" s="88" t="s">
        <v>441</v>
      </c>
      <c r="D28" s="88" t="s">
        <v>234</v>
      </c>
      <c r="E28" s="106">
        <v>0</v>
      </c>
      <c r="F28" s="106">
        <v>732008.916666667</v>
      </c>
      <c r="G28" s="110">
        <f>F28/F$38</f>
        <v>0.58917569194267</v>
      </c>
      <c r="H28" s="110">
        <v>0.577480853454646</v>
      </c>
      <c r="I28" s="110" t="str">
        <f t="shared" ref="I28:I37" si="4">IFERROR(J28*0.5/$F$28,"")</f>
        <v/>
      </c>
      <c r="J28" s="91" t="s">
        <v>180</v>
      </c>
      <c r="K28" s="122">
        <v>0</v>
      </c>
      <c r="L28" s="88" t="str">
        <f>IFERROR(VLOOKUP(B28,'Competitive Matrix'!$B$4:$D$22,2,FALSE),"")</f>
        <v>L:82% N:39% D:78% 有销售:82%</v>
      </c>
      <c r="M28" s="88" t="s">
        <v>6113</v>
      </c>
      <c r="N28" s="88">
        <v>2300</v>
      </c>
      <c r="O28" s="95"/>
      <c r="P28" s="126"/>
      <c r="Q28" s="95"/>
      <c r="R28" s="95"/>
      <c r="S28" s="95"/>
      <c r="T28" s="95"/>
      <c r="U28" s="95"/>
      <c r="V28" s="95"/>
    </row>
    <row r="29" spans="1:13">
      <c r="A29" s="89" t="s">
        <v>672</v>
      </c>
      <c r="B29" s="108" t="s">
        <v>526</v>
      </c>
      <c r="C29" s="89" t="s">
        <v>441</v>
      </c>
      <c r="D29" s="89" t="s">
        <v>234</v>
      </c>
      <c r="E29" s="91">
        <v>6238</v>
      </c>
      <c r="F29" s="91">
        <v>212798.416666667</v>
      </c>
      <c r="G29" s="110"/>
      <c r="H29" s="92"/>
      <c r="I29" s="92" t="str">
        <f t="shared" si="4"/>
        <v/>
      </c>
      <c r="J29" s="91" t="s">
        <v>180</v>
      </c>
      <c r="K29" s="118">
        <v>0</v>
      </c>
      <c r="L29" s="89" t="s">
        <v>180</v>
      </c>
      <c r="M29" s="89" t="s">
        <v>180</v>
      </c>
    </row>
    <row r="30" ht="14.4" spans="1:16">
      <c r="A30" s="111" t="s">
        <v>238</v>
      </c>
      <c r="B30" s="89" t="s">
        <v>519</v>
      </c>
      <c r="C30" s="89" t="s">
        <v>441</v>
      </c>
      <c r="D30" s="89" t="s">
        <v>250</v>
      </c>
      <c r="E30" s="91">
        <v>0</v>
      </c>
      <c r="F30" s="91">
        <v>148084.583333333</v>
      </c>
      <c r="G30" s="92">
        <f>F30/F$38</f>
        <v>0.11918958207334</v>
      </c>
      <c r="H30" s="92">
        <v>0.125252474818621</v>
      </c>
      <c r="I30" s="92" t="str">
        <f t="shared" si="4"/>
        <v/>
      </c>
      <c r="J30" s="91" t="s">
        <v>180</v>
      </c>
      <c r="K30" s="118">
        <v>0</v>
      </c>
      <c r="L30" s="89" t="s">
        <v>180</v>
      </c>
      <c r="M30" s="89" t="s">
        <v>180</v>
      </c>
      <c r="N30" s="89">
        <v>1900</v>
      </c>
      <c r="P30" s="125"/>
    </row>
    <row r="31" ht="14.4" spans="2:14">
      <c r="B31" s="108" t="s">
        <v>527</v>
      </c>
      <c r="C31" s="89">
        <v>0</v>
      </c>
      <c r="D31" s="89">
        <v>0</v>
      </c>
      <c r="E31" s="91">
        <v>0</v>
      </c>
      <c r="F31" s="91">
        <v>147531.833333333</v>
      </c>
      <c r="G31" s="92"/>
      <c r="H31" s="92"/>
      <c r="I31" s="92" t="str">
        <f t="shared" si="4"/>
        <v/>
      </c>
      <c r="J31" s="91" t="s">
        <v>180</v>
      </c>
      <c r="K31" s="118" t="s">
        <v>6115</v>
      </c>
      <c r="L31" s="89" t="s">
        <v>180</v>
      </c>
      <c r="M31" s="89" t="s">
        <v>180</v>
      </c>
      <c r="N31" s="89">
        <v>2000</v>
      </c>
    </row>
    <row r="32" ht="14.4" spans="1:16">
      <c r="A32" s="89" t="s">
        <v>243</v>
      </c>
      <c r="B32" s="89" t="s">
        <v>525</v>
      </c>
      <c r="C32" s="89" t="s">
        <v>441</v>
      </c>
      <c r="D32" s="89" t="s">
        <v>420</v>
      </c>
      <c r="E32" s="91">
        <v>0</v>
      </c>
      <c r="F32" s="91">
        <v>66844.25</v>
      </c>
      <c r="G32" s="92">
        <f>F32/F$38</f>
        <v>0.0538012671013303</v>
      </c>
      <c r="H32" s="92">
        <v>0.0451815587298858</v>
      </c>
      <c r="I32" s="92" t="str">
        <f t="shared" si="4"/>
        <v/>
      </c>
      <c r="J32" s="91" t="s">
        <v>180</v>
      </c>
      <c r="K32" s="118">
        <v>0</v>
      </c>
      <c r="L32" s="89" t="s">
        <v>180</v>
      </c>
      <c r="M32" s="89" t="s">
        <v>180</v>
      </c>
      <c r="N32" s="89">
        <v>502</v>
      </c>
      <c r="P32" s="125"/>
    </row>
    <row r="33" ht="14.4" spans="1:15">
      <c r="A33" s="89" t="s">
        <v>230</v>
      </c>
      <c r="B33" s="89" t="s">
        <v>517</v>
      </c>
      <c r="C33" s="89" t="s">
        <v>441</v>
      </c>
      <c r="D33" s="89" t="s">
        <v>419</v>
      </c>
      <c r="E33" s="91">
        <v>0</v>
      </c>
      <c r="F33" s="91">
        <v>79230</v>
      </c>
      <c r="G33" s="92">
        <f>F33/F$38</f>
        <v>0.0637702478887623</v>
      </c>
      <c r="H33" s="92">
        <v>0.0700912442669081</v>
      </c>
      <c r="I33" s="92" t="str">
        <f t="shared" si="4"/>
        <v/>
      </c>
      <c r="J33" s="91" t="s">
        <v>180</v>
      </c>
      <c r="K33" s="118">
        <v>0</v>
      </c>
      <c r="L33" s="89" t="s">
        <v>180</v>
      </c>
      <c r="M33" s="89" t="s">
        <v>180</v>
      </c>
      <c r="N33" s="89">
        <v>1000</v>
      </c>
      <c r="O33" s="125"/>
    </row>
    <row r="34" ht="14.4" spans="1:16">
      <c r="A34" s="89" t="s">
        <v>230</v>
      </c>
      <c r="B34" s="89" t="s">
        <v>516</v>
      </c>
      <c r="C34" s="89" t="s">
        <v>441</v>
      </c>
      <c r="D34" s="89" t="s">
        <v>60</v>
      </c>
      <c r="E34" s="91">
        <v>0</v>
      </c>
      <c r="F34" s="91">
        <v>191338.166666667</v>
      </c>
      <c r="G34" s="92">
        <f>F34/F$38</f>
        <v>0.154003310853397</v>
      </c>
      <c r="H34" s="92">
        <v>0.157664949935209</v>
      </c>
      <c r="I34" s="92">
        <f t="shared" si="4"/>
        <v>0.0392081631063921</v>
      </c>
      <c r="J34" s="91">
        <v>57401.4500000001</v>
      </c>
      <c r="K34" s="118">
        <v>0</v>
      </c>
      <c r="L34" s="89" t="s">
        <v>180</v>
      </c>
      <c r="M34" s="89" t="s">
        <v>180</v>
      </c>
      <c r="N34" s="89">
        <v>421</v>
      </c>
      <c r="O34" s="126"/>
      <c r="P34" s="125"/>
    </row>
    <row r="35" ht="28.2" spans="2:13">
      <c r="B35" s="108" t="s">
        <v>4196</v>
      </c>
      <c r="C35" s="89">
        <v>0</v>
      </c>
      <c r="D35" s="89">
        <v>0</v>
      </c>
      <c r="E35" s="91">
        <v>0</v>
      </c>
      <c r="F35" s="91">
        <v>66090.0833333333</v>
      </c>
      <c r="G35" s="92"/>
      <c r="H35" s="92"/>
      <c r="I35" s="92" t="str">
        <f t="shared" si="4"/>
        <v/>
      </c>
      <c r="J35" s="91" t="s">
        <v>180</v>
      </c>
      <c r="K35" s="118" t="s">
        <v>6211</v>
      </c>
      <c r="L35" s="89" t="s">
        <v>180</v>
      </c>
      <c r="M35" s="89" t="s">
        <v>180</v>
      </c>
    </row>
    <row r="36" spans="1:14">
      <c r="A36" s="89" t="s">
        <v>230</v>
      </c>
      <c r="B36" s="108" t="s">
        <v>523</v>
      </c>
      <c r="C36" s="89">
        <v>0</v>
      </c>
      <c r="D36" s="89" t="s">
        <v>49</v>
      </c>
      <c r="E36" s="91">
        <v>0</v>
      </c>
      <c r="F36" s="91">
        <v>24803</v>
      </c>
      <c r="G36" s="92">
        <f>F36/F$38</f>
        <v>0.0199633151380156</v>
      </c>
      <c r="H36" s="92">
        <v>0.0242337573386898</v>
      </c>
      <c r="I36" s="92">
        <f t="shared" si="4"/>
        <v>0.00254126002791177</v>
      </c>
      <c r="J36" s="91">
        <v>3720.45</v>
      </c>
      <c r="K36" s="118">
        <v>0</v>
      </c>
      <c r="L36" s="89" t="s">
        <v>180</v>
      </c>
      <c r="M36" s="89" t="s">
        <v>180</v>
      </c>
      <c r="N36" s="89">
        <v>793</v>
      </c>
    </row>
    <row r="37" s="88" customFormat="1" ht="14.4" spans="1:16">
      <c r="A37" s="88" t="s">
        <v>227</v>
      </c>
      <c r="B37" s="112" t="s">
        <v>4197</v>
      </c>
      <c r="C37" s="88" t="s">
        <v>441</v>
      </c>
      <c r="D37" s="88" t="s">
        <v>234</v>
      </c>
      <c r="E37" s="106">
        <v>0</v>
      </c>
      <c r="F37" s="106">
        <v>120</v>
      </c>
      <c r="G37" s="110">
        <f>F37/F$38</f>
        <v>9.65850024820331e-5</v>
      </c>
      <c r="H37" s="110">
        <v>9.51614560400714e-5</v>
      </c>
      <c r="I37" s="110" t="str">
        <f t="shared" si="4"/>
        <v/>
      </c>
      <c r="J37" s="106" t="s">
        <v>180</v>
      </c>
      <c r="K37" s="129" t="s">
        <v>6212</v>
      </c>
      <c r="L37" s="88" t="s">
        <v>180</v>
      </c>
      <c r="M37" s="88" t="s">
        <v>180</v>
      </c>
      <c r="N37" s="88" t="s">
        <v>5419</v>
      </c>
      <c r="O37" s="126"/>
      <c r="P37" s="126"/>
    </row>
    <row r="38" spans="5:10">
      <c r="E38" s="91"/>
      <c r="F38" s="91">
        <v>1242428.91666667</v>
      </c>
      <c r="G38" s="109"/>
      <c r="H38" s="109"/>
      <c r="I38" s="109">
        <f>SUM(I28:I36)</f>
        <v>0.0417494231343039</v>
      </c>
      <c r="J38" s="109"/>
    </row>
    <row r="39" spans="5:11">
      <c r="E39" s="91"/>
      <c r="I39" s="109"/>
      <c r="K39" s="118"/>
    </row>
    <row r="40" ht="14.4" customHeight="1" spans="1:22">
      <c r="A40" s="96" t="s">
        <v>149</v>
      </c>
      <c r="B40" s="97"/>
      <c r="C40" s="98"/>
      <c r="E40" s="99" t="s">
        <v>2</v>
      </c>
      <c r="F40" s="100"/>
      <c r="G40" s="100"/>
      <c r="H40" s="100"/>
      <c r="I40" s="115"/>
      <c r="J40" s="100"/>
      <c r="L40" s="102"/>
      <c r="M40" s="102"/>
      <c r="O40" s="128"/>
      <c r="P40" s="128"/>
      <c r="Q40" s="128"/>
      <c r="R40" s="132"/>
      <c r="S40" s="116"/>
      <c r="T40" s="128"/>
      <c r="U40" s="128"/>
      <c r="V40" s="132"/>
    </row>
    <row r="41" ht="46.8" spans="1:22">
      <c r="A41" s="101" t="s">
        <v>3944</v>
      </c>
      <c r="B41" s="102" t="s">
        <v>207</v>
      </c>
      <c r="C41" s="101" t="s">
        <v>447</v>
      </c>
      <c r="D41" s="89" t="s">
        <v>209</v>
      </c>
      <c r="E41" s="101" t="s">
        <v>210</v>
      </c>
      <c r="F41" s="103" t="s">
        <v>6086</v>
      </c>
      <c r="G41" s="104" t="s">
        <v>6209</v>
      </c>
      <c r="H41" s="104" t="s">
        <v>6210</v>
      </c>
      <c r="I41" s="117" t="s">
        <v>6196</v>
      </c>
      <c r="J41" s="91" t="s">
        <v>6197</v>
      </c>
      <c r="K41" s="118" t="s">
        <v>0</v>
      </c>
      <c r="L41" s="119" t="s">
        <v>6091</v>
      </c>
      <c r="M41" s="119" t="s">
        <v>6092</v>
      </c>
      <c r="N41" s="120" t="s">
        <v>6198</v>
      </c>
      <c r="O41" s="119" t="s">
        <v>225</v>
      </c>
      <c r="P41" s="120" t="s">
        <v>226</v>
      </c>
      <c r="Q41" s="119"/>
      <c r="R41" s="119"/>
      <c r="S41" s="119"/>
      <c r="T41" s="119"/>
      <c r="U41" s="119"/>
      <c r="V41" s="119"/>
    </row>
    <row r="42" spans="1:22">
      <c r="A42" s="88" t="s">
        <v>227</v>
      </c>
      <c r="B42" s="105" t="s">
        <v>535</v>
      </c>
      <c r="C42" s="88" t="s">
        <v>441</v>
      </c>
      <c r="D42" s="88" t="s">
        <v>234</v>
      </c>
      <c r="E42" s="106">
        <v>0</v>
      </c>
      <c r="F42" s="106">
        <v>382980.916666667</v>
      </c>
      <c r="G42" s="110">
        <f>F42/F$49</f>
        <v>0.435833129046131</v>
      </c>
      <c r="H42" s="110">
        <v>0.400838939071841</v>
      </c>
      <c r="I42" s="107" t="str">
        <f t="shared" ref="I42:I47" si="5">IFERROR(J42*0.5/F$43,"")</f>
        <v/>
      </c>
      <c r="J42" s="106" t="s">
        <v>180</v>
      </c>
      <c r="K42" s="122">
        <v>0</v>
      </c>
      <c r="L42" s="88" t="str">
        <f>IFERROR(VLOOKUP(B42,'Competitive Matrix'!$B$4:$D$22,2,FALSE),"")</f>
        <v>L:77% N:26% D:70% 有销售:80%</v>
      </c>
      <c r="M42" s="88" t="s">
        <v>6199</v>
      </c>
      <c r="N42" s="88">
        <v>2000</v>
      </c>
      <c r="O42" s="126"/>
      <c r="P42" s="126"/>
      <c r="Q42" s="126"/>
      <c r="R42" s="126"/>
      <c r="S42" s="126"/>
      <c r="T42" s="126"/>
      <c r="U42" s="126"/>
      <c r="V42" s="126"/>
    </row>
    <row r="43" s="88" customFormat="1" ht="28.8" spans="1:22">
      <c r="A43" s="89" t="s">
        <v>243</v>
      </c>
      <c r="B43" s="108" t="s">
        <v>537</v>
      </c>
      <c r="C43" s="89" t="s">
        <v>441</v>
      </c>
      <c r="D43" s="89" t="s">
        <v>420</v>
      </c>
      <c r="E43" s="91">
        <v>0</v>
      </c>
      <c r="F43" s="91">
        <v>272963.833333333</v>
      </c>
      <c r="G43" s="109">
        <f>F43/F$49</f>
        <v>0.310633445221078</v>
      </c>
      <c r="H43" s="109">
        <v>0.321799068140584</v>
      </c>
      <c r="I43" s="109" t="str">
        <f t="shared" si="5"/>
        <v/>
      </c>
      <c r="J43" s="91" t="s">
        <v>180</v>
      </c>
      <c r="K43" s="118">
        <v>0</v>
      </c>
      <c r="L43" s="89" t="s">
        <v>180</v>
      </c>
      <c r="M43" s="89" t="s">
        <v>180</v>
      </c>
      <c r="N43" s="89">
        <v>2100</v>
      </c>
      <c r="O43" s="131" t="s">
        <v>6200</v>
      </c>
      <c r="P43" s="125"/>
      <c r="Q43" s="89"/>
      <c r="R43" s="89"/>
      <c r="S43" s="89"/>
      <c r="T43" s="89"/>
      <c r="U43" s="89"/>
      <c r="V43" s="89"/>
    </row>
    <row r="44" ht="14.4" spans="1:16">
      <c r="A44" s="89" t="s">
        <v>243</v>
      </c>
      <c r="B44" s="108" t="s">
        <v>539</v>
      </c>
      <c r="C44" s="89" t="s">
        <v>441</v>
      </c>
      <c r="D44" s="89" t="s">
        <v>266</v>
      </c>
      <c r="E44" s="91">
        <v>0</v>
      </c>
      <c r="F44" s="91">
        <v>112026.75</v>
      </c>
      <c r="G44" s="92">
        <f>F44/F$49</f>
        <v>0.127486688930415</v>
      </c>
      <c r="H44" s="92">
        <v>0.154985725104865</v>
      </c>
      <c r="I44" s="109" t="str">
        <f t="shared" si="5"/>
        <v/>
      </c>
      <c r="J44" s="91" t="s">
        <v>180</v>
      </c>
      <c r="K44" s="118">
        <v>0</v>
      </c>
      <c r="L44" s="89" t="s">
        <v>180</v>
      </c>
      <c r="M44" s="89" t="s">
        <v>180</v>
      </c>
      <c r="N44" s="89">
        <v>1200</v>
      </c>
      <c r="O44" s="125"/>
      <c r="P44" s="124"/>
    </row>
    <row r="45" spans="1:14">
      <c r="A45" s="89" t="s">
        <v>2019</v>
      </c>
      <c r="B45" s="113" t="s">
        <v>4271</v>
      </c>
      <c r="C45" s="89" t="s">
        <v>233</v>
      </c>
      <c r="D45" s="89" t="s">
        <v>451</v>
      </c>
      <c r="E45" s="91">
        <v>0</v>
      </c>
      <c r="F45" s="91">
        <v>7661.9</v>
      </c>
      <c r="G45" s="109"/>
      <c r="H45" s="109"/>
      <c r="I45" s="109" t="str">
        <f t="shared" si="5"/>
        <v/>
      </c>
      <c r="J45" s="91" t="s">
        <v>180</v>
      </c>
      <c r="K45" s="118">
        <v>0</v>
      </c>
      <c r="L45" s="89" t="s">
        <v>180</v>
      </c>
      <c r="M45" s="89" t="s">
        <v>180</v>
      </c>
      <c r="N45" s="89" t="s">
        <v>5419</v>
      </c>
    </row>
    <row r="46" spans="1:15">
      <c r="A46" s="89" t="s">
        <v>230</v>
      </c>
      <c r="B46" s="108" t="s">
        <v>541</v>
      </c>
      <c r="C46" s="89" t="s">
        <v>233</v>
      </c>
      <c r="D46" s="89" t="s">
        <v>423</v>
      </c>
      <c r="E46" s="91">
        <v>0</v>
      </c>
      <c r="F46" s="91">
        <v>79402</v>
      </c>
      <c r="G46" s="109">
        <f>F46/F$49</f>
        <v>0.0903596513730233</v>
      </c>
      <c r="H46" s="109">
        <v>0.0866399330849448</v>
      </c>
      <c r="I46" s="109" t="str">
        <f t="shared" si="5"/>
        <v/>
      </c>
      <c r="J46" s="91" t="s">
        <v>180</v>
      </c>
      <c r="K46" s="118">
        <v>0</v>
      </c>
      <c r="L46" s="89" t="s">
        <v>180</v>
      </c>
      <c r="M46" s="89" t="s">
        <v>180</v>
      </c>
      <c r="N46" s="89">
        <v>159</v>
      </c>
      <c r="O46" s="126"/>
    </row>
    <row r="47" spans="1:14">
      <c r="A47" s="89" t="s">
        <v>230</v>
      </c>
      <c r="B47" s="108" t="s">
        <v>2141</v>
      </c>
      <c r="C47" s="89">
        <v>0</v>
      </c>
      <c r="D47" s="89">
        <v>0</v>
      </c>
      <c r="E47" s="91">
        <v>0</v>
      </c>
      <c r="F47" s="91">
        <v>31359.4166666667</v>
      </c>
      <c r="G47" s="109">
        <f>F47/F$49</f>
        <v>0.0356870854293517</v>
      </c>
      <c r="H47" s="109">
        <v>0.0357363345977647</v>
      </c>
      <c r="I47" s="109" t="str">
        <f t="shared" si="5"/>
        <v/>
      </c>
      <c r="J47" s="91" t="s">
        <v>180</v>
      </c>
      <c r="K47" s="118">
        <v>0</v>
      </c>
      <c r="L47" s="89" t="s">
        <v>180</v>
      </c>
      <c r="M47" s="89" t="s">
        <v>180</v>
      </c>
      <c r="N47" s="89">
        <v>22</v>
      </c>
    </row>
    <row r="48" ht="14.4" spans="1:13">
      <c r="A48" s="88" t="s">
        <v>227</v>
      </c>
      <c r="B48" s="105" t="s">
        <v>6213</v>
      </c>
      <c r="K48" s="124" t="s">
        <v>6212</v>
      </c>
      <c r="L48" s="89" t="s">
        <v>180</v>
      </c>
      <c r="M48" s="89" t="s">
        <v>180</v>
      </c>
    </row>
    <row r="49" spans="5:11">
      <c r="E49" s="91"/>
      <c r="F49" s="91">
        <v>878732.916666667</v>
      </c>
      <c r="I49" s="109"/>
      <c r="K49" s="118"/>
    </row>
    <row r="50" ht="14.4" customHeight="1" spans="1:22">
      <c r="A50" s="96" t="s">
        <v>152</v>
      </c>
      <c r="B50" s="97"/>
      <c r="C50" s="98"/>
      <c r="E50" s="99" t="s">
        <v>2</v>
      </c>
      <c r="F50" s="100"/>
      <c r="G50" s="100"/>
      <c r="H50" s="100"/>
      <c r="I50" s="115"/>
      <c r="J50" s="100"/>
      <c r="L50" s="102"/>
      <c r="M50" s="102"/>
      <c r="O50" s="128"/>
      <c r="P50" s="128"/>
      <c r="Q50" s="128"/>
      <c r="R50" s="132"/>
      <c r="S50" s="116"/>
      <c r="T50" s="128"/>
      <c r="U50" s="128"/>
      <c r="V50" s="132"/>
    </row>
    <row r="51" ht="46.8" spans="1:22">
      <c r="A51" s="101" t="s">
        <v>3944</v>
      </c>
      <c r="B51" s="102" t="s">
        <v>207</v>
      </c>
      <c r="C51" s="101" t="s">
        <v>447</v>
      </c>
      <c r="D51" s="89" t="s">
        <v>209</v>
      </c>
      <c r="E51" s="101" t="s">
        <v>210</v>
      </c>
      <c r="F51" s="103" t="s">
        <v>6086</v>
      </c>
      <c r="G51" s="104" t="s">
        <v>6209</v>
      </c>
      <c r="H51" s="104" t="s">
        <v>6210</v>
      </c>
      <c r="I51" s="117" t="s">
        <v>6196</v>
      </c>
      <c r="J51" s="91" t="s">
        <v>6197</v>
      </c>
      <c r="K51" s="118" t="s">
        <v>0</v>
      </c>
      <c r="L51" s="119" t="s">
        <v>6091</v>
      </c>
      <c r="M51" s="119" t="s">
        <v>6092</v>
      </c>
      <c r="N51" s="120" t="s">
        <v>6198</v>
      </c>
      <c r="O51" s="119" t="s">
        <v>225</v>
      </c>
      <c r="P51" s="120" t="s">
        <v>226</v>
      </c>
      <c r="Q51" s="119"/>
      <c r="R51" s="119"/>
      <c r="S51" s="119"/>
      <c r="T51" s="119"/>
      <c r="U51" s="119"/>
      <c r="V51" s="119"/>
    </row>
    <row r="52" spans="1:14">
      <c r="A52" s="89" t="s">
        <v>672</v>
      </c>
      <c r="B52" s="108" t="s">
        <v>554</v>
      </c>
      <c r="C52" s="89" t="s">
        <v>1035</v>
      </c>
      <c r="D52" s="89" t="s">
        <v>234</v>
      </c>
      <c r="E52" s="91">
        <v>0</v>
      </c>
      <c r="F52" s="91">
        <v>473750.25</v>
      </c>
      <c r="G52" s="109"/>
      <c r="H52" s="109"/>
      <c r="I52" s="109" t="str">
        <f t="shared" ref="I52:I61" si="6">IFERROR(J52*0.5/$F$55,"")</f>
        <v/>
      </c>
      <c r="J52" s="91" t="s">
        <v>180</v>
      </c>
      <c r="K52" s="118">
        <v>0</v>
      </c>
      <c r="L52" s="89" t="s">
        <v>180</v>
      </c>
      <c r="M52" s="89" t="s">
        <v>180</v>
      </c>
      <c r="N52" s="89" t="s">
        <v>5419</v>
      </c>
    </row>
    <row r="53" s="88" customFormat="1" spans="1:22">
      <c r="A53" s="88" t="s">
        <v>227</v>
      </c>
      <c r="B53" s="105" t="s">
        <v>546</v>
      </c>
      <c r="C53" s="88" t="s">
        <v>441</v>
      </c>
      <c r="D53" s="88" t="s">
        <v>234</v>
      </c>
      <c r="E53" s="106">
        <v>0</v>
      </c>
      <c r="F53" s="106">
        <v>353097.75</v>
      </c>
      <c r="G53" s="107">
        <f>F53/F$62</f>
        <v>0.321639264251796</v>
      </c>
      <c r="H53" s="107">
        <v>0.314408234550207</v>
      </c>
      <c r="I53" s="107" t="str">
        <f t="shared" si="6"/>
        <v/>
      </c>
      <c r="J53" s="106" t="s">
        <v>180</v>
      </c>
      <c r="K53" s="122">
        <v>0</v>
      </c>
      <c r="L53" s="88" t="str">
        <f>IFERROR(VLOOKUP(B53,'Competitive Matrix'!$B$4:$D$22,2,FALSE),"")</f>
        <v>L:71% N:44% D:79% 有销售:87%</v>
      </c>
      <c r="M53" s="88" t="s">
        <v>6102</v>
      </c>
      <c r="N53" s="88">
        <v>1100</v>
      </c>
      <c r="O53" s="126"/>
      <c r="P53" s="126"/>
      <c r="Q53" s="126"/>
      <c r="R53" s="126"/>
      <c r="S53" s="126"/>
      <c r="T53" s="126"/>
      <c r="U53" s="126"/>
      <c r="V53" s="126"/>
    </row>
    <row r="54" ht="72" spans="1:16">
      <c r="A54" s="89" t="s">
        <v>230</v>
      </c>
      <c r="B54" s="114" t="s">
        <v>507</v>
      </c>
      <c r="C54" s="89" t="s">
        <v>233</v>
      </c>
      <c r="D54" s="89" t="s">
        <v>419</v>
      </c>
      <c r="E54" s="91">
        <v>0</v>
      </c>
      <c r="F54" s="91">
        <v>321048.766666667</v>
      </c>
      <c r="G54" s="109">
        <f>F54/F$62</f>
        <v>0.29244561626239</v>
      </c>
      <c r="H54" s="109">
        <v>0.290297088919992</v>
      </c>
      <c r="I54" s="109" t="str">
        <f t="shared" si="6"/>
        <v/>
      </c>
      <c r="J54" s="91" t="s">
        <v>180</v>
      </c>
      <c r="K54" s="118" t="s">
        <v>6127</v>
      </c>
      <c r="L54" s="89" t="s">
        <v>180</v>
      </c>
      <c r="M54" s="89" t="s">
        <v>180</v>
      </c>
      <c r="N54" s="89">
        <v>820</v>
      </c>
      <c r="P54" s="125"/>
    </row>
    <row r="55" spans="1:14">
      <c r="A55" s="89" t="s">
        <v>672</v>
      </c>
      <c r="B55" s="108" t="s">
        <v>555</v>
      </c>
      <c r="C55" s="89" t="s">
        <v>470</v>
      </c>
      <c r="D55" s="89" t="s">
        <v>234</v>
      </c>
      <c r="E55" s="91">
        <v>0</v>
      </c>
      <c r="F55" s="91">
        <v>223493</v>
      </c>
      <c r="G55" s="109"/>
      <c r="H55" s="109"/>
      <c r="I55" s="109" t="str">
        <f t="shared" si="6"/>
        <v/>
      </c>
      <c r="J55" s="91" t="s">
        <v>180</v>
      </c>
      <c r="K55" s="118">
        <v>0</v>
      </c>
      <c r="L55" s="89" t="s">
        <v>180</v>
      </c>
      <c r="M55" s="89" t="s">
        <v>180</v>
      </c>
      <c r="N55" s="89" t="s">
        <v>5419</v>
      </c>
    </row>
    <row r="56" spans="1:14">
      <c r="A56" s="89" t="s">
        <v>672</v>
      </c>
      <c r="B56" s="108" t="s">
        <v>556</v>
      </c>
      <c r="C56" s="89" t="s">
        <v>470</v>
      </c>
      <c r="D56" s="89" t="s">
        <v>234</v>
      </c>
      <c r="E56" s="91">
        <v>0</v>
      </c>
      <c r="F56" s="91">
        <v>131861.25</v>
      </c>
      <c r="G56" s="109"/>
      <c r="H56" s="109"/>
      <c r="I56" s="109" t="str">
        <f t="shared" si="6"/>
        <v/>
      </c>
      <c r="J56" s="91" t="s">
        <v>180</v>
      </c>
      <c r="K56" s="118">
        <v>0</v>
      </c>
      <c r="L56" s="89" t="s">
        <v>180</v>
      </c>
      <c r="M56" s="89" t="s">
        <v>180</v>
      </c>
      <c r="N56" s="89" t="s">
        <v>5419</v>
      </c>
    </row>
    <row r="57" ht="14.4" spans="1:16">
      <c r="A57" s="111" t="s">
        <v>243</v>
      </c>
      <c r="B57" s="108" t="s">
        <v>270</v>
      </c>
      <c r="C57" s="89" t="s">
        <v>233</v>
      </c>
      <c r="D57" s="89" t="s">
        <v>266</v>
      </c>
      <c r="E57" s="91">
        <v>0</v>
      </c>
      <c r="F57" s="91">
        <v>108261.583333333</v>
      </c>
      <c r="G57" s="109">
        <f>F57/F$62</f>
        <v>0.0986162500612585</v>
      </c>
      <c r="H57" s="109">
        <v>0.0917211257562536</v>
      </c>
      <c r="I57" s="109" t="str">
        <f t="shared" si="6"/>
        <v/>
      </c>
      <c r="J57" s="91" t="s">
        <v>180</v>
      </c>
      <c r="K57" s="118">
        <v>0</v>
      </c>
      <c r="L57" s="89" t="s">
        <v>180</v>
      </c>
      <c r="M57" s="89" t="s">
        <v>180</v>
      </c>
      <c r="N57" s="89">
        <v>351</v>
      </c>
      <c r="O57" s="125"/>
      <c r="P57" s="125"/>
    </row>
    <row r="58" spans="1:15">
      <c r="A58" s="89" t="s">
        <v>230</v>
      </c>
      <c r="B58" s="108" t="s">
        <v>548</v>
      </c>
      <c r="C58" s="89" t="s">
        <v>233</v>
      </c>
      <c r="D58" s="89" t="s">
        <v>420</v>
      </c>
      <c r="E58" s="91">
        <v>0</v>
      </c>
      <c r="F58" s="91">
        <v>142943.25</v>
      </c>
      <c r="G58" s="109">
        <f>F58/F$62</f>
        <v>0.130208028116182</v>
      </c>
      <c r="H58" s="109">
        <v>0.138910884949979</v>
      </c>
      <c r="I58" s="109" t="str">
        <f t="shared" si="6"/>
        <v/>
      </c>
      <c r="J58" s="91" t="s">
        <v>180</v>
      </c>
      <c r="K58" s="118">
        <v>0</v>
      </c>
      <c r="L58" s="89" t="s">
        <v>180</v>
      </c>
      <c r="M58" s="89" t="s">
        <v>180</v>
      </c>
      <c r="N58" s="89">
        <v>274</v>
      </c>
      <c r="O58" s="126"/>
    </row>
    <row r="59" spans="1:14">
      <c r="A59" s="89" t="s">
        <v>230</v>
      </c>
      <c r="B59" s="108" t="s">
        <v>547</v>
      </c>
      <c r="C59" s="89" t="s">
        <v>233</v>
      </c>
      <c r="D59" s="89" t="s">
        <v>272</v>
      </c>
      <c r="E59" s="91">
        <v>0</v>
      </c>
      <c r="F59" s="91">
        <v>89677</v>
      </c>
      <c r="G59" s="109">
        <f>F59/F$62</f>
        <v>0.0816874202690567</v>
      </c>
      <c r="H59" s="109">
        <v>0.0860750992890715</v>
      </c>
      <c r="I59" s="109" t="str">
        <f t="shared" si="6"/>
        <v/>
      </c>
      <c r="J59" s="91" t="s">
        <v>180</v>
      </c>
      <c r="K59" s="118">
        <v>0</v>
      </c>
      <c r="L59" s="89" t="s">
        <v>180</v>
      </c>
      <c r="M59" s="89" t="s">
        <v>180</v>
      </c>
      <c r="N59" s="89">
        <v>548</v>
      </c>
    </row>
    <row r="60" ht="28.8" spans="1:15">
      <c r="A60" s="89" t="s">
        <v>230</v>
      </c>
      <c r="B60" s="108" t="s">
        <v>549</v>
      </c>
      <c r="C60" s="89" t="s">
        <v>233</v>
      </c>
      <c r="D60" s="89" t="s">
        <v>451</v>
      </c>
      <c r="E60" s="91">
        <v>0</v>
      </c>
      <c r="F60" s="91">
        <v>77451.5833333333</v>
      </c>
      <c r="G60" s="109">
        <f>F60/F$62</f>
        <v>0.0705512008458564</v>
      </c>
      <c r="H60" s="109">
        <v>0.0755766000089133</v>
      </c>
      <c r="I60" s="109" t="str">
        <f t="shared" si="6"/>
        <v/>
      </c>
      <c r="J60" s="91" t="s">
        <v>180</v>
      </c>
      <c r="K60" s="118">
        <v>0</v>
      </c>
      <c r="L60" s="89" t="s">
        <v>180</v>
      </c>
      <c r="M60" s="89" t="s">
        <v>180</v>
      </c>
      <c r="N60" s="89">
        <v>77</v>
      </c>
      <c r="O60" s="126" t="s">
        <v>4353</v>
      </c>
    </row>
    <row r="61" s="88" customFormat="1" spans="1:16">
      <c r="A61" s="88" t="s">
        <v>227</v>
      </c>
      <c r="B61" s="88" t="s">
        <v>154</v>
      </c>
      <c r="C61" s="88" t="s">
        <v>233</v>
      </c>
      <c r="D61" s="88" t="s">
        <v>234</v>
      </c>
      <c r="E61" s="106">
        <v>0</v>
      </c>
      <c r="F61" s="106">
        <v>5326.8</v>
      </c>
      <c r="G61" s="107">
        <f>F61/F$62</f>
        <v>0.00485222019346333</v>
      </c>
      <c r="H61" s="107">
        <v>0.00301096652558329</v>
      </c>
      <c r="I61" s="107" t="str">
        <f t="shared" si="6"/>
        <v/>
      </c>
      <c r="J61" s="106" t="s">
        <v>180</v>
      </c>
      <c r="K61" s="122">
        <v>0</v>
      </c>
      <c r="L61" s="88" t="str">
        <f>IFERROR(VLOOKUP(B61,'Competitive Matrix'!$B$4:$D$22,2,FALSE),"")</f>
        <v>L:81% N:25%</v>
      </c>
      <c r="M61" s="88" t="s">
        <v>6102</v>
      </c>
      <c r="N61" s="88">
        <v>184</v>
      </c>
      <c r="O61" s="126"/>
      <c r="P61" s="126"/>
    </row>
    <row r="62" spans="5:11">
      <c r="E62" s="91"/>
      <c r="F62" s="91">
        <v>1097806.73333333</v>
      </c>
      <c r="I62" s="92">
        <f>SUM(I53:I61)</f>
        <v>0</v>
      </c>
      <c r="J62" s="91" t="s">
        <v>180</v>
      </c>
      <c r="K62" s="95"/>
    </row>
    <row r="63" spans="5:10">
      <c r="E63" s="91"/>
      <c r="G63" s="109"/>
      <c r="H63" s="109"/>
      <c r="I63" s="109"/>
      <c r="J63" s="109"/>
    </row>
    <row r="64" spans="5:11">
      <c r="E64" s="91"/>
      <c r="K64" s="118"/>
    </row>
    <row r="65" spans="5:11">
      <c r="E65" s="91"/>
      <c r="K65" s="118"/>
    </row>
    <row r="66" ht="14.4" customHeight="1" spans="1:22">
      <c r="A66" s="96" t="s">
        <v>159</v>
      </c>
      <c r="B66" s="97"/>
      <c r="C66" s="98"/>
      <c r="E66" s="99" t="s">
        <v>2</v>
      </c>
      <c r="F66" s="100"/>
      <c r="G66" s="100"/>
      <c r="H66" s="100"/>
      <c r="I66" s="115"/>
      <c r="J66" s="100"/>
      <c r="L66" s="102"/>
      <c r="M66" s="102"/>
      <c r="O66" s="128"/>
      <c r="P66" s="128"/>
      <c r="Q66" s="128"/>
      <c r="R66" s="132"/>
      <c r="S66" s="116"/>
      <c r="T66" s="128"/>
      <c r="U66" s="128"/>
      <c r="V66" s="132"/>
    </row>
    <row r="67" ht="46.8" spans="1:22">
      <c r="A67" s="101" t="s">
        <v>3944</v>
      </c>
      <c r="B67" s="101" t="s">
        <v>207</v>
      </c>
      <c r="C67" s="101" t="s">
        <v>447</v>
      </c>
      <c r="D67" s="89" t="s">
        <v>209</v>
      </c>
      <c r="E67" s="101" t="s">
        <v>210</v>
      </c>
      <c r="F67" s="103" t="s">
        <v>6086</v>
      </c>
      <c r="G67" s="104" t="s">
        <v>6209</v>
      </c>
      <c r="H67" s="104" t="s">
        <v>6210</v>
      </c>
      <c r="I67" s="117" t="s">
        <v>6196</v>
      </c>
      <c r="J67" s="91" t="s">
        <v>6197</v>
      </c>
      <c r="K67" s="118" t="s">
        <v>0</v>
      </c>
      <c r="L67" s="119" t="s">
        <v>6091</v>
      </c>
      <c r="M67" s="119" t="s">
        <v>6092</v>
      </c>
      <c r="N67" s="120" t="s">
        <v>6198</v>
      </c>
      <c r="O67" s="119" t="s">
        <v>225</v>
      </c>
      <c r="P67" s="120" t="s">
        <v>226</v>
      </c>
      <c r="Q67" s="119"/>
      <c r="R67" s="119"/>
      <c r="S67" s="119"/>
      <c r="T67" s="119"/>
      <c r="U67" s="119"/>
      <c r="V67" s="119"/>
    </row>
    <row r="68" spans="1:14">
      <c r="A68" s="89" t="s">
        <v>4363</v>
      </c>
      <c r="B68" s="89" t="s">
        <v>562</v>
      </c>
      <c r="C68" s="89" t="s">
        <v>441</v>
      </c>
      <c r="D68" s="89" t="s">
        <v>234</v>
      </c>
      <c r="E68" s="91">
        <v>0</v>
      </c>
      <c r="F68" s="91">
        <v>169246.583333333</v>
      </c>
      <c r="G68" s="92"/>
      <c r="H68" s="92"/>
      <c r="I68" s="92" t="str">
        <f t="shared" ref="I68:I76" si="7">IFERROR(J68*0.5/$F$69,"")</f>
        <v/>
      </c>
      <c r="J68" s="91" t="s">
        <v>180</v>
      </c>
      <c r="K68" s="118">
        <v>0</v>
      </c>
      <c r="L68" s="89" t="s">
        <v>180</v>
      </c>
      <c r="M68" s="89" t="s">
        <v>180</v>
      </c>
      <c r="N68" s="89" t="s">
        <v>5419</v>
      </c>
    </row>
    <row r="69" s="88" customFormat="1" ht="14.4" spans="1:16">
      <c r="A69" s="88" t="s">
        <v>227</v>
      </c>
      <c r="B69" s="134" t="s">
        <v>557</v>
      </c>
      <c r="C69" s="88" t="s">
        <v>441</v>
      </c>
      <c r="D69" s="88" t="s">
        <v>234</v>
      </c>
      <c r="E69" s="106">
        <v>0</v>
      </c>
      <c r="F69" s="106">
        <v>381517.416666667</v>
      </c>
      <c r="G69" s="110">
        <f>F69/F$77</f>
        <v>0.721590863418606</v>
      </c>
      <c r="H69" s="110">
        <v>0.719096463376139</v>
      </c>
      <c r="I69" s="110" t="str">
        <f t="shared" si="7"/>
        <v/>
      </c>
      <c r="J69" s="106" t="s">
        <v>180</v>
      </c>
      <c r="K69" s="122" t="s">
        <v>6214</v>
      </c>
      <c r="L69" s="88" t="str">
        <f>IFERROR(VLOOKUP(B69,'Competitive Matrix'!$B$4:$D$22,2,FALSE),"")</f>
        <v>L:77% N:44% D:85% 有销售:91%</v>
      </c>
      <c r="M69" s="88" t="s">
        <v>6134</v>
      </c>
      <c r="N69" s="88">
        <v>1600</v>
      </c>
      <c r="O69" s="124"/>
      <c r="P69" s="124"/>
    </row>
    <row r="70" spans="1:18">
      <c r="A70" s="89" t="s">
        <v>230</v>
      </c>
      <c r="B70" s="135" t="s">
        <v>560</v>
      </c>
      <c r="C70" s="89" t="s">
        <v>233</v>
      </c>
      <c r="D70" s="89" t="s">
        <v>60</v>
      </c>
      <c r="E70" s="91">
        <v>0</v>
      </c>
      <c r="F70" s="91">
        <v>71731.3333333333</v>
      </c>
      <c r="G70" s="92">
        <f>F70/F$77</f>
        <v>0.135670542137769</v>
      </c>
      <c r="H70" s="92">
        <v>0.139619274554996</v>
      </c>
      <c r="I70" s="92">
        <f t="shared" si="7"/>
        <v>0.0282023821979293</v>
      </c>
      <c r="J70" s="91">
        <v>21519.4</v>
      </c>
      <c r="K70" s="118">
        <v>0</v>
      </c>
      <c r="L70" s="89" t="s">
        <v>180</v>
      </c>
      <c r="M70" s="89" t="s">
        <v>180</v>
      </c>
      <c r="N70" s="89">
        <v>1300</v>
      </c>
      <c r="O70" s="138"/>
      <c r="R70" s="88"/>
    </row>
    <row r="71" spans="1:15">
      <c r="A71" s="89" t="s">
        <v>230</v>
      </c>
      <c r="B71" s="135" t="s">
        <v>4391</v>
      </c>
      <c r="C71" s="89" t="s">
        <v>233</v>
      </c>
      <c r="D71" s="89" t="s">
        <v>422</v>
      </c>
      <c r="E71" s="91">
        <v>0</v>
      </c>
      <c r="F71" s="91">
        <v>27555.25</v>
      </c>
      <c r="G71" s="92">
        <f>F71/F$77</f>
        <v>0.0521171924808558</v>
      </c>
      <c r="H71" s="92">
        <v>0.0389991240754815</v>
      </c>
      <c r="I71" s="92" t="str">
        <f t="shared" si="7"/>
        <v/>
      </c>
      <c r="J71" s="91" t="s">
        <v>180</v>
      </c>
      <c r="K71" s="118">
        <v>0</v>
      </c>
      <c r="L71" s="89" t="s">
        <v>180</v>
      </c>
      <c r="M71" s="89" t="s">
        <v>180</v>
      </c>
      <c r="N71" s="89">
        <v>84</v>
      </c>
      <c r="O71" s="126"/>
    </row>
    <row r="72" ht="14.4" spans="1:14">
      <c r="A72" s="89" t="s">
        <v>367</v>
      </c>
      <c r="B72" s="108" t="s">
        <v>5225</v>
      </c>
      <c r="C72" s="89">
        <v>0</v>
      </c>
      <c r="D72" s="89">
        <v>0</v>
      </c>
      <c r="E72" s="91">
        <v>0</v>
      </c>
      <c r="F72" s="91">
        <v>15183.5</v>
      </c>
      <c r="G72" s="92">
        <f>F72/F$77</f>
        <v>0.0287176270232741</v>
      </c>
      <c r="H72" s="92">
        <v>0.0224016038274825</v>
      </c>
      <c r="I72" s="92" t="str">
        <f t="shared" si="7"/>
        <v/>
      </c>
      <c r="J72" s="91" t="s">
        <v>180</v>
      </c>
      <c r="K72" s="129" t="s">
        <v>6215</v>
      </c>
      <c r="L72" s="89" t="s">
        <v>180</v>
      </c>
      <c r="M72" s="89" t="s">
        <v>180</v>
      </c>
      <c r="N72" s="89">
        <v>597</v>
      </c>
    </row>
    <row r="73" ht="28.8" spans="2:14">
      <c r="B73" s="89" t="s">
        <v>4399</v>
      </c>
      <c r="C73" s="89">
        <v>0</v>
      </c>
      <c r="D73" s="89">
        <v>0</v>
      </c>
      <c r="E73" s="91">
        <v>0</v>
      </c>
      <c r="F73" s="91">
        <v>15065.1</v>
      </c>
      <c r="G73" s="92"/>
      <c r="H73" s="92"/>
      <c r="I73" s="92" t="str">
        <f t="shared" si="7"/>
        <v/>
      </c>
      <c r="J73" s="91" t="s">
        <v>180</v>
      </c>
      <c r="K73" s="118" t="s">
        <v>6216</v>
      </c>
      <c r="L73" s="89" t="s">
        <v>180</v>
      </c>
      <c r="M73" s="89" t="s">
        <v>180</v>
      </c>
      <c r="N73" s="89">
        <v>901</v>
      </c>
    </row>
    <row r="74" s="88" customFormat="1" ht="14.4" spans="1:16">
      <c r="A74" s="88" t="s">
        <v>227</v>
      </c>
      <c r="B74" s="134" t="s">
        <v>4400</v>
      </c>
      <c r="C74" s="88" t="s">
        <v>441</v>
      </c>
      <c r="D74" s="88">
        <v>0</v>
      </c>
      <c r="E74" s="106">
        <v>0</v>
      </c>
      <c r="F74" s="91">
        <v>420</v>
      </c>
      <c r="G74" s="92">
        <f>F74/F$77</f>
        <v>0.000794375693995135</v>
      </c>
      <c r="H74" s="110">
        <v>0.00341666656750968</v>
      </c>
      <c r="I74" s="110" t="str">
        <f t="shared" si="7"/>
        <v/>
      </c>
      <c r="J74" s="106" t="s">
        <v>180</v>
      </c>
      <c r="K74" s="129" t="s">
        <v>6212</v>
      </c>
      <c r="L74" s="88" t="s">
        <v>180</v>
      </c>
      <c r="M74" s="88" t="s">
        <v>180</v>
      </c>
      <c r="N74" s="88">
        <v>78</v>
      </c>
      <c r="O74" s="126"/>
      <c r="P74" s="126"/>
    </row>
    <row r="75" spans="1:14">
      <c r="A75" s="89" t="s">
        <v>230</v>
      </c>
      <c r="B75" s="89" t="s">
        <v>563</v>
      </c>
      <c r="C75" s="89" t="s">
        <v>233</v>
      </c>
      <c r="D75" s="89" t="s">
        <v>58</v>
      </c>
      <c r="E75" s="91">
        <v>0</v>
      </c>
      <c r="F75" s="91">
        <v>18037.6666666667</v>
      </c>
      <c r="G75" s="92">
        <f>F75/F$77</f>
        <v>0.0341159142294911</v>
      </c>
      <c r="H75" s="92">
        <v>0.0449614622109028</v>
      </c>
      <c r="I75" s="92">
        <f t="shared" si="7"/>
        <v>0.0070918125406682</v>
      </c>
      <c r="J75" s="91">
        <v>5411.30000000001</v>
      </c>
      <c r="K75" s="118">
        <v>0</v>
      </c>
      <c r="L75" s="89" t="s">
        <v>180</v>
      </c>
      <c r="M75" s="89" t="s">
        <v>180</v>
      </c>
      <c r="N75" s="89">
        <v>127</v>
      </c>
    </row>
    <row r="76" spans="1:14">
      <c r="A76" s="89" t="s">
        <v>230</v>
      </c>
      <c r="B76" s="108" t="s">
        <v>558</v>
      </c>
      <c r="C76" s="89">
        <v>0</v>
      </c>
      <c r="D76" s="89" t="s">
        <v>250</v>
      </c>
      <c r="E76" s="91">
        <v>0</v>
      </c>
      <c r="F76" s="91">
        <v>14271.9166666667</v>
      </c>
      <c r="G76" s="92">
        <f>F76/F$77</f>
        <v>0.0269934850160097</v>
      </c>
      <c r="H76" s="92">
        <v>0.0315054053874882</v>
      </c>
      <c r="I76" s="92" t="str">
        <f t="shared" si="7"/>
        <v/>
      </c>
      <c r="J76" s="91" t="s">
        <v>180</v>
      </c>
      <c r="K76" s="118">
        <v>0</v>
      </c>
      <c r="L76" s="89" t="s">
        <v>180</v>
      </c>
      <c r="M76" s="89" t="s">
        <v>180</v>
      </c>
      <c r="N76" s="89" t="s">
        <v>5419</v>
      </c>
    </row>
    <row r="77" spans="3:9">
      <c r="C77" s="89"/>
      <c r="E77" s="91"/>
      <c r="F77" s="91">
        <v>528717.083333333</v>
      </c>
      <c r="G77" s="109"/>
      <c r="H77" s="109"/>
      <c r="I77" s="109">
        <f>SUM(I68:I76)</f>
        <v>0.0352941947385975</v>
      </c>
    </row>
    <row r="78" spans="3:9">
      <c r="C78" s="89"/>
      <c r="E78" s="91"/>
      <c r="G78" s="109"/>
      <c r="H78" s="109"/>
      <c r="I78" s="109"/>
    </row>
    <row r="79" ht="14.4" customHeight="1" spans="1:22">
      <c r="A79" s="96" t="s">
        <v>274</v>
      </c>
      <c r="B79" s="97"/>
      <c r="C79" s="98"/>
      <c r="E79" s="99" t="s">
        <v>2</v>
      </c>
      <c r="F79" s="100"/>
      <c r="G79" s="100"/>
      <c r="H79" s="100"/>
      <c r="I79" s="115"/>
      <c r="J79" s="100"/>
      <c r="K79" s="95"/>
      <c r="L79" s="102"/>
      <c r="M79" s="102"/>
      <c r="O79" s="128"/>
      <c r="P79" s="128"/>
      <c r="Q79" s="128"/>
      <c r="R79" s="132"/>
      <c r="S79" s="116"/>
      <c r="T79" s="128"/>
      <c r="U79" s="128"/>
      <c r="V79" s="132"/>
    </row>
    <row r="80" ht="46.8" spans="1:22">
      <c r="A80" s="101" t="s">
        <v>3944</v>
      </c>
      <c r="B80" s="102" t="s">
        <v>207</v>
      </c>
      <c r="C80" s="101" t="s">
        <v>447</v>
      </c>
      <c r="D80" s="89" t="s">
        <v>209</v>
      </c>
      <c r="E80" s="101" t="s">
        <v>210</v>
      </c>
      <c r="F80" s="103" t="s">
        <v>6086</v>
      </c>
      <c r="G80" s="104" t="s">
        <v>6209</v>
      </c>
      <c r="H80" s="104" t="s">
        <v>6210</v>
      </c>
      <c r="I80" s="117" t="s">
        <v>6196</v>
      </c>
      <c r="J80" s="91" t="s">
        <v>6197</v>
      </c>
      <c r="K80" s="95"/>
      <c r="L80" s="119" t="s">
        <v>6091</v>
      </c>
      <c r="M80" s="119" t="s">
        <v>6092</v>
      </c>
      <c r="N80" s="120" t="s">
        <v>6198</v>
      </c>
      <c r="O80" s="119" t="s">
        <v>225</v>
      </c>
      <c r="P80" s="120" t="s">
        <v>226</v>
      </c>
      <c r="Q80" s="119"/>
      <c r="R80" s="119"/>
      <c r="S80" s="119"/>
      <c r="T80" s="119"/>
      <c r="U80" s="119"/>
      <c r="V80" s="119"/>
    </row>
    <row r="81" s="88" customFormat="1" ht="14.4" spans="1:16">
      <c r="A81" s="88" t="s">
        <v>227</v>
      </c>
      <c r="B81" s="105" t="s">
        <v>564</v>
      </c>
      <c r="C81" s="88" t="s">
        <v>441</v>
      </c>
      <c r="D81" s="88" t="s">
        <v>234</v>
      </c>
      <c r="E81" s="106">
        <v>0</v>
      </c>
      <c r="F81" s="106">
        <v>246151.583333333</v>
      </c>
      <c r="G81" s="107">
        <f>F81/F$88</f>
        <v>0.499201127851315</v>
      </c>
      <c r="H81" s="107">
        <v>0.488979672845146</v>
      </c>
      <c r="I81" s="107" t="str">
        <f t="shared" ref="I81:I87" si="8">IFERROR(J81*0.5/$F$81,"")</f>
        <v/>
      </c>
      <c r="J81" s="106" t="s">
        <v>180</v>
      </c>
      <c r="K81" s="122">
        <v>0</v>
      </c>
      <c r="L81" s="88" t="str">
        <f>IFERROR(VLOOKUP(B81,'Competitive Matrix'!$B$4:$D$22,2,FALSE),"")</f>
        <v>L:80% N:53% D:69% 有销售:88%</v>
      </c>
      <c r="M81" s="88" t="s">
        <v>6155</v>
      </c>
      <c r="N81" s="88">
        <v>1100</v>
      </c>
      <c r="O81" s="124"/>
      <c r="P81" s="124"/>
    </row>
    <row r="82" ht="24" customHeight="1" spans="1:14">
      <c r="A82" s="89" t="s">
        <v>230</v>
      </c>
      <c r="B82" s="108" t="s">
        <v>568</v>
      </c>
      <c r="C82" s="89" t="s">
        <v>65</v>
      </c>
      <c r="D82" s="89" t="s">
        <v>266</v>
      </c>
      <c r="E82" s="91">
        <v>0</v>
      </c>
      <c r="F82" s="91">
        <v>111967.416666667</v>
      </c>
      <c r="G82" s="109">
        <f>F82/F$88</f>
        <v>0.227072521434516</v>
      </c>
      <c r="H82" s="109">
        <v>0.212400099929768</v>
      </c>
      <c r="I82" s="109" t="str">
        <f t="shared" si="8"/>
        <v/>
      </c>
      <c r="J82" s="91" t="s">
        <v>180</v>
      </c>
      <c r="K82" s="118">
        <v>0</v>
      </c>
      <c r="L82" s="89" t="s">
        <v>180</v>
      </c>
      <c r="M82" s="89" t="s">
        <v>180</v>
      </c>
      <c r="N82" s="89">
        <v>338</v>
      </c>
    </row>
    <row r="83" ht="61.2" customHeight="1" spans="1:18">
      <c r="A83" s="89" t="s">
        <v>391</v>
      </c>
      <c r="B83" s="108" t="s">
        <v>565</v>
      </c>
      <c r="C83" s="89" t="s">
        <v>454</v>
      </c>
      <c r="D83" s="89" t="s">
        <v>266</v>
      </c>
      <c r="E83" s="91">
        <v>0</v>
      </c>
      <c r="F83" s="91">
        <v>48443.1666666667</v>
      </c>
      <c r="G83" s="109">
        <f>F83/F$88</f>
        <v>0.098243867088766</v>
      </c>
      <c r="H83" s="109">
        <v>0.0770060471398759</v>
      </c>
      <c r="I83" s="109" t="str">
        <f t="shared" si="8"/>
        <v/>
      </c>
      <c r="J83" s="91" t="s">
        <v>180</v>
      </c>
      <c r="K83" s="118">
        <v>0</v>
      </c>
      <c r="L83" s="89" t="s">
        <v>180</v>
      </c>
      <c r="M83" s="89" t="s">
        <v>180</v>
      </c>
      <c r="N83" s="89">
        <v>480</v>
      </c>
      <c r="O83" s="124"/>
      <c r="P83" s="125"/>
      <c r="Q83" s="133"/>
      <c r="R83" s="133"/>
    </row>
    <row r="84" spans="1:18">
      <c r="A84" s="89" t="s">
        <v>391</v>
      </c>
      <c r="B84" s="108" t="s">
        <v>567</v>
      </c>
      <c r="C84" s="89" t="s">
        <v>454</v>
      </c>
      <c r="D84" s="89" t="s">
        <v>420</v>
      </c>
      <c r="E84" s="91">
        <v>0</v>
      </c>
      <c r="F84" s="91">
        <v>27768.6666666667</v>
      </c>
      <c r="G84" s="109">
        <f>F84/F$88</f>
        <v>0.0563155009251167</v>
      </c>
      <c r="H84" s="109">
        <v>0.077518305989408</v>
      </c>
      <c r="I84" s="109" t="str">
        <f t="shared" si="8"/>
        <v/>
      </c>
      <c r="J84" s="91" t="s">
        <v>180</v>
      </c>
      <c r="K84" s="118">
        <v>0</v>
      </c>
      <c r="L84" s="89" t="s">
        <v>180</v>
      </c>
      <c r="M84" s="89" t="s">
        <v>180</v>
      </c>
      <c r="N84" s="89">
        <v>678</v>
      </c>
      <c r="Q84" s="133"/>
      <c r="R84" s="133"/>
    </row>
    <row r="85" ht="14.4" spans="1:15">
      <c r="A85" s="89" t="s">
        <v>446</v>
      </c>
      <c r="B85" s="89" t="s">
        <v>4425</v>
      </c>
      <c r="C85" s="89" t="s">
        <v>233</v>
      </c>
      <c r="D85" s="89" t="s">
        <v>49</v>
      </c>
      <c r="E85" s="91">
        <v>0</v>
      </c>
      <c r="F85" s="91">
        <v>38284.1666666667</v>
      </c>
      <c r="G85" s="109">
        <f>F85/F$88</f>
        <v>0.0776411791467837</v>
      </c>
      <c r="H85" s="109">
        <v>0.0999129543738737</v>
      </c>
      <c r="I85" s="109">
        <f t="shared" si="8"/>
        <v>0.0116648142624853</v>
      </c>
      <c r="J85" s="91">
        <v>5742.625</v>
      </c>
      <c r="K85" s="118">
        <v>0</v>
      </c>
      <c r="L85" s="89" t="s">
        <v>180</v>
      </c>
      <c r="M85" s="89" t="s">
        <v>180</v>
      </c>
      <c r="N85" s="89">
        <v>798</v>
      </c>
      <c r="O85" s="125"/>
    </row>
    <row r="86" ht="14.4" spans="2:14">
      <c r="B86" s="108" t="s">
        <v>4429</v>
      </c>
      <c r="C86" s="89">
        <v>0</v>
      </c>
      <c r="D86" s="89">
        <v>0</v>
      </c>
      <c r="E86" s="91">
        <v>0</v>
      </c>
      <c r="F86" s="91">
        <v>27734.9166666667</v>
      </c>
      <c r="G86" s="109"/>
      <c r="H86" s="109"/>
      <c r="I86" s="109" t="str">
        <f t="shared" si="8"/>
        <v/>
      </c>
      <c r="J86" s="91" t="s">
        <v>180</v>
      </c>
      <c r="K86" s="118" t="s">
        <v>1630</v>
      </c>
      <c r="L86" s="89" t="s">
        <v>180</v>
      </c>
      <c r="M86" s="89" t="s">
        <v>180</v>
      </c>
      <c r="N86" s="89">
        <v>543</v>
      </c>
    </row>
    <row r="87" spans="1:15">
      <c r="A87" s="89" t="s">
        <v>391</v>
      </c>
      <c r="B87" s="89" t="s">
        <v>569</v>
      </c>
      <c r="C87" s="89">
        <v>0</v>
      </c>
      <c r="D87" s="89">
        <v>0</v>
      </c>
      <c r="E87" s="91">
        <v>0</v>
      </c>
      <c r="F87" s="91">
        <v>20476</v>
      </c>
      <c r="G87" s="109">
        <f>F87/F$88</f>
        <v>0.0415258035535023</v>
      </c>
      <c r="H87" s="109">
        <v>0.0441829197219292</v>
      </c>
      <c r="I87" s="109" t="str">
        <f t="shared" si="8"/>
        <v/>
      </c>
      <c r="J87" s="91" t="s">
        <v>180</v>
      </c>
      <c r="K87" s="118">
        <v>0</v>
      </c>
      <c r="L87" s="89" t="s">
        <v>180</v>
      </c>
      <c r="M87" s="89" t="s">
        <v>180</v>
      </c>
      <c r="N87" s="89">
        <v>219</v>
      </c>
      <c r="O87" s="126"/>
    </row>
    <row r="88" spans="5:11">
      <c r="E88" s="91"/>
      <c r="F88" s="91">
        <v>493091</v>
      </c>
      <c r="I88" s="109">
        <f>SUM(I81:I87)</f>
        <v>0.0116648142624853</v>
      </c>
      <c r="K88" s="95"/>
    </row>
    <row r="89" spans="5:5">
      <c r="E89" s="91"/>
    </row>
    <row r="90" ht="14.4" customHeight="1" spans="1:22">
      <c r="A90" s="96" t="s">
        <v>165</v>
      </c>
      <c r="B90" s="97"/>
      <c r="C90" s="98"/>
      <c r="E90" s="99" t="s">
        <v>2</v>
      </c>
      <c r="F90" s="100"/>
      <c r="G90" s="100"/>
      <c r="H90" s="100"/>
      <c r="I90" s="115"/>
      <c r="J90" s="100"/>
      <c r="L90" s="102"/>
      <c r="M90" s="102"/>
      <c r="O90" s="128"/>
      <c r="P90" s="128"/>
      <c r="Q90" s="128"/>
      <c r="R90" s="132"/>
      <c r="S90" s="116"/>
      <c r="T90" s="128"/>
      <c r="U90" s="128"/>
      <c r="V90" s="132"/>
    </row>
    <row r="91" ht="46.8" spans="1:22">
      <c r="A91" s="101" t="s">
        <v>3944</v>
      </c>
      <c r="B91" s="102" t="s">
        <v>207</v>
      </c>
      <c r="C91" s="101" t="s">
        <v>447</v>
      </c>
      <c r="D91" s="89" t="s">
        <v>209</v>
      </c>
      <c r="E91" s="101" t="s">
        <v>210</v>
      </c>
      <c r="F91" s="103" t="s">
        <v>6086</v>
      </c>
      <c r="G91" s="104" t="s">
        <v>6209</v>
      </c>
      <c r="H91" s="104" t="s">
        <v>6210</v>
      </c>
      <c r="I91" s="117" t="s">
        <v>6196</v>
      </c>
      <c r="J91" s="91" t="s">
        <v>6197</v>
      </c>
      <c r="K91" s="118" t="s">
        <v>0</v>
      </c>
      <c r="L91" s="119" t="s">
        <v>6091</v>
      </c>
      <c r="M91" s="119" t="s">
        <v>6092</v>
      </c>
      <c r="N91" s="120" t="s">
        <v>6198</v>
      </c>
      <c r="O91" s="119" t="s">
        <v>225</v>
      </c>
      <c r="P91" s="120" t="s">
        <v>226</v>
      </c>
      <c r="Q91" s="119"/>
      <c r="R91" s="119"/>
      <c r="S91" s="119"/>
      <c r="T91" s="119"/>
      <c r="U91" s="119"/>
      <c r="V91" s="119"/>
    </row>
    <row r="92" spans="1:14">
      <c r="A92" s="89" t="s">
        <v>4435</v>
      </c>
      <c r="B92" s="108" t="s">
        <v>577</v>
      </c>
      <c r="C92" s="89" t="s">
        <v>441</v>
      </c>
      <c r="D92" s="89" t="s">
        <v>234</v>
      </c>
      <c r="E92" s="91">
        <v>0</v>
      </c>
      <c r="F92" s="91">
        <v>299806.25</v>
      </c>
      <c r="I92" s="109" t="str">
        <f t="shared" ref="I92:I99" si="9">IFERROR(J92*0.5/$F$97,"")</f>
        <v/>
      </c>
      <c r="J92" s="91" t="s">
        <v>180</v>
      </c>
      <c r="K92" s="118">
        <v>0</v>
      </c>
      <c r="L92" s="89" t="s">
        <v>180</v>
      </c>
      <c r="M92" s="89" t="s">
        <v>180</v>
      </c>
      <c r="N92" s="89" t="s">
        <v>5419</v>
      </c>
    </row>
    <row r="93" spans="1:15">
      <c r="A93" s="89" t="s">
        <v>230</v>
      </c>
      <c r="B93" s="108" t="s">
        <v>570</v>
      </c>
      <c r="C93" s="89" t="s">
        <v>233</v>
      </c>
      <c r="D93" s="89" t="s">
        <v>50</v>
      </c>
      <c r="E93" s="91">
        <v>0</v>
      </c>
      <c r="F93" s="91">
        <v>156277.916666667</v>
      </c>
      <c r="G93" s="109">
        <f t="shared" ref="G93:G99" si="10">F93/F$100</f>
        <v>0.319503948746021</v>
      </c>
      <c r="H93" s="109">
        <v>0.317203133392501</v>
      </c>
      <c r="I93" s="109">
        <f t="shared" si="9"/>
        <v>5.66741686033784</v>
      </c>
      <c r="J93" s="91">
        <v>46883.3750000001</v>
      </c>
      <c r="K93" s="118">
        <v>0</v>
      </c>
      <c r="L93" s="89" t="s">
        <v>180</v>
      </c>
      <c r="M93" s="89" t="s">
        <v>180</v>
      </c>
      <c r="N93" s="89">
        <v>454</v>
      </c>
      <c r="O93" s="126"/>
    </row>
    <row r="94" ht="14.4" spans="1:22">
      <c r="A94" s="88" t="s">
        <v>227</v>
      </c>
      <c r="B94" s="105" t="s">
        <v>571</v>
      </c>
      <c r="C94" s="88" t="s">
        <v>441</v>
      </c>
      <c r="D94" s="88" t="s">
        <v>234</v>
      </c>
      <c r="E94" s="106">
        <v>0</v>
      </c>
      <c r="F94" s="106">
        <v>120550.993533333</v>
      </c>
      <c r="G94" s="107">
        <f t="shared" si="10"/>
        <v>0.246461683651119</v>
      </c>
      <c r="H94" s="107">
        <v>0.20986234973968</v>
      </c>
      <c r="I94" s="107" t="str">
        <f t="shared" si="9"/>
        <v/>
      </c>
      <c r="J94" s="106" t="s">
        <v>180</v>
      </c>
      <c r="K94" s="122" t="s">
        <v>6214</v>
      </c>
      <c r="L94" s="88" t="str">
        <f>IFERROR(VLOOKUP(B94,'Competitive Matrix'!$B$4:$D$22,2,FALSE),"")</f>
        <v>L:74% N:17% D:89% 有销售:84%</v>
      </c>
      <c r="M94" s="88" t="s">
        <v>6203</v>
      </c>
      <c r="N94" s="88">
        <v>934</v>
      </c>
      <c r="O94" s="88"/>
      <c r="P94" s="126"/>
      <c r="Q94" s="88"/>
      <c r="R94" s="88"/>
      <c r="S94" s="88"/>
      <c r="T94" s="88"/>
      <c r="U94" s="88"/>
      <c r="V94" s="88"/>
    </row>
    <row r="95" ht="24.6" customHeight="1" spans="1:16">
      <c r="A95" s="89" t="s">
        <v>230</v>
      </c>
      <c r="B95" s="108" t="s">
        <v>573</v>
      </c>
      <c r="C95" s="89" t="s">
        <v>233</v>
      </c>
      <c r="D95" s="89" t="s">
        <v>423</v>
      </c>
      <c r="E95" s="91">
        <v>0</v>
      </c>
      <c r="F95" s="91">
        <v>114565.833333333</v>
      </c>
      <c r="G95" s="109">
        <f t="shared" si="10"/>
        <v>0.234225263057822</v>
      </c>
      <c r="H95" s="109">
        <v>0.260361113397365</v>
      </c>
      <c r="I95" s="109" t="str">
        <f t="shared" si="9"/>
        <v/>
      </c>
      <c r="J95" s="91" t="s">
        <v>180</v>
      </c>
      <c r="K95" s="118">
        <v>0</v>
      </c>
      <c r="L95" s="89" t="s">
        <v>180</v>
      </c>
      <c r="M95" s="89" t="s">
        <v>180</v>
      </c>
      <c r="N95" s="89">
        <v>1000</v>
      </c>
      <c r="O95" s="124"/>
      <c r="P95" s="125"/>
    </row>
    <row r="96" ht="14.4" spans="1:14">
      <c r="A96" s="89" t="s">
        <v>1992</v>
      </c>
      <c r="B96" s="89" t="s">
        <v>4454</v>
      </c>
      <c r="C96" s="89" t="s">
        <v>233</v>
      </c>
      <c r="D96" s="89" t="s">
        <v>424</v>
      </c>
      <c r="E96" s="91">
        <v>0</v>
      </c>
      <c r="F96" s="91">
        <v>39824.25</v>
      </c>
      <c r="G96" s="109">
        <f t="shared" si="10"/>
        <v>0.0814190859607401</v>
      </c>
      <c r="H96" s="109">
        <v>0.0950210212564671</v>
      </c>
      <c r="I96" s="109" t="str">
        <f t="shared" si="9"/>
        <v/>
      </c>
      <c r="J96" s="91" t="s">
        <v>180</v>
      </c>
      <c r="K96" s="129" t="s">
        <v>6215</v>
      </c>
      <c r="L96" s="89" t="s">
        <v>180</v>
      </c>
      <c r="M96" s="89" t="s">
        <v>180</v>
      </c>
      <c r="N96" s="89">
        <v>747</v>
      </c>
    </row>
    <row r="97" s="88" customFormat="1" spans="1:22">
      <c r="A97" s="89" t="s">
        <v>230</v>
      </c>
      <c r="B97" s="108" t="s">
        <v>5231</v>
      </c>
      <c r="C97" s="89" t="s">
        <v>233</v>
      </c>
      <c r="D97" s="89" t="s">
        <v>50</v>
      </c>
      <c r="E97" s="91">
        <v>0</v>
      </c>
      <c r="F97" s="91">
        <v>4136.2208</v>
      </c>
      <c r="G97" s="109">
        <f t="shared" si="10"/>
        <v>0.0084563379565918</v>
      </c>
      <c r="H97" s="109">
        <v>0.0094429836157007</v>
      </c>
      <c r="I97" s="109">
        <f t="shared" si="9"/>
        <v>0.15</v>
      </c>
      <c r="J97" s="91">
        <v>1240.86624</v>
      </c>
      <c r="K97" s="118">
        <v>0</v>
      </c>
      <c r="L97" s="89" t="s">
        <v>180</v>
      </c>
      <c r="M97" s="89" t="s">
        <v>180</v>
      </c>
      <c r="N97" s="89">
        <v>848</v>
      </c>
      <c r="O97" s="126"/>
      <c r="P97" s="95"/>
      <c r="Q97" s="89"/>
      <c r="R97" s="89"/>
      <c r="S97" s="89"/>
      <c r="T97" s="89"/>
      <c r="U97" s="89"/>
      <c r="V97" s="89"/>
    </row>
    <row r="98" spans="1:15">
      <c r="A98" s="89" t="s">
        <v>391</v>
      </c>
      <c r="B98" s="89" t="s">
        <v>297</v>
      </c>
      <c r="C98" s="89" t="s">
        <v>441</v>
      </c>
      <c r="D98" s="89" t="s">
        <v>421</v>
      </c>
      <c r="E98" s="91">
        <v>0</v>
      </c>
      <c r="F98" s="91">
        <v>39462.3333333333</v>
      </c>
      <c r="G98" s="109">
        <f t="shared" si="10"/>
        <v>0.0806791618141721</v>
      </c>
      <c r="H98" s="109">
        <v>0.0659065485361666</v>
      </c>
      <c r="I98" s="109" t="str">
        <f t="shared" si="9"/>
        <v/>
      </c>
      <c r="J98" s="91" t="s">
        <v>180</v>
      </c>
      <c r="K98" s="118">
        <v>0</v>
      </c>
      <c r="L98" s="89" t="s">
        <v>180</v>
      </c>
      <c r="M98" s="89" t="s">
        <v>180</v>
      </c>
      <c r="N98" s="89">
        <v>132</v>
      </c>
      <c r="O98" s="126"/>
    </row>
    <row r="99" spans="1:15">
      <c r="A99" s="89" t="s">
        <v>230</v>
      </c>
      <c r="B99" s="89" t="s">
        <v>4480</v>
      </c>
      <c r="C99" s="89" t="s">
        <v>233</v>
      </c>
      <c r="D99" s="89" t="s">
        <v>371</v>
      </c>
      <c r="E99" s="91">
        <v>0</v>
      </c>
      <c r="F99" s="91">
        <v>14309.1666666667</v>
      </c>
      <c r="G99" s="109">
        <f t="shared" si="10"/>
        <v>0.0292545188135343</v>
      </c>
      <c r="H99" s="109">
        <v>0.042202850062119</v>
      </c>
      <c r="I99" s="109" t="str">
        <f t="shared" si="9"/>
        <v/>
      </c>
      <c r="J99" s="91" t="s">
        <v>180</v>
      </c>
      <c r="K99" s="118">
        <v>0</v>
      </c>
      <c r="L99" s="89" t="s">
        <v>180</v>
      </c>
      <c r="M99" s="89" t="s">
        <v>180</v>
      </c>
      <c r="N99" s="89">
        <v>169</v>
      </c>
      <c r="O99" s="138"/>
    </row>
    <row r="100" spans="6:11">
      <c r="F100" s="91">
        <v>489126.714333333</v>
      </c>
      <c r="I100" s="109">
        <f>SUM(I93:I98)</f>
        <v>5.81741686033784</v>
      </c>
      <c r="K100" s="95"/>
    </row>
    <row r="101" spans="5:10">
      <c r="E101" s="91"/>
      <c r="F101" s="109"/>
      <c r="G101" s="109"/>
      <c r="H101" s="109"/>
      <c r="I101" s="109"/>
      <c r="J101" s="109"/>
    </row>
    <row r="102" spans="3:9">
      <c r="C102" s="89"/>
      <c r="E102" s="91"/>
      <c r="G102" s="109"/>
      <c r="H102" s="109"/>
      <c r="I102" s="109"/>
    </row>
    <row r="103" spans="3:9">
      <c r="C103" s="89"/>
      <c r="E103" s="91"/>
      <c r="G103" s="109"/>
      <c r="H103" s="109"/>
      <c r="I103" s="109"/>
    </row>
    <row r="104" spans="3:10">
      <c r="C104" s="89"/>
      <c r="E104" s="91"/>
      <c r="F104" s="109"/>
      <c r="G104" s="109"/>
      <c r="H104" s="109"/>
      <c r="I104" s="109"/>
      <c r="J104" s="109"/>
    </row>
    <row r="105" ht="14.4" customHeight="1" spans="1:22">
      <c r="A105" s="96" t="s">
        <v>174</v>
      </c>
      <c r="B105" s="97"/>
      <c r="C105" s="98"/>
      <c r="E105" s="99" t="s">
        <v>2</v>
      </c>
      <c r="F105" s="100"/>
      <c r="G105" s="100"/>
      <c r="H105" s="100"/>
      <c r="I105" s="115"/>
      <c r="J105" s="100"/>
      <c r="K105" s="95"/>
      <c r="L105" s="102"/>
      <c r="M105" s="102"/>
      <c r="O105" s="128"/>
      <c r="P105" s="128"/>
      <c r="Q105" s="128"/>
      <c r="R105" s="132"/>
      <c r="S105" s="116"/>
      <c r="T105" s="128"/>
      <c r="U105" s="128"/>
      <c r="V105" s="132"/>
    </row>
    <row r="106" ht="46.8" spans="1:22">
      <c r="A106" s="101" t="s">
        <v>3944</v>
      </c>
      <c r="B106" s="102" t="s">
        <v>207</v>
      </c>
      <c r="C106" s="101" t="s">
        <v>447</v>
      </c>
      <c r="E106" s="101" t="s">
        <v>210</v>
      </c>
      <c r="F106" s="103" t="s">
        <v>6086</v>
      </c>
      <c r="G106" s="104" t="s">
        <v>6209</v>
      </c>
      <c r="H106" s="104" t="s">
        <v>6210</v>
      </c>
      <c r="I106" s="117" t="s">
        <v>6196</v>
      </c>
      <c r="J106" s="91" t="s">
        <v>6197</v>
      </c>
      <c r="K106" s="118" t="s">
        <v>0</v>
      </c>
      <c r="L106" s="119" t="s">
        <v>6091</v>
      </c>
      <c r="M106" s="119" t="s">
        <v>6092</v>
      </c>
      <c r="N106" s="120" t="s">
        <v>6198</v>
      </c>
      <c r="O106" s="119" t="s">
        <v>225</v>
      </c>
      <c r="P106" s="120" t="s">
        <v>226</v>
      </c>
      <c r="Q106" s="119"/>
      <c r="R106" s="119"/>
      <c r="S106" s="119"/>
      <c r="T106" s="119"/>
      <c r="U106" s="119"/>
      <c r="V106" s="119"/>
    </row>
    <row r="107" spans="1:14">
      <c r="A107" s="89" t="s">
        <v>672</v>
      </c>
      <c r="B107" s="108" t="s">
        <v>526</v>
      </c>
      <c r="C107" s="89" t="s">
        <v>441</v>
      </c>
      <c r="D107" s="89" t="s">
        <v>234</v>
      </c>
      <c r="E107" s="91">
        <v>6238</v>
      </c>
      <c r="F107" s="91">
        <v>212798.416666667</v>
      </c>
      <c r="I107" s="109" t="str">
        <f t="shared" ref="I107:I113" si="11">IFERROR(J107*0.5/$F$108,"")</f>
        <v/>
      </c>
      <c r="J107" s="91" t="s">
        <v>180</v>
      </c>
      <c r="K107" s="118">
        <v>0</v>
      </c>
      <c r="L107" s="89" t="s">
        <v>180</v>
      </c>
      <c r="M107" s="89" t="s">
        <v>180</v>
      </c>
      <c r="N107" s="89" t="s">
        <v>5419</v>
      </c>
    </row>
    <row r="108" s="88" customFormat="1" ht="14.4" spans="1:16">
      <c r="A108" s="88" t="s">
        <v>227</v>
      </c>
      <c r="B108" s="88" t="s">
        <v>588</v>
      </c>
      <c r="C108" s="88" t="s">
        <v>441</v>
      </c>
      <c r="D108" s="88" t="s">
        <v>234</v>
      </c>
      <c r="E108" s="106">
        <v>325311</v>
      </c>
      <c r="F108" s="106">
        <v>178347.730916667</v>
      </c>
      <c r="G108" s="107">
        <f t="shared" ref="G108:G113" si="12">F108/F$114</f>
        <v>0.46781415920362</v>
      </c>
      <c r="H108" s="107">
        <v>0.426933888248903</v>
      </c>
      <c r="I108" s="107" t="str">
        <f t="shared" si="11"/>
        <v/>
      </c>
      <c r="J108" s="106" t="s">
        <v>180</v>
      </c>
      <c r="K108" s="122" t="s">
        <v>6214</v>
      </c>
      <c r="L108" s="88" t="str">
        <f>IFERROR(VLOOKUP(B108,'Competitive Matrix'!$B$4:$D$22,2,FALSE),"")</f>
        <v>L:70% N:33% D:52% 有销售:72%</v>
      </c>
      <c r="M108" s="88" t="s">
        <v>6113</v>
      </c>
      <c r="N108" s="88">
        <v>956</v>
      </c>
      <c r="O108" s="126"/>
      <c r="P108" s="125"/>
    </row>
    <row r="109" spans="1:14">
      <c r="A109" s="89" t="s">
        <v>230</v>
      </c>
      <c r="B109" s="108" t="s">
        <v>592</v>
      </c>
      <c r="C109" s="89" t="s">
        <v>441</v>
      </c>
      <c r="D109" s="89" t="s">
        <v>266</v>
      </c>
      <c r="E109" s="91">
        <v>427242</v>
      </c>
      <c r="F109" s="154">
        <v>88283.2781666667</v>
      </c>
      <c r="G109" s="109">
        <f t="shared" si="12"/>
        <v>0.231571028882762</v>
      </c>
      <c r="H109" s="109">
        <v>0.248427667910627</v>
      </c>
      <c r="I109" s="109" t="str">
        <f t="shared" si="11"/>
        <v/>
      </c>
      <c r="J109" s="91" t="s">
        <v>180</v>
      </c>
      <c r="K109" s="118">
        <v>0</v>
      </c>
      <c r="L109" s="89" t="s">
        <v>180</v>
      </c>
      <c r="M109" s="89" t="s">
        <v>180</v>
      </c>
      <c r="N109" s="89">
        <v>341</v>
      </c>
    </row>
    <row r="110" ht="14.4" spans="1:16">
      <c r="A110" s="89" t="s">
        <v>230</v>
      </c>
      <c r="B110" s="90" t="s">
        <v>589</v>
      </c>
      <c r="C110" s="89" t="s">
        <v>441</v>
      </c>
      <c r="D110" s="89" t="s">
        <v>58</v>
      </c>
      <c r="E110" s="91">
        <v>345760</v>
      </c>
      <c r="F110" s="154">
        <v>59593.033</v>
      </c>
      <c r="G110" s="109">
        <f t="shared" si="12"/>
        <v>0.156315219061098</v>
      </c>
      <c r="H110" s="109">
        <v>0.189490083076893</v>
      </c>
      <c r="I110" s="109">
        <f t="shared" si="11"/>
        <v>0.0501209345588856</v>
      </c>
      <c r="J110" s="91">
        <v>17877.9099</v>
      </c>
      <c r="K110" s="118">
        <v>0</v>
      </c>
      <c r="L110" s="89" t="s">
        <v>180</v>
      </c>
      <c r="M110" s="89" t="s">
        <v>180</v>
      </c>
      <c r="N110" s="89">
        <v>293</v>
      </c>
      <c r="O110" s="124" t="s">
        <v>4505</v>
      </c>
      <c r="P110" s="125"/>
    </row>
    <row r="111" spans="1:14">
      <c r="A111" s="89" t="s">
        <v>230</v>
      </c>
      <c r="B111" s="90" t="s">
        <v>591</v>
      </c>
      <c r="C111" s="89" t="s">
        <v>441</v>
      </c>
      <c r="D111" s="89" t="s">
        <v>414</v>
      </c>
      <c r="E111" s="91">
        <v>2240207</v>
      </c>
      <c r="F111" s="154">
        <v>8501.68595</v>
      </c>
      <c r="G111" s="109">
        <f t="shared" si="12"/>
        <v>0.0223003065083617</v>
      </c>
      <c r="H111" s="109">
        <v>0.0407907867757245</v>
      </c>
      <c r="I111" s="109" t="str">
        <f t="shared" si="11"/>
        <v/>
      </c>
      <c r="J111" s="91" t="s">
        <v>180</v>
      </c>
      <c r="K111" s="118">
        <v>0</v>
      </c>
      <c r="L111" s="89" t="s">
        <v>180</v>
      </c>
      <c r="M111" s="89" t="s">
        <v>180</v>
      </c>
      <c r="N111" s="89">
        <v>84</v>
      </c>
    </row>
    <row r="112" spans="1:14">
      <c r="A112" s="89" t="s">
        <v>238</v>
      </c>
      <c r="B112" s="108" t="s">
        <v>322</v>
      </c>
      <c r="C112" s="89" t="s">
        <v>441</v>
      </c>
      <c r="D112" s="89" t="s">
        <v>250</v>
      </c>
      <c r="E112" s="91">
        <v>284511</v>
      </c>
      <c r="F112" s="154">
        <v>33669.0833333333</v>
      </c>
      <c r="G112" s="109">
        <f t="shared" si="12"/>
        <v>0.0883155273677103</v>
      </c>
      <c r="H112" s="109">
        <v>0.0736252522951235</v>
      </c>
      <c r="I112" s="109" t="str">
        <f t="shared" si="11"/>
        <v/>
      </c>
      <c r="J112" s="91" t="s">
        <v>180</v>
      </c>
      <c r="K112" s="118">
        <v>0</v>
      </c>
      <c r="L112" s="89" t="s">
        <v>180</v>
      </c>
      <c r="M112" s="89" t="s">
        <v>180</v>
      </c>
      <c r="N112" s="89">
        <v>390</v>
      </c>
    </row>
    <row r="113" spans="1:14">
      <c r="A113" s="89" t="s">
        <v>230</v>
      </c>
      <c r="B113" s="108" t="s">
        <v>5192</v>
      </c>
      <c r="C113" s="89">
        <v>0</v>
      </c>
      <c r="D113" s="89" t="s">
        <v>420</v>
      </c>
      <c r="E113" s="91">
        <v>2886095</v>
      </c>
      <c r="F113" s="154">
        <v>12841.47105</v>
      </c>
      <c r="G113" s="109">
        <f t="shared" si="12"/>
        <v>0.0336837589764478</v>
      </c>
      <c r="H113" s="109">
        <v>0.0207323216927278</v>
      </c>
      <c r="I113" s="109" t="str">
        <f t="shared" si="11"/>
        <v/>
      </c>
      <c r="J113" s="91" t="s">
        <v>180</v>
      </c>
      <c r="K113" s="118">
        <v>0</v>
      </c>
      <c r="L113" s="89" t="s">
        <v>180</v>
      </c>
      <c r="M113" s="89" t="s">
        <v>180</v>
      </c>
      <c r="N113" s="89">
        <v>160</v>
      </c>
    </row>
    <row r="114" spans="6:13">
      <c r="F114" s="91">
        <v>381236.282416667</v>
      </c>
      <c r="I114" s="109">
        <f>SUM(I107:I113)</f>
        <v>0.0501209345588856</v>
      </c>
      <c r="K114" s="118"/>
      <c r="L114" s="89" t="s">
        <v>180</v>
      </c>
      <c r="M114" s="89" t="s">
        <v>180</v>
      </c>
    </row>
    <row r="115" spans="5:11">
      <c r="E115" s="91"/>
      <c r="K115" s="95"/>
    </row>
    <row r="116" ht="14.4" customHeight="1" spans="1:22">
      <c r="A116" s="96" t="s">
        <v>168</v>
      </c>
      <c r="B116" s="96"/>
      <c r="C116" s="98"/>
      <c r="E116" s="99" t="s">
        <v>2</v>
      </c>
      <c r="F116" s="100"/>
      <c r="G116" s="100"/>
      <c r="H116" s="100"/>
      <c r="I116" s="115"/>
      <c r="J116" s="100"/>
      <c r="L116" s="102"/>
      <c r="M116" s="102"/>
      <c r="O116" s="128"/>
      <c r="P116" s="128"/>
      <c r="Q116" s="128"/>
      <c r="R116" s="132"/>
      <c r="S116" s="116"/>
      <c r="T116" s="128"/>
      <c r="U116" s="128"/>
      <c r="V116" s="132"/>
    </row>
    <row r="117" ht="46.8" spans="1:22">
      <c r="A117" s="101" t="s">
        <v>3944</v>
      </c>
      <c r="B117" s="102" t="s">
        <v>207</v>
      </c>
      <c r="C117" s="101" t="s">
        <v>447</v>
      </c>
      <c r="D117" s="89" t="s">
        <v>209</v>
      </c>
      <c r="E117" s="101" t="s">
        <v>210</v>
      </c>
      <c r="F117" s="103" t="s">
        <v>6086</v>
      </c>
      <c r="G117" s="104" t="s">
        <v>6209</v>
      </c>
      <c r="H117" s="104" t="s">
        <v>6210</v>
      </c>
      <c r="I117" s="117" t="s">
        <v>6196</v>
      </c>
      <c r="J117" s="91" t="s">
        <v>6197</v>
      </c>
      <c r="K117" s="118" t="s">
        <v>0</v>
      </c>
      <c r="L117" s="119" t="s">
        <v>6091</v>
      </c>
      <c r="M117" s="119" t="s">
        <v>6092</v>
      </c>
      <c r="N117" s="120" t="s">
        <v>6198</v>
      </c>
      <c r="O117" s="119" t="s">
        <v>225</v>
      </c>
      <c r="P117" s="120" t="s">
        <v>226</v>
      </c>
      <c r="Q117" s="119"/>
      <c r="R117" s="119"/>
      <c r="S117" s="119"/>
      <c r="T117" s="119"/>
      <c r="U117" s="119"/>
      <c r="V117" s="119"/>
    </row>
    <row r="118" s="88" customFormat="1" ht="14.4" spans="1:16">
      <c r="A118" s="88" t="s">
        <v>227</v>
      </c>
      <c r="B118" s="136" t="s">
        <v>593</v>
      </c>
      <c r="C118" s="88" t="s">
        <v>441</v>
      </c>
      <c r="D118" s="88" t="s">
        <v>234</v>
      </c>
      <c r="E118" s="106">
        <v>0</v>
      </c>
      <c r="F118" s="106">
        <v>200971.954466667</v>
      </c>
      <c r="G118" s="107">
        <f>F118/F$122</f>
        <v>0.779542181903223</v>
      </c>
      <c r="H118" s="107">
        <v>0.733962202364327</v>
      </c>
      <c r="I118" s="107" t="str">
        <f>IFERROR(J118*0.5/$F$118,"")</f>
        <v/>
      </c>
      <c r="J118" s="106" t="s">
        <v>180</v>
      </c>
      <c r="K118" s="122">
        <v>0</v>
      </c>
      <c r="L118" s="88" t="str">
        <f>IFERROR(VLOOKUP(B118,'Competitive Matrix'!$B$4:$D$22,2,FALSE),"")</f>
        <v>L:86% N:59% D:87% 有销售:92%</v>
      </c>
      <c r="M118" s="88" t="s">
        <v>6105</v>
      </c>
      <c r="N118" s="88">
        <v>1200</v>
      </c>
      <c r="O118" s="125"/>
      <c r="P118" s="125"/>
    </row>
    <row r="119" spans="1:14">
      <c r="A119" s="89" t="s">
        <v>391</v>
      </c>
      <c r="B119" s="137" t="s">
        <v>595</v>
      </c>
      <c r="C119" s="89" t="s">
        <v>441</v>
      </c>
      <c r="D119" s="89" t="s">
        <v>420</v>
      </c>
      <c r="E119" s="91">
        <v>0</v>
      </c>
      <c r="F119" s="154">
        <v>10902.8</v>
      </c>
      <c r="G119" s="109">
        <f>F119/F$122</f>
        <v>0.042290440591123</v>
      </c>
      <c r="H119" s="109">
        <v>0.0732121312521711</v>
      </c>
      <c r="I119" s="109" t="str">
        <f>IFERROR(J119*0.5/$F$118,"")</f>
        <v/>
      </c>
      <c r="J119" s="91" t="s">
        <v>180</v>
      </c>
      <c r="K119" s="118">
        <v>0</v>
      </c>
      <c r="L119" s="89" t="s">
        <v>180</v>
      </c>
      <c r="M119" s="89" t="s">
        <v>180</v>
      </c>
      <c r="N119" s="89">
        <v>758</v>
      </c>
    </row>
    <row r="120" ht="14.4" spans="1:16">
      <c r="A120" s="89" t="s">
        <v>305</v>
      </c>
      <c r="B120" s="114" t="s">
        <v>594</v>
      </c>
      <c r="C120" s="89" t="s">
        <v>233</v>
      </c>
      <c r="D120" s="89" t="s">
        <v>49</v>
      </c>
      <c r="E120" s="91">
        <v>0</v>
      </c>
      <c r="F120" s="154">
        <v>27220</v>
      </c>
      <c r="G120" s="109">
        <f>F120/F$122</f>
        <v>0.105582583638182</v>
      </c>
      <c r="H120" s="109">
        <v>0.110958720276564</v>
      </c>
      <c r="I120" s="109">
        <f>IFERROR(J120*0.5/$F$118,"")</f>
        <v>0.0101581337824856</v>
      </c>
      <c r="J120" s="91">
        <v>4083</v>
      </c>
      <c r="K120" s="118">
        <v>0</v>
      </c>
      <c r="L120" s="89" t="s">
        <v>180</v>
      </c>
      <c r="M120" s="89" t="s">
        <v>180</v>
      </c>
      <c r="N120" s="89">
        <v>226</v>
      </c>
      <c r="O120" s="126"/>
      <c r="P120" s="124"/>
    </row>
    <row r="121" spans="1:14">
      <c r="A121" s="89" t="s">
        <v>446</v>
      </c>
      <c r="B121" s="114" t="s">
        <v>5115</v>
      </c>
      <c r="C121" s="89" t="s">
        <v>233</v>
      </c>
      <c r="D121" s="89" t="s">
        <v>302</v>
      </c>
      <c r="E121" s="91">
        <v>0</v>
      </c>
      <c r="F121" s="154">
        <v>18712.9166666667</v>
      </c>
      <c r="G121" s="109">
        <f>F121/F$122</f>
        <v>0.0725847938674748</v>
      </c>
      <c r="H121" s="109">
        <v>0.0818669461069386</v>
      </c>
      <c r="I121" s="109" t="str">
        <f>IFERROR(J121*0.5/$F$118,"")</f>
        <v/>
      </c>
      <c r="J121" s="91" t="s">
        <v>180</v>
      </c>
      <c r="K121" s="118">
        <v>0</v>
      </c>
      <c r="L121" s="89" t="s">
        <v>180</v>
      </c>
      <c r="M121" s="89" t="s">
        <v>180</v>
      </c>
      <c r="N121" s="89">
        <v>231</v>
      </c>
    </row>
    <row r="122" spans="5:11">
      <c r="E122" s="91"/>
      <c r="F122" s="91">
        <v>257807.671133333</v>
      </c>
      <c r="I122" s="109">
        <f>SUM(I118:I121)</f>
        <v>0.0101581337824856</v>
      </c>
      <c r="K122" s="95"/>
    </row>
    <row r="123" spans="5:11">
      <c r="E123" s="91"/>
      <c r="F123" s="109"/>
      <c r="G123" s="109"/>
      <c r="H123" s="109"/>
      <c r="I123" s="109"/>
      <c r="J123" s="109"/>
      <c r="K123" s="95"/>
    </row>
    <row r="124" ht="14.4" customHeight="1" spans="1:22">
      <c r="A124" s="96" t="s">
        <v>162</v>
      </c>
      <c r="B124" s="97"/>
      <c r="C124" s="98"/>
      <c r="E124" s="99" t="s">
        <v>2</v>
      </c>
      <c r="F124" s="100"/>
      <c r="G124" s="100"/>
      <c r="H124" s="100"/>
      <c r="I124" s="115"/>
      <c r="J124" s="100"/>
      <c r="L124" s="102"/>
      <c r="M124" s="102"/>
      <c r="O124" s="128"/>
      <c r="P124" s="128"/>
      <c r="Q124" s="128"/>
      <c r="R124" s="132"/>
      <c r="S124" s="116"/>
      <c r="T124" s="128"/>
      <c r="U124" s="128"/>
      <c r="V124" s="132"/>
    </row>
    <row r="125" ht="46.8" spans="1:22">
      <c r="A125" s="101" t="s">
        <v>3944</v>
      </c>
      <c r="B125" s="102" t="s">
        <v>207</v>
      </c>
      <c r="C125" s="101" t="s">
        <v>447</v>
      </c>
      <c r="D125" s="89" t="s">
        <v>209</v>
      </c>
      <c r="E125" s="101" t="s">
        <v>210</v>
      </c>
      <c r="F125" s="103" t="s">
        <v>6086</v>
      </c>
      <c r="G125" s="104" t="s">
        <v>6209</v>
      </c>
      <c r="H125" s="104" t="s">
        <v>6210</v>
      </c>
      <c r="I125" s="117" t="s">
        <v>6196</v>
      </c>
      <c r="J125" s="91" t="s">
        <v>6197</v>
      </c>
      <c r="K125" s="118" t="s">
        <v>0</v>
      </c>
      <c r="L125" s="119" t="s">
        <v>6091</v>
      </c>
      <c r="M125" s="119" t="s">
        <v>6092</v>
      </c>
      <c r="N125" s="120" t="s">
        <v>6198</v>
      </c>
      <c r="O125" s="119" t="s">
        <v>225</v>
      </c>
      <c r="P125" s="120" t="s">
        <v>226</v>
      </c>
      <c r="Q125" s="119"/>
      <c r="R125" s="119"/>
      <c r="S125" s="119"/>
      <c r="T125" s="119"/>
      <c r="U125" s="119"/>
      <c r="V125" s="119"/>
    </row>
    <row r="126" s="88" customFormat="1" ht="14.4" spans="1:16">
      <c r="A126" s="88" t="s">
        <v>227</v>
      </c>
      <c r="B126" s="88" t="s">
        <v>584</v>
      </c>
      <c r="C126" s="88" t="s">
        <v>441</v>
      </c>
      <c r="D126" s="88" t="s">
        <v>234</v>
      </c>
      <c r="E126" s="106">
        <v>0</v>
      </c>
      <c r="F126" s="106">
        <v>198757.583333333</v>
      </c>
      <c r="G126" s="107">
        <f>F126/F$130</f>
        <v>0.757279802647394</v>
      </c>
      <c r="H126" s="107">
        <v>0.746365070302974</v>
      </c>
      <c r="I126" s="107" t="str">
        <f>IFERROR(J126*0.5/$F$126,"")</f>
        <v/>
      </c>
      <c r="J126" s="106" t="s">
        <v>180</v>
      </c>
      <c r="K126" s="122">
        <v>0</v>
      </c>
      <c r="L126" s="88" t="str">
        <f>IFERROR(VLOOKUP(B126,'Competitive Matrix'!$B$4:$D$22,2,FALSE),"")</f>
        <v>L:64% N:23% D:82% 有销售:80%</v>
      </c>
      <c r="M126" s="88" t="s">
        <v>6155</v>
      </c>
      <c r="N126" s="88">
        <v>1100</v>
      </c>
      <c r="O126" s="126"/>
      <c r="P126" s="125"/>
    </row>
    <row r="127" spans="1:14">
      <c r="A127" s="89" t="s">
        <v>243</v>
      </c>
      <c r="B127" s="89" t="s">
        <v>4562</v>
      </c>
      <c r="C127" s="89" t="s">
        <v>441</v>
      </c>
      <c r="D127" s="89" t="s">
        <v>417</v>
      </c>
      <c r="E127" s="91">
        <v>0</v>
      </c>
      <c r="F127" s="91">
        <v>40138.0833333333</v>
      </c>
      <c r="G127" s="109">
        <f>F127/F$130</f>
        <v>0.15292880561108</v>
      </c>
      <c r="H127" s="109">
        <v>0.150524334743581</v>
      </c>
      <c r="I127" s="109" t="str">
        <f>IFERROR(J127*0.5/$F$126,"")</f>
        <v/>
      </c>
      <c r="J127" s="91" t="s">
        <v>180</v>
      </c>
      <c r="K127" s="118">
        <v>0</v>
      </c>
      <c r="L127" s="89" t="s">
        <v>180</v>
      </c>
      <c r="M127" s="89" t="s">
        <v>180</v>
      </c>
      <c r="N127" s="89">
        <v>651</v>
      </c>
    </row>
    <row r="128" spans="1:14">
      <c r="A128" s="89" t="s">
        <v>446</v>
      </c>
      <c r="B128" s="89" t="s">
        <v>4567</v>
      </c>
      <c r="C128" s="89" t="s">
        <v>233</v>
      </c>
      <c r="D128" s="89" t="s">
        <v>49</v>
      </c>
      <c r="E128" s="91">
        <v>0</v>
      </c>
      <c r="F128" s="91">
        <v>21060.5833333333</v>
      </c>
      <c r="G128" s="109">
        <f>F128/F$130</f>
        <v>0.0802422434547227</v>
      </c>
      <c r="H128" s="109">
        <v>0.0925526173772261</v>
      </c>
      <c r="I128" s="109">
        <f>IFERROR(J128*0.5/$F$126,"")</f>
        <v>0.00794708671493036</v>
      </c>
      <c r="J128" s="91">
        <v>3159.08749999999</v>
      </c>
      <c r="K128" s="118">
        <v>0</v>
      </c>
      <c r="L128" s="89" t="s">
        <v>180</v>
      </c>
      <c r="M128" s="89" t="s">
        <v>180</v>
      </c>
      <c r="N128" s="89">
        <v>554</v>
      </c>
    </row>
    <row r="129" ht="28.8" spans="1:14">
      <c r="A129" s="89" t="s">
        <v>367</v>
      </c>
      <c r="B129" s="89" t="s">
        <v>4568</v>
      </c>
      <c r="C129" s="89" t="s">
        <v>233</v>
      </c>
      <c r="D129" s="89" t="s">
        <v>49</v>
      </c>
      <c r="E129" s="91">
        <v>0</v>
      </c>
      <c r="F129" s="91">
        <v>2506.29375</v>
      </c>
      <c r="G129" s="109">
        <f>F129/F$130</f>
        <v>0.00954914828680197</v>
      </c>
      <c r="H129" s="109">
        <v>0.0105579775762188</v>
      </c>
      <c r="I129" s="109">
        <f>IFERROR(J129*0.5/$F$126,"")</f>
        <v>0.000945735141761888</v>
      </c>
      <c r="J129" s="91">
        <v>375.9440625</v>
      </c>
      <c r="K129" s="118" t="s">
        <v>6217</v>
      </c>
      <c r="L129" s="89" t="s">
        <v>180</v>
      </c>
      <c r="M129" s="89" t="s">
        <v>180</v>
      </c>
      <c r="N129" s="89">
        <v>373</v>
      </c>
    </row>
    <row r="130" spans="6:11">
      <c r="F130" s="91">
        <v>262462.54375</v>
      </c>
      <c r="I130" s="109">
        <f>SUM(I126:I129)</f>
        <v>0.00889282185669225</v>
      </c>
      <c r="K130" s="118"/>
    </row>
    <row r="131" spans="5:11">
      <c r="E131" s="91"/>
      <c r="F131" s="109"/>
      <c r="G131" s="109"/>
      <c r="H131" s="109"/>
      <c r="I131" s="109"/>
      <c r="J131" s="109"/>
      <c r="K131" s="95"/>
    </row>
    <row r="132" spans="3:11">
      <c r="C132" s="139"/>
      <c r="E132" s="91"/>
      <c r="F132" s="109"/>
      <c r="G132" s="109"/>
      <c r="H132" s="109"/>
      <c r="I132" s="109"/>
      <c r="J132" s="109"/>
      <c r="K132" s="95"/>
    </row>
    <row r="133" ht="14.4" customHeight="1" spans="1:22">
      <c r="A133" s="96" t="s">
        <v>177</v>
      </c>
      <c r="B133" s="97"/>
      <c r="C133" s="98"/>
      <c r="E133" s="99" t="s">
        <v>2</v>
      </c>
      <c r="F133" s="100"/>
      <c r="G133" s="100"/>
      <c r="H133" s="100"/>
      <c r="I133" s="115"/>
      <c r="J133" s="100"/>
      <c r="L133" s="102"/>
      <c r="M133" s="102"/>
      <c r="O133" s="128"/>
      <c r="P133" s="128"/>
      <c r="Q133" s="128"/>
      <c r="R133" s="132"/>
      <c r="S133" s="116"/>
      <c r="T133" s="128"/>
      <c r="U133" s="128"/>
      <c r="V133" s="132"/>
    </row>
    <row r="134" ht="46.8" spans="1:22">
      <c r="A134" s="101" t="s">
        <v>3944</v>
      </c>
      <c r="B134" s="102" t="s">
        <v>207</v>
      </c>
      <c r="C134" s="101" t="s">
        <v>447</v>
      </c>
      <c r="D134" s="89" t="s">
        <v>209</v>
      </c>
      <c r="E134" s="101" t="s">
        <v>210</v>
      </c>
      <c r="F134" s="103" t="s">
        <v>6086</v>
      </c>
      <c r="G134" s="104" t="s">
        <v>6209</v>
      </c>
      <c r="H134" s="104" t="s">
        <v>6210</v>
      </c>
      <c r="I134" s="117" t="s">
        <v>6196</v>
      </c>
      <c r="J134" s="91" t="s">
        <v>6197</v>
      </c>
      <c r="L134" s="119" t="s">
        <v>6091</v>
      </c>
      <c r="M134" s="119" t="s">
        <v>6092</v>
      </c>
      <c r="N134" s="120" t="s">
        <v>6198</v>
      </c>
      <c r="O134" s="120" t="s">
        <v>226</v>
      </c>
      <c r="P134" s="120" t="s">
        <v>226</v>
      </c>
      <c r="Q134" s="119"/>
      <c r="R134" s="119"/>
      <c r="S134" s="119"/>
      <c r="T134" s="119"/>
      <c r="U134" s="119"/>
      <c r="V134" s="119"/>
    </row>
    <row r="135" spans="1:14">
      <c r="A135" s="89" t="s">
        <v>4573</v>
      </c>
      <c r="B135" s="108" t="s">
        <v>605</v>
      </c>
      <c r="C135" s="89" t="s">
        <v>441</v>
      </c>
      <c r="D135" s="89" t="s">
        <v>234</v>
      </c>
      <c r="E135" s="91">
        <v>0</v>
      </c>
      <c r="F135" s="91">
        <v>36872.9166666667</v>
      </c>
      <c r="G135" s="109"/>
      <c r="H135" s="109"/>
      <c r="I135" s="109" t="str">
        <f t="shared" ref="I135:I140" si="13">IFERROR(J135*0.5/$F$135,"")</f>
        <v/>
      </c>
      <c r="J135" s="91" t="s">
        <v>180</v>
      </c>
      <c r="K135" s="118">
        <v>0</v>
      </c>
      <c r="L135" s="89" t="s">
        <v>180</v>
      </c>
      <c r="M135" s="89" t="s">
        <v>180</v>
      </c>
      <c r="N135" s="89" t="s">
        <v>5419</v>
      </c>
    </row>
    <row r="136" s="88" customFormat="1" ht="14.4" spans="1:16">
      <c r="A136" s="88" t="s">
        <v>227</v>
      </c>
      <c r="B136" s="105" t="s">
        <v>598</v>
      </c>
      <c r="C136" s="88" t="s">
        <v>441</v>
      </c>
      <c r="D136" s="88" t="s">
        <v>234</v>
      </c>
      <c r="E136" s="106">
        <v>0</v>
      </c>
      <c r="F136" s="106">
        <v>90318.5496833333</v>
      </c>
      <c r="G136" s="107">
        <f>F136/F$141</f>
        <v>0.639977015466726</v>
      </c>
      <c r="H136" s="107">
        <v>0.547007716456419</v>
      </c>
      <c r="I136" s="107" t="str">
        <f t="shared" si="13"/>
        <v/>
      </c>
      <c r="J136" s="106" t="s">
        <v>180</v>
      </c>
      <c r="K136" s="122" t="s">
        <v>6214</v>
      </c>
      <c r="L136" s="88" t="str">
        <f>IFERROR(VLOOKUP(B136,'Competitive Matrix'!$B$4:$D$22,2,FALSE),"")</f>
        <v>L:74% N:44% D:100% 有销售:100%</v>
      </c>
      <c r="M136" s="88" t="s">
        <v>6134</v>
      </c>
      <c r="N136" s="88">
        <v>816</v>
      </c>
      <c r="O136" s="126"/>
      <c r="P136" s="126"/>
    </row>
    <row r="137" ht="14.4" spans="1:16">
      <c r="A137" s="89" t="s">
        <v>230</v>
      </c>
      <c r="B137" s="108" t="s">
        <v>599</v>
      </c>
      <c r="C137" s="89" t="s">
        <v>233</v>
      </c>
      <c r="D137" s="89" t="s">
        <v>58</v>
      </c>
      <c r="E137" s="91">
        <v>0</v>
      </c>
      <c r="F137" s="91">
        <v>20127.0833333333</v>
      </c>
      <c r="G137" s="109">
        <f>F137/F$141</f>
        <v>0.142616004872515</v>
      </c>
      <c r="H137" s="109">
        <v>0.221187896672332</v>
      </c>
      <c r="I137" s="109">
        <f t="shared" si="13"/>
        <v>0.0818775072037966</v>
      </c>
      <c r="J137" s="91">
        <v>6038.12499999999</v>
      </c>
      <c r="K137" s="118">
        <v>0</v>
      </c>
      <c r="L137" s="89" t="s">
        <v>180</v>
      </c>
      <c r="M137" s="89" t="s">
        <v>180</v>
      </c>
      <c r="N137" s="89">
        <v>113</v>
      </c>
      <c r="O137" s="126"/>
      <c r="P137" s="124"/>
    </row>
    <row r="138" spans="1:14">
      <c r="A138" s="89" t="s">
        <v>230</v>
      </c>
      <c r="B138" s="108" t="s">
        <v>602</v>
      </c>
      <c r="C138" s="89" t="s">
        <v>233</v>
      </c>
      <c r="D138" s="89" t="s">
        <v>420</v>
      </c>
      <c r="E138" s="91">
        <v>0</v>
      </c>
      <c r="F138" s="91">
        <v>12625.4</v>
      </c>
      <c r="G138" s="109">
        <f>F138/F$141</f>
        <v>0.0894607568368053</v>
      </c>
      <c r="H138" s="109">
        <v>0.0683276251519593</v>
      </c>
      <c r="I138" s="109" t="str">
        <f t="shared" si="13"/>
        <v/>
      </c>
      <c r="J138" s="91" t="s">
        <v>180</v>
      </c>
      <c r="K138" s="118">
        <v>0</v>
      </c>
      <c r="L138" s="89" t="s">
        <v>180</v>
      </c>
      <c r="M138" s="89" t="s">
        <v>180</v>
      </c>
      <c r="N138" s="89">
        <v>80</v>
      </c>
    </row>
    <row r="139" spans="1:14">
      <c r="A139" s="89" t="s">
        <v>230</v>
      </c>
      <c r="B139" s="108" t="s">
        <v>4588</v>
      </c>
      <c r="C139" s="89" t="s">
        <v>233</v>
      </c>
      <c r="D139" s="89" t="s">
        <v>60</v>
      </c>
      <c r="E139" s="91">
        <v>0</v>
      </c>
      <c r="F139" s="91">
        <v>6565.3</v>
      </c>
      <c r="G139" s="109">
        <f>F139/F$141</f>
        <v>0.0465202454465346</v>
      </c>
      <c r="H139" s="109">
        <v>0.0701217194483391</v>
      </c>
      <c r="I139" s="109">
        <f t="shared" si="13"/>
        <v>0.026707814000791</v>
      </c>
      <c r="J139" s="91">
        <v>1969.59</v>
      </c>
      <c r="K139" s="118">
        <v>0</v>
      </c>
      <c r="L139" s="89" t="s">
        <v>180</v>
      </c>
      <c r="M139" s="89" t="s">
        <v>180</v>
      </c>
      <c r="N139" s="89">
        <v>113</v>
      </c>
    </row>
    <row r="140" spans="1:15">
      <c r="A140" s="111" t="s">
        <v>468</v>
      </c>
      <c r="B140" s="108" t="s">
        <v>603</v>
      </c>
      <c r="C140" s="89" t="s">
        <v>233</v>
      </c>
      <c r="D140" s="89" t="s">
        <v>58</v>
      </c>
      <c r="E140" s="91">
        <v>0</v>
      </c>
      <c r="F140" s="91">
        <v>11491.4692333333</v>
      </c>
      <c r="G140" s="109">
        <f>F140/F$141</f>
        <v>0.0814259773774186</v>
      </c>
      <c r="H140" s="109">
        <v>0.0933550422709505</v>
      </c>
      <c r="I140" s="109">
        <f t="shared" si="13"/>
        <v>0.0467476007006044</v>
      </c>
      <c r="J140" s="91">
        <v>3447.44076999999</v>
      </c>
      <c r="K140" s="118">
        <v>0</v>
      </c>
      <c r="L140" s="89" t="s">
        <v>180</v>
      </c>
      <c r="M140" s="89" t="s">
        <v>180</v>
      </c>
      <c r="N140" s="89">
        <v>924</v>
      </c>
      <c r="O140" s="126"/>
    </row>
    <row r="141" spans="5:12">
      <c r="E141" s="91"/>
      <c r="F141" s="91">
        <v>141127.80225</v>
      </c>
      <c r="I141" s="109">
        <f>SUM(I135:I140)</f>
        <v>0.155332921905192</v>
      </c>
      <c r="K141" s="118"/>
      <c r="L141" s="95"/>
    </row>
    <row r="142" spans="5:12">
      <c r="E142" s="91"/>
      <c r="I142" s="109"/>
      <c r="K142" s="118"/>
      <c r="L142" s="95"/>
    </row>
    <row r="143" ht="14.4" customHeight="1" spans="1:22">
      <c r="A143" s="96" t="s">
        <v>171</v>
      </c>
      <c r="B143" s="97"/>
      <c r="C143" s="98"/>
      <c r="E143" s="99" t="s">
        <v>2</v>
      </c>
      <c r="F143" s="100"/>
      <c r="G143" s="100"/>
      <c r="H143" s="100"/>
      <c r="I143" s="100"/>
      <c r="J143" s="100"/>
      <c r="K143" s="95"/>
      <c r="L143" s="102"/>
      <c r="M143" s="102"/>
      <c r="O143" s="128"/>
      <c r="P143" s="128"/>
      <c r="Q143" s="128"/>
      <c r="R143" s="132"/>
      <c r="S143" s="116"/>
      <c r="T143" s="128"/>
      <c r="U143" s="128"/>
      <c r="V143" s="132"/>
    </row>
    <row r="144" ht="46.8" spans="1:22">
      <c r="A144" s="101" t="s">
        <v>3944</v>
      </c>
      <c r="B144" s="102" t="s">
        <v>207</v>
      </c>
      <c r="C144" s="101" t="s">
        <v>447</v>
      </c>
      <c r="D144" s="89" t="s">
        <v>209</v>
      </c>
      <c r="E144" s="101" t="s">
        <v>210</v>
      </c>
      <c r="F144" s="103" t="s">
        <v>6086</v>
      </c>
      <c r="G144" s="104" t="s">
        <v>6209</v>
      </c>
      <c r="H144" s="104" t="s">
        <v>6210</v>
      </c>
      <c r="K144" s="118" t="s">
        <v>0</v>
      </c>
      <c r="L144" s="119" t="s">
        <v>6091</v>
      </c>
      <c r="M144" s="119" t="s">
        <v>6092</v>
      </c>
      <c r="N144" s="120" t="s">
        <v>6198</v>
      </c>
      <c r="O144" s="119" t="s">
        <v>225</v>
      </c>
      <c r="P144" s="120" t="s">
        <v>226</v>
      </c>
      <c r="Q144" s="119"/>
      <c r="R144" s="119"/>
      <c r="S144" s="119"/>
      <c r="T144" s="119"/>
      <c r="U144" s="119"/>
      <c r="V144" s="119"/>
    </row>
    <row r="145" spans="1:14">
      <c r="A145" s="89" t="s">
        <v>230</v>
      </c>
      <c r="B145" s="108" t="s">
        <v>578</v>
      </c>
      <c r="C145" s="89" t="s">
        <v>233</v>
      </c>
      <c r="D145" s="89" t="s">
        <v>371</v>
      </c>
      <c r="E145" s="91">
        <v>0</v>
      </c>
      <c r="F145" s="91">
        <v>115261.666666667</v>
      </c>
      <c r="G145" s="109">
        <f>F145/F$153</f>
        <v>0.313692315542982</v>
      </c>
      <c r="H145" s="109">
        <v>0.391396281836544</v>
      </c>
      <c r="K145" s="118">
        <v>0</v>
      </c>
      <c r="L145" s="89" t="s">
        <v>180</v>
      </c>
      <c r="M145" s="89" t="s">
        <v>180</v>
      </c>
      <c r="N145" s="89">
        <v>558</v>
      </c>
    </row>
    <row r="146" spans="1:14">
      <c r="A146" s="89" t="s">
        <v>230</v>
      </c>
      <c r="B146" s="114" t="s">
        <v>311</v>
      </c>
      <c r="C146" s="89" t="s">
        <v>441</v>
      </c>
      <c r="D146" s="89" t="s">
        <v>420</v>
      </c>
      <c r="E146" s="91">
        <v>0</v>
      </c>
      <c r="F146" s="91">
        <v>56856.8333333333</v>
      </c>
      <c r="G146" s="109">
        <f t="shared" ref="G146:G152" si="14">F146/F$153</f>
        <v>0.154739665133895</v>
      </c>
      <c r="H146" s="109">
        <v>0.185122265875166</v>
      </c>
      <c r="K146" s="118">
        <v>0</v>
      </c>
      <c r="L146" s="89" t="s">
        <v>180</v>
      </c>
      <c r="M146" s="89" t="s">
        <v>180</v>
      </c>
      <c r="N146" s="89">
        <v>750</v>
      </c>
    </row>
    <row r="147" spans="1:14">
      <c r="A147" s="89" t="s">
        <v>243</v>
      </c>
      <c r="B147" s="108" t="s">
        <v>314</v>
      </c>
      <c r="C147" s="89" t="s">
        <v>441</v>
      </c>
      <c r="D147" s="89" t="s">
        <v>50</v>
      </c>
      <c r="E147" s="91">
        <v>0</v>
      </c>
      <c r="F147" s="91">
        <v>28624.0833333333</v>
      </c>
      <c r="G147" s="109">
        <f t="shared" si="14"/>
        <v>0.0779023524542293</v>
      </c>
      <c r="H147" s="109">
        <v>0.0987510160599044</v>
      </c>
      <c r="K147" s="118">
        <v>0</v>
      </c>
      <c r="L147" s="89" t="s">
        <v>180</v>
      </c>
      <c r="M147" s="89" t="s">
        <v>180</v>
      </c>
      <c r="N147" s="89">
        <v>482</v>
      </c>
    </row>
    <row r="148" spans="1:14">
      <c r="A148" s="89" t="s">
        <v>230</v>
      </c>
      <c r="B148" s="89" t="s">
        <v>4608</v>
      </c>
      <c r="C148" s="89" t="s">
        <v>233</v>
      </c>
      <c r="D148" s="89" t="s">
        <v>426</v>
      </c>
      <c r="E148" s="91">
        <v>0</v>
      </c>
      <c r="F148" s="91">
        <v>130891.333333333</v>
      </c>
      <c r="G148" s="109">
        <f t="shared" si="14"/>
        <v>0.356229496113261</v>
      </c>
      <c r="H148" s="109">
        <v>0.208402096983431</v>
      </c>
      <c r="K148" s="118">
        <v>0</v>
      </c>
      <c r="L148" s="89" t="s">
        <v>180</v>
      </c>
      <c r="M148" s="89" t="s">
        <v>180</v>
      </c>
      <c r="N148" s="89">
        <v>241</v>
      </c>
    </row>
    <row r="149" spans="1:14">
      <c r="A149" s="89" t="s">
        <v>243</v>
      </c>
      <c r="B149" s="89" t="s">
        <v>388</v>
      </c>
      <c r="C149" s="89" t="s">
        <v>441</v>
      </c>
      <c r="D149" s="89" t="s">
        <v>49</v>
      </c>
      <c r="E149" s="91">
        <v>0</v>
      </c>
      <c r="F149" s="91">
        <v>26035.4166666667</v>
      </c>
      <c r="G149" s="109">
        <f t="shared" si="14"/>
        <v>0.0708571234173806</v>
      </c>
      <c r="H149" s="109">
        <v>0.071457235167578</v>
      </c>
      <c r="K149" s="118">
        <v>0</v>
      </c>
      <c r="L149" s="89" t="s">
        <v>180</v>
      </c>
      <c r="M149" s="89" t="s">
        <v>180</v>
      </c>
      <c r="N149" s="89">
        <v>197</v>
      </c>
    </row>
    <row r="150" spans="1:14">
      <c r="A150" s="89" t="s">
        <v>230</v>
      </c>
      <c r="B150" s="108" t="s">
        <v>581</v>
      </c>
      <c r="C150" s="89">
        <v>0</v>
      </c>
      <c r="D150" s="89">
        <v>0</v>
      </c>
      <c r="E150" s="91">
        <v>0</v>
      </c>
      <c r="F150" s="91">
        <v>9131.58333333333</v>
      </c>
      <c r="G150" s="109">
        <f t="shared" si="14"/>
        <v>0.0248522132574318</v>
      </c>
      <c r="H150" s="109">
        <v>0.0391750106737606</v>
      </c>
      <c r="K150" s="118">
        <v>0</v>
      </c>
      <c r="L150" s="89" t="s">
        <v>180</v>
      </c>
      <c r="N150" s="89">
        <v>33</v>
      </c>
    </row>
    <row r="151" s="88" customFormat="1" ht="14.4" spans="1:16">
      <c r="A151" s="88" t="s">
        <v>227</v>
      </c>
      <c r="B151" s="105" t="s">
        <v>4615</v>
      </c>
      <c r="C151" s="88" t="s">
        <v>233</v>
      </c>
      <c r="D151" s="88" t="s">
        <v>234</v>
      </c>
      <c r="E151" s="106">
        <v>0</v>
      </c>
      <c r="F151" s="106">
        <v>130</v>
      </c>
      <c r="G151" s="107">
        <f t="shared" si="14"/>
        <v>0.000353803672981079</v>
      </c>
      <c r="H151" s="107">
        <v>0.00400112074486428</v>
      </c>
      <c r="I151" s="110"/>
      <c r="J151" s="106"/>
      <c r="K151" s="129" t="s">
        <v>6212</v>
      </c>
      <c r="L151" s="88" t="str">
        <f>IFERROR(VLOOKUP(B151,'Competitive Matrix'!$B$4:$D$22,2,FALSE),"")</f>
        <v/>
      </c>
      <c r="M151" s="88" t="s">
        <v>6102</v>
      </c>
      <c r="N151" s="88">
        <v>10</v>
      </c>
      <c r="O151" s="126"/>
      <c r="P151" s="126"/>
    </row>
    <row r="152" ht="14.4" spans="1:13">
      <c r="A152" s="88" t="s">
        <v>227</v>
      </c>
      <c r="B152" s="105" t="s">
        <v>172</v>
      </c>
      <c r="C152" s="88" t="s">
        <v>441</v>
      </c>
      <c r="E152" s="91"/>
      <c r="F152" s="106">
        <v>504.5</v>
      </c>
      <c r="G152" s="107">
        <f t="shared" si="14"/>
        <v>0.00137303040783811</v>
      </c>
      <c r="H152" s="107">
        <v>0.00169497265875166</v>
      </c>
      <c r="K152" s="124" t="s">
        <v>6218</v>
      </c>
      <c r="L152" s="145" t="s">
        <v>313</v>
      </c>
      <c r="M152" s="146" t="s">
        <v>6113</v>
      </c>
    </row>
    <row r="153" spans="5:12">
      <c r="E153" s="91"/>
      <c r="F153" s="91">
        <v>367435.416666667</v>
      </c>
      <c r="I153" s="109"/>
      <c r="K153" s="118"/>
      <c r="L153" s="95"/>
    </row>
    <row r="154" ht="14.4" customHeight="1" spans="1:22">
      <c r="A154" s="96" t="s">
        <v>191</v>
      </c>
      <c r="B154" s="97"/>
      <c r="C154" s="98"/>
      <c r="E154" s="99" t="s">
        <v>2</v>
      </c>
      <c r="F154" s="100"/>
      <c r="G154" s="100"/>
      <c r="H154" s="100"/>
      <c r="I154" s="100"/>
      <c r="J154" s="100"/>
      <c r="K154" s="95"/>
      <c r="L154" s="102"/>
      <c r="M154" s="102"/>
      <c r="O154" s="128"/>
      <c r="P154" s="128"/>
      <c r="Q154" s="128"/>
      <c r="R154" s="132"/>
      <c r="S154" s="116"/>
      <c r="T154" s="128"/>
      <c r="U154" s="128"/>
      <c r="V154" s="132"/>
    </row>
    <row r="155" ht="46.8" spans="1:22">
      <c r="A155" s="101" t="s">
        <v>3944</v>
      </c>
      <c r="B155" s="102" t="s">
        <v>207</v>
      </c>
      <c r="C155" s="101" t="s">
        <v>447</v>
      </c>
      <c r="D155" s="89" t="s">
        <v>209</v>
      </c>
      <c r="E155" s="101" t="s">
        <v>210</v>
      </c>
      <c r="F155" s="103" t="s">
        <v>6086</v>
      </c>
      <c r="G155" s="104" t="s">
        <v>6209</v>
      </c>
      <c r="H155" s="104" t="s">
        <v>6210</v>
      </c>
      <c r="K155" s="118" t="s">
        <v>0</v>
      </c>
      <c r="L155" s="119" t="s">
        <v>6091</v>
      </c>
      <c r="M155" s="119" t="s">
        <v>6092</v>
      </c>
      <c r="N155" s="120" t="s">
        <v>6198</v>
      </c>
      <c r="O155" s="119" t="s">
        <v>225</v>
      </c>
      <c r="P155" s="120" t="s">
        <v>226</v>
      </c>
      <c r="Q155" s="119"/>
      <c r="R155" s="119"/>
      <c r="S155" s="119"/>
      <c r="T155" s="119"/>
      <c r="U155" s="119"/>
      <c r="V155" s="119"/>
    </row>
    <row r="156" spans="1:14">
      <c r="A156" s="89" t="s">
        <v>325</v>
      </c>
      <c r="B156" s="89" t="s">
        <v>606</v>
      </c>
      <c r="C156" s="89" t="s">
        <v>441</v>
      </c>
      <c r="D156" s="89" t="s">
        <v>422</v>
      </c>
      <c r="E156" s="91">
        <v>0</v>
      </c>
      <c r="F156" s="91">
        <v>162631.5</v>
      </c>
      <c r="G156" s="109">
        <f>F156/F$161</f>
        <v>0.885167739726184</v>
      </c>
      <c r="H156" s="109">
        <v>0.889961981216044</v>
      </c>
      <c r="K156" s="118">
        <v>0</v>
      </c>
      <c r="L156" s="89" t="s">
        <v>180</v>
      </c>
      <c r="M156" s="89" t="s">
        <v>180</v>
      </c>
      <c r="N156" s="95">
        <v>1600</v>
      </c>
    </row>
    <row r="157" spans="1:14">
      <c r="A157" s="111" t="s">
        <v>230</v>
      </c>
      <c r="B157" s="89" t="s">
        <v>607</v>
      </c>
      <c r="C157" s="89" t="s">
        <v>233</v>
      </c>
      <c r="D157" s="89" t="s">
        <v>60</v>
      </c>
      <c r="E157" s="91">
        <v>0</v>
      </c>
      <c r="F157" s="91">
        <v>4218.91666666667</v>
      </c>
      <c r="G157" s="109">
        <f>F157/F$161</f>
        <v>0.0229626421076265</v>
      </c>
      <c r="H157" s="109">
        <v>0.0360608120912846</v>
      </c>
      <c r="K157" s="118">
        <v>0</v>
      </c>
      <c r="L157" s="89" t="s">
        <v>180</v>
      </c>
      <c r="M157" s="89" t="s">
        <v>180</v>
      </c>
      <c r="N157" s="95">
        <v>180</v>
      </c>
    </row>
    <row r="158" spans="1:14">
      <c r="A158" s="89" t="s">
        <v>2624</v>
      </c>
      <c r="B158" s="89" t="s">
        <v>465</v>
      </c>
      <c r="C158" s="89" t="s">
        <v>441</v>
      </c>
      <c r="D158" s="89">
        <v>0</v>
      </c>
      <c r="E158" s="91">
        <v>0</v>
      </c>
      <c r="F158" s="91">
        <v>17567.3333333333</v>
      </c>
      <c r="G158" s="109"/>
      <c r="H158" s="109"/>
      <c r="K158" s="118">
        <v>0</v>
      </c>
      <c r="L158" s="89" t="s">
        <v>180</v>
      </c>
      <c r="M158" s="89" t="s">
        <v>180</v>
      </c>
      <c r="N158" s="95" t="s">
        <v>5419</v>
      </c>
    </row>
    <row r="159" spans="1:14">
      <c r="A159" s="89" t="s">
        <v>325</v>
      </c>
      <c r="B159" s="108" t="s">
        <v>608</v>
      </c>
      <c r="C159" s="89" t="s">
        <v>441</v>
      </c>
      <c r="D159" s="89" t="s">
        <v>49</v>
      </c>
      <c r="E159" s="91">
        <v>0</v>
      </c>
      <c r="F159" s="91">
        <v>16879.1666666667</v>
      </c>
      <c r="G159" s="109">
        <f>F159/F$161</f>
        <v>0.0918696181661912</v>
      </c>
      <c r="H159" s="109">
        <v>0.0738514653802732</v>
      </c>
      <c r="K159" s="118">
        <v>0</v>
      </c>
      <c r="L159" s="89" t="s">
        <v>180</v>
      </c>
      <c r="M159" s="89" t="s">
        <v>180</v>
      </c>
      <c r="N159" s="95">
        <v>161</v>
      </c>
    </row>
    <row r="160" ht="28.8" spans="2:14">
      <c r="B160" s="108" t="s">
        <v>4618</v>
      </c>
      <c r="C160" s="89">
        <v>0</v>
      </c>
      <c r="D160" s="89">
        <v>0</v>
      </c>
      <c r="E160" s="91">
        <v>0</v>
      </c>
      <c r="F160" s="91">
        <v>0</v>
      </c>
      <c r="G160" s="109">
        <f>F160/F$161</f>
        <v>0</v>
      </c>
      <c r="H160" s="109">
        <v>0.000125741312398004</v>
      </c>
      <c r="K160" s="118" t="s">
        <v>6219</v>
      </c>
      <c r="L160" s="89" t="s">
        <v>180</v>
      </c>
      <c r="M160" s="89" t="s">
        <v>180</v>
      </c>
      <c r="N160" s="95">
        <v>89</v>
      </c>
    </row>
    <row r="161" spans="6:6">
      <c r="F161" s="140">
        <v>183729.583333333</v>
      </c>
    </row>
    <row r="162" spans="3:11">
      <c r="C162" s="139"/>
      <c r="E162" s="91"/>
      <c r="F162" s="109"/>
      <c r="G162" s="109"/>
      <c r="H162" s="109"/>
      <c r="I162" s="109"/>
      <c r="J162" s="109"/>
      <c r="K162" s="147"/>
    </row>
    <row r="163" spans="2:11">
      <c r="B163" s="108"/>
      <c r="E163" s="91"/>
      <c r="K163" s="95"/>
    </row>
    <row r="164" ht="14.4" customHeight="1" spans="1:22">
      <c r="A164" s="96" t="s">
        <v>189</v>
      </c>
      <c r="B164" s="97"/>
      <c r="C164" s="98"/>
      <c r="E164" s="99" t="s">
        <v>2</v>
      </c>
      <c r="F164" s="100"/>
      <c r="G164" s="100"/>
      <c r="H164" s="100"/>
      <c r="I164" s="100"/>
      <c r="J164" s="100"/>
      <c r="K164" s="95"/>
      <c r="L164" s="102"/>
      <c r="M164" s="102"/>
      <c r="O164" s="128"/>
      <c r="P164" s="128"/>
      <c r="Q164" s="128"/>
      <c r="R164" s="132"/>
      <c r="S164" s="116"/>
      <c r="T164" s="128"/>
      <c r="U164" s="128"/>
      <c r="V164" s="132"/>
    </row>
    <row r="165" ht="46.8" spans="1:22">
      <c r="A165" s="101" t="s">
        <v>3944</v>
      </c>
      <c r="B165" s="102" t="s">
        <v>207</v>
      </c>
      <c r="C165" s="101" t="s">
        <v>447</v>
      </c>
      <c r="D165" s="89" t="s">
        <v>209</v>
      </c>
      <c r="E165" s="101" t="s">
        <v>210</v>
      </c>
      <c r="F165" s="103" t="s">
        <v>6086</v>
      </c>
      <c r="G165" s="104" t="s">
        <v>6209</v>
      </c>
      <c r="H165" s="104" t="s">
        <v>6210</v>
      </c>
      <c r="K165" s="118" t="s">
        <v>0</v>
      </c>
      <c r="L165" s="119" t="s">
        <v>6091</v>
      </c>
      <c r="M165" s="119" t="s">
        <v>6092</v>
      </c>
      <c r="N165" s="120" t="s">
        <v>6198</v>
      </c>
      <c r="O165" s="119" t="s">
        <v>225</v>
      </c>
      <c r="P165" s="120" t="s">
        <v>226</v>
      </c>
      <c r="Q165" s="119"/>
      <c r="R165" s="119"/>
      <c r="S165" s="119"/>
      <c r="T165" s="119"/>
      <c r="U165" s="119"/>
      <c r="V165" s="119"/>
    </row>
    <row r="166" spans="1:13">
      <c r="A166" s="89" t="s">
        <v>325</v>
      </c>
      <c r="B166" s="89" t="s">
        <v>466</v>
      </c>
      <c r="C166" s="89" t="s">
        <v>467</v>
      </c>
      <c r="D166" s="89" t="s">
        <v>234</v>
      </c>
      <c r="E166" s="91">
        <v>0</v>
      </c>
      <c r="F166" s="91">
        <v>216086.75</v>
      </c>
      <c r="K166" s="118"/>
      <c r="L166" s="89" t="s">
        <v>180</v>
      </c>
      <c r="M166" s="89" t="s">
        <v>180</v>
      </c>
    </row>
    <row r="167" spans="1:14">
      <c r="A167" s="89" t="s">
        <v>230</v>
      </c>
      <c r="B167" s="89" t="s">
        <v>609</v>
      </c>
      <c r="C167" s="89" t="s">
        <v>233</v>
      </c>
      <c r="D167" s="89" t="s">
        <v>411</v>
      </c>
      <c r="E167" s="91">
        <v>0</v>
      </c>
      <c r="F167" s="91">
        <v>72544.1666666667</v>
      </c>
      <c r="G167" s="109">
        <f t="shared" ref="G167:G173" si="15">F167/F$174</f>
        <v>0.312088379226184</v>
      </c>
      <c r="H167" s="109">
        <v>0.304090008480774</v>
      </c>
      <c r="K167" s="118">
        <v>0</v>
      </c>
      <c r="L167" s="89" t="s">
        <v>180</v>
      </c>
      <c r="M167" s="89" t="s">
        <v>180</v>
      </c>
      <c r="N167" s="89">
        <v>326</v>
      </c>
    </row>
    <row r="168" spans="1:14">
      <c r="A168" s="89" t="s">
        <v>243</v>
      </c>
      <c r="B168" s="89" t="s">
        <v>610</v>
      </c>
      <c r="C168" s="89" t="s">
        <v>454</v>
      </c>
      <c r="D168" s="89" t="s">
        <v>420</v>
      </c>
      <c r="E168" s="91">
        <v>0</v>
      </c>
      <c r="F168" s="91">
        <v>72021.76005</v>
      </c>
      <c r="G168" s="109">
        <f t="shared" si="15"/>
        <v>0.309840961662734</v>
      </c>
      <c r="H168" s="109">
        <v>0.309744356692513</v>
      </c>
      <c r="K168" s="118">
        <v>0</v>
      </c>
      <c r="L168" s="89" t="s">
        <v>180</v>
      </c>
      <c r="M168" s="89" t="s">
        <v>180</v>
      </c>
      <c r="N168" s="89">
        <v>1600</v>
      </c>
    </row>
    <row r="169" spans="1:14">
      <c r="A169" s="89" t="s">
        <v>230</v>
      </c>
      <c r="B169" s="89" t="s">
        <v>611</v>
      </c>
      <c r="C169" s="89" t="s">
        <v>233</v>
      </c>
      <c r="D169" s="89" t="s">
        <v>414</v>
      </c>
      <c r="E169" s="91">
        <v>0</v>
      </c>
      <c r="F169" s="91">
        <v>45314.9166666667</v>
      </c>
      <c r="G169" s="109">
        <f t="shared" si="15"/>
        <v>0.194946879219826</v>
      </c>
      <c r="H169" s="109">
        <v>0.200102847159689</v>
      </c>
      <c r="K169" s="118">
        <v>0</v>
      </c>
      <c r="L169" s="89" t="s">
        <v>180</v>
      </c>
      <c r="M169" s="89" t="s">
        <v>180</v>
      </c>
      <c r="N169" s="89">
        <v>113</v>
      </c>
    </row>
    <row r="170" ht="31.5" customHeight="1" spans="1:14">
      <c r="A170" s="89" t="s">
        <v>230</v>
      </c>
      <c r="B170" s="89" t="s">
        <v>4625</v>
      </c>
      <c r="C170" s="89">
        <v>0</v>
      </c>
      <c r="D170" s="89">
        <v>0</v>
      </c>
      <c r="E170" s="91">
        <v>0</v>
      </c>
      <c r="F170" s="91">
        <v>23116.0833333333</v>
      </c>
      <c r="G170" s="109">
        <f t="shared" si="15"/>
        <v>0.099446465691807</v>
      </c>
      <c r="H170" s="109">
        <v>0.10152376974512</v>
      </c>
      <c r="K170" s="129" t="s">
        <v>6220</v>
      </c>
      <c r="L170" s="89" t="s">
        <v>180</v>
      </c>
      <c r="M170" s="89" t="s">
        <v>180</v>
      </c>
      <c r="N170" s="89">
        <v>37</v>
      </c>
    </row>
    <row r="171" ht="28.8" spans="1:14">
      <c r="A171" s="89" t="s">
        <v>6204</v>
      </c>
      <c r="B171" s="89" t="s">
        <v>4626</v>
      </c>
      <c r="C171" s="89" t="s">
        <v>233</v>
      </c>
      <c r="D171" s="89" t="s">
        <v>49</v>
      </c>
      <c r="E171" s="91">
        <v>0</v>
      </c>
      <c r="F171" s="91">
        <v>6950</v>
      </c>
      <c r="G171" s="109">
        <f t="shared" si="15"/>
        <v>0.0298992232633726</v>
      </c>
      <c r="H171" s="109">
        <v>0.0282679984400766</v>
      </c>
      <c r="K171" s="129" t="s">
        <v>6221</v>
      </c>
      <c r="L171" s="89" t="s">
        <v>180</v>
      </c>
      <c r="M171" s="89" t="s">
        <v>180</v>
      </c>
      <c r="N171" s="89">
        <v>574</v>
      </c>
    </row>
    <row r="172" spans="1:14">
      <c r="A172" s="111" t="s">
        <v>468</v>
      </c>
      <c r="B172" s="89" t="s">
        <v>612</v>
      </c>
      <c r="C172" s="89" t="s">
        <v>233</v>
      </c>
      <c r="D172" s="89" t="s">
        <v>49</v>
      </c>
      <c r="E172" s="91">
        <v>0</v>
      </c>
      <c r="F172" s="91">
        <v>11700.5833333333</v>
      </c>
      <c r="G172" s="109">
        <f t="shared" si="15"/>
        <v>0.0503364537259034</v>
      </c>
      <c r="H172" s="109">
        <v>0.0505822391787797</v>
      </c>
      <c r="K172" s="118">
        <v>0</v>
      </c>
      <c r="L172" s="89" t="s">
        <v>180</v>
      </c>
      <c r="M172" s="89" t="s">
        <v>180</v>
      </c>
      <c r="N172" s="89">
        <v>78</v>
      </c>
    </row>
    <row r="173" s="88" customFormat="1" ht="14.4" spans="1:16">
      <c r="A173" s="88" t="s">
        <v>227</v>
      </c>
      <c r="B173" s="141" t="s">
        <v>4627</v>
      </c>
      <c r="C173" s="88" t="s">
        <v>233</v>
      </c>
      <c r="D173" s="88" t="s">
        <v>234</v>
      </c>
      <c r="E173" s="106">
        <v>0</v>
      </c>
      <c r="F173" s="106">
        <v>800</v>
      </c>
      <c r="G173" s="107">
        <f t="shared" si="15"/>
        <v>0.00344163721017239</v>
      </c>
      <c r="H173" s="107">
        <v>0.00568878030304732</v>
      </c>
      <c r="I173" s="110"/>
      <c r="J173" s="106"/>
      <c r="K173" s="122">
        <v>0</v>
      </c>
      <c r="L173" s="88" t="str">
        <f>IFERROR(VLOOKUP(B173,'Competitive Matrix'!$B$4:$D$22,2,FALSE),"")</f>
        <v>L:80% N:22%</v>
      </c>
      <c r="M173" s="88" t="s">
        <v>6102</v>
      </c>
      <c r="N173" s="88" t="s">
        <v>6002</v>
      </c>
      <c r="O173" s="126"/>
      <c r="P173" s="126"/>
    </row>
    <row r="174" spans="5:11">
      <c r="E174" s="91"/>
      <c r="F174" s="91">
        <v>232447.51005</v>
      </c>
      <c r="K174" s="95"/>
    </row>
    <row r="175" spans="5:9">
      <c r="E175" s="91"/>
      <c r="F175" s="109"/>
      <c r="G175" s="109"/>
      <c r="H175" s="109"/>
      <c r="I175" s="109"/>
    </row>
    <row r="176" spans="5:5">
      <c r="E176" s="91"/>
    </row>
    <row r="177" ht="14.4" customHeight="1" spans="1:22">
      <c r="A177" s="96" t="s">
        <v>185</v>
      </c>
      <c r="B177" s="97"/>
      <c r="C177" s="98"/>
      <c r="E177" s="99" t="s">
        <v>2</v>
      </c>
      <c r="F177" s="100"/>
      <c r="G177" s="100"/>
      <c r="H177" s="100"/>
      <c r="I177" s="115"/>
      <c r="J177" s="100"/>
      <c r="K177" s="95"/>
      <c r="L177" s="102"/>
      <c r="M177" s="102"/>
      <c r="O177" s="128"/>
      <c r="P177" s="128"/>
      <c r="Q177" s="128"/>
      <c r="R177" s="132"/>
      <c r="S177" s="116"/>
      <c r="T177" s="128"/>
      <c r="U177" s="128"/>
      <c r="V177" s="132"/>
    </row>
    <row r="178" ht="46.8" spans="1:22">
      <c r="A178" s="101" t="s">
        <v>3944</v>
      </c>
      <c r="B178" s="102" t="s">
        <v>207</v>
      </c>
      <c r="C178" s="101" t="s">
        <v>447</v>
      </c>
      <c r="D178" s="89" t="s">
        <v>209</v>
      </c>
      <c r="E178" s="101" t="s">
        <v>210</v>
      </c>
      <c r="F178" s="103" t="s">
        <v>6086</v>
      </c>
      <c r="G178" s="104" t="s">
        <v>6209</v>
      </c>
      <c r="H178" s="104" t="s">
        <v>6210</v>
      </c>
      <c r="K178" s="118" t="s">
        <v>0</v>
      </c>
      <c r="L178" s="119" t="s">
        <v>6091</v>
      </c>
      <c r="M178" s="119" t="s">
        <v>6092</v>
      </c>
      <c r="N178" s="120" t="s">
        <v>6198</v>
      </c>
      <c r="O178" s="119" t="s">
        <v>225</v>
      </c>
      <c r="P178" s="120" t="s">
        <v>226</v>
      </c>
      <c r="Q178" s="119"/>
      <c r="R178" s="119"/>
      <c r="S178" s="119"/>
      <c r="T178" s="119"/>
      <c r="U178" s="119"/>
      <c r="V178" s="119"/>
    </row>
    <row r="179" spans="1:14">
      <c r="A179" s="142" t="s">
        <v>243</v>
      </c>
      <c r="B179" s="108" t="s">
        <v>613</v>
      </c>
      <c r="C179" s="89" t="s">
        <v>6169</v>
      </c>
      <c r="D179" s="89" t="s">
        <v>420</v>
      </c>
      <c r="E179" s="91">
        <v>0</v>
      </c>
      <c r="F179" s="91">
        <v>74800.5</v>
      </c>
      <c r="G179" s="109">
        <f>F179/F$185</f>
        <v>0.365249982794241</v>
      </c>
      <c r="H179" s="109">
        <v>0.326106057628861</v>
      </c>
      <c r="K179" s="118">
        <v>0</v>
      </c>
      <c r="L179" s="89" t="s">
        <v>180</v>
      </c>
      <c r="M179" s="89" t="s">
        <v>180</v>
      </c>
      <c r="N179" s="89">
        <v>823</v>
      </c>
    </row>
    <row r="180" spans="1:15">
      <c r="A180" s="89" t="s">
        <v>230</v>
      </c>
      <c r="B180" s="108" t="s">
        <v>614</v>
      </c>
      <c r="C180" s="89" t="s">
        <v>233</v>
      </c>
      <c r="D180" s="89" t="s">
        <v>59</v>
      </c>
      <c r="E180" s="91">
        <v>0</v>
      </c>
      <c r="F180" s="91">
        <v>64678.5</v>
      </c>
      <c r="G180" s="109">
        <f>F180/F$185</f>
        <v>0.315824372994262</v>
      </c>
      <c r="H180" s="109">
        <v>0.360128039347087</v>
      </c>
      <c r="K180" s="118">
        <v>0</v>
      </c>
      <c r="L180" s="89" t="s">
        <v>180</v>
      </c>
      <c r="M180" s="89" t="s">
        <v>180</v>
      </c>
      <c r="N180" s="89">
        <v>218</v>
      </c>
      <c r="O180" s="126"/>
    </row>
    <row r="181" spans="2:14">
      <c r="B181" s="91" t="s">
        <v>615</v>
      </c>
      <c r="C181" s="89" t="s">
        <v>233</v>
      </c>
      <c r="D181" s="89" t="s">
        <v>417</v>
      </c>
      <c r="E181" s="91">
        <v>0</v>
      </c>
      <c r="F181" s="91">
        <v>35945.0833333333</v>
      </c>
      <c r="G181" s="109">
        <f>F181/F$185</f>
        <v>0.175519429269023</v>
      </c>
      <c r="H181" s="109">
        <v>0.118689094002778</v>
      </c>
      <c r="K181" s="118">
        <v>0</v>
      </c>
      <c r="L181" s="89" t="s">
        <v>180</v>
      </c>
      <c r="M181" s="89" t="s">
        <v>180</v>
      </c>
      <c r="N181" s="89">
        <v>749</v>
      </c>
    </row>
    <row r="182" ht="14.4" spans="2:14">
      <c r="B182" s="143" t="s">
        <v>616</v>
      </c>
      <c r="C182" s="89" t="s">
        <v>470</v>
      </c>
      <c r="D182" s="89">
        <v>0</v>
      </c>
      <c r="E182" s="91">
        <v>0</v>
      </c>
      <c r="F182" s="91">
        <v>20803.1666666667</v>
      </c>
      <c r="G182" s="109"/>
      <c r="H182" s="109"/>
      <c r="K182" s="118" t="s">
        <v>1133</v>
      </c>
      <c r="L182" s="89" t="s">
        <v>180</v>
      </c>
      <c r="M182" s="89" t="s">
        <v>180</v>
      </c>
      <c r="N182" s="89">
        <v>202</v>
      </c>
    </row>
    <row r="183" ht="15.15" spans="1:15">
      <c r="A183" s="89" t="s">
        <v>446</v>
      </c>
      <c r="B183" s="144" t="s">
        <v>617</v>
      </c>
      <c r="C183" s="89" t="s">
        <v>233</v>
      </c>
      <c r="D183" s="89" t="s">
        <v>50</v>
      </c>
      <c r="E183" s="91">
        <v>0</v>
      </c>
      <c r="F183" s="91">
        <v>28558.5341166667</v>
      </c>
      <c r="G183" s="109">
        <f>F183/F$185</f>
        <v>0.139450994241232</v>
      </c>
      <c r="H183" s="109">
        <v>0.1847372155861</v>
      </c>
      <c r="K183" s="118">
        <v>0</v>
      </c>
      <c r="L183" s="89" t="s">
        <v>180</v>
      </c>
      <c r="M183" s="89" t="s">
        <v>180</v>
      </c>
      <c r="N183" s="89">
        <v>96</v>
      </c>
      <c r="O183" s="126" t="s">
        <v>4635</v>
      </c>
    </row>
    <row r="184" s="88" customFormat="1" spans="1:16">
      <c r="A184" s="88" t="s">
        <v>227</v>
      </c>
      <c r="B184" s="105" t="s">
        <v>4636</v>
      </c>
      <c r="C184" s="88" t="s">
        <v>233</v>
      </c>
      <c r="D184" s="88" t="s">
        <v>234</v>
      </c>
      <c r="E184" s="106">
        <v>0</v>
      </c>
      <c r="F184" s="106">
        <v>810</v>
      </c>
      <c r="G184" s="107">
        <f>F184/F$185</f>
        <v>0.00395522070124311</v>
      </c>
      <c r="H184" s="107">
        <v>0.0103395934351733</v>
      </c>
      <c r="I184" s="110"/>
      <c r="J184" s="106"/>
      <c r="K184" s="122">
        <v>0</v>
      </c>
      <c r="L184" s="148" t="s">
        <v>6205</v>
      </c>
      <c r="M184" s="123" t="s">
        <v>6102</v>
      </c>
      <c r="N184" s="88" t="s">
        <v>6028</v>
      </c>
      <c r="O184" s="126"/>
      <c r="P184" s="126"/>
    </row>
    <row r="185" spans="5:11">
      <c r="E185" s="91"/>
      <c r="F185" s="91">
        <v>204792.61745</v>
      </c>
      <c r="K185" s="118"/>
    </row>
    <row r="186" spans="1:11">
      <c r="A186" s="101"/>
      <c r="C186" s="101"/>
      <c r="E186" s="91"/>
      <c r="K186" s="95"/>
    </row>
    <row r="187" ht="14.4" customHeight="1" spans="1:22">
      <c r="A187" s="96" t="s">
        <v>195</v>
      </c>
      <c r="B187" s="97"/>
      <c r="C187" s="98"/>
      <c r="E187" s="99" t="s">
        <v>2</v>
      </c>
      <c r="F187" s="100"/>
      <c r="G187" s="100"/>
      <c r="H187" s="100"/>
      <c r="I187" s="115"/>
      <c r="J187" s="100"/>
      <c r="K187" s="95"/>
      <c r="L187" s="102"/>
      <c r="M187" s="102"/>
      <c r="O187" s="128"/>
      <c r="P187" s="128"/>
      <c r="Q187" s="128"/>
      <c r="R187" s="132"/>
      <c r="S187" s="116"/>
      <c r="T187" s="128"/>
      <c r="U187" s="128"/>
      <c r="V187" s="132"/>
    </row>
    <row r="188" ht="46.8" spans="1:22">
      <c r="A188" s="101" t="s">
        <v>3944</v>
      </c>
      <c r="B188" s="102" t="s">
        <v>207</v>
      </c>
      <c r="C188" s="101" t="s">
        <v>447</v>
      </c>
      <c r="D188" s="89" t="s">
        <v>209</v>
      </c>
      <c r="E188" s="101" t="s">
        <v>210</v>
      </c>
      <c r="F188" s="103" t="s">
        <v>6086</v>
      </c>
      <c r="G188" s="104" t="s">
        <v>6209</v>
      </c>
      <c r="H188" s="104" t="s">
        <v>6210</v>
      </c>
      <c r="K188" s="118" t="s">
        <v>0</v>
      </c>
      <c r="L188" s="119" t="s">
        <v>6091</v>
      </c>
      <c r="M188" s="119" t="s">
        <v>6092</v>
      </c>
      <c r="N188" s="120" t="s">
        <v>6198</v>
      </c>
      <c r="O188" s="119" t="s">
        <v>225</v>
      </c>
      <c r="P188" s="120" t="s">
        <v>226</v>
      </c>
      <c r="Q188" s="119"/>
      <c r="R188" s="119"/>
      <c r="S188" s="119"/>
      <c r="T188" s="119"/>
      <c r="U188" s="119"/>
      <c r="V188" s="119"/>
    </row>
    <row r="189" spans="1:14">
      <c r="A189" s="89" t="s">
        <v>230</v>
      </c>
      <c r="B189" s="89" t="s">
        <v>618</v>
      </c>
      <c r="C189" s="89" t="s">
        <v>233</v>
      </c>
      <c r="D189" s="89" t="s">
        <v>266</v>
      </c>
      <c r="E189" s="91">
        <v>0</v>
      </c>
      <c r="F189" s="91">
        <v>101503.363716667</v>
      </c>
      <c r="G189" s="109">
        <f>F189/F$192</f>
        <v>0.859003300782596</v>
      </c>
      <c r="H189" s="109">
        <v>0.865550413324311</v>
      </c>
      <c r="K189" s="118">
        <v>0</v>
      </c>
      <c r="L189" s="89" t="s">
        <v>180</v>
      </c>
      <c r="M189" s="89" t="s">
        <v>180</v>
      </c>
      <c r="N189" s="89">
        <v>315</v>
      </c>
    </row>
    <row r="190" spans="1:14">
      <c r="A190" s="89" t="s">
        <v>446</v>
      </c>
      <c r="B190" s="89" t="s">
        <v>619</v>
      </c>
      <c r="C190" s="89" t="s">
        <v>233</v>
      </c>
      <c r="D190" s="89" t="s">
        <v>60</v>
      </c>
      <c r="E190" s="91">
        <v>0</v>
      </c>
      <c r="F190" s="91">
        <v>8323.16666666667</v>
      </c>
      <c r="G190" s="109">
        <f>F190/F$192</f>
        <v>0.0704373468803218</v>
      </c>
      <c r="H190" s="109">
        <v>0.0564079720075218</v>
      </c>
      <c r="K190" s="118">
        <v>0</v>
      </c>
      <c r="L190" s="89" t="s">
        <v>180</v>
      </c>
      <c r="M190" s="89" t="s">
        <v>180</v>
      </c>
      <c r="N190" s="89">
        <v>647</v>
      </c>
    </row>
    <row r="191" spans="1:14">
      <c r="A191" s="89" t="s">
        <v>446</v>
      </c>
      <c r="B191" s="89" t="s">
        <v>620</v>
      </c>
      <c r="C191" s="89">
        <v>0</v>
      </c>
      <c r="D191" s="89">
        <v>0</v>
      </c>
      <c r="E191" s="91">
        <v>0</v>
      </c>
      <c r="F191" s="91">
        <v>8337.58333333333</v>
      </c>
      <c r="G191" s="109">
        <f>F191/F$192</f>
        <v>0.070559352337082</v>
      </c>
      <c r="H191" s="109">
        <v>0.0780416146681674</v>
      </c>
      <c r="K191" s="118">
        <v>0</v>
      </c>
      <c r="L191" s="89" t="s">
        <v>180</v>
      </c>
      <c r="M191" s="89" t="s">
        <v>180</v>
      </c>
      <c r="N191" s="89">
        <v>127</v>
      </c>
    </row>
    <row r="192" spans="5:11">
      <c r="E192" s="91"/>
      <c r="F192" s="91">
        <v>118164.113716667</v>
      </c>
      <c r="K192" s="95"/>
    </row>
    <row r="193" spans="1:11">
      <c r="A193" s="101"/>
      <c r="C193" s="101"/>
      <c r="E193" s="91"/>
      <c r="K193" s="95"/>
    </row>
    <row r="194" ht="14.4" customHeight="1" spans="1:22">
      <c r="A194" s="96" t="s">
        <v>187</v>
      </c>
      <c r="B194" s="97"/>
      <c r="C194" s="98"/>
      <c r="E194" s="99" t="s">
        <v>2</v>
      </c>
      <c r="F194" s="100"/>
      <c r="G194" s="100"/>
      <c r="H194" s="100"/>
      <c r="I194" s="100"/>
      <c r="J194" s="100"/>
      <c r="K194" s="95"/>
      <c r="L194" s="102"/>
      <c r="M194" s="102"/>
      <c r="O194" s="128"/>
      <c r="P194" s="128"/>
      <c r="Q194" s="128"/>
      <c r="R194" s="132"/>
      <c r="S194" s="116"/>
      <c r="T194" s="128"/>
      <c r="U194" s="128"/>
      <c r="V194" s="132"/>
    </row>
    <row r="195" ht="46.8" spans="1:22">
      <c r="A195" s="101" t="s">
        <v>3944</v>
      </c>
      <c r="B195" s="102" t="s">
        <v>207</v>
      </c>
      <c r="C195" s="101" t="s">
        <v>447</v>
      </c>
      <c r="D195" s="89" t="s">
        <v>209</v>
      </c>
      <c r="E195" s="101" t="s">
        <v>210</v>
      </c>
      <c r="F195" s="103" t="s">
        <v>6086</v>
      </c>
      <c r="G195" s="104" t="s">
        <v>6209</v>
      </c>
      <c r="H195" s="104" t="s">
        <v>6210</v>
      </c>
      <c r="K195" s="118" t="s">
        <v>0</v>
      </c>
      <c r="L195" s="119" t="s">
        <v>6091</v>
      </c>
      <c r="M195" s="119" t="s">
        <v>6092</v>
      </c>
      <c r="N195" s="120" t="s">
        <v>6198</v>
      </c>
      <c r="O195" s="119" t="s">
        <v>225</v>
      </c>
      <c r="P195" s="120" t="s">
        <v>226</v>
      </c>
      <c r="Q195" s="119"/>
      <c r="R195" s="119"/>
      <c r="S195" s="119"/>
      <c r="T195" s="119"/>
      <c r="U195" s="119"/>
      <c r="V195" s="119"/>
    </row>
    <row r="196" spans="1:14">
      <c r="A196" s="89" t="s">
        <v>230</v>
      </c>
      <c r="B196" s="108" t="s">
        <v>621</v>
      </c>
      <c r="C196" s="89" t="s">
        <v>233</v>
      </c>
      <c r="D196" s="89" t="s">
        <v>422</v>
      </c>
      <c r="E196" s="91">
        <v>0</v>
      </c>
      <c r="F196" s="91">
        <v>54193.71</v>
      </c>
      <c r="G196" s="109">
        <f t="shared" ref="G196:G201" si="16">F196/F$202</f>
        <v>0.337702513687132</v>
      </c>
      <c r="H196" s="109">
        <v>0.323645367209502</v>
      </c>
      <c r="K196" s="118">
        <v>0</v>
      </c>
      <c r="L196" s="89" t="s">
        <v>180</v>
      </c>
      <c r="M196" s="89" t="s">
        <v>180</v>
      </c>
      <c r="N196" s="89">
        <v>122</v>
      </c>
    </row>
    <row r="197" spans="1:14">
      <c r="A197" s="89" t="s">
        <v>230</v>
      </c>
      <c r="B197" s="108" t="s">
        <v>622</v>
      </c>
      <c r="C197" s="89" t="s">
        <v>233</v>
      </c>
      <c r="D197" s="89" t="s">
        <v>420</v>
      </c>
      <c r="E197" s="91">
        <v>0</v>
      </c>
      <c r="F197" s="91">
        <v>22235</v>
      </c>
      <c r="G197" s="109">
        <f t="shared" si="16"/>
        <v>0.138555108920083</v>
      </c>
      <c r="H197" s="109">
        <v>0.15721748635305</v>
      </c>
      <c r="K197" s="118">
        <v>0</v>
      </c>
      <c r="L197" s="89" t="s">
        <v>180</v>
      </c>
      <c r="M197" s="89" t="s">
        <v>180</v>
      </c>
      <c r="N197" s="89">
        <v>138</v>
      </c>
    </row>
    <row r="198" spans="1:14">
      <c r="A198" s="89" t="s">
        <v>230</v>
      </c>
      <c r="B198" s="114" t="s">
        <v>623</v>
      </c>
      <c r="C198" s="89" t="s">
        <v>233</v>
      </c>
      <c r="D198" s="89" t="s">
        <v>6171</v>
      </c>
      <c r="E198" s="91">
        <v>0</v>
      </c>
      <c r="F198" s="91">
        <v>55502</v>
      </c>
      <c r="G198" s="109">
        <f t="shared" si="16"/>
        <v>0.345854987869684</v>
      </c>
      <c r="H198" s="109">
        <v>0.353153839907007</v>
      </c>
      <c r="K198" s="118">
        <v>0</v>
      </c>
      <c r="L198" s="89" t="s">
        <v>180</v>
      </c>
      <c r="M198" s="89" t="s">
        <v>180</v>
      </c>
      <c r="N198" s="89">
        <v>151</v>
      </c>
    </row>
    <row r="199" spans="1:14">
      <c r="A199" s="89" t="s">
        <v>230</v>
      </c>
      <c r="B199" s="108" t="s">
        <v>624</v>
      </c>
      <c r="C199" s="89" t="s">
        <v>233</v>
      </c>
      <c r="D199" s="89" t="s">
        <v>420</v>
      </c>
      <c r="E199" s="91">
        <v>0</v>
      </c>
      <c r="F199" s="91">
        <v>26562.25</v>
      </c>
      <c r="G199" s="109">
        <f t="shared" si="16"/>
        <v>0.165519920931525</v>
      </c>
      <c r="H199" s="109">
        <v>0.155222236777915</v>
      </c>
      <c r="K199" s="118">
        <v>0</v>
      </c>
      <c r="L199" s="89" t="s">
        <v>180</v>
      </c>
      <c r="M199" s="89" t="s">
        <v>180</v>
      </c>
      <c r="N199" s="89">
        <v>177</v>
      </c>
    </row>
    <row r="200" s="88" customFormat="1" ht="15.6" spans="1:16">
      <c r="A200" s="149" t="s">
        <v>227</v>
      </c>
      <c r="B200" s="150" t="s">
        <v>4649</v>
      </c>
      <c r="C200" s="88" t="s">
        <v>6206</v>
      </c>
      <c r="E200" s="106">
        <v>0</v>
      </c>
      <c r="F200" s="106">
        <v>1238.20245</v>
      </c>
      <c r="G200" s="107">
        <f t="shared" si="16"/>
        <v>0.00771573084438332</v>
      </c>
      <c r="H200" s="107">
        <v>0.0092234353502979</v>
      </c>
      <c r="I200" s="110"/>
      <c r="J200" s="106"/>
      <c r="K200" s="122"/>
      <c r="L200" s="88" t="str">
        <f>IFERROR(VLOOKUP(B200,'Competitive Matrix'!$B$4:$D$22,2,FALSE),"")</f>
        <v>L:81% N:23%</v>
      </c>
      <c r="M200" s="88" t="s">
        <v>6102</v>
      </c>
      <c r="N200" s="88" t="s">
        <v>6054</v>
      </c>
      <c r="O200" s="126"/>
      <c r="P200" s="126"/>
    </row>
    <row r="201" spans="1:14">
      <c r="A201" s="89" t="s">
        <v>446</v>
      </c>
      <c r="B201" s="89" t="s">
        <v>4650</v>
      </c>
      <c r="C201" s="89">
        <v>0</v>
      </c>
      <c r="D201" s="89">
        <v>0</v>
      </c>
      <c r="E201" s="91">
        <v>0</v>
      </c>
      <c r="F201" s="91">
        <v>746.5</v>
      </c>
      <c r="G201" s="109">
        <f t="shared" si="16"/>
        <v>0.00465173774719324</v>
      </c>
      <c r="H201" s="109">
        <v>0.00153763440222833</v>
      </c>
      <c r="K201" s="118"/>
      <c r="L201" s="89" t="s">
        <v>180</v>
      </c>
      <c r="M201" s="89" t="s">
        <v>180</v>
      </c>
      <c r="N201" s="89">
        <v>8</v>
      </c>
    </row>
    <row r="202" spans="5:11">
      <c r="E202" s="91"/>
      <c r="F202" s="91">
        <v>160477.66245</v>
      </c>
      <c r="K202" s="95"/>
    </row>
    <row r="203" spans="1:11">
      <c r="A203" s="101"/>
      <c r="C203" s="101"/>
      <c r="E203" s="91"/>
      <c r="K203" s="95"/>
    </row>
    <row r="205" ht="14.4" customHeight="1" spans="1:22">
      <c r="A205" s="96" t="s">
        <v>193</v>
      </c>
      <c r="B205" s="97"/>
      <c r="C205" s="98"/>
      <c r="E205" s="99" t="s">
        <v>2</v>
      </c>
      <c r="F205" s="100"/>
      <c r="G205" s="100"/>
      <c r="H205" s="100"/>
      <c r="I205" s="100"/>
      <c r="J205" s="100"/>
      <c r="K205" s="95"/>
      <c r="L205" s="102"/>
      <c r="M205" s="102"/>
      <c r="O205" s="128"/>
      <c r="P205" s="128"/>
      <c r="Q205" s="128"/>
      <c r="R205" s="132"/>
      <c r="S205" s="116"/>
      <c r="T205" s="128"/>
      <c r="U205" s="128"/>
      <c r="V205" s="132"/>
    </row>
    <row r="206" ht="46.8" spans="1:22">
      <c r="A206" s="101" t="s">
        <v>3944</v>
      </c>
      <c r="B206" s="102" t="s">
        <v>207</v>
      </c>
      <c r="C206" s="101" t="s">
        <v>447</v>
      </c>
      <c r="D206" s="89" t="s">
        <v>209</v>
      </c>
      <c r="E206" s="101" t="s">
        <v>210</v>
      </c>
      <c r="F206" s="103" t="s">
        <v>6086</v>
      </c>
      <c r="G206" s="104" t="s">
        <v>6209</v>
      </c>
      <c r="H206" s="104" t="s">
        <v>6210</v>
      </c>
      <c r="K206" s="118" t="s">
        <v>0</v>
      </c>
      <c r="L206" s="119" t="s">
        <v>6091</v>
      </c>
      <c r="M206" s="119" t="s">
        <v>6092</v>
      </c>
      <c r="N206" s="120" t="s">
        <v>6198</v>
      </c>
      <c r="O206" s="119" t="s">
        <v>225</v>
      </c>
      <c r="P206" s="120" t="s">
        <v>226</v>
      </c>
      <c r="Q206" s="119"/>
      <c r="R206" s="119"/>
      <c r="S206" s="119"/>
      <c r="T206" s="119"/>
      <c r="U206" s="119"/>
      <c r="V206" s="119"/>
    </row>
    <row r="207" ht="14.4" spans="1:14">
      <c r="A207" s="89" t="s">
        <v>801</v>
      </c>
      <c r="B207" s="108" t="s">
        <v>476</v>
      </c>
      <c r="C207" s="89" t="s">
        <v>233</v>
      </c>
      <c r="D207" s="89" t="s">
        <v>234</v>
      </c>
      <c r="E207" s="91">
        <v>81390</v>
      </c>
      <c r="F207" s="91">
        <v>136707.916666667</v>
      </c>
      <c r="K207" s="118" t="s">
        <v>672</v>
      </c>
      <c r="L207" s="89" t="s">
        <v>180</v>
      </c>
      <c r="M207" s="89" t="s">
        <v>180</v>
      </c>
      <c r="N207" s="89" t="s">
        <v>5419</v>
      </c>
    </row>
    <row r="208" spans="1:15">
      <c r="A208" s="89" t="s">
        <v>230</v>
      </c>
      <c r="B208" s="89" t="s">
        <v>625</v>
      </c>
      <c r="C208" s="89" t="s">
        <v>233</v>
      </c>
      <c r="D208" s="89" t="s">
        <v>52</v>
      </c>
      <c r="E208" s="91">
        <v>0</v>
      </c>
      <c r="F208" s="91">
        <v>48408.5</v>
      </c>
      <c r="G208" s="109">
        <f>F208/F$212</f>
        <v>0.641638896283279</v>
      </c>
      <c r="H208" s="109">
        <v>0.628346489937606</v>
      </c>
      <c r="K208" s="118">
        <v>0</v>
      </c>
      <c r="L208" s="89" t="s">
        <v>180</v>
      </c>
      <c r="M208" s="89" t="s">
        <v>180</v>
      </c>
      <c r="N208" s="89">
        <v>118</v>
      </c>
      <c r="O208" s="126"/>
    </row>
    <row r="209" ht="14.4" spans="1:14">
      <c r="A209" s="89" t="s">
        <v>367</v>
      </c>
      <c r="B209" s="108" t="s">
        <v>626</v>
      </c>
      <c r="C209" s="89" t="s">
        <v>233</v>
      </c>
      <c r="D209" s="89" t="s">
        <v>49</v>
      </c>
      <c r="E209" s="151"/>
      <c r="F209" s="91">
        <v>16590.8333333333</v>
      </c>
      <c r="G209" s="109">
        <f>F209/F$212</f>
        <v>0.219906090633253</v>
      </c>
      <c r="H209" s="109">
        <v>0.206672595164931</v>
      </c>
      <c r="K209" s="129" t="s">
        <v>6215</v>
      </c>
      <c r="L209" s="89" t="s">
        <v>180</v>
      </c>
      <c r="M209" s="89" t="s">
        <v>180</v>
      </c>
      <c r="N209" s="89">
        <v>481</v>
      </c>
    </row>
    <row r="210" ht="14.4" spans="1:15">
      <c r="A210" s="89" t="s">
        <v>230</v>
      </c>
      <c r="B210" s="89" t="s">
        <v>373</v>
      </c>
      <c r="C210" s="89" t="s">
        <v>477</v>
      </c>
      <c r="D210" s="89" t="s">
        <v>250</v>
      </c>
      <c r="E210" s="91">
        <v>3939</v>
      </c>
      <c r="F210" s="91">
        <v>7785.75</v>
      </c>
      <c r="G210" s="109">
        <f>F210/F$212</f>
        <v>0.10319757969649</v>
      </c>
      <c r="H210" s="109">
        <v>0.158444613620681</v>
      </c>
      <c r="K210" s="118">
        <v>0</v>
      </c>
      <c r="L210" s="89" t="s">
        <v>180</v>
      </c>
      <c r="M210" s="89" t="s">
        <v>180</v>
      </c>
      <c r="N210" s="89">
        <v>78</v>
      </c>
      <c r="O210" s="126" t="s">
        <v>4660</v>
      </c>
    </row>
    <row r="211" s="88" customFormat="1" spans="1:16">
      <c r="A211" s="88" t="s">
        <v>227</v>
      </c>
      <c r="B211" s="88" t="s">
        <v>4662</v>
      </c>
      <c r="C211" s="88" t="s">
        <v>233</v>
      </c>
      <c r="D211" s="88" t="s">
        <v>234</v>
      </c>
      <c r="E211" s="106">
        <v>0</v>
      </c>
      <c r="F211" s="106">
        <v>2660</v>
      </c>
      <c r="G211" s="107">
        <f>F211/F$212</f>
        <v>0.035257433386978</v>
      </c>
      <c r="H211" s="107">
        <v>0.00653630127678215</v>
      </c>
      <c r="I211" s="110"/>
      <c r="J211" s="106"/>
      <c r="K211" s="122">
        <v>0</v>
      </c>
      <c r="L211" s="88" t="str">
        <f>IFERROR(VLOOKUP(B211,'Competitive Matrix'!$B$4:$D$22,2,FALSE),"")</f>
        <v>L:89% N:29%</v>
      </c>
      <c r="M211" s="88" t="s">
        <v>6102</v>
      </c>
      <c r="N211" s="153" t="s">
        <v>6080</v>
      </c>
      <c r="O211" s="126"/>
      <c r="P211" s="126"/>
    </row>
    <row r="212" spans="6:6">
      <c r="F212" s="140">
        <v>75445.0833333333</v>
      </c>
    </row>
    <row r="213" spans="6:6">
      <c r="F213" s="140"/>
    </row>
    <row r="214" spans="5:11">
      <c r="E214" s="91"/>
      <c r="K214" s="95"/>
    </row>
    <row r="225" spans="2:2">
      <c r="B225" s="108"/>
    </row>
  </sheetData>
  <mergeCells count="38">
    <mergeCell ref="P1:R1"/>
    <mergeCell ref="S1:V1"/>
    <mergeCell ref="P14:R14"/>
    <mergeCell ref="S14:V14"/>
    <mergeCell ref="P26:R26"/>
    <mergeCell ref="S26:V26"/>
    <mergeCell ref="P40:R40"/>
    <mergeCell ref="S40:V40"/>
    <mergeCell ref="P50:R50"/>
    <mergeCell ref="S50:V50"/>
    <mergeCell ref="P66:R66"/>
    <mergeCell ref="S66:V66"/>
    <mergeCell ref="P79:R79"/>
    <mergeCell ref="S79:V79"/>
    <mergeCell ref="P90:R90"/>
    <mergeCell ref="S90:V90"/>
    <mergeCell ref="P105:R105"/>
    <mergeCell ref="S105:V105"/>
    <mergeCell ref="P116:R116"/>
    <mergeCell ref="S116:V116"/>
    <mergeCell ref="P124:R124"/>
    <mergeCell ref="S124:V124"/>
    <mergeCell ref="P133:R133"/>
    <mergeCell ref="S133:V133"/>
    <mergeCell ref="P143:R143"/>
    <mergeCell ref="S143:V143"/>
    <mergeCell ref="P154:R154"/>
    <mergeCell ref="S154:V154"/>
    <mergeCell ref="P164:R164"/>
    <mergeCell ref="S164:V164"/>
    <mergeCell ref="P177:R177"/>
    <mergeCell ref="S177:V177"/>
    <mergeCell ref="P187:R187"/>
    <mergeCell ref="S187:V187"/>
    <mergeCell ref="P194:R194"/>
    <mergeCell ref="S194:V194"/>
    <mergeCell ref="P205:R205"/>
    <mergeCell ref="S205:V205"/>
  </mergeCells>
  <conditionalFormatting sqref="B9:B10">
    <cfRule type="duplicateValues" dxfId="0" priority="2"/>
  </conditionalFormatting>
  <conditionalFormatting sqref="B28:B33">
    <cfRule type="duplicateValues" dxfId="0" priority="1"/>
  </conditionalFormatting>
  <hyperlinks>
    <hyperlink ref="B59" r:id="rId1" display="www.bluespringsfordparts.com"/>
    <hyperlink ref="B55" r:id="rId2" display="accessories.ford.com"/>
    <hyperlink ref="B184" r:id="rId3" display="www.mazdapartsprime.com"/>
    <hyperlink ref="B160" r:id="rId4" display="www.erievolvo.com"/>
    <hyperlink ref="B158" r:id="rId5" display="usparts.volvocars.com"/>
    <hyperlink ref="B180" r:id="rId6" display="www.realmazdaparts.com"/>
    <hyperlink ref="B173" r:id="rId7" display="www.vwpartsprime.com"/>
    <hyperlink ref="B112" r:id="rId8" display="acura.bernardiparts.com"/>
    <hyperlink ref="B87" r:id="rId9" display="www.hyundaionlineparts.net"/>
    <hyperlink ref="B70" r:id="rId10" display="www.courtesyparts.com"/>
    <hyperlink ref="B10" r:id="rId11" display="www.gmpartsdirect.co"/>
    <hyperlink ref="B95" r:id="rId12" display="www.subaruonlineparts.com"/>
    <hyperlink ref="B140" r:id="rId13" display="www.infinitipartsusa.com"/>
    <hyperlink ref="B137" r:id="rId14" display="www.infinitipartsonline.com"/>
    <hyperlink ref="B110" r:id="rId15" display="www.oemacuraparts.com"/>
    <hyperlink ref="B128" r:id="rId16" display="www.kiapartsdepartment.com"/>
    <hyperlink ref="B60" r:id="rId1" display="www.villagefordparts.com"/>
    <hyperlink ref="B113" r:id="rId17" display="www.acuraautomotiveparts.org"/>
    <hyperlink ref="B172" r:id="rId18" display="www.vwdiscountparts.com"/>
    <hyperlink ref="B82" r:id="rId19" display="www.hyundaioemparts.com"/>
    <hyperlink ref="B83" r:id="rId20" display="www.wholesalehyundaiparts.com"/>
  </hyperlinks>
  <pageMargins left="0.7" right="0.7" top="0.75" bottom="0.75" header="0.3" footer="0.3"/>
  <pageSetup paperSize="9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25"/>
  <sheetViews>
    <sheetView workbookViewId="0">
      <selection activeCell="A1" sqref="A1"/>
    </sheetView>
  </sheetViews>
  <sheetFormatPr defaultColWidth="9" defaultRowHeight="13.8"/>
  <cols>
    <col min="1" max="1" width="19.1111111111111" style="89" customWidth="1"/>
    <col min="2" max="2" width="28.3333333333333" style="89" customWidth="1"/>
    <col min="3" max="3" width="27.7777777777778" style="90" customWidth="1"/>
    <col min="4" max="4" width="8.22222222222222" style="89" customWidth="1"/>
    <col min="5" max="5" width="19.8888888888889" style="89" customWidth="1"/>
    <col min="6" max="6" width="21.4444444444444" style="91" customWidth="1"/>
    <col min="7" max="7" width="21.3333333333333" style="91" customWidth="1"/>
    <col min="8" max="8" width="18.7777777777778" style="91" customWidth="1"/>
    <col min="9" max="9" width="8.66666666666667" style="92" hidden="1" customWidth="1"/>
    <col min="10" max="10" width="9.33333333333333" style="91" hidden="1" customWidth="1"/>
    <col min="11" max="11" width="17.4444444444444" style="94" customWidth="1"/>
    <col min="12" max="12" width="17.7777777777778" style="89" customWidth="1"/>
    <col min="13" max="13" width="17.1111111111111" style="89" customWidth="1"/>
    <col min="14" max="14" width="12.2222222222222" style="89" customWidth="1"/>
    <col min="15" max="15" width="18" style="95" customWidth="1"/>
    <col min="16" max="16" width="20.7777777777778" style="95" customWidth="1"/>
    <col min="17" max="17" width="10.8888888888889" style="89" customWidth="1"/>
    <col min="18" max="18" width="11.1111111111111" style="89" customWidth="1"/>
    <col min="19" max="19" width="10.8888888888889" style="89" customWidth="1"/>
    <col min="20" max="20" width="10.2222222222222" style="89" customWidth="1"/>
    <col min="21" max="21" width="11" style="89" customWidth="1"/>
    <col min="22" max="22" width="10.2222222222222" style="89" customWidth="1"/>
    <col min="23" max="16384" width="9" style="89"/>
  </cols>
  <sheetData>
    <row r="1" ht="27.6" customHeight="1" spans="1:22">
      <c r="A1" s="96" t="s">
        <v>145</v>
      </c>
      <c r="B1" s="97"/>
      <c r="C1" s="98"/>
      <c r="E1" s="99" t="s">
        <v>2</v>
      </c>
      <c r="F1" s="100"/>
      <c r="G1" s="100"/>
      <c r="H1" s="100"/>
      <c r="I1" s="115"/>
      <c r="J1" s="100"/>
      <c r="L1" s="102"/>
      <c r="M1" s="102"/>
      <c r="P1" s="116"/>
      <c r="Q1" s="128"/>
      <c r="R1" s="132"/>
      <c r="S1" s="116"/>
      <c r="T1" s="128"/>
      <c r="U1" s="128"/>
      <c r="V1" s="132"/>
    </row>
    <row r="2" ht="46.8" spans="1:22">
      <c r="A2" s="101" t="s">
        <v>3944</v>
      </c>
      <c r="B2" s="102" t="s">
        <v>207</v>
      </c>
      <c r="C2" s="101" t="s">
        <v>447</v>
      </c>
      <c r="D2" s="89" t="s">
        <v>209</v>
      </c>
      <c r="E2" s="101" t="s">
        <v>210</v>
      </c>
      <c r="F2" s="103" t="s">
        <v>6086</v>
      </c>
      <c r="G2" s="104" t="s">
        <v>6222</v>
      </c>
      <c r="H2" s="104" t="s">
        <v>6223</v>
      </c>
      <c r="I2" s="117" t="s">
        <v>6196</v>
      </c>
      <c r="J2" s="91" t="s">
        <v>6197</v>
      </c>
      <c r="K2" s="118" t="s">
        <v>0</v>
      </c>
      <c r="L2" s="119" t="s">
        <v>6091</v>
      </c>
      <c r="M2" s="101" t="s">
        <v>6092</v>
      </c>
      <c r="N2" s="120" t="s">
        <v>6198</v>
      </c>
      <c r="O2" s="119" t="s">
        <v>225</v>
      </c>
      <c r="P2" s="120" t="s">
        <v>226</v>
      </c>
      <c r="Q2" s="119"/>
      <c r="R2" s="119"/>
      <c r="S2" s="119"/>
      <c r="T2" s="119"/>
      <c r="U2" s="119"/>
      <c r="V2" s="119"/>
    </row>
    <row r="3" s="88" customFormat="1" ht="15.15" spans="1:22">
      <c r="A3" s="89" t="s">
        <v>230</v>
      </c>
      <c r="B3" s="108" t="s">
        <v>500</v>
      </c>
      <c r="C3" s="89" t="s">
        <v>233</v>
      </c>
      <c r="D3" s="89" t="s">
        <v>417</v>
      </c>
      <c r="E3" s="91">
        <v>0</v>
      </c>
      <c r="F3" s="91">
        <v>462127.833333333</v>
      </c>
      <c r="G3" s="92">
        <v>0.230540972893154</v>
      </c>
      <c r="H3" s="92">
        <v>0.20261194587986</v>
      </c>
      <c r="I3" s="109" t="s">
        <v>180</v>
      </c>
      <c r="J3" s="91" t="s">
        <v>180</v>
      </c>
      <c r="K3" s="118">
        <v>0</v>
      </c>
      <c r="L3" s="89" t="s">
        <v>180</v>
      </c>
      <c r="M3" s="89" t="s">
        <v>180</v>
      </c>
      <c r="N3" s="89">
        <v>1900</v>
      </c>
      <c r="O3" s="126" t="s">
        <v>4048</v>
      </c>
      <c r="P3" s="125"/>
      <c r="S3" s="89"/>
      <c r="T3" s="89"/>
      <c r="U3" s="89"/>
      <c r="V3" s="89"/>
    </row>
    <row r="4" ht="14.4" spans="1:22">
      <c r="A4" s="88" t="s">
        <v>227</v>
      </c>
      <c r="B4" s="105" t="s">
        <v>501</v>
      </c>
      <c r="C4" s="88" t="s">
        <v>441</v>
      </c>
      <c r="D4" s="88" t="s">
        <v>234</v>
      </c>
      <c r="E4" s="106">
        <v>0</v>
      </c>
      <c r="F4" s="106">
        <v>387114.666666667</v>
      </c>
      <c r="G4" s="107">
        <v>0.193119274445799</v>
      </c>
      <c r="H4" s="107">
        <v>0.266672974029194</v>
      </c>
      <c r="I4" s="107" t="s">
        <v>180</v>
      </c>
      <c r="J4" s="106" t="s">
        <v>180</v>
      </c>
      <c r="K4" s="152" t="s">
        <v>6224</v>
      </c>
      <c r="L4" s="88" t="s">
        <v>6225</v>
      </c>
      <c r="M4" s="123" t="s">
        <v>6095</v>
      </c>
      <c r="N4" s="88">
        <v>1200</v>
      </c>
      <c r="O4" s="124"/>
      <c r="P4" s="125"/>
      <c r="Q4" s="126"/>
      <c r="R4" s="126"/>
      <c r="S4" s="126"/>
      <c r="T4" s="126"/>
      <c r="U4" s="126"/>
      <c r="V4" s="126"/>
    </row>
    <row r="5" ht="14.4" spans="1:18">
      <c r="A5" s="89" t="s">
        <v>230</v>
      </c>
      <c r="B5" s="108" t="s">
        <v>499</v>
      </c>
      <c r="C5" s="89" t="s">
        <v>233</v>
      </c>
      <c r="D5" s="89" t="s">
        <v>60</v>
      </c>
      <c r="E5" s="91">
        <v>0</v>
      </c>
      <c r="F5" s="91">
        <v>346699.083333333</v>
      </c>
      <c r="G5" s="109">
        <v>0.172957217046001</v>
      </c>
      <c r="H5" s="109">
        <v>0.169402160391676</v>
      </c>
      <c r="I5" s="109">
        <v>0.112533499929853</v>
      </c>
      <c r="J5" s="91">
        <v>104009.725</v>
      </c>
      <c r="K5" s="118">
        <v>0</v>
      </c>
      <c r="L5" s="89" t="s">
        <v>180</v>
      </c>
      <c r="M5" s="89" t="s">
        <v>180</v>
      </c>
      <c r="N5" s="89">
        <v>899</v>
      </c>
      <c r="O5" s="125"/>
      <c r="P5" s="125"/>
      <c r="Q5" s="133"/>
      <c r="R5" s="133"/>
    </row>
    <row r="6" ht="14.4" spans="1:18">
      <c r="A6" s="89" t="s">
        <v>230</v>
      </c>
      <c r="B6" s="108" t="s">
        <v>503</v>
      </c>
      <c r="C6" s="89" t="s">
        <v>233</v>
      </c>
      <c r="D6" s="89" t="s">
        <v>58</v>
      </c>
      <c r="E6" s="91">
        <v>0</v>
      </c>
      <c r="F6" s="91">
        <v>260851.833333333</v>
      </c>
      <c r="G6" s="92">
        <v>0.13013073677874</v>
      </c>
      <c r="H6" s="92">
        <v>0.113019944021353</v>
      </c>
      <c r="I6" s="109">
        <v>0.0846687262218571</v>
      </c>
      <c r="J6" s="91">
        <v>78255.55</v>
      </c>
      <c r="K6" s="118">
        <v>0</v>
      </c>
      <c r="L6" s="89" t="s">
        <v>180</v>
      </c>
      <c r="M6" s="89" t="s">
        <v>180</v>
      </c>
      <c r="N6" s="89">
        <v>558</v>
      </c>
      <c r="O6" s="125"/>
      <c r="P6" s="124"/>
      <c r="Q6" s="88"/>
      <c r="R6" s="88"/>
    </row>
    <row r="7" spans="1:14">
      <c r="A7" s="89" t="s">
        <v>487</v>
      </c>
      <c r="B7" s="108" t="s">
        <v>504</v>
      </c>
      <c r="C7" s="89" t="s">
        <v>6099</v>
      </c>
      <c r="D7" s="89" t="s">
        <v>418</v>
      </c>
      <c r="E7" s="91">
        <v>0</v>
      </c>
      <c r="F7" s="91">
        <v>229737.333333333</v>
      </c>
      <c r="G7" s="92">
        <v>0.114608695941373</v>
      </c>
      <c r="H7" s="92">
        <v>0.110466687048677</v>
      </c>
      <c r="I7" s="109" t="s">
        <v>180</v>
      </c>
      <c r="J7" s="91" t="s">
        <v>180</v>
      </c>
      <c r="K7" s="118">
        <v>0</v>
      </c>
      <c r="L7" s="89" t="s">
        <v>180</v>
      </c>
      <c r="N7" s="89">
        <v>1100</v>
      </c>
    </row>
    <row r="8" spans="1:14">
      <c r="A8" s="89" t="s">
        <v>230</v>
      </c>
      <c r="B8" s="108" t="s">
        <v>505</v>
      </c>
      <c r="C8" s="89" t="s">
        <v>233</v>
      </c>
      <c r="D8" s="89" t="s">
        <v>451</v>
      </c>
      <c r="E8" s="91">
        <v>0</v>
      </c>
      <c r="F8" s="91">
        <v>185157.833333333</v>
      </c>
      <c r="G8" s="109">
        <v>0.0923693920955965</v>
      </c>
      <c r="H8" s="109">
        <v>0.0840477708106867</v>
      </c>
      <c r="I8" s="109" t="s">
        <v>180</v>
      </c>
      <c r="J8" s="91" t="s">
        <v>180</v>
      </c>
      <c r="K8" s="118">
        <v>0</v>
      </c>
      <c r="L8" s="89" t="s">
        <v>180</v>
      </c>
      <c r="M8" s="89" t="s">
        <v>180</v>
      </c>
      <c r="N8" s="89">
        <v>394</v>
      </c>
    </row>
    <row r="9" spans="1:14">
      <c r="A9" s="89" t="s">
        <v>230</v>
      </c>
      <c r="B9" s="108" t="s">
        <v>506</v>
      </c>
      <c r="C9" s="89" t="s">
        <v>233</v>
      </c>
      <c r="D9" s="89" t="s">
        <v>58</v>
      </c>
      <c r="E9" s="91">
        <v>0</v>
      </c>
      <c r="F9" s="91">
        <v>109512</v>
      </c>
      <c r="G9" s="109">
        <v>0.0546320762403947</v>
      </c>
      <c r="H9" s="109">
        <v>0.0442452820699413</v>
      </c>
      <c r="I9" s="109">
        <v>0.0355460087342355</v>
      </c>
      <c r="J9" s="91">
        <v>32853.6</v>
      </c>
      <c r="K9" s="118">
        <v>0</v>
      </c>
      <c r="L9" s="89" t="s">
        <v>180</v>
      </c>
      <c r="M9" s="89" t="s">
        <v>180</v>
      </c>
      <c r="N9" s="89">
        <v>137</v>
      </c>
    </row>
    <row r="10" spans="1:18">
      <c r="A10" s="89" t="s">
        <v>230</v>
      </c>
      <c r="B10" s="108" t="s">
        <v>5202</v>
      </c>
      <c r="C10" s="89" t="s">
        <v>233</v>
      </c>
      <c r="D10" s="89" t="s">
        <v>59</v>
      </c>
      <c r="E10" s="91">
        <v>0</v>
      </c>
      <c r="F10" s="91">
        <v>18832.75</v>
      </c>
      <c r="G10" s="92">
        <v>0.0093950638634697</v>
      </c>
      <c r="H10" s="92">
        <v>0.00764670584382582</v>
      </c>
      <c r="I10" s="109">
        <v>0.00611283782589738</v>
      </c>
      <c r="J10" s="91">
        <v>5649.825</v>
      </c>
      <c r="K10" s="118">
        <v>0</v>
      </c>
      <c r="L10" s="89" t="s">
        <v>180</v>
      </c>
      <c r="N10" s="89">
        <v>738</v>
      </c>
      <c r="O10" s="126"/>
      <c r="Q10" s="133"/>
      <c r="R10" s="133"/>
    </row>
    <row r="11" s="88" customFormat="1" spans="1:16">
      <c r="A11" s="88" t="s">
        <v>227</v>
      </c>
      <c r="B11" s="88" t="s">
        <v>147</v>
      </c>
      <c r="C11" s="88" t="s">
        <v>233</v>
      </c>
      <c r="E11" s="106">
        <v>0</v>
      </c>
      <c r="F11" s="106">
        <v>4503.33333333333</v>
      </c>
      <c r="G11" s="110">
        <v>0.00224657069547244</v>
      </c>
      <c r="H11" s="110">
        <v>0.00188652990478567</v>
      </c>
      <c r="I11" s="107" t="s">
        <v>180</v>
      </c>
      <c r="J11" s="106" t="s">
        <v>180</v>
      </c>
      <c r="K11" s="122">
        <v>0</v>
      </c>
      <c r="L11" s="88" t="s">
        <v>6101</v>
      </c>
      <c r="M11" s="127" t="s">
        <v>6102</v>
      </c>
      <c r="N11" s="88">
        <v>440</v>
      </c>
      <c r="O11" s="126"/>
      <c r="P11" s="126"/>
    </row>
    <row r="12" spans="5:11">
      <c r="E12" s="91"/>
      <c r="F12" s="91">
        <v>2004536.66666667</v>
      </c>
      <c r="I12" s="109">
        <v>0.238861072711843</v>
      </c>
      <c r="K12" s="118"/>
    </row>
    <row r="13" spans="5:11">
      <c r="E13" s="91"/>
      <c r="I13" s="109"/>
      <c r="K13" s="118"/>
    </row>
    <row r="14" ht="14.4" customHeight="1" spans="1:22">
      <c r="A14" s="96" t="s">
        <v>4082</v>
      </c>
      <c r="B14" s="98"/>
      <c r="C14" s="98"/>
      <c r="E14" s="99" t="s">
        <v>2</v>
      </c>
      <c r="F14" s="100"/>
      <c r="G14" s="100"/>
      <c r="H14" s="100"/>
      <c r="I14" s="115"/>
      <c r="J14" s="100"/>
      <c r="L14" s="102"/>
      <c r="M14" s="102"/>
      <c r="O14" s="128"/>
      <c r="P14" s="128"/>
      <c r="Q14" s="128"/>
      <c r="R14" s="132"/>
      <c r="S14" s="116"/>
      <c r="T14" s="128"/>
      <c r="U14" s="128"/>
      <c r="V14" s="132"/>
    </row>
    <row r="15" ht="46.8" spans="1:22">
      <c r="A15" s="101" t="s">
        <v>3944</v>
      </c>
      <c r="B15" s="89" t="s">
        <v>207</v>
      </c>
      <c r="C15" s="101" t="s">
        <v>447</v>
      </c>
      <c r="D15" s="89" t="s">
        <v>209</v>
      </c>
      <c r="E15" s="101" t="s">
        <v>210</v>
      </c>
      <c r="F15" s="103" t="s">
        <v>6086</v>
      </c>
      <c r="G15" s="104" t="s">
        <v>6222</v>
      </c>
      <c r="H15" s="104" t="s">
        <v>6223</v>
      </c>
      <c r="I15" s="117" t="s">
        <v>6196</v>
      </c>
      <c r="J15" s="91" t="s">
        <v>6197</v>
      </c>
      <c r="K15" s="118" t="s">
        <v>0</v>
      </c>
      <c r="L15" s="119" t="s">
        <v>6091</v>
      </c>
      <c r="M15" s="119" t="s">
        <v>6092</v>
      </c>
      <c r="N15" s="120" t="s">
        <v>6198</v>
      </c>
      <c r="O15" s="119" t="s">
        <v>225</v>
      </c>
      <c r="P15" s="120" t="s">
        <v>226</v>
      </c>
      <c r="Q15" s="119"/>
      <c r="R15" s="119"/>
      <c r="S15" s="119"/>
      <c r="T15" s="119"/>
      <c r="U15" s="119"/>
      <c r="V15" s="119"/>
    </row>
    <row r="16" ht="14.4" spans="1:22">
      <c r="A16" s="88" t="s">
        <v>227</v>
      </c>
      <c r="B16" s="105" t="s">
        <v>528</v>
      </c>
      <c r="C16" s="88" t="s">
        <v>441</v>
      </c>
      <c r="D16" s="88" t="s">
        <v>234</v>
      </c>
      <c r="E16" s="106">
        <v>0</v>
      </c>
      <c r="F16" s="106">
        <v>473140</v>
      </c>
      <c r="G16" s="110">
        <v>0.355279447915432</v>
      </c>
      <c r="H16" s="110">
        <v>0.347650317305891</v>
      </c>
      <c r="I16" s="110" t="s">
        <v>180</v>
      </c>
      <c r="J16" s="106" t="s">
        <v>180</v>
      </c>
      <c r="K16" s="122">
        <v>0</v>
      </c>
      <c r="L16" s="88" t="s">
        <v>6226</v>
      </c>
      <c r="M16" s="88" t="s">
        <v>6105</v>
      </c>
      <c r="N16" s="88">
        <v>648</v>
      </c>
      <c r="O16" s="125"/>
      <c r="P16" s="125"/>
      <c r="Q16" s="88"/>
      <c r="R16" s="88"/>
      <c r="S16" s="88"/>
      <c r="T16" s="88"/>
      <c r="U16" s="88"/>
      <c r="V16" s="88"/>
    </row>
    <row r="17" spans="1:14">
      <c r="A17" s="89" t="s">
        <v>230</v>
      </c>
      <c r="B17" s="89" t="s">
        <v>242</v>
      </c>
      <c r="C17" s="89" t="s">
        <v>233</v>
      </c>
      <c r="D17" s="89" t="s">
        <v>414</v>
      </c>
      <c r="E17" s="91">
        <v>0</v>
      </c>
      <c r="F17" s="91">
        <v>405639.666666667</v>
      </c>
      <c r="G17" s="92">
        <v>0.304593644219328</v>
      </c>
      <c r="H17" s="92">
        <v>0.288248602722373</v>
      </c>
      <c r="I17" s="92" t="s">
        <v>180</v>
      </c>
      <c r="J17" s="91" t="s">
        <v>180</v>
      </c>
      <c r="K17" s="118">
        <v>0</v>
      </c>
      <c r="L17" s="89" t="s">
        <v>180</v>
      </c>
      <c r="M17" s="89" t="s">
        <v>180</v>
      </c>
      <c r="N17" s="89">
        <v>872</v>
      </c>
    </row>
    <row r="18" s="88" customFormat="1" spans="1:22">
      <c r="A18" s="89" t="s">
        <v>446</v>
      </c>
      <c r="B18" s="108" t="s">
        <v>4114</v>
      </c>
      <c r="C18" s="89" t="s">
        <v>233</v>
      </c>
      <c r="D18" s="89" t="s">
        <v>266</v>
      </c>
      <c r="E18" s="91">
        <v>0</v>
      </c>
      <c r="F18" s="91">
        <v>149708.583333333</v>
      </c>
      <c r="G18" s="92">
        <v>0.1124157391784</v>
      </c>
      <c r="H18" s="92">
        <v>0.116182434006747</v>
      </c>
      <c r="I18" s="92" t="s">
        <v>180</v>
      </c>
      <c r="J18" s="91" t="s">
        <v>180</v>
      </c>
      <c r="K18" s="118">
        <v>0</v>
      </c>
      <c r="L18" s="89" t="s">
        <v>180</v>
      </c>
      <c r="M18" s="89" t="s">
        <v>180</v>
      </c>
      <c r="N18" s="89">
        <v>672</v>
      </c>
      <c r="O18" s="95"/>
      <c r="P18" s="95"/>
      <c r="Q18" s="89"/>
      <c r="R18" s="89"/>
      <c r="S18" s="89"/>
      <c r="T18" s="89"/>
      <c r="U18" s="89"/>
      <c r="V18" s="89"/>
    </row>
    <row r="19" spans="1:15">
      <c r="A19" s="89" t="s">
        <v>243</v>
      </c>
      <c r="B19" s="89" t="s">
        <v>244</v>
      </c>
      <c r="C19" s="89" t="s">
        <v>454</v>
      </c>
      <c r="D19" s="89" t="s">
        <v>266</v>
      </c>
      <c r="E19" s="91">
        <v>0</v>
      </c>
      <c r="F19" s="91">
        <v>140219.75</v>
      </c>
      <c r="G19" s="109">
        <v>0.105290601865917</v>
      </c>
      <c r="H19" s="109">
        <v>0.100741351239029</v>
      </c>
      <c r="I19" s="92" t="s">
        <v>180</v>
      </c>
      <c r="J19" s="91" t="s">
        <v>180</v>
      </c>
      <c r="K19" s="118">
        <v>0</v>
      </c>
      <c r="L19" s="89" t="s">
        <v>180</v>
      </c>
      <c r="M19" s="89" t="s">
        <v>180</v>
      </c>
      <c r="N19" s="89">
        <v>464</v>
      </c>
      <c r="O19" s="126"/>
    </row>
    <row r="20" ht="14.4" spans="1:16">
      <c r="A20" s="89" t="s">
        <v>230</v>
      </c>
      <c r="B20" s="108" t="s">
        <v>416</v>
      </c>
      <c r="C20" s="89" t="s">
        <v>233</v>
      </c>
      <c r="D20" s="89" t="s">
        <v>291</v>
      </c>
      <c r="E20" s="91">
        <v>0</v>
      </c>
      <c r="F20" s="91">
        <v>148015.75</v>
      </c>
      <c r="G20" s="109">
        <v>0.111144595559007</v>
      </c>
      <c r="H20" s="109">
        <v>0.0910122381263498</v>
      </c>
      <c r="I20" s="92" t="s">
        <v>180</v>
      </c>
      <c r="J20" s="91" t="s">
        <v>180</v>
      </c>
      <c r="K20" s="118">
        <v>0</v>
      </c>
      <c r="L20" s="89" t="s">
        <v>180</v>
      </c>
      <c r="M20" s="89" t="s">
        <v>180</v>
      </c>
      <c r="N20" s="89">
        <v>230</v>
      </c>
      <c r="O20" s="126"/>
      <c r="P20" s="125"/>
    </row>
    <row r="21" spans="1:14">
      <c r="A21" s="89" t="s">
        <v>243</v>
      </c>
      <c r="B21" s="89" t="s">
        <v>2556</v>
      </c>
      <c r="C21" s="89" t="s">
        <v>454</v>
      </c>
      <c r="D21" s="89" t="s">
        <v>266</v>
      </c>
      <c r="E21" s="91">
        <v>0</v>
      </c>
      <c r="F21" s="91">
        <v>12963.8333333333</v>
      </c>
      <c r="G21" s="109">
        <v>0.00973450469107312</v>
      </c>
      <c r="H21" s="109">
        <v>0.0116480220330972</v>
      </c>
      <c r="I21" s="92" t="s">
        <v>180</v>
      </c>
      <c r="J21" s="91" t="s">
        <v>180</v>
      </c>
      <c r="K21" s="118">
        <v>0</v>
      </c>
      <c r="L21" s="89" t="s">
        <v>180</v>
      </c>
      <c r="M21" s="89" t="s">
        <v>180</v>
      </c>
      <c r="N21" s="89">
        <v>343</v>
      </c>
    </row>
    <row r="22" spans="1:22">
      <c r="A22" s="88" t="s">
        <v>227</v>
      </c>
      <c r="B22" s="88" t="s">
        <v>143</v>
      </c>
      <c r="C22" s="88" t="s">
        <v>233</v>
      </c>
      <c r="D22" s="88" t="s">
        <v>234</v>
      </c>
      <c r="E22" s="106">
        <v>0</v>
      </c>
      <c r="F22" s="106">
        <v>2052.83333333333</v>
      </c>
      <c r="G22" s="107">
        <v>0.00154146657084386</v>
      </c>
      <c r="H22" s="107">
        <v>0.00195041126609473</v>
      </c>
      <c r="I22" s="110" t="s">
        <v>180</v>
      </c>
      <c r="J22" s="106" t="s">
        <v>180</v>
      </c>
      <c r="K22" s="122">
        <v>0</v>
      </c>
      <c r="L22" s="88" t="s">
        <v>6109</v>
      </c>
      <c r="M22" s="88" t="s">
        <v>6102</v>
      </c>
      <c r="N22" s="88" t="s">
        <v>5495</v>
      </c>
      <c r="O22" s="126"/>
      <c r="P22" s="126"/>
      <c r="Q22" s="88"/>
      <c r="R22" s="88"/>
      <c r="S22" s="88"/>
      <c r="T22" s="88"/>
      <c r="U22" s="88"/>
      <c r="V22" s="88"/>
    </row>
    <row r="23" s="88" customFormat="1" ht="43.2" spans="1:22">
      <c r="A23" s="89" t="s">
        <v>801</v>
      </c>
      <c r="B23" s="108" t="s">
        <v>534</v>
      </c>
      <c r="C23" s="89" t="s">
        <v>441</v>
      </c>
      <c r="D23" s="89" t="s">
        <v>234</v>
      </c>
      <c r="E23" s="91">
        <v>0</v>
      </c>
      <c r="F23" s="91">
        <v>254012.8</v>
      </c>
      <c r="G23" s="92"/>
      <c r="H23" s="92"/>
      <c r="I23" s="92" t="s">
        <v>180</v>
      </c>
      <c r="J23" s="91" t="s">
        <v>180</v>
      </c>
      <c r="K23" s="118" t="s">
        <v>6111</v>
      </c>
      <c r="L23" s="89" t="s">
        <v>180</v>
      </c>
      <c r="M23" s="89" t="s">
        <v>180</v>
      </c>
      <c r="N23" s="89" t="s">
        <v>5419</v>
      </c>
      <c r="O23" s="95"/>
      <c r="P23" s="95"/>
      <c r="Q23" s="89"/>
      <c r="R23" s="89"/>
      <c r="S23" s="89"/>
      <c r="T23" s="89"/>
      <c r="U23" s="89"/>
      <c r="V23" s="89"/>
    </row>
    <row r="24" spans="5:12">
      <c r="E24" s="91"/>
      <c r="F24" s="91">
        <v>1331740.41666667</v>
      </c>
      <c r="K24" s="118"/>
      <c r="L24" s="89" t="s">
        <v>180</v>
      </c>
    </row>
    <row r="25" spans="5:11">
      <c r="E25" s="91"/>
      <c r="I25" s="109"/>
      <c r="K25" s="118"/>
    </row>
    <row r="26" ht="14.4" customHeight="1" spans="1:22">
      <c r="A26" s="96" t="s">
        <v>4138</v>
      </c>
      <c r="B26" s="97"/>
      <c r="C26" s="98"/>
      <c r="E26" s="99" t="s">
        <v>2</v>
      </c>
      <c r="F26" s="100"/>
      <c r="G26" s="100"/>
      <c r="H26" s="100"/>
      <c r="I26" s="115"/>
      <c r="J26" s="100"/>
      <c r="L26" s="102"/>
      <c r="M26" s="102"/>
      <c r="O26" s="128"/>
      <c r="P26" s="128"/>
      <c r="Q26" s="128"/>
      <c r="R26" s="132"/>
      <c r="S26" s="116"/>
      <c r="T26" s="128"/>
      <c r="U26" s="128"/>
      <c r="V26" s="132"/>
    </row>
    <row r="27" ht="46.8" spans="1:22">
      <c r="A27" s="101" t="s">
        <v>3944</v>
      </c>
      <c r="B27" s="102" t="s">
        <v>207</v>
      </c>
      <c r="C27" s="101" t="s">
        <v>447</v>
      </c>
      <c r="D27" s="102" t="s">
        <v>209</v>
      </c>
      <c r="E27" s="101" t="s">
        <v>210</v>
      </c>
      <c r="F27" s="103" t="s">
        <v>6086</v>
      </c>
      <c r="G27" s="104" t="s">
        <v>6222</v>
      </c>
      <c r="H27" s="104" t="s">
        <v>6223</v>
      </c>
      <c r="I27" s="117" t="s">
        <v>6196</v>
      </c>
      <c r="J27" s="91" t="s">
        <v>6197</v>
      </c>
      <c r="K27" s="118" t="s">
        <v>0</v>
      </c>
      <c r="L27" s="119" t="s">
        <v>6091</v>
      </c>
      <c r="M27" s="119" t="s">
        <v>6092</v>
      </c>
      <c r="N27" s="120" t="s">
        <v>6198</v>
      </c>
      <c r="O27" s="119" t="s">
        <v>225</v>
      </c>
      <c r="P27" s="120" t="s">
        <v>226</v>
      </c>
      <c r="Q27" s="119"/>
      <c r="R27" s="119"/>
      <c r="S27" s="119"/>
      <c r="T27" s="119"/>
      <c r="U27" s="119"/>
      <c r="V27" s="119"/>
    </row>
    <row r="28" s="88" customFormat="1" spans="1:22">
      <c r="A28" s="88" t="s">
        <v>227</v>
      </c>
      <c r="B28" s="105" t="s">
        <v>515</v>
      </c>
      <c r="C28" s="88" t="s">
        <v>441</v>
      </c>
      <c r="D28" s="88" t="s">
        <v>234</v>
      </c>
      <c r="E28" s="106">
        <v>0</v>
      </c>
      <c r="F28" s="106">
        <v>717086.416666667</v>
      </c>
      <c r="G28" s="110">
        <v>0.577480853454646</v>
      </c>
      <c r="H28" s="110">
        <v>0.561788366121299</v>
      </c>
      <c r="I28" s="110" t="s">
        <v>180</v>
      </c>
      <c r="J28" s="91" t="s">
        <v>180</v>
      </c>
      <c r="K28" s="122">
        <v>0</v>
      </c>
      <c r="L28" s="88" t="s">
        <v>6227</v>
      </c>
      <c r="M28" s="88" t="s">
        <v>6113</v>
      </c>
      <c r="N28" s="88">
        <v>2300</v>
      </c>
      <c r="O28" s="95"/>
      <c r="P28" s="126"/>
      <c r="Q28" s="95"/>
      <c r="R28" s="95"/>
      <c r="S28" s="95"/>
      <c r="T28" s="95"/>
      <c r="U28" s="95"/>
      <c r="V28" s="95"/>
    </row>
    <row r="29" spans="1:13">
      <c r="A29" s="89" t="s">
        <v>672</v>
      </c>
      <c r="B29" s="108" t="s">
        <v>526</v>
      </c>
      <c r="C29" s="89" t="s">
        <v>441</v>
      </c>
      <c r="D29" s="89" t="s">
        <v>234</v>
      </c>
      <c r="E29" s="91">
        <v>6238</v>
      </c>
      <c r="F29" s="91">
        <v>216740.833333333</v>
      </c>
      <c r="G29" s="110"/>
      <c r="H29" s="92"/>
      <c r="I29" s="92" t="s">
        <v>180</v>
      </c>
      <c r="J29" s="91" t="s">
        <v>180</v>
      </c>
      <c r="K29" s="118">
        <v>0</v>
      </c>
      <c r="L29" s="89" t="s">
        <v>180</v>
      </c>
      <c r="M29" s="89" t="s">
        <v>180</v>
      </c>
    </row>
    <row r="30" ht="14.4" spans="1:16">
      <c r="A30" s="111" t="s">
        <v>238</v>
      </c>
      <c r="B30" s="89" t="s">
        <v>519</v>
      </c>
      <c r="C30" s="89" t="s">
        <v>441</v>
      </c>
      <c r="D30" s="89" t="s">
        <v>250</v>
      </c>
      <c r="E30" s="91">
        <v>0</v>
      </c>
      <c r="F30" s="91">
        <v>155532.166666667</v>
      </c>
      <c r="G30" s="92">
        <v>0.125252474818621</v>
      </c>
      <c r="H30" s="92">
        <v>0.119704578867547</v>
      </c>
      <c r="I30" s="92" t="s">
        <v>180</v>
      </c>
      <c r="J30" s="91" t="s">
        <v>180</v>
      </c>
      <c r="K30" s="118">
        <v>0</v>
      </c>
      <c r="L30" s="89" t="s">
        <v>180</v>
      </c>
      <c r="M30" s="89" t="s">
        <v>180</v>
      </c>
      <c r="N30" s="89">
        <v>1900</v>
      </c>
      <c r="P30" s="125"/>
    </row>
    <row r="31" ht="14.4" spans="2:14">
      <c r="B31" s="108" t="s">
        <v>527</v>
      </c>
      <c r="C31" s="89">
        <v>0</v>
      </c>
      <c r="D31" s="89">
        <v>0</v>
      </c>
      <c r="E31" s="91">
        <v>0</v>
      </c>
      <c r="F31" s="91">
        <v>149313.166666667</v>
      </c>
      <c r="G31" s="92"/>
      <c r="H31" s="92"/>
      <c r="I31" s="92" t="s">
        <v>180</v>
      </c>
      <c r="J31" s="91" t="s">
        <v>180</v>
      </c>
      <c r="K31" s="118" t="s">
        <v>6115</v>
      </c>
      <c r="L31" s="89" t="s">
        <v>180</v>
      </c>
      <c r="M31" s="89" t="s">
        <v>180</v>
      </c>
      <c r="N31" s="89">
        <v>2000</v>
      </c>
    </row>
    <row r="32" ht="14.4" spans="1:16">
      <c r="A32" s="89" t="s">
        <v>243</v>
      </c>
      <c r="B32" s="89" t="s">
        <v>525</v>
      </c>
      <c r="C32" s="89" t="s">
        <v>441</v>
      </c>
      <c r="D32" s="89" t="s">
        <v>420</v>
      </c>
      <c r="E32" s="91">
        <v>0</v>
      </c>
      <c r="F32" s="91">
        <v>56104.1666666667</v>
      </c>
      <c r="G32" s="92">
        <v>0.0451815587298858</v>
      </c>
      <c r="H32" s="92">
        <v>0.0515368706311684</v>
      </c>
      <c r="I32" s="92" t="s">
        <v>180</v>
      </c>
      <c r="J32" s="91" t="s">
        <v>180</v>
      </c>
      <c r="K32" s="118">
        <v>0</v>
      </c>
      <c r="L32" s="89" t="s">
        <v>180</v>
      </c>
      <c r="M32" s="89" t="s">
        <v>180</v>
      </c>
      <c r="N32" s="89">
        <v>502</v>
      </c>
      <c r="P32" s="125"/>
    </row>
    <row r="33" ht="14.4" spans="1:15">
      <c r="A33" s="89" t="s">
        <v>230</v>
      </c>
      <c r="B33" s="89" t="s">
        <v>517</v>
      </c>
      <c r="C33" s="89" t="s">
        <v>441</v>
      </c>
      <c r="D33" s="89" t="s">
        <v>419</v>
      </c>
      <c r="E33" s="91">
        <v>0</v>
      </c>
      <c r="F33" s="91">
        <v>87035.75</v>
      </c>
      <c r="G33" s="92">
        <v>0.0700912442669081</v>
      </c>
      <c r="H33" s="92">
        <v>0.0773618935540276</v>
      </c>
      <c r="I33" s="92" t="s">
        <v>180</v>
      </c>
      <c r="J33" s="91" t="s">
        <v>180</v>
      </c>
      <c r="K33" s="118">
        <v>0</v>
      </c>
      <c r="L33" s="89" t="s">
        <v>180</v>
      </c>
      <c r="M33" s="89" t="s">
        <v>180</v>
      </c>
      <c r="N33" s="89">
        <v>1000</v>
      </c>
      <c r="O33" s="125"/>
    </row>
    <row r="34" ht="14.4" spans="1:16">
      <c r="A34" s="89" t="s">
        <v>230</v>
      </c>
      <c r="B34" s="89" t="s">
        <v>516</v>
      </c>
      <c r="C34" s="89" t="s">
        <v>441</v>
      </c>
      <c r="D34" s="89" t="s">
        <v>60</v>
      </c>
      <c r="E34" s="91">
        <v>0</v>
      </c>
      <c r="F34" s="91">
        <v>195780.333333333</v>
      </c>
      <c r="G34" s="92">
        <v>0.157664949935209</v>
      </c>
      <c r="H34" s="92">
        <v>0.165374940704968</v>
      </c>
      <c r="I34" s="92">
        <v>0.0409532928214021</v>
      </c>
      <c r="J34" s="91">
        <v>58734.1</v>
      </c>
      <c r="K34" s="118">
        <v>0</v>
      </c>
      <c r="L34" s="89" t="s">
        <v>180</v>
      </c>
      <c r="M34" s="89" t="s">
        <v>180</v>
      </c>
      <c r="N34" s="89">
        <v>421</v>
      </c>
      <c r="O34" s="126"/>
      <c r="P34" s="125"/>
    </row>
    <row r="35" ht="28.2" spans="2:13">
      <c r="B35" s="108" t="s">
        <v>4196</v>
      </c>
      <c r="C35" s="89">
        <v>0</v>
      </c>
      <c r="D35" s="89">
        <v>0</v>
      </c>
      <c r="E35" s="91">
        <v>0</v>
      </c>
      <c r="F35" s="91">
        <v>67018.9166666667</v>
      </c>
      <c r="G35" s="92"/>
      <c r="H35" s="92"/>
      <c r="I35" s="92" t="s">
        <v>180</v>
      </c>
      <c r="J35" s="91" t="s">
        <v>180</v>
      </c>
      <c r="K35" s="118" t="s">
        <v>6211</v>
      </c>
      <c r="L35" s="89" t="s">
        <v>180</v>
      </c>
      <c r="M35" s="89" t="s">
        <v>180</v>
      </c>
    </row>
    <row r="36" spans="1:14">
      <c r="A36" s="89" t="s">
        <v>230</v>
      </c>
      <c r="B36" s="108" t="s">
        <v>523</v>
      </c>
      <c r="C36" s="89">
        <v>0</v>
      </c>
      <c r="D36" s="89" t="s">
        <v>49</v>
      </c>
      <c r="E36" s="91">
        <v>0</v>
      </c>
      <c r="F36" s="91">
        <v>30092.25</v>
      </c>
      <c r="G36" s="92">
        <v>0.0242337573386898</v>
      </c>
      <c r="H36" s="92">
        <v>0.0242333501209902</v>
      </c>
      <c r="I36" s="92">
        <v>0.00314734556051299</v>
      </c>
      <c r="J36" s="91">
        <v>4513.8375</v>
      </c>
      <c r="K36" s="118">
        <v>0</v>
      </c>
      <c r="L36" s="89" t="s">
        <v>180</v>
      </c>
      <c r="M36" s="89" t="s">
        <v>180</v>
      </c>
      <c r="N36" s="89">
        <v>793</v>
      </c>
    </row>
    <row r="37" s="88" customFormat="1" ht="14.4" spans="1:16">
      <c r="A37" s="88" t="s">
        <v>227</v>
      </c>
      <c r="B37" s="112" t="s">
        <v>4197</v>
      </c>
      <c r="C37" s="88" t="s">
        <v>441</v>
      </c>
      <c r="D37" s="88" t="s">
        <v>234</v>
      </c>
      <c r="E37" s="106">
        <v>0</v>
      </c>
      <c r="F37" s="106">
        <v>118.166666666667</v>
      </c>
      <c r="G37" s="110">
        <v>9.51614560400714e-5</v>
      </c>
      <c r="H37" s="110">
        <v>0.000573356043826386</v>
      </c>
      <c r="I37" s="110" t="s">
        <v>180</v>
      </c>
      <c r="J37" s="106" t="s">
        <v>180</v>
      </c>
      <c r="K37" s="129" t="s">
        <v>6212</v>
      </c>
      <c r="L37" s="88" t="s">
        <v>180</v>
      </c>
      <c r="M37" s="88" t="s">
        <v>180</v>
      </c>
      <c r="N37" s="88" t="s">
        <v>5419</v>
      </c>
      <c r="O37" s="126"/>
      <c r="P37" s="126"/>
    </row>
    <row r="38" spans="5:10">
      <c r="E38" s="91"/>
      <c r="F38" s="91">
        <v>1241749.25</v>
      </c>
      <c r="G38" s="109"/>
      <c r="H38" s="109"/>
      <c r="I38" s="109">
        <v>0.0441006383819151</v>
      </c>
      <c r="J38" s="109"/>
    </row>
    <row r="39" spans="5:11">
      <c r="E39" s="91"/>
      <c r="I39" s="109"/>
      <c r="K39" s="118"/>
    </row>
    <row r="40" ht="14.4" customHeight="1" spans="1:22">
      <c r="A40" s="96" t="s">
        <v>149</v>
      </c>
      <c r="B40" s="97"/>
      <c r="C40" s="98"/>
      <c r="E40" s="99" t="s">
        <v>2</v>
      </c>
      <c r="F40" s="100"/>
      <c r="G40" s="100"/>
      <c r="H40" s="100"/>
      <c r="I40" s="115"/>
      <c r="J40" s="100"/>
      <c r="L40" s="102"/>
      <c r="M40" s="102"/>
      <c r="O40" s="128"/>
      <c r="P40" s="128"/>
      <c r="Q40" s="128"/>
      <c r="R40" s="132"/>
      <c r="S40" s="116"/>
      <c r="T40" s="128"/>
      <c r="U40" s="128"/>
      <c r="V40" s="132"/>
    </row>
    <row r="41" ht="46.8" spans="1:22">
      <c r="A41" s="101" t="s">
        <v>3944</v>
      </c>
      <c r="B41" s="102" t="s">
        <v>207</v>
      </c>
      <c r="C41" s="101" t="s">
        <v>447</v>
      </c>
      <c r="D41" s="89" t="s">
        <v>209</v>
      </c>
      <c r="E41" s="101" t="s">
        <v>210</v>
      </c>
      <c r="F41" s="103" t="s">
        <v>6086</v>
      </c>
      <c r="G41" s="104" t="s">
        <v>6222</v>
      </c>
      <c r="H41" s="104" t="s">
        <v>6223</v>
      </c>
      <c r="I41" s="117" t="s">
        <v>6196</v>
      </c>
      <c r="J41" s="91" t="s">
        <v>6197</v>
      </c>
      <c r="K41" s="118" t="s">
        <v>0</v>
      </c>
      <c r="L41" s="119" t="s">
        <v>6091</v>
      </c>
      <c r="M41" s="119" t="s">
        <v>6092</v>
      </c>
      <c r="N41" s="120" t="s">
        <v>6198</v>
      </c>
      <c r="O41" s="119" t="s">
        <v>225</v>
      </c>
      <c r="P41" s="120" t="s">
        <v>226</v>
      </c>
      <c r="Q41" s="119"/>
      <c r="R41" s="119"/>
      <c r="S41" s="119"/>
      <c r="T41" s="119"/>
      <c r="U41" s="119"/>
      <c r="V41" s="119"/>
    </row>
    <row r="42" spans="1:22">
      <c r="A42" s="88" t="s">
        <v>227</v>
      </c>
      <c r="B42" s="105" t="s">
        <v>535</v>
      </c>
      <c r="C42" s="88" t="s">
        <v>441</v>
      </c>
      <c r="D42" s="88" t="s">
        <v>234</v>
      </c>
      <c r="E42" s="106">
        <v>0</v>
      </c>
      <c r="F42" s="106">
        <v>344600</v>
      </c>
      <c r="G42" s="110">
        <v>0.400838939071841</v>
      </c>
      <c r="H42" s="110">
        <v>0.371278773752088</v>
      </c>
      <c r="I42" s="107" t="s">
        <v>180</v>
      </c>
      <c r="J42" s="106" t="s">
        <v>180</v>
      </c>
      <c r="K42" s="122">
        <v>0</v>
      </c>
      <c r="L42" s="88" t="s">
        <v>6228</v>
      </c>
      <c r="M42" s="88" t="s">
        <v>6199</v>
      </c>
      <c r="N42" s="88">
        <v>2000</v>
      </c>
      <c r="O42" s="126"/>
      <c r="P42" s="126"/>
      <c r="Q42" s="126"/>
      <c r="R42" s="126"/>
      <c r="S42" s="126"/>
      <c r="T42" s="126"/>
      <c r="U42" s="126"/>
      <c r="V42" s="126"/>
    </row>
    <row r="43" s="88" customFormat="1" ht="28.8" spans="1:22">
      <c r="A43" s="89" t="s">
        <v>243</v>
      </c>
      <c r="B43" s="108" t="s">
        <v>537</v>
      </c>
      <c r="C43" s="89" t="s">
        <v>441</v>
      </c>
      <c r="D43" s="89" t="s">
        <v>420</v>
      </c>
      <c r="E43" s="91">
        <v>0</v>
      </c>
      <c r="F43" s="91">
        <v>276649.666666667</v>
      </c>
      <c r="G43" s="109">
        <v>0.321799068140584</v>
      </c>
      <c r="H43" s="109">
        <v>0.28782099871952</v>
      </c>
      <c r="I43" s="109" t="s">
        <v>180</v>
      </c>
      <c r="J43" s="91" t="s">
        <v>180</v>
      </c>
      <c r="K43" s="118">
        <v>0</v>
      </c>
      <c r="L43" s="89" t="s">
        <v>180</v>
      </c>
      <c r="M43" s="89" t="s">
        <v>180</v>
      </c>
      <c r="N43" s="89">
        <v>2100</v>
      </c>
      <c r="O43" s="131" t="s">
        <v>6200</v>
      </c>
      <c r="P43" s="125"/>
      <c r="Q43" s="89"/>
      <c r="R43" s="89"/>
      <c r="S43" s="89"/>
      <c r="T43" s="89"/>
      <c r="U43" s="89"/>
      <c r="V43" s="89"/>
    </row>
    <row r="44" ht="14.4" spans="1:16">
      <c r="A44" s="89" t="s">
        <v>243</v>
      </c>
      <c r="B44" s="108" t="s">
        <v>539</v>
      </c>
      <c r="C44" s="89" t="s">
        <v>441</v>
      </c>
      <c r="D44" s="89" t="s">
        <v>266</v>
      </c>
      <c r="E44" s="91">
        <v>0</v>
      </c>
      <c r="F44" s="91">
        <v>133240.75</v>
      </c>
      <c r="G44" s="92">
        <v>0.154985725104865</v>
      </c>
      <c r="H44" s="92">
        <v>0.169708934535596</v>
      </c>
      <c r="I44" s="109" t="s">
        <v>180</v>
      </c>
      <c r="J44" s="91" t="s">
        <v>180</v>
      </c>
      <c r="K44" s="118">
        <v>0</v>
      </c>
      <c r="L44" s="89" t="s">
        <v>180</v>
      </c>
      <c r="M44" s="89" t="s">
        <v>180</v>
      </c>
      <c r="N44" s="89">
        <v>1200</v>
      </c>
      <c r="O44" s="125"/>
      <c r="P44" s="124"/>
    </row>
    <row r="45" spans="1:14">
      <c r="A45" s="89" t="s">
        <v>2019</v>
      </c>
      <c r="B45" s="113" t="s">
        <v>4271</v>
      </c>
      <c r="C45" s="89" t="s">
        <v>233</v>
      </c>
      <c r="D45" s="89" t="s">
        <v>451</v>
      </c>
      <c r="E45" s="91">
        <v>0</v>
      </c>
      <c r="F45" s="91">
        <v>7269.16666666667</v>
      </c>
      <c r="G45" s="109"/>
      <c r="H45" s="109"/>
      <c r="I45" s="109" t="s">
        <v>180</v>
      </c>
      <c r="J45" s="91" t="s">
        <v>180</v>
      </c>
      <c r="K45" s="118">
        <v>0</v>
      </c>
      <c r="L45" s="89" t="s">
        <v>180</v>
      </c>
      <c r="M45" s="89" t="s">
        <v>180</v>
      </c>
      <c r="N45" s="89" t="s">
        <v>5419</v>
      </c>
    </row>
    <row r="46" spans="1:15">
      <c r="A46" s="89" t="s">
        <v>230</v>
      </c>
      <c r="B46" s="108" t="s">
        <v>541</v>
      </c>
      <c r="C46" s="89" t="s">
        <v>233</v>
      </c>
      <c r="D46" s="89" t="s">
        <v>423</v>
      </c>
      <c r="E46" s="91">
        <v>0</v>
      </c>
      <c r="F46" s="91">
        <v>74484.0833333333</v>
      </c>
      <c r="G46" s="109">
        <v>0.0866399330849448</v>
      </c>
      <c r="H46" s="109">
        <v>0.0795512311818118</v>
      </c>
      <c r="I46" s="109" t="s">
        <v>180</v>
      </c>
      <c r="J46" s="91" t="s">
        <v>180</v>
      </c>
      <c r="K46" s="118">
        <v>0</v>
      </c>
      <c r="L46" s="89" t="s">
        <v>180</v>
      </c>
      <c r="M46" s="89" t="s">
        <v>180</v>
      </c>
      <c r="N46" s="89">
        <v>159</v>
      </c>
      <c r="O46" s="126"/>
    </row>
    <row r="47" spans="1:14">
      <c r="A47" s="89" t="s">
        <v>230</v>
      </c>
      <c r="B47" s="108" t="s">
        <v>2141</v>
      </c>
      <c r="C47" s="89">
        <v>0</v>
      </c>
      <c r="D47" s="89">
        <v>0</v>
      </c>
      <c r="E47" s="91">
        <v>0</v>
      </c>
      <c r="F47" s="91">
        <v>30722.4166666667</v>
      </c>
      <c r="G47" s="109">
        <v>0.0357363345977647</v>
      </c>
      <c r="H47" s="109">
        <v>0.091640061810983</v>
      </c>
      <c r="I47" s="109" t="s">
        <v>180</v>
      </c>
      <c r="J47" s="91" t="s">
        <v>180</v>
      </c>
      <c r="K47" s="118">
        <v>0</v>
      </c>
      <c r="L47" s="89" t="s">
        <v>180</v>
      </c>
      <c r="M47" s="89" t="s">
        <v>180</v>
      </c>
      <c r="N47" s="89">
        <v>22</v>
      </c>
    </row>
    <row r="48" ht="14.4" spans="1:13">
      <c r="A48" s="88" t="s">
        <v>227</v>
      </c>
      <c r="B48" s="105" t="s">
        <v>6213</v>
      </c>
      <c r="K48" s="124" t="s">
        <v>6212</v>
      </c>
      <c r="L48" s="89" t="s">
        <v>180</v>
      </c>
      <c r="M48" s="89" t="s">
        <v>180</v>
      </c>
    </row>
    <row r="49" spans="5:11">
      <c r="E49" s="91"/>
      <c r="F49" s="91">
        <v>859696.916666667</v>
      </c>
      <c r="I49" s="109"/>
      <c r="K49" s="118"/>
    </row>
    <row r="50" ht="14.4" customHeight="1" spans="1:22">
      <c r="A50" s="96" t="s">
        <v>152</v>
      </c>
      <c r="B50" s="97"/>
      <c r="C50" s="98"/>
      <c r="E50" s="99" t="s">
        <v>2</v>
      </c>
      <c r="F50" s="100"/>
      <c r="G50" s="100"/>
      <c r="H50" s="100"/>
      <c r="I50" s="115"/>
      <c r="J50" s="100"/>
      <c r="L50" s="102"/>
      <c r="M50" s="102"/>
      <c r="O50" s="128"/>
      <c r="P50" s="128"/>
      <c r="Q50" s="128"/>
      <c r="R50" s="132"/>
      <c r="S50" s="116"/>
      <c r="T50" s="128"/>
      <c r="U50" s="128"/>
      <c r="V50" s="132"/>
    </row>
    <row r="51" ht="46.8" spans="1:22">
      <c r="A51" s="101" t="s">
        <v>3944</v>
      </c>
      <c r="B51" s="102" t="s">
        <v>207</v>
      </c>
      <c r="C51" s="101" t="s">
        <v>447</v>
      </c>
      <c r="D51" s="89" t="s">
        <v>209</v>
      </c>
      <c r="E51" s="101" t="s">
        <v>210</v>
      </c>
      <c r="F51" s="103" t="s">
        <v>6086</v>
      </c>
      <c r="G51" s="104" t="s">
        <v>6222</v>
      </c>
      <c r="H51" s="104" t="s">
        <v>6223</v>
      </c>
      <c r="I51" s="117" t="s">
        <v>6196</v>
      </c>
      <c r="J51" s="91" t="s">
        <v>6197</v>
      </c>
      <c r="K51" s="118" t="s">
        <v>0</v>
      </c>
      <c r="L51" s="119" t="s">
        <v>6091</v>
      </c>
      <c r="M51" s="119" t="s">
        <v>6092</v>
      </c>
      <c r="N51" s="120" t="s">
        <v>6198</v>
      </c>
      <c r="O51" s="119" t="s">
        <v>225</v>
      </c>
      <c r="P51" s="120" t="s">
        <v>226</v>
      </c>
      <c r="Q51" s="119"/>
      <c r="R51" s="119"/>
      <c r="S51" s="119"/>
      <c r="T51" s="119"/>
      <c r="U51" s="119"/>
      <c r="V51" s="119"/>
    </row>
    <row r="52" spans="1:14">
      <c r="A52" s="89" t="s">
        <v>672</v>
      </c>
      <c r="B52" s="108" t="s">
        <v>554</v>
      </c>
      <c r="C52" s="89" t="s">
        <v>1035</v>
      </c>
      <c r="D52" s="89" t="s">
        <v>234</v>
      </c>
      <c r="E52" s="91">
        <v>0</v>
      </c>
      <c r="F52" s="91">
        <v>496403.833333333</v>
      </c>
      <c r="G52" s="109"/>
      <c r="H52" s="109"/>
      <c r="I52" s="109" t="s">
        <v>180</v>
      </c>
      <c r="J52" s="91" t="s">
        <v>180</v>
      </c>
      <c r="K52" s="118">
        <v>0</v>
      </c>
      <c r="L52" s="89" t="s">
        <v>180</v>
      </c>
      <c r="M52" s="89" t="s">
        <v>180</v>
      </c>
      <c r="N52" s="89" t="s">
        <v>5419</v>
      </c>
    </row>
    <row r="53" s="88" customFormat="1" spans="1:22">
      <c r="A53" s="88" t="s">
        <v>227</v>
      </c>
      <c r="B53" s="105" t="s">
        <v>546</v>
      </c>
      <c r="C53" s="88" t="s">
        <v>441</v>
      </c>
      <c r="D53" s="88" t="s">
        <v>234</v>
      </c>
      <c r="E53" s="106">
        <v>0</v>
      </c>
      <c r="F53" s="106">
        <v>324523.166666667</v>
      </c>
      <c r="G53" s="107">
        <v>0.314408234550207</v>
      </c>
      <c r="H53" s="107">
        <v>0.319351948373225</v>
      </c>
      <c r="I53" s="107" t="s">
        <v>180</v>
      </c>
      <c r="J53" s="106" t="s">
        <v>180</v>
      </c>
      <c r="K53" s="122">
        <v>0</v>
      </c>
      <c r="L53" s="88" t="s">
        <v>6229</v>
      </c>
      <c r="M53" s="88" t="s">
        <v>6102</v>
      </c>
      <c r="N53" s="88">
        <v>1100</v>
      </c>
      <c r="O53" s="126"/>
      <c r="P53" s="126"/>
      <c r="Q53" s="126"/>
      <c r="R53" s="126"/>
      <c r="S53" s="126"/>
      <c r="T53" s="126"/>
      <c r="U53" s="126"/>
      <c r="V53" s="126"/>
    </row>
    <row r="54" ht="72" spans="1:16">
      <c r="A54" s="89" t="s">
        <v>230</v>
      </c>
      <c r="B54" s="114" t="s">
        <v>507</v>
      </c>
      <c r="C54" s="89" t="s">
        <v>233</v>
      </c>
      <c r="D54" s="89" t="s">
        <v>419</v>
      </c>
      <c r="E54" s="91">
        <v>0</v>
      </c>
      <c r="F54" s="91">
        <v>299636.333333333</v>
      </c>
      <c r="G54" s="109">
        <v>0.290297088919992</v>
      </c>
      <c r="H54" s="109">
        <v>0.271669678901892</v>
      </c>
      <c r="I54" s="109" t="s">
        <v>180</v>
      </c>
      <c r="J54" s="91" t="s">
        <v>180</v>
      </c>
      <c r="K54" s="118" t="s">
        <v>6127</v>
      </c>
      <c r="L54" s="89" t="s">
        <v>180</v>
      </c>
      <c r="M54" s="89" t="s">
        <v>180</v>
      </c>
      <c r="N54" s="89">
        <v>820</v>
      </c>
      <c r="P54" s="125"/>
    </row>
    <row r="55" spans="1:14">
      <c r="A55" s="89" t="s">
        <v>672</v>
      </c>
      <c r="B55" s="108" t="s">
        <v>555</v>
      </c>
      <c r="C55" s="89" t="s">
        <v>470</v>
      </c>
      <c r="D55" s="89" t="s">
        <v>234</v>
      </c>
      <c r="E55" s="91">
        <v>0</v>
      </c>
      <c r="F55" s="91">
        <v>232622.416666667</v>
      </c>
      <c r="G55" s="109"/>
      <c r="H55" s="109"/>
      <c r="I55" s="109" t="s">
        <v>180</v>
      </c>
      <c r="J55" s="91" t="s">
        <v>180</v>
      </c>
      <c r="K55" s="118">
        <v>0</v>
      </c>
      <c r="L55" s="89" t="s">
        <v>180</v>
      </c>
      <c r="M55" s="89" t="s">
        <v>180</v>
      </c>
      <c r="N55" s="89" t="s">
        <v>5419</v>
      </c>
    </row>
    <row r="56" spans="1:14">
      <c r="A56" s="89" t="s">
        <v>672</v>
      </c>
      <c r="B56" s="108" t="s">
        <v>556</v>
      </c>
      <c r="C56" s="89" t="s">
        <v>470</v>
      </c>
      <c r="D56" s="89" t="s">
        <v>234</v>
      </c>
      <c r="E56" s="91">
        <v>0</v>
      </c>
      <c r="F56" s="91">
        <v>152143.083333333</v>
      </c>
      <c r="G56" s="109"/>
      <c r="H56" s="109"/>
      <c r="I56" s="109" t="s">
        <v>180</v>
      </c>
      <c r="J56" s="91" t="s">
        <v>180</v>
      </c>
      <c r="K56" s="118">
        <v>0</v>
      </c>
      <c r="L56" s="89" t="s">
        <v>180</v>
      </c>
      <c r="M56" s="89" t="s">
        <v>180</v>
      </c>
      <c r="N56" s="89" t="s">
        <v>5419</v>
      </c>
    </row>
    <row r="57" ht="14.4" spans="1:16">
      <c r="A57" s="111" t="s">
        <v>243</v>
      </c>
      <c r="B57" s="108" t="s">
        <v>270</v>
      </c>
      <c r="C57" s="89" t="s">
        <v>233</v>
      </c>
      <c r="D57" s="89" t="s">
        <v>266</v>
      </c>
      <c r="E57" s="91">
        <v>0</v>
      </c>
      <c r="F57" s="91">
        <v>94671.9166666667</v>
      </c>
      <c r="G57" s="109">
        <v>0.0917211257562536</v>
      </c>
      <c r="H57" s="109">
        <v>0.106124000994156</v>
      </c>
      <c r="I57" s="109" t="s">
        <v>180</v>
      </c>
      <c r="J57" s="91" t="s">
        <v>180</v>
      </c>
      <c r="K57" s="118">
        <v>0</v>
      </c>
      <c r="L57" s="89" t="s">
        <v>180</v>
      </c>
      <c r="M57" s="89" t="s">
        <v>180</v>
      </c>
      <c r="N57" s="89">
        <v>351</v>
      </c>
      <c r="O57" s="125"/>
      <c r="P57" s="125"/>
    </row>
    <row r="58" spans="1:15">
      <c r="A58" s="89" t="s">
        <v>230</v>
      </c>
      <c r="B58" s="108" t="s">
        <v>548</v>
      </c>
      <c r="C58" s="89" t="s">
        <v>233</v>
      </c>
      <c r="D58" s="89" t="s">
        <v>420</v>
      </c>
      <c r="E58" s="91">
        <v>0</v>
      </c>
      <c r="F58" s="91">
        <v>143379.833333333</v>
      </c>
      <c r="G58" s="109">
        <v>0.138910884949979</v>
      </c>
      <c r="H58" s="109">
        <v>0.121561998788878</v>
      </c>
      <c r="I58" s="109" t="s">
        <v>180</v>
      </c>
      <c r="J58" s="91" t="s">
        <v>180</v>
      </c>
      <c r="K58" s="118">
        <v>0</v>
      </c>
      <c r="L58" s="89" t="s">
        <v>180</v>
      </c>
      <c r="M58" s="89" t="s">
        <v>180</v>
      </c>
      <c r="N58" s="89">
        <v>274</v>
      </c>
      <c r="O58" s="126"/>
    </row>
    <row r="59" spans="1:14">
      <c r="A59" s="89" t="s">
        <v>230</v>
      </c>
      <c r="B59" s="108" t="s">
        <v>547</v>
      </c>
      <c r="C59" s="89" t="s">
        <v>233</v>
      </c>
      <c r="D59" s="89" t="s">
        <v>272</v>
      </c>
      <c r="E59" s="91">
        <v>0</v>
      </c>
      <c r="F59" s="91">
        <v>88844.25</v>
      </c>
      <c r="G59" s="109">
        <v>0.0860750992890715</v>
      </c>
      <c r="H59" s="109">
        <v>0.0880721278097675</v>
      </c>
      <c r="I59" s="109" t="s">
        <v>180</v>
      </c>
      <c r="J59" s="91" t="s">
        <v>180</v>
      </c>
      <c r="K59" s="118">
        <v>0</v>
      </c>
      <c r="L59" s="89" t="s">
        <v>180</v>
      </c>
      <c r="M59" s="89" t="s">
        <v>180</v>
      </c>
      <c r="N59" s="89">
        <v>548</v>
      </c>
    </row>
    <row r="60" ht="28.8" spans="1:15">
      <c r="A60" s="89" t="s">
        <v>230</v>
      </c>
      <c r="B60" s="108" t="s">
        <v>549</v>
      </c>
      <c r="C60" s="89" t="s">
        <v>233</v>
      </c>
      <c r="D60" s="89" t="s">
        <v>451</v>
      </c>
      <c r="E60" s="91">
        <v>0</v>
      </c>
      <c r="F60" s="91">
        <v>78008</v>
      </c>
      <c r="G60" s="109">
        <v>0.0755766000089133</v>
      </c>
      <c r="H60" s="109">
        <v>0.0856584501058266</v>
      </c>
      <c r="I60" s="109" t="s">
        <v>180</v>
      </c>
      <c r="J60" s="91" t="s">
        <v>180</v>
      </c>
      <c r="K60" s="118">
        <v>0</v>
      </c>
      <c r="L60" s="89" t="s">
        <v>180</v>
      </c>
      <c r="M60" s="89" t="s">
        <v>180</v>
      </c>
      <c r="N60" s="89">
        <v>77</v>
      </c>
      <c r="O60" s="126" t="s">
        <v>4353</v>
      </c>
    </row>
    <row r="61" s="88" customFormat="1" spans="1:16">
      <c r="A61" s="88" t="s">
        <v>227</v>
      </c>
      <c r="B61" s="88" t="s">
        <v>154</v>
      </c>
      <c r="C61" s="88" t="s">
        <v>233</v>
      </c>
      <c r="D61" s="88" t="s">
        <v>234</v>
      </c>
      <c r="E61" s="106">
        <v>0</v>
      </c>
      <c r="F61" s="106">
        <v>3107.83333333333</v>
      </c>
      <c r="G61" s="107">
        <v>0.00301096652558329</v>
      </c>
      <c r="H61" s="107">
        <v>0.00756179502625437</v>
      </c>
      <c r="I61" s="107" t="s">
        <v>180</v>
      </c>
      <c r="J61" s="106" t="s">
        <v>180</v>
      </c>
      <c r="K61" s="122">
        <v>0</v>
      </c>
      <c r="L61" s="88" t="s">
        <v>6131</v>
      </c>
      <c r="M61" s="88" t="s">
        <v>6102</v>
      </c>
      <c r="N61" s="88">
        <v>184</v>
      </c>
      <c r="O61" s="126"/>
      <c r="P61" s="126"/>
    </row>
    <row r="62" spans="5:11">
      <c r="E62" s="91"/>
      <c r="F62" s="91">
        <v>1032171.33333333</v>
      </c>
      <c r="I62" s="92">
        <v>0</v>
      </c>
      <c r="J62" s="91" t="s">
        <v>180</v>
      </c>
      <c r="K62" s="95"/>
    </row>
    <row r="63" spans="5:10">
      <c r="E63" s="91"/>
      <c r="G63" s="109"/>
      <c r="H63" s="109"/>
      <c r="I63" s="109"/>
      <c r="J63" s="109"/>
    </row>
    <row r="64" spans="5:11">
      <c r="E64" s="91"/>
      <c r="K64" s="118"/>
    </row>
    <row r="65" spans="5:11">
      <c r="E65" s="91"/>
      <c r="K65" s="118"/>
    </row>
    <row r="66" ht="14.4" customHeight="1" spans="1:22">
      <c r="A66" s="96" t="s">
        <v>159</v>
      </c>
      <c r="B66" s="97"/>
      <c r="C66" s="98"/>
      <c r="E66" s="99" t="s">
        <v>2</v>
      </c>
      <c r="F66" s="100"/>
      <c r="G66" s="100"/>
      <c r="H66" s="100"/>
      <c r="I66" s="115"/>
      <c r="J66" s="100"/>
      <c r="L66" s="102"/>
      <c r="M66" s="102"/>
      <c r="O66" s="128"/>
      <c r="P66" s="128"/>
      <c r="Q66" s="128"/>
      <c r="R66" s="132"/>
      <c r="S66" s="116"/>
      <c r="T66" s="128"/>
      <c r="U66" s="128"/>
      <c r="V66" s="132"/>
    </row>
    <row r="67" ht="46.8" spans="1:22">
      <c r="A67" s="101" t="s">
        <v>3944</v>
      </c>
      <c r="B67" s="101" t="s">
        <v>207</v>
      </c>
      <c r="C67" s="101" t="s">
        <v>447</v>
      </c>
      <c r="D67" s="89" t="s">
        <v>209</v>
      </c>
      <c r="E67" s="101" t="s">
        <v>210</v>
      </c>
      <c r="F67" s="103" t="s">
        <v>6086</v>
      </c>
      <c r="G67" s="104" t="s">
        <v>6222</v>
      </c>
      <c r="H67" s="104" t="s">
        <v>6223</v>
      </c>
      <c r="I67" s="117" t="s">
        <v>6196</v>
      </c>
      <c r="J67" s="91" t="s">
        <v>6197</v>
      </c>
      <c r="K67" s="118" t="s">
        <v>0</v>
      </c>
      <c r="L67" s="119" t="s">
        <v>6091</v>
      </c>
      <c r="M67" s="119" t="s">
        <v>6092</v>
      </c>
      <c r="N67" s="120" t="s">
        <v>6198</v>
      </c>
      <c r="O67" s="119" t="s">
        <v>225</v>
      </c>
      <c r="P67" s="120" t="s">
        <v>226</v>
      </c>
      <c r="Q67" s="119"/>
      <c r="R67" s="119"/>
      <c r="S67" s="119"/>
      <c r="T67" s="119"/>
      <c r="U67" s="119"/>
      <c r="V67" s="119"/>
    </row>
    <row r="68" spans="1:14">
      <c r="A68" s="89" t="s">
        <v>4363</v>
      </c>
      <c r="B68" s="89" t="s">
        <v>562</v>
      </c>
      <c r="C68" s="89" t="s">
        <v>441</v>
      </c>
      <c r="D68" s="89" t="s">
        <v>234</v>
      </c>
      <c r="E68" s="91">
        <v>0</v>
      </c>
      <c r="F68" s="91">
        <v>181644.75</v>
      </c>
      <c r="G68" s="92"/>
      <c r="H68" s="92"/>
      <c r="I68" s="92" t="s">
        <v>180</v>
      </c>
      <c r="J68" s="91" t="s">
        <v>180</v>
      </c>
      <c r="K68" s="118">
        <v>0</v>
      </c>
      <c r="L68" s="89" t="s">
        <v>180</v>
      </c>
      <c r="M68" s="89" t="s">
        <v>180</v>
      </c>
      <c r="N68" s="89" t="s">
        <v>5419</v>
      </c>
    </row>
    <row r="69" s="88" customFormat="1" ht="14.4" spans="1:16">
      <c r="A69" s="88" t="s">
        <v>227</v>
      </c>
      <c r="B69" s="134" t="s">
        <v>557</v>
      </c>
      <c r="C69" s="88" t="s">
        <v>441</v>
      </c>
      <c r="D69" s="88" t="s">
        <v>234</v>
      </c>
      <c r="E69" s="106">
        <v>0</v>
      </c>
      <c r="F69" s="106">
        <v>352532.666666667</v>
      </c>
      <c r="G69" s="110">
        <v>0.719096463376139</v>
      </c>
      <c r="H69" s="110">
        <v>0.724645826963315</v>
      </c>
      <c r="I69" s="110" t="s">
        <v>180</v>
      </c>
      <c r="J69" s="106" t="s">
        <v>180</v>
      </c>
      <c r="K69" s="122" t="s">
        <v>6214</v>
      </c>
      <c r="L69" s="88" t="s">
        <v>6133</v>
      </c>
      <c r="M69" s="88" t="s">
        <v>6134</v>
      </c>
      <c r="N69" s="88">
        <v>1600</v>
      </c>
      <c r="O69" s="124"/>
      <c r="P69" s="124"/>
    </row>
    <row r="70" spans="1:18">
      <c r="A70" s="89" t="s">
        <v>230</v>
      </c>
      <c r="B70" s="135" t="s">
        <v>560</v>
      </c>
      <c r="C70" s="89" t="s">
        <v>233</v>
      </c>
      <c r="D70" s="89" t="s">
        <v>60</v>
      </c>
      <c r="E70" s="91">
        <v>0</v>
      </c>
      <c r="F70" s="91">
        <v>68447.5</v>
      </c>
      <c r="G70" s="92">
        <v>0.139619274554996</v>
      </c>
      <c r="H70" s="92">
        <v>0.134191374844871</v>
      </c>
      <c r="I70" s="92">
        <v>0.0291238967925431</v>
      </c>
      <c r="J70" s="91">
        <v>20534.25</v>
      </c>
      <c r="K70" s="118">
        <v>0</v>
      </c>
      <c r="L70" s="89" t="s">
        <v>180</v>
      </c>
      <c r="M70" s="89" t="s">
        <v>180</v>
      </c>
      <c r="N70" s="89">
        <v>1300</v>
      </c>
      <c r="O70" s="138"/>
      <c r="R70" s="88"/>
    </row>
    <row r="71" spans="1:15">
      <c r="A71" s="89" t="s">
        <v>230</v>
      </c>
      <c r="B71" s="135" t="s">
        <v>4391</v>
      </c>
      <c r="C71" s="89" t="s">
        <v>233</v>
      </c>
      <c r="D71" s="89" t="s">
        <v>422</v>
      </c>
      <c r="E71" s="91">
        <v>0</v>
      </c>
      <c r="F71" s="91">
        <v>19119.0833333333</v>
      </c>
      <c r="G71" s="92">
        <v>0.0389991240754815</v>
      </c>
      <c r="H71" s="92">
        <v>0.034389857131723</v>
      </c>
      <c r="I71" s="92" t="s">
        <v>180</v>
      </c>
      <c r="J71" s="91" t="s">
        <v>180</v>
      </c>
      <c r="K71" s="118">
        <v>0</v>
      </c>
      <c r="L71" s="89" t="s">
        <v>180</v>
      </c>
      <c r="M71" s="89" t="s">
        <v>180</v>
      </c>
      <c r="N71" s="89">
        <v>84</v>
      </c>
      <c r="O71" s="126"/>
    </row>
    <row r="72" ht="14.4" spans="1:14">
      <c r="A72" s="89" t="s">
        <v>367</v>
      </c>
      <c r="B72" s="108" t="s">
        <v>5225</v>
      </c>
      <c r="C72" s="89">
        <v>0</v>
      </c>
      <c r="D72" s="89">
        <v>0</v>
      </c>
      <c r="E72" s="91">
        <v>0</v>
      </c>
      <c r="F72" s="91">
        <v>10982.25</v>
      </c>
      <c r="G72" s="92">
        <v>0.0224016038274825</v>
      </c>
      <c r="H72" s="92">
        <v>0.0282592762459756</v>
      </c>
      <c r="I72" s="92" t="s">
        <v>180</v>
      </c>
      <c r="J72" s="91" t="s">
        <v>180</v>
      </c>
      <c r="K72" s="129" t="s">
        <v>6215</v>
      </c>
      <c r="L72" s="89" t="s">
        <v>180</v>
      </c>
      <c r="M72" s="89" t="s">
        <v>180</v>
      </c>
      <c r="N72" s="89">
        <v>597</v>
      </c>
    </row>
    <row r="73" ht="28.8" spans="2:14">
      <c r="B73" s="89" t="s">
        <v>4399</v>
      </c>
      <c r="C73" s="89">
        <v>0</v>
      </c>
      <c r="D73" s="89">
        <v>0</v>
      </c>
      <c r="E73" s="91">
        <v>0</v>
      </c>
      <c r="F73" s="91">
        <v>25463.9166666667</v>
      </c>
      <c r="G73" s="92"/>
      <c r="H73" s="92"/>
      <c r="I73" s="92" t="s">
        <v>180</v>
      </c>
      <c r="J73" s="91" t="s">
        <v>180</v>
      </c>
      <c r="K73" s="118" t="s">
        <v>6216</v>
      </c>
      <c r="L73" s="89" t="s">
        <v>180</v>
      </c>
      <c r="M73" s="89" t="s">
        <v>180</v>
      </c>
      <c r="N73" s="89">
        <v>901</v>
      </c>
    </row>
    <row r="74" s="88" customFormat="1" ht="14.4" spans="1:16">
      <c r="A74" s="88" t="s">
        <v>227</v>
      </c>
      <c r="B74" s="134" t="s">
        <v>4400</v>
      </c>
      <c r="C74" s="88" t="s">
        <v>441</v>
      </c>
      <c r="D74" s="88">
        <v>0</v>
      </c>
      <c r="E74" s="106">
        <v>0</v>
      </c>
      <c r="F74" s="106">
        <v>1675</v>
      </c>
      <c r="G74" s="92">
        <v>0.00341666656750968</v>
      </c>
      <c r="H74" s="110"/>
      <c r="I74" s="110" t="s">
        <v>180</v>
      </c>
      <c r="J74" s="106" t="s">
        <v>180</v>
      </c>
      <c r="K74" s="129" t="s">
        <v>6212</v>
      </c>
      <c r="L74" s="88" t="s">
        <v>180</v>
      </c>
      <c r="M74" s="88" t="s">
        <v>180</v>
      </c>
      <c r="N74" s="88">
        <v>78</v>
      </c>
      <c r="O74" s="126"/>
      <c r="P74" s="126"/>
    </row>
    <row r="75" spans="1:14">
      <c r="A75" s="89" t="s">
        <v>230</v>
      </c>
      <c r="B75" s="89" t="s">
        <v>563</v>
      </c>
      <c r="C75" s="89" t="s">
        <v>233</v>
      </c>
      <c r="D75" s="89" t="s">
        <v>58</v>
      </c>
      <c r="E75" s="91">
        <v>0</v>
      </c>
      <c r="F75" s="91">
        <v>22042.0833333333</v>
      </c>
      <c r="G75" s="92">
        <v>0.0449614622109028</v>
      </c>
      <c r="H75" s="92">
        <v>0.0442673204554039</v>
      </c>
      <c r="I75" s="92">
        <v>0.00937874078808772</v>
      </c>
      <c r="J75" s="91">
        <v>6612.625</v>
      </c>
      <c r="K75" s="118">
        <v>0</v>
      </c>
      <c r="L75" s="89" t="s">
        <v>180</v>
      </c>
      <c r="M75" s="89" t="s">
        <v>180</v>
      </c>
      <c r="N75" s="89">
        <v>127</v>
      </c>
    </row>
    <row r="76" spans="1:14">
      <c r="A76" s="89" t="s">
        <v>230</v>
      </c>
      <c r="B76" s="108" t="s">
        <v>558</v>
      </c>
      <c r="C76" s="89">
        <v>0</v>
      </c>
      <c r="D76" s="89" t="s">
        <v>250</v>
      </c>
      <c r="E76" s="91">
        <v>0</v>
      </c>
      <c r="F76" s="91">
        <v>15445.3333333333</v>
      </c>
      <c r="G76" s="92">
        <v>0.0315054053874882</v>
      </c>
      <c r="H76" s="92">
        <v>0.0342463443587115</v>
      </c>
      <c r="I76" s="92" t="s">
        <v>180</v>
      </c>
      <c r="J76" s="91" t="s">
        <v>180</v>
      </c>
      <c r="K76" s="118">
        <v>0</v>
      </c>
      <c r="L76" s="89" t="s">
        <v>180</v>
      </c>
      <c r="M76" s="89" t="s">
        <v>180</v>
      </c>
      <c r="N76" s="89" t="s">
        <v>5419</v>
      </c>
    </row>
    <row r="77" spans="3:9">
      <c r="C77" s="89"/>
      <c r="E77" s="91"/>
      <c r="F77" s="91">
        <v>490243.916666667</v>
      </c>
      <c r="G77" s="109"/>
      <c r="H77" s="109"/>
      <c r="I77" s="109">
        <v>0.0385026375806308</v>
      </c>
    </row>
    <row r="78" spans="3:9">
      <c r="C78" s="89"/>
      <c r="E78" s="91"/>
      <c r="G78" s="109"/>
      <c r="H78" s="109"/>
      <c r="I78" s="109"/>
    </row>
    <row r="79" ht="14.4" customHeight="1" spans="1:22">
      <c r="A79" s="96" t="s">
        <v>274</v>
      </c>
      <c r="B79" s="97"/>
      <c r="C79" s="98"/>
      <c r="E79" s="99" t="s">
        <v>2</v>
      </c>
      <c r="F79" s="100"/>
      <c r="G79" s="100"/>
      <c r="H79" s="100"/>
      <c r="I79" s="115"/>
      <c r="J79" s="100"/>
      <c r="K79" s="95"/>
      <c r="L79" s="102"/>
      <c r="M79" s="102"/>
      <c r="O79" s="128"/>
      <c r="P79" s="128"/>
      <c r="Q79" s="128"/>
      <c r="R79" s="132"/>
      <c r="S79" s="116"/>
      <c r="T79" s="128"/>
      <c r="U79" s="128"/>
      <c r="V79" s="132"/>
    </row>
    <row r="80" ht="46.8" spans="1:22">
      <c r="A80" s="101" t="s">
        <v>3944</v>
      </c>
      <c r="B80" s="102" t="s">
        <v>207</v>
      </c>
      <c r="C80" s="101" t="s">
        <v>447</v>
      </c>
      <c r="D80" s="89" t="s">
        <v>209</v>
      </c>
      <c r="E80" s="101" t="s">
        <v>210</v>
      </c>
      <c r="F80" s="103" t="s">
        <v>6086</v>
      </c>
      <c r="G80" s="104" t="s">
        <v>6222</v>
      </c>
      <c r="H80" s="104" t="s">
        <v>6223</v>
      </c>
      <c r="I80" s="117" t="s">
        <v>6196</v>
      </c>
      <c r="J80" s="91" t="s">
        <v>6197</v>
      </c>
      <c r="K80" s="95"/>
      <c r="L80" s="119" t="s">
        <v>6091</v>
      </c>
      <c r="M80" s="119" t="s">
        <v>6092</v>
      </c>
      <c r="N80" s="120" t="s">
        <v>6198</v>
      </c>
      <c r="O80" s="119" t="s">
        <v>225</v>
      </c>
      <c r="P80" s="120" t="s">
        <v>226</v>
      </c>
      <c r="Q80" s="119"/>
      <c r="R80" s="119"/>
      <c r="S80" s="119"/>
      <c r="T80" s="119"/>
      <c r="U80" s="119"/>
      <c r="V80" s="119"/>
    </row>
    <row r="81" s="88" customFormat="1" ht="14.4" spans="1:16">
      <c r="A81" s="88" t="s">
        <v>227</v>
      </c>
      <c r="B81" s="105" t="s">
        <v>564</v>
      </c>
      <c r="C81" s="88" t="s">
        <v>441</v>
      </c>
      <c r="D81" s="88" t="s">
        <v>234</v>
      </c>
      <c r="E81" s="106">
        <v>0</v>
      </c>
      <c r="F81" s="106">
        <v>222968.333333333</v>
      </c>
      <c r="G81" s="107">
        <v>0.488979672845146</v>
      </c>
      <c r="H81" s="107">
        <v>0.483742765861677</v>
      </c>
      <c r="I81" s="107" t="s">
        <v>180</v>
      </c>
      <c r="J81" s="106" t="s">
        <v>180</v>
      </c>
      <c r="K81" s="122">
        <v>0</v>
      </c>
      <c r="L81" s="88" t="s">
        <v>6139</v>
      </c>
      <c r="M81" s="88" t="s">
        <v>6155</v>
      </c>
      <c r="N81" s="88">
        <v>1100</v>
      </c>
      <c r="O81" s="124"/>
      <c r="P81" s="124"/>
    </row>
    <row r="82" ht="24" customHeight="1" spans="1:14">
      <c r="A82" s="89" t="s">
        <v>230</v>
      </c>
      <c r="B82" s="108" t="s">
        <v>568</v>
      </c>
      <c r="C82" s="89" t="s">
        <v>65</v>
      </c>
      <c r="D82" s="89" t="s">
        <v>266</v>
      </c>
      <c r="E82" s="91">
        <v>0</v>
      </c>
      <c r="F82" s="91">
        <v>96851.6666666667</v>
      </c>
      <c r="G82" s="109">
        <v>0.212400099929768</v>
      </c>
      <c r="H82" s="109">
        <v>0.223387991461334</v>
      </c>
      <c r="I82" s="109" t="s">
        <v>180</v>
      </c>
      <c r="J82" s="91" t="s">
        <v>180</v>
      </c>
      <c r="K82" s="118">
        <v>0</v>
      </c>
      <c r="L82" s="89" t="s">
        <v>180</v>
      </c>
      <c r="M82" s="89" t="s">
        <v>180</v>
      </c>
      <c r="N82" s="89">
        <v>338</v>
      </c>
    </row>
    <row r="83" ht="61.2" customHeight="1" spans="1:18">
      <c r="A83" s="89" t="s">
        <v>391</v>
      </c>
      <c r="B83" s="108" t="s">
        <v>565</v>
      </c>
      <c r="C83" s="89" t="s">
        <v>454</v>
      </c>
      <c r="D83" s="89" t="s">
        <v>266</v>
      </c>
      <c r="E83" s="91">
        <v>0</v>
      </c>
      <c r="F83" s="91">
        <v>35113.75</v>
      </c>
      <c r="G83" s="109">
        <v>0.0770060471398759</v>
      </c>
      <c r="H83" s="109">
        <v>0.102353301469892</v>
      </c>
      <c r="I83" s="109" t="s">
        <v>180</v>
      </c>
      <c r="J83" s="91" t="s">
        <v>180</v>
      </c>
      <c r="K83" s="118">
        <v>0</v>
      </c>
      <c r="L83" s="89" t="s">
        <v>180</v>
      </c>
      <c r="M83" s="89" t="s">
        <v>180</v>
      </c>
      <c r="N83" s="89">
        <v>480</v>
      </c>
      <c r="O83" s="124"/>
      <c r="P83" s="125"/>
      <c r="Q83" s="133"/>
      <c r="R83" s="133"/>
    </row>
    <row r="84" spans="1:18">
      <c r="A84" s="89" t="s">
        <v>391</v>
      </c>
      <c r="B84" s="108" t="s">
        <v>567</v>
      </c>
      <c r="C84" s="89" t="s">
        <v>454</v>
      </c>
      <c r="D84" s="89" t="s">
        <v>420</v>
      </c>
      <c r="E84" s="91">
        <v>0</v>
      </c>
      <c r="F84" s="91">
        <v>35347.3333333333</v>
      </c>
      <c r="G84" s="109">
        <v>0.077518305989408</v>
      </c>
      <c r="H84" s="109">
        <v>0.0711008461493065</v>
      </c>
      <c r="I84" s="109" t="s">
        <v>180</v>
      </c>
      <c r="J84" s="91" t="s">
        <v>180</v>
      </c>
      <c r="K84" s="118">
        <v>0</v>
      </c>
      <c r="L84" s="89" t="s">
        <v>180</v>
      </c>
      <c r="M84" s="89" t="s">
        <v>180</v>
      </c>
      <c r="N84" s="89">
        <v>678</v>
      </c>
      <c r="Q84" s="133"/>
      <c r="R84" s="133"/>
    </row>
    <row r="85" ht="14.4" spans="1:15">
      <c r="A85" s="89" t="s">
        <v>446</v>
      </c>
      <c r="B85" s="89" t="s">
        <v>4425</v>
      </c>
      <c r="C85" s="89" t="s">
        <v>233</v>
      </c>
      <c r="D85" s="89" t="s">
        <v>49</v>
      </c>
      <c r="E85" s="91">
        <v>0</v>
      </c>
      <c r="F85" s="91">
        <v>45559</v>
      </c>
      <c r="G85" s="109">
        <v>0.0999129543738737</v>
      </c>
      <c r="H85" s="109">
        <v>0.0817095770859793</v>
      </c>
      <c r="I85" s="109">
        <v>0.0153247097868905</v>
      </c>
      <c r="J85" s="91">
        <v>6833.85</v>
      </c>
      <c r="K85" s="118">
        <v>0</v>
      </c>
      <c r="L85" s="89" t="s">
        <v>180</v>
      </c>
      <c r="M85" s="89" t="s">
        <v>180</v>
      </c>
      <c r="N85" s="89">
        <v>798</v>
      </c>
      <c r="O85" s="125"/>
    </row>
    <row r="86" ht="14.4" spans="2:14">
      <c r="B86" s="108" t="s">
        <v>4429</v>
      </c>
      <c r="C86" s="89">
        <v>0</v>
      </c>
      <c r="D86" s="89">
        <v>0</v>
      </c>
      <c r="E86" s="91">
        <v>0</v>
      </c>
      <c r="F86" s="91">
        <v>20726.4166666667</v>
      </c>
      <c r="G86" s="109"/>
      <c r="H86" s="109"/>
      <c r="I86" s="109" t="s">
        <v>180</v>
      </c>
      <c r="J86" s="91" t="s">
        <v>180</v>
      </c>
      <c r="K86" s="118" t="s">
        <v>1630</v>
      </c>
      <c r="L86" s="89" t="s">
        <v>180</v>
      </c>
      <c r="M86" s="89" t="s">
        <v>180</v>
      </c>
      <c r="N86" s="89">
        <v>543</v>
      </c>
    </row>
    <row r="87" spans="1:15">
      <c r="A87" s="89" t="s">
        <v>391</v>
      </c>
      <c r="B87" s="89" t="s">
        <v>569</v>
      </c>
      <c r="C87" s="89">
        <v>0</v>
      </c>
      <c r="D87" s="89">
        <v>0</v>
      </c>
      <c r="E87" s="91">
        <v>0</v>
      </c>
      <c r="F87" s="91">
        <v>20146.8333333333</v>
      </c>
      <c r="G87" s="109">
        <v>0.0441829197219292</v>
      </c>
      <c r="H87" s="109">
        <v>0.0377055179718118</v>
      </c>
      <c r="I87" s="109" t="s">
        <v>180</v>
      </c>
      <c r="J87" s="91" t="s">
        <v>180</v>
      </c>
      <c r="K87" s="118">
        <v>0</v>
      </c>
      <c r="L87" s="89" t="s">
        <v>180</v>
      </c>
      <c r="M87" s="89" t="s">
        <v>180</v>
      </c>
      <c r="N87" s="89">
        <v>219</v>
      </c>
      <c r="O87" s="126"/>
    </row>
    <row r="88" spans="5:11">
      <c r="E88" s="91"/>
      <c r="F88" s="91">
        <v>455986.916666667</v>
      </c>
      <c r="I88" s="109">
        <v>0.0153247097868905</v>
      </c>
      <c r="K88" s="95"/>
    </row>
    <row r="89" spans="5:5">
      <c r="E89" s="91"/>
    </row>
    <row r="90" ht="14.4" customHeight="1" spans="1:22">
      <c r="A90" s="96" t="s">
        <v>165</v>
      </c>
      <c r="B90" s="97"/>
      <c r="C90" s="98"/>
      <c r="E90" s="99" t="s">
        <v>2</v>
      </c>
      <c r="F90" s="100"/>
      <c r="G90" s="100"/>
      <c r="H90" s="100"/>
      <c r="I90" s="115"/>
      <c r="J90" s="100"/>
      <c r="L90" s="102"/>
      <c r="M90" s="102"/>
      <c r="O90" s="128"/>
      <c r="P90" s="128"/>
      <c r="Q90" s="128"/>
      <c r="R90" s="132"/>
      <c r="S90" s="116"/>
      <c r="T90" s="128"/>
      <c r="U90" s="128"/>
      <c r="V90" s="132"/>
    </row>
    <row r="91" ht="46.8" spans="1:22">
      <c r="A91" s="101" t="s">
        <v>3944</v>
      </c>
      <c r="B91" s="102" t="s">
        <v>207</v>
      </c>
      <c r="C91" s="101" t="s">
        <v>447</v>
      </c>
      <c r="D91" s="89" t="s">
        <v>209</v>
      </c>
      <c r="E91" s="101" t="s">
        <v>210</v>
      </c>
      <c r="F91" s="103" t="s">
        <v>6086</v>
      </c>
      <c r="G91" s="104" t="s">
        <v>6222</v>
      </c>
      <c r="H91" s="104" t="s">
        <v>6223</v>
      </c>
      <c r="I91" s="117" t="s">
        <v>6196</v>
      </c>
      <c r="J91" s="91" t="s">
        <v>6197</v>
      </c>
      <c r="K91" s="118" t="s">
        <v>0</v>
      </c>
      <c r="L91" s="119" t="s">
        <v>6091</v>
      </c>
      <c r="M91" s="119" t="s">
        <v>6092</v>
      </c>
      <c r="N91" s="120" t="s">
        <v>6198</v>
      </c>
      <c r="O91" s="119" t="s">
        <v>225</v>
      </c>
      <c r="P91" s="120" t="s">
        <v>226</v>
      </c>
      <c r="Q91" s="119"/>
      <c r="R91" s="119"/>
      <c r="S91" s="119"/>
      <c r="T91" s="119"/>
      <c r="U91" s="119"/>
      <c r="V91" s="119"/>
    </row>
    <row r="92" spans="1:14">
      <c r="A92" s="89" t="s">
        <v>4435</v>
      </c>
      <c r="B92" s="108" t="s">
        <v>577</v>
      </c>
      <c r="C92" s="89" t="s">
        <v>441</v>
      </c>
      <c r="D92" s="89" t="s">
        <v>234</v>
      </c>
      <c r="E92" s="91">
        <v>0</v>
      </c>
      <c r="F92" s="91">
        <v>282980.166666667</v>
      </c>
      <c r="I92" s="109" t="s">
        <v>180</v>
      </c>
      <c r="J92" s="91" t="s">
        <v>180</v>
      </c>
      <c r="K92" s="118">
        <v>0</v>
      </c>
      <c r="L92" s="89" t="s">
        <v>180</v>
      </c>
      <c r="M92" s="89" t="s">
        <v>180</v>
      </c>
      <c r="N92" s="89" t="s">
        <v>5419</v>
      </c>
    </row>
    <row r="93" spans="1:15">
      <c r="A93" s="89" t="s">
        <v>230</v>
      </c>
      <c r="B93" s="108" t="s">
        <v>570</v>
      </c>
      <c r="C93" s="89" t="s">
        <v>233</v>
      </c>
      <c r="D93" s="89" t="s">
        <v>50</v>
      </c>
      <c r="E93" s="91">
        <v>0</v>
      </c>
      <c r="F93" s="91">
        <v>142276.416666667</v>
      </c>
      <c r="G93" s="109">
        <v>0.317203133392501</v>
      </c>
      <c r="H93" s="109">
        <v>0.33520583715469</v>
      </c>
      <c r="I93" s="109">
        <v>5.0387114862472</v>
      </c>
      <c r="J93" s="91">
        <v>42682.925</v>
      </c>
      <c r="K93" s="118">
        <v>0</v>
      </c>
      <c r="L93" s="89" t="s">
        <v>180</v>
      </c>
      <c r="M93" s="89" t="s">
        <v>180</v>
      </c>
      <c r="N93" s="89">
        <v>454</v>
      </c>
      <c r="O93" s="126"/>
    </row>
    <row r="94" ht="24.6" customHeight="1" spans="1:16">
      <c r="A94" s="89" t="s">
        <v>230</v>
      </c>
      <c r="B94" s="108" t="s">
        <v>573</v>
      </c>
      <c r="C94" s="89" t="s">
        <v>233</v>
      </c>
      <c r="D94" s="89" t="s">
        <v>423</v>
      </c>
      <c r="E94" s="91">
        <v>0</v>
      </c>
      <c r="F94" s="91">
        <v>116780.833333333</v>
      </c>
      <c r="G94" s="109">
        <v>0.260361113397365</v>
      </c>
      <c r="H94" s="109">
        <v>0.233398725196396</v>
      </c>
      <c r="I94" s="109" t="s">
        <v>180</v>
      </c>
      <c r="J94" s="91" t="s">
        <v>180</v>
      </c>
      <c r="K94" s="118">
        <v>0</v>
      </c>
      <c r="L94" s="89" t="s">
        <v>180</v>
      </c>
      <c r="M94" s="89" t="s">
        <v>180</v>
      </c>
      <c r="N94" s="89">
        <v>1000</v>
      </c>
      <c r="O94" s="124"/>
      <c r="P94" s="125"/>
    </row>
    <row r="95" ht="14.4" spans="1:22">
      <c r="A95" s="88" t="s">
        <v>227</v>
      </c>
      <c r="B95" s="105" t="s">
        <v>571</v>
      </c>
      <c r="C95" s="88" t="s">
        <v>441</v>
      </c>
      <c r="D95" s="88" t="s">
        <v>234</v>
      </c>
      <c r="E95" s="106">
        <v>0</v>
      </c>
      <c r="F95" s="106">
        <v>94130.4166666667</v>
      </c>
      <c r="G95" s="107">
        <v>0.20986234973968</v>
      </c>
      <c r="H95" s="107">
        <v>0.196218714219431</v>
      </c>
      <c r="I95" s="107" t="s">
        <v>180</v>
      </c>
      <c r="J95" s="106" t="s">
        <v>180</v>
      </c>
      <c r="K95" s="122" t="s">
        <v>6214</v>
      </c>
      <c r="L95" s="88" t="s">
        <v>6144</v>
      </c>
      <c r="M95" s="88" t="s">
        <v>6203</v>
      </c>
      <c r="N95" s="88">
        <v>934</v>
      </c>
      <c r="O95" s="88"/>
      <c r="P95" s="126"/>
      <c r="Q95" s="88"/>
      <c r="R95" s="88"/>
      <c r="S95" s="88"/>
      <c r="T95" s="88"/>
      <c r="U95" s="88"/>
      <c r="V95" s="88"/>
    </row>
    <row r="96" ht="14.4" spans="1:14">
      <c r="A96" s="89" t="s">
        <v>1992</v>
      </c>
      <c r="B96" s="89" t="s">
        <v>4454</v>
      </c>
      <c r="C96" s="89" t="s">
        <v>233</v>
      </c>
      <c r="D96" s="89" t="s">
        <v>424</v>
      </c>
      <c r="E96" s="91">
        <v>0</v>
      </c>
      <c r="F96" s="91">
        <v>42620.1666666667</v>
      </c>
      <c r="G96" s="109">
        <v>0.0950210212564671</v>
      </c>
      <c r="H96" s="109">
        <v>0.106559871310753</v>
      </c>
      <c r="I96" s="109" t="s">
        <v>180</v>
      </c>
      <c r="J96" s="91" t="s">
        <v>180</v>
      </c>
      <c r="K96" s="129" t="s">
        <v>6215</v>
      </c>
      <c r="L96" s="89" t="s">
        <v>180</v>
      </c>
      <c r="M96" s="89" t="s">
        <v>180</v>
      </c>
      <c r="N96" s="89">
        <v>747</v>
      </c>
    </row>
    <row r="97" s="88" customFormat="1" spans="1:22">
      <c r="A97" s="89" t="s">
        <v>230</v>
      </c>
      <c r="B97" s="108" t="s">
        <v>5231</v>
      </c>
      <c r="C97" s="89" t="s">
        <v>233</v>
      </c>
      <c r="D97" s="89" t="s">
        <v>50</v>
      </c>
      <c r="E97" s="91">
        <v>0</v>
      </c>
      <c r="F97" s="91">
        <v>4235.5</v>
      </c>
      <c r="G97" s="109">
        <v>0.0094429836157007</v>
      </c>
      <c r="H97" s="109">
        <v>0.0152503269448826</v>
      </c>
      <c r="I97" s="109">
        <v>0.15</v>
      </c>
      <c r="J97" s="91">
        <v>1270.65</v>
      </c>
      <c r="K97" s="118">
        <v>0</v>
      </c>
      <c r="L97" s="89" t="s">
        <v>180</v>
      </c>
      <c r="M97" s="89" t="s">
        <v>180</v>
      </c>
      <c r="N97" s="89">
        <v>848</v>
      </c>
      <c r="O97" s="126"/>
      <c r="P97" s="95"/>
      <c r="Q97" s="89"/>
      <c r="R97" s="89"/>
      <c r="S97" s="89"/>
      <c r="T97" s="89"/>
      <c r="U97" s="89"/>
      <c r="V97" s="89"/>
    </row>
    <row r="98" spans="1:15">
      <c r="A98" s="89" t="s">
        <v>391</v>
      </c>
      <c r="B98" s="89" t="s">
        <v>297</v>
      </c>
      <c r="C98" s="89" t="s">
        <v>441</v>
      </c>
      <c r="D98" s="89" t="s">
        <v>421</v>
      </c>
      <c r="E98" s="91">
        <v>0</v>
      </c>
      <c r="F98" s="91">
        <v>29561.3333333333</v>
      </c>
      <c r="G98" s="109">
        <v>0.0659065485361666</v>
      </c>
      <c r="H98" s="109">
        <v>0.0694707866022828</v>
      </c>
      <c r="I98" s="109" t="s">
        <v>180</v>
      </c>
      <c r="J98" s="91" t="s">
        <v>180</v>
      </c>
      <c r="K98" s="118">
        <v>0</v>
      </c>
      <c r="L98" s="89" t="s">
        <v>180</v>
      </c>
      <c r="M98" s="89" t="s">
        <v>180</v>
      </c>
      <c r="N98" s="89">
        <v>132</v>
      </c>
      <c r="O98" s="126"/>
    </row>
    <row r="99" spans="1:15">
      <c r="A99" s="89" t="s">
        <v>230</v>
      </c>
      <c r="B99" s="89" t="s">
        <v>4480</v>
      </c>
      <c r="C99" s="89" t="s">
        <v>233</v>
      </c>
      <c r="D99" s="89" t="s">
        <v>371</v>
      </c>
      <c r="E99" s="91">
        <v>0</v>
      </c>
      <c r="F99" s="91">
        <v>18929.4166666667</v>
      </c>
      <c r="G99" s="109">
        <v>0.042202850062119</v>
      </c>
      <c r="H99" s="109">
        <v>0.0438957385715639</v>
      </c>
      <c r="I99" s="109" t="s">
        <v>180</v>
      </c>
      <c r="J99" s="91" t="s">
        <v>180</v>
      </c>
      <c r="K99" s="118">
        <v>0</v>
      </c>
      <c r="L99" s="89" t="s">
        <v>180</v>
      </c>
      <c r="M99" s="89" t="s">
        <v>180</v>
      </c>
      <c r="N99" s="89">
        <v>169</v>
      </c>
      <c r="O99" s="138"/>
    </row>
    <row r="100" spans="6:11">
      <c r="F100" s="91">
        <v>448534.083333333</v>
      </c>
      <c r="I100" s="109">
        <v>5.1887114862472</v>
      </c>
      <c r="K100" s="95"/>
    </row>
    <row r="101" spans="5:10">
      <c r="E101" s="91"/>
      <c r="F101" s="109"/>
      <c r="G101" s="109"/>
      <c r="H101" s="109"/>
      <c r="I101" s="109"/>
      <c r="J101" s="109"/>
    </row>
    <row r="102" spans="3:9">
      <c r="C102" s="89"/>
      <c r="E102" s="91"/>
      <c r="G102" s="109"/>
      <c r="H102" s="109"/>
      <c r="I102" s="109"/>
    </row>
    <row r="103" spans="3:9">
      <c r="C103" s="89"/>
      <c r="E103" s="91"/>
      <c r="G103" s="109"/>
      <c r="H103" s="109"/>
      <c r="I103" s="109"/>
    </row>
    <row r="104" spans="3:10">
      <c r="C104" s="89"/>
      <c r="E104" s="91"/>
      <c r="F104" s="109"/>
      <c r="G104" s="109"/>
      <c r="H104" s="109"/>
      <c r="I104" s="109"/>
      <c r="J104" s="109"/>
    </row>
    <row r="105" ht="14.4" customHeight="1" spans="1:22">
      <c r="A105" s="96" t="s">
        <v>174</v>
      </c>
      <c r="B105" s="97"/>
      <c r="C105" s="98"/>
      <c r="E105" s="99" t="s">
        <v>2</v>
      </c>
      <c r="F105" s="100"/>
      <c r="G105" s="100"/>
      <c r="H105" s="100"/>
      <c r="I105" s="115"/>
      <c r="J105" s="100"/>
      <c r="K105" s="95"/>
      <c r="L105" s="102"/>
      <c r="M105" s="102"/>
      <c r="O105" s="128"/>
      <c r="P105" s="128"/>
      <c r="Q105" s="128"/>
      <c r="R105" s="132"/>
      <c r="S105" s="116"/>
      <c r="T105" s="128"/>
      <c r="U105" s="128"/>
      <c r="V105" s="132"/>
    </row>
    <row r="106" ht="46.8" spans="1:22">
      <c r="A106" s="101" t="s">
        <v>3944</v>
      </c>
      <c r="B106" s="102" t="s">
        <v>207</v>
      </c>
      <c r="C106" s="101" t="s">
        <v>447</v>
      </c>
      <c r="E106" s="101" t="s">
        <v>210</v>
      </c>
      <c r="F106" s="103" t="s">
        <v>6086</v>
      </c>
      <c r="G106" s="104" t="s">
        <v>6222</v>
      </c>
      <c r="H106" s="104" t="s">
        <v>6223</v>
      </c>
      <c r="I106" s="117" t="s">
        <v>6196</v>
      </c>
      <c r="J106" s="91" t="s">
        <v>6197</v>
      </c>
      <c r="K106" s="118" t="s">
        <v>0</v>
      </c>
      <c r="L106" s="119" t="s">
        <v>6091</v>
      </c>
      <c r="M106" s="119" t="s">
        <v>6092</v>
      </c>
      <c r="N106" s="120" t="s">
        <v>6198</v>
      </c>
      <c r="O106" s="119" t="s">
        <v>225</v>
      </c>
      <c r="P106" s="120" t="s">
        <v>226</v>
      </c>
      <c r="Q106" s="119"/>
      <c r="R106" s="119"/>
      <c r="S106" s="119"/>
      <c r="T106" s="119"/>
      <c r="U106" s="119"/>
      <c r="V106" s="119"/>
    </row>
    <row r="107" spans="1:14">
      <c r="A107" s="89" t="s">
        <v>672</v>
      </c>
      <c r="B107" s="108" t="s">
        <v>526</v>
      </c>
      <c r="C107" s="89" t="s">
        <v>441</v>
      </c>
      <c r="D107" s="89" t="s">
        <v>234</v>
      </c>
      <c r="E107" s="91">
        <v>6238</v>
      </c>
      <c r="F107" s="91">
        <v>216740.833333333</v>
      </c>
      <c r="I107" s="109" t="s">
        <v>180</v>
      </c>
      <c r="J107" s="91" t="s">
        <v>180</v>
      </c>
      <c r="K107" s="118">
        <v>0</v>
      </c>
      <c r="L107" s="89" t="s">
        <v>180</v>
      </c>
      <c r="M107" s="89" t="s">
        <v>180</v>
      </c>
      <c r="N107" s="89" t="s">
        <v>5419</v>
      </c>
    </row>
    <row r="108" s="88" customFormat="1" ht="14.4" spans="1:16">
      <c r="A108" s="88" t="s">
        <v>227</v>
      </c>
      <c r="B108" s="88" t="s">
        <v>588</v>
      </c>
      <c r="C108" s="88" t="s">
        <v>441</v>
      </c>
      <c r="D108" s="88" t="s">
        <v>234</v>
      </c>
      <c r="E108" s="106">
        <v>325311</v>
      </c>
      <c r="F108" s="106">
        <v>133049.25</v>
      </c>
      <c r="G108" s="107">
        <v>0.426933888248903</v>
      </c>
      <c r="H108" s="107">
        <v>0.425364577009726</v>
      </c>
      <c r="I108" s="107" t="s">
        <v>180</v>
      </c>
      <c r="J108" s="106" t="s">
        <v>180</v>
      </c>
      <c r="K108" s="122" t="s">
        <v>6214</v>
      </c>
      <c r="L108" s="88" t="s">
        <v>6147</v>
      </c>
      <c r="M108" s="88" t="s">
        <v>6113</v>
      </c>
      <c r="N108" s="88">
        <v>956</v>
      </c>
      <c r="O108" s="126"/>
      <c r="P108" s="125"/>
    </row>
    <row r="109" spans="1:14">
      <c r="A109" s="89" t="s">
        <v>230</v>
      </c>
      <c r="B109" s="108" t="s">
        <v>592</v>
      </c>
      <c r="C109" s="89" t="s">
        <v>441</v>
      </c>
      <c r="D109" s="89" t="s">
        <v>266</v>
      </c>
      <c r="E109" s="91">
        <v>427242</v>
      </c>
      <c r="F109" s="91">
        <v>77419.75</v>
      </c>
      <c r="G109" s="109">
        <v>0.248427667910627</v>
      </c>
      <c r="H109" s="109">
        <v>0.234627160780415</v>
      </c>
      <c r="I109" s="109" t="s">
        <v>180</v>
      </c>
      <c r="J109" s="91" t="s">
        <v>180</v>
      </c>
      <c r="K109" s="118">
        <v>0</v>
      </c>
      <c r="L109" s="89" t="s">
        <v>180</v>
      </c>
      <c r="M109" s="89" t="s">
        <v>180</v>
      </c>
      <c r="N109" s="89">
        <v>341</v>
      </c>
    </row>
    <row r="110" ht="14.4" spans="1:16">
      <c r="A110" s="89" t="s">
        <v>230</v>
      </c>
      <c r="B110" s="90" t="s">
        <v>589</v>
      </c>
      <c r="C110" s="89" t="s">
        <v>441</v>
      </c>
      <c r="D110" s="89" t="s">
        <v>58</v>
      </c>
      <c r="E110" s="91">
        <v>345760</v>
      </c>
      <c r="F110" s="91">
        <v>59052.5</v>
      </c>
      <c r="G110" s="109">
        <v>0.189490083076893</v>
      </c>
      <c r="H110" s="109">
        <v>0.195801137822875</v>
      </c>
      <c r="I110" s="109">
        <v>0.0665759107999481</v>
      </c>
      <c r="J110" s="91">
        <v>17715.75</v>
      </c>
      <c r="K110" s="118">
        <v>0</v>
      </c>
      <c r="L110" s="89" t="s">
        <v>180</v>
      </c>
      <c r="M110" s="89" t="s">
        <v>180</v>
      </c>
      <c r="N110" s="89">
        <v>293</v>
      </c>
      <c r="O110" s="124" t="s">
        <v>4505</v>
      </c>
      <c r="P110" s="125"/>
    </row>
    <row r="111" spans="1:14">
      <c r="A111" s="89" t="s">
        <v>230</v>
      </c>
      <c r="B111" s="90" t="s">
        <v>591</v>
      </c>
      <c r="C111" s="89" t="s">
        <v>441</v>
      </c>
      <c r="D111" s="89" t="s">
        <v>414</v>
      </c>
      <c r="E111" s="91">
        <v>2240207</v>
      </c>
      <c r="F111" s="91">
        <v>12712</v>
      </c>
      <c r="G111" s="109">
        <v>0.0407907867757245</v>
      </c>
      <c r="H111" s="109">
        <v>0.0360991882620622</v>
      </c>
      <c r="I111" s="109" t="s">
        <v>180</v>
      </c>
      <c r="J111" s="91" t="s">
        <v>180</v>
      </c>
      <c r="K111" s="118">
        <v>0</v>
      </c>
      <c r="L111" s="89" t="s">
        <v>180</v>
      </c>
      <c r="M111" s="89" t="s">
        <v>180</v>
      </c>
      <c r="N111" s="89">
        <v>84</v>
      </c>
    </row>
    <row r="112" spans="1:14">
      <c r="A112" s="89" t="s">
        <v>238</v>
      </c>
      <c r="B112" s="108" t="s">
        <v>322</v>
      </c>
      <c r="C112" s="89" t="s">
        <v>441</v>
      </c>
      <c r="D112" s="89" t="s">
        <v>250</v>
      </c>
      <c r="E112" s="91">
        <v>284511</v>
      </c>
      <c r="F112" s="91">
        <v>22944.5</v>
      </c>
      <c r="G112" s="109">
        <v>0.0736252522951235</v>
      </c>
      <c r="H112" s="109">
        <v>0.0742534930490278</v>
      </c>
      <c r="I112" s="109" t="s">
        <v>180</v>
      </c>
      <c r="J112" s="91" t="s">
        <v>180</v>
      </c>
      <c r="K112" s="118">
        <v>0</v>
      </c>
      <c r="L112" s="89" t="s">
        <v>180</v>
      </c>
      <c r="M112" s="89" t="s">
        <v>180</v>
      </c>
      <c r="N112" s="89">
        <v>390</v>
      </c>
    </row>
    <row r="113" spans="1:14">
      <c r="A113" s="89" t="s">
        <v>230</v>
      </c>
      <c r="B113" s="108" t="s">
        <v>5192</v>
      </c>
      <c r="C113" s="89">
        <v>0</v>
      </c>
      <c r="D113" s="89" t="s">
        <v>420</v>
      </c>
      <c r="E113" s="91">
        <v>2886095</v>
      </c>
      <c r="F113" s="91">
        <v>6461</v>
      </c>
      <c r="G113" s="109">
        <v>0.0207323216927278</v>
      </c>
      <c r="H113" s="109">
        <v>0.033854443075894</v>
      </c>
      <c r="I113" s="109" t="s">
        <v>180</v>
      </c>
      <c r="J113" s="91" t="s">
        <v>180</v>
      </c>
      <c r="K113" s="118">
        <v>0</v>
      </c>
      <c r="L113" s="89" t="s">
        <v>180</v>
      </c>
      <c r="M113" s="89" t="s">
        <v>180</v>
      </c>
      <c r="N113" s="89">
        <v>160</v>
      </c>
    </row>
    <row r="114" spans="6:13">
      <c r="F114" s="91">
        <v>311639</v>
      </c>
      <c r="I114" s="109">
        <v>0.0665759107999481</v>
      </c>
      <c r="K114" s="118"/>
      <c r="L114" s="89" t="s">
        <v>180</v>
      </c>
      <c r="M114" s="89" t="s">
        <v>180</v>
      </c>
    </row>
    <row r="115" spans="5:11">
      <c r="E115" s="91"/>
      <c r="K115" s="95"/>
    </row>
    <row r="116" ht="14.4" customHeight="1" spans="1:22">
      <c r="A116" s="96" t="s">
        <v>168</v>
      </c>
      <c r="B116" s="96"/>
      <c r="C116" s="98"/>
      <c r="E116" s="99" t="s">
        <v>2</v>
      </c>
      <c r="F116" s="100"/>
      <c r="G116" s="100"/>
      <c r="H116" s="100"/>
      <c r="I116" s="115"/>
      <c r="J116" s="100"/>
      <c r="L116" s="102"/>
      <c r="M116" s="102"/>
      <c r="O116" s="128"/>
      <c r="P116" s="128"/>
      <c r="Q116" s="128"/>
      <c r="R116" s="132"/>
      <c r="S116" s="116"/>
      <c r="T116" s="128"/>
      <c r="U116" s="128"/>
      <c r="V116" s="132"/>
    </row>
    <row r="117" ht="46.8" spans="1:22">
      <c r="A117" s="101" t="s">
        <v>3944</v>
      </c>
      <c r="B117" s="102" t="s">
        <v>207</v>
      </c>
      <c r="C117" s="101" t="s">
        <v>447</v>
      </c>
      <c r="D117" s="89" t="s">
        <v>209</v>
      </c>
      <c r="E117" s="101" t="s">
        <v>210</v>
      </c>
      <c r="F117" s="103" t="s">
        <v>6086</v>
      </c>
      <c r="G117" s="104" t="s">
        <v>6222</v>
      </c>
      <c r="H117" s="104" t="s">
        <v>6223</v>
      </c>
      <c r="I117" s="117" t="s">
        <v>6196</v>
      </c>
      <c r="J117" s="91" t="s">
        <v>6197</v>
      </c>
      <c r="K117" s="118" t="s">
        <v>0</v>
      </c>
      <c r="L117" s="119" t="s">
        <v>6091</v>
      </c>
      <c r="M117" s="119" t="s">
        <v>6092</v>
      </c>
      <c r="N117" s="120" t="s">
        <v>6198</v>
      </c>
      <c r="O117" s="119" t="s">
        <v>225</v>
      </c>
      <c r="P117" s="120" t="s">
        <v>226</v>
      </c>
      <c r="Q117" s="119"/>
      <c r="R117" s="119"/>
      <c r="S117" s="119"/>
      <c r="T117" s="119"/>
      <c r="U117" s="119"/>
      <c r="V117" s="119"/>
    </row>
    <row r="118" s="88" customFormat="1" ht="14.4" spans="1:16">
      <c r="A118" s="88" t="s">
        <v>227</v>
      </c>
      <c r="B118" s="136" t="s">
        <v>593</v>
      </c>
      <c r="C118" s="88" t="s">
        <v>441</v>
      </c>
      <c r="D118" s="88" t="s">
        <v>234</v>
      </c>
      <c r="E118" s="106">
        <v>0</v>
      </c>
      <c r="F118" s="106">
        <v>190512</v>
      </c>
      <c r="G118" s="107">
        <v>0.733962202364327</v>
      </c>
      <c r="H118" s="107">
        <v>0.735600713169786</v>
      </c>
      <c r="I118" s="107" t="s">
        <v>180</v>
      </c>
      <c r="J118" s="106" t="s">
        <v>180</v>
      </c>
      <c r="K118" s="122">
        <v>0</v>
      </c>
      <c r="L118" s="88" t="s">
        <v>6150</v>
      </c>
      <c r="M118" s="88" t="s">
        <v>6105</v>
      </c>
      <c r="N118" s="88">
        <v>1200</v>
      </c>
      <c r="O118" s="125"/>
      <c r="P118" s="125"/>
    </row>
    <row r="119" spans="1:14">
      <c r="A119" s="89" t="s">
        <v>391</v>
      </c>
      <c r="B119" s="137" t="s">
        <v>595</v>
      </c>
      <c r="C119" s="89" t="s">
        <v>441</v>
      </c>
      <c r="D119" s="89" t="s">
        <v>420</v>
      </c>
      <c r="E119" s="91">
        <v>0</v>
      </c>
      <c r="F119" s="91">
        <v>19003.4166666667</v>
      </c>
      <c r="G119" s="109">
        <v>0.0732121312521711</v>
      </c>
      <c r="H119" s="109">
        <v>0.0920303414307245</v>
      </c>
      <c r="I119" s="109" t="s">
        <v>180</v>
      </c>
      <c r="J119" s="91" t="s">
        <v>180</v>
      </c>
      <c r="K119" s="118">
        <v>0</v>
      </c>
      <c r="L119" s="89" t="s">
        <v>180</v>
      </c>
      <c r="M119" s="89" t="s">
        <v>180</v>
      </c>
      <c r="N119" s="89">
        <v>758</v>
      </c>
    </row>
    <row r="120" ht="14.4" spans="1:16">
      <c r="A120" s="89" t="s">
        <v>305</v>
      </c>
      <c r="B120" s="114" t="s">
        <v>594</v>
      </c>
      <c r="C120" s="89" t="s">
        <v>233</v>
      </c>
      <c r="D120" s="89" t="s">
        <v>49</v>
      </c>
      <c r="E120" s="91">
        <v>0</v>
      </c>
      <c r="F120" s="91">
        <v>28801.1666666667</v>
      </c>
      <c r="G120" s="109">
        <v>0.110958720276564</v>
      </c>
      <c r="H120" s="109">
        <v>0.0918119228419789</v>
      </c>
      <c r="I120" s="109">
        <v>0.0113383277693794</v>
      </c>
      <c r="J120" s="91">
        <v>4320.175</v>
      </c>
      <c r="K120" s="118">
        <v>0</v>
      </c>
      <c r="L120" s="89" t="s">
        <v>180</v>
      </c>
      <c r="M120" s="89" t="s">
        <v>180</v>
      </c>
      <c r="N120" s="89">
        <v>226</v>
      </c>
      <c r="O120" s="126"/>
      <c r="P120" s="124"/>
    </row>
    <row r="121" spans="1:14">
      <c r="A121" s="89" t="s">
        <v>446</v>
      </c>
      <c r="B121" s="114" t="s">
        <v>5115</v>
      </c>
      <c r="C121" s="89" t="s">
        <v>233</v>
      </c>
      <c r="D121" s="89" t="s">
        <v>302</v>
      </c>
      <c r="E121" s="91">
        <v>0</v>
      </c>
      <c r="F121" s="91">
        <v>21249.9166666667</v>
      </c>
      <c r="G121" s="109">
        <v>0.0818669461069386</v>
      </c>
      <c r="H121" s="109">
        <v>0.0805570225575107</v>
      </c>
      <c r="I121" s="109" t="s">
        <v>180</v>
      </c>
      <c r="J121" s="91" t="s">
        <v>180</v>
      </c>
      <c r="K121" s="118">
        <v>0</v>
      </c>
      <c r="L121" s="89" t="s">
        <v>180</v>
      </c>
      <c r="M121" s="89" t="s">
        <v>180</v>
      </c>
      <c r="N121" s="89">
        <v>231</v>
      </c>
    </row>
    <row r="122" spans="5:11">
      <c r="E122" s="91"/>
      <c r="F122" s="91">
        <v>259566.5</v>
      </c>
      <c r="I122" s="109">
        <v>0.0113383277693794</v>
      </c>
      <c r="K122" s="95"/>
    </row>
    <row r="123" spans="5:11">
      <c r="E123" s="91"/>
      <c r="F123" s="109"/>
      <c r="G123" s="109"/>
      <c r="H123" s="109"/>
      <c r="I123" s="109"/>
      <c r="J123" s="109"/>
      <c r="K123" s="95"/>
    </row>
    <row r="124" ht="14.4" customHeight="1" spans="1:22">
      <c r="A124" s="96" t="s">
        <v>162</v>
      </c>
      <c r="B124" s="97"/>
      <c r="C124" s="98"/>
      <c r="E124" s="99" t="s">
        <v>2</v>
      </c>
      <c r="F124" s="100"/>
      <c r="G124" s="100"/>
      <c r="H124" s="100"/>
      <c r="I124" s="115"/>
      <c r="J124" s="100"/>
      <c r="L124" s="102"/>
      <c r="M124" s="102"/>
      <c r="O124" s="128"/>
      <c r="P124" s="128"/>
      <c r="Q124" s="128"/>
      <c r="R124" s="132"/>
      <c r="S124" s="116"/>
      <c r="T124" s="128"/>
      <c r="U124" s="128"/>
      <c r="V124" s="132"/>
    </row>
    <row r="125" ht="46.8" spans="1:22">
      <c r="A125" s="101" t="s">
        <v>3944</v>
      </c>
      <c r="B125" s="102" t="s">
        <v>207</v>
      </c>
      <c r="C125" s="101" t="s">
        <v>447</v>
      </c>
      <c r="D125" s="89" t="s">
        <v>209</v>
      </c>
      <c r="E125" s="101" t="s">
        <v>210</v>
      </c>
      <c r="F125" s="103" t="s">
        <v>6086</v>
      </c>
      <c r="G125" s="104" t="s">
        <v>6222</v>
      </c>
      <c r="H125" s="104" t="s">
        <v>6223</v>
      </c>
      <c r="I125" s="117" t="s">
        <v>6196</v>
      </c>
      <c r="J125" s="91" t="s">
        <v>6197</v>
      </c>
      <c r="K125" s="118" t="s">
        <v>0</v>
      </c>
      <c r="L125" s="119" t="s">
        <v>6091</v>
      </c>
      <c r="M125" s="119" t="s">
        <v>6092</v>
      </c>
      <c r="N125" s="120" t="s">
        <v>6198</v>
      </c>
      <c r="O125" s="119" t="s">
        <v>225</v>
      </c>
      <c r="P125" s="120" t="s">
        <v>226</v>
      </c>
      <c r="Q125" s="119"/>
      <c r="R125" s="119"/>
      <c r="S125" s="119"/>
      <c r="T125" s="119"/>
      <c r="U125" s="119"/>
      <c r="V125" s="119"/>
    </row>
    <row r="126" s="88" customFormat="1" ht="14.4" spans="1:16">
      <c r="A126" s="88" t="s">
        <v>227</v>
      </c>
      <c r="B126" s="88" t="s">
        <v>584</v>
      </c>
      <c r="C126" s="88" t="s">
        <v>441</v>
      </c>
      <c r="D126" s="88" t="s">
        <v>234</v>
      </c>
      <c r="E126" s="106">
        <v>0</v>
      </c>
      <c r="F126" s="106">
        <v>191086.5</v>
      </c>
      <c r="G126" s="107">
        <v>0.746365070302974</v>
      </c>
      <c r="H126" s="107">
        <v>0.755956367045074</v>
      </c>
      <c r="I126" s="107" t="s">
        <v>180</v>
      </c>
      <c r="J126" s="106" t="s">
        <v>180</v>
      </c>
      <c r="K126" s="122">
        <v>0</v>
      </c>
      <c r="L126" s="88" t="s">
        <v>6154</v>
      </c>
      <c r="M126" s="88" t="s">
        <v>6155</v>
      </c>
      <c r="N126" s="88">
        <v>1100</v>
      </c>
      <c r="O126" s="126"/>
      <c r="P126" s="125"/>
    </row>
    <row r="127" spans="1:14">
      <c r="A127" s="89" t="s">
        <v>243</v>
      </c>
      <c r="B127" s="89" t="s">
        <v>4562</v>
      </c>
      <c r="C127" s="89" t="s">
        <v>441</v>
      </c>
      <c r="D127" s="89" t="s">
        <v>417</v>
      </c>
      <c r="E127" s="91">
        <v>0</v>
      </c>
      <c r="F127" s="91">
        <v>38537.6666666667</v>
      </c>
      <c r="G127" s="109">
        <v>0.150524334743581</v>
      </c>
      <c r="H127" s="109">
        <v>0.134129006714663</v>
      </c>
      <c r="I127" s="109" t="s">
        <v>180</v>
      </c>
      <c r="J127" s="91" t="s">
        <v>180</v>
      </c>
      <c r="K127" s="118">
        <v>0</v>
      </c>
      <c r="L127" s="89" t="s">
        <v>180</v>
      </c>
      <c r="M127" s="89" t="s">
        <v>180</v>
      </c>
      <c r="N127" s="89">
        <v>651</v>
      </c>
    </row>
    <row r="128" spans="1:14">
      <c r="A128" s="89" t="s">
        <v>446</v>
      </c>
      <c r="B128" s="89" t="s">
        <v>4567</v>
      </c>
      <c r="C128" s="89" t="s">
        <v>233</v>
      </c>
      <c r="D128" s="89" t="s">
        <v>49</v>
      </c>
      <c r="E128" s="91">
        <v>0</v>
      </c>
      <c r="F128" s="91">
        <v>23695.5833333333</v>
      </c>
      <c r="G128" s="109">
        <v>0.0925526173772261</v>
      </c>
      <c r="H128" s="109">
        <v>0.103624929645265</v>
      </c>
      <c r="I128" s="109">
        <v>0.00930033649682212</v>
      </c>
      <c r="J128" s="91">
        <v>3554.3375</v>
      </c>
      <c r="K128" s="118">
        <v>0</v>
      </c>
      <c r="L128" s="89" t="s">
        <v>180</v>
      </c>
      <c r="M128" s="89" t="s">
        <v>180</v>
      </c>
      <c r="N128" s="89">
        <v>554</v>
      </c>
    </row>
    <row r="129" ht="28.8" spans="1:14">
      <c r="A129" s="89" t="s">
        <v>367</v>
      </c>
      <c r="B129" s="89" t="s">
        <v>4568</v>
      </c>
      <c r="C129" s="89" t="s">
        <v>233</v>
      </c>
      <c r="D129" s="89" t="s">
        <v>49</v>
      </c>
      <c r="E129" s="91">
        <v>0</v>
      </c>
      <c r="F129" s="91">
        <v>2703.08333333333</v>
      </c>
      <c r="G129" s="109">
        <v>0.0105579775762188</v>
      </c>
      <c r="H129" s="109">
        <v>0.00628969659499775</v>
      </c>
      <c r="I129" s="109">
        <v>0.00106093967915054</v>
      </c>
      <c r="J129" s="91">
        <v>405.4625</v>
      </c>
      <c r="K129" s="118" t="s">
        <v>6217</v>
      </c>
      <c r="L129" s="89" t="s">
        <v>180</v>
      </c>
      <c r="M129" s="89" t="s">
        <v>180</v>
      </c>
      <c r="N129" s="89">
        <v>373</v>
      </c>
    </row>
    <row r="130" spans="6:11">
      <c r="F130" s="91">
        <v>256022.833333333</v>
      </c>
      <c r="I130" s="109">
        <v>0.0103612761759727</v>
      </c>
      <c r="K130" s="118"/>
    </row>
    <row r="131" spans="5:11">
      <c r="E131" s="91"/>
      <c r="F131" s="109"/>
      <c r="G131" s="109"/>
      <c r="H131" s="109"/>
      <c r="I131" s="109"/>
      <c r="J131" s="109"/>
      <c r="K131" s="95"/>
    </row>
    <row r="132" spans="3:11">
      <c r="C132" s="139"/>
      <c r="E132" s="91"/>
      <c r="F132" s="109"/>
      <c r="G132" s="109"/>
      <c r="H132" s="109"/>
      <c r="I132" s="109"/>
      <c r="J132" s="109"/>
      <c r="K132" s="95"/>
    </row>
    <row r="133" ht="14.4" customHeight="1" spans="1:22">
      <c r="A133" s="96" t="s">
        <v>177</v>
      </c>
      <c r="B133" s="97"/>
      <c r="C133" s="98"/>
      <c r="E133" s="99" t="s">
        <v>2</v>
      </c>
      <c r="F133" s="100"/>
      <c r="G133" s="100"/>
      <c r="H133" s="100"/>
      <c r="I133" s="115"/>
      <c r="J133" s="100"/>
      <c r="L133" s="102"/>
      <c r="M133" s="102"/>
      <c r="O133" s="128"/>
      <c r="P133" s="128"/>
      <c r="Q133" s="128"/>
      <c r="R133" s="132"/>
      <c r="S133" s="116"/>
      <c r="T133" s="128"/>
      <c r="U133" s="128"/>
      <c r="V133" s="132"/>
    </row>
    <row r="134" ht="46.8" spans="1:22">
      <c r="A134" s="101" t="s">
        <v>3944</v>
      </c>
      <c r="B134" s="102" t="s">
        <v>207</v>
      </c>
      <c r="C134" s="101" t="s">
        <v>447</v>
      </c>
      <c r="D134" s="89" t="s">
        <v>209</v>
      </c>
      <c r="E134" s="101" t="s">
        <v>210</v>
      </c>
      <c r="F134" s="103" t="s">
        <v>6086</v>
      </c>
      <c r="G134" s="104" t="s">
        <v>6222</v>
      </c>
      <c r="H134" s="104" t="s">
        <v>6223</v>
      </c>
      <c r="I134" s="117" t="s">
        <v>6196</v>
      </c>
      <c r="J134" s="91" t="s">
        <v>6197</v>
      </c>
      <c r="L134" s="119" t="s">
        <v>6091</v>
      </c>
      <c r="M134" s="119" t="s">
        <v>6092</v>
      </c>
      <c r="N134" s="120" t="s">
        <v>6198</v>
      </c>
      <c r="O134" s="120" t="s">
        <v>226</v>
      </c>
      <c r="P134" s="120" t="s">
        <v>226</v>
      </c>
      <c r="Q134" s="119"/>
      <c r="R134" s="119"/>
      <c r="S134" s="119"/>
      <c r="T134" s="119"/>
      <c r="U134" s="119"/>
      <c r="V134" s="119"/>
    </row>
    <row r="135" spans="1:14">
      <c r="A135" s="89" t="s">
        <v>4573</v>
      </c>
      <c r="B135" s="108" t="s">
        <v>605</v>
      </c>
      <c r="C135" s="89" t="s">
        <v>441</v>
      </c>
      <c r="D135" s="89" t="s">
        <v>234</v>
      </c>
      <c r="E135" s="91">
        <v>0</v>
      </c>
      <c r="F135" s="91">
        <v>40938.5</v>
      </c>
      <c r="G135" s="109"/>
      <c r="H135" s="109"/>
      <c r="I135" s="109" t="s">
        <v>180</v>
      </c>
      <c r="J135" s="91" t="s">
        <v>180</v>
      </c>
      <c r="K135" s="118">
        <v>0</v>
      </c>
      <c r="L135" s="89" t="s">
        <v>180</v>
      </c>
      <c r="M135" s="89" t="s">
        <v>180</v>
      </c>
      <c r="N135" s="89" t="s">
        <v>5419</v>
      </c>
    </row>
    <row r="136" s="88" customFormat="1" ht="14.4" spans="1:16">
      <c r="A136" s="88" t="s">
        <v>227</v>
      </c>
      <c r="B136" s="105" t="s">
        <v>598</v>
      </c>
      <c r="C136" s="88" t="s">
        <v>441</v>
      </c>
      <c r="D136" s="88" t="s">
        <v>234</v>
      </c>
      <c r="E136" s="106">
        <v>0</v>
      </c>
      <c r="F136" s="106">
        <v>68956.75</v>
      </c>
      <c r="G136" s="107">
        <v>0.547007716456419</v>
      </c>
      <c r="H136" s="107">
        <v>0.521869865008216</v>
      </c>
      <c r="I136" s="107" t="s">
        <v>180</v>
      </c>
      <c r="J136" s="106" t="s">
        <v>180</v>
      </c>
      <c r="K136" s="122" t="s">
        <v>6214</v>
      </c>
      <c r="L136" s="88" t="s">
        <v>6159</v>
      </c>
      <c r="M136" s="88" t="s">
        <v>6134</v>
      </c>
      <c r="N136" s="88">
        <v>816</v>
      </c>
      <c r="O136" s="126"/>
      <c r="P136" s="126"/>
    </row>
    <row r="137" ht="14.4" spans="1:16">
      <c r="A137" s="89" t="s">
        <v>230</v>
      </c>
      <c r="B137" s="108" t="s">
        <v>599</v>
      </c>
      <c r="C137" s="89" t="s">
        <v>233</v>
      </c>
      <c r="D137" s="89" t="s">
        <v>58</v>
      </c>
      <c r="E137" s="91">
        <v>0</v>
      </c>
      <c r="F137" s="91">
        <v>27883.3333333333</v>
      </c>
      <c r="G137" s="109">
        <v>0.221187896672332</v>
      </c>
      <c r="H137" s="109">
        <v>0.233495226407638</v>
      </c>
      <c r="I137" s="109">
        <v>0.102165443286882</v>
      </c>
      <c r="J137" s="91">
        <v>8365</v>
      </c>
      <c r="K137" s="118">
        <v>0</v>
      </c>
      <c r="L137" s="89" t="s">
        <v>180</v>
      </c>
      <c r="M137" s="89" t="s">
        <v>180</v>
      </c>
      <c r="N137" s="89">
        <v>113</v>
      </c>
      <c r="O137" s="126"/>
      <c r="P137" s="124"/>
    </row>
    <row r="138" spans="1:14">
      <c r="A138" s="89" t="s">
        <v>230</v>
      </c>
      <c r="B138" s="108" t="s">
        <v>602</v>
      </c>
      <c r="C138" s="89" t="s">
        <v>233</v>
      </c>
      <c r="D138" s="89" t="s">
        <v>420</v>
      </c>
      <c r="E138" s="91">
        <v>0</v>
      </c>
      <c r="F138" s="91">
        <v>8613.5</v>
      </c>
      <c r="G138" s="109">
        <v>0.0683276251519593</v>
      </c>
      <c r="H138" s="109">
        <v>0.0688179898912162</v>
      </c>
      <c r="I138" s="109" t="s">
        <v>180</v>
      </c>
      <c r="J138" s="91" t="s">
        <v>180</v>
      </c>
      <c r="K138" s="118">
        <v>0</v>
      </c>
      <c r="L138" s="89" t="s">
        <v>180</v>
      </c>
      <c r="M138" s="89" t="s">
        <v>180</v>
      </c>
      <c r="N138" s="89">
        <v>80</v>
      </c>
    </row>
    <row r="139" spans="1:14">
      <c r="A139" s="89" t="s">
        <v>230</v>
      </c>
      <c r="B139" s="108" t="s">
        <v>4588</v>
      </c>
      <c r="C139" s="89" t="s">
        <v>233</v>
      </c>
      <c r="D139" s="89" t="s">
        <v>60</v>
      </c>
      <c r="E139" s="91">
        <v>0</v>
      </c>
      <c r="F139" s="91">
        <v>8839.66666666667</v>
      </c>
      <c r="G139" s="109">
        <v>0.0701217194483391</v>
      </c>
      <c r="H139" s="109">
        <v>0.0469780248351603</v>
      </c>
      <c r="I139" s="109">
        <v>0.0323888271431538</v>
      </c>
      <c r="J139" s="91">
        <v>2651.9</v>
      </c>
      <c r="K139" s="118">
        <v>0</v>
      </c>
      <c r="L139" s="89" t="s">
        <v>180</v>
      </c>
      <c r="M139" s="89" t="s">
        <v>180</v>
      </c>
      <c r="N139" s="89">
        <v>113</v>
      </c>
    </row>
    <row r="140" spans="1:15">
      <c r="A140" s="111" t="s">
        <v>468</v>
      </c>
      <c r="B140" s="108" t="s">
        <v>603</v>
      </c>
      <c r="C140" s="89" t="s">
        <v>233</v>
      </c>
      <c r="D140" s="89" t="s">
        <v>58</v>
      </c>
      <c r="E140" s="91">
        <v>0</v>
      </c>
      <c r="F140" s="91">
        <v>11768.5</v>
      </c>
      <c r="G140" s="109">
        <v>0.0933550422709505</v>
      </c>
      <c r="H140" s="109">
        <v>0.12883889385777</v>
      </c>
      <c r="I140" s="109">
        <v>0.0431201680569635</v>
      </c>
      <c r="J140" s="91">
        <v>3530.55</v>
      </c>
      <c r="K140" s="118">
        <v>0</v>
      </c>
      <c r="L140" s="89" t="s">
        <v>180</v>
      </c>
      <c r="M140" s="89" t="s">
        <v>180</v>
      </c>
      <c r="N140" s="89">
        <v>924</v>
      </c>
      <c r="O140" s="126"/>
    </row>
    <row r="141" spans="5:12">
      <c r="E141" s="91"/>
      <c r="F141" s="91">
        <v>126061.75</v>
      </c>
      <c r="I141" s="109">
        <v>0.177674438486999</v>
      </c>
      <c r="K141" s="118"/>
      <c r="L141" s="95"/>
    </row>
    <row r="142" spans="5:12">
      <c r="E142" s="91"/>
      <c r="I142" s="109"/>
      <c r="K142" s="118"/>
      <c r="L142" s="95"/>
    </row>
    <row r="143" ht="14.4" customHeight="1" spans="1:22">
      <c r="A143" s="96" t="s">
        <v>171</v>
      </c>
      <c r="B143" s="97"/>
      <c r="C143" s="98"/>
      <c r="E143" s="99" t="s">
        <v>2</v>
      </c>
      <c r="F143" s="100"/>
      <c r="G143" s="100"/>
      <c r="H143" s="100"/>
      <c r="I143" s="100"/>
      <c r="J143" s="100"/>
      <c r="K143" s="95"/>
      <c r="L143" s="102"/>
      <c r="M143" s="102"/>
      <c r="O143" s="128"/>
      <c r="P143" s="128"/>
      <c r="Q143" s="128"/>
      <c r="R143" s="132"/>
      <c r="S143" s="116"/>
      <c r="T143" s="128"/>
      <c r="U143" s="128"/>
      <c r="V143" s="132"/>
    </row>
    <row r="144" ht="46.8" spans="1:22">
      <c r="A144" s="101" t="s">
        <v>3944</v>
      </c>
      <c r="B144" s="102" t="s">
        <v>207</v>
      </c>
      <c r="C144" s="101" t="s">
        <v>447</v>
      </c>
      <c r="D144" s="89" t="s">
        <v>209</v>
      </c>
      <c r="E144" s="101" t="s">
        <v>210</v>
      </c>
      <c r="F144" s="103" t="s">
        <v>6086</v>
      </c>
      <c r="G144" s="104" t="s">
        <v>6222</v>
      </c>
      <c r="H144" s="104" t="s">
        <v>6223</v>
      </c>
      <c r="K144" s="118" t="s">
        <v>0</v>
      </c>
      <c r="L144" s="119" t="s">
        <v>6091</v>
      </c>
      <c r="M144" s="119" t="s">
        <v>6092</v>
      </c>
      <c r="N144" s="120" t="s">
        <v>6198</v>
      </c>
      <c r="O144" s="119" t="s">
        <v>225</v>
      </c>
      <c r="P144" s="120" t="s">
        <v>226</v>
      </c>
      <c r="Q144" s="119"/>
      <c r="R144" s="119"/>
      <c r="S144" s="119"/>
      <c r="T144" s="119"/>
      <c r="U144" s="119"/>
      <c r="V144" s="119"/>
    </row>
    <row r="145" spans="1:14">
      <c r="A145" s="89" t="s">
        <v>230</v>
      </c>
      <c r="B145" s="108" t="s">
        <v>578</v>
      </c>
      <c r="C145" s="89" t="s">
        <v>233</v>
      </c>
      <c r="D145" s="89" t="s">
        <v>371</v>
      </c>
      <c r="E145" s="91">
        <v>0</v>
      </c>
      <c r="F145" s="91">
        <v>127119.25</v>
      </c>
      <c r="G145" s="109">
        <v>0.391396281836544</v>
      </c>
      <c r="H145" s="109">
        <v>0.397204915703999</v>
      </c>
      <c r="K145" s="118">
        <v>0</v>
      </c>
      <c r="L145" s="89" t="s">
        <v>180</v>
      </c>
      <c r="M145" s="89" t="s">
        <v>180</v>
      </c>
      <c r="N145" s="89">
        <v>558</v>
      </c>
    </row>
    <row r="146" spans="1:14">
      <c r="A146" s="89" t="s">
        <v>230</v>
      </c>
      <c r="B146" s="114" t="s">
        <v>311</v>
      </c>
      <c r="C146" s="89" t="s">
        <v>441</v>
      </c>
      <c r="D146" s="89" t="s">
        <v>420</v>
      </c>
      <c r="E146" s="91">
        <v>0</v>
      </c>
      <c r="F146" s="91">
        <v>60124.75</v>
      </c>
      <c r="G146" s="109">
        <v>0.185122265875166</v>
      </c>
      <c r="H146" s="109">
        <v>0.208406071683728</v>
      </c>
      <c r="K146" s="118">
        <v>0</v>
      </c>
      <c r="L146" s="89" t="s">
        <v>180</v>
      </c>
      <c r="M146" s="89" t="s">
        <v>180</v>
      </c>
      <c r="N146" s="89">
        <v>750</v>
      </c>
    </row>
    <row r="147" spans="1:14">
      <c r="A147" s="89" t="s">
        <v>243</v>
      </c>
      <c r="B147" s="108" t="s">
        <v>314</v>
      </c>
      <c r="C147" s="89" t="s">
        <v>441</v>
      </c>
      <c r="D147" s="89" t="s">
        <v>50</v>
      </c>
      <c r="E147" s="91">
        <v>0</v>
      </c>
      <c r="F147" s="91">
        <v>32072.75</v>
      </c>
      <c r="G147" s="109">
        <v>0.0987510160599044</v>
      </c>
      <c r="H147" s="109">
        <v>0.0742820533664073</v>
      </c>
      <c r="K147" s="118">
        <v>0</v>
      </c>
      <c r="L147" s="89" t="s">
        <v>180</v>
      </c>
      <c r="M147" s="89" t="s">
        <v>180</v>
      </c>
      <c r="N147" s="89">
        <v>482</v>
      </c>
    </row>
    <row r="148" spans="1:14">
      <c r="A148" s="89" t="s">
        <v>230</v>
      </c>
      <c r="B148" s="89" t="s">
        <v>4608</v>
      </c>
      <c r="C148" s="89" t="s">
        <v>233</v>
      </c>
      <c r="D148" s="89" t="s">
        <v>426</v>
      </c>
      <c r="E148" s="91">
        <v>0</v>
      </c>
      <c r="F148" s="91">
        <v>67685.6666666667</v>
      </c>
      <c r="G148" s="109">
        <v>0.208402096983431</v>
      </c>
      <c r="H148" s="109">
        <v>0.215810426621659</v>
      </c>
      <c r="K148" s="118">
        <v>0</v>
      </c>
      <c r="L148" s="89" t="s">
        <v>180</v>
      </c>
      <c r="M148" s="89" t="s">
        <v>180</v>
      </c>
      <c r="N148" s="89">
        <v>241</v>
      </c>
    </row>
    <row r="149" spans="1:14">
      <c r="A149" s="89" t="s">
        <v>243</v>
      </c>
      <c r="B149" s="89" t="s">
        <v>388</v>
      </c>
      <c r="C149" s="89" t="s">
        <v>441</v>
      </c>
      <c r="D149" s="89" t="s">
        <v>49</v>
      </c>
      <c r="E149" s="91">
        <v>0</v>
      </c>
      <c r="F149" s="91">
        <v>23208.1666666667</v>
      </c>
      <c r="G149" s="109">
        <v>0.071457235167578</v>
      </c>
      <c r="H149" s="109">
        <v>0.06668453434444</v>
      </c>
      <c r="K149" s="118">
        <v>0</v>
      </c>
      <c r="L149" s="89" t="s">
        <v>180</v>
      </c>
      <c r="M149" s="89" t="s">
        <v>180</v>
      </c>
      <c r="N149" s="89">
        <v>197</v>
      </c>
    </row>
    <row r="150" spans="1:14">
      <c r="A150" s="89" t="s">
        <v>230</v>
      </c>
      <c r="B150" s="108" t="s">
        <v>581</v>
      </c>
      <c r="C150" s="89">
        <v>0</v>
      </c>
      <c r="D150" s="89">
        <v>0</v>
      </c>
      <c r="E150" s="91">
        <v>0</v>
      </c>
      <c r="F150" s="91">
        <v>12723.4166666667</v>
      </c>
      <c r="G150" s="109">
        <v>0.0391750106737606</v>
      </c>
      <c r="H150" s="109">
        <v>0.0329307203598432</v>
      </c>
      <c r="K150" s="118">
        <v>0</v>
      </c>
      <c r="L150" s="89" t="s">
        <v>180</v>
      </c>
      <c r="N150" s="89">
        <v>33</v>
      </c>
    </row>
    <row r="151" s="88" customFormat="1" ht="14.4" spans="1:16">
      <c r="A151" s="88" t="s">
        <v>227</v>
      </c>
      <c r="B151" s="105" t="s">
        <v>4615</v>
      </c>
      <c r="C151" s="88" t="s">
        <v>233</v>
      </c>
      <c r="D151" s="88" t="s">
        <v>234</v>
      </c>
      <c r="E151" s="106">
        <v>0</v>
      </c>
      <c r="F151" s="106">
        <v>1299.5</v>
      </c>
      <c r="G151" s="107">
        <v>0.00400112074486428</v>
      </c>
      <c r="H151" s="107">
        <v>0.00258705730883262</v>
      </c>
      <c r="I151" s="110"/>
      <c r="J151" s="106"/>
      <c r="K151" s="129" t="s">
        <v>6212</v>
      </c>
      <c r="L151" s="88" t="s">
        <v>6168</v>
      </c>
      <c r="M151" s="88" t="s">
        <v>6102</v>
      </c>
      <c r="N151" s="88">
        <v>10</v>
      </c>
      <c r="O151" s="126"/>
      <c r="P151" s="126"/>
    </row>
    <row r="152" ht="14.4" spans="1:13">
      <c r="A152" s="88" t="s">
        <v>227</v>
      </c>
      <c r="B152" s="105" t="s">
        <v>172</v>
      </c>
      <c r="C152" s="88" t="s">
        <v>441</v>
      </c>
      <c r="E152" s="91"/>
      <c r="F152" s="106">
        <v>550.5</v>
      </c>
      <c r="G152" s="107">
        <v>0.00169497265875166</v>
      </c>
      <c r="H152" s="106">
        <v>0.00209422061109068</v>
      </c>
      <c r="K152" s="124" t="s">
        <v>6218</v>
      </c>
      <c r="L152" s="145" t="s">
        <v>313</v>
      </c>
      <c r="M152" s="146" t="s">
        <v>6113</v>
      </c>
    </row>
    <row r="153" spans="5:12">
      <c r="E153" s="91"/>
      <c r="F153" s="91">
        <v>324784</v>
      </c>
      <c r="I153" s="109"/>
      <c r="K153" s="118"/>
      <c r="L153" s="95"/>
    </row>
    <row r="154" ht="14.4" customHeight="1" spans="1:22">
      <c r="A154" s="96" t="s">
        <v>191</v>
      </c>
      <c r="B154" s="97"/>
      <c r="C154" s="98"/>
      <c r="E154" s="99" t="s">
        <v>2</v>
      </c>
      <c r="F154" s="100"/>
      <c r="G154" s="100"/>
      <c r="H154" s="100"/>
      <c r="I154" s="100"/>
      <c r="J154" s="100"/>
      <c r="K154" s="95"/>
      <c r="L154" s="102"/>
      <c r="M154" s="102"/>
      <c r="O154" s="128"/>
      <c r="P154" s="128"/>
      <c r="Q154" s="128"/>
      <c r="R154" s="132"/>
      <c r="S154" s="116"/>
      <c r="T154" s="128"/>
      <c r="U154" s="128"/>
      <c r="V154" s="132"/>
    </row>
    <row r="155" ht="46.8" spans="1:22">
      <c r="A155" s="101" t="s">
        <v>3944</v>
      </c>
      <c r="B155" s="102" t="s">
        <v>207</v>
      </c>
      <c r="C155" s="101" t="s">
        <v>447</v>
      </c>
      <c r="D155" s="89" t="s">
        <v>209</v>
      </c>
      <c r="E155" s="101" t="s">
        <v>210</v>
      </c>
      <c r="F155" s="103" t="s">
        <v>6086</v>
      </c>
      <c r="G155" s="104" t="s">
        <v>6222</v>
      </c>
      <c r="H155" s="104" t="s">
        <v>6223</v>
      </c>
      <c r="K155" s="118" t="s">
        <v>0</v>
      </c>
      <c r="L155" s="119" t="s">
        <v>6091</v>
      </c>
      <c r="M155" s="119" t="s">
        <v>6092</v>
      </c>
      <c r="N155" s="120" t="s">
        <v>6198</v>
      </c>
      <c r="O155" s="119" t="s">
        <v>225</v>
      </c>
      <c r="P155" s="120" t="s">
        <v>226</v>
      </c>
      <c r="Q155" s="119"/>
      <c r="R155" s="119"/>
      <c r="S155" s="119"/>
      <c r="T155" s="119"/>
      <c r="U155" s="119"/>
      <c r="V155" s="119"/>
    </row>
    <row r="156" spans="1:14">
      <c r="A156" s="89" t="s">
        <v>325</v>
      </c>
      <c r="B156" s="89" t="s">
        <v>606</v>
      </c>
      <c r="C156" s="89" t="s">
        <v>441</v>
      </c>
      <c r="D156" s="89" t="s">
        <v>422</v>
      </c>
      <c r="E156" s="91">
        <v>0</v>
      </c>
      <c r="F156" s="91">
        <v>165146.833333333</v>
      </c>
      <c r="G156" s="109">
        <v>0.889961981216044</v>
      </c>
      <c r="H156" s="109">
        <v>0.779130225820427</v>
      </c>
      <c r="K156" s="118">
        <v>0</v>
      </c>
      <c r="L156" s="89" t="s">
        <v>180</v>
      </c>
      <c r="M156" s="89" t="s">
        <v>180</v>
      </c>
      <c r="N156" s="95">
        <v>1600</v>
      </c>
    </row>
    <row r="157" spans="1:14">
      <c r="A157" s="111" t="s">
        <v>230</v>
      </c>
      <c r="B157" s="89" t="s">
        <v>607</v>
      </c>
      <c r="C157" s="89" t="s">
        <v>233</v>
      </c>
      <c r="D157" s="89" t="s">
        <v>60</v>
      </c>
      <c r="E157" s="91">
        <v>0</v>
      </c>
      <c r="F157" s="91">
        <v>6691.66666666667</v>
      </c>
      <c r="G157" s="109">
        <v>0.0360608120912846</v>
      </c>
      <c r="H157" s="109">
        <v>0.0460515271309434</v>
      </c>
      <c r="K157" s="118">
        <v>0</v>
      </c>
      <c r="L157" s="89" t="s">
        <v>180</v>
      </c>
      <c r="M157" s="89" t="s">
        <v>180</v>
      </c>
      <c r="N157" s="95">
        <v>180</v>
      </c>
    </row>
    <row r="158" spans="1:14">
      <c r="A158" s="89" t="s">
        <v>2624</v>
      </c>
      <c r="B158" s="89" t="s">
        <v>465</v>
      </c>
      <c r="C158" s="89" t="s">
        <v>441</v>
      </c>
      <c r="D158" s="89">
        <v>0</v>
      </c>
      <c r="E158" s="91">
        <v>0</v>
      </c>
      <c r="F158" s="91">
        <v>21050.3333333333</v>
      </c>
      <c r="G158" s="109"/>
      <c r="H158" s="109">
        <v>0.127905678002816</v>
      </c>
      <c r="K158" s="118">
        <v>0</v>
      </c>
      <c r="L158" s="89" t="s">
        <v>180</v>
      </c>
      <c r="M158" s="89" t="s">
        <v>180</v>
      </c>
      <c r="N158" s="95" t="s">
        <v>5419</v>
      </c>
    </row>
    <row r="159" spans="1:14">
      <c r="A159" s="89" t="s">
        <v>325</v>
      </c>
      <c r="B159" s="108" t="s">
        <v>608</v>
      </c>
      <c r="C159" s="89" t="s">
        <v>441</v>
      </c>
      <c r="D159" s="89" t="s">
        <v>49</v>
      </c>
      <c r="E159" s="91">
        <v>0</v>
      </c>
      <c r="F159" s="91">
        <v>13704.3333333333</v>
      </c>
      <c r="G159" s="109">
        <v>0.0738514653802732</v>
      </c>
      <c r="H159" s="109">
        <v>0.0466702317773205</v>
      </c>
      <c r="K159" s="118">
        <v>0</v>
      </c>
      <c r="L159" s="89" t="s">
        <v>180</v>
      </c>
      <c r="M159" s="89" t="s">
        <v>180</v>
      </c>
      <c r="N159" s="95">
        <v>161</v>
      </c>
    </row>
    <row r="160" ht="28.8" spans="2:14">
      <c r="B160" s="108" t="s">
        <v>4618</v>
      </c>
      <c r="C160" s="89">
        <v>0</v>
      </c>
      <c r="D160" s="89">
        <v>0</v>
      </c>
      <c r="E160" s="91">
        <v>0</v>
      </c>
      <c r="F160" s="91">
        <v>23.3333333333333</v>
      </c>
      <c r="G160" s="109">
        <v>0.000125741312398004</v>
      </c>
      <c r="H160" s="109">
        <v>0.000242337268493447</v>
      </c>
      <c r="K160" s="118" t="s">
        <v>6219</v>
      </c>
      <c r="L160" s="89" t="s">
        <v>180</v>
      </c>
      <c r="M160" s="89" t="s">
        <v>180</v>
      </c>
      <c r="N160" s="95">
        <v>89</v>
      </c>
    </row>
    <row r="161" spans="6:6">
      <c r="F161" s="140">
        <v>185566.166666667</v>
      </c>
    </row>
    <row r="162" spans="3:11">
      <c r="C162" s="139"/>
      <c r="E162" s="91"/>
      <c r="F162" s="109"/>
      <c r="G162" s="109"/>
      <c r="H162" s="109"/>
      <c r="I162" s="109"/>
      <c r="J162" s="109"/>
      <c r="K162" s="147"/>
    </row>
    <row r="163" spans="2:11">
      <c r="B163" s="108"/>
      <c r="E163" s="91"/>
      <c r="K163" s="95"/>
    </row>
    <row r="164" ht="14.4" customHeight="1" spans="1:22">
      <c r="A164" s="96" t="s">
        <v>189</v>
      </c>
      <c r="B164" s="97"/>
      <c r="C164" s="98"/>
      <c r="E164" s="99" t="s">
        <v>2</v>
      </c>
      <c r="F164" s="100"/>
      <c r="G164" s="100"/>
      <c r="H164" s="100"/>
      <c r="I164" s="100"/>
      <c r="J164" s="100"/>
      <c r="K164" s="95"/>
      <c r="L164" s="102"/>
      <c r="M164" s="102"/>
      <c r="O164" s="128"/>
      <c r="P164" s="128"/>
      <c r="Q164" s="128"/>
      <c r="R164" s="132"/>
      <c r="S164" s="116"/>
      <c r="T164" s="128"/>
      <c r="U164" s="128"/>
      <c r="V164" s="132"/>
    </row>
    <row r="165" ht="46.8" spans="1:22">
      <c r="A165" s="101" t="s">
        <v>3944</v>
      </c>
      <c r="B165" s="102" t="s">
        <v>207</v>
      </c>
      <c r="C165" s="101" t="s">
        <v>447</v>
      </c>
      <c r="D165" s="89" t="s">
        <v>209</v>
      </c>
      <c r="E165" s="101" t="s">
        <v>210</v>
      </c>
      <c r="F165" s="103" t="s">
        <v>6086</v>
      </c>
      <c r="G165" s="104" t="s">
        <v>6222</v>
      </c>
      <c r="H165" s="104" t="s">
        <v>6223</v>
      </c>
      <c r="K165" s="118" t="s">
        <v>0</v>
      </c>
      <c r="L165" s="119" t="s">
        <v>6091</v>
      </c>
      <c r="M165" s="119" t="s">
        <v>6092</v>
      </c>
      <c r="N165" s="120" t="s">
        <v>6198</v>
      </c>
      <c r="O165" s="119" t="s">
        <v>225</v>
      </c>
      <c r="P165" s="120" t="s">
        <v>226</v>
      </c>
      <c r="Q165" s="119"/>
      <c r="R165" s="119"/>
      <c r="S165" s="119"/>
      <c r="T165" s="119"/>
      <c r="U165" s="119"/>
      <c r="V165" s="119"/>
    </row>
    <row r="166" spans="1:13">
      <c r="A166" s="89" t="s">
        <v>325</v>
      </c>
      <c r="B166" s="89" t="s">
        <v>466</v>
      </c>
      <c r="C166" s="89" t="s">
        <v>467</v>
      </c>
      <c r="D166" s="89" t="s">
        <v>234</v>
      </c>
      <c r="E166" s="91">
        <v>0</v>
      </c>
      <c r="F166" s="91">
        <v>185460.916666667</v>
      </c>
      <c r="K166" s="118"/>
      <c r="L166" s="89" t="s">
        <v>180</v>
      </c>
      <c r="M166" s="89" t="s">
        <v>180</v>
      </c>
    </row>
    <row r="167" spans="1:14">
      <c r="A167" s="89" t="s">
        <v>230</v>
      </c>
      <c r="B167" s="89" t="s">
        <v>609</v>
      </c>
      <c r="C167" s="89" t="s">
        <v>233</v>
      </c>
      <c r="D167" s="89" t="s">
        <v>411</v>
      </c>
      <c r="E167" s="91">
        <v>0</v>
      </c>
      <c r="F167" s="91">
        <v>67708.8333333333</v>
      </c>
      <c r="G167" s="109">
        <v>0.304090008480774</v>
      </c>
      <c r="H167" s="109">
        <v>0.312722187816339</v>
      </c>
      <c r="K167" s="118">
        <v>0</v>
      </c>
      <c r="L167" s="89" t="s">
        <v>180</v>
      </c>
      <c r="M167" s="89" t="s">
        <v>180</v>
      </c>
      <c r="N167" s="89">
        <v>326</v>
      </c>
    </row>
    <row r="168" spans="1:14">
      <c r="A168" s="89" t="s">
        <v>243</v>
      </c>
      <c r="B168" s="89" t="s">
        <v>610</v>
      </c>
      <c r="C168" s="89" t="s">
        <v>454</v>
      </c>
      <c r="D168" s="89" t="s">
        <v>420</v>
      </c>
      <c r="E168" s="91">
        <v>0</v>
      </c>
      <c r="F168" s="91">
        <v>68967.8333333333</v>
      </c>
      <c r="G168" s="109">
        <v>0.309744356692513</v>
      </c>
      <c r="H168" s="109">
        <v>0.328923841384917</v>
      </c>
      <c r="K168" s="118">
        <v>0</v>
      </c>
      <c r="L168" s="89" t="s">
        <v>180</v>
      </c>
      <c r="M168" s="89" t="s">
        <v>180</v>
      </c>
      <c r="N168" s="89">
        <v>1600</v>
      </c>
    </row>
    <row r="169" spans="1:14">
      <c r="A169" s="89" t="s">
        <v>230</v>
      </c>
      <c r="B169" s="89" t="s">
        <v>611</v>
      </c>
      <c r="C169" s="89" t="s">
        <v>233</v>
      </c>
      <c r="D169" s="89" t="s">
        <v>414</v>
      </c>
      <c r="E169" s="91">
        <v>0</v>
      </c>
      <c r="F169" s="91">
        <v>44555</v>
      </c>
      <c r="G169" s="109">
        <v>0.200102847159689</v>
      </c>
      <c r="H169" s="109">
        <v>0.155784178808386</v>
      </c>
      <c r="K169" s="118">
        <v>0</v>
      </c>
      <c r="L169" s="89" t="s">
        <v>180</v>
      </c>
      <c r="M169" s="89" t="s">
        <v>180</v>
      </c>
      <c r="N169" s="89">
        <v>113</v>
      </c>
    </row>
    <row r="170" ht="31.5" customHeight="1" spans="1:14">
      <c r="A170" s="89" t="s">
        <v>230</v>
      </c>
      <c r="B170" s="89" t="s">
        <v>4625</v>
      </c>
      <c r="C170" s="89">
        <v>0</v>
      </c>
      <c r="D170" s="89">
        <v>0</v>
      </c>
      <c r="E170" s="91">
        <v>0</v>
      </c>
      <c r="F170" s="91">
        <v>22605.3333333333</v>
      </c>
      <c r="G170" s="109">
        <v>0.10152376974512</v>
      </c>
      <c r="H170" s="109">
        <v>0.122698616349821</v>
      </c>
      <c r="K170" s="129" t="s">
        <v>6220</v>
      </c>
      <c r="L170" s="89" t="s">
        <v>180</v>
      </c>
      <c r="M170" s="89" t="s">
        <v>180</v>
      </c>
      <c r="N170" s="89">
        <v>37</v>
      </c>
    </row>
    <row r="171" ht="28.8" spans="1:14">
      <c r="A171" s="89" t="s">
        <v>6204</v>
      </c>
      <c r="B171" s="89" t="s">
        <v>4626</v>
      </c>
      <c r="C171" s="89" t="s">
        <v>233</v>
      </c>
      <c r="D171" s="89" t="s">
        <v>49</v>
      </c>
      <c r="E171" s="91">
        <v>0</v>
      </c>
      <c r="F171" s="91">
        <v>6294.16666666667</v>
      </c>
      <c r="G171" s="109">
        <v>0.0282679984400766</v>
      </c>
      <c r="H171" s="109">
        <v>0.0345970763813032</v>
      </c>
      <c r="K171" s="129" t="s">
        <v>6221</v>
      </c>
      <c r="L171" s="89" t="s">
        <v>180</v>
      </c>
      <c r="M171" s="89" t="s">
        <v>180</v>
      </c>
      <c r="N171" s="89">
        <v>574</v>
      </c>
    </row>
    <row r="172" spans="1:14">
      <c r="A172" s="111" t="s">
        <v>468</v>
      </c>
      <c r="B172" s="89" t="s">
        <v>612</v>
      </c>
      <c r="C172" s="89" t="s">
        <v>233</v>
      </c>
      <c r="D172" s="89" t="s">
        <v>49</v>
      </c>
      <c r="E172" s="91">
        <v>0</v>
      </c>
      <c r="F172" s="91">
        <v>11262.6666666667</v>
      </c>
      <c r="G172" s="109">
        <v>0.0505822391787797</v>
      </c>
      <c r="H172" s="109">
        <v>0.0450688768585545</v>
      </c>
      <c r="K172" s="118">
        <v>0</v>
      </c>
      <c r="L172" s="89" t="s">
        <v>180</v>
      </c>
      <c r="M172" s="89" t="s">
        <v>180</v>
      </c>
      <c r="N172" s="89">
        <v>78</v>
      </c>
    </row>
    <row r="173" s="88" customFormat="1" ht="14.4" spans="1:16">
      <c r="A173" s="88" t="s">
        <v>227</v>
      </c>
      <c r="B173" s="141" t="s">
        <v>4627</v>
      </c>
      <c r="C173" s="88" t="s">
        <v>233</v>
      </c>
      <c r="D173" s="88" t="s">
        <v>234</v>
      </c>
      <c r="E173" s="106">
        <v>0</v>
      </c>
      <c r="F173" s="106">
        <v>1266.66666666667</v>
      </c>
      <c r="G173" s="107">
        <v>0.00568878030304732</v>
      </c>
      <c r="H173" s="107">
        <v>0.000205222400679999</v>
      </c>
      <c r="I173" s="110"/>
      <c r="J173" s="106"/>
      <c r="K173" s="122">
        <v>0</v>
      </c>
      <c r="L173" s="88" t="s">
        <v>6230</v>
      </c>
      <c r="M173" s="88" t="s">
        <v>6102</v>
      </c>
      <c r="N173" s="88" t="s">
        <v>6002</v>
      </c>
      <c r="O173" s="126"/>
      <c r="P173" s="126"/>
    </row>
    <row r="174" spans="5:11">
      <c r="E174" s="91"/>
      <c r="F174" s="91">
        <v>222660.5</v>
      </c>
      <c r="K174" s="95"/>
    </row>
    <row r="175" spans="5:9">
      <c r="E175" s="91"/>
      <c r="F175" s="109"/>
      <c r="G175" s="109"/>
      <c r="H175" s="109"/>
      <c r="I175" s="109"/>
    </row>
    <row r="176" spans="5:5">
      <c r="E176" s="91"/>
    </row>
    <row r="177" ht="14.4" customHeight="1" spans="1:22">
      <c r="A177" s="96" t="s">
        <v>185</v>
      </c>
      <c r="B177" s="97"/>
      <c r="C177" s="98"/>
      <c r="E177" s="99" t="s">
        <v>2</v>
      </c>
      <c r="F177" s="100"/>
      <c r="G177" s="100"/>
      <c r="H177" s="100"/>
      <c r="I177" s="115"/>
      <c r="J177" s="100"/>
      <c r="K177" s="95"/>
      <c r="L177" s="102"/>
      <c r="M177" s="102"/>
      <c r="O177" s="128"/>
      <c r="P177" s="128"/>
      <c r="Q177" s="128"/>
      <c r="R177" s="132"/>
      <c r="S177" s="116"/>
      <c r="T177" s="128"/>
      <c r="U177" s="128"/>
      <c r="V177" s="132"/>
    </row>
    <row r="178" ht="46.8" spans="1:22">
      <c r="A178" s="101" t="s">
        <v>3944</v>
      </c>
      <c r="B178" s="102" t="s">
        <v>207</v>
      </c>
      <c r="C178" s="101" t="s">
        <v>447</v>
      </c>
      <c r="D178" s="89" t="s">
        <v>209</v>
      </c>
      <c r="E178" s="101" t="s">
        <v>210</v>
      </c>
      <c r="F178" s="103" t="s">
        <v>6086</v>
      </c>
      <c r="G178" s="104" t="s">
        <v>6222</v>
      </c>
      <c r="H178" s="104" t="s">
        <v>6223</v>
      </c>
      <c r="K178" s="118" t="s">
        <v>0</v>
      </c>
      <c r="L178" s="119" t="s">
        <v>6091</v>
      </c>
      <c r="M178" s="119" t="s">
        <v>6092</v>
      </c>
      <c r="N178" s="120" t="s">
        <v>6198</v>
      </c>
      <c r="O178" s="119" t="s">
        <v>225</v>
      </c>
      <c r="P178" s="120" t="s">
        <v>226</v>
      </c>
      <c r="Q178" s="119"/>
      <c r="R178" s="119"/>
      <c r="S178" s="119"/>
      <c r="T178" s="119"/>
      <c r="U178" s="119"/>
      <c r="V178" s="119"/>
    </row>
    <row r="179" spans="1:14">
      <c r="A179" s="142" t="s">
        <v>243</v>
      </c>
      <c r="B179" s="108" t="s">
        <v>613</v>
      </c>
      <c r="C179" s="89" t="s">
        <v>6169</v>
      </c>
      <c r="D179" s="89" t="s">
        <v>420</v>
      </c>
      <c r="E179" s="91">
        <v>0</v>
      </c>
      <c r="F179" s="91">
        <v>63341.9166666667</v>
      </c>
      <c r="G179" s="109">
        <v>0.326106057628861</v>
      </c>
      <c r="H179" s="109">
        <v>0.323035344256114</v>
      </c>
      <c r="K179" s="118">
        <v>0</v>
      </c>
      <c r="L179" s="89" t="s">
        <v>180</v>
      </c>
      <c r="M179" s="89" t="s">
        <v>180</v>
      </c>
      <c r="N179" s="89">
        <v>823</v>
      </c>
    </row>
    <row r="180" spans="1:15">
      <c r="A180" s="89" t="s">
        <v>230</v>
      </c>
      <c r="B180" s="108" t="s">
        <v>614</v>
      </c>
      <c r="C180" s="89" t="s">
        <v>233</v>
      </c>
      <c r="D180" s="89" t="s">
        <v>59</v>
      </c>
      <c r="E180" s="91">
        <v>0</v>
      </c>
      <c r="F180" s="91">
        <v>69950.25</v>
      </c>
      <c r="G180" s="109">
        <v>0.360128039347087</v>
      </c>
      <c r="H180" s="109">
        <v>0.380428618447993</v>
      </c>
      <c r="K180" s="118">
        <v>0</v>
      </c>
      <c r="L180" s="89" t="s">
        <v>180</v>
      </c>
      <c r="M180" s="89" t="s">
        <v>180</v>
      </c>
      <c r="N180" s="89">
        <v>218</v>
      </c>
      <c r="O180" s="126"/>
    </row>
    <row r="181" spans="2:14">
      <c r="B181" s="91" t="s">
        <v>615</v>
      </c>
      <c r="C181" s="89" t="s">
        <v>233</v>
      </c>
      <c r="D181" s="89" t="s">
        <v>417</v>
      </c>
      <c r="E181" s="91">
        <v>0</v>
      </c>
      <c r="F181" s="91">
        <v>23053.8333333333</v>
      </c>
      <c r="G181" s="109">
        <v>0.118689094002778</v>
      </c>
      <c r="H181" s="109">
        <v>0.143999295370927</v>
      </c>
      <c r="K181" s="118">
        <v>0</v>
      </c>
      <c r="L181" s="89" t="s">
        <v>180</v>
      </c>
      <c r="M181" s="89" t="s">
        <v>180</v>
      </c>
      <c r="N181" s="89">
        <v>749</v>
      </c>
    </row>
    <row r="182" ht="14.4" spans="2:14">
      <c r="B182" s="143" t="s">
        <v>616</v>
      </c>
      <c r="C182" s="89" t="s">
        <v>470</v>
      </c>
      <c r="D182" s="89">
        <v>0</v>
      </c>
      <c r="E182" s="91">
        <v>0</v>
      </c>
      <c r="F182" s="91">
        <v>19734.6666666667</v>
      </c>
      <c r="G182" s="109"/>
      <c r="H182" s="109"/>
      <c r="K182" s="118" t="s">
        <v>1133</v>
      </c>
      <c r="L182" s="89" t="s">
        <v>180</v>
      </c>
      <c r="M182" s="89" t="s">
        <v>180</v>
      </c>
      <c r="N182" s="89">
        <v>202</v>
      </c>
    </row>
    <row r="183" ht="15.15" spans="1:15">
      <c r="A183" s="89" t="s">
        <v>446</v>
      </c>
      <c r="B183" s="144" t="s">
        <v>617</v>
      </c>
      <c r="C183" s="89" t="s">
        <v>233</v>
      </c>
      <c r="D183" s="89" t="s">
        <v>50</v>
      </c>
      <c r="E183" s="91">
        <v>0</v>
      </c>
      <c r="F183" s="91">
        <v>35882.8333333333</v>
      </c>
      <c r="G183" s="109">
        <v>0.1847372155861</v>
      </c>
      <c r="H183" s="109">
        <v>0.149233020525412</v>
      </c>
      <c r="K183" s="118">
        <v>0</v>
      </c>
      <c r="L183" s="89" t="s">
        <v>180</v>
      </c>
      <c r="M183" s="89" t="s">
        <v>180</v>
      </c>
      <c r="N183" s="89">
        <v>96</v>
      </c>
      <c r="O183" s="126" t="s">
        <v>4635</v>
      </c>
    </row>
    <row r="184" s="88" customFormat="1" spans="1:16">
      <c r="A184" s="88" t="s">
        <v>227</v>
      </c>
      <c r="B184" s="105" t="s">
        <v>4636</v>
      </c>
      <c r="C184" s="88" t="s">
        <v>233</v>
      </c>
      <c r="D184" s="88" t="s">
        <v>234</v>
      </c>
      <c r="E184" s="106">
        <v>0</v>
      </c>
      <c r="F184" s="106">
        <v>2008.33333333333</v>
      </c>
      <c r="G184" s="107">
        <v>0.0103395934351733</v>
      </c>
      <c r="H184" s="107">
        <v>0.00330372139955404</v>
      </c>
      <c r="I184" s="110"/>
      <c r="J184" s="106"/>
      <c r="K184" s="122">
        <v>0</v>
      </c>
      <c r="L184" s="148" t="s">
        <v>6205</v>
      </c>
      <c r="M184" s="123" t="s">
        <v>6102</v>
      </c>
      <c r="N184" s="88" t="s">
        <v>6028</v>
      </c>
      <c r="O184" s="126"/>
      <c r="P184" s="126"/>
    </row>
    <row r="185" spans="5:11">
      <c r="E185" s="91"/>
      <c r="F185" s="91">
        <v>194237.166666667</v>
      </c>
      <c r="K185" s="118"/>
    </row>
    <row r="186" spans="1:11">
      <c r="A186" s="101"/>
      <c r="C186" s="101"/>
      <c r="E186" s="91"/>
      <c r="K186" s="95"/>
    </row>
    <row r="187" ht="14.4" customHeight="1" spans="1:22">
      <c r="A187" s="96" t="s">
        <v>195</v>
      </c>
      <c r="B187" s="97"/>
      <c r="C187" s="98"/>
      <c r="E187" s="99" t="s">
        <v>2</v>
      </c>
      <c r="F187" s="100"/>
      <c r="G187" s="100"/>
      <c r="H187" s="100"/>
      <c r="I187" s="115"/>
      <c r="J187" s="100"/>
      <c r="K187" s="95"/>
      <c r="L187" s="102"/>
      <c r="M187" s="102"/>
      <c r="O187" s="128"/>
      <c r="P187" s="128"/>
      <c r="Q187" s="128"/>
      <c r="R187" s="132"/>
      <c r="S187" s="116"/>
      <c r="T187" s="128"/>
      <c r="U187" s="128"/>
      <c r="V187" s="132"/>
    </row>
    <row r="188" ht="46.8" spans="1:22">
      <c r="A188" s="101" t="s">
        <v>3944</v>
      </c>
      <c r="B188" s="102" t="s">
        <v>207</v>
      </c>
      <c r="C188" s="101" t="s">
        <v>447</v>
      </c>
      <c r="D188" s="89" t="s">
        <v>209</v>
      </c>
      <c r="E188" s="101" t="s">
        <v>210</v>
      </c>
      <c r="F188" s="103" t="s">
        <v>6086</v>
      </c>
      <c r="G188" s="104" t="s">
        <v>6222</v>
      </c>
      <c r="H188" s="104" t="s">
        <v>6223</v>
      </c>
      <c r="K188" s="118" t="s">
        <v>0</v>
      </c>
      <c r="L188" s="119" t="s">
        <v>6091</v>
      </c>
      <c r="M188" s="119" t="s">
        <v>6092</v>
      </c>
      <c r="N188" s="120" t="s">
        <v>6198</v>
      </c>
      <c r="O188" s="119" t="s">
        <v>225</v>
      </c>
      <c r="P188" s="120" t="s">
        <v>226</v>
      </c>
      <c r="Q188" s="119"/>
      <c r="R188" s="119"/>
      <c r="S188" s="119"/>
      <c r="T188" s="119"/>
      <c r="U188" s="119"/>
      <c r="V188" s="119"/>
    </row>
    <row r="189" spans="1:14">
      <c r="A189" s="89" t="s">
        <v>230</v>
      </c>
      <c r="B189" s="89" t="s">
        <v>618</v>
      </c>
      <c r="C189" s="89" t="s">
        <v>233</v>
      </c>
      <c r="D189" s="89" t="s">
        <v>266</v>
      </c>
      <c r="E189" s="91">
        <v>0</v>
      </c>
      <c r="F189" s="91">
        <v>106058.416666667</v>
      </c>
      <c r="G189" s="109">
        <v>0.865550413324311</v>
      </c>
      <c r="H189" s="109">
        <v>0.826432398631665</v>
      </c>
      <c r="K189" s="118">
        <v>0</v>
      </c>
      <c r="L189" s="89" t="s">
        <v>180</v>
      </c>
      <c r="M189" s="89" t="s">
        <v>180</v>
      </c>
      <c r="N189" s="89">
        <v>315</v>
      </c>
    </row>
    <row r="190" spans="1:14">
      <c r="A190" s="89" t="s">
        <v>446</v>
      </c>
      <c r="B190" s="89" t="s">
        <v>619</v>
      </c>
      <c r="C190" s="89" t="s">
        <v>233</v>
      </c>
      <c r="D190" s="89" t="s">
        <v>60</v>
      </c>
      <c r="E190" s="91">
        <v>0</v>
      </c>
      <c r="F190" s="91">
        <v>6911.83333333333</v>
      </c>
      <c r="G190" s="109">
        <v>0.0564079720075218</v>
      </c>
      <c r="H190" s="109">
        <v>0.0759322494554045</v>
      </c>
      <c r="K190" s="118">
        <v>0</v>
      </c>
      <c r="L190" s="89" t="s">
        <v>180</v>
      </c>
      <c r="M190" s="89" t="s">
        <v>180</v>
      </c>
      <c r="N190" s="89">
        <v>647</v>
      </c>
    </row>
    <row r="191" spans="1:14">
      <c r="A191" s="89" t="s">
        <v>446</v>
      </c>
      <c r="B191" s="89" t="s">
        <v>620</v>
      </c>
      <c r="C191" s="89">
        <v>0</v>
      </c>
      <c r="D191" s="89">
        <v>0</v>
      </c>
      <c r="E191" s="91">
        <v>0</v>
      </c>
      <c r="F191" s="91">
        <v>9562.66666666667</v>
      </c>
      <c r="G191" s="109">
        <v>0.0780416146681674</v>
      </c>
      <c r="H191" s="109">
        <v>0.0976353519129301</v>
      </c>
      <c r="K191" s="118">
        <v>0</v>
      </c>
      <c r="L191" s="89" t="s">
        <v>180</v>
      </c>
      <c r="M191" s="89" t="s">
        <v>180</v>
      </c>
      <c r="N191" s="89">
        <v>127</v>
      </c>
    </row>
    <row r="192" spans="5:11">
      <c r="E192" s="91"/>
      <c r="F192" s="91">
        <v>122532.916666667</v>
      </c>
      <c r="K192" s="95"/>
    </row>
    <row r="193" spans="1:11">
      <c r="A193" s="101"/>
      <c r="C193" s="101"/>
      <c r="E193" s="91"/>
      <c r="K193" s="95"/>
    </row>
    <row r="194" ht="14.4" customHeight="1" spans="1:22">
      <c r="A194" s="96" t="s">
        <v>187</v>
      </c>
      <c r="B194" s="97"/>
      <c r="C194" s="98"/>
      <c r="E194" s="99" t="s">
        <v>2</v>
      </c>
      <c r="F194" s="100"/>
      <c r="G194" s="100"/>
      <c r="H194" s="100"/>
      <c r="I194" s="100"/>
      <c r="J194" s="100"/>
      <c r="K194" s="95"/>
      <c r="L194" s="102"/>
      <c r="M194" s="102"/>
      <c r="O194" s="128"/>
      <c r="P194" s="128"/>
      <c r="Q194" s="128"/>
      <c r="R194" s="132"/>
      <c r="S194" s="116"/>
      <c r="T194" s="128"/>
      <c r="U194" s="128"/>
      <c r="V194" s="132"/>
    </row>
    <row r="195" ht="46.8" spans="1:22">
      <c r="A195" s="101" t="s">
        <v>3944</v>
      </c>
      <c r="B195" s="102" t="s">
        <v>207</v>
      </c>
      <c r="C195" s="101" t="s">
        <v>447</v>
      </c>
      <c r="D195" s="89" t="s">
        <v>209</v>
      </c>
      <c r="E195" s="101" t="s">
        <v>210</v>
      </c>
      <c r="F195" s="103" t="s">
        <v>6086</v>
      </c>
      <c r="G195" s="104" t="s">
        <v>6222</v>
      </c>
      <c r="H195" s="104" t="s">
        <v>6223</v>
      </c>
      <c r="K195" s="118" t="s">
        <v>0</v>
      </c>
      <c r="L195" s="119" t="s">
        <v>6091</v>
      </c>
      <c r="M195" s="119" t="s">
        <v>6092</v>
      </c>
      <c r="N195" s="120" t="s">
        <v>6198</v>
      </c>
      <c r="O195" s="119" t="s">
        <v>225</v>
      </c>
      <c r="P195" s="120" t="s">
        <v>226</v>
      </c>
      <c r="Q195" s="119"/>
      <c r="R195" s="119"/>
      <c r="S195" s="119"/>
      <c r="T195" s="119"/>
      <c r="U195" s="119"/>
      <c r="V195" s="119"/>
    </row>
    <row r="196" spans="1:14">
      <c r="A196" s="89" t="s">
        <v>230</v>
      </c>
      <c r="B196" s="108" t="s">
        <v>621</v>
      </c>
      <c r="C196" s="89" t="s">
        <v>233</v>
      </c>
      <c r="D196" s="89" t="s">
        <v>422</v>
      </c>
      <c r="E196" s="91">
        <v>0</v>
      </c>
      <c r="F196" s="91">
        <v>45499.3333333333</v>
      </c>
      <c r="G196" s="109">
        <v>0.323645367209502</v>
      </c>
      <c r="H196" s="109">
        <v>0.317543373551002</v>
      </c>
      <c r="K196" s="118">
        <v>0</v>
      </c>
      <c r="L196" s="89" t="s">
        <v>180</v>
      </c>
      <c r="M196" s="89" t="s">
        <v>180</v>
      </c>
      <c r="N196" s="89">
        <v>122</v>
      </c>
    </row>
    <row r="197" spans="1:14">
      <c r="A197" s="89" t="s">
        <v>230</v>
      </c>
      <c r="B197" s="108" t="s">
        <v>622</v>
      </c>
      <c r="C197" s="89" t="s">
        <v>233</v>
      </c>
      <c r="D197" s="89" t="s">
        <v>420</v>
      </c>
      <c r="E197" s="91">
        <v>0</v>
      </c>
      <c r="F197" s="91">
        <v>22102.25</v>
      </c>
      <c r="G197" s="109">
        <v>0.15721748635305</v>
      </c>
      <c r="H197" s="109">
        <v>0.144070442167446</v>
      </c>
      <c r="K197" s="118">
        <v>0</v>
      </c>
      <c r="L197" s="89" t="s">
        <v>180</v>
      </c>
      <c r="M197" s="89" t="s">
        <v>180</v>
      </c>
      <c r="N197" s="89">
        <v>138</v>
      </c>
    </row>
    <row r="198" spans="1:14">
      <c r="A198" s="89" t="s">
        <v>230</v>
      </c>
      <c r="B198" s="114" t="s">
        <v>623</v>
      </c>
      <c r="C198" s="89" t="s">
        <v>233</v>
      </c>
      <c r="D198" s="89" t="s">
        <v>6171</v>
      </c>
      <c r="E198" s="91">
        <v>0</v>
      </c>
      <c r="F198" s="91">
        <v>49647.75</v>
      </c>
      <c r="G198" s="109">
        <v>0.353153839907007</v>
      </c>
      <c r="H198" s="109">
        <v>0.279465376411106</v>
      </c>
      <c r="K198" s="118">
        <v>0</v>
      </c>
      <c r="L198" s="89" t="s">
        <v>180</v>
      </c>
      <c r="M198" s="89" t="s">
        <v>180</v>
      </c>
      <c r="N198" s="89">
        <v>151</v>
      </c>
    </row>
    <row r="199" spans="1:14">
      <c r="A199" s="89" t="s">
        <v>230</v>
      </c>
      <c r="B199" s="108" t="s">
        <v>624</v>
      </c>
      <c r="C199" s="89" t="s">
        <v>233</v>
      </c>
      <c r="D199" s="89" t="s">
        <v>420</v>
      </c>
      <c r="E199" s="91">
        <v>0</v>
      </c>
      <c r="F199" s="91">
        <v>21821.75</v>
      </c>
      <c r="G199" s="109">
        <v>0.155222236777915</v>
      </c>
      <c r="H199" s="109">
        <v>0.226879981450272</v>
      </c>
      <c r="K199" s="118">
        <v>0</v>
      </c>
      <c r="L199" s="89" t="s">
        <v>180</v>
      </c>
      <c r="M199" s="89" t="s">
        <v>180</v>
      </c>
      <c r="N199" s="89">
        <v>177</v>
      </c>
    </row>
    <row r="200" s="88" customFormat="1" ht="15.6" spans="1:16">
      <c r="A200" s="149" t="s">
        <v>227</v>
      </c>
      <c r="B200" s="150" t="s">
        <v>4649</v>
      </c>
      <c r="C200" s="88" t="s">
        <v>6206</v>
      </c>
      <c r="E200" s="106">
        <v>0</v>
      </c>
      <c r="F200" s="106">
        <v>1296.66666666667</v>
      </c>
      <c r="G200" s="107">
        <v>0.0092234353502979</v>
      </c>
      <c r="H200" s="107">
        <v>0.0314526383637948</v>
      </c>
      <c r="I200" s="110"/>
      <c r="J200" s="106"/>
      <c r="K200" s="122"/>
      <c r="L200" s="88" t="s">
        <v>6231</v>
      </c>
      <c r="M200" s="88" t="s">
        <v>6102</v>
      </c>
      <c r="N200" s="88" t="s">
        <v>6054</v>
      </c>
      <c r="O200" s="126"/>
      <c r="P200" s="126"/>
    </row>
    <row r="201" spans="1:14">
      <c r="A201" s="89" t="s">
        <v>446</v>
      </c>
      <c r="B201" s="89" t="s">
        <v>4650</v>
      </c>
      <c r="C201" s="89">
        <v>0</v>
      </c>
      <c r="D201" s="89">
        <v>0</v>
      </c>
      <c r="E201" s="91">
        <v>0</v>
      </c>
      <c r="F201" s="91">
        <v>216.166666666667</v>
      </c>
      <c r="G201" s="109">
        <v>0.00153763440222833</v>
      </c>
      <c r="H201" s="109">
        <v>0.000588188056378836</v>
      </c>
      <c r="K201" s="118"/>
      <c r="L201" s="89" t="s">
        <v>180</v>
      </c>
      <c r="M201" s="89" t="s">
        <v>180</v>
      </c>
      <c r="N201" s="89">
        <v>8</v>
      </c>
    </row>
    <row r="202" spans="5:11">
      <c r="E202" s="91"/>
      <c r="F202" s="91">
        <v>140583.916666667</v>
      </c>
      <c r="K202" s="95"/>
    </row>
    <row r="203" spans="1:11">
      <c r="A203" s="101"/>
      <c r="C203" s="101"/>
      <c r="E203" s="91"/>
      <c r="K203" s="95"/>
    </row>
    <row r="205" ht="14.4" customHeight="1" spans="1:22">
      <c r="A205" s="96" t="s">
        <v>193</v>
      </c>
      <c r="B205" s="97"/>
      <c r="C205" s="98"/>
      <c r="E205" s="99" t="s">
        <v>2</v>
      </c>
      <c r="F205" s="100"/>
      <c r="G205" s="100"/>
      <c r="H205" s="100"/>
      <c r="I205" s="100"/>
      <c r="J205" s="100"/>
      <c r="K205" s="95"/>
      <c r="L205" s="102"/>
      <c r="M205" s="102"/>
      <c r="O205" s="128"/>
      <c r="P205" s="128"/>
      <c r="Q205" s="128"/>
      <c r="R205" s="132"/>
      <c r="S205" s="116"/>
      <c r="T205" s="128"/>
      <c r="U205" s="128"/>
      <c r="V205" s="132"/>
    </row>
    <row r="206" ht="46.8" spans="1:22">
      <c r="A206" s="101" t="s">
        <v>3944</v>
      </c>
      <c r="B206" s="102" t="s">
        <v>207</v>
      </c>
      <c r="C206" s="101" t="s">
        <v>447</v>
      </c>
      <c r="D206" s="89" t="s">
        <v>209</v>
      </c>
      <c r="E206" s="101" t="s">
        <v>210</v>
      </c>
      <c r="F206" s="103" t="s">
        <v>6086</v>
      </c>
      <c r="G206" s="104" t="s">
        <v>6222</v>
      </c>
      <c r="H206" s="104" t="s">
        <v>6223</v>
      </c>
      <c r="K206" s="118" t="s">
        <v>0</v>
      </c>
      <c r="L206" s="119" t="s">
        <v>6091</v>
      </c>
      <c r="M206" s="119" t="s">
        <v>6092</v>
      </c>
      <c r="N206" s="120" t="s">
        <v>6198</v>
      </c>
      <c r="O206" s="119" t="s">
        <v>225</v>
      </c>
      <c r="P206" s="120" t="s">
        <v>226</v>
      </c>
      <c r="Q206" s="119"/>
      <c r="R206" s="119"/>
      <c r="S206" s="119"/>
      <c r="T206" s="119"/>
      <c r="U206" s="119"/>
      <c r="V206" s="119"/>
    </row>
    <row r="207" ht="14.4" spans="1:14">
      <c r="A207" s="89" t="s">
        <v>801</v>
      </c>
      <c r="B207" s="108" t="s">
        <v>476</v>
      </c>
      <c r="C207" s="89" t="s">
        <v>233</v>
      </c>
      <c r="D207" s="89" t="s">
        <v>234</v>
      </c>
      <c r="E207" s="91">
        <v>81390</v>
      </c>
      <c r="F207" s="91">
        <v>125203.916666667</v>
      </c>
      <c r="K207" s="118" t="s">
        <v>672</v>
      </c>
      <c r="L207" s="89" t="s">
        <v>180</v>
      </c>
      <c r="M207" s="89" t="s">
        <v>180</v>
      </c>
      <c r="N207" s="89" t="s">
        <v>5419</v>
      </c>
    </row>
    <row r="208" spans="1:15">
      <c r="A208" s="89" t="s">
        <v>230</v>
      </c>
      <c r="B208" s="89" t="s">
        <v>625</v>
      </c>
      <c r="C208" s="89" t="s">
        <v>233</v>
      </c>
      <c r="D208" s="89" t="s">
        <v>52</v>
      </c>
      <c r="E208" s="91">
        <v>0</v>
      </c>
      <c r="F208" s="91">
        <v>79372.8333333333</v>
      </c>
      <c r="G208" s="109">
        <v>0.628346489937606</v>
      </c>
      <c r="H208" s="109">
        <v>0.719494518160384</v>
      </c>
      <c r="K208" s="118">
        <v>0</v>
      </c>
      <c r="L208" s="89" t="s">
        <v>180</v>
      </c>
      <c r="M208" s="89" t="s">
        <v>180</v>
      </c>
      <c r="N208" s="89">
        <v>118</v>
      </c>
      <c r="O208" s="126"/>
    </row>
    <row r="209" ht="14.4" spans="1:14">
      <c r="A209" s="89" t="s">
        <v>367</v>
      </c>
      <c r="B209" s="108" t="s">
        <v>626</v>
      </c>
      <c r="C209" s="89" t="s">
        <v>233</v>
      </c>
      <c r="D209" s="89" t="s">
        <v>49</v>
      </c>
      <c r="E209" s="151"/>
      <c r="F209" s="91">
        <v>26106.9166666667</v>
      </c>
      <c r="G209" s="109">
        <v>0.206672595164931</v>
      </c>
      <c r="H209" s="109">
        <v>0.176283313909109</v>
      </c>
      <c r="K209" s="129" t="s">
        <v>6215</v>
      </c>
      <c r="L209" s="89" t="s">
        <v>180</v>
      </c>
      <c r="M209" s="89" t="s">
        <v>180</v>
      </c>
      <c r="N209" s="89">
        <v>481</v>
      </c>
    </row>
    <row r="210" ht="14.4" spans="1:15">
      <c r="A210" s="89" t="s">
        <v>230</v>
      </c>
      <c r="B210" s="89" t="s">
        <v>373</v>
      </c>
      <c r="C210" s="89" t="s">
        <v>477</v>
      </c>
      <c r="D210" s="89" t="s">
        <v>250</v>
      </c>
      <c r="E210" s="91">
        <v>3939</v>
      </c>
      <c r="F210" s="91">
        <v>20014.75</v>
      </c>
      <c r="G210" s="109">
        <v>0.158444613620681</v>
      </c>
      <c r="H210" s="109">
        <v>0.082256233773369</v>
      </c>
      <c r="K210" s="118">
        <v>0</v>
      </c>
      <c r="L210" s="89" t="s">
        <v>180</v>
      </c>
      <c r="M210" s="89" t="s">
        <v>180</v>
      </c>
      <c r="N210" s="89">
        <v>78</v>
      </c>
      <c r="O210" s="126" t="s">
        <v>4660</v>
      </c>
    </row>
    <row r="211" s="88" customFormat="1" spans="1:16">
      <c r="A211" s="88" t="s">
        <v>227</v>
      </c>
      <c r="B211" s="88" t="s">
        <v>4662</v>
      </c>
      <c r="C211" s="88" t="s">
        <v>233</v>
      </c>
      <c r="D211" s="88" t="s">
        <v>234</v>
      </c>
      <c r="E211" s="106">
        <v>0</v>
      </c>
      <c r="F211" s="106">
        <v>825.666666666667</v>
      </c>
      <c r="G211" s="107">
        <v>0.00653630127678215</v>
      </c>
      <c r="H211" s="107">
        <v>0.0219659341571387</v>
      </c>
      <c r="I211" s="110"/>
      <c r="J211" s="106"/>
      <c r="K211" s="122">
        <v>0</v>
      </c>
      <c r="L211" s="88" t="s">
        <v>6232</v>
      </c>
      <c r="M211" s="88" t="s">
        <v>6102</v>
      </c>
      <c r="N211" s="153" t="s">
        <v>6080</v>
      </c>
      <c r="O211" s="126"/>
      <c r="P211" s="126"/>
    </row>
    <row r="212" spans="6:6">
      <c r="F212" s="140">
        <v>126320.166666667</v>
      </c>
    </row>
    <row r="213" spans="6:6">
      <c r="F213" s="140"/>
    </row>
    <row r="214" spans="5:11">
      <c r="E214" s="91"/>
      <c r="K214" s="95"/>
    </row>
    <row r="225" spans="2:2">
      <c r="B225" s="108"/>
    </row>
  </sheetData>
  <mergeCells count="38">
    <mergeCell ref="P1:R1"/>
    <mergeCell ref="S1:V1"/>
    <mergeCell ref="P14:R14"/>
    <mergeCell ref="S14:V14"/>
    <mergeCell ref="P26:R26"/>
    <mergeCell ref="S26:V26"/>
    <mergeCell ref="P40:R40"/>
    <mergeCell ref="S40:V40"/>
    <mergeCell ref="P50:R50"/>
    <mergeCell ref="S50:V50"/>
    <mergeCell ref="P66:R66"/>
    <mergeCell ref="S66:V66"/>
    <mergeCell ref="P79:R79"/>
    <mergeCell ref="S79:V79"/>
    <mergeCell ref="P90:R90"/>
    <mergeCell ref="S90:V90"/>
    <mergeCell ref="P105:R105"/>
    <mergeCell ref="S105:V105"/>
    <mergeCell ref="P116:R116"/>
    <mergeCell ref="S116:V116"/>
    <mergeCell ref="P124:R124"/>
    <mergeCell ref="S124:V124"/>
    <mergeCell ref="P133:R133"/>
    <mergeCell ref="S133:V133"/>
    <mergeCell ref="P143:R143"/>
    <mergeCell ref="S143:V143"/>
    <mergeCell ref="P154:R154"/>
    <mergeCell ref="S154:V154"/>
    <mergeCell ref="P164:R164"/>
    <mergeCell ref="S164:V164"/>
    <mergeCell ref="P177:R177"/>
    <mergeCell ref="S177:V177"/>
    <mergeCell ref="P187:R187"/>
    <mergeCell ref="S187:V187"/>
    <mergeCell ref="P194:R194"/>
    <mergeCell ref="S194:V194"/>
    <mergeCell ref="P205:R205"/>
    <mergeCell ref="S205:V205"/>
  </mergeCells>
  <conditionalFormatting sqref="B9:B10">
    <cfRule type="duplicateValues" dxfId="0" priority="2"/>
  </conditionalFormatting>
  <conditionalFormatting sqref="B28:B33">
    <cfRule type="duplicateValues" dxfId="0" priority="1"/>
  </conditionalFormatting>
  <hyperlinks>
    <hyperlink ref="B59" r:id="rId1" display="www.bluespringsfordparts.com"/>
    <hyperlink ref="B55" r:id="rId2" display="accessories.ford.com"/>
    <hyperlink ref="B184" r:id="rId3" display="www.mazdapartsprime.com"/>
    <hyperlink ref="B160" r:id="rId4" display="www.erievolvo.com"/>
    <hyperlink ref="B158" r:id="rId5" display="usparts.volvocars.com"/>
    <hyperlink ref="B180" r:id="rId6" display="www.realmazdaparts.com"/>
    <hyperlink ref="B173" r:id="rId7" display="www.vwpartsprime.com"/>
    <hyperlink ref="B112" r:id="rId8" display="acura.bernardiparts.com"/>
    <hyperlink ref="B87" r:id="rId9" display="www.hyundaionlineparts.net"/>
    <hyperlink ref="B70" r:id="rId10" display="www.courtesyparts.com"/>
    <hyperlink ref="B10" r:id="rId11" display="www.gmpartsdirect.co"/>
    <hyperlink ref="B94" r:id="rId12" display="www.subaruonlineparts.com"/>
    <hyperlink ref="B140" r:id="rId13" display="www.infinitipartsusa.com"/>
    <hyperlink ref="B137" r:id="rId14" display="www.infinitipartsonline.com"/>
    <hyperlink ref="B110" r:id="rId15" display="www.oemacuraparts.com"/>
    <hyperlink ref="B128" r:id="rId16" display="www.kiapartsdepartment.com"/>
    <hyperlink ref="B60" r:id="rId1" display="www.villagefordparts.com"/>
    <hyperlink ref="B113" r:id="rId17" display="www.acuraautomotiveparts.org"/>
    <hyperlink ref="B172" r:id="rId18" display="www.vwdiscountparts.com"/>
    <hyperlink ref="B82" r:id="rId19" display="www.hyundaioemparts.com"/>
    <hyperlink ref="B83" r:id="rId20" display="www.wholesalehyundaiparts.com"/>
  </hyperlinks>
  <pageMargins left="0.7" right="0.7" top="0.75" bottom="0.75" header="0.3" footer="0.3"/>
  <pageSetup paperSize="9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14"/>
  <sheetViews>
    <sheetView workbookViewId="0">
      <selection activeCell="A1" sqref="A1"/>
    </sheetView>
  </sheetViews>
  <sheetFormatPr defaultColWidth="9" defaultRowHeight="13.8"/>
  <cols>
    <col min="1" max="1" width="19.1111111111111" style="89" customWidth="1"/>
    <col min="2" max="2" width="28.3333333333333" style="89" customWidth="1"/>
    <col min="3" max="3" width="27.7777777777778" style="90" customWidth="1"/>
    <col min="4" max="4" width="8.22222222222222" style="89" customWidth="1"/>
    <col min="5" max="5" width="19.8888888888889" style="89" customWidth="1"/>
    <col min="6" max="6" width="21.4444444444444" style="91" customWidth="1"/>
    <col min="7" max="7" width="21.3333333333333" style="91" customWidth="1"/>
    <col min="8" max="8" width="18.7777777777778" style="91" customWidth="1"/>
    <col min="9" max="9" width="8.66666666666667" style="92" hidden="1" customWidth="1"/>
    <col min="10" max="10" width="9.33333333333333" style="93" hidden="1" customWidth="1"/>
    <col min="11" max="11" width="17.4444444444444" style="94" customWidth="1"/>
    <col min="12" max="12" width="17.7777777777778" style="89" customWidth="1"/>
    <col min="13" max="13" width="17.1111111111111" style="89" customWidth="1"/>
    <col min="14" max="14" width="12.2222222222222" style="89" customWidth="1"/>
    <col min="15" max="15" width="18" style="95" customWidth="1"/>
    <col min="16" max="16" width="20.7777777777778" style="95" customWidth="1"/>
    <col min="17" max="17" width="10.8888888888889" style="89" customWidth="1"/>
    <col min="18" max="18" width="11.1111111111111" style="89" customWidth="1"/>
    <col min="19" max="19" width="10.8888888888889" style="89" customWidth="1"/>
    <col min="20" max="20" width="10.2222222222222" style="89" customWidth="1"/>
    <col min="21" max="21" width="11" style="89" customWidth="1"/>
    <col min="22" max="22" width="10.2222222222222" style="89" customWidth="1"/>
    <col min="23" max="16384" width="9" style="89"/>
  </cols>
  <sheetData>
    <row r="1" ht="27.6" customHeight="1" spans="1:22">
      <c r="A1" s="96" t="s">
        <v>145</v>
      </c>
      <c r="B1" s="97"/>
      <c r="C1" s="98"/>
      <c r="E1" s="99" t="s">
        <v>2</v>
      </c>
      <c r="F1" s="100"/>
      <c r="G1" s="100"/>
      <c r="H1" s="100"/>
      <c r="I1" s="115"/>
      <c r="J1" s="100"/>
      <c r="L1" s="102"/>
      <c r="M1" s="102"/>
      <c r="P1" s="116"/>
      <c r="Q1" s="128"/>
      <c r="R1" s="132"/>
      <c r="S1" s="116"/>
      <c r="T1" s="128"/>
      <c r="U1" s="128"/>
      <c r="V1" s="132"/>
    </row>
    <row r="2" ht="47.55" spans="1:22">
      <c r="A2" s="101" t="s">
        <v>3944</v>
      </c>
      <c r="B2" s="102" t="s">
        <v>207</v>
      </c>
      <c r="C2" s="101" t="s">
        <v>447</v>
      </c>
      <c r="D2" s="89" t="s">
        <v>209</v>
      </c>
      <c r="E2" s="101" t="s">
        <v>210</v>
      </c>
      <c r="F2" s="103" t="s">
        <v>6086</v>
      </c>
      <c r="G2" s="104" t="s">
        <v>6223</v>
      </c>
      <c r="H2" s="104" t="s">
        <v>6233</v>
      </c>
      <c r="I2" s="117" t="s">
        <v>6196</v>
      </c>
      <c r="J2" s="93" t="s">
        <v>6197</v>
      </c>
      <c r="K2" s="118" t="s">
        <v>0</v>
      </c>
      <c r="L2" s="119" t="s">
        <v>6091</v>
      </c>
      <c r="M2" s="101" t="s">
        <v>6092</v>
      </c>
      <c r="N2" s="120" t="s">
        <v>6198</v>
      </c>
      <c r="O2" s="119" t="s">
        <v>225</v>
      </c>
      <c r="P2" s="120" t="s">
        <v>226</v>
      </c>
      <c r="Q2" s="119"/>
      <c r="R2" s="119"/>
      <c r="S2" s="119"/>
      <c r="T2" s="119"/>
      <c r="U2" s="119"/>
      <c r="V2" s="119"/>
    </row>
    <row r="3" ht="14.4" spans="1:22">
      <c r="A3" s="88" t="s">
        <v>227</v>
      </c>
      <c r="B3" s="105" t="s">
        <v>501</v>
      </c>
      <c r="C3" s="88" t="e">
        <f>VLOOKUP(B3,正厂竞争者数据汇总!D:H,2,FALSE)</f>
        <v>#N/A</v>
      </c>
      <c r="D3" s="88" t="e">
        <f>VLOOKUP(B3,正厂竞争者数据汇总!D:H,3,FALSE)</f>
        <v>#N/A</v>
      </c>
      <c r="E3" s="106" t="e">
        <f>VLOOKUP(B3,正厂竞争者数据汇总!D:H,5,FALSE)</f>
        <v>#N/A</v>
      </c>
      <c r="F3" s="106">
        <v>598726.583333333</v>
      </c>
      <c r="G3" s="107">
        <f t="shared" ref="G3:G11" si="0">F3/F$12</f>
        <v>0.266672974029194</v>
      </c>
      <c r="H3" s="107">
        <v>0.188286411807545</v>
      </c>
      <c r="I3" s="107" t="str">
        <f t="shared" ref="I3:I11" si="1">IFERROR(J3*0.5/$F$4,"")</f>
        <v/>
      </c>
      <c r="J3" s="121" t="str">
        <f>IFERROR(F3*VLOOKUP(D3,说明!A$33:B$44,2,FALSE),"")</f>
        <v/>
      </c>
      <c r="K3" s="122" t="e">
        <f>VLOOKUP(B3,正厂竞争者数据汇总!D:H,11,FALSE)</f>
        <v>#N/A</v>
      </c>
      <c r="L3" s="88" t="str">
        <f>IFERROR(VLOOKUP(B3,'Competitive Matrix'!$B$4:$D$22,2,FALSE),"")</f>
        <v>L:78% N:49% D:82% 有销售:81%</v>
      </c>
      <c r="M3" s="123" t="s">
        <v>6095</v>
      </c>
      <c r="N3" s="88">
        <v>1300</v>
      </c>
      <c r="O3" s="124"/>
      <c r="P3" s="125"/>
      <c r="Q3" s="126"/>
      <c r="R3" s="126"/>
      <c r="S3" s="126"/>
      <c r="T3" s="126"/>
      <c r="U3" s="126"/>
      <c r="V3" s="126"/>
    </row>
    <row r="4" s="88" customFormat="1" ht="14.4" spans="1:22">
      <c r="A4" s="89" t="s">
        <v>230</v>
      </c>
      <c r="B4" s="108" t="s">
        <v>500</v>
      </c>
      <c r="C4" s="89" t="e">
        <f>VLOOKUP(B4,正厂竞争者数据汇总!D:H,2,FALSE)</f>
        <v>#N/A</v>
      </c>
      <c r="D4" s="89" t="e">
        <f>VLOOKUP(B4,正厂竞争者数据汇总!D:H,3,FALSE)</f>
        <v>#N/A</v>
      </c>
      <c r="E4" s="91" t="e">
        <f>VLOOKUP(B4,正厂竞争者数据汇总!D:H,5,FALSE)</f>
        <v>#N/A</v>
      </c>
      <c r="F4" s="91">
        <v>454898.583333333</v>
      </c>
      <c r="G4" s="92">
        <f t="shared" si="0"/>
        <v>0.20261194587986</v>
      </c>
      <c r="H4" s="92">
        <v>0.224798607710126</v>
      </c>
      <c r="I4" s="109" t="str">
        <f t="shared" si="1"/>
        <v/>
      </c>
      <c r="J4" s="93" t="str">
        <f>IFERROR(F4*VLOOKUP(D4,说明!A$33:B$44,2,FALSE),"")</f>
        <v/>
      </c>
      <c r="K4" s="118" t="e">
        <f>VLOOKUP(B4,正厂竞争者数据汇总!D:H,11,FALSE)</f>
        <v>#N/A</v>
      </c>
      <c r="L4" s="89" t="str">
        <f>IFERROR(VLOOKUP(B4,'Competitive Matrix'!$B$4:$D$22,2,FALSE),"")</f>
        <v/>
      </c>
      <c r="M4" s="89" t="s">
        <v>180</v>
      </c>
      <c r="N4" s="89">
        <v>1800</v>
      </c>
      <c r="O4" s="124" t="s">
        <v>6234</v>
      </c>
      <c r="P4" s="125"/>
      <c r="S4" s="89"/>
      <c r="T4" s="89"/>
      <c r="U4" s="89"/>
      <c r="V4" s="89"/>
    </row>
    <row r="5" ht="14.4" spans="1:18">
      <c r="A5" s="89" t="s">
        <v>230</v>
      </c>
      <c r="B5" s="108" t="s">
        <v>499</v>
      </c>
      <c r="C5" s="89" t="e">
        <f>VLOOKUP(B5,正厂竞争者数据汇总!D:H,2,FALSE)</f>
        <v>#N/A</v>
      </c>
      <c r="D5" s="89" t="e">
        <f>VLOOKUP(B5,正厂竞争者数据汇总!D:H,3,FALSE)</f>
        <v>#N/A</v>
      </c>
      <c r="E5" s="91" t="e">
        <f>VLOOKUP(B5,正厂竞争者数据汇总!D:H,5,FALSE)</f>
        <v>#N/A</v>
      </c>
      <c r="F5" s="91">
        <v>380336.916666667</v>
      </c>
      <c r="G5" s="109">
        <f t="shared" si="0"/>
        <v>0.169402160391676</v>
      </c>
      <c r="H5" s="109">
        <v>0.186934743774715</v>
      </c>
      <c r="I5" s="109" t="str">
        <f t="shared" si="1"/>
        <v/>
      </c>
      <c r="J5" s="93" t="str">
        <f>IFERROR(F5*VLOOKUP(D5,说明!A$33:B$44,2,FALSE),"")</f>
        <v/>
      </c>
      <c r="K5" s="118" t="e">
        <f>VLOOKUP(B5,正厂竞争者数据汇总!D:H,11,FALSE)</f>
        <v>#N/A</v>
      </c>
      <c r="L5" s="89" t="str">
        <f>IFERROR(VLOOKUP(B5,'Competitive Matrix'!$B$4:$D$22,2,FALSE),"")</f>
        <v/>
      </c>
      <c r="M5" s="89" t="s">
        <v>180</v>
      </c>
      <c r="N5" s="89">
        <v>909</v>
      </c>
      <c r="O5" s="125"/>
      <c r="P5" s="125"/>
      <c r="Q5" s="133"/>
      <c r="R5" s="133"/>
    </row>
    <row r="6" ht="14.4" spans="1:18">
      <c r="A6" s="89" t="s">
        <v>230</v>
      </c>
      <c r="B6" s="108" t="s">
        <v>503</v>
      </c>
      <c r="C6" s="89" t="e">
        <f>VLOOKUP(B6,正厂竞争者数据汇总!D:H,2,FALSE)</f>
        <v>#N/A</v>
      </c>
      <c r="D6" s="89" t="e">
        <f>VLOOKUP(B6,正厂竞争者数据汇总!D:H,3,FALSE)</f>
        <v>#N/A</v>
      </c>
      <c r="E6" s="91" t="e">
        <f>VLOOKUP(B6,正厂竞争者数据汇总!D:H,5,FALSE)</f>
        <v>#N/A</v>
      </c>
      <c r="F6" s="91">
        <v>253749.166666667</v>
      </c>
      <c r="G6" s="92">
        <f t="shared" si="0"/>
        <v>0.113019944021354</v>
      </c>
      <c r="H6" s="92">
        <v>0.132829931879517</v>
      </c>
      <c r="I6" s="109" t="str">
        <f t="shared" si="1"/>
        <v/>
      </c>
      <c r="J6" s="93" t="str">
        <f>IFERROR(F6*VLOOKUP(D6,说明!A$33:B$44,2,FALSE),"")</f>
        <v/>
      </c>
      <c r="K6" s="118" t="e">
        <f>VLOOKUP(B6,正厂竞争者数据汇总!D:H,11,FALSE)</f>
        <v>#N/A</v>
      </c>
      <c r="L6" s="89" t="str">
        <f>IFERROR(VLOOKUP(B6,'Competitive Matrix'!$B$4:$D$22,2,FALSE),"")</f>
        <v/>
      </c>
      <c r="M6" s="89" t="s">
        <v>180</v>
      </c>
      <c r="N6" s="89">
        <v>546</v>
      </c>
      <c r="O6" s="125"/>
      <c r="P6" s="124"/>
      <c r="Q6" s="88"/>
      <c r="R6" s="88"/>
    </row>
    <row r="7" spans="1:14">
      <c r="A7" s="89" t="s">
        <v>487</v>
      </c>
      <c r="B7" s="108" t="s">
        <v>504</v>
      </c>
      <c r="C7" s="89" t="e">
        <f>VLOOKUP(B7,正厂竞争者数据汇总!D:H,2,FALSE)</f>
        <v>#N/A</v>
      </c>
      <c r="D7" s="89" t="e">
        <f>VLOOKUP(B7,正厂竞争者数据汇总!D:H,3,FALSE)</f>
        <v>#N/A</v>
      </c>
      <c r="E7" s="91" t="e">
        <f>VLOOKUP(B7,正厂竞争者数据汇总!D:H,5,FALSE)</f>
        <v>#N/A</v>
      </c>
      <c r="F7" s="91">
        <v>248016.666666667</v>
      </c>
      <c r="G7" s="92">
        <f t="shared" si="0"/>
        <v>0.110466687048678</v>
      </c>
      <c r="H7" s="92">
        <v>0.118303749715588</v>
      </c>
      <c r="I7" s="109" t="str">
        <f t="shared" si="1"/>
        <v/>
      </c>
      <c r="J7" s="93" t="str">
        <f>IFERROR(F7*VLOOKUP(D7,说明!A$33:B$44,2,FALSE),"")</f>
        <v/>
      </c>
      <c r="K7" s="118" t="e">
        <f>VLOOKUP(B7,正厂竞争者数据汇总!D:H,11,FALSE)</f>
        <v>#N/A</v>
      </c>
      <c r="L7" s="89" t="str">
        <f>IFERROR(VLOOKUP(B7,'Competitive Matrix'!$B$4:$D$22,2,FALSE),"")</f>
        <v/>
      </c>
      <c r="N7" s="89">
        <v>1200</v>
      </c>
    </row>
    <row r="8" spans="1:14">
      <c r="A8" s="89" t="s">
        <v>230</v>
      </c>
      <c r="B8" s="108" t="s">
        <v>505</v>
      </c>
      <c r="C8" s="89" t="e">
        <f>VLOOKUP(B8,正厂竞争者数据汇总!D:H,2,FALSE)</f>
        <v>#N/A</v>
      </c>
      <c r="D8" s="89" t="e">
        <f>VLOOKUP(B8,正厂竞争者数据汇总!D:H,3,FALSE)</f>
        <v>#N/A</v>
      </c>
      <c r="E8" s="91" t="e">
        <f>VLOOKUP(B8,正厂竞争者数据汇总!D:H,5,FALSE)</f>
        <v>#N/A</v>
      </c>
      <c r="F8" s="91">
        <v>188701.666666667</v>
      </c>
      <c r="G8" s="109">
        <f t="shared" si="0"/>
        <v>0.084047770810687</v>
      </c>
      <c r="H8" s="109">
        <v>0.0843700306546027</v>
      </c>
      <c r="I8" s="109" t="str">
        <f t="shared" si="1"/>
        <v/>
      </c>
      <c r="J8" s="93" t="str">
        <f>IFERROR(F8*VLOOKUP(D8,说明!A$33:B$44,2,FALSE),"")</f>
        <v/>
      </c>
      <c r="K8" s="118" t="e">
        <f>VLOOKUP(B8,正厂竞争者数据汇总!D:H,11,FALSE)</f>
        <v>#N/A</v>
      </c>
      <c r="L8" s="89" t="str">
        <f>IFERROR(VLOOKUP(B8,'Competitive Matrix'!$B$4:$D$22,2,FALSE),"")</f>
        <v/>
      </c>
      <c r="M8" s="89" t="s">
        <v>180</v>
      </c>
      <c r="N8" s="89">
        <v>413</v>
      </c>
    </row>
    <row r="9" spans="1:14">
      <c r="A9" s="89" t="s">
        <v>230</v>
      </c>
      <c r="B9" s="108" t="s">
        <v>506</v>
      </c>
      <c r="C9" s="89" t="e">
        <f>VLOOKUP(B9,正厂竞争者数据汇总!D:H,2,FALSE)</f>
        <v>#N/A</v>
      </c>
      <c r="D9" s="89" t="e">
        <f>VLOOKUP(B9,正厂竞争者数据汇总!D:H,3,FALSE)</f>
        <v>#N/A</v>
      </c>
      <c r="E9" s="91" t="e">
        <f>VLOOKUP(B9,正厂竞争者数据汇总!D:H,5,FALSE)</f>
        <v>#N/A</v>
      </c>
      <c r="F9" s="91">
        <v>99338.25</v>
      </c>
      <c r="G9" s="109">
        <f t="shared" si="0"/>
        <v>0.0442452820699413</v>
      </c>
      <c r="H9" s="109">
        <v>0.0546148362695195</v>
      </c>
      <c r="I9" s="109" t="str">
        <f t="shared" si="1"/>
        <v/>
      </c>
      <c r="J9" s="93" t="str">
        <f>IFERROR(F9*VLOOKUP(D9,说明!A$33:B$44,2,FALSE),"")</f>
        <v/>
      </c>
      <c r="K9" s="118" t="e">
        <f>VLOOKUP(B9,正厂竞争者数据汇总!D:H,11,FALSE)</f>
        <v>#N/A</v>
      </c>
      <c r="L9" s="89" t="str">
        <f>IFERROR(VLOOKUP(B9,'Competitive Matrix'!$B$4:$D$22,2,FALSE),"")</f>
        <v/>
      </c>
      <c r="M9" s="89" t="s">
        <v>180</v>
      </c>
      <c r="N9" s="89">
        <v>150</v>
      </c>
    </row>
    <row r="10" ht="28.8" spans="1:18">
      <c r="A10" s="89" t="s">
        <v>230</v>
      </c>
      <c r="B10" s="108" t="s">
        <v>5202</v>
      </c>
      <c r="C10" s="89" t="e">
        <f>VLOOKUP(B10,正厂竞争者数据汇总!D:H,2,FALSE)</f>
        <v>#N/A</v>
      </c>
      <c r="D10" s="89" t="e">
        <f>VLOOKUP(B10,正厂竞争者数据汇总!D:H,3,FALSE)</f>
        <v>#N/A</v>
      </c>
      <c r="E10" s="91" t="e">
        <f>VLOOKUP(B10,正厂竞争者数据汇总!D:H,5,FALSE)</f>
        <v>#N/A</v>
      </c>
      <c r="F10" s="91">
        <v>17168.1666666667</v>
      </c>
      <c r="G10" s="92">
        <f t="shared" si="0"/>
        <v>0.00764670584382584</v>
      </c>
      <c r="H10" s="92">
        <v>0.0083015563633319</v>
      </c>
      <c r="I10" s="109" t="str">
        <f t="shared" si="1"/>
        <v/>
      </c>
      <c r="J10" s="93" t="str">
        <f>IFERROR(F10*VLOOKUP(D10,说明!A$33:B$44,2,FALSE),"")</f>
        <v/>
      </c>
      <c r="K10" s="118" t="e">
        <f>VLOOKUP(B10,正厂竞争者数据汇总!D:H,11,FALSE)</f>
        <v>#N/A</v>
      </c>
      <c r="L10" s="89" t="str">
        <f>IFERROR(VLOOKUP(B10,'Competitive Matrix'!$B$4:$D$22,2,FALSE),"")</f>
        <v/>
      </c>
      <c r="N10" s="89">
        <v>739</v>
      </c>
      <c r="O10" s="126" t="s">
        <v>4074</v>
      </c>
      <c r="Q10" s="133"/>
      <c r="R10" s="133"/>
    </row>
    <row r="11" s="88" customFormat="1" spans="1:16">
      <c r="A11" s="88" t="s">
        <v>227</v>
      </c>
      <c r="B11" s="88" t="s">
        <v>147</v>
      </c>
      <c r="C11" s="88" t="e">
        <f>VLOOKUP(B11,正厂竞争者数据汇总!D:H,2,FALSE)</f>
        <v>#N/A</v>
      </c>
      <c r="E11" s="106" t="e">
        <f>VLOOKUP(B11,正厂竞争者数据汇总!D:H,5,FALSE)</f>
        <v>#N/A</v>
      </c>
      <c r="F11" s="106">
        <v>4235.58333333333</v>
      </c>
      <c r="G11" s="110">
        <f t="shared" si="0"/>
        <v>0.00188652990478567</v>
      </c>
      <c r="H11" s="110">
        <v>0.00156013182505446</v>
      </c>
      <c r="I11" s="107" t="str">
        <f t="shared" si="1"/>
        <v/>
      </c>
      <c r="J11" s="121" t="str">
        <f>IFERROR(F11*VLOOKUP(D11,说明!A$33:B$44,2,FALSE),"")</f>
        <v/>
      </c>
      <c r="K11" s="122" t="e">
        <f>VLOOKUP(B11,正厂竞争者数据汇总!D:H,11,FALSE)</f>
        <v>#N/A</v>
      </c>
      <c r="L11" s="88" t="str">
        <f>IFERROR(VLOOKUP(B11,'Competitive Matrix'!$B$4:$D$22,2,FALSE),"")</f>
        <v>L:70% N:20%</v>
      </c>
      <c r="M11" s="127" t="s">
        <v>6102</v>
      </c>
      <c r="N11" s="88">
        <v>449</v>
      </c>
      <c r="O11" s="126"/>
      <c r="P11" s="126"/>
    </row>
    <row r="12" spans="5:11">
      <c r="E12" s="91"/>
      <c r="F12" s="91">
        <v>2245171.58333333</v>
      </c>
      <c r="I12" s="109">
        <f>SUM(I3:I11)</f>
        <v>0</v>
      </c>
      <c r="K12" s="118"/>
    </row>
    <row r="13" spans="5:11">
      <c r="E13" s="91"/>
      <c r="I13" s="109"/>
      <c r="K13" s="118"/>
    </row>
    <row r="14" ht="14.4" customHeight="1" spans="1:22">
      <c r="A14" s="96" t="s">
        <v>4082</v>
      </c>
      <c r="B14" s="98"/>
      <c r="C14" s="98"/>
      <c r="E14" s="99" t="s">
        <v>2</v>
      </c>
      <c r="F14" s="100"/>
      <c r="G14" s="100"/>
      <c r="H14" s="100"/>
      <c r="I14" s="115"/>
      <c r="J14" s="100"/>
      <c r="L14" s="102"/>
      <c r="M14" s="102"/>
      <c r="O14" s="128"/>
      <c r="P14" s="128"/>
      <c r="Q14" s="128"/>
      <c r="R14" s="132"/>
      <c r="S14" s="116"/>
      <c r="T14" s="128"/>
      <c r="U14" s="128"/>
      <c r="V14" s="132"/>
    </row>
    <row r="15" ht="46.8" spans="1:22">
      <c r="A15" s="101" t="s">
        <v>3944</v>
      </c>
      <c r="B15" s="89" t="s">
        <v>207</v>
      </c>
      <c r="C15" s="101" t="s">
        <v>447</v>
      </c>
      <c r="D15" s="89" t="s">
        <v>209</v>
      </c>
      <c r="E15" s="101" t="s">
        <v>210</v>
      </c>
      <c r="F15" s="103" t="s">
        <v>6086</v>
      </c>
      <c r="G15" s="104" t="s">
        <v>6235</v>
      </c>
      <c r="H15" s="104" t="s">
        <v>6233</v>
      </c>
      <c r="I15" s="117" t="s">
        <v>6196</v>
      </c>
      <c r="J15" s="93" t="s">
        <v>6197</v>
      </c>
      <c r="K15" s="118" t="s">
        <v>0</v>
      </c>
      <c r="L15" s="119" t="s">
        <v>6091</v>
      </c>
      <c r="M15" s="119" t="s">
        <v>6092</v>
      </c>
      <c r="N15" s="120" t="s">
        <v>6198</v>
      </c>
      <c r="O15" s="119" t="s">
        <v>225</v>
      </c>
      <c r="P15" s="120" t="s">
        <v>226</v>
      </c>
      <c r="Q15" s="119"/>
      <c r="R15" s="119"/>
      <c r="S15" s="119"/>
      <c r="T15" s="119"/>
      <c r="U15" s="119"/>
      <c r="V15" s="119"/>
    </row>
    <row r="16" ht="14.4" spans="1:22">
      <c r="A16" s="88" t="s">
        <v>227</v>
      </c>
      <c r="B16" s="105" t="s">
        <v>528</v>
      </c>
      <c r="C16" s="88" t="e">
        <f>VLOOKUP(B16,正厂竞争者数据汇总!D:H,2,FALSE)</f>
        <v>#N/A</v>
      </c>
      <c r="D16" s="88" t="e">
        <f>VLOOKUP(B16,正厂竞争者数据汇总!D:H,3,FALSE)</f>
        <v>#N/A</v>
      </c>
      <c r="E16" s="106" t="e">
        <f>VLOOKUP(B16,正厂竞争者数据汇总!D:H,5,FALSE)</f>
        <v>#N/A</v>
      </c>
      <c r="F16" s="106">
        <v>487409.916666667</v>
      </c>
      <c r="G16" s="110">
        <f t="shared" ref="G16:G22" si="2">F16/F$24</f>
        <v>0.347650317305891</v>
      </c>
      <c r="H16" s="110">
        <v>0.367873847902993</v>
      </c>
      <c r="I16" s="110" t="str">
        <f t="shared" ref="I16:I23" si="3">IFERROR(J16*0.5/$D$18,"")</f>
        <v/>
      </c>
      <c r="J16" s="121" t="str">
        <f>IFERROR(F16*VLOOKUP(D16,说明!A$33:B$44,2,FALSE),"")</f>
        <v/>
      </c>
      <c r="K16" s="122" t="e">
        <f>VLOOKUP(B16,正厂竞争者数据汇总!D:H,11,FALSE)</f>
        <v>#N/A</v>
      </c>
      <c r="L16" s="88" t="str">
        <f>IFERROR(VLOOKUP(B16,'Competitive Matrix'!$B$4:$D$22,2,FALSE),"")</f>
        <v>L:92% N:66% D:96% 有销售:90%</v>
      </c>
      <c r="M16" s="88" t="str">
        <f>IFERROR(VLOOKUP(B16,'Competitive Matrix'!$B$4:$D$22,3,FALSE),"")</f>
        <v>2020 on 202011</v>
      </c>
      <c r="N16" s="88">
        <v>595</v>
      </c>
      <c r="O16" s="125"/>
      <c r="P16" s="125"/>
      <c r="Q16" s="88"/>
      <c r="R16" s="88"/>
      <c r="S16" s="88"/>
      <c r="T16" s="88"/>
      <c r="U16" s="88"/>
      <c r="V16" s="88"/>
    </row>
    <row r="17" spans="1:14">
      <c r="A17" s="89" t="s">
        <v>230</v>
      </c>
      <c r="B17" s="89" t="s">
        <v>242</v>
      </c>
      <c r="C17" s="89" t="str">
        <f>VLOOKUP(B17,正厂竞争者数据汇总!D:H,2,FALSE)</f>
        <v>Motor目录</v>
      </c>
      <c r="D17" s="89" t="str">
        <f>VLOOKUP(B17,正厂竞争者数据汇总!D:H,3,FALSE)</f>
        <v>KS</v>
      </c>
      <c r="E17" s="91">
        <f>VLOOKUP(B17,正厂竞争者数据汇总!D:H,5,FALSE)</f>
        <v>414242.433333333</v>
      </c>
      <c r="F17" s="91">
        <v>404128</v>
      </c>
      <c r="G17" s="92">
        <f t="shared" si="2"/>
        <v>0.288248602722373</v>
      </c>
      <c r="H17" s="92">
        <v>0.305780106992543</v>
      </c>
      <c r="I17" s="92" t="str">
        <f t="shared" si="3"/>
        <v/>
      </c>
      <c r="J17" s="93" t="str">
        <f>IFERROR(F17*VLOOKUP(D17,说明!A$33:B$44,2,FALSE),"")</f>
        <v/>
      </c>
      <c r="K17" s="118" t="e">
        <f>VLOOKUP(B17,正厂竞争者数据汇总!D:H,11,FALSE)</f>
        <v>#REF!</v>
      </c>
      <c r="L17" s="89" t="str">
        <f>IFERROR(VLOOKUP(B17,'Competitive Matrix'!$B$4:$D$22,2,FALSE),"")</f>
        <v/>
      </c>
      <c r="M17" s="89" t="str">
        <f>IFERROR(VLOOKUP(B17,'Competitive Matrix'!$B$4:$D$22,3,FALSE),"")</f>
        <v/>
      </c>
      <c r="N17" s="89">
        <v>817</v>
      </c>
    </row>
    <row r="18" s="88" customFormat="1" spans="1:22">
      <c r="A18" s="89" t="s">
        <v>446</v>
      </c>
      <c r="B18" s="108" t="s">
        <v>4114</v>
      </c>
      <c r="C18" s="89" t="e">
        <f>VLOOKUP(B18,正厂竞争者数据汇总!D:H,2,FALSE)</f>
        <v>#N/A</v>
      </c>
      <c r="D18" s="89" t="e">
        <f>VLOOKUP(B18,正厂竞争者数据汇总!D:H,3,FALSE)</f>
        <v>#N/A</v>
      </c>
      <c r="E18" s="91" t="e">
        <f>VLOOKUP(B18,正厂竞争者数据汇总!D:H,5,FALSE)</f>
        <v>#N/A</v>
      </c>
      <c r="F18" s="91">
        <v>162889.166666667</v>
      </c>
      <c r="G18" s="92">
        <f t="shared" si="2"/>
        <v>0.116182434006747</v>
      </c>
      <c r="H18" s="92">
        <v>0.125673981579266</v>
      </c>
      <c r="I18" s="92" t="str">
        <f t="shared" si="3"/>
        <v/>
      </c>
      <c r="J18" s="93" t="str">
        <f>IFERROR(F18*VLOOKUP(D18,说明!A$33:B$44,2,FALSE),"")</f>
        <v/>
      </c>
      <c r="K18" s="118" t="e">
        <f>VLOOKUP(B18,正厂竞争者数据汇总!D:H,11,FALSE)</f>
        <v>#N/A</v>
      </c>
      <c r="L18" s="89" t="str">
        <f>IFERROR(VLOOKUP(B18,'Competitive Matrix'!$B$4:$D$22,2,FALSE),"")</f>
        <v/>
      </c>
      <c r="M18" s="89" t="str">
        <f>IFERROR(VLOOKUP(B18,'Competitive Matrix'!$B$4:$D$22,3,FALSE),"")</f>
        <v/>
      </c>
      <c r="N18" s="89">
        <v>638</v>
      </c>
      <c r="O18" s="95"/>
      <c r="P18" s="95"/>
      <c r="Q18" s="89"/>
      <c r="R18" s="89"/>
      <c r="S18" s="89"/>
      <c r="T18" s="89"/>
      <c r="U18" s="89"/>
      <c r="V18" s="89"/>
    </row>
    <row r="19" spans="1:15">
      <c r="A19" s="89" t="s">
        <v>243</v>
      </c>
      <c r="B19" s="89" t="s">
        <v>244</v>
      </c>
      <c r="C19" s="89" t="str">
        <f>VLOOKUP(B19,正厂竞争者数据汇总!D:H,2,FALSE)</f>
        <v>旧年份原厂、新年份Motor</v>
      </c>
      <c r="D19" s="89" t="s">
        <v>266</v>
      </c>
      <c r="E19" s="91">
        <f>VLOOKUP(B19,正厂竞争者数据汇总!D:H,5,FALSE)</f>
        <v>310962.536666667</v>
      </c>
      <c r="F19" s="91">
        <v>141240.583333333</v>
      </c>
      <c r="G19" s="109">
        <f t="shared" si="2"/>
        <v>0.100741351239029</v>
      </c>
      <c r="H19" s="109">
        <v>0.0935209861506128</v>
      </c>
      <c r="I19" s="92" t="str">
        <f t="shared" si="3"/>
        <v/>
      </c>
      <c r="J19" s="93" t="str">
        <f>IFERROR(F19*VLOOKUP(D19,说明!A$33:B$44,2,FALSE),"")</f>
        <v/>
      </c>
      <c r="K19" s="118" t="e">
        <f>VLOOKUP(B19,正厂竞争者数据汇总!D:H,11,FALSE)</f>
        <v>#REF!</v>
      </c>
      <c r="L19" s="89" t="str">
        <f>IFERROR(VLOOKUP(B19,'Competitive Matrix'!$B$4:$D$22,2,FALSE),"")</f>
        <v/>
      </c>
      <c r="M19" s="89" t="str">
        <f>IFERROR(VLOOKUP(B19,'Competitive Matrix'!$B$4:$D$22,3,FALSE),"")</f>
        <v/>
      </c>
      <c r="N19" s="89">
        <v>520</v>
      </c>
      <c r="O19" s="126"/>
    </row>
    <row r="20" ht="14.4" spans="1:16">
      <c r="A20" s="89" t="s">
        <v>230</v>
      </c>
      <c r="B20" s="108" t="s">
        <v>416</v>
      </c>
      <c r="C20" s="89" t="str">
        <f>VLOOKUP(B20,正厂竞争者数据汇总!D:H,2,FALSE)</f>
        <v>Motor目录</v>
      </c>
      <c r="D20" s="89" t="str">
        <f>VLOOKUP(B20,正厂竞争者数据汇总!D:H,3,FALSE)</f>
        <v>VA</v>
      </c>
      <c r="E20" s="91">
        <f>VLOOKUP(B20,正厂竞争者数据汇总!D:H,5,FALSE)</f>
        <v>12076</v>
      </c>
      <c r="F20" s="91">
        <v>127600.25</v>
      </c>
      <c r="G20" s="109">
        <f t="shared" si="2"/>
        <v>0.0910122381263498</v>
      </c>
      <c r="H20" s="109">
        <v>0.0940648275256248</v>
      </c>
      <c r="I20" s="92" t="str">
        <f t="shared" si="3"/>
        <v/>
      </c>
      <c r="J20" s="93" t="str">
        <f>IFERROR(F20*VLOOKUP(D20,说明!A$33:B$44,2,FALSE),"")</f>
        <v/>
      </c>
      <c r="K20" s="118" t="e">
        <f>VLOOKUP(B20,正厂竞争者数据汇总!D:H,11,FALSE)</f>
        <v>#REF!</v>
      </c>
      <c r="L20" s="89" t="str">
        <f>IFERROR(VLOOKUP(B20,'Competitive Matrix'!$B$4:$D$22,2,FALSE),"")</f>
        <v/>
      </c>
      <c r="M20" s="89" t="str">
        <f>IFERROR(VLOOKUP(B20,'Competitive Matrix'!$B$4:$D$22,3,FALSE),"")</f>
        <v/>
      </c>
      <c r="N20" s="89">
        <v>170</v>
      </c>
      <c r="O20" s="126"/>
      <c r="P20" s="125"/>
    </row>
    <row r="21" spans="1:14">
      <c r="A21" s="89" t="s">
        <v>243</v>
      </c>
      <c r="B21" s="89" t="s">
        <v>2556</v>
      </c>
      <c r="C21" s="89" t="str">
        <f>VLOOKUP(B21,正厂竞争者数据汇总!D:H,2,FALSE)</f>
        <v>旧年份原厂、新年份Motor</v>
      </c>
      <c r="D21" s="89" t="str">
        <f>VLOOKUP(B21,正厂竞争者数据汇总!D:H,3,FALSE)</f>
        <v>FL</v>
      </c>
      <c r="E21" s="91">
        <f>VLOOKUP(B21,正厂竞争者数据汇总!D:H,5,FALSE)</f>
        <v>4477.16666666667</v>
      </c>
      <c r="F21" s="91">
        <v>16330.6666666667</v>
      </c>
      <c r="G21" s="109">
        <f t="shared" si="2"/>
        <v>0.0116480220330972</v>
      </c>
      <c r="H21" s="109">
        <v>0.0119550849231399</v>
      </c>
      <c r="I21" s="92" t="str">
        <f t="shared" si="3"/>
        <v/>
      </c>
      <c r="J21" s="93" t="str">
        <f>IFERROR(F21*VLOOKUP(D21,说明!A$33:B$44,2,FALSE),"")</f>
        <v/>
      </c>
      <c r="K21" s="118" t="e">
        <f>VLOOKUP(B21,正厂竞争者数据汇总!D:H,11,FALSE)</f>
        <v>#REF!</v>
      </c>
      <c r="L21" s="89" t="str">
        <f>IFERROR(VLOOKUP(B21,'Competitive Matrix'!$B$4:$D$22,2,FALSE),"")</f>
        <v/>
      </c>
      <c r="M21" s="89" t="str">
        <f>IFERROR(VLOOKUP(B21,'Competitive Matrix'!$B$4:$D$22,3,FALSE),"")</f>
        <v/>
      </c>
      <c r="N21" s="89">
        <v>385</v>
      </c>
    </row>
    <row r="22" spans="1:22">
      <c r="A22" s="88" t="s">
        <v>227</v>
      </c>
      <c r="B22" s="88" t="s">
        <v>143</v>
      </c>
      <c r="C22" s="88" t="e">
        <f>VLOOKUP(B22,正厂竞争者数据汇总!D:H,2,FALSE)</f>
        <v>#N/A</v>
      </c>
      <c r="D22" s="88" t="e">
        <f>VLOOKUP(B22,正厂竞争者数据汇总!D:H,3,FALSE)</f>
        <v>#N/A</v>
      </c>
      <c r="E22" s="106" t="e">
        <f>VLOOKUP(B22,正厂竞争者数据汇总!D:H,5,FALSE)</f>
        <v>#N/A</v>
      </c>
      <c r="F22" s="106">
        <v>2734.5</v>
      </c>
      <c r="G22" s="107">
        <f t="shared" si="2"/>
        <v>0.00195041126609473</v>
      </c>
      <c r="H22" s="107">
        <v>0.00113116492581922</v>
      </c>
      <c r="I22" s="110" t="str">
        <f t="shared" si="3"/>
        <v/>
      </c>
      <c r="J22" s="121" t="str">
        <f>IFERROR(F22*VLOOKUP(D22,说明!A$33:B$44,2,FALSE),"")</f>
        <v/>
      </c>
      <c r="K22" s="122" t="e">
        <f>VLOOKUP(B22,正厂竞争者数据汇总!D:H,11,FALSE)</f>
        <v>#N/A</v>
      </c>
      <c r="L22" s="88" t="str">
        <f>IFERROR(VLOOKUP(B22,'Competitive Matrix'!$B$4:$D$22,2,FALSE),"")</f>
        <v>L:71% N:20%</v>
      </c>
      <c r="M22" s="88" t="str">
        <f>IFERROR(VLOOKUP(B22,'Competitive Matrix'!$B$4:$D$22,3,FALSE),"")</f>
        <v>2020 on 202011</v>
      </c>
      <c r="N22" s="88" t="s">
        <v>5493</v>
      </c>
      <c r="O22" s="126"/>
      <c r="P22" s="126"/>
      <c r="Q22" s="88"/>
      <c r="R22" s="88"/>
      <c r="S22" s="88"/>
      <c r="T22" s="88"/>
      <c r="U22" s="88"/>
      <c r="V22" s="88"/>
    </row>
    <row r="23" s="88" customFormat="1" spans="1:22">
      <c r="A23" s="89" t="s">
        <v>801</v>
      </c>
      <c r="B23" s="108" t="s">
        <v>534</v>
      </c>
      <c r="C23" s="89" t="str">
        <f>VLOOKUP(B23,正厂竞争者数据汇总!D:H,2,FALSE)</f>
        <v>原厂目录</v>
      </c>
      <c r="D23" s="89" t="str">
        <f>VLOOKUP(B23,正厂竞争者数据汇总!D:H,3,FALSE)</f>
        <v>-</v>
      </c>
      <c r="E23" s="91">
        <f>VLOOKUP(B23,正厂竞争者数据汇总!D:H,5,FALSE)</f>
        <v>1100247.08333333</v>
      </c>
      <c r="F23" s="91">
        <v>463806.916666667</v>
      </c>
      <c r="G23" s="92"/>
      <c r="H23" s="92"/>
      <c r="I23" s="92" t="str">
        <f t="shared" si="3"/>
        <v/>
      </c>
      <c r="J23" s="93" t="str">
        <f>IFERROR(F23*VLOOKUP(D23,说明!A$33:B$44,2,FALSE),"")</f>
        <v/>
      </c>
      <c r="K23" s="118" t="e">
        <f>VLOOKUP(B23,正厂竞争者数据汇总!D:H,11,FALSE)</f>
        <v>#REF!</v>
      </c>
      <c r="L23" s="89" t="str">
        <f>IFERROR(VLOOKUP(B23,'Competitive Matrix'!$B$4:$D$22,2,FALSE),"")</f>
        <v/>
      </c>
      <c r="M23" s="89" t="str">
        <f>IFERROR(VLOOKUP(B23,'Competitive Matrix'!$B$4:$D$22,3,FALSE),"")</f>
        <v/>
      </c>
      <c r="N23" s="89" t="s">
        <v>5419</v>
      </c>
      <c r="O23" s="95"/>
      <c r="P23" s="95"/>
      <c r="Q23" s="89"/>
      <c r="R23" s="89"/>
      <c r="S23" s="89"/>
      <c r="T23" s="89"/>
      <c r="U23" s="89"/>
      <c r="V23" s="89"/>
    </row>
    <row r="24" spans="5:12">
      <c r="E24" s="91"/>
      <c r="F24" s="91">
        <v>1402012</v>
      </c>
      <c r="K24" s="118"/>
      <c r="L24" s="89" t="str">
        <f>IFERROR(VLOOKUP(B24,'Competitive Matrix'!$B$4:$D$22,2,FALSE),"")</f>
        <v/>
      </c>
    </row>
    <row r="25" spans="5:11">
      <c r="E25" s="91"/>
      <c r="I25" s="109"/>
      <c r="K25" s="118"/>
    </row>
    <row r="26" ht="14.4" customHeight="1" spans="1:22">
      <c r="A26" s="96" t="s">
        <v>4138</v>
      </c>
      <c r="B26" s="97"/>
      <c r="C26" s="98"/>
      <c r="E26" s="99" t="s">
        <v>2</v>
      </c>
      <c r="F26" s="100"/>
      <c r="G26" s="100"/>
      <c r="H26" s="100"/>
      <c r="I26" s="115"/>
      <c r="J26" s="100"/>
      <c r="L26" s="102"/>
      <c r="M26" s="102"/>
      <c r="O26" s="128"/>
      <c r="P26" s="128"/>
      <c r="Q26" s="128"/>
      <c r="R26" s="132"/>
      <c r="S26" s="116"/>
      <c r="T26" s="128"/>
      <c r="U26" s="128"/>
      <c r="V26" s="132"/>
    </row>
    <row r="27" ht="46.8" spans="1:22">
      <c r="A27" s="101" t="s">
        <v>3944</v>
      </c>
      <c r="B27" s="102" t="s">
        <v>207</v>
      </c>
      <c r="C27" s="101" t="s">
        <v>447</v>
      </c>
      <c r="D27" s="102" t="s">
        <v>209</v>
      </c>
      <c r="E27" s="101" t="s">
        <v>210</v>
      </c>
      <c r="F27" s="103" t="s">
        <v>6086</v>
      </c>
      <c r="G27" s="104" t="s">
        <v>6235</v>
      </c>
      <c r="H27" s="104" t="s">
        <v>6233</v>
      </c>
      <c r="I27" s="117" t="s">
        <v>6196</v>
      </c>
      <c r="J27" s="93" t="s">
        <v>6197</v>
      </c>
      <c r="K27" s="118" t="s">
        <v>0</v>
      </c>
      <c r="L27" s="119" t="s">
        <v>6091</v>
      </c>
      <c r="M27" s="119" t="s">
        <v>6092</v>
      </c>
      <c r="N27" s="120" t="s">
        <v>6198</v>
      </c>
      <c r="O27" s="119" t="s">
        <v>225</v>
      </c>
      <c r="P27" s="120" t="s">
        <v>226</v>
      </c>
      <c r="Q27" s="119"/>
      <c r="R27" s="119"/>
      <c r="S27" s="119"/>
      <c r="T27" s="119"/>
      <c r="U27" s="119"/>
      <c r="V27" s="119"/>
    </row>
    <row r="28" s="88" customFormat="1" spans="1:22">
      <c r="A28" s="88" t="s">
        <v>227</v>
      </c>
      <c r="B28" s="105" t="s">
        <v>515</v>
      </c>
      <c r="C28" s="88" t="e">
        <f>VLOOKUP(B28,正厂竞争者数据汇总!D:H,2,FALSE)</f>
        <v>#N/A</v>
      </c>
      <c r="D28" s="88" t="e">
        <f>VLOOKUP(B28,正厂竞争者数据汇总!D:H,3,FALSE)</f>
        <v>#N/A</v>
      </c>
      <c r="E28" s="106" t="e">
        <f>VLOOKUP(B28,正厂竞争者数据汇总!D:H,5,FALSE)</f>
        <v>#N/A</v>
      </c>
      <c r="F28" s="106">
        <v>719762.833333333</v>
      </c>
      <c r="G28" s="110">
        <f>F28/F$38</f>
        <v>0.561788366121298</v>
      </c>
      <c r="H28" s="110">
        <v>0.560230374304742</v>
      </c>
      <c r="I28" s="110" t="str">
        <f t="shared" ref="I28:I37" si="4">IFERROR(J28*0.5/$F$28,"")</f>
        <v/>
      </c>
      <c r="J28" s="93" t="str">
        <f>IFERROR(F28*VLOOKUP(D28,说明!A$33:B$44,2,FALSE),"")</f>
        <v/>
      </c>
      <c r="K28" s="122" t="e">
        <f>VLOOKUP(B28,正厂竞争者数据汇总!D:H,11,FALSE)</f>
        <v>#N/A</v>
      </c>
      <c r="L28" s="88" t="str">
        <f>IFERROR(VLOOKUP(B28,'Competitive Matrix'!$B$4:$D$22,2,FALSE),"")</f>
        <v>L:82% N:39% D:78% 有销售:82%</v>
      </c>
      <c r="M28" s="88" t="str">
        <f>IFERROR(VLOOKUP(B28,'Competitive Matrix'!$B$4:$D$22,3,FALSE),"")</f>
        <v>2020 on 202011</v>
      </c>
      <c r="N28" s="88">
        <v>2400</v>
      </c>
      <c r="O28" s="95"/>
      <c r="P28" s="126"/>
      <c r="Q28" s="95"/>
      <c r="R28" s="95"/>
      <c r="S28" s="95"/>
      <c r="T28" s="95"/>
      <c r="U28" s="95"/>
      <c r="V28" s="95"/>
    </row>
    <row r="29" spans="1:13">
      <c r="A29" s="89" t="s">
        <v>672</v>
      </c>
      <c r="B29" s="108" t="s">
        <v>526</v>
      </c>
      <c r="C29" s="89" t="str">
        <f>VLOOKUP(B29,正厂竞争者数据汇总!D:H,2,FALSE)</f>
        <v>原厂目录</v>
      </c>
      <c r="D29" s="89" t="str">
        <f>VLOOKUP(B29,正厂竞争者数据汇总!D:H,3,FALSE)</f>
        <v>-</v>
      </c>
      <c r="E29" s="91">
        <f>VLOOKUP(B29,正厂竞争者数据汇总!D:H,5,FALSE)</f>
        <v>8391100.08333333</v>
      </c>
      <c r="F29" s="91">
        <v>217366</v>
      </c>
      <c r="G29" s="92"/>
      <c r="H29" s="92"/>
      <c r="I29" s="92" t="str">
        <f t="shared" si="4"/>
        <v/>
      </c>
      <c r="J29" s="93" t="str">
        <f>IFERROR(F29*VLOOKUP(D29,说明!A$33:B$44,2,FALSE),"")</f>
        <v/>
      </c>
      <c r="K29" s="118" t="e">
        <f>VLOOKUP(B29,正厂竞争者数据汇总!D:H,11,FALSE)</f>
        <v>#REF!</v>
      </c>
      <c r="L29" s="89" t="str">
        <f>IFERROR(VLOOKUP(B29,'Competitive Matrix'!$B$4:$D$22,2,FALSE),"")</f>
        <v/>
      </c>
      <c r="M29" s="89" t="str">
        <f>IFERROR(VLOOKUP(B29,'Competitive Matrix'!$B$4:$D$22,3,FALSE),"")</f>
        <v/>
      </c>
    </row>
    <row r="30" ht="14.4" spans="1:16">
      <c r="A30" s="111" t="s">
        <v>238</v>
      </c>
      <c r="B30" s="89" t="s">
        <v>519</v>
      </c>
      <c r="C30" s="89" t="e">
        <f>VLOOKUP(B30,正厂竞争者数据汇总!D:H,2,FALSE)</f>
        <v>#N/A</v>
      </c>
      <c r="D30" s="89" t="e">
        <f>VLOOKUP(B30,正厂竞争者数据汇总!D:H,3,FALSE)</f>
        <v>#N/A</v>
      </c>
      <c r="E30" s="91" t="e">
        <f>VLOOKUP(B30,正厂竞争者数据汇总!D:H,5,FALSE)</f>
        <v>#N/A</v>
      </c>
      <c r="F30" s="91">
        <v>153365.416666667</v>
      </c>
      <c r="G30" s="92">
        <f>F30/F$38</f>
        <v>0.119704578867547</v>
      </c>
      <c r="H30" s="92">
        <v>0.124565403435046</v>
      </c>
      <c r="I30" s="92" t="str">
        <f t="shared" si="4"/>
        <v/>
      </c>
      <c r="J30" s="93" t="str">
        <f>IFERROR(F30*VLOOKUP(D30,说明!A$33:B$44,2,FALSE),"")</f>
        <v/>
      </c>
      <c r="K30" s="118" t="e">
        <f>VLOOKUP(B30,正厂竞争者数据汇总!D:H,11,FALSE)</f>
        <v>#N/A</v>
      </c>
      <c r="L30" s="89" t="str">
        <f>IFERROR(VLOOKUP(B30,'Competitive Matrix'!$B$4:$D$22,2,FALSE),"")</f>
        <v/>
      </c>
      <c r="M30" s="89" t="str">
        <f>IFERROR(VLOOKUP(B30,'Competitive Matrix'!$B$4:$D$22,3,FALSE),"")</f>
        <v/>
      </c>
      <c r="N30" s="89">
        <v>1900</v>
      </c>
      <c r="P30" s="125"/>
    </row>
    <row r="31" spans="2:14">
      <c r="B31" s="108" t="s">
        <v>527</v>
      </c>
      <c r="C31" s="89" t="e">
        <f>VLOOKUP(B31,正厂竞争者数据汇总!D:H,2,FALSE)</f>
        <v>#N/A</v>
      </c>
      <c r="D31" s="89" t="e">
        <f>VLOOKUP(B31,正厂竞争者数据汇总!D:H,3,FALSE)</f>
        <v>#N/A</v>
      </c>
      <c r="E31" s="91" t="e">
        <f>VLOOKUP(B31,正厂竞争者数据汇总!D:H,5,FALSE)</f>
        <v>#N/A</v>
      </c>
      <c r="F31" s="91">
        <v>153945.833333333</v>
      </c>
      <c r="G31" s="92"/>
      <c r="H31" s="92"/>
      <c r="I31" s="92" t="str">
        <f t="shared" si="4"/>
        <v/>
      </c>
      <c r="J31" s="93" t="str">
        <f>IFERROR(F31*VLOOKUP(D31,说明!A$33:B$44,2,FALSE),"")</f>
        <v/>
      </c>
      <c r="K31" s="118" t="e">
        <f>VLOOKUP(B31,正厂竞争者数据汇总!D:H,11,FALSE)</f>
        <v>#N/A</v>
      </c>
      <c r="L31" s="89" t="str">
        <f>IFERROR(VLOOKUP(B31,'Competitive Matrix'!$B$4:$D$22,2,FALSE),"")</f>
        <v/>
      </c>
      <c r="M31" s="89" t="str">
        <f>IFERROR(VLOOKUP(B31,'Competitive Matrix'!$B$4:$D$22,3,FALSE),"")</f>
        <v/>
      </c>
      <c r="N31" s="89">
        <v>2000</v>
      </c>
    </row>
    <row r="32" ht="14.4" spans="1:16">
      <c r="A32" s="89" t="s">
        <v>243</v>
      </c>
      <c r="B32" s="89" t="s">
        <v>525</v>
      </c>
      <c r="C32" s="89" t="str">
        <f>VLOOKUP(B32,正厂竞争者数据汇总!D:H,2,FALSE)</f>
        <v>原厂目录</v>
      </c>
      <c r="D32" s="89" t="str">
        <f>VLOOKUP(B32,正厂竞争者数据汇总!D:H,3,FALSE)</f>
        <v>GA</v>
      </c>
      <c r="E32" s="91">
        <f>VLOOKUP(B32,正厂竞争者数据汇总!D:H,5,FALSE)</f>
        <v>3674.41666666667</v>
      </c>
      <c r="F32" s="91">
        <v>66029</v>
      </c>
      <c r="G32" s="92">
        <f>F32/F$38</f>
        <v>0.0515368706311684</v>
      </c>
      <c r="H32" s="92">
        <v>0.044797118213085</v>
      </c>
      <c r="I32" s="92" t="str">
        <f t="shared" si="4"/>
        <v/>
      </c>
      <c r="J32" s="93" t="str">
        <f>IFERROR(F32*VLOOKUP(D32,说明!A$33:B$44,2,FALSE),"")</f>
        <v/>
      </c>
      <c r="K32" s="118" t="e">
        <f>VLOOKUP(B32,正厂竞争者数据汇总!D:H,11,FALSE)</f>
        <v>#REF!</v>
      </c>
      <c r="L32" s="89" t="str">
        <f>IFERROR(VLOOKUP(B32,'Competitive Matrix'!$B$4:$D$22,2,FALSE),"")</f>
        <v/>
      </c>
      <c r="M32" s="89" t="str">
        <f>IFERROR(VLOOKUP(B32,'Competitive Matrix'!$B$4:$D$22,3,FALSE),"")</f>
        <v/>
      </c>
      <c r="N32" s="89">
        <v>578</v>
      </c>
      <c r="P32" s="125"/>
    </row>
    <row r="33" ht="14.4" spans="1:15">
      <c r="A33" s="89" t="s">
        <v>230</v>
      </c>
      <c r="B33" s="89" t="s">
        <v>517</v>
      </c>
      <c r="C33" s="89" t="e">
        <f>VLOOKUP(B33,正厂竞争者数据汇总!D:H,2,FALSE)</f>
        <v>#N/A</v>
      </c>
      <c r="D33" s="89" t="e">
        <f>VLOOKUP(B33,正厂竞争者数据汇总!D:H,3,FALSE)</f>
        <v>#N/A</v>
      </c>
      <c r="E33" s="91" t="e">
        <f>VLOOKUP(B33,正厂竞争者数据汇总!D:H,5,FALSE)</f>
        <v>#N/A</v>
      </c>
      <c r="F33" s="91">
        <v>99116</v>
      </c>
      <c r="G33" s="92">
        <f>F33/F$38</f>
        <v>0.0773618935540276</v>
      </c>
      <c r="H33" s="92">
        <v>0.0827151478864991</v>
      </c>
      <c r="I33" s="92" t="str">
        <f t="shared" si="4"/>
        <v/>
      </c>
      <c r="J33" s="93" t="str">
        <f>IFERROR(F33*VLOOKUP(D33,说明!A$33:B$44,2,FALSE),"")</f>
        <v/>
      </c>
      <c r="K33" s="118" t="e">
        <f>VLOOKUP(B33,正厂竞争者数据汇总!D:H,11,FALSE)</f>
        <v>#N/A</v>
      </c>
      <c r="L33" s="89" t="str">
        <f>IFERROR(VLOOKUP(B33,'Competitive Matrix'!$B$4:$D$22,2,FALSE),"")</f>
        <v/>
      </c>
      <c r="M33" s="89" t="str">
        <f>IFERROR(VLOOKUP(B33,'Competitive Matrix'!$B$4:$D$22,3,FALSE),"")</f>
        <v/>
      </c>
      <c r="N33" s="89">
        <v>1100</v>
      </c>
      <c r="O33" s="125"/>
    </row>
    <row r="34" ht="14.4" spans="1:16">
      <c r="A34" s="89" t="s">
        <v>230</v>
      </c>
      <c r="B34" s="89" t="s">
        <v>516</v>
      </c>
      <c r="C34" s="89" t="e">
        <f>VLOOKUP(B34,正厂竞争者数据汇总!D:H,2,FALSE)</f>
        <v>#N/A</v>
      </c>
      <c r="D34" s="89" t="e">
        <f>VLOOKUP(B34,正厂竞争者数据汇总!D:H,3,FALSE)</f>
        <v>#N/A</v>
      </c>
      <c r="E34" s="91" t="e">
        <f>VLOOKUP(B34,正厂竞争者数据汇总!D:H,5,FALSE)</f>
        <v>#N/A</v>
      </c>
      <c r="F34" s="91">
        <v>211878.25</v>
      </c>
      <c r="G34" s="92">
        <f>F34/F$38</f>
        <v>0.165374940704968</v>
      </c>
      <c r="H34" s="92">
        <v>0.160320093745987</v>
      </c>
      <c r="I34" s="92" t="str">
        <f t="shared" si="4"/>
        <v/>
      </c>
      <c r="J34" s="93" t="str">
        <f>IFERROR(F34*VLOOKUP(D34,说明!A$33:B$44,2,FALSE),"")</f>
        <v/>
      </c>
      <c r="K34" s="118" t="e">
        <f>VLOOKUP(B34,正厂竞争者数据汇总!D:H,11,FALSE)</f>
        <v>#N/A</v>
      </c>
      <c r="L34" s="89" t="str">
        <f>IFERROR(VLOOKUP(B34,'Competitive Matrix'!$B$4:$D$22,2,FALSE),"")</f>
        <v/>
      </c>
      <c r="M34" s="89" t="str">
        <f>IFERROR(VLOOKUP(B34,'Competitive Matrix'!$B$4:$D$22,3,FALSE),"")</f>
        <v/>
      </c>
      <c r="N34" s="89">
        <v>439</v>
      </c>
      <c r="O34" s="126"/>
      <c r="P34" s="125"/>
    </row>
    <row r="35" spans="2:14">
      <c r="B35" s="108" t="s">
        <v>4196</v>
      </c>
      <c r="C35" s="89" t="e">
        <f>VLOOKUP(B35,正厂竞争者数据汇总!D:H,2,FALSE)</f>
        <v>#N/A</v>
      </c>
      <c r="D35" s="89" t="e">
        <f>VLOOKUP(B35,正厂竞争者数据汇总!D:H,3,FALSE)</f>
        <v>#N/A</v>
      </c>
      <c r="E35" s="91" t="e">
        <f>VLOOKUP(B35,正厂竞争者数据汇总!D:H,5,FALSE)</f>
        <v>#N/A</v>
      </c>
      <c r="F35" s="91">
        <v>74378.6666666667</v>
      </c>
      <c r="G35" s="92"/>
      <c r="H35" s="92"/>
      <c r="I35" s="92" t="str">
        <f t="shared" si="4"/>
        <v/>
      </c>
      <c r="J35" s="93" t="str">
        <f>IFERROR(F35*VLOOKUP(D35,说明!A$33:B$44,2,FALSE),"")</f>
        <v/>
      </c>
      <c r="K35" s="118" t="e">
        <f>VLOOKUP(B35,正厂竞争者数据汇总!D:H,11,FALSE)</f>
        <v>#N/A</v>
      </c>
      <c r="L35" s="89" t="str">
        <f>IFERROR(VLOOKUP(B35,'Competitive Matrix'!$B$4:$D$22,2,FALSE),"")</f>
        <v/>
      </c>
      <c r="M35" s="89" t="str">
        <f>IFERROR(VLOOKUP(B35,'Competitive Matrix'!$B$4:$D$22,3,FALSE),"")</f>
        <v/>
      </c>
      <c r="N35" s="89">
        <v>923</v>
      </c>
    </row>
    <row r="36" spans="1:14">
      <c r="A36" s="89" t="s">
        <v>230</v>
      </c>
      <c r="B36" s="108" t="s">
        <v>523</v>
      </c>
      <c r="C36" s="89" t="e">
        <f>VLOOKUP(B36,正厂竞争者数据汇总!D:H,2,FALSE)</f>
        <v>#N/A</v>
      </c>
      <c r="D36" s="89" t="e">
        <f>VLOOKUP(B36,正厂竞争者数据汇总!D:H,3,FALSE)</f>
        <v>#N/A</v>
      </c>
      <c r="E36" s="91" t="e">
        <f>VLOOKUP(B36,正厂竞争者数据汇总!D:H,5,FALSE)</f>
        <v>#N/A</v>
      </c>
      <c r="F36" s="91">
        <v>31047.75</v>
      </c>
      <c r="G36" s="92">
        <f>F36/F$38</f>
        <v>0.0242333501209902</v>
      </c>
      <c r="H36" s="92">
        <v>0.0273718624146409</v>
      </c>
      <c r="I36" s="92" t="str">
        <f t="shared" si="4"/>
        <v/>
      </c>
      <c r="J36" s="93" t="str">
        <f>IFERROR(F36*VLOOKUP(D36,说明!A$33:B$44,2,FALSE),"")</f>
        <v/>
      </c>
      <c r="K36" s="118" t="e">
        <f>VLOOKUP(B36,正厂竞争者数据汇总!D:H,11,FALSE)</f>
        <v>#N/A</v>
      </c>
      <c r="L36" s="89" t="str">
        <f>IFERROR(VLOOKUP(B36,'Competitive Matrix'!$B$4:$D$22,2,FALSE),"")</f>
        <v/>
      </c>
      <c r="M36" s="89" t="str">
        <f>IFERROR(VLOOKUP(B36,'Competitive Matrix'!$B$4:$D$22,3,FALSE),"")</f>
        <v/>
      </c>
      <c r="N36" s="89">
        <v>835</v>
      </c>
    </row>
    <row r="37" s="88" customFormat="1" ht="14.4" spans="1:16">
      <c r="A37" s="88" t="s">
        <v>227</v>
      </c>
      <c r="B37" s="112" t="s">
        <v>4197</v>
      </c>
      <c r="C37" s="88" t="e">
        <f>VLOOKUP(B37,正厂竞争者数据汇总!D:H,2,FALSE)</f>
        <v>#N/A</v>
      </c>
      <c r="D37" s="88" t="e">
        <f>VLOOKUP(B37,正厂竞争者数据汇总!D:H,3,FALSE)</f>
        <v>#N/A</v>
      </c>
      <c r="E37" s="106" t="e">
        <f>VLOOKUP(B37,正厂竞争者数据汇总!D:H,5,FALSE)</f>
        <v>#N/A</v>
      </c>
      <c r="F37" s="106">
        <v>734.583333333333</v>
      </c>
      <c r="G37" s="110">
        <f>F37/F$38</f>
        <v>0.000573356043826386</v>
      </c>
      <c r="H37" s="110">
        <v>0.000110787683126466</v>
      </c>
      <c r="I37" s="110" t="str">
        <f t="shared" si="4"/>
        <v/>
      </c>
      <c r="J37" s="121" t="str">
        <f>IFERROR(F37*VLOOKUP(D37,说明!A$33:B$44,2,FALSE),"")</f>
        <v/>
      </c>
      <c r="K37" s="129" t="s">
        <v>6212</v>
      </c>
      <c r="L37" s="88" t="str">
        <f>IFERROR(VLOOKUP(B37,'Competitive Matrix'!$B$4:$D$22,2,FALSE),"")</f>
        <v/>
      </c>
      <c r="M37" s="88" t="str">
        <f>IFERROR(VLOOKUP(B37,'Competitive Matrix'!$B$4:$D$22,3,FALSE),"")</f>
        <v/>
      </c>
      <c r="N37" s="88" t="s">
        <v>5419</v>
      </c>
      <c r="O37" s="126"/>
      <c r="P37" s="126"/>
    </row>
    <row r="38" spans="5:10">
      <c r="E38" s="91"/>
      <c r="F38" s="91">
        <v>1281199.25</v>
      </c>
      <c r="G38" s="109"/>
      <c r="H38" s="109"/>
      <c r="I38" s="109">
        <f>SUM(I28:I36)</f>
        <v>0</v>
      </c>
      <c r="J38" s="130"/>
    </row>
    <row r="39" spans="5:11">
      <c r="E39" s="91"/>
      <c r="I39" s="109"/>
      <c r="K39" s="118"/>
    </row>
    <row r="40" ht="14.4" customHeight="1" spans="1:22">
      <c r="A40" s="96" t="s">
        <v>149</v>
      </c>
      <c r="B40" s="97"/>
      <c r="C40" s="98"/>
      <c r="E40" s="99" t="s">
        <v>2</v>
      </c>
      <c r="F40" s="100"/>
      <c r="G40" s="100"/>
      <c r="H40" s="100"/>
      <c r="I40" s="115"/>
      <c r="J40" s="100"/>
      <c r="L40" s="102"/>
      <c r="M40" s="102"/>
      <c r="O40" s="128"/>
      <c r="P40" s="128"/>
      <c r="Q40" s="128"/>
      <c r="R40" s="132"/>
      <c r="S40" s="116"/>
      <c r="T40" s="128"/>
      <c r="U40" s="128"/>
      <c r="V40" s="132"/>
    </row>
    <row r="41" ht="46.8" spans="1:22">
      <c r="A41" s="101" t="s">
        <v>3944</v>
      </c>
      <c r="B41" s="102" t="s">
        <v>207</v>
      </c>
      <c r="C41" s="101" t="s">
        <v>447</v>
      </c>
      <c r="D41" s="89" t="s">
        <v>209</v>
      </c>
      <c r="E41" s="101" t="s">
        <v>210</v>
      </c>
      <c r="F41" s="103" t="s">
        <v>6086</v>
      </c>
      <c r="G41" s="104" t="s">
        <v>6235</v>
      </c>
      <c r="H41" s="104" t="s">
        <v>6233</v>
      </c>
      <c r="I41" s="117" t="s">
        <v>6196</v>
      </c>
      <c r="J41" s="93" t="s">
        <v>6197</v>
      </c>
      <c r="K41" s="118" t="s">
        <v>0</v>
      </c>
      <c r="L41" s="119" t="s">
        <v>6091</v>
      </c>
      <c r="M41" s="119" t="s">
        <v>6092</v>
      </c>
      <c r="N41" s="120" t="s">
        <v>6198</v>
      </c>
      <c r="O41" s="119" t="s">
        <v>225</v>
      </c>
      <c r="P41" s="120" t="s">
        <v>226</v>
      </c>
      <c r="Q41" s="119"/>
      <c r="R41" s="119"/>
      <c r="S41" s="119"/>
      <c r="T41" s="119"/>
      <c r="U41" s="119"/>
      <c r="V41" s="119"/>
    </row>
    <row r="42" spans="1:22">
      <c r="A42" s="88" t="s">
        <v>227</v>
      </c>
      <c r="B42" s="105" t="s">
        <v>535</v>
      </c>
      <c r="C42" s="88" t="e">
        <f>VLOOKUP(B42,正厂竞争者数据汇总!D:H,2,FALSE)</f>
        <v>#N/A</v>
      </c>
      <c r="D42" s="88" t="e">
        <f>VLOOKUP(B42,正厂竞争者数据汇总!D:H,3,FALSE)</f>
        <v>#N/A</v>
      </c>
      <c r="E42" s="106" t="e">
        <f>VLOOKUP(B42,正厂竞争者数据汇总!D:H,5,FALSE)</f>
        <v>#N/A</v>
      </c>
      <c r="F42" s="106">
        <v>339317.333333333</v>
      </c>
      <c r="G42" s="110">
        <f>F42/F$48</f>
        <v>0.371278773752088</v>
      </c>
      <c r="H42" s="110">
        <v>0.379518578747523</v>
      </c>
      <c r="I42" s="107" t="str">
        <f t="shared" ref="I42:I47" si="5">IFERROR(J42*0.5/F$43,"")</f>
        <v/>
      </c>
      <c r="J42" s="121" t="str">
        <f>IFERROR(F42*VLOOKUP(D42,说明!A$33:B$44,2,FALSE),"")</f>
        <v/>
      </c>
      <c r="K42" s="122" t="e">
        <f>VLOOKUP(B42,正厂竞争者数据汇总!D:H,11,FALSE)</f>
        <v>#N/A</v>
      </c>
      <c r="L42" s="88" t="str">
        <f>IFERROR(VLOOKUP(B42,'Competitive Matrix'!$B$4:$D$22,2,FALSE),"")</f>
        <v>L:77% N:26% D:70% 有销售:80%</v>
      </c>
      <c r="M42" s="88" t="str">
        <f>IFERROR(VLOOKUP(B42,'Competitive Matrix'!$B$4:$D$22,3,FALSE),"")</f>
        <v>2020 on 202011</v>
      </c>
      <c r="N42" s="88">
        <v>2200</v>
      </c>
      <c r="O42" s="126"/>
      <c r="P42" s="126"/>
      <c r="Q42" s="126"/>
      <c r="R42" s="126"/>
      <c r="S42" s="126"/>
      <c r="T42" s="126"/>
      <c r="U42" s="126"/>
      <c r="V42" s="126"/>
    </row>
    <row r="43" s="88" customFormat="1" ht="28.8" spans="1:22">
      <c r="A43" s="89" t="s">
        <v>243</v>
      </c>
      <c r="B43" s="108" t="s">
        <v>537</v>
      </c>
      <c r="C43" s="89" t="e">
        <f>VLOOKUP(B43,正厂竞争者数据汇总!D:H,2,FALSE)</f>
        <v>#N/A</v>
      </c>
      <c r="D43" s="89" t="e">
        <f>VLOOKUP(B43,正厂竞争者数据汇总!D:H,3,FALSE)</f>
        <v>#N/A</v>
      </c>
      <c r="E43" s="91" t="e">
        <f>VLOOKUP(B43,正厂竞争者数据汇总!D:H,5,FALSE)</f>
        <v>#N/A</v>
      </c>
      <c r="F43" s="91">
        <v>263044</v>
      </c>
      <c r="G43" s="109">
        <f>F43/F$48</f>
        <v>0.28782099871952</v>
      </c>
      <c r="H43" s="109">
        <v>0.331740075151764</v>
      </c>
      <c r="I43" s="109" t="str">
        <f t="shared" si="5"/>
        <v/>
      </c>
      <c r="J43" s="93" t="str">
        <f>IFERROR(F43*VLOOKUP(D43,说明!A$33:B$44,2,FALSE),"")</f>
        <v/>
      </c>
      <c r="K43" s="118" t="e">
        <f>VLOOKUP(B43,正厂竞争者数据汇总!D:H,11,FALSE)</f>
        <v>#N/A</v>
      </c>
      <c r="L43" s="89" t="str">
        <f>IFERROR(VLOOKUP(B43,'Competitive Matrix'!$B$4:$D$22,2,FALSE),"")</f>
        <v/>
      </c>
      <c r="M43" s="89" t="str">
        <f>IFERROR(VLOOKUP(B43,'Competitive Matrix'!$B$4:$D$22,3,FALSE),"")</f>
        <v/>
      </c>
      <c r="N43" s="89">
        <v>2200</v>
      </c>
      <c r="O43" s="131" t="s">
        <v>4206</v>
      </c>
      <c r="P43" s="125"/>
      <c r="Q43" s="89"/>
      <c r="R43" s="89"/>
      <c r="S43" s="89"/>
      <c r="T43" s="89"/>
      <c r="U43" s="89"/>
      <c r="V43" s="89"/>
    </row>
    <row r="44" ht="14.4" spans="1:16">
      <c r="A44" s="89" t="s">
        <v>243</v>
      </c>
      <c r="B44" s="108" t="s">
        <v>539</v>
      </c>
      <c r="C44" s="89" t="e">
        <f>VLOOKUP(B44,正厂竞争者数据汇总!D:H,2,FALSE)</f>
        <v>#N/A</v>
      </c>
      <c r="D44" s="89" t="e">
        <f>VLOOKUP(B44,正厂竞争者数据汇总!D:H,3,FALSE)</f>
        <v>#N/A</v>
      </c>
      <c r="E44" s="91" t="e">
        <f>VLOOKUP(B44,正厂竞争者数据汇总!D:H,5,FALSE)</f>
        <v>#N/A</v>
      </c>
      <c r="F44" s="91">
        <v>155099.583333333</v>
      </c>
      <c r="G44" s="92">
        <f>F44/F$48</f>
        <v>0.169708934535596</v>
      </c>
      <c r="H44" s="92">
        <v>0.186531888188069</v>
      </c>
      <c r="I44" s="109" t="str">
        <f t="shared" si="5"/>
        <v/>
      </c>
      <c r="J44" s="93" t="str">
        <f>IFERROR(F44*VLOOKUP(D44,说明!A$33:B$44,2,FALSE),"")</f>
        <v/>
      </c>
      <c r="K44" s="118" t="e">
        <f>VLOOKUP(B44,正厂竞争者数据汇总!D:H,11,FALSE)</f>
        <v>#N/A</v>
      </c>
      <c r="L44" s="89" t="str">
        <f>IFERROR(VLOOKUP(B44,'Competitive Matrix'!$B$4:$D$22,2,FALSE),"")</f>
        <v/>
      </c>
      <c r="M44" s="89" t="str">
        <f>IFERROR(VLOOKUP(B44,'Competitive Matrix'!$B$4:$D$22,3,FALSE),"")</f>
        <v/>
      </c>
      <c r="N44" s="89">
        <v>1300</v>
      </c>
      <c r="O44" s="125"/>
      <c r="P44" s="124"/>
    </row>
    <row r="45" spans="1:14">
      <c r="A45" s="89" t="s">
        <v>2019</v>
      </c>
      <c r="B45" s="113" t="s">
        <v>4271</v>
      </c>
      <c r="C45" s="89" t="e">
        <f>VLOOKUP(B45,正厂竞争者数据汇总!D:H,2,FALSE)</f>
        <v>#N/A</v>
      </c>
      <c r="D45" s="89" t="e">
        <f>VLOOKUP(B45,正厂竞争者数据汇总!D:H,3,FALSE)</f>
        <v>#N/A</v>
      </c>
      <c r="E45" s="91" t="e">
        <f>VLOOKUP(B45,正厂竞争者数据汇总!D:H,5,FALSE)</f>
        <v>#N/A</v>
      </c>
      <c r="F45" s="91">
        <v>6725.25</v>
      </c>
      <c r="G45" s="109"/>
      <c r="H45" s="109"/>
      <c r="I45" s="109" t="str">
        <f t="shared" si="5"/>
        <v/>
      </c>
      <c r="J45" s="93" t="str">
        <f>IFERROR(F45*VLOOKUP(D45,说明!A$33:B$44,2,FALSE),"")</f>
        <v/>
      </c>
      <c r="K45" s="118" t="e">
        <f>VLOOKUP(B45,正厂竞争者数据汇总!D:H,11,FALSE)</f>
        <v>#N/A</v>
      </c>
      <c r="L45" s="89" t="str">
        <f>IFERROR(VLOOKUP(B45,'Competitive Matrix'!$B$4:$D$22,2,FALSE),"")</f>
        <v/>
      </c>
      <c r="M45" s="89" t="str">
        <f>IFERROR(VLOOKUP(B45,'Competitive Matrix'!$B$4:$D$22,3,FALSE),"")</f>
        <v/>
      </c>
      <c r="N45" s="89" t="s">
        <v>5419</v>
      </c>
    </row>
    <row r="46" spans="1:15">
      <c r="A46" s="89" t="s">
        <v>230</v>
      </c>
      <c r="B46" s="108" t="s">
        <v>541</v>
      </c>
      <c r="C46" s="89" t="str">
        <f>VLOOKUP(B46,正厂竞争者数据汇总!D:H,2,FALSE)</f>
        <v>原厂目录</v>
      </c>
      <c r="D46" s="89" t="str">
        <f>VLOOKUP(B46,正厂竞争者数据汇总!D:H,3,FALSE)</f>
        <v>NY</v>
      </c>
      <c r="E46" s="91">
        <f>VLOOKUP(B46,正厂竞争者数据汇总!D:H,5,FALSE)</f>
        <v>81686.1166666667</v>
      </c>
      <c r="F46" s="91">
        <v>72703.0833333333</v>
      </c>
      <c r="G46" s="109">
        <f>F46/F$48</f>
        <v>0.0795512311818118</v>
      </c>
      <c r="H46" s="109">
        <v>0.0768397183387671</v>
      </c>
      <c r="I46" s="109" t="str">
        <f t="shared" si="5"/>
        <v/>
      </c>
      <c r="J46" s="93" t="str">
        <f>IFERROR(F46*VLOOKUP(D46,说明!A$33:B$44,2,FALSE),"")</f>
        <v/>
      </c>
      <c r="K46" s="118" t="e">
        <f>VLOOKUP(B46,正厂竞争者数据汇总!D:H,11,FALSE)</f>
        <v>#REF!</v>
      </c>
      <c r="L46" s="89" t="str">
        <f>IFERROR(VLOOKUP(B46,'Competitive Matrix'!$B$4:$D$22,2,FALSE),"")</f>
        <v/>
      </c>
      <c r="M46" s="89" t="str">
        <f>IFERROR(VLOOKUP(B46,'Competitive Matrix'!$B$4:$D$22,3,FALSE),"")</f>
        <v/>
      </c>
      <c r="N46" s="89">
        <v>149</v>
      </c>
      <c r="O46" s="126"/>
    </row>
    <row r="47" spans="1:14">
      <c r="A47" s="89" t="s">
        <v>230</v>
      </c>
      <c r="B47" s="108" t="s">
        <v>2141</v>
      </c>
      <c r="C47" s="89" t="str">
        <f>VLOOKUP(B47,正厂竞争者数据汇总!D:H,2,FALSE)</f>
        <v>-</v>
      </c>
      <c r="D47" s="89" t="str">
        <f>VLOOKUP(B47,正厂竞争者数据汇总!D:H,3,FALSE)</f>
        <v>NY</v>
      </c>
      <c r="E47" s="91">
        <f>VLOOKUP(B47,正厂竞争者数据汇总!D:H,5,FALSE)</f>
        <v>35337.045</v>
      </c>
      <c r="F47" s="91">
        <v>83751.25</v>
      </c>
      <c r="G47" s="109">
        <f>F47/F$48</f>
        <v>0.091640061810983</v>
      </c>
      <c r="H47" s="109">
        <v>0.0253697395738769</v>
      </c>
      <c r="I47" s="109" t="str">
        <f t="shared" si="5"/>
        <v/>
      </c>
      <c r="J47" s="93" t="str">
        <f>IFERROR(F47*VLOOKUP(D47,说明!A$33:B$44,2,FALSE),"")</f>
        <v/>
      </c>
      <c r="K47" s="118" t="e">
        <f>VLOOKUP(B47,正厂竞争者数据汇总!D:H,11,FALSE)</f>
        <v>#REF!</v>
      </c>
      <c r="L47" s="89" t="str">
        <f>IFERROR(VLOOKUP(B47,'Competitive Matrix'!$B$4:$D$22,2,FALSE),"")</f>
        <v/>
      </c>
      <c r="M47" s="89" t="str">
        <f>IFERROR(VLOOKUP(B47,'Competitive Matrix'!$B$4:$D$22,3,FALSE),"")</f>
        <v/>
      </c>
      <c r="N47" s="89">
        <v>32</v>
      </c>
    </row>
    <row r="48" ht="14.4" spans="1:13">
      <c r="A48" s="88" t="s">
        <v>227</v>
      </c>
      <c r="B48" s="105" t="s">
        <v>6213</v>
      </c>
      <c r="F48" s="91">
        <v>913915.25</v>
      </c>
      <c r="K48" s="124" t="s">
        <v>6212</v>
      </c>
      <c r="L48" s="89" t="str">
        <f>IFERROR(VLOOKUP(B48,'Competitive Matrix'!$B$4:$D$22,2,FALSE),"")</f>
        <v/>
      </c>
      <c r="M48" s="89" t="str">
        <f>IFERROR(VLOOKUP(B48,'Competitive Matrix'!$B$4:$D$22,3,FALSE),"")</f>
        <v/>
      </c>
    </row>
    <row r="49" spans="5:11">
      <c r="E49" s="91"/>
      <c r="I49" s="109"/>
      <c r="K49" s="118"/>
    </row>
    <row r="50" ht="14.4" customHeight="1" spans="1:22">
      <c r="A50" s="96" t="s">
        <v>152</v>
      </c>
      <c r="B50" s="97"/>
      <c r="C50" s="98"/>
      <c r="E50" s="99" t="s">
        <v>2</v>
      </c>
      <c r="F50" s="100"/>
      <c r="G50" s="100"/>
      <c r="H50" s="100"/>
      <c r="I50" s="115"/>
      <c r="J50" s="100"/>
      <c r="L50" s="102"/>
      <c r="M50" s="102"/>
      <c r="O50" s="128"/>
      <c r="P50" s="128"/>
      <c r="Q50" s="128"/>
      <c r="R50" s="132"/>
      <c r="S50" s="116"/>
      <c r="T50" s="128"/>
      <c r="U50" s="128"/>
      <c r="V50" s="132"/>
    </row>
    <row r="51" ht="46.8" spans="1:22">
      <c r="A51" s="101" t="s">
        <v>3944</v>
      </c>
      <c r="B51" s="102" t="s">
        <v>207</v>
      </c>
      <c r="C51" s="101" t="s">
        <v>447</v>
      </c>
      <c r="D51" s="89" t="s">
        <v>209</v>
      </c>
      <c r="E51" s="101" t="s">
        <v>210</v>
      </c>
      <c r="F51" s="103" t="s">
        <v>6086</v>
      </c>
      <c r="G51" s="104" t="s">
        <v>6235</v>
      </c>
      <c r="H51" s="104" t="s">
        <v>6233</v>
      </c>
      <c r="I51" s="117" t="s">
        <v>6196</v>
      </c>
      <c r="J51" s="93" t="s">
        <v>6197</v>
      </c>
      <c r="K51" s="118" t="s">
        <v>0</v>
      </c>
      <c r="L51" s="119" t="s">
        <v>6091</v>
      </c>
      <c r="M51" s="119" t="s">
        <v>6092</v>
      </c>
      <c r="N51" s="120" t="s">
        <v>6198</v>
      </c>
      <c r="O51" s="119" t="s">
        <v>225</v>
      </c>
      <c r="P51" s="120" t="s">
        <v>226</v>
      </c>
      <c r="Q51" s="119"/>
      <c r="R51" s="119"/>
      <c r="S51" s="119"/>
      <c r="T51" s="119"/>
      <c r="U51" s="119"/>
      <c r="V51" s="119"/>
    </row>
    <row r="52" spans="1:14">
      <c r="A52" s="89" t="s">
        <v>672</v>
      </c>
      <c r="B52" s="108" t="s">
        <v>554</v>
      </c>
      <c r="C52" s="89" t="str">
        <f>VLOOKUP(B52,正厂竞争者数据汇总!D:H,2,FALSE)</f>
        <v>Motor原厂结合</v>
      </c>
      <c r="D52" s="89" t="str">
        <f>VLOOKUP(B52,正厂竞争者数据汇总!D:H,3,FALSE)</f>
        <v>-</v>
      </c>
      <c r="E52" s="91">
        <f>VLOOKUP(B52,正厂竞争者数据汇总!D:H,5,FALSE)</f>
        <v>1055594.5</v>
      </c>
      <c r="F52" s="91">
        <v>508200.333333333</v>
      </c>
      <c r="G52" s="109"/>
      <c r="H52" s="109"/>
      <c r="I52" s="109" t="str">
        <f t="shared" ref="I52:I61" si="6">IFERROR(J52*0.5/$F$55,"")</f>
        <v/>
      </c>
      <c r="J52" s="93" t="str">
        <f>IFERROR(F52*VLOOKUP(D52,说明!A$33:B$44,2,FALSE),"")</f>
        <v/>
      </c>
      <c r="K52" s="118" t="e">
        <f>VLOOKUP(B52,正厂竞争者数据汇总!D:H,11,FALSE)</f>
        <v>#REF!</v>
      </c>
      <c r="L52" s="89" t="str">
        <f>IFERROR(VLOOKUP(B52,'Competitive Matrix'!$B$4:$D$22,2,FALSE),"")</f>
        <v/>
      </c>
      <c r="M52" s="89" t="str">
        <f>IFERROR(VLOOKUP(B52,'Competitive Matrix'!$B$4:$D$22,3,FALSE),"")</f>
        <v/>
      </c>
      <c r="N52" s="89" t="s">
        <v>5419</v>
      </c>
    </row>
    <row r="53" s="88" customFormat="1" spans="1:22">
      <c r="A53" s="88" t="s">
        <v>227</v>
      </c>
      <c r="B53" s="105" t="s">
        <v>546</v>
      </c>
      <c r="C53" s="88" t="e">
        <f>VLOOKUP(B53,正厂竞争者数据汇总!D:H,2,FALSE)</f>
        <v>#N/A</v>
      </c>
      <c r="D53" s="88" t="e">
        <f>VLOOKUP(B53,正厂竞争者数据汇总!D:H,3,FALSE)</f>
        <v>#N/A</v>
      </c>
      <c r="E53" s="106" t="e">
        <f>VLOOKUP(B53,正厂竞争者数据汇总!D:H,5,FALSE)</f>
        <v>#N/A</v>
      </c>
      <c r="F53" s="106">
        <v>322492.833333333</v>
      </c>
      <c r="G53" s="107">
        <f>F53/F$62</f>
        <v>0.319351948373226</v>
      </c>
      <c r="H53" s="107">
        <v>0.338185768928131</v>
      </c>
      <c r="I53" s="107" t="str">
        <f t="shared" si="6"/>
        <v/>
      </c>
      <c r="J53" s="121" t="str">
        <f>IFERROR(F53*VLOOKUP(D53,说明!A$33:B$44,2,FALSE),"")</f>
        <v/>
      </c>
      <c r="K53" s="122" t="e">
        <f>VLOOKUP(B53,正厂竞争者数据汇总!D:H,11,FALSE)</f>
        <v>#N/A</v>
      </c>
      <c r="L53" s="88" t="str">
        <f>IFERROR(VLOOKUP(B53,'Competitive Matrix'!$B$4:$D$22,2,FALSE),"")</f>
        <v>L:71% N:44% D:79% 有销售:87%</v>
      </c>
      <c r="M53" s="88" t="str">
        <f>IFERROR(VLOOKUP(B53,'Competitive Matrix'!$B$4:$D$22,3,FALSE),"")</f>
        <v>2020 on 202011</v>
      </c>
      <c r="N53" s="88">
        <v>1000</v>
      </c>
      <c r="O53" s="126"/>
      <c r="P53" s="126"/>
      <c r="Q53" s="126"/>
      <c r="R53" s="126"/>
      <c r="S53" s="126"/>
      <c r="T53" s="126"/>
      <c r="U53" s="126"/>
      <c r="V53" s="126"/>
    </row>
    <row r="54" ht="14.4" spans="1:16">
      <c r="A54" s="89" t="s">
        <v>230</v>
      </c>
      <c r="B54" s="114" t="s">
        <v>507</v>
      </c>
      <c r="C54" s="89" t="e">
        <f>VLOOKUP(B54,正厂竞争者数据汇总!D:H,2,FALSE)</f>
        <v>#N/A</v>
      </c>
      <c r="D54" s="89" t="e">
        <f>VLOOKUP(B54,正厂竞争者数据汇总!D:H,3,FALSE)</f>
        <v>#N/A</v>
      </c>
      <c r="E54" s="91" t="e">
        <f>VLOOKUP(B54,正厂竞争者数据汇总!D:H,5,FALSE)</f>
        <v>#N/A</v>
      </c>
      <c r="F54" s="91">
        <v>274341.6</v>
      </c>
      <c r="G54" s="109">
        <f>F54/F$62</f>
        <v>0.271669678901893</v>
      </c>
      <c r="H54" s="109">
        <v>0.27283945754945</v>
      </c>
      <c r="I54" s="109" t="str">
        <f t="shared" si="6"/>
        <v/>
      </c>
      <c r="J54" s="93" t="str">
        <f>IFERROR(F54*VLOOKUP(D54,说明!A$33:B$44,2,FALSE),"")</f>
        <v/>
      </c>
      <c r="K54" s="118" t="e">
        <f>VLOOKUP(B54,正厂竞争者数据汇总!D:H,11,FALSE)</f>
        <v>#N/A</v>
      </c>
      <c r="L54" s="89" t="str">
        <f>IFERROR(VLOOKUP(B54,'Competitive Matrix'!$B$4:$D$22,2,FALSE),"")</f>
        <v/>
      </c>
      <c r="M54" s="89" t="str">
        <f>IFERROR(VLOOKUP(B54,'Competitive Matrix'!$B$4:$D$22,3,FALSE),"")</f>
        <v/>
      </c>
      <c r="N54" s="89">
        <v>811</v>
      </c>
      <c r="P54" s="125"/>
    </row>
    <row r="55" spans="1:14">
      <c r="A55" s="89" t="s">
        <v>672</v>
      </c>
      <c r="B55" s="108" t="s">
        <v>555</v>
      </c>
      <c r="C55" s="89" t="str">
        <f>VLOOKUP(B55,正厂竞争者数据汇总!D:H,2,FALSE)</f>
        <v>Acc目录</v>
      </c>
      <c r="D55" s="89" t="str">
        <f>VLOOKUP(B55,正厂竞争者数据汇总!D:H,3,FALSE)</f>
        <v>-</v>
      </c>
      <c r="E55" s="91">
        <f>VLOOKUP(B55,正厂竞争者数据汇总!D:H,5,FALSE)</f>
        <v>954481.666666667</v>
      </c>
      <c r="F55" s="91">
        <v>232859.833333333</v>
      </c>
      <c r="G55" s="109"/>
      <c r="H55" s="109"/>
      <c r="I55" s="109" t="str">
        <f t="shared" si="6"/>
        <v/>
      </c>
      <c r="J55" s="93" t="str">
        <f>IFERROR(F55*VLOOKUP(D55,说明!A$33:B$44,2,FALSE),"")</f>
        <v/>
      </c>
      <c r="K55" s="118" t="e">
        <f>VLOOKUP(B55,正厂竞争者数据汇总!D:H,11,FALSE)</f>
        <v>#REF!</v>
      </c>
      <c r="L55" s="89" t="str">
        <f>IFERROR(VLOOKUP(B55,'Competitive Matrix'!$B$4:$D$22,2,FALSE),"")</f>
        <v/>
      </c>
      <c r="M55" s="89" t="str">
        <f>IFERROR(VLOOKUP(B55,'Competitive Matrix'!$B$4:$D$22,3,FALSE),"")</f>
        <v/>
      </c>
      <c r="N55" s="89" t="s">
        <v>5419</v>
      </c>
    </row>
    <row r="56" spans="1:14">
      <c r="A56" s="89" t="s">
        <v>672</v>
      </c>
      <c r="B56" s="108" t="s">
        <v>556</v>
      </c>
      <c r="C56" s="89" t="str">
        <f>VLOOKUP(B56,正厂竞争者数据汇总!D:H,2,FALSE)</f>
        <v>Acc目录</v>
      </c>
      <c r="D56" s="89" t="str">
        <f>VLOOKUP(B56,正厂竞争者数据汇总!D:H,3,FALSE)</f>
        <v>-</v>
      </c>
      <c r="E56" s="91">
        <f>VLOOKUP(B56,正厂竞争者数据汇总!D:H,5,FALSE)</f>
        <v>135485.083333333</v>
      </c>
      <c r="F56" s="91">
        <v>158754.166666667</v>
      </c>
      <c r="G56" s="109"/>
      <c r="H56" s="109"/>
      <c r="I56" s="109" t="str">
        <f t="shared" si="6"/>
        <v/>
      </c>
      <c r="J56" s="93" t="str">
        <f>IFERROR(F56*VLOOKUP(D56,说明!A$33:B$44,2,FALSE),"")</f>
        <v/>
      </c>
      <c r="K56" s="118" t="e">
        <f>VLOOKUP(B56,正厂竞争者数据汇总!D:H,11,FALSE)</f>
        <v>#REF!</v>
      </c>
      <c r="L56" s="89" t="str">
        <f>IFERROR(VLOOKUP(B56,'Competitive Matrix'!$B$4:$D$22,2,FALSE),"")</f>
        <v/>
      </c>
      <c r="M56" s="89" t="str">
        <f>IFERROR(VLOOKUP(B56,'Competitive Matrix'!$B$4:$D$22,3,FALSE),"")</f>
        <v/>
      </c>
      <c r="N56" s="89" t="s">
        <v>5419</v>
      </c>
    </row>
    <row r="57" ht="14.4" spans="1:16">
      <c r="A57" s="111" t="s">
        <v>243</v>
      </c>
      <c r="B57" s="108" t="s">
        <v>270</v>
      </c>
      <c r="C57" s="89" t="str">
        <f>VLOOKUP(B57,正厂竞争者数据汇总!D:H,2,FALSE)</f>
        <v>Motor目录</v>
      </c>
      <c r="D57" s="89" t="str">
        <f>VLOOKUP(B57,正厂竞争者数据汇总!D:H,3,FALSE)</f>
        <v>FL</v>
      </c>
      <c r="E57" s="91">
        <f>VLOOKUP(B57,正厂竞争者数据汇总!D:H,5,FALSE)</f>
        <v>252953.33</v>
      </c>
      <c r="F57" s="91">
        <v>107167.75</v>
      </c>
      <c r="G57" s="109">
        <f>F57/F$62</f>
        <v>0.106124000994156</v>
      </c>
      <c r="H57" s="109">
        <v>0.102017639140179</v>
      </c>
      <c r="I57" s="109" t="str">
        <f t="shared" si="6"/>
        <v/>
      </c>
      <c r="J57" s="93" t="str">
        <f>IFERROR(F57*VLOOKUP(D57,说明!A$33:B$44,2,FALSE),"")</f>
        <v/>
      </c>
      <c r="K57" s="118" t="e">
        <f>VLOOKUP(B57,正厂竞争者数据汇总!D:H,11,FALSE)</f>
        <v>#REF!</v>
      </c>
      <c r="L57" s="89" t="str">
        <f>IFERROR(VLOOKUP(B57,'Competitive Matrix'!$B$4:$D$22,2,FALSE),"")</f>
        <v/>
      </c>
      <c r="M57" s="89" t="str">
        <f>IFERROR(VLOOKUP(B57,'Competitive Matrix'!$B$4:$D$22,3,FALSE),"")</f>
        <v/>
      </c>
      <c r="N57" s="89">
        <v>368</v>
      </c>
      <c r="O57" s="125"/>
      <c r="P57" s="125"/>
    </row>
    <row r="58" spans="1:15">
      <c r="A58" s="89" t="s">
        <v>230</v>
      </c>
      <c r="B58" s="108" t="s">
        <v>548</v>
      </c>
      <c r="C58" s="89" t="e">
        <f>VLOOKUP(B58,正厂竞争者数据汇总!D:H,2,FALSE)</f>
        <v>#N/A</v>
      </c>
      <c r="D58" s="89" t="e">
        <f>VLOOKUP(B58,正厂竞争者数据汇总!D:H,3,FALSE)</f>
        <v>#N/A</v>
      </c>
      <c r="E58" s="91" t="e">
        <f>VLOOKUP(B58,正厂竞争者数据汇总!D:H,5,FALSE)</f>
        <v>#N/A</v>
      </c>
      <c r="F58" s="91">
        <v>122757.583333333</v>
      </c>
      <c r="G58" s="109">
        <f>F58/F$62</f>
        <v>0.121561998788878</v>
      </c>
      <c r="H58" s="109">
        <v>0.108171772612484</v>
      </c>
      <c r="I58" s="109" t="str">
        <f t="shared" si="6"/>
        <v/>
      </c>
      <c r="J58" s="93" t="str">
        <f>IFERROR(F58*VLOOKUP(D58,说明!A$33:B$44,2,FALSE),"")</f>
        <v/>
      </c>
      <c r="K58" s="118" t="e">
        <f>VLOOKUP(B58,正厂竞争者数据汇总!D:H,11,FALSE)</f>
        <v>#N/A</v>
      </c>
      <c r="L58" s="89" t="str">
        <f>IFERROR(VLOOKUP(B58,'Competitive Matrix'!$B$4:$D$22,2,FALSE),"")</f>
        <v/>
      </c>
      <c r="M58" s="89" t="str">
        <f>IFERROR(VLOOKUP(B58,'Competitive Matrix'!$B$4:$D$22,3,FALSE),"")</f>
        <v/>
      </c>
      <c r="N58" s="89">
        <v>268</v>
      </c>
      <c r="O58" s="126"/>
    </row>
    <row r="59" spans="1:14">
      <c r="A59" s="89" t="s">
        <v>230</v>
      </c>
      <c r="B59" s="108" t="s">
        <v>547</v>
      </c>
      <c r="C59" s="89" t="e">
        <f>VLOOKUP(B59,正厂竞争者数据汇总!D:H,2,FALSE)</f>
        <v>#N/A</v>
      </c>
      <c r="D59" s="89" t="e">
        <f>VLOOKUP(B59,正厂竞争者数据汇总!D:H,3,FALSE)</f>
        <v>#N/A</v>
      </c>
      <c r="E59" s="91" t="e">
        <f>VLOOKUP(B59,正厂竞争者数据汇总!D:H,5,FALSE)</f>
        <v>#N/A</v>
      </c>
      <c r="F59" s="91">
        <v>88938.3333333333</v>
      </c>
      <c r="G59" s="109">
        <f>F59/F$62</f>
        <v>0.0880721278097678</v>
      </c>
      <c r="H59" s="109">
        <v>0.0854126924150476</v>
      </c>
      <c r="I59" s="109" t="str">
        <f t="shared" si="6"/>
        <v/>
      </c>
      <c r="J59" s="93" t="str">
        <f>IFERROR(F59*VLOOKUP(D59,说明!A$33:B$44,2,FALSE),"")</f>
        <v/>
      </c>
      <c r="K59" s="118" t="e">
        <f>VLOOKUP(B59,正厂竞争者数据汇总!D:H,11,FALSE)</f>
        <v>#N/A</v>
      </c>
      <c r="L59" s="89" t="str">
        <f>IFERROR(VLOOKUP(B59,'Competitive Matrix'!$B$4:$D$22,2,FALSE),"")</f>
        <v/>
      </c>
      <c r="M59" s="89" t="str">
        <f>IFERROR(VLOOKUP(B59,'Competitive Matrix'!$B$4:$D$22,3,FALSE),"")</f>
        <v/>
      </c>
      <c r="N59" s="89">
        <v>567</v>
      </c>
    </row>
    <row r="60" spans="1:15">
      <c r="A60" s="89" t="s">
        <v>230</v>
      </c>
      <c r="B60" s="108" t="s">
        <v>549</v>
      </c>
      <c r="C60" s="89" t="e">
        <f>VLOOKUP(B60,正厂竞争者数据汇总!D:H,2,FALSE)</f>
        <v>#N/A</v>
      </c>
      <c r="D60" s="89" t="e">
        <f>VLOOKUP(B60,正厂竞争者数据汇总!D:H,3,FALSE)</f>
        <v>#N/A</v>
      </c>
      <c r="E60" s="91" t="e">
        <f>VLOOKUP(B60,正厂竞争者数据汇总!D:H,5,FALSE)</f>
        <v>#N/A</v>
      </c>
      <c r="F60" s="91">
        <v>86500.9166666667</v>
      </c>
      <c r="G60" s="109">
        <f>F60/F$62</f>
        <v>0.085658450105827</v>
      </c>
      <c r="H60" s="109">
        <v>0.0910407788157758</v>
      </c>
      <c r="I60" s="109" t="str">
        <f t="shared" si="6"/>
        <v/>
      </c>
      <c r="J60" s="93" t="str">
        <f>IFERROR(F60*VLOOKUP(D60,说明!A$33:B$44,2,FALSE),"")</f>
        <v/>
      </c>
      <c r="K60" s="118" t="e">
        <f>VLOOKUP(B60,正厂竞争者数据汇总!D:H,11,FALSE)</f>
        <v>#N/A</v>
      </c>
      <c r="L60" s="89" t="str">
        <f>IFERROR(VLOOKUP(B60,'Competitive Matrix'!$B$4:$D$22,2,FALSE),"")</f>
        <v/>
      </c>
      <c r="M60" s="89" t="str">
        <f>IFERROR(VLOOKUP(B60,'Competitive Matrix'!$B$4:$D$22,3,FALSE),"")</f>
        <v/>
      </c>
      <c r="N60" s="89">
        <v>78</v>
      </c>
      <c r="O60" s="126"/>
    </row>
    <row r="61" s="88" customFormat="1" spans="1:16">
      <c r="A61" s="88" t="s">
        <v>227</v>
      </c>
      <c r="B61" s="88" t="s">
        <v>154</v>
      </c>
      <c r="C61" s="88" t="e">
        <f>VLOOKUP(B61,正厂竞争者数据汇总!D:H,2,FALSE)</f>
        <v>#N/A</v>
      </c>
      <c r="D61" s="88" t="e">
        <f>VLOOKUP(B61,正厂竞争者数据汇总!D:H,3,FALSE)</f>
        <v>#N/A</v>
      </c>
      <c r="E61" s="106" t="e">
        <f>VLOOKUP(B61,正厂竞争者数据汇总!D:H,5,FALSE)</f>
        <v>#N/A</v>
      </c>
      <c r="F61" s="106">
        <v>7636.16666666667</v>
      </c>
      <c r="G61" s="107">
        <f>F61/F$62</f>
        <v>0.00756179502625439</v>
      </c>
      <c r="H61" s="107">
        <v>0.00233189053893197</v>
      </c>
      <c r="I61" s="107" t="str">
        <f t="shared" si="6"/>
        <v/>
      </c>
      <c r="J61" s="121" t="str">
        <f>IFERROR(F61*VLOOKUP(D61,说明!A$33:B$44,2,FALSE),"")</f>
        <v/>
      </c>
      <c r="K61" s="122" t="e">
        <f>VLOOKUP(B61,正厂竞争者数据汇总!D:H,11,FALSE)</f>
        <v>#N/A</v>
      </c>
      <c r="L61" s="88" t="str">
        <f>IFERROR(VLOOKUP(B61,'Competitive Matrix'!$B$4:$D$22,2,FALSE),"")</f>
        <v>L:81% N:25%</v>
      </c>
      <c r="M61" s="88" t="str">
        <f>IFERROR(VLOOKUP(B61,'Competitive Matrix'!$B$4:$D$22,3,FALSE),"")</f>
        <v>2020 on 202011</v>
      </c>
      <c r="N61" s="88">
        <v>193</v>
      </c>
      <c r="O61" s="126"/>
      <c r="P61" s="126"/>
    </row>
    <row r="62" spans="5:11">
      <c r="E62" s="91"/>
      <c r="F62" s="91">
        <v>1009835.18333333</v>
      </c>
      <c r="I62" s="92">
        <f>SUM(I53:I61)</f>
        <v>0</v>
      </c>
      <c r="J62" s="93" t="str">
        <f>IFERROR(#REF!*VLOOKUP(D62,说明!A$33:B$44,2,FALSE),"")</f>
        <v/>
      </c>
      <c r="K62" s="95"/>
    </row>
    <row r="63" spans="5:10">
      <c r="E63" s="91"/>
      <c r="G63" s="109"/>
      <c r="H63" s="109"/>
      <c r="I63" s="109"/>
      <c r="J63" s="130"/>
    </row>
    <row r="64" spans="5:11">
      <c r="E64" s="91"/>
      <c r="K64" s="118"/>
    </row>
    <row r="65" spans="5:11">
      <c r="E65" s="91"/>
      <c r="K65" s="118"/>
    </row>
    <row r="66" ht="14.4" customHeight="1" spans="1:22">
      <c r="A66" s="96" t="s">
        <v>159</v>
      </c>
      <c r="B66" s="97"/>
      <c r="C66" s="98"/>
      <c r="E66" s="99" t="s">
        <v>2</v>
      </c>
      <c r="F66" s="100"/>
      <c r="G66" s="100"/>
      <c r="H66" s="100"/>
      <c r="I66" s="115"/>
      <c r="J66" s="100"/>
      <c r="L66" s="102"/>
      <c r="M66" s="102"/>
      <c r="O66" s="128"/>
      <c r="P66" s="128"/>
      <c r="Q66" s="128"/>
      <c r="R66" s="132"/>
      <c r="S66" s="116"/>
      <c r="T66" s="128"/>
      <c r="U66" s="128"/>
      <c r="V66" s="132"/>
    </row>
    <row r="67" ht="46.8" spans="1:22">
      <c r="A67" s="101" t="s">
        <v>3944</v>
      </c>
      <c r="B67" s="101" t="s">
        <v>207</v>
      </c>
      <c r="C67" s="101" t="s">
        <v>447</v>
      </c>
      <c r="D67" s="89" t="s">
        <v>209</v>
      </c>
      <c r="E67" s="101" t="s">
        <v>210</v>
      </c>
      <c r="F67" s="103" t="s">
        <v>6086</v>
      </c>
      <c r="G67" s="104" t="s">
        <v>6235</v>
      </c>
      <c r="H67" s="104" t="s">
        <v>6233</v>
      </c>
      <c r="I67" s="117" t="s">
        <v>6196</v>
      </c>
      <c r="J67" s="93" t="s">
        <v>6197</v>
      </c>
      <c r="K67" s="118" t="s">
        <v>0</v>
      </c>
      <c r="L67" s="119" t="s">
        <v>6091</v>
      </c>
      <c r="M67" s="119" t="s">
        <v>6092</v>
      </c>
      <c r="N67" s="120" t="s">
        <v>6198</v>
      </c>
      <c r="O67" s="119" t="s">
        <v>225</v>
      </c>
      <c r="P67" s="120" t="s">
        <v>226</v>
      </c>
      <c r="Q67" s="119"/>
      <c r="R67" s="119"/>
      <c r="S67" s="119"/>
      <c r="T67" s="119"/>
      <c r="U67" s="119"/>
      <c r="V67" s="119"/>
    </row>
    <row r="68" spans="1:14">
      <c r="A68" s="89" t="s">
        <v>4363</v>
      </c>
      <c r="B68" s="89" t="s">
        <v>562</v>
      </c>
      <c r="C68" s="89" t="str">
        <f>VLOOKUP(B68,正厂竞争者数据汇总!D:H,2,FALSE)</f>
        <v>原厂目录</v>
      </c>
      <c r="D68" s="89" t="str">
        <f>VLOOKUP(B68,正厂竞争者数据汇总!D:H,3,FALSE)</f>
        <v>-</v>
      </c>
      <c r="E68" s="91">
        <f>VLOOKUP(B68,正厂竞争者数据汇总!D:H,5,FALSE)</f>
        <v>517094.083333333</v>
      </c>
      <c r="F68" s="91">
        <v>196918</v>
      </c>
      <c r="G68" s="92"/>
      <c r="H68" s="92"/>
      <c r="I68" s="92" t="str">
        <f t="shared" ref="I68:I76" si="7">IFERROR(J68*0.5/$F$69,"")</f>
        <v/>
      </c>
      <c r="J68" s="93" t="str">
        <f>IFERROR(F68*VLOOKUP(D68,说明!A$33:B$44,2,FALSE),"")</f>
        <v/>
      </c>
      <c r="K68" s="118" t="e">
        <f>VLOOKUP(B68,正厂竞争者数据汇总!D:H,11,FALSE)</f>
        <v>#REF!</v>
      </c>
      <c r="L68" s="89" t="str">
        <f>IFERROR(VLOOKUP(B68,'Competitive Matrix'!$B$4:$D$22,2,FALSE),"")</f>
        <v/>
      </c>
      <c r="M68" s="89" t="str">
        <f>IFERROR(VLOOKUP(B68,'Competitive Matrix'!$B$4:$D$22,3,FALSE),"")</f>
        <v/>
      </c>
      <c r="N68" s="89" t="s">
        <v>5419</v>
      </c>
    </row>
    <row r="69" s="88" customFormat="1" ht="14.4" spans="1:16">
      <c r="A69" s="88" t="s">
        <v>227</v>
      </c>
      <c r="B69" s="134" t="s">
        <v>557</v>
      </c>
      <c r="C69" s="88" t="e">
        <f>VLOOKUP(B69,正厂竞争者数据汇总!D:H,2,FALSE)</f>
        <v>#N/A</v>
      </c>
      <c r="D69" s="88" t="e">
        <f>VLOOKUP(B69,正厂竞争者数据汇总!D:H,3,FALSE)</f>
        <v>#N/A</v>
      </c>
      <c r="E69" s="106" t="e">
        <f>VLOOKUP(B69,正厂竞争者数据汇总!D:H,5,FALSE)</f>
        <v>#N/A</v>
      </c>
      <c r="F69" s="106">
        <v>322316.666666667</v>
      </c>
      <c r="G69" s="110">
        <f>F69/F$77</f>
        <v>0.724645826963315</v>
      </c>
      <c r="H69" s="110">
        <v>0.676534155416568</v>
      </c>
      <c r="I69" s="110" t="str">
        <f t="shared" si="7"/>
        <v/>
      </c>
      <c r="J69" s="121" t="str">
        <f>IFERROR(F69*VLOOKUP(D69,说明!A$33:B$44,2,FALSE),"")</f>
        <v/>
      </c>
      <c r="K69" s="122" t="e">
        <f>VLOOKUP(B69,正厂竞争者数据汇总!D:H,11,FALSE)</f>
        <v>#N/A</v>
      </c>
      <c r="L69" s="88" t="str">
        <f>IFERROR(VLOOKUP(B69,'Competitive Matrix'!$B$4:$D$22,2,FALSE),"")</f>
        <v>L:77% N:44% D:85% 有销售:91%</v>
      </c>
      <c r="M69" s="88" t="str">
        <f>IFERROR(VLOOKUP(B69,'Competitive Matrix'!$B$4:$D$22,3,FALSE),"")</f>
        <v>2020 on 202011</v>
      </c>
      <c r="N69" s="88">
        <v>1700</v>
      </c>
      <c r="O69" s="124"/>
      <c r="P69" s="124"/>
    </row>
    <row r="70" spans="1:18">
      <c r="A70" s="89" t="s">
        <v>230</v>
      </c>
      <c r="B70" s="135" t="s">
        <v>560</v>
      </c>
      <c r="C70" s="89" t="e">
        <f>VLOOKUP(B70,正厂竞争者数据汇总!D:H,2,FALSE)</f>
        <v>#N/A</v>
      </c>
      <c r="D70" s="89" t="e">
        <f>VLOOKUP(B70,正厂竞争者数据汇总!D:H,3,FALSE)</f>
        <v>#N/A</v>
      </c>
      <c r="E70" s="91" t="e">
        <f>VLOOKUP(B70,正厂竞争者数据汇总!D:H,5,FALSE)</f>
        <v>#N/A</v>
      </c>
      <c r="F70" s="91">
        <v>59687.25</v>
      </c>
      <c r="G70" s="92">
        <f>F70/F$77</f>
        <v>0.134191374844871</v>
      </c>
      <c r="H70" s="92">
        <v>0.164434622773784</v>
      </c>
      <c r="I70" s="92" t="str">
        <f t="shared" si="7"/>
        <v/>
      </c>
      <c r="J70" s="93" t="str">
        <f>IFERROR(F70*VLOOKUP(D70,说明!A$33:B$44,2,FALSE),"")</f>
        <v/>
      </c>
      <c r="K70" s="118" t="e">
        <f>VLOOKUP(B70,正厂竞争者数据汇总!D:H,11,FALSE)</f>
        <v>#N/A</v>
      </c>
      <c r="L70" s="89" t="str">
        <f>IFERROR(VLOOKUP(B70,'Competitive Matrix'!$B$4:$D$22,2,FALSE),"")</f>
        <v/>
      </c>
      <c r="M70" s="89" t="str">
        <f>IFERROR(VLOOKUP(B70,'Competitive Matrix'!$B$4:$D$22,3,FALSE),"")</f>
        <v/>
      </c>
      <c r="N70" s="89">
        <v>1300</v>
      </c>
      <c r="O70" s="138"/>
      <c r="R70" s="88"/>
    </row>
    <row r="71" ht="28.8" spans="1:15">
      <c r="A71" s="89" t="s">
        <v>230</v>
      </c>
      <c r="B71" s="135" t="s">
        <v>4391</v>
      </c>
      <c r="C71" s="89" t="e">
        <f>VLOOKUP(B71,正厂竞争者数据汇总!D:H,2,FALSE)</f>
        <v>#N/A</v>
      </c>
      <c r="D71" s="89" t="e">
        <f>VLOOKUP(B71,正厂竞争者数据汇总!D:H,3,FALSE)</f>
        <v>#N/A</v>
      </c>
      <c r="E71" s="91" t="e">
        <f>VLOOKUP(B71,正厂竞争者数据汇总!D:H,5,FALSE)</f>
        <v>#N/A</v>
      </c>
      <c r="F71" s="91">
        <v>15296.3333333333</v>
      </c>
      <c r="G71" s="92">
        <f>F71/F$77</f>
        <v>0.0343898571317229</v>
      </c>
      <c r="H71" s="92">
        <v>0.0344467764242809</v>
      </c>
      <c r="I71" s="92" t="str">
        <f t="shared" si="7"/>
        <v/>
      </c>
      <c r="J71" s="93" t="str">
        <f>IFERROR(F71*VLOOKUP(D71,说明!A$33:B$44,2,FALSE),"")</f>
        <v/>
      </c>
      <c r="K71" s="118" t="e">
        <f>VLOOKUP(B71,正厂竞争者数据汇总!D:H,11,FALSE)</f>
        <v>#N/A</v>
      </c>
      <c r="L71" s="89" t="str">
        <f>IFERROR(VLOOKUP(B71,'Competitive Matrix'!$B$4:$D$22,2,FALSE),"")</f>
        <v/>
      </c>
      <c r="M71" s="89" t="str">
        <f>IFERROR(VLOOKUP(B71,'Competitive Matrix'!$B$4:$D$22,3,FALSE),"")</f>
        <v/>
      </c>
      <c r="N71" s="89">
        <v>108</v>
      </c>
      <c r="O71" s="126" t="s">
        <v>4396</v>
      </c>
    </row>
    <row r="72" ht="14.4" spans="1:14">
      <c r="A72" s="89" t="s">
        <v>367</v>
      </c>
      <c r="B72" s="108" t="s">
        <v>5225</v>
      </c>
      <c r="C72" s="89" t="e">
        <f>VLOOKUP(B72,正厂竞争者数据汇总!D:H,2,FALSE)</f>
        <v>#N/A</v>
      </c>
      <c r="D72" s="89" t="e">
        <f>VLOOKUP(B72,正厂竞争者数据汇总!D:H,3,FALSE)</f>
        <v>#N/A</v>
      </c>
      <c r="E72" s="91" t="e">
        <f>VLOOKUP(B72,正厂竞争者数据汇总!D:H,5,FALSE)</f>
        <v>#N/A</v>
      </c>
      <c r="F72" s="91">
        <v>12569.5</v>
      </c>
      <c r="G72" s="92">
        <f>F72/F$77</f>
        <v>0.0282592762459756</v>
      </c>
      <c r="H72" s="92">
        <v>0.0333165898282063</v>
      </c>
      <c r="I72" s="92" t="str">
        <f t="shared" si="7"/>
        <v/>
      </c>
      <c r="J72" s="93" t="str">
        <f>IFERROR(F72*VLOOKUP(D72,说明!A$33:B$44,2,FALSE),"")</f>
        <v/>
      </c>
      <c r="K72" s="129" t="s">
        <v>6215</v>
      </c>
      <c r="L72" s="89" t="str">
        <f>IFERROR(VLOOKUP(B72,'Competitive Matrix'!$B$4:$D$22,2,FALSE),"")</f>
        <v/>
      </c>
      <c r="M72" s="89" t="str">
        <f>IFERROR(VLOOKUP(B72,'Competitive Matrix'!$B$4:$D$22,3,FALSE),"")</f>
        <v/>
      </c>
      <c r="N72" s="89">
        <v>639</v>
      </c>
    </row>
    <row r="73" spans="2:14">
      <c r="B73" s="89" t="s">
        <v>4399</v>
      </c>
      <c r="C73" s="89" t="e">
        <f>VLOOKUP(B73,正厂竞争者数据汇总!D:H,2,FALSE)</f>
        <v>#N/A</v>
      </c>
      <c r="D73" s="89" t="e">
        <f>VLOOKUP(B73,正厂竞争者数据汇总!D:H,3,FALSE)</f>
        <v>#N/A</v>
      </c>
      <c r="E73" s="91" t="e">
        <f>VLOOKUP(B73,正厂竞争者数据汇总!D:H,5,FALSE)</f>
        <v>#N/A</v>
      </c>
      <c r="F73" s="91">
        <v>32710.5833333333</v>
      </c>
      <c r="G73" s="92"/>
      <c r="H73" s="92"/>
      <c r="I73" s="92" t="str">
        <f t="shared" si="7"/>
        <v/>
      </c>
      <c r="J73" s="93" t="str">
        <f>IFERROR(F73*VLOOKUP(D73,说明!A$33:B$44,2,FALSE),"")</f>
        <v/>
      </c>
      <c r="K73" s="118" t="e">
        <f>VLOOKUP(B73,正厂竞争者数据汇总!D:H,11,FALSE)</f>
        <v>#N/A</v>
      </c>
      <c r="L73" s="89" t="str">
        <f>IFERROR(VLOOKUP(B73,'Competitive Matrix'!$B$4:$D$22,2,FALSE),"")</f>
        <v/>
      </c>
      <c r="M73" s="89" t="str">
        <f>IFERROR(VLOOKUP(B73,'Competitive Matrix'!$B$4:$D$22,3,FALSE),"")</f>
        <v/>
      </c>
      <c r="N73" s="89">
        <v>976</v>
      </c>
    </row>
    <row r="74" s="88" customFormat="1" ht="14.4" spans="1:16">
      <c r="A74" s="88" t="s">
        <v>227</v>
      </c>
      <c r="B74" s="134" t="s">
        <v>4400</v>
      </c>
      <c r="C74" s="88" t="e">
        <f>VLOOKUP(B74,正厂竞争者数据汇总!D:H,2,FALSE)</f>
        <v>#N/A</v>
      </c>
      <c r="D74" s="88" t="e">
        <f>VLOOKUP(B74,正厂竞争者数据汇总!D:H,3,FALSE)</f>
        <v>#N/A</v>
      </c>
      <c r="E74" s="106" t="e">
        <f>VLOOKUP(B74,正厂竞争者数据汇总!D:H,5,FALSE)</f>
        <v>#N/A</v>
      </c>
      <c r="F74" s="106">
        <v>592.833333333333</v>
      </c>
      <c r="G74" s="110"/>
      <c r="H74" s="110"/>
      <c r="I74" s="110" t="str">
        <f t="shared" si="7"/>
        <v/>
      </c>
      <c r="J74" s="121" t="str">
        <f>IFERROR(F74*VLOOKUP(D74,说明!A$33:B$44,2,FALSE),"")</f>
        <v/>
      </c>
      <c r="K74" s="129" t="s">
        <v>6212</v>
      </c>
      <c r="L74" s="88" t="str">
        <f>IFERROR(VLOOKUP(B74,'Competitive Matrix'!$B$4:$D$22,2,FALSE),"")</f>
        <v/>
      </c>
      <c r="M74" s="88" t="str">
        <f>IFERROR(VLOOKUP(B74,'Competitive Matrix'!$B$4:$D$22,3,FALSE),"")</f>
        <v/>
      </c>
      <c r="N74" s="88">
        <v>77</v>
      </c>
      <c r="O74" s="126"/>
      <c r="P74" s="126"/>
    </row>
    <row r="75" spans="1:14">
      <c r="A75" s="89" t="s">
        <v>230</v>
      </c>
      <c r="B75" s="89" t="s">
        <v>563</v>
      </c>
      <c r="C75" s="89" t="e">
        <f>VLOOKUP(B75,正厂竞争者数据汇总!D:H,2,FALSE)</f>
        <v>#N/A</v>
      </c>
      <c r="D75" s="89" t="e">
        <f>VLOOKUP(B75,正厂竞争者数据汇总!D:H,3,FALSE)</f>
        <v>#N/A</v>
      </c>
      <c r="E75" s="91" t="e">
        <f>VLOOKUP(B75,正厂竞争者数据汇总!D:H,5,FALSE)</f>
        <v>#N/A</v>
      </c>
      <c r="F75" s="91">
        <v>19689.75</v>
      </c>
      <c r="G75" s="92">
        <f>F75/F$77</f>
        <v>0.0442673204554039</v>
      </c>
      <c r="H75" s="92">
        <v>0.0579325912581372</v>
      </c>
      <c r="I75" s="92" t="str">
        <f t="shared" si="7"/>
        <v/>
      </c>
      <c r="J75" s="93" t="str">
        <f>IFERROR(F75*VLOOKUP(D75,说明!A$33:B$44,2,FALSE),"")</f>
        <v/>
      </c>
      <c r="K75" s="118" t="e">
        <f>VLOOKUP(B75,正厂竞争者数据汇总!D:H,11,FALSE)</f>
        <v>#N/A</v>
      </c>
      <c r="L75" s="89" t="str">
        <f>IFERROR(VLOOKUP(B75,'Competitive Matrix'!$B$4:$D$22,2,FALSE),"")</f>
        <v/>
      </c>
      <c r="M75" s="89" t="str">
        <f>IFERROR(VLOOKUP(B75,'Competitive Matrix'!$B$4:$D$22,3,FALSE),"")</f>
        <v/>
      </c>
      <c r="N75" s="89">
        <v>136</v>
      </c>
    </row>
    <row r="76" spans="1:14">
      <c r="A76" s="89" t="s">
        <v>230</v>
      </c>
      <c r="B76" s="108" t="s">
        <v>558</v>
      </c>
      <c r="C76" s="89" t="e">
        <f>VLOOKUP(B76,正厂竞争者数据汇总!D:H,2,FALSE)</f>
        <v>#N/A</v>
      </c>
      <c r="D76" s="89" t="e">
        <f>VLOOKUP(B76,正厂竞争者数据汇总!D:H,3,FALSE)</f>
        <v>#N/A</v>
      </c>
      <c r="E76" s="91" t="e">
        <f>VLOOKUP(B76,正厂竞争者数据汇总!D:H,5,FALSE)</f>
        <v>#N/A</v>
      </c>
      <c r="F76" s="91">
        <v>15232.5</v>
      </c>
      <c r="G76" s="92">
        <f>F76/F$77</f>
        <v>0.0342463443587115</v>
      </c>
      <c r="H76" s="92">
        <v>0.0333352642990232</v>
      </c>
      <c r="I76" s="92" t="str">
        <f t="shared" si="7"/>
        <v/>
      </c>
      <c r="J76" s="93" t="str">
        <f>IFERROR(F76*VLOOKUP(D76,说明!A$33:B$44,2,FALSE),"")</f>
        <v/>
      </c>
      <c r="K76" s="118" t="e">
        <f>VLOOKUP(B76,正厂竞争者数据汇总!D:H,11,FALSE)</f>
        <v>#N/A</v>
      </c>
      <c r="L76" s="89" t="str">
        <f>IFERROR(VLOOKUP(B76,'Competitive Matrix'!$B$4:$D$22,2,FALSE),"")</f>
        <v/>
      </c>
      <c r="M76" s="89" t="str">
        <f>IFERROR(VLOOKUP(B76,'Competitive Matrix'!$B$4:$D$22,3,FALSE),"")</f>
        <v/>
      </c>
      <c r="N76" s="89" t="s">
        <v>5419</v>
      </c>
    </row>
    <row r="77" spans="3:9">
      <c r="C77" s="89"/>
      <c r="E77" s="91"/>
      <c r="F77" s="91">
        <v>444792</v>
      </c>
      <c r="G77" s="109"/>
      <c r="H77" s="109"/>
      <c r="I77" s="109">
        <f>SUM(I68:I76)</f>
        <v>0</v>
      </c>
    </row>
    <row r="78" spans="3:9">
      <c r="C78" s="89"/>
      <c r="E78" s="91"/>
      <c r="G78" s="109"/>
      <c r="H78" s="109"/>
      <c r="I78" s="109"/>
    </row>
    <row r="79" ht="14.4" customHeight="1" spans="1:22">
      <c r="A79" s="96" t="s">
        <v>274</v>
      </c>
      <c r="B79" s="97"/>
      <c r="C79" s="98"/>
      <c r="E79" s="99" t="s">
        <v>2</v>
      </c>
      <c r="F79" s="100"/>
      <c r="G79" s="100"/>
      <c r="H79" s="100"/>
      <c r="I79" s="115"/>
      <c r="J79" s="100"/>
      <c r="K79" s="95"/>
      <c r="L79" s="102"/>
      <c r="M79" s="102"/>
      <c r="O79" s="128"/>
      <c r="P79" s="128"/>
      <c r="Q79" s="128"/>
      <c r="R79" s="132"/>
      <c r="S79" s="116"/>
      <c r="T79" s="128"/>
      <c r="U79" s="128"/>
      <c r="V79" s="132"/>
    </row>
    <row r="80" ht="46.8" spans="1:22">
      <c r="A80" s="101" t="s">
        <v>3944</v>
      </c>
      <c r="B80" s="102" t="s">
        <v>207</v>
      </c>
      <c r="C80" s="101" t="s">
        <v>447</v>
      </c>
      <c r="D80" s="89" t="s">
        <v>209</v>
      </c>
      <c r="E80" s="101" t="s">
        <v>210</v>
      </c>
      <c r="F80" s="103" t="s">
        <v>6086</v>
      </c>
      <c r="G80" s="104" t="s">
        <v>6235</v>
      </c>
      <c r="H80" s="104" t="s">
        <v>6233</v>
      </c>
      <c r="I80" s="117" t="s">
        <v>6196</v>
      </c>
      <c r="J80" s="93" t="s">
        <v>6197</v>
      </c>
      <c r="K80" s="95"/>
      <c r="L80" s="119" t="s">
        <v>6091</v>
      </c>
      <c r="M80" s="119" t="s">
        <v>6092</v>
      </c>
      <c r="N80" s="120" t="s">
        <v>6198</v>
      </c>
      <c r="O80" s="119" t="s">
        <v>225</v>
      </c>
      <c r="P80" s="120" t="s">
        <v>226</v>
      </c>
      <c r="Q80" s="119"/>
      <c r="R80" s="119"/>
      <c r="S80" s="119"/>
      <c r="T80" s="119"/>
      <c r="U80" s="119"/>
      <c r="V80" s="119"/>
    </row>
    <row r="81" s="88" customFormat="1" ht="14.4" spans="1:16">
      <c r="A81" s="88" t="s">
        <v>227</v>
      </c>
      <c r="B81" s="105" t="s">
        <v>564</v>
      </c>
      <c r="C81" s="88" t="e">
        <f>VLOOKUP(B81,正厂竞争者数据汇总!D:H,2,FALSE)</f>
        <v>#N/A</v>
      </c>
      <c r="D81" s="88" t="e">
        <f>VLOOKUP(B81,正厂竞争者数据汇总!D:H,3,FALSE)</f>
        <v>#N/A</v>
      </c>
      <c r="E81" s="106" t="e">
        <f>VLOOKUP(B81,正厂竞争者数据汇总!D:H,5,FALSE)</f>
        <v>#N/A</v>
      </c>
      <c r="F81" s="106">
        <v>230880.666666667</v>
      </c>
      <c r="G81" s="107">
        <f>F81/F$88</f>
        <v>0.483742765861678</v>
      </c>
      <c r="H81" s="107">
        <v>0.497067590066043</v>
      </c>
      <c r="I81" s="107" t="str">
        <f t="shared" ref="I81:I87" si="8">IFERROR(J81*0.5/$F$81,"")</f>
        <v/>
      </c>
      <c r="J81" s="121" t="str">
        <f>IFERROR(F81*VLOOKUP(D81,说明!A$33:B$44,2,FALSE),"")</f>
        <v/>
      </c>
      <c r="K81" s="122" t="e">
        <f>VLOOKUP(B81,正厂竞争者数据汇总!D:H,11,FALSE)</f>
        <v>#N/A</v>
      </c>
      <c r="L81" s="88" t="str">
        <f>IFERROR(VLOOKUP(B81,'Competitive Matrix'!$B$4:$D$22,2,FALSE),"")</f>
        <v>L:80% N:53% D:69% 有销售:88%</v>
      </c>
      <c r="M81" s="88" t="str">
        <f>IFERROR(VLOOKUP(B81,'Competitive Matrix'!$B$4:$D$22,3,FALSE),"")</f>
        <v>2020 on 202011</v>
      </c>
      <c r="N81" s="88">
        <v>1200</v>
      </c>
      <c r="O81" s="124"/>
      <c r="P81" s="124"/>
    </row>
    <row r="82" ht="24" customHeight="1" spans="1:14">
      <c r="A82" s="89" t="s">
        <v>230</v>
      </c>
      <c r="B82" s="108" t="s">
        <v>568</v>
      </c>
      <c r="C82" s="89" t="e">
        <f>VLOOKUP(B82,正厂竞争者数据汇总!D:H,2,FALSE)</f>
        <v>#N/A</v>
      </c>
      <c r="D82" s="89" t="e">
        <f>VLOOKUP(B82,正厂竞争者数据汇总!D:H,3,FALSE)</f>
        <v>#N/A</v>
      </c>
      <c r="E82" s="91" t="e">
        <f>VLOOKUP(B82,正厂竞争者数据汇总!D:H,5,FALSE)</f>
        <v>#N/A</v>
      </c>
      <c r="F82" s="91">
        <v>106618.583333333</v>
      </c>
      <c r="G82" s="109">
        <f>F82/F$88</f>
        <v>0.223387991461333</v>
      </c>
      <c r="H82" s="109">
        <v>0.216707504745434</v>
      </c>
      <c r="I82" s="109" t="str">
        <f t="shared" si="8"/>
        <v/>
      </c>
      <c r="J82" s="93" t="str">
        <f>IFERROR(F82*VLOOKUP(D82,说明!A$33:B$44,2,FALSE),"")</f>
        <v/>
      </c>
      <c r="K82" s="118" t="e">
        <f>VLOOKUP(B82,正厂竞争者数据汇总!D:H,11,FALSE)</f>
        <v>#N/A</v>
      </c>
      <c r="L82" s="89" t="str">
        <f>IFERROR(VLOOKUP(B82,'Competitive Matrix'!$B$4:$D$22,2,FALSE),"")</f>
        <v/>
      </c>
      <c r="M82" s="89" t="str">
        <f>IFERROR(VLOOKUP(B82,'Competitive Matrix'!$B$4:$D$22,3,FALSE),"")</f>
        <v/>
      </c>
      <c r="N82" s="89">
        <v>354</v>
      </c>
    </row>
    <row r="83" ht="61.2" customHeight="1" spans="1:18">
      <c r="A83" s="89" t="s">
        <v>391</v>
      </c>
      <c r="B83" s="108" t="s">
        <v>565</v>
      </c>
      <c r="C83" s="89" t="e">
        <f>VLOOKUP(B83,正厂竞争者数据汇总!D:H,2,FALSE)</f>
        <v>#N/A</v>
      </c>
      <c r="D83" s="89" t="e">
        <f>VLOOKUP(B83,正厂竞争者数据汇总!D:H,3,FALSE)</f>
        <v>#N/A</v>
      </c>
      <c r="E83" s="91" t="e">
        <f>VLOOKUP(B83,正厂竞争者数据汇总!D:H,5,FALSE)</f>
        <v>#N/A</v>
      </c>
      <c r="F83" s="91">
        <v>48851.1666666667</v>
      </c>
      <c r="G83" s="109">
        <f>F83/F$88</f>
        <v>0.102353301469893</v>
      </c>
      <c r="H83" s="109">
        <v>0.0905996859965178</v>
      </c>
      <c r="I83" s="109" t="str">
        <f t="shared" si="8"/>
        <v/>
      </c>
      <c r="J83" s="93" t="str">
        <f>IFERROR(F83*VLOOKUP(D83,说明!A$33:B$44,2,FALSE),"")</f>
        <v/>
      </c>
      <c r="K83" s="118" t="e">
        <f>VLOOKUP(B83,正厂竞争者数据汇总!D:H,11,FALSE)</f>
        <v>#N/A</v>
      </c>
      <c r="L83" s="89" t="str">
        <f>IFERROR(VLOOKUP(B83,'Competitive Matrix'!$B$4:$D$22,2,FALSE),"")</f>
        <v/>
      </c>
      <c r="M83" s="89" t="str">
        <f>IFERROR(VLOOKUP(B83,'Competitive Matrix'!$B$4:$D$22,3,FALSE),"")</f>
        <v/>
      </c>
      <c r="N83" s="89">
        <v>516</v>
      </c>
      <c r="O83" s="124"/>
      <c r="P83" s="125"/>
      <c r="Q83" s="133"/>
      <c r="R83" s="133"/>
    </row>
    <row r="84" spans="1:18">
      <c r="A84" s="89" t="s">
        <v>391</v>
      </c>
      <c r="B84" s="108" t="s">
        <v>567</v>
      </c>
      <c r="C84" s="89" t="e">
        <f>VLOOKUP(B84,正厂竞争者数据汇总!D:H,2,FALSE)</f>
        <v>#N/A</v>
      </c>
      <c r="D84" s="89" t="e">
        <f>VLOOKUP(B84,正厂竞争者数据汇总!D:H,3,FALSE)</f>
        <v>#N/A</v>
      </c>
      <c r="E84" s="91" t="e">
        <f>VLOOKUP(B84,正厂竞争者数据汇总!D:H,5,FALSE)</f>
        <v>#N/A</v>
      </c>
      <c r="F84" s="91">
        <v>33935</v>
      </c>
      <c r="G84" s="109">
        <f>F84/F$88</f>
        <v>0.0711008461493066</v>
      </c>
      <c r="H84" s="109">
        <v>0.07566099754816</v>
      </c>
      <c r="I84" s="109" t="str">
        <f t="shared" si="8"/>
        <v/>
      </c>
      <c r="J84" s="93" t="str">
        <f>IFERROR(F84*VLOOKUP(D84,说明!A$33:B$44,2,FALSE),"")</f>
        <v/>
      </c>
      <c r="K84" s="118" t="e">
        <f>VLOOKUP(B84,正厂竞争者数据汇总!D:H,11,FALSE)</f>
        <v>#N/A</v>
      </c>
      <c r="L84" s="89" t="str">
        <f>IFERROR(VLOOKUP(B84,'Competitive Matrix'!$B$4:$D$22,2,FALSE),"")</f>
        <v/>
      </c>
      <c r="M84" s="89" t="str">
        <f>IFERROR(VLOOKUP(B84,'Competitive Matrix'!$B$4:$D$22,3,FALSE),"")</f>
        <v/>
      </c>
      <c r="N84" s="89">
        <v>656</v>
      </c>
      <c r="Q84" s="133"/>
      <c r="R84" s="133"/>
    </row>
    <row r="85" ht="14.4" spans="1:15">
      <c r="A85" s="89" t="s">
        <v>446</v>
      </c>
      <c r="B85" s="89" t="s">
        <v>4425</v>
      </c>
      <c r="C85" s="89" t="e">
        <f>VLOOKUP(B85,正厂竞争者数据汇总!D:H,2,FALSE)</f>
        <v>#N/A</v>
      </c>
      <c r="D85" s="89" t="e">
        <f>VLOOKUP(B85,正厂竞争者数据汇总!D:H,3,FALSE)</f>
        <v>#N/A</v>
      </c>
      <c r="E85" s="91" t="e">
        <f>VLOOKUP(B85,正厂竞争者数据汇总!D:H,5,FALSE)</f>
        <v>#N/A</v>
      </c>
      <c r="F85" s="91">
        <v>38998.3333333333</v>
      </c>
      <c r="G85" s="109">
        <f>F85/F$88</f>
        <v>0.0817095770859792</v>
      </c>
      <c r="H85" s="109">
        <v>0.0816453766914235</v>
      </c>
      <c r="I85" s="109" t="str">
        <f t="shared" si="8"/>
        <v/>
      </c>
      <c r="J85" s="93" t="str">
        <f>IFERROR(F85*VLOOKUP(D85,说明!A$33:B$44,2,FALSE),"")</f>
        <v/>
      </c>
      <c r="K85" s="118" t="e">
        <f>VLOOKUP(B85,正厂竞争者数据汇总!D:H,11,FALSE)</f>
        <v>#N/A</v>
      </c>
      <c r="L85" s="89" t="str">
        <f>IFERROR(VLOOKUP(B85,'Competitive Matrix'!$B$4:$D$22,2,FALSE),"")</f>
        <v/>
      </c>
      <c r="M85" s="89" t="str">
        <f>IFERROR(VLOOKUP(B85,'Competitive Matrix'!$B$4:$D$22,3,FALSE),"")</f>
        <v/>
      </c>
      <c r="N85" s="89">
        <v>893</v>
      </c>
      <c r="O85" s="125"/>
    </row>
    <row r="86" spans="2:14">
      <c r="B86" s="108" t="s">
        <v>4429</v>
      </c>
      <c r="C86" s="89" t="e">
        <f>VLOOKUP(B86,正厂竞争者数据汇总!D:H,2,FALSE)</f>
        <v>#N/A</v>
      </c>
      <c r="D86" s="89" t="e">
        <f>VLOOKUP(B86,正厂竞争者数据汇总!D:H,3,FALSE)</f>
        <v>#N/A</v>
      </c>
      <c r="E86" s="91" t="e">
        <f>VLOOKUP(B86,正厂竞争者数据汇总!D:H,5,FALSE)</f>
        <v>#N/A</v>
      </c>
      <c r="F86" s="91">
        <v>22748.75</v>
      </c>
      <c r="G86" s="109"/>
      <c r="H86" s="109"/>
      <c r="I86" s="109" t="str">
        <f t="shared" si="8"/>
        <v/>
      </c>
      <c r="J86" s="93" t="str">
        <f>IFERROR(F86*VLOOKUP(D86,说明!A$33:B$44,2,FALSE),"")</f>
        <v/>
      </c>
      <c r="K86" s="118" t="e">
        <f>VLOOKUP(B86,正厂竞争者数据汇总!D:H,11,FALSE)</f>
        <v>#N/A</v>
      </c>
      <c r="L86" s="89" t="str">
        <f>IFERROR(VLOOKUP(B86,'Competitive Matrix'!$B$4:$D$22,2,FALSE),"")</f>
        <v/>
      </c>
      <c r="M86" s="89" t="str">
        <f>IFERROR(VLOOKUP(B86,'Competitive Matrix'!$B$4:$D$22,3,FALSE),"")</f>
        <v/>
      </c>
      <c r="N86" s="89">
        <v>571</v>
      </c>
    </row>
    <row r="87" ht="28.8" spans="1:15">
      <c r="A87" s="89" t="s">
        <v>391</v>
      </c>
      <c r="B87" s="89" t="s">
        <v>569</v>
      </c>
      <c r="C87" s="89" t="e">
        <f>VLOOKUP(B87,正厂竞争者数据汇总!D:H,2,FALSE)</f>
        <v>#N/A</v>
      </c>
      <c r="D87" s="89" t="e">
        <f>VLOOKUP(B87,正厂竞争者数据汇总!D:H,3,FALSE)</f>
        <v>#N/A</v>
      </c>
      <c r="E87" s="91" t="e">
        <f>VLOOKUP(B87,正厂竞争者数据汇总!D:H,5,FALSE)</f>
        <v>#N/A</v>
      </c>
      <c r="F87" s="91">
        <v>17996.0833333333</v>
      </c>
      <c r="G87" s="109">
        <f>F87/F$88</f>
        <v>0.0377055179718117</v>
      </c>
      <c r="H87" s="109">
        <v>0.0383188449524212</v>
      </c>
      <c r="I87" s="109" t="str">
        <f t="shared" si="8"/>
        <v/>
      </c>
      <c r="J87" s="93" t="str">
        <f>IFERROR(F87*VLOOKUP(D87,说明!A$33:B$44,2,FALSE),"")</f>
        <v/>
      </c>
      <c r="K87" s="118" t="e">
        <f>VLOOKUP(B87,正厂竞争者数据汇总!D:H,11,FALSE)</f>
        <v>#N/A</v>
      </c>
      <c r="L87" s="89" t="str">
        <f>IFERROR(VLOOKUP(B87,'Competitive Matrix'!$B$4:$D$22,2,FALSE),"")</f>
        <v/>
      </c>
      <c r="M87" s="89" t="str">
        <f>IFERROR(VLOOKUP(B87,'Competitive Matrix'!$B$4:$D$22,3,FALSE),"")</f>
        <v/>
      </c>
      <c r="N87" s="89">
        <v>225</v>
      </c>
      <c r="O87" s="126" t="s">
        <v>4432</v>
      </c>
    </row>
    <row r="88" spans="5:11">
      <c r="E88" s="91"/>
      <c r="F88" s="91">
        <v>477279.833333333</v>
      </c>
      <c r="I88" s="109">
        <f>SUM(I81:I87)</f>
        <v>0</v>
      </c>
      <c r="K88" s="95"/>
    </row>
    <row r="89" spans="5:5">
      <c r="E89" s="91"/>
    </row>
    <row r="90" ht="14.4" customHeight="1" spans="1:22">
      <c r="A90" s="96" t="s">
        <v>165</v>
      </c>
      <c r="B90" s="97"/>
      <c r="C90" s="98"/>
      <c r="E90" s="99" t="s">
        <v>2</v>
      </c>
      <c r="F90" s="100"/>
      <c r="G90" s="100"/>
      <c r="H90" s="100"/>
      <c r="I90" s="115"/>
      <c r="J90" s="100"/>
      <c r="L90" s="102"/>
      <c r="M90" s="102"/>
      <c r="O90" s="128"/>
      <c r="P90" s="128"/>
      <c r="Q90" s="128"/>
      <c r="R90" s="132"/>
      <c r="S90" s="116"/>
      <c r="T90" s="128"/>
      <c r="U90" s="128"/>
      <c r="V90" s="132"/>
    </row>
    <row r="91" ht="46.8" spans="1:22">
      <c r="A91" s="101" t="s">
        <v>3944</v>
      </c>
      <c r="B91" s="102" t="s">
        <v>207</v>
      </c>
      <c r="C91" s="101" t="s">
        <v>447</v>
      </c>
      <c r="D91" s="89" t="s">
        <v>209</v>
      </c>
      <c r="E91" s="101" t="s">
        <v>210</v>
      </c>
      <c r="F91" s="103" t="s">
        <v>6086</v>
      </c>
      <c r="G91" s="104" t="s">
        <v>6235</v>
      </c>
      <c r="H91" s="104" t="s">
        <v>6233</v>
      </c>
      <c r="I91" s="117" t="s">
        <v>6196</v>
      </c>
      <c r="J91" s="93" t="s">
        <v>6197</v>
      </c>
      <c r="K91" s="118" t="s">
        <v>0</v>
      </c>
      <c r="L91" s="119" t="s">
        <v>6091</v>
      </c>
      <c r="M91" s="119" t="s">
        <v>6092</v>
      </c>
      <c r="N91" s="120" t="s">
        <v>6198</v>
      </c>
      <c r="O91" s="119" t="s">
        <v>225</v>
      </c>
      <c r="P91" s="120" t="s">
        <v>226</v>
      </c>
      <c r="Q91" s="119"/>
      <c r="R91" s="119"/>
      <c r="S91" s="119"/>
      <c r="T91" s="119"/>
      <c r="U91" s="119"/>
      <c r="V91" s="119"/>
    </row>
    <row r="92" spans="1:14">
      <c r="A92" s="89" t="s">
        <v>4435</v>
      </c>
      <c r="B92" s="108" t="s">
        <v>577</v>
      </c>
      <c r="C92" s="89" t="str">
        <f>VLOOKUP(B92,正厂竞争者数据汇总!D:H,2,FALSE)</f>
        <v>原厂目录</v>
      </c>
      <c r="D92" s="89" t="str">
        <f>VLOOKUP(B92,正厂竞争者数据汇总!D:H,3,FALSE)</f>
        <v>-</v>
      </c>
      <c r="E92" s="91">
        <f>VLOOKUP(B92,正厂竞争者数据汇总!D:H,5,FALSE)</f>
        <v>718429.083333333</v>
      </c>
      <c r="F92" s="91">
        <v>295153</v>
      </c>
      <c r="I92" s="109" t="str">
        <f t="shared" ref="I92:I99" si="9">IFERROR(J92*0.5/$F$97,"")</f>
        <v/>
      </c>
      <c r="J92" s="93" t="str">
        <f>IFERROR(F92*VLOOKUP(D92,说明!A$33:B$44,2,FALSE),"")</f>
        <v/>
      </c>
      <c r="K92" s="118" t="e">
        <f>VLOOKUP(B92,正厂竞争者数据汇总!D:H,11,FALSE)</f>
        <v>#REF!</v>
      </c>
      <c r="L92" s="89" t="str">
        <f>IFERROR(VLOOKUP(B92,'Competitive Matrix'!$B$4:$D$22,2,FALSE),"")</f>
        <v/>
      </c>
      <c r="M92" s="89" t="str">
        <f>IFERROR(VLOOKUP(B92,'Competitive Matrix'!$B$4:$D$22,3,FALSE),"")</f>
        <v/>
      </c>
      <c r="N92" s="89" t="s">
        <v>5419</v>
      </c>
    </row>
    <row r="93" spans="1:15">
      <c r="A93" s="89" t="s">
        <v>230</v>
      </c>
      <c r="B93" s="108" t="s">
        <v>570</v>
      </c>
      <c r="C93" s="89" t="e">
        <f>VLOOKUP(B93,正厂竞争者数据汇总!D:H,2,FALSE)</f>
        <v>#N/A</v>
      </c>
      <c r="D93" s="89" t="e">
        <f>VLOOKUP(B93,正厂竞争者数据汇总!D:H,3,FALSE)</f>
        <v>#N/A</v>
      </c>
      <c r="E93" s="91" t="e">
        <f>VLOOKUP(B93,正厂竞争者数据汇总!D:H,5,FALSE)</f>
        <v>#N/A</v>
      </c>
      <c r="F93" s="91">
        <v>161287.333333333</v>
      </c>
      <c r="G93" s="109">
        <f t="shared" ref="G93:G99" si="10">F93/F$100</f>
        <v>0.33520583715469</v>
      </c>
      <c r="H93" s="109">
        <v>0.329144484305362</v>
      </c>
      <c r="I93" s="109" t="str">
        <f t="shared" si="9"/>
        <v/>
      </c>
      <c r="J93" s="93" t="str">
        <f>IFERROR(F93*VLOOKUP(D93,说明!A$33:B$44,2,FALSE),"")</f>
        <v/>
      </c>
      <c r="K93" s="118" t="e">
        <f>VLOOKUP(B93,正厂竞争者数据汇总!D:H,11,FALSE)</f>
        <v>#N/A</v>
      </c>
      <c r="L93" s="89" t="str">
        <f>IFERROR(VLOOKUP(B93,'Competitive Matrix'!$B$4:$D$22,2,FALSE),"")</f>
        <v/>
      </c>
      <c r="M93" s="89" t="str">
        <f>IFERROR(VLOOKUP(B93,'Competitive Matrix'!$B$4:$D$22,3,FALSE),"")</f>
        <v/>
      </c>
      <c r="N93" s="89">
        <v>474</v>
      </c>
      <c r="O93" s="126"/>
    </row>
    <row r="94" ht="24.6" customHeight="1" spans="1:16">
      <c r="A94" s="89" t="s">
        <v>230</v>
      </c>
      <c r="B94" s="108" t="s">
        <v>573</v>
      </c>
      <c r="C94" s="89" t="e">
        <f>VLOOKUP(B94,正厂竞争者数据汇总!D:H,2,FALSE)</f>
        <v>#N/A</v>
      </c>
      <c r="D94" s="89" t="e">
        <f>VLOOKUP(B94,正厂竞争者数据汇总!D:H,3,FALSE)</f>
        <v>#N/A</v>
      </c>
      <c r="E94" s="91" t="e">
        <f>VLOOKUP(B94,正厂竞争者数据汇总!D:H,5,FALSE)</f>
        <v>#N/A</v>
      </c>
      <c r="F94" s="91">
        <v>112301.916666667</v>
      </c>
      <c r="G94" s="109">
        <f t="shared" si="10"/>
        <v>0.233398725196397</v>
      </c>
      <c r="H94" s="109">
        <v>0.23845896014532</v>
      </c>
      <c r="I94" s="109" t="str">
        <f t="shared" si="9"/>
        <v/>
      </c>
      <c r="J94" s="93" t="str">
        <f>IFERROR(F94*VLOOKUP(D94,说明!A$33:B$44,2,FALSE),"")</f>
        <v/>
      </c>
      <c r="K94" s="118" t="e">
        <f>VLOOKUP(B94,正厂竞争者数据汇总!D:H,11,FALSE)</f>
        <v>#N/A</v>
      </c>
      <c r="L94" s="89" t="str">
        <f>IFERROR(VLOOKUP(B94,'Competitive Matrix'!$B$4:$D$22,2,FALSE),"")</f>
        <v/>
      </c>
      <c r="M94" s="89" t="str">
        <f>IFERROR(VLOOKUP(B94,'Competitive Matrix'!$B$4:$D$22,3,FALSE),"")</f>
        <v/>
      </c>
      <c r="N94" s="89">
        <v>1000</v>
      </c>
      <c r="O94" s="124"/>
      <c r="P94" s="125"/>
    </row>
    <row r="95" spans="1:22">
      <c r="A95" s="88" t="s">
        <v>227</v>
      </c>
      <c r="B95" s="105" t="s">
        <v>571</v>
      </c>
      <c r="C95" s="88" t="e">
        <f>VLOOKUP(B95,正厂竞争者数据汇总!D:H,2,FALSE)</f>
        <v>#N/A</v>
      </c>
      <c r="D95" s="88" t="e">
        <f>VLOOKUP(B95,正厂竞争者数据汇总!D:H,3,FALSE)</f>
        <v>#N/A</v>
      </c>
      <c r="E95" s="106" t="e">
        <f>VLOOKUP(B95,正厂竞争者数据汇总!D:H,5,FALSE)</f>
        <v>#N/A</v>
      </c>
      <c r="F95" s="106">
        <v>94412.4166666667</v>
      </c>
      <c r="G95" s="107">
        <f t="shared" si="10"/>
        <v>0.196218714219431</v>
      </c>
      <c r="H95" s="107">
        <v>0.133174908763631</v>
      </c>
      <c r="I95" s="107" t="str">
        <f t="shared" si="9"/>
        <v/>
      </c>
      <c r="J95" s="121" t="str">
        <f>IFERROR(F95*VLOOKUP(D95,说明!A$33:B$44,2,FALSE),"")</f>
        <v/>
      </c>
      <c r="K95" s="122" t="e">
        <f>VLOOKUP(B95,正厂竞争者数据汇总!D:H,11,FALSE)</f>
        <v>#N/A</v>
      </c>
      <c r="L95" s="88" t="str">
        <f>IFERROR(VLOOKUP(B95,'Competitive Matrix'!$B$4:$D$22,2,FALSE),"")</f>
        <v>L:74% N:17% D:89% 有销售:84%</v>
      </c>
      <c r="M95" s="88" t="str">
        <f>IFERROR(VLOOKUP(B95,'Competitive Matrix'!$B$4:$D$22,3,FALSE),"")</f>
        <v>2020 on 202011</v>
      </c>
      <c r="N95" s="88">
        <v>1100</v>
      </c>
      <c r="O95" s="88"/>
      <c r="P95" s="126"/>
      <c r="Q95" s="88"/>
      <c r="R95" s="88"/>
      <c r="S95" s="88"/>
      <c r="T95" s="88"/>
      <c r="U95" s="88"/>
      <c r="V95" s="88"/>
    </row>
    <row r="96" ht="14.4" spans="1:14">
      <c r="A96" s="89" t="s">
        <v>1992</v>
      </c>
      <c r="B96" s="89" t="s">
        <v>4454</v>
      </c>
      <c r="C96" s="89" t="e">
        <f>VLOOKUP(B96,正厂竞争者数据汇总!D:H,2,FALSE)</f>
        <v>#N/A</v>
      </c>
      <c r="D96" s="89" t="e">
        <f>VLOOKUP(B96,正厂竞争者数据汇总!D:H,3,FALSE)</f>
        <v>#N/A</v>
      </c>
      <c r="E96" s="91" t="e">
        <f>VLOOKUP(B96,正厂竞争者数据汇总!D:H,5,FALSE)</f>
        <v>#N/A</v>
      </c>
      <c r="F96" s="91">
        <v>51272.25</v>
      </c>
      <c r="G96" s="109">
        <f t="shared" si="10"/>
        <v>0.106559871310753</v>
      </c>
      <c r="H96" s="109">
        <v>0.10326995465228</v>
      </c>
      <c r="I96" s="109" t="str">
        <f t="shared" si="9"/>
        <v/>
      </c>
      <c r="J96" s="93" t="str">
        <f>IFERROR(F96*VLOOKUP(D96,说明!A$33:B$44,2,FALSE),"")</f>
        <v/>
      </c>
      <c r="K96" s="129" t="s">
        <v>6215</v>
      </c>
      <c r="L96" s="89" t="str">
        <f>IFERROR(VLOOKUP(B96,'Competitive Matrix'!$B$4:$D$22,2,FALSE),"")</f>
        <v/>
      </c>
      <c r="M96" s="89" t="str">
        <f>IFERROR(VLOOKUP(B96,'Competitive Matrix'!$B$4:$D$22,3,FALSE),"")</f>
        <v/>
      </c>
      <c r="N96" s="89">
        <v>801</v>
      </c>
    </row>
    <row r="97" s="88" customFormat="1" spans="1:22">
      <c r="A97" s="89" t="s">
        <v>230</v>
      </c>
      <c r="B97" s="108" t="s">
        <v>5231</v>
      </c>
      <c r="C97" s="89" t="e">
        <f>VLOOKUP(B97,正厂竞争者数据汇总!D:H,2,FALSE)</f>
        <v>#N/A</v>
      </c>
      <c r="D97" s="89" t="e">
        <f>VLOOKUP(B97,正厂竞争者数据汇总!D:H,3,FALSE)</f>
        <v>#N/A</v>
      </c>
      <c r="E97" s="91" t="e">
        <f>VLOOKUP(B97,正厂竞争者数据汇总!D:H,5,FALSE)</f>
        <v>#N/A</v>
      </c>
      <c r="F97" s="91">
        <v>7337.83333333333</v>
      </c>
      <c r="G97" s="109">
        <f t="shared" si="10"/>
        <v>0.0152503269448826</v>
      </c>
      <c r="H97" s="109">
        <v>0.0197108801770918</v>
      </c>
      <c r="I97" s="109" t="str">
        <f t="shared" si="9"/>
        <v/>
      </c>
      <c r="J97" s="93" t="str">
        <f>IFERROR(F97*VLOOKUP(D97,说明!A$33:B$44,2,FALSE),"")</f>
        <v/>
      </c>
      <c r="K97" s="118" t="e">
        <f>VLOOKUP(B97,正厂竞争者数据汇总!D:H,11,FALSE)</f>
        <v>#N/A</v>
      </c>
      <c r="L97" s="89" t="str">
        <f>IFERROR(VLOOKUP(B97,'Competitive Matrix'!$B$4:$D$22,2,FALSE),"")</f>
        <v/>
      </c>
      <c r="M97" s="89" t="str">
        <f>IFERROR(VLOOKUP(B97,'Competitive Matrix'!$B$4:$D$22,3,FALSE),"")</f>
        <v/>
      </c>
      <c r="N97" s="89">
        <v>855</v>
      </c>
      <c r="O97" s="126"/>
      <c r="P97" s="95"/>
      <c r="Q97" s="89"/>
      <c r="R97" s="89"/>
      <c r="S97" s="89"/>
      <c r="T97" s="89"/>
      <c r="U97" s="89"/>
      <c r="V97" s="89"/>
    </row>
    <row r="98" spans="1:15">
      <c r="A98" s="89" t="s">
        <v>391</v>
      </c>
      <c r="B98" s="89" t="s">
        <v>297</v>
      </c>
      <c r="C98" s="89" t="str">
        <f>VLOOKUP(B98,正厂竞争者数据汇总!D:H,2,FALSE)</f>
        <v>原厂目录</v>
      </c>
      <c r="D98" s="89" t="str">
        <f>VLOOKUP(B98,正厂竞争者数据汇总!D:H,3,FALSE)</f>
        <v>CT</v>
      </c>
      <c r="E98" s="91">
        <f>VLOOKUP(B98,正厂竞争者数据汇总!D:H,5,FALSE)</f>
        <v>24078.0333333333</v>
      </c>
      <c r="F98" s="91">
        <v>33426.5</v>
      </c>
      <c r="G98" s="109">
        <f t="shared" si="10"/>
        <v>0.0694707866022828</v>
      </c>
      <c r="H98" s="109">
        <v>0.127318004006238</v>
      </c>
      <c r="I98" s="109" t="str">
        <f t="shared" si="9"/>
        <v/>
      </c>
      <c r="J98" s="93" t="str">
        <f>IFERROR(F98*VLOOKUP(D98,说明!A$33:B$44,2,FALSE),"")</f>
        <v/>
      </c>
      <c r="K98" s="118" t="e">
        <f>VLOOKUP(B98,正厂竞争者数据汇总!D:H,11,FALSE)</f>
        <v>#REF!</v>
      </c>
      <c r="L98" s="89" t="str">
        <f>IFERROR(VLOOKUP(B98,'Competitive Matrix'!$B$4:$D$22,2,FALSE),"")</f>
        <v/>
      </c>
      <c r="M98" s="89" t="str">
        <f>IFERROR(VLOOKUP(B98,'Competitive Matrix'!$B$4:$D$22,3,FALSE),"")</f>
        <v/>
      </c>
      <c r="N98" s="89">
        <v>156</v>
      </c>
      <c r="O98" s="126"/>
    </row>
    <row r="99" spans="1:15">
      <c r="A99" s="89" t="s">
        <v>230</v>
      </c>
      <c r="B99" s="89" t="s">
        <v>4480</v>
      </c>
      <c r="C99" s="89" t="e">
        <f>VLOOKUP(B99,正厂竞争者数据汇总!D:H,2,FALSE)</f>
        <v>#N/A</v>
      </c>
      <c r="D99" s="89" t="e">
        <f>VLOOKUP(B99,正厂竞争者数据汇总!D:H,3,FALSE)</f>
        <v>#N/A</v>
      </c>
      <c r="E99" s="91" t="e">
        <f>VLOOKUP(B99,正厂竞争者数据汇总!D:H,5,FALSE)</f>
        <v>#N/A</v>
      </c>
      <c r="F99" s="91">
        <v>21120.8333333333</v>
      </c>
      <c r="G99" s="109">
        <f t="shared" si="10"/>
        <v>0.0438957385715639</v>
      </c>
      <c r="H99" s="109">
        <v>0.048922807950078</v>
      </c>
      <c r="I99" s="109" t="str">
        <f t="shared" si="9"/>
        <v/>
      </c>
      <c r="J99" s="93" t="str">
        <f>IFERROR(F99*VLOOKUP(D99,说明!A$33:B$44,2,FALSE),"")</f>
        <v/>
      </c>
      <c r="K99" s="118" t="e">
        <f>VLOOKUP(B99,正厂竞争者数据汇总!D:H,11,FALSE)</f>
        <v>#N/A</v>
      </c>
      <c r="L99" s="89" t="str">
        <f>IFERROR(VLOOKUP(B99,'Competitive Matrix'!$B$4:$D$22,2,FALSE),"")</f>
        <v/>
      </c>
      <c r="M99" s="89" t="str">
        <f>IFERROR(VLOOKUP(B99,'Competitive Matrix'!$B$4:$D$22,3,FALSE),"")</f>
        <v/>
      </c>
      <c r="N99" s="89">
        <v>183</v>
      </c>
      <c r="O99" s="138"/>
    </row>
    <row r="100" spans="6:11">
      <c r="F100" s="91">
        <v>481159.083333333</v>
      </c>
      <c r="I100" s="109">
        <f>SUM(I93:I98)</f>
        <v>0</v>
      </c>
      <c r="K100" s="95"/>
    </row>
    <row r="101" spans="5:10">
      <c r="E101" s="91"/>
      <c r="F101" s="109"/>
      <c r="G101" s="109"/>
      <c r="H101" s="109"/>
      <c r="I101" s="109"/>
      <c r="J101" s="130"/>
    </row>
    <row r="102" spans="3:9">
      <c r="C102" s="89"/>
      <c r="E102" s="91"/>
      <c r="G102" s="109"/>
      <c r="H102" s="109"/>
      <c r="I102" s="109"/>
    </row>
    <row r="103" spans="3:9">
      <c r="C103" s="89"/>
      <c r="E103" s="91"/>
      <c r="G103" s="109"/>
      <c r="H103" s="109"/>
      <c r="I103" s="109"/>
    </row>
    <row r="104" spans="3:10">
      <c r="C104" s="89"/>
      <c r="E104" s="91"/>
      <c r="F104" s="109"/>
      <c r="G104" s="109"/>
      <c r="H104" s="109"/>
      <c r="I104" s="109"/>
      <c r="J104" s="130"/>
    </row>
    <row r="105" ht="14.4" customHeight="1" spans="1:22">
      <c r="A105" s="96" t="s">
        <v>174</v>
      </c>
      <c r="B105" s="97"/>
      <c r="C105" s="98"/>
      <c r="E105" s="99" t="s">
        <v>2</v>
      </c>
      <c r="F105" s="100"/>
      <c r="G105" s="100"/>
      <c r="H105" s="100"/>
      <c r="I105" s="115"/>
      <c r="J105" s="100"/>
      <c r="K105" s="95"/>
      <c r="L105" s="102"/>
      <c r="M105" s="102"/>
      <c r="O105" s="128"/>
      <c r="P105" s="128"/>
      <c r="Q105" s="128"/>
      <c r="R105" s="132"/>
      <c r="S105" s="116"/>
      <c r="T105" s="128"/>
      <c r="U105" s="128"/>
      <c r="V105" s="132"/>
    </row>
    <row r="106" ht="46.8" spans="1:22">
      <c r="A106" s="101" t="s">
        <v>3944</v>
      </c>
      <c r="B106" s="102" t="s">
        <v>207</v>
      </c>
      <c r="C106" s="101" t="s">
        <v>447</v>
      </c>
      <c r="E106" s="101" t="s">
        <v>210</v>
      </c>
      <c r="F106" s="103" t="s">
        <v>6086</v>
      </c>
      <c r="G106" s="104" t="s">
        <v>6235</v>
      </c>
      <c r="H106" s="104" t="s">
        <v>6233</v>
      </c>
      <c r="I106" s="117" t="s">
        <v>6196</v>
      </c>
      <c r="J106" s="93" t="s">
        <v>6197</v>
      </c>
      <c r="K106" s="118" t="s">
        <v>0</v>
      </c>
      <c r="L106" s="119" t="s">
        <v>6091</v>
      </c>
      <c r="M106" s="119" t="s">
        <v>6092</v>
      </c>
      <c r="N106" s="120" t="s">
        <v>6198</v>
      </c>
      <c r="O106" s="119" t="s">
        <v>225</v>
      </c>
      <c r="P106" s="120" t="s">
        <v>226</v>
      </c>
      <c r="Q106" s="119"/>
      <c r="R106" s="119"/>
      <c r="S106" s="119"/>
      <c r="T106" s="119"/>
      <c r="U106" s="119"/>
      <c r="V106" s="119"/>
    </row>
    <row r="107" spans="1:14">
      <c r="A107" s="89" t="s">
        <v>672</v>
      </c>
      <c r="B107" s="108" t="s">
        <v>526</v>
      </c>
      <c r="C107" s="89" t="str">
        <f>VLOOKUP(B107,正厂竞争者数据汇总!D:H,2,FALSE)</f>
        <v>原厂目录</v>
      </c>
      <c r="D107" s="89" t="str">
        <f>VLOOKUP(B107,正厂竞争者数据汇总!D:H,3,FALSE)</f>
        <v>-</v>
      </c>
      <c r="E107" s="91">
        <f>VLOOKUP(B107,正厂竞争者数据汇总!D:H,5,FALSE)</f>
        <v>8391100.08333333</v>
      </c>
      <c r="F107" s="91">
        <v>217366</v>
      </c>
      <c r="I107" s="109" t="str">
        <f t="shared" ref="I107:I113" si="11">IFERROR(J107*0.5/$F$108,"")</f>
        <v/>
      </c>
      <c r="J107" s="93" t="str">
        <f>IFERROR(F107*VLOOKUP(D107,说明!A$33:B$44,2,FALSE),"")</f>
        <v/>
      </c>
      <c r="K107" s="118" t="e">
        <f>VLOOKUP(B107,正厂竞争者数据汇总!D:H,11,FALSE)</f>
        <v>#REF!</v>
      </c>
      <c r="L107" s="89" t="str">
        <f>IFERROR(VLOOKUP(B107,'Competitive Matrix'!$B$4:$D$22,2,FALSE),"")</f>
        <v/>
      </c>
      <c r="M107" s="89" t="str">
        <f>IFERROR(VLOOKUP(B107,'Competitive Matrix'!$B$4:$D$22,3,FALSE),"")</f>
        <v/>
      </c>
      <c r="N107" s="89" t="s">
        <v>5419</v>
      </c>
    </row>
    <row r="108" s="88" customFormat="1" ht="57.6" spans="1:16">
      <c r="A108" s="88" t="s">
        <v>227</v>
      </c>
      <c r="B108" s="88" t="s">
        <v>588</v>
      </c>
      <c r="C108" s="88" t="e">
        <f>VLOOKUP(B108,正厂竞争者数据汇总!D:H,2,FALSE)</f>
        <v>#N/A</v>
      </c>
      <c r="D108" s="88" t="e">
        <f>VLOOKUP(B108,正厂竞争者数据汇总!D:H,3,FALSE)</f>
        <v>#N/A</v>
      </c>
      <c r="E108" s="106" t="e">
        <f>VLOOKUP(B108,正厂竞争者数据汇总!D:H,5,FALSE)</f>
        <v>#N/A</v>
      </c>
      <c r="F108" s="106">
        <v>139261.916666667</v>
      </c>
      <c r="G108" s="107">
        <f t="shared" ref="G108:G113" si="12">F108/F$114</f>
        <v>0.425364577009728</v>
      </c>
      <c r="H108" s="107">
        <v>0.422955717330443</v>
      </c>
      <c r="I108" s="107" t="str">
        <f t="shared" si="11"/>
        <v/>
      </c>
      <c r="J108" s="121" t="str">
        <f>IFERROR(F108*VLOOKUP(D108,说明!A$33:B$44,2,FALSE),"")</f>
        <v/>
      </c>
      <c r="K108" s="122" t="e">
        <f>VLOOKUP(B108,正厂竞争者数据汇总!D:H,11,FALSE)</f>
        <v>#N/A</v>
      </c>
      <c r="L108" s="88" t="str">
        <f>IFERROR(VLOOKUP(B108,'Competitive Matrix'!$B$4:$D$22,2,FALSE),"")</f>
        <v>L:70% N:33% D:52% 有销售:72%</v>
      </c>
      <c r="M108" s="88" t="str">
        <f>IFERROR(VLOOKUP(B108,'Competitive Matrix'!$B$4:$D$22,3,FALSE),"")</f>
        <v>2020 on 202011</v>
      </c>
      <c r="N108" s="88">
        <v>1000</v>
      </c>
      <c r="O108" s="126" t="s">
        <v>4501</v>
      </c>
      <c r="P108" s="125"/>
    </row>
    <row r="109" spans="1:14">
      <c r="A109" s="89" t="s">
        <v>230</v>
      </c>
      <c r="B109" s="108" t="s">
        <v>592</v>
      </c>
      <c r="C109" s="89" t="e">
        <f>VLOOKUP(B109,正厂竞争者数据汇总!D:H,2,FALSE)</f>
        <v>#N/A</v>
      </c>
      <c r="D109" s="89" t="e">
        <f>VLOOKUP(B109,正厂竞争者数据汇总!D:H,3,FALSE)</f>
        <v>#N/A</v>
      </c>
      <c r="E109" s="91" t="e">
        <f>VLOOKUP(B109,正厂竞争者数据汇总!D:H,5,FALSE)</f>
        <v>#N/A</v>
      </c>
      <c r="F109" s="91">
        <v>76815.5833333333</v>
      </c>
      <c r="G109" s="109">
        <f t="shared" si="12"/>
        <v>0.234627160780415</v>
      </c>
      <c r="H109" s="109">
        <v>0.222977206301819</v>
      </c>
      <c r="I109" s="109" t="str">
        <f t="shared" si="11"/>
        <v/>
      </c>
      <c r="J109" s="93" t="str">
        <f>IFERROR(F109*VLOOKUP(D109,说明!A$33:B$44,2,FALSE),"")</f>
        <v/>
      </c>
      <c r="K109" s="118" t="e">
        <f>VLOOKUP(B109,正厂竞争者数据汇总!D:H,11,FALSE)</f>
        <v>#N/A</v>
      </c>
      <c r="L109" s="89" t="str">
        <f>IFERROR(VLOOKUP(B109,'Competitive Matrix'!$B$4:$D$22,2,FALSE),"")</f>
        <v/>
      </c>
      <c r="M109" s="89" t="str">
        <f>IFERROR(VLOOKUP(B109,'Competitive Matrix'!$B$4:$D$22,3,FALSE),"")</f>
        <v/>
      </c>
      <c r="N109" s="89">
        <v>352</v>
      </c>
    </row>
    <row r="110" ht="14.4" spans="1:16">
      <c r="A110" s="89" t="s">
        <v>230</v>
      </c>
      <c r="B110" s="90" t="s">
        <v>589</v>
      </c>
      <c r="C110" s="89" t="e">
        <f>VLOOKUP(B110,正厂竞争者数据汇总!D:H,2,FALSE)</f>
        <v>#N/A</v>
      </c>
      <c r="D110" s="89" t="e">
        <f>VLOOKUP(B110,正厂竞争者数据汇总!D:H,3,FALSE)</f>
        <v>#N/A</v>
      </c>
      <c r="E110" s="91" t="e">
        <f>VLOOKUP(B110,正厂竞争者数据汇总!D:H,5,FALSE)</f>
        <v>#N/A</v>
      </c>
      <c r="F110" s="91">
        <v>64104.1666666667</v>
      </c>
      <c r="G110" s="109">
        <f t="shared" si="12"/>
        <v>0.195801137822875</v>
      </c>
      <c r="H110" s="109">
        <v>0.20004720978622</v>
      </c>
      <c r="I110" s="109" t="str">
        <f t="shared" si="11"/>
        <v/>
      </c>
      <c r="J110" s="93" t="str">
        <f>IFERROR(F110*VLOOKUP(D110,说明!A$33:B$44,2,FALSE),"")</f>
        <v/>
      </c>
      <c r="K110" s="118" t="e">
        <f>VLOOKUP(B110,正厂竞争者数据汇总!D:H,11,FALSE)</f>
        <v>#N/A</v>
      </c>
      <c r="L110" s="89" t="str">
        <f>IFERROR(VLOOKUP(B110,'Competitive Matrix'!$B$4:$D$22,2,FALSE),"")</f>
        <v/>
      </c>
      <c r="M110" s="89" t="str">
        <f>IFERROR(VLOOKUP(B110,'Competitive Matrix'!$B$4:$D$22,3,FALSE),"")</f>
        <v/>
      </c>
      <c r="N110" s="89">
        <v>320</v>
      </c>
      <c r="O110" s="124"/>
      <c r="P110" s="125"/>
    </row>
    <row r="111" spans="1:14">
      <c r="A111" s="89" t="s">
        <v>230</v>
      </c>
      <c r="B111" s="90" t="s">
        <v>591</v>
      </c>
      <c r="C111" s="89" t="e">
        <f>VLOOKUP(B111,正厂竞争者数据汇总!D:H,2,FALSE)</f>
        <v>#N/A</v>
      </c>
      <c r="D111" s="89" t="e">
        <f>VLOOKUP(B111,正厂竞争者数据汇总!D:H,3,FALSE)</f>
        <v>#N/A</v>
      </c>
      <c r="E111" s="91" t="e">
        <f>VLOOKUP(B111,正厂竞争者数据汇总!D:H,5,FALSE)</f>
        <v>#N/A</v>
      </c>
      <c r="F111" s="91">
        <v>11818.6666666667</v>
      </c>
      <c r="G111" s="109">
        <f t="shared" si="12"/>
        <v>0.0360991882620623</v>
      </c>
      <c r="H111" s="109">
        <v>0.0352913761625204</v>
      </c>
      <c r="I111" s="109" t="str">
        <f t="shared" si="11"/>
        <v/>
      </c>
      <c r="J111" s="93" t="str">
        <f>IFERROR(F111*VLOOKUP(D111,说明!A$33:B$44,2,FALSE),"")</f>
        <v/>
      </c>
      <c r="K111" s="118" t="e">
        <f>VLOOKUP(B111,正厂竞争者数据汇总!D:H,11,FALSE)</f>
        <v>#N/A</v>
      </c>
      <c r="L111" s="89" t="str">
        <f>IFERROR(VLOOKUP(B111,'Competitive Matrix'!$B$4:$D$22,2,FALSE),"")</f>
        <v/>
      </c>
      <c r="M111" s="89" t="str">
        <f>IFERROR(VLOOKUP(B111,'Competitive Matrix'!$B$4:$D$22,3,FALSE),"")</f>
        <v/>
      </c>
      <c r="N111" s="89">
        <v>102</v>
      </c>
    </row>
    <row r="112" spans="1:14">
      <c r="A112" s="89" t="s">
        <v>238</v>
      </c>
      <c r="B112" s="108" t="s">
        <v>322</v>
      </c>
      <c r="C112" s="89" t="str">
        <f>VLOOKUP(B112,正厂竞争者数据汇总!D:H,2,FALSE)</f>
        <v>原厂目录</v>
      </c>
      <c r="D112" s="89" t="str">
        <f>VLOOKUP(B112,正厂竞争者数据汇总!D:H,3,FALSE)</f>
        <v>MA</v>
      </c>
      <c r="E112" s="91">
        <f>VLOOKUP(B112,正厂竞争者数据汇总!D:H,5,FALSE)</f>
        <v>39498.8256</v>
      </c>
      <c r="F112" s="91">
        <v>24310.1666666667</v>
      </c>
      <c r="G112" s="109">
        <f t="shared" si="12"/>
        <v>0.0742534930490279</v>
      </c>
      <c r="H112" s="109">
        <v>0.0878011341340494</v>
      </c>
      <c r="I112" s="109" t="str">
        <f t="shared" si="11"/>
        <v/>
      </c>
      <c r="J112" s="93" t="str">
        <f>IFERROR(F112*VLOOKUP(D112,说明!A$33:B$44,2,FALSE),"")</f>
        <v/>
      </c>
      <c r="K112" s="118" t="e">
        <f>VLOOKUP(B112,正厂竞争者数据汇总!D:H,11,FALSE)</f>
        <v>#REF!</v>
      </c>
      <c r="L112" s="89" t="str">
        <f>IFERROR(VLOOKUP(B112,'Competitive Matrix'!$B$4:$D$22,2,FALSE),"")</f>
        <v/>
      </c>
      <c r="M112" s="89" t="str">
        <f>IFERROR(VLOOKUP(B112,'Competitive Matrix'!$B$4:$D$22,3,FALSE),"")</f>
        <v/>
      </c>
      <c r="N112" s="89">
        <v>429</v>
      </c>
    </row>
    <row r="113" spans="1:14">
      <c r="A113" s="89" t="s">
        <v>230</v>
      </c>
      <c r="B113" s="108" t="s">
        <v>5192</v>
      </c>
      <c r="C113" s="89" t="e">
        <f>VLOOKUP(B113,正厂竞争者数据汇总!D:H,2,FALSE)</f>
        <v>#N/A</v>
      </c>
      <c r="D113" s="89" t="e">
        <f>VLOOKUP(B113,正厂竞争者数据汇总!D:H,3,FALSE)</f>
        <v>#N/A</v>
      </c>
      <c r="E113" s="91" t="e">
        <f>VLOOKUP(B113,正厂竞争者数据汇总!D:H,5,FALSE)</f>
        <v>#N/A</v>
      </c>
      <c r="F113" s="91">
        <v>11083.75</v>
      </c>
      <c r="G113" s="109">
        <f t="shared" si="12"/>
        <v>0.033854443075894</v>
      </c>
      <c r="H113" s="109">
        <v>0.0309273562849471</v>
      </c>
      <c r="I113" s="109" t="str">
        <f t="shared" si="11"/>
        <v/>
      </c>
      <c r="J113" s="93" t="str">
        <f>IFERROR(F113*VLOOKUP(D113,说明!A$33:B$44,2,FALSE),"")</f>
        <v/>
      </c>
      <c r="K113" s="118" t="e">
        <f>VLOOKUP(B113,正厂竞争者数据汇总!D:H,11,FALSE)</f>
        <v>#N/A</v>
      </c>
      <c r="L113" s="89" t="str">
        <f>IFERROR(VLOOKUP(B113,'Competitive Matrix'!$B$4:$D$22,2,FALSE),"")</f>
        <v/>
      </c>
      <c r="M113" s="89" t="str">
        <f>IFERROR(VLOOKUP(B113,'Competitive Matrix'!$B$4:$D$22,3,FALSE),"")</f>
        <v/>
      </c>
      <c r="N113" s="89">
        <v>169</v>
      </c>
    </row>
    <row r="114" spans="6:13">
      <c r="F114" s="91">
        <v>327394.25</v>
      </c>
      <c r="I114" s="109">
        <f>SUM(I107:I113)</f>
        <v>0</v>
      </c>
      <c r="K114" s="118"/>
      <c r="L114" s="89" t="str">
        <f>IFERROR(VLOOKUP(B114,'Competitive Matrix'!$B$4:$D$22,2,FALSE),"")</f>
        <v/>
      </c>
      <c r="M114" s="89" t="str">
        <f>IFERROR(VLOOKUP(B114,'Competitive Matrix'!$B$4:$D$22,3,FALSE),"")</f>
        <v/>
      </c>
    </row>
    <row r="115" spans="5:11">
      <c r="E115" s="91"/>
      <c r="K115" s="95"/>
    </row>
    <row r="116" ht="14.4" customHeight="1" spans="1:22">
      <c r="A116" s="96" t="s">
        <v>168</v>
      </c>
      <c r="B116" s="96"/>
      <c r="C116" s="98"/>
      <c r="E116" s="99" t="s">
        <v>2</v>
      </c>
      <c r="F116" s="100"/>
      <c r="G116" s="100"/>
      <c r="H116" s="100"/>
      <c r="I116" s="115"/>
      <c r="J116" s="100"/>
      <c r="L116" s="102"/>
      <c r="M116" s="102"/>
      <c r="O116" s="128"/>
      <c r="P116" s="128"/>
      <c r="Q116" s="128"/>
      <c r="R116" s="132"/>
      <c r="S116" s="116"/>
      <c r="T116" s="128"/>
      <c r="U116" s="128"/>
      <c r="V116" s="132"/>
    </row>
    <row r="117" ht="46.8" spans="1:22">
      <c r="A117" s="101" t="s">
        <v>3944</v>
      </c>
      <c r="B117" s="102" t="s">
        <v>207</v>
      </c>
      <c r="C117" s="101" t="s">
        <v>447</v>
      </c>
      <c r="D117" s="89" t="s">
        <v>209</v>
      </c>
      <c r="E117" s="101" t="s">
        <v>210</v>
      </c>
      <c r="F117" s="103" t="s">
        <v>6086</v>
      </c>
      <c r="G117" s="104" t="s">
        <v>6235</v>
      </c>
      <c r="H117" s="104" t="s">
        <v>6233</v>
      </c>
      <c r="I117" s="117" t="s">
        <v>6196</v>
      </c>
      <c r="J117" s="93" t="s">
        <v>6197</v>
      </c>
      <c r="K117" s="118" t="s">
        <v>0</v>
      </c>
      <c r="L117" s="119" t="s">
        <v>6091</v>
      </c>
      <c r="M117" s="119" t="s">
        <v>6092</v>
      </c>
      <c r="N117" s="120" t="s">
        <v>6198</v>
      </c>
      <c r="O117" s="119" t="s">
        <v>225</v>
      </c>
      <c r="P117" s="120" t="s">
        <v>226</v>
      </c>
      <c r="Q117" s="119"/>
      <c r="R117" s="119"/>
      <c r="S117" s="119"/>
      <c r="T117" s="119"/>
      <c r="U117" s="119"/>
      <c r="V117" s="119"/>
    </row>
    <row r="118" s="88" customFormat="1" ht="14.4" spans="1:16">
      <c r="A118" s="88" t="s">
        <v>227</v>
      </c>
      <c r="B118" s="136" t="s">
        <v>593</v>
      </c>
      <c r="C118" s="88" t="e">
        <f>VLOOKUP(B118,正厂竞争者数据汇总!D:H,2,FALSE)</f>
        <v>#N/A</v>
      </c>
      <c r="D118" s="88" t="e">
        <f>VLOOKUP(B118,正厂竞争者数据汇总!D:H,3,FALSE)</f>
        <v>#N/A</v>
      </c>
      <c r="E118" s="106" t="e">
        <f>VLOOKUP(B118,正厂竞争者数据汇总!D:H,5,FALSE)</f>
        <v>#N/A</v>
      </c>
      <c r="F118" s="106">
        <v>222278</v>
      </c>
      <c r="G118" s="107">
        <f>F118/F$122</f>
        <v>0.735600713169787</v>
      </c>
      <c r="H118" s="107">
        <v>0.733134012434062</v>
      </c>
      <c r="I118" s="107" t="str">
        <f>IFERROR(J118*0.5/$F$118,"")</f>
        <v/>
      </c>
      <c r="J118" s="121" t="str">
        <f>IFERROR(F118*VLOOKUP(D118,说明!A$33:B$44,2,FALSE),"")</f>
        <v/>
      </c>
      <c r="K118" s="122" t="e">
        <f>VLOOKUP(B118,正厂竞争者数据汇总!D:H,11,FALSE)</f>
        <v>#N/A</v>
      </c>
      <c r="L118" s="88" t="str">
        <f>IFERROR(VLOOKUP(B118,'Competitive Matrix'!$B$4:$D$22,2,FALSE),"")</f>
        <v>L:86% N:59% D:87% 有销售:92%</v>
      </c>
      <c r="M118" s="88" t="str">
        <f>IFERROR(VLOOKUP(B118,'Competitive Matrix'!$B$4:$D$22,3,FALSE),"")</f>
        <v>2020 on 202011</v>
      </c>
      <c r="N118" s="88">
        <v>1200</v>
      </c>
      <c r="O118" s="125"/>
      <c r="P118" s="125"/>
    </row>
    <row r="119" spans="1:14">
      <c r="A119" s="89" t="s">
        <v>391</v>
      </c>
      <c r="B119" s="137" t="s">
        <v>595</v>
      </c>
      <c r="C119" s="89" t="e">
        <f>VLOOKUP(B119,正厂竞争者数据汇总!D:H,2,FALSE)</f>
        <v>#N/A</v>
      </c>
      <c r="D119" s="89" t="e">
        <f>VLOOKUP(B119,正厂竞争者数据汇总!D:H,3,FALSE)</f>
        <v>#N/A</v>
      </c>
      <c r="E119" s="91" t="e">
        <f>VLOOKUP(B119,正厂竞争者数据汇总!D:H,5,FALSE)</f>
        <v>#N/A</v>
      </c>
      <c r="F119" s="91">
        <v>27809</v>
      </c>
      <c r="G119" s="109">
        <f>F119/F$122</f>
        <v>0.0920303414307246</v>
      </c>
      <c r="H119" s="109">
        <v>0.111846452970403</v>
      </c>
      <c r="I119" s="109" t="str">
        <f>IFERROR(J119*0.5/$F$118,"")</f>
        <v/>
      </c>
      <c r="J119" s="93" t="str">
        <f>IFERROR(F119*VLOOKUP(D119,说明!A$33:B$44,2,FALSE),"")</f>
        <v/>
      </c>
      <c r="K119" s="118" t="e">
        <f>VLOOKUP(B119,正厂竞争者数据汇总!D:H,11,FALSE)</f>
        <v>#N/A</v>
      </c>
      <c r="L119" s="89" t="str">
        <f>IFERROR(VLOOKUP(B119,'Competitive Matrix'!$B$4:$D$22,2,FALSE),"")</f>
        <v/>
      </c>
      <c r="M119" s="89" t="str">
        <f>IFERROR(VLOOKUP(B119,'Competitive Matrix'!$B$4:$D$22,3,FALSE),"")</f>
        <v/>
      </c>
      <c r="N119" s="89">
        <v>623</v>
      </c>
    </row>
    <row r="120" ht="14.4" spans="1:16">
      <c r="A120" s="89" t="s">
        <v>305</v>
      </c>
      <c r="B120" s="114" t="s">
        <v>594</v>
      </c>
      <c r="C120" s="89" t="e">
        <f>VLOOKUP(B120,正厂竞争者数据汇总!D:H,2,FALSE)</f>
        <v>#N/A</v>
      </c>
      <c r="D120" s="89" t="e">
        <f>VLOOKUP(B120,正厂竞争者数据汇总!D:H,3,FALSE)</f>
        <v>#N/A</v>
      </c>
      <c r="E120" s="91" t="e">
        <f>VLOOKUP(B120,正厂竞争者数据汇总!D:H,5,FALSE)</f>
        <v>#N/A</v>
      </c>
      <c r="F120" s="91">
        <v>27743</v>
      </c>
      <c r="G120" s="109">
        <f>F120/F$122</f>
        <v>0.0918119228419789</v>
      </c>
      <c r="H120" s="109">
        <v>0.0956267694305777</v>
      </c>
      <c r="I120" s="109" t="str">
        <f>IFERROR(J120*0.5/$F$118,"")</f>
        <v/>
      </c>
      <c r="J120" s="93" t="str">
        <f>IFERROR(F120*VLOOKUP(D120,说明!A$33:B$44,2,FALSE),"")</f>
        <v/>
      </c>
      <c r="K120" s="118" t="e">
        <f>VLOOKUP(B120,正厂竞争者数据汇总!D:H,11,FALSE)</f>
        <v>#N/A</v>
      </c>
      <c r="L120" s="89" t="str">
        <f>IFERROR(VLOOKUP(B120,'Competitive Matrix'!$B$4:$D$22,2,FALSE),"")</f>
        <v/>
      </c>
      <c r="M120" s="89" t="str">
        <f>IFERROR(VLOOKUP(B120,'Competitive Matrix'!$B$4:$D$22,3,FALSE),"")</f>
        <v/>
      </c>
      <c r="N120" s="89">
        <v>169</v>
      </c>
      <c r="O120" s="126"/>
      <c r="P120" s="124"/>
    </row>
    <row r="121" spans="1:14">
      <c r="A121" s="89" t="s">
        <v>446</v>
      </c>
      <c r="B121" s="114" t="s">
        <v>5115</v>
      </c>
      <c r="C121" s="89" t="e">
        <f>VLOOKUP(B121,正厂竞争者数据汇总!D:H,2,FALSE)</f>
        <v>#N/A</v>
      </c>
      <c r="D121" s="89" t="e">
        <f>VLOOKUP(B121,正厂竞争者数据汇总!D:H,3,FALSE)</f>
        <v>#N/A</v>
      </c>
      <c r="E121" s="91" t="e">
        <f>VLOOKUP(B121,正厂竞争者数据汇总!D:H,5,FALSE)</f>
        <v>#N/A</v>
      </c>
      <c r="F121" s="91">
        <v>24342.0833333333</v>
      </c>
      <c r="G121" s="109">
        <f>F121/F$122</f>
        <v>0.0805570225575107</v>
      </c>
      <c r="H121" s="109">
        <v>0.0593927651649574</v>
      </c>
      <c r="I121" s="109" t="str">
        <f>IFERROR(J121*0.5/$F$118,"")</f>
        <v/>
      </c>
      <c r="J121" s="93" t="str">
        <f>IFERROR(F121*VLOOKUP(D121,说明!A$33:B$44,2,FALSE),"")</f>
        <v/>
      </c>
      <c r="K121" s="118" t="e">
        <f>VLOOKUP(B121,正厂竞争者数据汇总!D:H,11,FALSE)</f>
        <v>#N/A</v>
      </c>
      <c r="L121" s="89" t="str">
        <f>IFERROR(VLOOKUP(B121,'Competitive Matrix'!$B$4:$D$22,2,FALSE),"")</f>
        <v/>
      </c>
      <c r="M121" s="89" t="str">
        <f>IFERROR(VLOOKUP(B121,'Competitive Matrix'!$B$4:$D$22,3,FALSE),"")</f>
        <v/>
      </c>
      <c r="N121" s="89">
        <v>121</v>
      </c>
    </row>
    <row r="122" spans="5:11">
      <c r="E122" s="91"/>
      <c r="F122" s="91">
        <v>302172.083333333</v>
      </c>
      <c r="I122" s="109">
        <f>SUM(I118:I121)</f>
        <v>0</v>
      </c>
      <c r="K122" s="95"/>
    </row>
    <row r="123" spans="5:11">
      <c r="E123" s="91"/>
      <c r="F123" s="109"/>
      <c r="G123" s="109"/>
      <c r="H123" s="109"/>
      <c r="I123" s="109"/>
      <c r="J123" s="130"/>
      <c r="K123" s="95"/>
    </row>
    <row r="124" ht="14.4" customHeight="1" spans="1:22">
      <c r="A124" s="96" t="s">
        <v>162</v>
      </c>
      <c r="B124" s="97"/>
      <c r="C124" s="98"/>
      <c r="E124" s="99" t="s">
        <v>2</v>
      </c>
      <c r="F124" s="100"/>
      <c r="G124" s="100"/>
      <c r="H124" s="100"/>
      <c r="I124" s="115"/>
      <c r="J124" s="100"/>
      <c r="L124" s="102"/>
      <c r="M124" s="102"/>
      <c r="O124" s="128"/>
      <c r="P124" s="128"/>
      <c r="Q124" s="128"/>
      <c r="R124" s="132"/>
      <c r="S124" s="116"/>
      <c r="T124" s="128"/>
      <c r="U124" s="128"/>
      <c r="V124" s="132"/>
    </row>
    <row r="125" ht="46.8" spans="1:22">
      <c r="A125" s="101" t="s">
        <v>3944</v>
      </c>
      <c r="B125" s="102" t="s">
        <v>207</v>
      </c>
      <c r="C125" s="101" t="s">
        <v>447</v>
      </c>
      <c r="D125" s="89" t="s">
        <v>209</v>
      </c>
      <c r="E125" s="101" t="s">
        <v>210</v>
      </c>
      <c r="F125" s="103" t="s">
        <v>6086</v>
      </c>
      <c r="G125" s="104" t="s">
        <v>6235</v>
      </c>
      <c r="H125" s="104" t="s">
        <v>6233</v>
      </c>
      <c r="I125" s="117" t="s">
        <v>6196</v>
      </c>
      <c r="J125" s="93" t="s">
        <v>6197</v>
      </c>
      <c r="K125" s="118" t="s">
        <v>0</v>
      </c>
      <c r="L125" s="119" t="s">
        <v>6091</v>
      </c>
      <c r="M125" s="119" t="s">
        <v>6092</v>
      </c>
      <c r="N125" s="120" t="s">
        <v>6198</v>
      </c>
      <c r="O125" s="119" t="s">
        <v>225</v>
      </c>
      <c r="P125" s="120" t="s">
        <v>226</v>
      </c>
      <c r="Q125" s="119"/>
      <c r="R125" s="119"/>
      <c r="S125" s="119"/>
      <c r="T125" s="119"/>
      <c r="U125" s="119"/>
      <c r="V125" s="119"/>
    </row>
    <row r="126" s="88" customFormat="1" ht="28.8" spans="1:16">
      <c r="A126" s="88" t="s">
        <v>227</v>
      </c>
      <c r="B126" s="88" t="s">
        <v>584</v>
      </c>
      <c r="C126" s="88" t="e">
        <f>VLOOKUP(B126,正厂竞争者数据汇总!D:H,2,FALSE)</f>
        <v>#N/A</v>
      </c>
      <c r="D126" s="88" t="e">
        <f>VLOOKUP(B126,正厂竞争者数据汇总!D:H,3,FALSE)</f>
        <v>#N/A</v>
      </c>
      <c r="E126" s="106" t="e">
        <f>VLOOKUP(B126,正厂竞争者数据汇总!D:H,5,FALSE)</f>
        <v>#N/A</v>
      </c>
      <c r="F126" s="106">
        <v>188707.75</v>
      </c>
      <c r="G126" s="107">
        <f>F126/F$130</f>
        <v>0.755956367045076</v>
      </c>
      <c r="H126" s="107">
        <v>0.728153411198673</v>
      </c>
      <c r="I126" s="107" t="str">
        <f>IFERROR(J126*0.5/$F$126,"")</f>
        <v/>
      </c>
      <c r="J126" s="121" t="str">
        <f>IFERROR(F126*VLOOKUP(D126,说明!A$33:B$44,2,FALSE),"")</f>
        <v/>
      </c>
      <c r="K126" s="122" t="e">
        <f>VLOOKUP(B126,正厂竞争者数据汇总!D:H,11,FALSE)</f>
        <v>#N/A</v>
      </c>
      <c r="L126" s="88" t="str">
        <f>IFERROR(VLOOKUP(B126,'Competitive Matrix'!$B$4:$D$22,2,FALSE),"")</f>
        <v>L:64% N:23% D:82% 有销售:80%</v>
      </c>
      <c r="M126" s="88" t="str">
        <f>IFERROR(VLOOKUP(B126,'Competitive Matrix'!$B$4:$D$22,3,FALSE),"")</f>
        <v>2020 on 202011</v>
      </c>
      <c r="N126" s="88">
        <v>1200</v>
      </c>
      <c r="O126" s="126" t="s">
        <v>4559</v>
      </c>
      <c r="P126" s="125"/>
    </row>
    <row r="127" spans="1:14">
      <c r="A127" s="89" t="s">
        <v>243</v>
      </c>
      <c r="B127" s="89" t="s">
        <v>4562</v>
      </c>
      <c r="C127" s="89" t="e">
        <f>VLOOKUP(B127,正厂竞争者数据汇总!D:H,2,FALSE)</f>
        <v>#N/A</v>
      </c>
      <c r="D127" s="89" t="e">
        <f>VLOOKUP(B127,正厂竞争者数据汇总!D:H,3,FALSE)</f>
        <v>#N/A</v>
      </c>
      <c r="E127" s="91" t="e">
        <f>VLOOKUP(B127,正厂竞争者数据汇总!D:H,5,FALSE)</f>
        <v>#N/A</v>
      </c>
      <c r="F127" s="91">
        <v>33482.3333333333</v>
      </c>
      <c r="G127" s="109">
        <f>F127/F$130</f>
        <v>0.134129006714663</v>
      </c>
      <c r="H127" s="109">
        <v>0.136926271363478</v>
      </c>
      <c r="I127" s="109" t="str">
        <f>IFERROR(J127*0.5/$F$126,"")</f>
        <v/>
      </c>
      <c r="J127" s="93" t="str">
        <f>IFERROR(F127*VLOOKUP(D127,说明!A$33:B$44,2,FALSE),"")</f>
        <v/>
      </c>
      <c r="K127" s="118" t="e">
        <f>VLOOKUP(B127,正厂竞争者数据汇总!D:H,11,FALSE)</f>
        <v>#N/A</v>
      </c>
      <c r="L127" s="89" t="str">
        <f>IFERROR(VLOOKUP(B127,'Competitive Matrix'!$B$4:$D$22,2,FALSE),"")</f>
        <v/>
      </c>
      <c r="M127" s="89" t="str">
        <f>IFERROR(VLOOKUP(B127,'Competitive Matrix'!$B$4:$D$22,3,FALSE),"")</f>
        <v/>
      </c>
      <c r="N127" s="89">
        <v>508</v>
      </c>
    </row>
    <row r="128" spans="1:14">
      <c r="A128" s="89" t="s">
        <v>446</v>
      </c>
      <c r="B128" s="89" t="s">
        <v>4567</v>
      </c>
      <c r="C128" s="89" t="e">
        <f>VLOOKUP(B128,正厂竞争者数据汇总!D:H,2,FALSE)</f>
        <v>#N/A</v>
      </c>
      <c r="D128" s="89" t="e">
        <f>VLOOKUP(B128,正厂竞争者数据汇总!D:H,3,FALSE)</f>
        <v>#N/A</v>
      </c>
      <c r="E128" s="91" t="e">
        <f>VLOOKUP(B128,正厂竞争者数据汇总!D:H,5,FALSE)</f>
        <v>#N/A</v>
      </c>
      <c r="F128" s="91">
        <v>25867.6666666667</v>
      </c>
      <c r="G128" s="109">
        <f>F128/F$130</f>
        <v>0.103624929645266</v>
      </c>
      <c r="H128" s="109">
        <v>0.130685487827686</v>
      </c>
      <c r="I128" s="109" t="str">
        <f>IFERROR(J128*0.5/$F$126,"")</f>
        <v/>
      </c>
      <c r="J128" s="93" t="str">
        <f>IFERROR(F128*VLOOKUP(D128,说明!A$33:B$44,2,FALSE),"")</f>
        <v/>
      </c>
      <c r="K128" s="118" t="e">
        <f>VLOOKUP(B128,正厂竞争者数据汇总!D:H,11,FALSE)</f>
        <v>#N/A</v>
      </c>
      <c r="L128" s="89" t="str">
        <f>IFERROR(VLOOKUP(B128,'Competitive Matrix'!$B$4:$D$22,2,FALSE),"")</f>
        <v/>
      </c>
      <c r="M128" s="89" t="str">
        <f>IFERROR(VLOOKUP(B128,'Competitive Matrix'!$B$4:$D$22,3,FALSE),"")</f>
        <v/>
      </c>
      <c r="N128" s="89">
        <v>540</v>
      </c>
    </row>
    <row r="129" spans="1:14">
      <c r="A129" s="89" t="s">
        <v>367</v>
      </c>
      <c r="B129" s="89" t="s">
        <v>4568</v>
      </c>
      <c r="C129" s="89" t="e">
        <f>VLOOKUP(B129,正厂竞争者数据汇总!D:H,2,FALSE)</f>
        <v>#N/A</v>
      </c>
      <c r="D129" s="89" t="e">
        <f>VLOOKUP(B129,正厂竞争者数据汇总!D:H,3,FALSE)</f>
        <v>#N/A</v>
      </c>
      <c r="E129" s="91" t="e">
        <f>VLOOKUP(B129,正厂竞争者数据汇总!D:H,5,FALSE)</f>
        <v>#N/A</v>
      </c>
      <c r="F129" s="91">
        <v>1570.08333333333</v>
      </c>
      <c r="G129" s="109">
        <f>F129/F$130</f>
        <v>0.00628969659499775</v>
      </c>
      <c r="H129" s="109">
        <v>0.00423482961016387</v>
      </c>
      <c r="I129" s="109" t="str">
        <f>IFERROR(J129*0.5/$F$126,"")</f>
        <v/>
      </c>
      <c r="J129" s="93" t="str">
        <f>IFERROR(F129*VLOOKUP(D129,说明!A$33:B$44,2,FALSE),"")</f>
        <v/>
      </c>
      <c r="K129" s="118" t="e">
        <f>VLOOKUP(B129,正厂竞争者数据汇总!D:H,11,FALSE)</f>
        <v>#N/A</v>
      </c>
      <c r="L129" s="89" t="str">
        <f>IFERROR(VLOOKUP(B129,'Competitive Matrix'!$B$4:$D$22,2,FALSE),"")</f>
        <v/>
      </c>
      <c r="M129" s="89" t="str">
        <f>IFERROR(VLOOKUP(B129,'Competitive Matrix'!$B$4:$D$22,3,FALSE),"")</f>
        <v/>
      </c>
      <c r="N129" s="89">
        <v>405</v>
      </c>
    </row>
    <row r="130" spans="6:11">
      <c r="F130" s="91">
        <v>249627.833333333</v>
      </c>
      <c r="I130" s="109">
        <f>SUM(I126:I129)</f>
        <v>0</v>
      </c>
      <c r="K130" s="118"/>
    </row>
    <row r="131" spans="5:11">
      <c r="E131" s="91"/>
      <c r="F131" s="109"/>
      <c r="G131" s="109"/>
      <c r="H131" s="109"/>
      <c r="I131" s="109"/>
      <c r="J131" s="130"/>
      <c r="K131" s="95"/>
    </row>
    <row r="132" spans="3:11">
      <c r="C132" s="139"/>
      <c r="E132" s="91"/>
      <c r="F132" s="109"/>
      <c r="G132" s="109"/>
      <c r="H132" s="109"/>
      <c r="I132" s="109"/>
      <c r="J132" s="130"/>
      <c r="K132" s="95"/>
    </row>
    <row r="133" ht="14.4" customHeight="1" spans="1:22">
      <c r="A133" s="96" t="s">
        <v>177</v>
      </c>
      <c r="B133" s="97"/>
      <c r="C133" s="98"/>
      <c r="E133" s="99" t="s">
        <v>2</v>
      </c>
      <c r="F133" s="100"/>
      <c r="G133" s="100"/>
      <c r="H133" s="100"/>
      <c r="I133" s="115"/>
      <c r="J133" s="100"/>
      <c r="L133" s="102"/>
      <c r="M133" s="102"/>
      <c r="O133" s="128"/>
      <c r="P133" s="128"/>
      <c r="Q133" s="128"/>
      <c r="R133" s="132"/>
      <c r="S133" s="116"/>
      <c r="T133" s="128"/>
      <c r="U133" s="128"/>
      <c r="V133" s="132"/>
    </row>
    <row r="134" ht="46.8" spans="1:22">
      <c r="A134" s="101" t="s">
        <v>3944</v>
      </c>
      <c r="B134" s="102" t="s">
        <v>207</v>
      </c>
      <c r="C134" s="101" t="s">
        <v>447</v>
      </c>
      <c r="D134" s="89" t="s">
        <v>209</v>
      </c>
      <c r="E134" s="101" t="s">
        <v>210</v>
      </c>
      <c r="F134" s="103" t="s">
        <v>6086</v>
      </c>
      <c r="G134" s="104" t="s">
        <v>6235</v>
      </c>
      <c r="H134" s="104" t="s">
        <v>6233</v>
      </c>
      <c r="I134" s="117" t="s">
        <v>6196</v>
      </c>
      <c r="J134" s="93" t="s">
        <v>6197</v>
      </c>
      <c r="L134" s="119" t="s">
        <v>6091</v>
      </c>
      <c r="M134" s="119" t="s">
        <v>6092</v>
      </c>
      <c r="N134" s="120" t="s">
        <v>6198</v>
      </c>
      <c r="O134" s="120" t="s">
        <v>226</v>
      </c>
      <c r="P134" s="120" t="s">
        <v>226</v>
      </c>
      <c r="Q134" s="119"/>
      <c r="R134" s="119"/>
      <c r="S134" s="119"/>
      <c r="T134" s="119"/>
      <c r="U134" s="119"/>
      <c r="V134" s="119"/>
    </row>
    <row r="135" spans="1:14">
      <c r="A135" s="89" t="s">
        <v>4573</v>
      </c>
      <c r="B135" s="108" t="s">
        <v>605</v>
      </c>
      <c r="C135" s="89" t="str">
        <f>VLOOKUP(B135,正厂竞争者数据汇总!D:H,2,FALSE)</f>
        <v>原厂目录</v>
      </c>
      <c r="D135" s="89" t="str">
        <f>VLOOKUP(B135,正厂竞争者数据汇总!D:H,3,FALSE)</f>
        <v>-</v>
      </c>
      <c r="E135" s="91">
        <f>VLOOKUP(B135,正厂竞争者数据汇总!D:H,5,FALSE)</f>
        <v>88569.79</v>
      </c>
      <c r="F135" s="91">
        <v>48317.25</v>
      </c>
      <c r="G135" s="109"/>
      <c r="H135" s="109"/>
      <c r="I135" s="109" t="str">
        <f t="shared" ref="I135:I140" si="13">IFERROR(J135*0.5/$F$135,"")</f>
        <v/>
      </c>
      <c r="J135" s="93" t="str">
        <f>IFERROR(F135*VLOOKUP(D135,说明!A$33:B$44,2,FALSE),"")</f>
        <v/>
      </c>
      <c r="K135" s="118" t="e">
        <f>VLOOKUP(B135,正厂竞争者数据汇总!D:H,11,FALSE)</f>
        <v>#REF!</v>
      </c>
      <c r="L135" s="89" t="str">
        <f>IFERROR(VLOOKUP(B135,'Competitive Matrix'!$B$4:$D$22,2,FALSE),"")</f>
        <v/>
      </c>
      <c r="M135" s="89" t="str">
        <f>IFERROR(VLOOKUP(B135,'Competitive Matrix'!$B$4:$D$22,3,FALSE),"")</f>
        <v/>
      </c>
      <c r="N135" s="89" t="s">
        <v>5419</v>
      </c>
    </row>
    <row r="136" s="88" customFormat="1" spans="1:16">
      <c r="A136" s="88" t="s">
        <v>227</v>
      </c>
      <c r="B136" s="105" t="s">
        <v>598</v>
      </c>
      <c r="C136" s="88" t="e">
        <f>VLOOKUP(B136,正厂竞争者数据汇总!D:H,2,FALSE)</f>
        <v>#N/A</v>
      </c>
      <c r="D136" s="88" t="e">
        <f>VLOOKUP(B136,正厂竞争者数据汇总!D:H,3,FALSE)</f>
        <v>#N/A</v>
      </c>
      <c r="E136" s="106" t="e">
        <f>VLOOKUP(B136,正厂竞争者数据汇总!D:H,5,FALSE)</f>
        <v>#N/A</v>
      </c>
      <c r="F136" s="106">
        <v>66906.5</v>
      </c>
      <c r="G136" s="107">
        <f>F136/F$141</f>
        <v>0.521869865008217</v>
      </c>
      <c r="H136" s="107">
        <v>0.546999334590828</v>
      </c>
      <c r="I136" s="107" t="str">
        <f t="shared" si="13"/>
        <v/>
      </c>
      <c r="J136" s="121" t="str">
        <f>IFERROR(F136*VLOOKUP(D136,说明!A$33:B$44,2,FALSE),"")</f>
        <v/>
      </c>
      <c r="K136" s="122" t="e">
        <f>VLOOKUP(B136,正厂竞争者数据汇总!D:H,11,FALSE)</f>
        <v>#N/A</v>
      </c>
      <c r="L136" s="88" t="str">
        <f>IFERROR(VLOOKUP(B136,'Competitive Matrix'!$B$4:$D$22,2,FALSE),"")</f>
        <v>L:74% N:44% D:100% 有销售:100%</v>
      </c>
      <c r="M136" s="88" t="str">
        <f>IFERROR(VLOOKUP(B136,'Competitive Matrix'!$B$4:$D$22,3,FALSE),"")</f>
        <v>2020 on 202011</v>
      </c>
      <c r="N136" s="88">
        <v>943</v>
      </c>
      <c r="O136" s="126"/>
      <c r="P136" s="126"/>
    </row>
    <row r="137" ht="14.4" spans="1:16">
      <c r="A137" s="89" t="s">
        <v>230</v>
      </c>
      <c r="B137" s="108" t="s">
        <v>599</v>
      </c>
      <c r="C137" s="89" t="e">
        <f>VLOOKUP(B137,正厂竞争者数据汇总!D:H,2,FALSE)</f>
        <v>#N/A</v>
      </c>
      <c r="D137" s="89" t="e">
        <f>VLOOKUP(B137,正厂竞争者数据汇总!D:H,3,FALSE)</f>
        <v>#N/A</v>
      </c>
      <c r="E137" s="91" t="e">
        <f>VLOOKUP(B137,正厂竞争者数据汇总!D:H,5,FALSE)</f>
        <v>#N/A</v>
      </c>
      <c r="F137" s="91">
        <v>29935.3333333333</v>
      </c>
      <c r="G137" s="109">
        <f>F137/F$141</f>
        <v>0.233495226407638</v>
      </c>
      <c r="H137" s="109">
        <v>0.213330808916012</v>
      </c>
      <c r="I137" s="109" t="str">
        <f t="shared" si="13"/>
        <v/>
      </c>
      <c r="J137" s="93" t="str">
        <f>IFERROR(F137*VLOOKUP(D137,说明!A$33:B$44,2,FALSE),"")</f>
        <v/>
      </c>
      <c r="K137" s="118" t="e">
        <f>VLOOKUP(B137,正厂竞争者数据汇总!D:H,11,FALSE)</f>
        <v>#N/A</v>
      </c>
      <c r="L137" s="89" t="str">
        <f>IFERROR(VLOOKUP(B137,'Competitive Matrix'!$B$4:$D$22,2,FALSE),"")</f>
        <v/>
      </c>
      <c r="M137" s="89" t="str">
        <f>IFERROR(VLOOKUP(B137,'Competitive Matrix'!$B$4:$D$22,3,FALSE),"")</f>
        <v/>
      </c>
      <c r="N137" s="89">
        <v>134</v>
      </c>
      <c r="O137" s="126"/>
      <c r="P137" s="124"/>
    </row>
    <row r="138" spans="1:14">
      <c r="A138" s="89" t="s">
        <v>230</v>
      </c>
      <c r="B138" s="108" t="s">
        <v>602</v>
      </c>
      <c r="C138" s="89" t="e">
        <f>VLOOKUP(B138,正厂竞争者数据汇总!D:H,2,FALSE)</f>
        <v>#N/A</v>
      </c>
      <c r="D138" s="89" t="e">
        <f>VLOOKUP(B138,正厂竞争者数据汇总!D:H,3,FALSE)</f>
        <v>#N/A</v>
      </c>
      <c r="E138" s="91" t="e">
        <f>VLOOKUP(B138,正厂竞争者数据汇总!D:H,5,FALSE)</f>
        <v>#N/A</v>
      </c>
      <c r="F138" s="91">
        <v>8822.83333333333</v>
      </c>
      <c r="G138" s="109">
        <f>F138/F$141</f>
        <v>0.0688179898912163</v>
      </c>
      <c r="H138" s="109">
        <v>0.0802725427979081</v>
      </c>
      <c r="I138" s="109" t="str">
        <f t="shared" si="13"/>
        <v/>
      </c>
      <c r="J138" s="93" t="str">
        <f>IFERROR(F138*VLOOKUP(D138,说明!A$33:B$44,2,FALSE),"")</f>
        <v/>
      </c>
      <c r="K138" s="118" t="e">
        <f>VLOOKUP(B138,正厂竞争者数据汇总!D:H,11,FALSE)</f>
        <v>#N/A</v>
      </c>
      <c r="L138" s="89" t="str">
        <f>IFERROR(VLOOKUP(B138,'Competitive Matrix'!$B$4:$D$22,2,FALSE),"")</f>
        <v/>
      </c>
      <c r="M138" s="89" t="str">
        <f>IFERROR(VLOOKUP(B138,'Competitive Matrix'!$B$4:$D$22,3,FALSE),"")</f>
        <v/>
      </c>
      <c r="N138" s="89">
        <v>48</v>
      </c>
    </row>
    <row r="139" spans="1:14">
      <c r="A139" s="89" t="s">
        <v>230</v>
      </c>
      <c r="B139" s="108" t="s">
        <v>4588</v>
      </c>
      <c r="C139" s="89" t="e">
        <f>VLOOKUP(B139,正厂竞争者数据汇总!D:H,2,FALSE)</f>
        <v>#N/A</v>
      </c>
      <c r="D139" s="89" t="e">
        <f>VLOOKUP(B139,正厂竞争者数据汇总!D:H,3,FALSE)</f>
        <v>#N/A</v>
      </c>
      <c r="E139" s="91" t="e">
        <f>VLOOKUP(B139,正厂竞争者数据汇总!D:H,5,FALSE)</f>
        <v>#N/A</v>
      </c>
      <c r="F139" s="91">
        <v>6022.83333333333</v>
      </c>
      <c r="G139" s="109">
        <f>F139/F$141</f>
        <v>0.0469780248351604</v>
      </c>
      <c r="H139" s="109">
        <v>0.0753954942293234</v>
      </c>
      <c r="I139" s="109" t="str">
        <f t="shared" si="13"/>
        <v/>
      </c>
      <c r="J139" s="93" t="str">
        <f>IFERROR(F139*VLOOKUP(D139,说明!A$33:B$44,2,FALSE),"")</f>
        <v/>
      </c>
      <c r="K139" s="118" t="e">
        <f>VLOOKUP(B139,正厂竞争者数据汇总!D:H,11,FALSE)</f>
        <v>#N/A</v>
      </c>
      <c r="L139" s="89" t="str">
        <f>IFERROR(VLOOKUP(B139,'Competitive Matrix'!$B$4:$D$22,2,FALSE),"")</f>
        <v/>
      </c>
      <c r="M139" s="89" t="str">
        <f>IFERROR(VLOOKUP(B139,'Competitive Matrix'!$B$4:$D$22,3,FALSE),"")</f>
        <v/>
      </c>
      <c r="N139" s="89">
        <v>111</v>
      </c>
    </row>
    <row r="140" ht="28.8" spans="1:15">
      <c r="A140" s="111" t="s">
        <v>468</v>
      </c>
      <c r="B140" s="108" t="s">
        <v>603</v>
      </c>
      <c r="C140" s="89" t="e">
        <f>VLOOKUP(B140,正厂竞争者数据汇总!D:H,2,FALSE)</f>
        <v>#N/A</v>
      </c>
      <c r="D140" s="89" t="e">
        <f>VLOOKUP(B140,正厂竞争者数据汇总!D:H,3,FALSE)</f>
        <v>#N/A</v>
      </c>
      <c r="E140" s="91" t="e">
        <f>VLOOKUP(B140,正厂竞争者数据汇总!D:H,5,FALSE)</f>
        <v>#N/A</v>
      </c>
      <c r="F140" s="91">
        <v>16517.8333333333</v>
      </c>
      <c r="G140" s="109">
        <f>F140/F$141</f>
        <v>0.12883889385777</v>
      </c>
      <c r="H140" s="109">
        <v>0.0840018194659286</v>
      </c>
      <c r="I140" s="109" t="str">
        <f t="shared" si="13"/>
        <v/>
      </c>
      <c r="J140" s="93" t="str">
        <f>IFERROR(F140*VLOOKUP(D140,说明!A$33:B$44,2,FALSE),"")</f>
        <v/>
      </c>
      <c r="K140" s="118" t="e">
        <f>VLOOKUP(B140,正厂竞争者数据汇总!D:H,11,FALSE)</f>
        <v>#N/A</v>
      </c>
      <c r="L140" s="89" t="str">
        <f>IFERROR(VLOOKUP(B140,'Competitive Matrix'!$B$4:$D$22,2,FALSE),"")</f>
        <v/>
      </c>
      <c r="M140" s="89" t="str">
        <f>IFERROR(VLOOKUP(B140,'Competitive Matrix'!$B$4:$D$22,3,FALSE),"")</f>
        <v/>
      </c>
      <c r="N140" s="89">
        <v>1000</v>
      </c>
      <c r="O140" s="126" t="s">
        <v>4592</v>
      </c>
    </row>
    <row r="141" spans="5:12">
      <c r="E141" s="91"/>
      <c r="F141" s="91">
        <v>128205.333333333</v>
      </c>
      <c r="I141" s="109">
        <f>SUM(I135:I140)</f>
        <v>0</v>
      </c>
      <c r="K141" s="118"/>
      <c r="L141" s="95"/>
    </row>
    <row r="142" spans="5:12">
      <c r="E142" s="91"/>
      <c r="I142" s="109"/>
      <c r="K142" s="118"/>
      <c r="L142" s="95"/>
    </row>
    <row r="143" ht="14.4" customHeight="1" spans="1:22">
      <c r="A143" s="96" t="s">
        <v>171</v>
      </c>
      <c r="B143" s="97"/>
      <c r="C143" s="98"/>
      <c r="E143" s="99" t="s">
        <v>2</v>
      </c>
      <c r="F143" s="100"/>
      <c r="G143" s="100"/>
      <c r="H143" s="100"/>
      <c r="I143" s="100"/>
      <c r="J143" s="100"/>
      <c r="K143" s="95"/>
      <c r="L143" s="102"/>
      <c r="M143" s="102"/>
      <c r="O143" s="128"/>
      <c r="P143" s="128"/>
      <c r="Q143" s="128"/>
      <c r="R143" s="132"/>
      <c r="S143" s="116"/>
      <c r="T143" s="128"/>
      <c r="U143" s="128"/>
      <c r="V143" s="132"/>
    </row>
    <row r="144" ht="46.8" spans="1:22">
      <c r="A144" s="101" t="s">
        <v>3944</v>
      </c>
      <c r="B144" s="102" t="s">
        <v>207</v>
      </c>
      <c r="C144" s="101" t="s">
        <v>447</v>
      </c>
      <c r="D144" s="89" t="s">
        <v>209</v>
      </c>
      <c r="E144" s="101" t="s">
        <v>210</v>
      </c>
      <c r="F144" s="103" t="s">
        <v>6086</v>
      </c>
      <c r="G144" s="104" t="s">
        <v>6235</v>
      </c>
      <c r="H144" s="104" t="s">
        <v>6233</v>
      </c>
      <c r="K144" s="118" t="s">
        <v>0</v>
      </c>
      <c r="L144" s="119" t="s">
        <v>6091</v>
      </c>
      <c r="M144" s="119" t="s">
        <v>6092</v>
      </c>
      <c r="N144" s="120" t="s">
        <v>6198</v>
      </c>
      <c r="O144" s="119" t="s">
        <v>225</v>
      </c>
      <c r="P144" s="120" t="s">
        <v>226</v>
      </c>
      <c r="Q144" s="119"/>
      <c r="R144" s="119"/>
      <c r="S144" s="119"/>
      <c r="T144" s="119"/>
      <c r="U144" s="119"/>
      <c r="V144" s="119"/>
    </row>
    <row r="145" spans="1:14">
      <c r="A145" s="89" t="s">
        <v>230</v>
      </c>
      <c r="B145" s="108" t="s">
        <v>578</v>
      </c>
      <c r="C145" s="89" t="e">
        <f>VLOOKUP(B145,正厂竞争者数据汇总!D:H,2,FALSE)</f>
        <v>#N/A</v>
      </c>
      <c r="D145" s="89" t="e">
        <f>VLOOKUP(B145,正厂竞争者数据汇总!D:H,3,FALSE)</f>
        <v>#N/A</v>
      </c>
      <c r="E145" s="91" t="e">
        <f>VLOOKUP(B145,正厂竞争者数据汇总!D:H,5,FALSE)</f>
        <v>#N/A</v>
      </c>
      <c r="F145" s="91">
        <v>123378.5</v>
      </c>
      <c r="G145" s="109">
        <f>F145/F$153</f>
        <v>0.397204915703999</v>
      </c>
      <c r="H145" s="109">
        <v>0.404471127900702</v>
      </c>
      <c r="K145" s="118" t="e">
        <f>VLOOKUP(B145,正厂竞争者数据汇总!D:H,11,FALSE)</f>
        <v>#N/A</v>
      </c>
      <c r="L145" s="89" t="str">
        <f>IFERROR(VLOOKUP(B145,'Competitive Matrix'!$B$4:$D$22,2,FALSE),"")</f>
        <v/>
      </c>
      <c r="M145" s="89" t="str">
        <f>IFERROR(VLOOKUP(B145,'Competitive Matrix'!$B$4:$D$22,3,FALSE),"")</f>
        <v/>
      </c>
      <c r="N145" s="89">
        <v>571</v>
      </c>
    </row>
    <row r="146" spans="1:14">
      <c r="A146" s="89" t="s">
        <v>230</v>
      </c>
      <c r="B146" s="114" t="s">
        <v>311</v>
      </c>
      <c r="C146" s="89" t="str">
        <f>VLOOKUP(B146,正厂竞争者数据汇总!D:H,2,FALSE)</f>
        <v>原厂目录</v>
      </c>
      <c r="D146" s="89" t="str">
        <f>VLOOKUP(B146,正厂竞争者数据汇总!D:H,3,FALSE)</f>
        <v>GA</v>
      </c>
      <c r="E146" s="91">
        <f>VLOOKUP(B146,正厂竞争者数据汇总!D:H,5,FALSE)</f>
        <v>95372.9166666667</v>
      </c>
      <c r="F146" s="91">
        <v>64734.4166666667</v>
      </c>
      <c r="G146" s="109">
        <f t="shared" ref="G146:G152" si="14">F146/F$153</f>
        <v>0.208406071683728</v>
      </c>
      <c r="H146" s="109">
        <v>0.228630059363195</v>
      </c>
      <c r="K146" s="118" t="e">
        <f>VLOOKUP(B146,正厂竞争者数据汇总!D:H,11,FALSE)</f>
        <v>#REF!</v>
      </c>
      <c r="L146" s="89" t="str">
        <f>IFERROR(VLOOKUP(B146,'Competitive Matrix'!$B$4:$D$22,2,FALSE),"")</f>
        <v/>
      </c>
      <c r="M146" s="89" t="str">
        <f>IFERROR(VLOOKUP(B146,'Competitive Matrix'!$B$4:$D$22,3,FALSE),"")</f>
        <v/>
      </c>
      <c r="N146" s="89">
        <v>799</v>
      </c>
    </row>
    <row r="147" spans="1:14">
      <c r="A147" s="89" t="s">
        <v>243</v>
      </c>
      <c r="B147" s="108" t="s">
        <v>314</v>
      </c>
      <c r="C147" s="89" t="str">
        <f>VLOOKUP(B147,正厂竞争者数据汇总!D:H,2,FALSE)</f>
        <v>原厂目录</v>
      </c>
      <c r="D147" s="89" t="str">
        <f>VLOOKUP(B147,正厂竞争者数据汇总!D:H,3,FALSE)</f>
        <v>WA</v>
      </c>
      <c r="E147" s="91">
        <f>VLOOKUP(B147,正厂竞争者数据汇总!D:H,5,FALSE)</f>
        <v>60722.6666666667</v>
      </c>
      <c r="F147" s="91">
        <v>23073.25</v>
      </c>
      <c r="G147" s="109">
        <f t="shared" si="14"/>
        <v>0.0742820533664073</v>
      </c>
      <c r="H147" s="109">
        <v>0.0722423097679439</v>
      </c>
      <c r="K147" s="118" t="e">
        <f>VLOOKUP(B147,正厂竞争者数据汇总!D:H,11,FALSE)</f>
        <v>#REF!</v>
      </c>
      <c r="L147" s="89" t="str">
        <f>IFERROR(VLOOKUP(B147,'Competitive Matrix'!$B$4:$D$22,2,FALSE),"")</f>
        <v/>
      </c>
      <c r="M147" s="89" t="str">
        <f>IFERROR(VLOOKUP(B147,'Competitive Matrix'!$B$4:$D$22,3,FALSE),"")</f>
        <v/>
      </c>
      <c r="N147" s="89">
        <v>507</v>
      </c>
    </row>
    <row r="148" spans="1:14">
      <c r="A148" s="89" t="s">
        <v>230</v>
      </c>
      <c r="B148" s="89" t="s">
        <v>4608</v>
      </c>
      <c r="C148" s="89" t="e">
        <f>VLOOKUP(B148,正厂竞争者数据汇总!D:H,2,FALSE)</f>
        <v>#N/A</v>
      </c>
      <c r="D148" s="89" t="e">
        <f>VLOOKUP(B148,正厂竞争者数据汇总!D:H,3,FALSE)</f>
        <v>#N/A</v>
      </c>
      <c r="E148" s="91" t="e">
        <f>VLOOKUP(B148,正厂竞争者数据汇总!D:H,5,FALSE)</f>
        <v>#N/A</v>
      </c>
      <c r="F148" s="91">
        <v>67034.3333333333</v>
      </c>
      <c r="G148" s="109">
        <f t="shared" si="14"/>
        <v>0.215810426621659</v>
      </c>
      <c r="H148" s="109">
        <v>0.211146249325418</v>
      </c>
      <c r="K148" s="118" t="e">
        <f>VLOOKUP(B148,正厂竞争者数据汇总!D:H,11,FALSE)</f>
        <v>#N/A</v>
      </c>
      <c r="L148" s="89" t="str">
        <f>IFERROR(VLOOKUP(B148,'Competitive Matrix'!$B$4:$D$22,2,FALSE),"")</f>
        <v/>
      </c>
      <c r="M148" s="89" t="str">
        <f>IFERROR(VLOOKUP(B148,'Competitive Matrix'!$B$4:$D$22,3,FALSE),"")</f>
        <v/>
      </c>
      <c r="N148" s="89">
        <v>279</v>
      </c>
    </row>
    <row r="149" spans="1:14">
      <c r="A149" s="89" t="s">
        <v>243</v>
      </c>
      <c r="B149" s="89" t="s">
        <v>388</v>
      </c>
      <c r="C149" s="89" t="str">
        <f>VLOOKUP(B149,正厂竞争者数据汇总!D:H,2,FALSE)</f>
        <v>原厂目录</v>
      </c>
      <c r="D149" s="89" t="str">
        <f>VLOOKUP(B149,正厂竞争者数据汇总!D:H,3,FALSE)</f>
        <v>CA</v>
      </c>
      <c r="E149" s="91">
        <f>VLOOKUP(B149,正厂竞争者数据汇总!D:H,5,FALSE)</f>
        <v>18827.8333333333</v>
      </c>
      <c r="F149" s="91">
        <v>20713.3333333333</v>
      </c>
      <c r="G149" s="109">
        <f t="shared" si="14"/>
        <v>0.0666845343444399</v>
      </c>
      <c r="H149" s="109">
        <v>0.0621527253103076</v>
      </c>
      <c r="K149" s="118" t="e">
        <f>VLOOKUP(B149,正厂竞争者数据汇总!D:H,11,FALSE)</f>
        <v>#REF!</v>
      </c>
      <c r="L149" s="89" t="str">
        <f>IFERROR(VLOOKUP(B149,'Competitive Matrix'!$B$4:$D$22,2,FALSE),"")</f>
        <v/>
      </c>
      <c r="M149" s="89" t="str">
        <f>IFERROR(VLOOKUP(B149,'Competitive Matrix'!$B$4:$D$22,3,FALSE),"")</f>
        <v/>
      </c>
      <c r="N149" s="89">
        <v>225</v>
      </c>
    </row>
    <row r="150" spans="1:14">
      <c r="A150" s="89" t="s">
        <v>230</v>
      </c>
      <c r="B150" s="108" t="s">
        <v>581</v>
      </c>
      <c r="C150" s="89" t="e">
        <f>VLOOKUP(B150,正厂竞争者数据汇总!D:H,2,FALSE)</f>
        <v>#N/A</v>
      </c>
      <c r="D150" s="89" t="e">
        <f>VLOOKUP(B150,正厂竞争者数据汇总!D:H,3,FALSE)</f>
        <v>#N/A</v>
      </c>
      <c r="E150" s="91" t="e">
        <f>VLOOKUP(B150,正厂竞争者数据汇总!D:H,5,FALSE)</f>
        <v>#N/A</v>
      </c>
      <c r="F150" s="91">
        <v>10228.8333333333</v>
      </c>
      <c r="G150" s="109">
        <f t="shared" si="14"/>
        <v>0.0329307203598431</v>
      </c>
      <c r="H150" s="109">
        <v>0.0209800323799244</v>
      </c>
      <c r="K150" s="118" t="e">
        <f>VLOOKUP(B150,正厂竞争者数据汇总!D:H,11,FALSE)</f>
        <v>#N/A</v>
      </c>
      <c r="L150" s="89" t="str">
        <f>IFERROR(VLOOKUP(B150,'Competitive Matrix'!$B$4:$D$22,2,FALSE),"")</f>
        <v/>
      </c>
      <c r="N150" s="89">
        <v>26</v>
      </c>
    </row>
    <row r="151" s="88" customFormat="1" ht="14.4" spans="1:16">
      <c r="A151" s="88" t="s">
        <v>227</v>
      </c>
      <c r="B151" s="105" t="s">
        <v>4615</v>
      </c>
      <c r="C151" s="88" t="e">
        <f>VLOOKUP(B151,正厂竞争者数据汇总!D:H,2,FALSE)</f>
        <v>#N/A</v>
      </c>
      <c r="D151" s="88" t="e">
        <f>VLOOKUP(B151,正厂竞争者数据汇总!D:H,3,FALSE)</f>
        <v>#N/A</v>
      </c>
      <c r="E151" s="106" t="e">
        <f>VLOOKUP(B151,正厂竞争者数据汇总!D:H,5,FALSE)</f>
        <v>#N/A</v>
      </c>
      <c r="F151" s="106">
        <v>803.583333333333</v>
      </c>
      <c r="G151" s="109">
        <f t="shared" si="14"/>
        <v>0.00258705730883261</v>
      </c>
      <c r="H151" s="107">
        <v>0.000377495952509444</v>
      </c>
      <c r="I151" s="110"/>
      <c r="J151" s="121"/>
      <c r="K151" s="129" t="s">
        <v>6212</v>
      </c>
      <c r="L151" s="88" t="str">
        <f>IFERROR(VLOOKUP(B151,'Competitive Matrix'!$B$4:$D$22,2,FALSE),"")</f>
        <v/>
      </c>
      <c r="M151" s="88" t="str">
        <f>IFERROR(VLOOKUP(B151,'Competitive Matrix'!$B$4:$D$22,3,FALSE),"")</f>
        <v/>
      </c>
      <c r="N151" s="88" t="s">
        <v>5419</v>
      </c>
      <c r="O151" s="126"/>
      <c r="P151" s="126"/>
    </row>
    <row r="152" ht="14.4" spans="1:13">
      <c r="A152" s="88" t="s">
        <v>227</v>
      </c>
      <c r="B152" s="105" t="s">
        <v>172</v>
      </c>
      <c r="C152" s="88" t="str">
        <f>VLOOKUP(B152,正厂竞争者数据汇总!D:H,2,FALSE)</f>
        <v>原厂目录</v>
      </c>
      <c r="E152" s="91"/>
      <c r="F152" s="106">
        <v>650.5</v>
      </c>
      <c r="G152" s="109">
        <f t="shared" si="14"/>
        <v>0.00209422061109068</v>
      </c>
      <c r="K152" s="124" t="s">
        <v>6218</v>
      </c>
      <c r="L152" s="145" t="s">
        <v>313</v>
      </c>
      <c r="M152" s="146" t="s">
        <v>6113</v>
      </c>
    </row>
    <row r="153" spans="5:12">
      <c r="E153" s="91"/>
      <c r="F153" s="91">
        <v>310616.75</v>
      </c>
      <c r="I153" s="109"/>
      <c r="K153" s="118"/>
      <c r="L153" s="95"/>
    </row>
    <row r="154" ht="14.4" customHeight="1" spans="1:22">
      <c r="A154" s="96" t="s">
        <v>191</v>
      </c>
      <c r="B154" s="97"/>
      <c r="C154" s="98"/>
      <c r="E154" s="99" t="s">
        <v>2</v>
      </c>
      <c r="F154" s="100"/>
      <c r="G154" s="100"/>
      <c r="H154" s="100"/>
      <c r="I154" s="100"/>
      <c r="J154" s="100"/>
      <c r="K154" s="95"/>
      <c r="L154" s="102"/>
      <c r="M154" s="102"/>
      <c r="O154" s="128"/>
      <c r="P154" s="128"/>
      <c r="Q154" s="128"/>
      <c r="R154" s="132"/>
      <c r="S154" s="116"/>
      <c r="T154" s="128"/>
      <c r="U154" s="128"/>
      <c r="V154" s="132"/>
    </row>
    <row r="155" ht="46.8" spans="1:22">
      <c r="A155" s="101" t="s">
        <v>3944</v>
      </c>
      <c r="B155" s="102" t="s">
        <v>207</v>
      </c>
      <c r="C155" s="101" t="s">
        <v>447</v>
      </c>
      <c r="D155" s="89" t="s">
        <v>209</v>
      </c>
      <c r="E155" s="101" t="s">
        <v>210</v>
      </c>
      <c r="F155" s="103" t="s">
        <v>6086</v>
      </c>
      <c r="G155" s="104" t="s">
        <v>6235</v>
      </c>
      <c r="H155" s="104" t="s">
        <v>6233</v>
      </c>
      <c r="K155" s="118" t="s">
        <v>0</v>
      </c>
      <c r="L155" s="119" t="s">
        <v>6091</v>
      </c>
      <c r="M155" s="119" t="s">
        <v>6092</v>
      </c>
      <c r="N155" s="120" t="s">
        <v>6198</v>
      </c>
      <c r="O155" s="119" t="s">
        <v>225</v>
      </c>
      <c r="P155" s="120" t="s">
        <v>226</v>
      </c>
      <c r="Q155" s="119"/>
      <c r="R155" s="119"/>
      <c r="S155" s="119"/>
      <c r="T155" s="119"/>
      <c r="U155" s="119"/>
      <c r="V155" s="119"/>
    </row>
    <row r="156" spans="1:14">
      <c r="A156" s="89" t="s">
        <v>325</v>
      </c>
      <c r="B156" s="89" t="s">
        <v>606</v>
      </c>
      <c r="C156" s="89" t="e">
        <f>VLOOKUP(B156,正厂竞争者数据汇总!D:H,2,FALSE)</f>
        <v>#N/A</v>
      </c>
      <c r="D156" s="89" t="e">
        <f>VLOOKUP(B156,正厂竞争者数据汇总!D:H,3,FALSE)</f>
        <v>#N/A</v>
      </c>
      <c r="E156" s="91" t="e">
        <f>VLOOKUP(B156,正厂竞争者数据汇总!D:H,5,FALSE)</f>
        <v>#N/A</v>
      </c>
      <c r="F156" s="91">
        <v>191832.25</v>
      </c>
      <c r="G156" s="109">
        <f>F156/F$161</f>
        <v>0.779130225820428</v>
      </c>
      <c r="H156" s="109">
        <v>0.792407244030104</v>
      </c>
      <c r="K156" s="118" t="e">
        <f>VLOOKUP(B156,正厂竞争者数据汇总!D:H,11,FALSE)</f>
        <v>#N/A</v>
      </c>
      <c r="L156" s="89" t="str">
        <f>IFERROR(VLOOKUP(B156,'Competitive Matrix'!$B$4:$D$22,2,FALSE),"")</f>
        <v/>
      </c>
      <c r="M156" s="89" t="str">
        <f>IFERROR(VLOOKUP(B156,'Competitive Matrix'!$B$4:$D$22,3,FALSE),"")</f>
        <v/>
      </c>
      <c r="N156" s="95">
        <v>1600</v>
      </c>
    </row>
    <row r="157" spans="1:14">
      <c r="A157" s="111" t="s">
        <v>230</v>
      </c>
      <c r="B157" s="89" t="s">
        <v>607</v>
      </c>
      <c r="C157" s="89" t="e">
        <f>VLOOKUP(B157,正厂竞争者数据汇总!D:H,2,FALSE)</f>
        <v>#N/A</v>
      </c>
      <c r="D157" s="89" t="e">
        <f>VLOOKUP(B157,正厂竞争者数据汇总!D:H,3,FALSE)</f>
        <v>#N/A</v>
      </c>
      <c r="E157" s="91" t="e">
        <f>VLOOKUP(B157,正厂竞争者数据汇总!D:H,5,FALSE)</f>
        <v>#N/A</v>
      </c>
      <c r="F157" s="91">
        <v>11338.5</v>
      </c>
      <c r="G157" s="109">
        <f>F157/F$161</f>
        <v>0.0460515271309434</v>
      </c>
      <c r="H157" s="109">
        <v>0.0595728814197568</v>
      </c>
      <c r="K157" s="118" t="e">
        <f>VLOOKUP(B157,正厂竞争者数据汇总!D:H,11,FALSE)</f>
        <v>#N/A</v>
      </c>
      <c r="L157" s="89" t="str">
        <f>IFERROR(VLOOKUP(B157,'Competitive Matrix'!$B$4:$D$22,2,FALSE),"")</f>
        <v/>
      </c>
      <c r="M157" s="89" t="str">
        <f>IFERROR(VLOOKUP(B157,'Competitive Matrix'!$B$4:$D$22,3,FALSE),"")</f>
        <v/>
      </c>
      <c r="N157" s="95">
        <v>199</v>
      </c>
    </row>
    <row r="158" spans="1:14">
      <c r="A158" s="89" t="s">
        <v>2624</v>
      </c>
      <c r="B158" s="89" t="s">
        <v>465</v>
      </c>
      <c r="C158" s="89" t="str">
        <f>VLOOKUP(B158,正厂竞争者数据汇总!D:H,2,FALSE)</f>
        <v>原厂目录</v>
      </c>
      <c r="D158" s="89" t="str">
        <f>VLOOKUP(B158,正厂竞争者数据汇总!D:H,3,FALSE)</f>
        <v>-</v>
      </c>
      <c r="E158" s="91">
        <f>VLOOKUP(B158,正厂竞争者数据汇总!D:H,5,FALSE)</f>
        <v>396778.666666667</v>
      </c>
      <c r="F158" s="91">
        <v>31492.0833333333</v>
      </c>
      <c r="G158" s="109">
        <f>F158/F$161</f>
        <v>0.127905678002816</v>
      </c>
      <c r="H158" s="109">
        <v>0.0994144417965367</v>
      </c>
      <c r="K158" s="118" t="e">
        <f>VLOOKUP(B158,正厂竞争者数据汇总!D:H,11,FALSE)</f>
        <v>#REF!</v>
      </c>
      <c r="L158" s="89" t="str">
        <f>IFERROR(VLOOKUP(B158,'Competitive Matrix'!$B$4:$D$22,2,FALSE),"")</f>
        <v/>
      </c>
      <c r="M158" s="89" t="str">
        <f>IFERROR(VLOOKUP(B158,'Competitive Matrix'!$B$4:$D$22,3,FALSE),"")</f>
        <v/>
      </c>
      <c r="N158" s="95" t="s">
        <v>5419</v>
      </c>
    </row>
    <row r="159" spans="1:14">
      <c r="A159" s="89" t="s">
        <v>325</v>
      </c>
      <c r="B159" s="108" t="s">
        <v>608</v>
      </c>
      <c r="C159" s="89" t="e">
        <f>VLOOKUP(B159,正厂竞争者数据汇总!D:H,2,FALSE)</f>
        <v>#N/A</v>
      </c>
      <c r="D159" s="89" t="e">
        <f>VLOOKUP(B159,正厂竞争者数据汇总!D:H,3,FALSE)</f>
        <v>#N/A</v>
      </c>
      <c r="E159" s="91" t="e">
        <f>VLOOKUP(B159,正厂竞争者数据汇总!D:H,5,FALSE)</f>
        <v>#N/A</v>
      </c>
      <c r="F159" s="91">
        <v>11490.8333333333</v>
      </c>
      <c r="G159" s="109">
        <f>F159/F$161</f>
        <v>0.0466702317773204</v>
      </c>
      <c r="H159" s="109">
        <v>0.0483647002813477</v>
      </c>
      <c r="K159" s="118" t="e">
        <f>VLOOKUP(B159,正厂竞争者数据汇总!D:H,11,FALSE)</f>
        <v>#N/A</v>
      </c>
      <c r="L159" s="89" t="str">
        <f>IFERROR(VLOOKUP(B159,'Competitive Matrix'!$B$4:$D$22,2,FALSE),"")</f>
        <v/>
      </c>
      <c r="M159" s="89" t="str">
        <f>IFERROR(VLOOKUP(B159,'Competitive Matrix'!$B$4:$D$22,3,FALSE),"")</f>
        <v/>
      </c>
      <c r="N159" s="95">
        <v>181</v>
      </c>
    </row>
    <row r="160" spans="2:14">
      <c r="B160" s="108" t="s">
        <v>4618</v>
      </c>
      <c r="C160" s="89" t="e">
        <f>VLOOKUP(B160,正厂竞争者数据汇总!D:H,2,FALSE)</f>
        <v>#N/A</v>
      </c>
      <c r="D160" s="89" t="e">
        <f>VLOOKUP(B160,正厂竞争者数据汇总!D:H,3,FALSE)</f>
        <v>#N/A</v>
      </c>
      <c r="E160" s="91" t="e">
        <f>VLOOKUP(B160,正厂竞争者数据汇总!D:H,5,FALSE)</f>
        <v>#N/A</v>
      </c>
      <c r="F160" s="91">
        <v>59.6666666666667</v>
      </c>
      <c r="G160" s="109">
        <f>F160/F$161</f>
        <v>0.000242337268493448</v>
      </c>
      <c r="H160" s="109">
        <v>0.000240732472255246</v>
      </c>
      <c r="K160" s="118" t="e">
        <f>VLOOKUP(B160,正厂竞争者数据汇总!D:H,11,FALSE)</f>
        <v>#N/A</v>
      </c>
      <c r="L160" s="89" t="str">
        <f>IFERROR(VLOOKUP(B160,'Competitive Matrix'!$B$4:$D$22,2,FALSE),"")</f>
        <v/>
      </c>
      <c r="M160" s="89" t="str">
        <f>IFERROR(VLOOKUP(B160,'Competitive Matrix'!$B$4:$D$22,3,FALSE),"")</f>
        <v/>
      </c>
      <c r="N160" s="95">
        <v>94</v>
      </c>
    </row>
    <row r="161" spans="6:6">
      <c r="F161" s="140">
        <v>246213.333333333</v>
      </c>
    </row>
    <row r="162" spans="3:11">
      <c r="C162" s="139"/>
      <c r="E162" s="91"/>
      <c r="F162" s="109"/>
      <c r="G162" s="109"/>
      <c r="H162" s="109"/>
      <c r="I162" s="109"/>
      <c r="J162" s="130"/>
      <c r="K162" s="147"/>
    </row>
    <row r="163" spans="2:11">
      <c r="B163" s="108"/>
      <c r="E163" s="91"/>
      <c r="K163" s="95"/>
    </row>
    <row r="164" ht="14.4" customHeight="1" spans="1:22">
      <c r="A164" s="96" t="s">
        <v>189</v>
      </c>
      <c r="B164" s="97"/>
      <c r="C164" s="98"/>
      <c r="E164" s="99" t="s">
        <v>2</v>
      </c>
      <c r="F164" s="100"/>
      <c r="G164" s="100"/>
      <c r="H164" s="100"/>
      <c r="I164" s="100"/>
      <c r="J164" s="100"/>
      <c r="K164" s="95"/>
      <c r="L164" s="102"/>
      <c r="M164" s="102"/>
      <c r="O164" s="128"/>
      <c r="P164" s="128"/>
      <c r="Q164" s="128"/>
      <c r="R164" s="132"/>
      <c r="S164" s="116"/>
      <c r="T164" s="128"/>
      <c r="U164" s="128"/>
      <c r="V164" s="132"/>
    </row>
    <row r="165" ht="46.8" spans="1:22">
      <c r="A165" s="101" t="s">
        <v>3944</v>
      </c>
      <c r="B165" s="102" t="s">
        <v>207</v>
      </c>
      <c r="C165" s="101" t="s">
        <v>447</v>
      </c>
      <c r="D165" s="89" t="s">
        <v>209</v>
      </c>
      <c r="E165" s="101" t="s">
        <v>210</v>
      </c>
      <c r="F165" s="103" t="s">
        <v>6086</v>
      </c>
      <c r="G165" s="104" t="s">
        <v>6235</v>
      </c>
      <c r="H165" s="104" t="s">
        <v>6233</v>
      </c>
      <c r="K165" s="118" t="s">
        <v>0</v>
      </c>
      <c r="L165" s="119" t="s">
        <v>6091</v>
      </c>
      <c r="M165" s="119" t="s">
        <v>6092</v>
      </c>
      <c r="N165" s="120" t="s">
        <v>6198</v>
      </c>
      <c r="O165" s="119" t="s">
        <v>225</v>
      </c>
      <c r="P165" s="120" t="s">
        <v>226</v>
      </c>
      <c r="Q165" s="119"/>
      <c r="R165" s="119"/>
      <c r="S165" s="119"/>
      <c r="T165" s="119"/>
      <c r="U165" s="119"/>
      <c r="V165" s="119"/>
    </row>
    <row r="166" spans="1:13">
      <c r="A166" s="89" t="s">
        <v>325</v>
      </c>
      <c r="B166" s="89" t="s">
        <v>466</v>
      </c>
      <c r="C166" s="89" t="str">
        <f>VLOOKUP(B166,正厂竞争者数据汇总!D:H,2,FALSE)</f>
        <v>Motor目录，官网</v>
      </c>
      <c r="D166" s="89" t="str">
        <f>VLOOKUP(B166,正厂竞争者数据汇总!D:H,3,FALSE)</f>
        <v>-</v>
      </c>
      <c r="E166" s="91">
        <f>VLOOKUP(B166,正厂竞争者数据汇总!D:H,5,FALSE)</f>
        <v>448087.666666667</v>
      </c>
      <c r="F166" s="91">
        <v>213954.583333333</v>
      </c>
      <c r="K166" s="118"/>
      <c r="L166" s="89" t="str">
        <f>IFERROR(VLOOKUP(B166,'Competitive Matrix'!$B$4:$D$22,2,FALSE),"")</f>
        <v/>
      </c>
      <c r="M166" s="89" t="str">
        <f>IFERROR(VLOOKUP(B166,'Competitive Matrix'!$B$4:$D$22,3,FALSE),"")</f>
        <v/>
      </c>
    </row>
    <row r="167" spans="1:14">
      <c r="A167" s="89" t="s">
        <v>230</v>
      </c>
      <c r="B167" s="89" t="s">
        <v>609</v>
      </c>
      <c r="C167" s="89" t="e">
        <f>VLOOKUP(B167,正厂竞争者数据汇总!D:H,2,FALSE)</f>
        <v>#N/A</v>
      </c>
      <c r="D167" s="89" t="e">
        <f>VLOOKUP(B167,正厂竞争者数据汇总!D:H,3,FALSE)</f>
        <v>#N/A</v>
      </c>
      <c r="E167" s="91" t="e">
        <f>VLOOKUP(B167,正厂竞争者数据汇总!D:H,5,FALSE)</f>
        <v>#N/A</v>
      </c>
      <c r="F167" s="91">
        <v>71619.5833333333</v>
      </c>
      <c r="G167" s="109">
        <f t="shared" ref="G167:G173" si="15">F167/F$174</f>
        <v>0.312722187816339</v>
      </c>
      <c r="H167" s="109">
        <v>0.328597238398472</v>
      </c>
      <c r="K167" s="118" t="e">
        <f>VLOOKUP(B167,正厂竞争者数据汇总!D:H,11,FALSE)</f>
        <v>#N/A</v>
      </c>
      <c r="L167" s="89" t="str">
        <f>IFERROR(VLOOKUP(B167,'Competitive Matrix'!$B$4:$D$22,2,FALSE),"")</f>
        <v/>
      </c>
      <c r="M167" s="89" t="str">
        <f>IFERROR(VLOOKUP(B167,'Competitive Matrix'!$B$4:$D$22,3,FALSE),"")</f>
        <v/>
      </c>
      <c r="N167" s="89">
        <v>340</v>
      </c>
    </row>
    <row r="168" spans="1:14">
      <c r="A168" s="89" t="s">
        <v>243</v>
      </c>
      <c r="B168" s="89" t="s">
        <v>610</v>
      </c>
      <c r="C168" s="89" t="e">
        <f>VLOOKUP(B168,正厂竞争者数据汇总!D:H,2,FALSE)</f>
        <v>#N/A</v>
      </c>
      <c r="D168" s="89" t="e">
        <f>VLOOKUP(B168,正厂竞争者数据汇总!D:H,3,FALSE)</f>
        <v>#N/A</v>
      </c>
      <c r="E168" s="91" t="e">
        <f>VLOOKUP(B168,正厂竞争者数据汇总!D:H,5,FALSE)</f>
        <v>#N/A</v>
      </c>
      <c r="F168" s="91">
        <v>75330.0833333333</v>
      </c>
      <c r="G168" s="109">
        <f t="shared" si="15"/>
        <v>0.328923841384917</v>
      </c>
      <c r="H168" s="109">
        <v>0.305805923091601</v>
      </c>
      <c r="K168" s="118" t="e">
        <f>VLOOKUP(B168,正厂竞争者数据汇总!D:H,11,FALSE)</f>
        <v>#N/A</v>
      </c>
      <c r="L168" s="89" t="str">
        <f>IFERROR(VLOOKUP(B168,'Competitive Matrix'!$B$4:$D$22,2,FALSE),"")</f>
        <v/>
      </c>
      <c r="M168" s="89" t="str">
        <f>IFERROR(VLOOKUP(B168,'Competitive Matrix'!$B$4:$D$22,3,FALSE),"")</f>
        <v/>
      </c>
      <c r="N168" s="89" t="s">
        <v>5282</v>
      </c>
    </row>
    <row r="169" spans="1:14">
      <c r="A169" s="89" t="s">
        <v>230</v>
      </c>
      <c r="B169" s="89" t="s">
        <v>611</v>
      </c>
      <c r="C169" s="89" t="e">
        <f>VLOOKUP(B169,正厂竞争者数据汇总!D:H,2,FALSE)</f>
        <v>#N/A</v>
      </c>
      <c r="D169" s="89" t="e">
        <f>VLOOKUP(B169,正厂竞争者数据汇总!D:H,3,FALSE)</f>
        <v>#N/A</v>
      </c>
      <c r="E169" s="91" t="e">
        <f>VLOOKUP(B169,正厂竞争者数据汇总!D:H,5,FALSE)</f>
        <v>#N/A</v>
      </c>
      <c r="F169" s="91">
        <v>35677.6666666667</v>
      </c>
      <c r="G169" s="109">
        <f t="shared" si="15"/>
        <v>0.155784178808386</v>
      </c>
      <c r="H169" s="109">
        <v>0.162611237217848</v>
      </c>
      <c r="K169" s="118" t="e">
        <f>VLOOKUP(B169,正厂竞争者数据汇总!D:H,11,FALSE)</f>
        <v>#N/A</v>
      </c>
      <c r="L169" s="89" t="str">
        <f>IFERROR(VLOOKUP(B169,'Competitive Matrix'!$B$4:$D$22,2,FALSE),"")</f>
        <v/>
      </c>
      <c r="M169" s="89" t="str">
        <f>IFERROR(VLOOKUP(B169,'Competitive Matrix'!$B$4:$D$22,3,FALSE),"")</f>
        <v/>
      </c>
      <c r="N169" s="89">
        <v>126</v>
      </c>
    </row>
    <row r="170" ht="31.5" customHeight="1" spans="1:14">
      <c r="A170" s="89" t="s">
        <v>230</v>
      </c>
      <c r="B170" s="89" t="s">
        <v>4625</v>
      </c>
      <c r="C170" s="89" t="e">
        <f>VLOOKUP(B170,正厂竞争者数据汇总!D:H,2,FALSE)</f>
        <v>#N/A</v>
      </c>
      <c r="D170" s="89" t="e">
        <f>VLOOKUP(B170,正厂竞争者数据汇总!D:H,3,FALSE)</f>
        <v>#N/A</v>
      </c>
      <c r="E170" s="91" t="e">
        <f>VLOOKUP(B170,正厂竞争者数据汇总!D:H,5,FALSE)</f>
        <v>#N/A</v>
      </c>
      <c r="F170" s="91">
        <v>28100.4166666667</v>
      </c>
      <c r="G170" s="109">
        <f t="shared" si="15"/>
        <v>0.122698616349822</v>
      </c>
      <c r="H170" s="109">
        <v>0.103034450650684</v>
      </c>
      <c r="K170" s="129" t="s">
        <v>6220</v>
      </c>
      <c r="L170" s="89" t="str">
        <f>IFERROR(VLOOKUP(B170,'Competitive Matrix'!$B$4:$D$22,2,FALSE),"")</f>
        <v/>
      </c>
      <c r="M170" s="89" t="str">
        <f>IFERROR(VLOOKUP(B170,'Competitive Matrix'!$B$4:$D$22,3,FALSE),"")</f>
        <v/>
      </c>
      <c r="N170" s="89">
        <v>38</v>
      </c>
    </row>
    <row r="171" ht="28.8" spans="1:14">
      <c r="A171" s="89" t="s">
        <v>6204</v>
      </c>
      <c r="B171" s="89" t="s">
        <v>4626</v>
      </c>
      <c r="C171" s="89" t="e">
        <f>VLOOKUP(B171,正厂竞争者数据汇总!D:H,2,FALSE)</f>
        <v>#N/A</v>
      </c>
      <c r="D171" s="89" t="e">
        <f>VLOOKUP(B171,正厂竞争者数据汇总!D:H,3,FALSE)</f>
        <v>#N/A</v>
      </c>
      <c r="E171" s="91" t="e">
        <f>VLOOKUP(B171,正厂竞争者数据汇总!D:H,5,FALSE)</f>
        <v>#N/A</v>
      </c>
      <c r="F171" s="91">
        <v>7923.41666666667</v>
      </c>
      <c r="G171" s="109">
        <f t="shared" si="15"/>
        <v>0.0345970763813033</v>
      </c>
      <c r="H171" s="109">
        <v>0.05670606093462</v>
      </c>
      <c r="K171" s="129" t="s">
        <v>6221</v>
      </c>
      <c r="L171" s="89" t="str">
        <f>IFERROR(VLOOKUP(B171,'Competitive Matrix'!$B$4:$D$22,2,FALSE),"")</f>
        <v/>
      </c>
      <c r="M171" s="89" t="str">
        <f>IFERROR(VLOOKUP(B171,'Competitive Matrix'!$B$4:$D$22,3,FALSE),"")</f>
        <v/>
      </c>
      <c r="N171" s="89">
        <v>642</v>
      </c>
    </row>
    <row r="172" spans="1:14">
      <c r="A172" s="111" t="s">
        <v>468</v>
      </c>
      <c r="B172" s="89" t="s">
        <v>612</v>
      </c>
      <c r="C172" s="89" t="e">
        <f>VLOOKUP(B172,正厂竞争者数据汇总!D:H,2,FALSE)</f>
        <v>#N/A</v>
      </c>
      <c r="D172" s="89" t="e">
        <f>VLOOKUP(B172,正厂竞争者数据汇总!D:H,3,FALSE)</f>
        <v>#N/A</v>
      </c>
      <c r="E172" s="91" t="e">
        <f>VLOOKUP(B172,正厂竞争者数据汇总!D:H,5,FALSE)</f>
        <v>#N/A</v>
      </c>
      <c r="F172" s="91">
        <v>10321.6666666667</v>
      </c>
      <c r="G172" s="109">
        <f t="shared" si="15"/>
        <v>0.0450688768585547</v>
      </c>
      <c r="H172" s="109">
        <v>0.0430523348788695</v>
      </c>
      <c r="K172" s="118" t="e">
        <f>VLOOKUP(B172,正厂竞争者数据汇总!D:H,11,FALSE)</f>
        <v>#N/A</v>
      </c>
      <c r="L172" s="89" t="str">
        <f>IFERROR(VLOOKUP(B172,'Competitive Matrix'!$B$4:$D$22,2,FALSE),"")</f>
        <v/>
      </c>
      <c r="M172" s="89" t="str">
        <f>IFERROR(VLOOKUP(B172,'Competitive Matrix'!$B$4:$D$22,3,FALSE),"")</f>
        <v/>
      </c>
      <c r="N172" s="89">
        <v>106</v>
      </c>
    </row>
    <row r="173" s="88" customFormat="1" ht="14.4" spans="1:16">
      <c r="A173" s="88" t="s">
        <v>227</v>
      </c>
      <c r="B173" s="141" t="s">
        <v>4627</v>
      </c>
      <c r="C173" s="88" t="e">
        <f>VLOOKUP(B173,正厂竞争者数据汇总!D:H,2,FALSE)</f>
        <v>#N/A</v>
      </c>
      <c r="D173" s="88" t="e">
        <f>VLOOKUP(B173,正厂竞争者数据汇总!D:H,3,FALSE)</f>
        <v>#N/A</v>
      </c>
      <c r="E173" s="106" t="e">
        <f>VLOOKUP(B173,正厂竞争者数据汇总!D:H,5,FALSE)</f>
        <v>#N/A</v>
      </c>
      <c r="F173" s="106">
        <v>47</v>
      </c>
      <c r="G173" s="107">
        <f t="shared" si="15"/>
        <v>0.00020522240068</v>
      </c>
      <c r="H173" s="107">
        <v>0.00019275482790608</v>
      </c>
      <c r="I173" s="110"/>
      <c r="J173" s="121"/>
      <c r="K173" s="122" t="e">
        <f>VLOOKUP(B173,正厂竞争者数据汇总!D:H,11,FALSE)</f>
        <v>#N/A</v>
      </c>
      <c r="L173" s="88" t="str">
        <f>IFERROR(VLOOKUP(B173,'Competitive Matrix'!$B$4:$D$22,2,FALSE),"")</f>
        <v>L:80% N:22%</v>
      </c>
      <c r="M173" s="88" t="str">
        <f>IFERROR(VLOOKUP(B173,'Competitive Matrix'!$B$4:$D$22,3,FALSE),"")</f>
        <v>2020 on 202011</v>
      </c>
      <c r="N173" s="88" t="s">
        <v>6000</v>
      </c>
      <c r="O173" s="126"/>
      <c r="P173" s="126"/>
    </row>
    <row r="174" spans="5:11">
      <c r="E174" s="91"/>
      <c r="F174" s="91">
        <v>229019.833333333</v>
      </c>
      <c r="K174" s="95"/>
    </row>
    <row r="175" spans="5:9">
      <c r="E175" s="91"/>
      <c r="F175" s="109"/>
      <c r="G175" s="109"/>
      <c r="H175" s="109"/>
      <c r="I175" s="109"/>
    </row>
    <row r="176" spans="5:5">
      <c r="E176" s="91"/>
    </row>
    <row r="177" ht="14.4" customHeight="1" spans="1:22">
      <c r="A177" s="96" t="s">
        <v>185</v>
      </c>
      <c r="B177" s="97"/>
      <c r="C177" s="98"/>
      <c r="E177" s="99" t="s">
        <v>2</v>
      </c>
      <c r="F177" s="100"/>
      <c r="G177" s="100"/>
      <c r="H177" s="100"/>
      <c r="I177" s="115"/>
      <c r="J177" s="100"/>
      <c r="K177" s="95"/>
      <c r="L177" s="102"/>
      <c r="M177" s="102"/>
      <c r="O177" s="128"/>
      <c r="P177" s="128"/>
      <c r="Q177" s="128"/>
      <c r="R177" s="132"/>
      <c r="S177" s="116"/>
      <c r="T177" s="128"/>
      <c r="U177" s="128"/>
      <c r="V177" s="132"/>
    </row>
    <row r="178" ht="46.8" spans="1:22">
      <c r="A178" s="101" t="s">
        <v>3944</v>
      </c>
      <c r="B178" s="102" t="s">
        <v>207</v>
      </c>
      <c r="C178" s="101" t="s">
        <v>447</v>
      </c>
      <c r="D178" s="89" t="s">
        <v>209</v>
      </c>
      <c r="E178" s="101" t="s">
        <v>210</v>
      </c>
      <c r="F178" s="103" t="s">
        <v>6086</v>
      </c>
      <c r="G178" s="104" t="s">
        <v>6235</v>
      </c>
      <c r="H178" s="104" t="s">
        <v>6233</v>
      </c>
      <c r="K178" s="118" t="s">
        <v>0</v>
      </c>
      <c r="L178" s="119" t="s">
        <v>6091</v>
      </c>
      <c r="M178" s="119" t="s">
        <v>6092</v>
      </c>
      <c r="N178" s="120" t="s">
        <v>6198</v>
      </c>
      <c r="O178" s="119" t="s">
        <v>225</v>
      </c>
      <c r="P178" s="120" t="s">
        <v>226</v>
      </c>
      <c r="Q178" s="119"/>
      <c r="R178" s="119"/>
      <c r="S178" s="119"/>
      <c r="T178" s="119"/>
      <c r="U178" s="119"/>
      <c r="V178" s="119"/>
    </row>
    <row r="179" spans="1:14">
      <c r="A179" s="142" t="s">
        <v>243</v>
      </c>
      <c r="B179" s="108" t="s">
        <v>613</v>
      </c>
      <c r="C179" s="89" t="e">
        <f>VLOOKUP(B179,正厂竞争者数据汇总!D:H,2,FALSE)</f>
        <v>#N/A</v>
      </c>
      <c r="D179" s="89" t="e">
        <f>VLOOKUP(B179,正厂竞争者数据汇总!D:H,3,FALSE)</f>
        <v>#N/A</v>
      </c>
      <c r="E179" s="91" t="e">
        <f>VLOOKUP(B179,正厂竞争者数据汇总!D:H,5,FALSE)</f>
        <v>#N/A</v>
      </c>
      <c r="F179" s="91">
        <v>69684</v>
      </c>
      <c r="G179" s="109">
        <f>F179/F$185</f>
        <v>0.323035344256115</v>
      </c>
      <c r="H179" s="109">
        <v>0.330767762646871</v>
      </c>
      <c r="K179" s="118" t="e">
        <f>VLOOKUP(B179,正厂竞争者数据汇总!D:H,11,FALSE)</f>
        <v>#N/A</v>
      </c>
      <c r="L179" s="89" t="str">
        <f>IFERROR(VLOOKUP(B179,'Competitive Matrix'!$B$4:$D$22,2,FALSE),"")</f>
        <v/>
      </c>
      <c r="M179" s="89" t="str">
        <f>IFERROR(VLOOKUP(B179,'Competitive Matrix'!$B$4:$D$22,3,FALSE),"")</f>
        <v/>
      </c>
      <c r="N179" s="89">
        <v>883</v>
      </c>
    </row>
    <row r="180" spans="1:15">
      <c r="A180" s="89" t="s">
        <v>230</v>
      </c>
      <c r="B180" s="108" t="s">
        <v>614</v>
      </c>
      <c r="C180" s="89" t="e">
        <f>VLOOKUP(B180,正厂竞争者数据汇总!D:H,2,FALSE)</f>
        <v>#N/A</v>
      </c>
      <c r="D180" s="89" t="e">
        <f>VLOOKUP(B180,正厂竞争者数据汇总!D:H,3,FALSE)</f>
        <v>#N/A</v>
      </c>
      <c r="E180" s="91" t="e">
        <f>VLOOKUP(B180,正厂竞争者数据汇总!D:H,5,FALSE)</f>
        <v>#N/A</v>
      </c>
      <c r="F180" s="91">
        <v>82064.6666666667</v>
      </c>
      <c r="G180" s="109">
        <f>F180/F$185</f>
        <v>0.380428618447993</v>
      </c>
      <c r="H180" s="109">
        <v>0.405260994500226</v>
      </c>
      <c r="K180" s="118" t="e">
        <f>VLOOKUP(B180,正厂竞争者数据汇总!D:H,11,FALSE)</f>
        <v>#N/A</v>
      </c>
      <c r="L180" s="89" t="str">
        <f>IFERROR(VLOOKUP(B180,'Competitive Matrix'!$B$4:$D$22,2,FALSE),"")</f>
        <v/>
      </c>
      <c r="M180" s="89" t="str">
        <f>IFERROR(VLOOKUP(B180,'Competitive Matrix'!$B$4:$D$22,3,FALSE),"")</f>
        <v/>
      </c>
      <c r="N180" s="89">
        <v>238</v>
      </c>
      <c r="O180" s="126"/>
    </row>
    <row r="181" spans="2:14">
      <c r="B181" s="91" t="s">
        <v>615</v>
      </c>
      <c r="C181" s="89" t="e">
        <f>VLOOKUP(B181,正厂竞争者数据汇总!D:H,2,FALSE)</f>
        <v>#N/A</v>
      </c>
      <c r="D181" s="89" t="e">
        <f>VLOOKUP(B181,正厂竞争者数据汇总!D:H,3,FALSE)</f>
        <v>#N/A</v>
      </c>
      <c r="E181" s="91" t="e">
        <f>VLOOKUP(B181,正厂竞争者数据汇总!D:H,5,FALSE)</f>
        <v>#N/A</v>
      </c>
      <c r="F181" s="91">
        <v>31063</v>
      </c>
      <c r="G181" s="109">
        <f>F181/F$185</f>
        <v>0.143999295370927</v>
      </c>
      <c r="H181" s="109">
        <v>0.152031777318014</v>
      </c>
      <c r="K181" s="118" t="e">
        <f>VLOOKUP(B181,正厂竞争者数据汇总!D:H,11,FALSE)</f>
        <v>#N/A</v>
      </c>
      <c r="L181" s="89" t="str">
        <f>IFERROR(VLOOKUP(B181,'Competitive Matrix'!$B$4:$D$22,2,FALSE),"")</f>
        <v/>
      </c>
      <c r="M181" s="89" t="str">
        <f>IFERROR(VLOOKUP(B181,'Competitive Matrix'!$B$4:$D$22,3,FALSE),"")</f>
        <v/>
      </c>
      <c r="N181" s="89">
        <v>768</v>
      </c>
    </row>
    <row r="182" spans="2:14">
      <c r="B182" s="143" t="s">
        <v>616</v>
      </c>
      <c r="C182" s="89" t="e">
        <f>VLOOKUP(B182,正厂竞争者数据汇总!D:H,2,FALSE)</f>
        <v>#N/A</v>
      </c>
      <c r="D182" s="89" t="e">
        <f>VLOOKUP(B182,正厂竞争者数据汇总!D:H,3,FALSE)</f>
        <v>#N/A</v>
      </c>
      <c r="E182" s="91" t="e">
        <f>VLOOKUP(B182,正厂竞争者数据汇总!D:H,5,FALSE)</f>
        <v>#N/A</v>
      </c>
      <c r="F182" s="91">
        <v>22774.5</v>
      </c>
      <c r="G182" s="109"/>
      <c r="H182" s="109"/>
      <c r="K182" s="118" t="e">
        <f>VLOOKUP(B182,正厂竞争者数据汇总!D:H,11,FALSE)</f>
        <v>#N/A</v>
      </c>
      <c r="L182" s="89" t="str">
        <f>IFERROR(VLOOKUP(B182,'Competitive Matrix'!$B$4:$D$22,2,FALSE),"")</f>
        <v/>
      </c>
      <c r="M182" s="89" t="str">
        <f>IFERROR(VLOOKUP(B182,'Competitive Matrix'!$B$4:$D$22,3,FALSE),"")</f>
        <v/>
      </c>
      <c r="N182" s="89">
        <v>219</v>
      </c>
    </row>
    <row r="183" ht="14.55" spans="1:14">
      <c r="A183" s="89" t="s">
        <v>446</v>
      </c>
      <c r="B183" s="144" t="s">
        <v>617</v>
      </c>
      <c r="C183" s="89" t="e">
        <f>VLOOKUP(B183,正厂竞争者数据汇总!D:H,2,FALSE)</f>
        <v>#N/A</v>
      </c>
      <c r="D183" s="89" t="e">
        <f>VLOOKUP(B183,正厂竞争者数据汇总!D:H,3,FALSE)</f>
        <v>#N/A</v>
      </c>
      <c r="E183" s="91" t="e">
        <f>VLOOKUP(B183,正厂竞争者数据汇总!D:H,5,FALSE)</f>
        <v>#N/A</v>
      </c>
      <c r="F183" s="91">
        <v>32192</v>
      </c>
      <c r="G183" s="109">
        <f>F183/F$185</f>
        <v>0.149233020525412</v>
      </c>
      <c r="H183" s="109">
        <v>0.108070919159762</v>
      </c>
      <c r="K183" s="118" t="e">
        <f>VLOOKUP(B183,正厂竞争者数据汇总!D:H,11,FALSE)</f>
        <v>#N/A</v>
      </c>
      <c r="L183" s="89" t="str">
        <f>IFERROR(VLOOKUP(B183,'Competitive Matrix'!$B$4:$D$22,2,FALSE),"")</f>
        <v/>
      </c>
      <c r="M183" s="89" t="str">
        <f>IFERROR(VLOOKUP(B183,'Competitive Matrix'!$B$4:$D$22,3,FALSE),"")</f>
        <v/>
      </c>
      <c r="N183" s="89">
        <v>98</v>
      </c>
    </row>
    <row r="184" s="88" customFormat="1" spans="1:16">
      <c r="A184" s="88" t="s">
        <v>227</v>
      </c>
      <c r="B184" s="105" t="s">
        <v>4636</v>
      </c>
      <c r="C184" s="88" t="e">
        <f>VLOOKUP(B184,正厂竞争者数据汇总!D:H,2,FALSE)</f>
        <v>#N/A</v>
      </c>
      <c r="D184" s="88" t="e">
        <f>VLOOKUP(B184,正厂竞争者数据汇总!D:H,3,FALSE)</f>
        <v>#N/A</v>
      </c>
      <c r="E184" s="106" t="e">
        <f>VLOOKUP(B184,正厂竞争者数据汇总!D:H,5,FALSE)</f>
        <v>#N/A</v>
      </c>
      <c r="F184" s="106">
        <v>712.666666666667</v>
      </c>
      <c r="G184" s="107">
        <f>F184/F$185</f>
        <v>0.00330372139955405</v>
      </c>
      <c r="H184" s="107">
        <v>0.00386854637512824</v>
      </c>
      <c r="I184" s="110"/>
      <c r="J184" s="121"/>
      <c r="K184" s="122" t="e">
        <f>VLOOKUP(B184,正厂竞争者数据汇总!D:H,11,FALSE)</f>
        <v>#N/A</v>
      </c>
      <c r="L184" s="148" t="s">
        <v>6205</v>
      </c>
      <c r="M184" s="123" t="s">
        <v>6102</v>
      </c>
      <c r="N184" s="88" t="s">
        <v>6026</v>
      </c>
      <c r="O184" s="126"/>
      <c r="P184" s="126"/>
    </row>
    <row r="185" spans="5:11">
      <c r="E185" s="91"/>
      <c r="F185" s="91">
        <v>215716.333333333</v>
      </c>
      <c r="K185" s="118"/>
    </row>
    <row r="186" spans="1:11">
      <c r="A186" s="101"/>
      <c r="C186" s="101"/>
      <c r="E186" s="91"/>
      <c r="K186" s="95"/>
    </row>
    <row r="187" ht="14.4" customHeight="1" spans="1:22">
      <c r="A187" s="96" t="s">
        <v>195</v>
      </c>
      <c r="B187" s="97"/>
      <c r="C187" s="98"/>
      <c r="E187" s="99" t="s">
        <v>2</v>
      </c>
      <c r="F187" s="100"/>
      <c r="G187" s="100"/>
      <c r="H187" s="100"/>
      <c r="I187" s="115"/>
      <c r="J187" s="100"/>
      <c r="K187" s="95"/>
      <c r="L187" s="102"/>
      <c r="M187" s="102"/>
      <c r="O187" s="128"/>
      <c r="P187" s="128"/>
      <c r="Q187" s="128"/>
      <c r="R187" s="132"/>
      <c r="S187" s="116"/>
      <c r="T187" s="128"/>
      <c r="U187" s="128"/>
      <c r="V187" s="132"/>
    </row>
    <row r="188" ht="46.8" spans="1:22">
      <c r="A188" s="101" t="s">
        <v>3944</v>
      </c>
      <c r="B188" s="102" t="s">
        <v>207</v>
      </c>
      <c r="C188" s="101" t="s">
        <v>447</v>
      </c>
      <c r="D188" s="89" t="s">
        <v>209</v>
      </c>
      <c r="E188" s="101" t="s">
        <v>210</v>
      </c>
      <c r="F188" s="103" t="s">
        <v>6086</v>
      </c>
      <c r="G188" s="104" t="s">
        <v>6235</v>
      </c>
      <c r="H188" s="104" t="s">
        <v>6233</v>
      </c>
      <c r="K188" s="118" t="s">
        <v>0</v>
      </c>
      <c r="L188" s="119" t="s">
        <v>6091</v>
      </c>
      <c r="M188" s="119" t="s">
        <v>6092</v>
      </c>
      <c r="N188" s="120" t="s">
        <v>6198</v>
      </c>
      <c r="O188" s="119" t="s">
        <v>225</v>
      </c>
      <c r="P188" s="120" t="s">
        <v>226</v>
      </c>
      <c r="Q188" s="119"/>
      <c r="R188" s="119"/>
      <c r="S188" s="119"/>
      <c r="T188" s="119"/>
      <c r="U188" s="119"/>
      <c r="V188" s="119"/>
    </row>
    <row r="189" spans="1:14">
      <c r="A189" s="89" t="s">
        <v>230</v>
      </c>
      <c r="B189" s="89" t="s">
        <v>618</v>
      </c>
      <c r="C189" s="89" t="e">
        <f>VLOOKUP(B189,正厂竞争者数据汇总!D:H,2,FALSE)</f>
        <v>#N/A</v>
      </c>
      <c r="D189" s="89" t="e">
        <f>VLOOKUP(B189,正厂竞争者数据汇总!D:H,3,FALSE)</f>
        <v>#N/A</v>
      </c>
      <c r="E189" s="91" t="e">
        <f>VLOOKUP(B189,正厂竞争者数据汇总!D:H,5,FALSE)</f>
        <v>#N/A</v>
      </c>
      <c r="F189" s="91">
        <v>134806</v>
      </c>
      <c r="G189" s="109">
        <f>F189/F$192</f>
        <v>0.826432398631665</v>
      </c>
      <c r="H189" s="109">
        <v>0.826089740130141</v>
      </c>
      <c r="K189" s="118" t="e">
        <f>VLOOKUP(B189,正厂竞争者数据汇总!D:H,11,FALSE)</f>
        <v>#N/A</v>
      </c>
      <c r="L189" s="89" t="str">
        <f>IFERROR(VLOOKUP(B189,'Competitive Matrix'!$B$4:$D$22,2,FALSE),"")</f>
        <v/>
      </c>
      <c r="M189" s="89" t="str">
        <f>IFERROR(VLOOKUP(B189,'Competitive Matrix'!$B$4:$D$22,3,FALSE),"")</f>
        <v/>
      </c>
      <c r="N189" s="89">
        <v>338</v>
      </c>
    </row>
    <row r="190" spans="1:14">
      <c r="A190" s="89" t="s">
        <v>446</v>
      </c>
      <c r="B190" s="89" t="s">
        <v>619</v>
      </c>
      <c r="C190" s="89" t="e">
        <f>VLOOKUP(B190,正厂竞争者数据汇总!D:H,2,FALSE)</f>
        <v>#N/A</v>
      </c>
      <c r="D190" s="89" t="e">
        <f>VLOOKUP(B190,正厂竞争者数据汇总!D:H,3,FALSE)</f>
        <v>#N/A</v>
      </c>
      <c r="E190" s="91" t="e">
        <f>VLOOKUP(B190,正厂竞争者数据汇总!D:H,5,FALSE)</f>
        <v>#N/A</v>
      </c>
      <c r="F190" s="91">
        <v>12385.9166666667</v>
      </c>
      <c r="G190" s="109">
        <f>F190/F$192</f>
        <v>0.0759322494554047</v>
      </c>
      <c r="H190" s="109">
        <v>0.0685501067226259</v>
      </c>
      <c r="K190" s="118" t="e">
        <f>VLOOKUP(B190,正厂竞争者数据汇总!D:H,11,FALSE)</f>
        <v>#N/A</v>
      </c>
      <c r="L190" s="89" t="str">
        <f>IFERROR(VLOOKUP(B190,'Competitive Matrix'!$B$4:$D$22,2,FALSE),"")</f>
        <v/>
      </c>
      <c r="M190" s="89" t="str">
        <f>IFERROR(VLOOKUP(B190,'Competitive Matrix'!$B$4:$D$22,3,FALSE),"")</f>
        <v/>
      </c>
      <c r="N190" s="89">
        <v>659</v>
      </c>
    </row>
    <row r="191" spans="1:14">
      <c r="A191" s="89" t="s">
        <v>446</v>
      </c>
      <c r="B191" s="89" t="s">
        <v>620</v>
      </c>
      <c r="C191" s="89" t="e">
        <f>VLOOKUP(B191,正厂竞争者数据汇总!D:H,2,FALSE)</f>
        <v>#N/A</v>
      </c>
      <c r="D191" s="89" t="e">
        <f>VLOOKUP(B191,正厂竞争者数据汇总!D:H,3,FALSE)</f>
        <v>#N/A</v>
      </c>
      <c r="E191" s="91" t="e">
        <f>VLOOKUP(B191,正厂竞争者数据汇总!D:H,5,FALSE)</f>
        <v>#N/A</v>
      </c>
      <c r="F191" s="91">
        <v>15926.0833333333</v>
      </c>
      <c r="G191" s="109">
        <f>F191/F$192</f>
        <v>0.0976353519129299</v>
      </c>
      <c r="H191" s="109">
        <v>0.105360153147233</v>
      </c>
      <c r="K191" s="118" t="e">
        <f>VLOOKUP(B191,正厂竞争者数据汇总!D:H,11,FALSE)</f>
        <v>#N/A</v>
      </c>
      <c r="L191" s="89" t="str">
        <f>IFERROR(VLOOKUP(B191,'Competitive Matrix'!$B$4:$D$22,2,FALSE),"")</f>
        <v/>
      </c>
      <c r="M191" s="89" t="str">
        <f>IFERROR(VLOOKUP(B191,'Competitive Matrix'!$B$4:$D$22,3,FALSE),"")</f>
        <v/>
      </c>
      <c r="N191" s="89">
        <v>142</v>
      </c>
    </row>
    <row r="192" spans="5:11">
      <c r="E192" s="91"/>
      <c r="F192" s="91">
        <v>163118</v>
      </c>
      <c r="K192" s="95"/>
    </row>
    <row r="193" spans="1:11">
      <c r="A193" s="101"/>
      <c r="C193" s="101"/>
      <c r="E193" s="91"/>
      <c r="K193" s="95"/>
    </row>
    <row r="194" ht="14.4" customHeight="1" spans="1:22">
      <c r="A194" s="96" t="s">
        <v>187</v>
      </c>
      <c r="B194" s="97"/>
      <c r="C194" s="98"/>
      <c r="E194" s="99" t="s">
        <v>2</v>
      </c>
      <c r="F194" s="100"/>
      <c r="G194" s="100"/>
      <c r="H194" s="100"/>
      <c r="I194" s="100"/>
      <c r="J194" s="100"/>
      <c r="K194" s="95"/>
      <c r="L194" s="102"/>
      <c r="M194" s="102"/>
      <c r="O194" s="128"/>
      <c r="P194" s="128"/>
      <c r="Q194" s="128"/>
      <c r="R194" s="132"/>
      <c r="S194" s="116"/>
      <c r="T194" s="128"/>
      <c r="U194" s="128"/>
      <c r="V194" s="132"/>
    </row>
    <row r="195" ht="46.8" spans="1:22">
      <c r="A195" s="101" t="s">
        <v>3944</v>
      </c>
      <c r="B195" s="102" t="s">
        <v>207</v>
      </c>
      <c r="C195" s="101" t="s">
        <v>447</v>
      </c>
      <c r="D195" s="89" t="s">
        <v>209</v>
      </c>
      <c r="E195" s="101" t="s">
        <v>210</v>
      </c>
      <c r="F195" s="103" t="s">
        <v>6086</v>
      </c>
      <c r="G195" s="104" t="s">
        <v>6235</v>
      </c>
      <c r="H195" s="104" t="s">
        <v>6233</v>
      </c>
      <c r="K195" s="118" t="s">
        <v>0</v>
      </c>
      <c r="L195" s="119" t="s">
        <v>6091</v>
      </c>
      <c r="M195" s="119" t="s">
        <v>6092</v>
      </c>
      <c r="N195" s="120" t="s">
        <v>6198</v>
      </c>
      <c r="O195" s="119" t="s">
        <v>225</v>
      </c>
      <c r="P195" s="120" t="s">
        <v>226</v>
      </c>
      <c r="Q195" s="119"/>
      <c r="R195" s="119"/>
      <c r="S195" s="119"/>
      <c r="T195" s="119"/>
      <c r="U195" s="119"/>
      <c r="V195" s="119"/>
    </row>
    <row r="196" spans="1:14">
      <c r="A196" s="89" t="s">
        <v>230</v>
      </c>
      <c r="B196" s="108" t="s">
        <v>621</v>
      </c>
      <c r="C196" s="89" t="e">
        <f>VLOOKUP(B196,正厂竞争者数据汇总!D:H,2,FALSE)</f>
        <v>#N/A</v>
      </c>
      <c r="D196" s="89" t="e">
        <f>VLOOKUP(B196,正厂竞争者数据汇总!D:H,3,FALSE)</f>
        <v>#N/A</v>
      </c>
      <c r="E196" s="91" t="e">
        <f>VLOOKUP(B196,正厂竞争者数据汇总!D:H,5,FALSE)</f>
        <v>#N/A</v>
      </c>
      <c r="F196" s="91">
        <v>49757.75</v>
      </c>
      <c r="G196" s="109">
        <f t="shared" ref="G196:G201" si="16">F196/F$202</f>
        <v>0.317543373551001</v>
      </c>
      <c r="H196" s="109">
        <v>0.294832387787207</v>
      </c>
      <c r="K196" s="118" t="e">
        <f>VLOOKUP(B196,正厂竞争者数据汇总!D:H,11,FALSE)</f>
        <v>#N/A</v>
      </c>
      <c r="L196" s="89" t="str">
        <f>IFERROR(VLOOKUP(B196,'Competitive Matrix'!$B$4:$D$22,2,FALSE),"")</f>
        <v/>
      </c>
      <c r="M196" s="89" t="str">
        <f>IFERROR(VLOOKUP(B196,'Competitive Matrix'!$B$4:$D$22,3,FALSE),"")</f>
        <v/>
      </c>
      <c r="N196" s="89">
        <v>146</v>
      </c>
    </row>
    <row r="197" spans="1:14">
      <c r="A197" s="89" t="s">
        <v>230</v>
      </c>
      <c r="B197" s="108" t="s">
        <v>622</v>
      </c>
      <c r="C197" s="89" t="e">
        <f>VLOOKUP(B197,正厂竞争者数据汇总!D:H,2,FALSE)</f>
        <v>#N/A</v>
      </c>
      <c r="D197" s="89" t="e">
        <f>VLOOKUP(B197,正厂竞争者数据汇总!D:H,3,FALSE)</f>
        <v>#N/A</v>
      </c>
      <c r="E197" s="91" t="e">
        <f>VLOOKUP(B197,正厂竞争者数据汇总!D:H,5,FALSE)</f>
        <v>#N/A</v>
      </c>
      <c r="F197" s="91">
        <v>22575.25</v>
      </c>
      <c r="G197" s="109">
        <f t="shared" si="16"/>
        <v>0.144070442167446</v>
      </c>
      <c r="H197" s="109">
        <v>0.182796255073102</v>
      </c>
      <c r="K197" s="118" t="e">
        <f>VLOOKUP(B197,正厂竞争者数据汇总!D:H,11,FALSE)</f>
        <v>#N/A</v>
      </c>
      <c r="L197" s="89" t="str">
        <f>IFERROR(VLOOKUP(B197,'Competitive Matrix'!$B$4:$D$22,2,FALSE),"")</f>
        <v/>
      </c>
      <c r="M197" s="89" t="str">
        <f>IFERROR(VLOOKUP(B197,'Competitive Matrix'!$B$4:$D$22,3,FALSE),"")</f>
        <v/>
      </c>
      <c r="N197" s="89">
        <v>137</v>
      </c>
    </row>
    <row r="198" spans="1:14">
      <c r="A198" s="89" t="s">
        <v>230</v>
      </c>
      <c r="B198" s="114" t="s">
        <v>623</v>
      </c>
      <c r="C198" s="89" t="e">
        <f>VLOOKUP(B198,正厂竞争者数据汇总!D:H,2,FALSE)</f>
        <v>#N/A</v>
      </c>
      <c r="D198" s="89" t="e">
        <f>VLOOKUP(B198,正厂竞争者数据汇总!D:H,3,FALSE)</f>
        <v>#N/A</v>
      </c>
      <c r="E198" s="91" t="e">
        <f>VLOOKUP(B198,正厂竞争者数据汇总!D:H,5,FALSE)</f>
        <v>#N/A</v>
      </c>
      <c r="F198" s="91">
        <v>43791.0833333333</v>
      </c>
      <c r="G198" s="109">
        <f t="shared" si="16"/>
        <v>0.279465376411105</v>
      </c>
      <c r="H198" s="109">
        <v>0.23837300686355</v>
      </c>
      <c r="K198" s="118" t="e">
        <f>VLOOKUP(B198,正厂竞争者数据汇总!D:H,11,FALSE)</f>
        <v>#N/A</v>
      </c>
      <c r="L198" s="89" t="str">
        <f>IFERROR(VLOOKUP(B198,'Competitive Matrix'!$B$4:$D$22,2,FALSE),"")</f>
        <v/>
      </c>
      <c r="M198" s="89" t="str">
        <f>IFERROR(VLOOKUP(B198,'Competitive Matrix'!$B$4:$D$22,3,FALSE),"")</f>
        <v/>
      </c>
      <c r="N198" s="89">
        <v>118</v>
      </c>
    </row>
    <row r="199" spans="1:14">
      <c r="A199" s="89" t="s">
        <v>230</v>
      </c>
      <c r="B199" s="108" t="s">
        <v>624</v>
      </c>
      <c r="C199" s="89" t="e">
        <f>VLOOKUP(B199,正厂竞争者数据汇总!D:H,2,FALSE)</f>
        <v>#N/A</v>
      </c>
      <c r="D199" s="89" t="e">
        <f>VLOOKUP(B199,正厂竞争者数据汇总!D:H,3,FALSE)</f>
        <v>#N/A</v>
      </c>
      <c r="E199" s="91" t="e">
        <f>VLOOKUP(B199,正厂竞争者数据汇总!D:H,5,FALSE)</f>
        <v>#N/A</v>
      </c>
      <c r="F199" s="91">
        <v>35551.1666666667</v>
      </c>
      <c r="G199" s="109">
        <f t="shared" si="16"/>
        <v>0.226879981450272</v>
      </c>
      <c r="H199" s="109">
        <v>0.255070415534273</v>
      </c>
      <c r="K199" s="118" t="e">
        <f>VLOOKUP(B199,正厂竞争者数据汇总!D:H,11,FALSE)</f>
        <v>#N/A</v>
      </c>
      <c r="L199" s="89" t="str">
        <f>IFERROR(VLOOKUP(B199,'Competitive Matrix'!$B$4:$D$22,2,FALSE),"")</f>
        <v/>
      </c>
      <c r="M199" s="89" t="str">
        <f>IFERROR(VLOOKUP(B199,'Competitive Matrix'!$B$4:$D$22,3,FALSE),"")</f>
        <v/>
      </c>
      <c r="N199" s="89">
        <v>177</v>
      </c>
    </row>
    <row r="200" s="88" customFormat="1" ht="15.6" spans="1:16">
      <c r="A200" s="149" t="s">
        <v>227</v>
      </c>
      <c r="B200" s="150" t="s">
        <v>4649</v>
      </c>
      <c r="C200" s="88" t="s">
        <v>6206</v>
      </c>
      <c r="E200" s="106" t="e">
        <f>VLOOKUP(B200,正厂竞争者数据汇总!D:H,5,FALSE)</f>
        <v>#N/A</v>
      </c>
      <c r="F200" s="106">
        <v>4928.5</v>
      </c>
      <c r="G200" s="107">
        <f t="shared" si="16"/>
        <v>0.0314526383637948</v>
      </c>
      <c r="H200" s="107">
        <v>0.0277215405841473</v>
      </c>
      <c r="I200" s="110"/>
      <c r="J200" s="121"/>
      <c r="K200" s="122"/>
      <c r="L200" s="88" t="str">
        <f>IFERROR(VLOOKUP(B200,'Competitive Matrix'!$B$4:$D$22,2,FALSE),"")</f>
        <v>L:81% N:23%</v>
      </c>
      <c r="M200" s="88" t="str">
        <f>IFERROR(VLOOKUP(B200,'Competitive Matrix'!$B$4:$D$22,3,FALSE),"")</f>
        <v>2020 on 202011</v>
      </c>
      <c r="N200" s="88" t="s">
        <v>6052</v>
      </c>
      <c r="O200" s="126"/>
      <c r="P200" s="126"/>
    </row>
    <row r="201" spans="1:14">
      <c r="A201" s="89" t="s">
        <v>446</v>
      </c>
      <c r="B201" s="89" t="s">
        <v>4650</v>
      </c>
      <c r="C201" s="89" t="e">
        <f>VLOOKUP(B201,正厂竞争者数据汇总!D:H,2,FALSE)</f>
        <v>#N/A</v>
      </c>
      <c r="D201" s="89" t="e">
        <f>VLOOKUP(B201,正厂竞争者数据汇总!D:H,3,FALSE)</f>
        <v>#N/A</v>
      </c>
      <c r="E201" s="91" t="e">
        <f>VLOOKUP(B201,正厂竞争者数据汇总!D:H,5,FALSE)</f>
        <v>#N/A</v>
      </c>
      <c r="F201" s="91">
        <v>92.1666666666667</v>
      </c>
      <c r="G201" s="109">
        <f t="shared" si="16"/>
        <v>0.000588188056378835</v>
      </c>
      <c r="H201" s="109">
        <v>0.00120639415772059</v>
      </c>
      <c r="K201" s="118"/>
      <c r="L201" s="89" t="str">
        <f>IFERROR(VLOOKUP(B201,'Competitive Matrix'!$B$4:$D$22,2,FALSE),"")</f>
        <v/>
      </c>
      <c r="M201" s="89" t="str">
        <f>IFERROR(VLOOKUP(B201,'Competitive Matrix'!$B$4:$D$22,3,FALSE),"")</f>
        <v/>
      </c>
      <c r="N201" s="89">
        <v>10</v>
      </c>
    </row>
    <row r="202" spans="5:11">
      <c r="E202" s="91"/>
      <c r="F202" s="91">
        <v>156695.916666667</v>
      </c>
      <c r="K202" s="95"/>
    </row>
    <row r="203" spans="1:11">
      <c r="A203" s="101"/>
      <c r="C203" s="101"/>
      <c r="E203" s="91"/>
      <c r="K203" s="95"/>
    </row>
    <row r="205" ht="14.4" customHeight="1" spans="1:22">
      <c r="A205" s="96" t="s">
        <v>193</v>
      </c>
      <c r="B205" s="97"/>
      <c r="C205" s="98"/>
      <c r="E205" s="99" t="s">
        <v>2</v>
      </c>
      <c r="F205" s="100"/>
      <c r="G205" s="100"/>
      <c r="H205" s="100"/>
      <c r="I205" s="100"/>
      <c r="J205" s="100"/>
      <c r="K205" s="95"/>
      <c r="L205" s="102"/>
      <c r="M205" s="102"/>
      <c r="O205" s="128"/>
      <c r="P205" s="128"/>
      <c r="Q205" s="128"/>
      <c r="R205" s="132"/>
      <c r="S205" s="116"/>
      <c r="T205" s="128"/>
      <c r="U205" s="128"/>
      <c r="V205" s="132"/>
    </row>
    <row r="206" ht="46.8" spans="1:22">
      <c r="A206" s="101" t="s">
        <v>3944</v>
      </c>
      <c r="B206" s="102" t="s">
        <v>207</v>
      </c>
      <c r="C206" s="101" t="s">
        <v>447</v>
      </c>
      <c r="D206" s="89" t="s">
        <v>209</v>
      </c>
      <c r="E206" s="101" t="s">
        <v>210</v>
      </c>
      <c r="F206" s="103" t="s">
        <v>6086</v>
      </c>
      <c r="G206" s="104" t="s">
        <v>6235</v>
      </c>
      <c r="H206" s="104" t="s">
        <v>6233</v>
      </c>
      <c r="K206" s="118" t="s">
        <v>0</v>
      </c>
      <c r="L206" s="119" t="s">
        <v>6091</v>
      </c>
      <c r="M206" s="119" t="s">
        <v>6092</v>
      </c>
      <c r="N206" s="120" t="s">
        <v>6198</v>
      </c>
      <c r="O206" s="119" t="s">
        <v>225</v>
      </c>
      <c r="P206" s="120" t="s">
        <v>226</v>
      </c>
      <c r="Q206" s="119"/>
      <c r="R206" s="119"/>
      <c r="S206" s="119"/>
      <c r="T206" s="119"/>
      <c r="U206" s="119"/>
      <c r="V206" s="119"/>
    </row>
    <row r="207" spans="1:14">
      <c r="A207" s="89" t="s">
        <v>801</v>
      </c>
      <c r="B207" s="108" t="s">
        <v>476</v>
      </c>
      <c r="C207" s="89" t="str">
        <f>VLOOKUP(B207,正厂竞争者数据汇总!D:H,2,FALSE)</f>
        <v>Motor目录</v>
      </c>
      <c r="D207" s="89" t="str">
        <f>VLOOKUP(B207,正厂竞争者数据汇总!D:H,3,FALSE)</f>
        <v>-</v>
      </c>
      <c r="E207" s="91">
        <f>VLOOKUP(B207,正厂竞争者数据汇总!D:H,5,FALSE)</f>
        <v>238470</v>
      </c>
      <c r="F207" s="91">
        <v>140536.166666667</v>
      </c>
      <c r="K207" s="118" t="e">
        <f>VLOOKUP(B207,正厂竞争者数据汇总!D:H,11,FALSE)</f>
        <v>#REF!</v>
      </c>
      <c r="L207" s="89" t="str">
        <f>IFERROR(VLOOKUP(B207,'Competitive Matrix'!$B$4:$D$22,2,FALSE),"")</f>
        <v/>
      </c>
      <c r="M207" s="89" t="str">
        <f>IFERROR(VLOOKUP(B207,'Competitive Matrix'!$B$4:$D$22,3,FALSE),"")</f>
        <v/>
      </c>
      <c r="N207" s="89" t="s">
        <v>5419</v>
      </c>
    </row>
    <row r="208" ht="43.2" spans="1:15">
      <c r="A208" s="89" t="s">
        <v>230</v>
      </c>
      <c r="B208" s="89" t="s">
        <v>625</v>
      </c>
      <c r="C208" s="89" t="e">
        <f>VLOOKUP(B208,正厂竞争者数据汇总!D:H,2,FALSE)</f>
        <v>#N/A</v>
      </c>
      <c r="D208" s="89" t="e">
        <f>VLOOKUP(B208,正厂竞争者数据汇总!D:H,3,FALSE)</f>
        <v>#N/A</v>
      </c>
      <c r="E208" s="91" t="e">
        <f>VLOOKUP(B208,正厂竞争者数据汇总!D:H,5,FALSE)</f>
        <v>#N/A</v>
      </c>
      <c r="F208" s="91">
        <v>102583.25</v>
      </c>
      <c r="G208" s="109">
        <f>F208/F$212</f>
        <v>0.719494518160385</v>
      </c>
      <c r="H208" s="109">
        <v>0.74770793476136</v>
      </c>
      <c r="K208" s="118" t="e">
        <f>VLOOKUP(B208,正厂竞争者数据汇总!D:H,11,FALSE)</f>
        <v>#N/A</v>
      </c>
      <c r="L208" s="89" t="str">
        <f>IFERROR(VLOOKUP(B208,'Competitive Matrix'!$B$4:$D$22,2,FALSE),"")</f>
        <v/>
      </c>
      <c r="M208" s="89" t="str">
        <f>IFERROR(VLOOKUP(B208,'Competitive Matrix'!$B$4:$D$22,3,FALSE),"")</f>
        <v/>
      </c>
      <c r="N208" s="89">
        <v>124</v>
      </c>
      <c r="O208" s="126" t="s">
        <v>4654</v>
      </c>
    </row>
    <row r="209" ht="14.4" spans="1:14">
      <c r="A209" s="89" t="s">
        <v>367</v>
      </c>
      <c r="B209" s="108" t="s">
        <v>626</v>
      </c>
      <c r="C209" s="89" t="e">
        <f>VLOOKUP(B209,正厂竞争者数据汇总!D:H,2,FALSE)</f>
        <v>#N/A</v>
      </c>
      <c r="D209" s="89" t="e">
        <f>VLOOKUP(B209,正厂竞争者数据汇总!D:H,3,FALSE)</f>
        <v>#N/A</v>
      </c>
      <c r="E209" s="151"/>
      <c r="F209" s="91">
        <v>25133.9166666667</v>
      </c>
      <c r="G209" s="109">
        <f>F209/F$212</f>
        <v>0.176283313909109</v>
      </c>
      <c r="H209" s="109">
        <v>0.173856891520374</v>
      </c>
      <c r="K209" s="129" t="s">
        <v>6215</v>
      </c>
      <c r="L209" s="89" t="str">
        <f>IFERROR(VLOOKUP(B209,'Competitive Matrix'!$B$4:$D$22,2,FALSE),"")</f>
        <v/>
      </c>
      <c r="M209" s="89" t="str">
        <f>IFERROR(VLOOKUP(B209,'Competitive Matrix'!$B$4:$D$22,3,FALSE),"")</f>
        <v/>
      </c>
      <c r="N209" s="89">
        <v>524</v>
      </c>
    </row>
    <row r="210" spans="1:14">
      <c r="A210" s="89" t="s">
        <v>230</v>
      </c>
      <c r="B210" s="89" t="s">
        <v>373</v>
      </c>
      <c r="C210" s="89" t="str">
        <f>VLOOKUP(B210,正厂竞争者数据汇总!D:H,2,FALSE)</f>
        <v>Motor目录</v>
      </c>
      <c r="D210" s="89" t="str">
        <f>VLOOKUP(B210,正厂竞争者数据汇总!D:H,3,FALSE)</f>
        <v>MA</v>
      </c>
      <c r="E210" s="91">
        <f>VLOOKUP(B210,正厂竞争者数据汇总!D:H,5,FALSE)</f>
        <v>6411.20983333333</v>
      </c>
      <c r="F210" s="91">
        <v>11727.8333333333</v>
      </c>
      <c r="G210" s="109">
        <f>F210/F$212</f>
        <v>0.0822562337733689</v>
      </c>
      <c r="H210" s="109">
        <v>0.0596004650465128</v>
      </c>
      <c r="K210" s="118" t="e">
        <f>VLOOKUP(B210,正厂竞争者数据汇总!D:H,11,FALSE)</f>
        <v>#REF!</v>
      </c>
      <c r="L210" s="89" t="str">
        <f>IFERROR(VLOOKUP(B210,'Competitive Matrix'!$B$4:$D$22,2,FALSE),"")</f>
        <v/>
      </c>
      <c r="M210" s="89" t="str">
        <f>IFERROR(VLOOKUP(B210,'Competitive Matrix'!$B$4:$D$22,3,FALSE),"")</f>
        <v/>
      </c>
      <c r="N210" s="89">
        <v>77</v>
      </c>
    </row>
    <row r="211" s="88" customFormat="1" spans="1:16">
      <c r="A211" s="88" t="s">
        <v>227</v>
      </c>
      <c r="B211" s="88" t="s">
        <v>4662</v>
      </c>
      <c r="C211" s="88" t="e">
        <f>VLOOKUP(B211,正厂竞争者数据汇总!D:H,2,FALSE)</f>
        <v>#N/A</v>
      </c>
      <c r="D211" s="88" t="e">
        <f>VLOOKUP(B211,正厂竞争者数据汇总!D:H,3,FALSE)</f>
        <v>#N/A</v>
      </c>
      <c r="E211" s="106" t="e">
        <f>VLOOKUP(B211,正厂竞争者数据汇总!D:H,5,FALSE)</f>
        <v>#N/A</v>
      </c>
      <c r="F211" s="106">
        <v>3131.83333333333</v>
      </c>
      <c r="G211" s="107">
        <f>F211/F$212</f>
        <v>0.0219659341571387</v>
      </c>
      <c r="H211" s="107">
        <v>0.0188347086717529</v>
      </c>
      <c r="I211" s="110"/>
      <c r="J211" s="121"/>
      <c r="K211" s="122" t="e">
        <f>VLOOKUP(B211,正厂竞争者数据汇总!D:H,11,FALSE)</f>
        <v>#N/A</v>
      </c>
      <c r="L211" s="88" t="str">
        <f>IFERROR(VLOOKUP(B211,'Competitive Matrix'!$B$4:$D$22,2,FALSE),"")</f>
        <v>L:89% N:29%</v>
      </c>
      <c r="M211" s="88" t="str">
        <f>IFERROR(VLOOKUP(B211,'Competitive Matrix'!$B$4:$D$22,3,FALSE),"")</f>
        <v>2020 on 202011</v>
      </c>
      <c r="N211" s="88" t="s">
        <v>6078</v>
      </c>
      <c r="O211" s="126"/>
      <c r="P211" s="126"/>
    </row>
    <row r="212" spans="6:6">
      <c r="F212" s="140">
        <v>142576.833333333</v>
      </c>
    </row>
    <row r="213" spans="6:6">
      <c r="F213" s="140"/>
    </row>
    <row r="214" spans="5:11">
      <c r="E214" s="91"/>
      <c r="K214" s="95"/>
    </row>
  </sheetData>
  <sortState ref="A95:V97">
    <sortCondition ref="G95:G97" descending="1"/>
  </sortState>
  <mergeCells count="38">
    <mergeCell ref="P1:R1"/>
    <mergeCell ref="S1:V1"/>
    <mergeCell ref="P14:R14"/>
    <mergeCell ref="S14:V14"/>
    <mergeCell ref="P26:R26"/>
    <mergeCell ref="S26:V26"/>
    <mergeCell ref="P40:R40"/>
    <mergeCell ref="S40:V40"/>
    <mergeCell ref="P50:R50"/>
    <mergeCell ref="S50:V50"/>
    <mergeCell ref="P66:R66"/>
    <mergeCell ref="S66:V66"/>
    <mergeCell ref="P79:R79"/>
    <mergeCell ref="S79:V79"/>
    <mergeCell ref="P90:R90"/>
    <mergeCell ref="S90:V90"/>
    <mergeCell ref="P105:R105"/>
    <mergeCell ref="S105:V105"/>
    <mergeCell ref="P116:R116"/>
    <mergeCell ref="S116:V116"/>
    <mergeCell ref="P124:R124"/>
    <mergeCell ref="S124:V124"/>
    <mergeCell ref="P133:R133"/>
    <mergeCell ref="S133:V133"/>
    <mergeCell ref="P143:R143"/>
    <mergeCell ref="S143:V143"/>
    <mergeCell ref="P154:R154"/>
    <mergeCell ref="S154:V154"/>
    <mergeCell ref="P164:R164"/>
    <mergeCell ref="S164:V164"/>
    <mergeCell ref="P177:R177"/>
    <mergeCell ref="S177:V177"/>
    <mergeCell ref="P187:R187"/>
    <mergeCell ref="S187:V187"/>
    <mergeCell ref="P194:R194"/>
    <mergeCell ref="S194:V194"/>
    <mergeCell ref="P205:R205"/>
    <mergeCell ref="S205:V205"/>
  </mergeCells>
  <conditionalFormatting sqref="B9:B10">
    <cfRule type="duplicateValues" dxfId="0" priority="2"/>
  </conditionalFormatting>
  <conditionalFormatting sqref="B28:B33">
    <cfRule type="duplicateValues" dxfId="0" priority="1"/>
  </conditionalFormatting>
  <hyperlinks>
    <hyperlink ref="B59" r:id="rId1" display="www.bluespringsfordparts.com"/>
    <hyperlink ref="B55" r:id="rId2" display="accessories.ford.com"/>
    <hyperlink ref="B184" r:id="rId3" display="www.mazdapartsprime.com"/>
    <hyperlink ref="B160" r:id="rId4" display="www.erievolvo.com"/>
    <hyperlink ref="B158" r:id="rId5" display="usparts.volvocars.com"/>
    <hyperlink ref="B180" r:id="rId6" display="www.realmazdaparts.com"/>
    <hyperlink ref="B173" r:id="rId7" display="www.vwpartsprime.com"/>
    <hyperlink ref="B112" r:id="rId8" display="acura.bernardiparts.com"/>
    <hyperlink ref="B87" r:id="rId9" display="www.hyundaionlineparts.net"/>
    <hyperlink ref="B70" r:id="rId10" display="www.courtesyparts.com"/>
    <hyperlink ref="B10" r:id="rId11" display="www.gmpartsdirect.co"/>
    <hyperlink ref="B94" r:id="rId12" display="www.subaruonlineparts.com"/>
    <hyperlink ref="B140" r:id="rId13" display="www.infinitipartsusa.com"/>
    <hyperlink ref="B137" r:id="rId14" display="www.infinitipartsonline.com"/>
    <hyperlink ref="B110" r:id="rId15" display="www.oemacuraparts.com"/>
    <hyperlink ref="B128" r:id="rId16" display="www.kiapartsdepartment.com"/>
    <hyperlink ref="B60" r:id="rId1" display="www.villagefordparts.com"/>
    <hyperlink ref="B113" r:id="rId17" display="www.acuraautomotiveparts.org"/>
    <hyperlink ref="B172" r:id="rId18" display="www.vwdiscountparts.com"/>
  </hyperlinks>
  <pageMargins left="0.7" right="0.7" top="0.75" bottom="0.75" header="0.3" footer="0.3"/>
  <pageSetup paperSize="9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2"/>
  <sheetViews>
    <sheetView workbookViewId="0">
      <selection activeCell="A1" sqref="A1"/>
    </sheetView>
  </sheetViews>
  <sheetFormatPr defaultColWidth="9" defaultRowHeight="14.4"/>
  <cols>
    <col min="1" max="1" width="31.2222222222222" customWidth="1"/>
    <col min="2" max="2" width="39.3333333333333" style="65" customWidth="1"/>
    <col min="3" max="3" width="18.4444444444444" customWidth="1"/>
    <col min="4" max="4" width="14.6666666666667" customWidth="1"/>
    <col min="5" max="5" width="47.4444444444444" customWidth="1"/>
    <col min="6" max="6" width="0.888888888888889" hidden="1" customWidth="1"/>
    <col min="7" max="7" width="5.44444444444444" hidden="1" customWidth="1"/>
    <col min="8" max="8" width="23.2222222222222" customWidth="1"/>
    <col min="9" max="9" width="24.3333333333333" customWidth="1"/>
    <col min="10" max="11" width="20.4444444444444" customWidth="1"/>
    <col min="12" max="12" width="20.1111111111111" customWidth="1"/>
    <col min="13" max="13" width="20.7777777777778" customWidth="1"/>
    <col min="14" max="14" width="20.4444444444444" customWidth="1"/>
    <col min="15" max="15" width="14.6666666666667" customWidth="1"/>
  </cols>
  <sheetData>
    <row r="1" ht="81.6" spans="1:15">
      <c r="A1" s="66" t="s">
        <v>636</v>
      </c>
      <c r="B1" s="66" t="s">
        <v>637</v>
      </c>
      <c r="C1" s="66" t="s">
        <v>6085</v>
      </c>
      <c r="D1" s="66" t="s">
        <v>4663</v>
      </c>
      <c r="E1" s="66" t="s">
        <v>207</v>
      </c>
      <c r="F1" s="66" t="s">
        <v>447</v>
      </c>
      <c r="G1" s="66" t="s">
        <v>6236</v>
      </c>
      <c r="H1" s="67" t="s">
        <v>6086</v>
      </c>
      <c r="I1" s="81" t="s">
        <v>6237</v>
      </c>
      <c r="J1" s="82" t="s">
        <v>6238</v>
      </c>
      <c r="K1" s="83" t="s">
        <v>6239</v>
      </c>
      <c r="L1" s="83" t="s">
        <v>6240</v>
      </c>
      <c r="M1" s="67" t="s">
        <v>6241</v>
      </c>
      <c r="N1" s="84" t="s">
        <v>210</v>
      </c>
      <c r="O1" s="85" t="s">
        <v>137</v>
      </c>
    </row>
    <row r="2" ht="20.4" spans="1:15">
      <c r="A2" s="68" t="s">
        <v>6242</v>
      </c>
      <c r="B2" s="69" t="s">
        <v>694</v>
      </c>
      <c r="C2" s="68" t="s">
        <v>230</v>
      </c>
      <c r="D2" s="68">
        <v>1</v>
      </c>
      <c r="E2" s="69" t="s">
        <v>507</v>
      </c>
      <c r="F2" s="70"/>
      <c r="G2" s="71"/>
      <c r="H2" s="72">
        <f>(I2+M2)/2</f>
        <v>868452</v>
      </c>
      <c r="I2" s="72">
        <v>838500</v>
      </c>
      <c r="J2" s="72">
        <v>863967</v>
      </c>
      <c r="K2" s="72">
        <v>938376</v>
      </c>
      <c r="L2" s="72">
        <v>921771</v>
      </c>
      <c r="M2" s="72">
        <f>AVERAGE($J2,$J2,$J2,$K2,$K2,$L2)</f>
        <v>898404</v>
      </c>
      <c r="N2" s="72">
        <v>100531</v>
      </c>
      <c r="O2" s="86"/>
    </row>
    <row r="3" ht="20.4" spans="1:15">
      <c r="A3" s="68" t="s">
        <v>6242</v>
      </c>
      <c r="B3" s="69" t="s">
        <v>694</v>
      </c>
      <c r="C3" s="68" t="s">
        <v>230</v>
      </c>
      <c r="D3" s="68">
        <v>3</v>
      </c>
      <c r="E3" s="69" t="s">
        <v>524</v>
      </c>
      <c r="F3" s="70"/>
      <c r="G3" s="68"/>
      <c r="H3" s="72">
        <f>(I3+M3)/2</f>
        <v>174407.5</v>
      </c>
      <c r="I3" s="72">
        <v>180100</v>
      </c>
      <c r="J3" s="72">
        <v>175264</v>
      </c>
      <c r="K3" s="72">
        <v>161685</v>
      </c>
      <c r="L3" s="72">
        <v>163128</v>
      </c>
      <c r="M3" s="72">
        <f>AVERAGE($J3,$J3,$J3,$K3,$K3,$L3)</f>
        <v>168715</v>
      </c>
      <c r="N3" s="72">
        <v>162994</v>
      </c>
      <c r="O3" s="86"/>
    </row>
    <row r="4" ht="20.4" spans="1:15">
      <c r="A4" s="68" t="s">
        <v>6242</v>
      </c>
      <c r="B4" s="69" t="s">
        <v>694</v>
      </c>
      <c r="C4" s="68" t="s">
        <v>230</v>
      </c>
      <c r="D4" s="68">
        <v>3</v>
      </c>
      <c r="E4" s="69" t="s">
        <v>508</v>
      </c>
      <c r="F4" s="70"/>
      <c r="G4" s="68"/>
      <c r="H4" s="72">
        <f>(I4+M4)/2</f>
        <v>127428.916666667</v>
      </c>
      <c r="I4" s="72">
        <v>70400</v>
      </c>
      <c r="J4" s="72">
        <v>183539</v>
      </c>
      <c r="K4" s="72">
        <v>195362</v>
      </c>
      <c r="L4" s="72">
        <v>165406</v>
      </c>
      <c r="M4" s="72">
        <f>AVERAGE($J4,$J4,$J4,$K4,$K4,$L4)</f>
        <v>184457.833333333</v>
      </c>
      <c r="N4" s="72">
        <v>382208</v>
      </c>
      <c r="O4" s="86"/>
    </row>
    <row r="5" ht="20.4" spans="1:15">
      <c r="A5" s="68" t="s">
        <v>6242</v>
      </c>
      <c r="B5" s="69" t="s">
        <v>694</v>
      </c>
      <c r="C5" s="68" t="s">
        <v>230</v>
      </c>
      <c r="D5" s="68">
        <v>3</v>
      </c>
      <c r="E5" s="69" t="s">
        <v>6243</v>
      </c>
      <c r="F5" s="70"/>
      <c r="G5" s="68"/>
      <c r="H5" s="72">
        <f>(I5+M5)/2</f>
        <v>71595.6666666667</v>
      </c>
      <c r="I5" s="72">
        <v>82200</v>
      </c>
      <c r="J5" s="72">
        <v>56414</v>
      </c>
      <c r="K5" s="72">
        <v>59475</v>
      </c>
      <c r="L5" s="72">
        <v>77756</v>
      </c>
      <c r="M5" s="72">
        <f>AVERAGE($J5,$J5,$J5,$K5,$K5,$L5)</f>
        <v>60991.3333333333</v>
      </c>
      <c r="N5" s="72">
        <v>967259</v>
      </c>
      <c r="O5" s="86"/>
    </row>
    <row r="6" ht="20.4" spans="1:15">
      <c r="A6" s="68" t="s">
        <v>6242</v>
      </c>
      <c r="B6" s="69" t="s">
        <v>694</v>
      </c>
      <c r="C6" s="68" t="s">
        <v>230</v>
      </c>
      <c r="D6" s="68">
        <v>3</v>
      </c>
      <c r="E6" s="69" t="s">
        <v>6244</v>
      </c>
      <c r="F6" s="70"/>
      <c r="G6" s="68"/>
      <c r="H6" s="72">
        <f>(I6+M6)/2</f>
        <v>60161.8333333333</v>
      </c>
      <c r="I6" s="72">
        <v>62800</v>
      </c>
      <c r="J6" s="72">
        <v>55256</v>
      </c>
      <c r="K6" s="72">
        <v>61852</v>
      </c>
      <c r="L6" s="72">
        <v>55670</v>
      </c>
      <c r="M6" s="72">
        <f>AVERAGE($J6,$J6,$J6,$K6,$K6,$L6)</f>
        <v>57523.6666666667</v>
      </c>
      <c r="N6" s="72">
        <v>1672180</v>
      </c>
      <c r="O6" s="86"/>
    </row>
    <row r="7" s="64" customFormat="1" ht="21.15" spans="1:15">
      <c r="A7" s="73"/>
      <c r="B7" s="74"/>
      <c r="C7" s="73"/>
      <c r="D7" s="73"/>
      <c r="E7" s="74"/>
      <c r="F7" s="75"/>
      <c r="G7" s="73"/>
      <c r="H7" s="76"/>
      <c r="I7" s="76"/>
      <c r="J7" s="76"/>
      <c r="K7" s="76"/>
      <c r="L7" s="76"/>
      <c r="M7" s="76"/>
      <c r="N7" s="76"/>
      <c r="O7" s="87"/>
    </row>
    <row r="8" ht="20.4" spans="1:15">
      <c r="A8" s="68" t="s">
        <v>4734</v>
      </c>
      <c r="B8" s="69" t="s">
        <v>4735</v>
      </c>
      <c r="C8" s="68"/>
      <c r="D8" s="77" t="s">
        <v>4736</v>
      </c>
      <c r="E8" s="69" t="s">
        <v>6245</v>
      </c>
      <c r="F8" s="70"/>
      <c r="G8" s="68"/>
      <c r="H8" s="72">
        <f t="shared" ref="H8:H32" si="0">(I8+M8)/2</f>
        <v>4172833333.33333</v>
      </c>
      <c r="I8" s="72">
        <v>5800000000</v>
      </c>
      <c r="J8" s="72">
        <v>2583000000</v>
      </c>
      <c r="K8" s="72">
        <v>2577000000</v>
      </c>
      <c r="L8" s="72">
        <v>2371000000</v>
      </c>
      <c r="M8" s="72">
        <f t="shared" ref="M8:M32" si="1">AVERAGE($J8,$J8,$J8,$K8,$K8,$L8)</f>
        <v>2545666666.66667</v>
      </c>
      <c r="N8" s="72">
        <v>12</v>
      </c>
      <c r="O8" s="86"/>
    </row>
    <row r="9" ht="20.4" spans="1:14">
      <c r="A9" s="68" t="s">
        <v>4739</v>
      </c>
      <c r="B9" s="69" t="s">
        <v>4735</v>
      </c>
      <c r="C9" s="68"/>
      <c r="D9" s="77" t="s">
        <v>4736</v>
      </c>
      <c r="E9" s="69" t="s">
        <v>6246</v>
      </c>
      <c r="F9" s="70"/>
      <c r="G9" s="68"/>
      <c r="H9" s="72">
        <f t="shared" si="0"/>
        <v>1262566666.66667</v>
      </c>
      <c r="I9" s="72">
        <v>1600000000</v>
      </c>
      <c r="J9" s="72">
        <v>936100000</v>
      </c>
      <c r="K9" s="72">
        <v>940800000</v>
      </c>
      <c r="L9" s="72">
        <v>860900000</v>
      </c>
      <c r="M9" s="72">
        <f t="shared" si="1"/>
        <v>925133333.333333</v>
      </c>
      <c r="N9" s="72">
        <v>41</v>
      </c>
    </row>
    <row r="10" ht="20.4" spans="1:15">
      <c r="A10" s="68" t="s">
        <v>4739</v>
      </c>
      <c r="B10" s="69" t="s">
        <v>4742</v>
      </c>
      <c r="C10" s="68"/>
      <c r="D10" s="77" t="s">
        <v>4743</v>
      </c>
      <c r="E10" s="69" t="s">
        <v>6247</v>
      </c>
      <c r="F10" s="70"/>
      <c r="G10" s="68"/>
      <c r="H10" s="72">
        <f t="shared" si="0"/>
        <v>36556666.6666667</v>
      </c>
      <c r="I10" s="72">
        <v>45100000</v>
      </c>
      <c r="J10" s="72">
        <v>27980000</v>
      </c>
      <c r="K10" s="72">
        <v>29020000</v>
      </c>
      <c r="L10" s="72">
        <v>26100000</v>
      </c>
      <c r="M10" s="72">
        <f t="shared" si="1"/>
        <v>28013333.3333333</v>
      </c>
      <c r="N10" s="72">
        <v>4051</v>
      </c>
      <c r="O10" s="86"/>
    </row>
    <row r="11" ht="20.4" spans="1:15">
      <c r="A11" s="68" t="s">
        <v>4739</v>
      </c>
      <c r="B11" s="69" t="s">
        <v>4742</v>
      </c>
      <c r="C11" s="68"/>
      <c r="D11" s="77" t="s">
        <v>4743</v>
      </c>
      <c r="E11" s="69" t="s">
        <v>6248</v>
      </c>
      <c r="F11" s="70"/>
      <c r="G11" s="68"/>
      <c r="H11" s="72">
        <f t="shared" si="0"/>
        <v>25880000</v>
      </c>
      <c r="I11" s="72">
        <v>32500000</v>
      </c>
      <c r="J11" s="72">
        <v>19490000</v>
      </c>
      <c r="K11" s="72">
        <v>19490000</v>
      </c>
      <c r="L11" s="72">
        <v>18110000</v>
      </c>
      <c r="M11" s="72">
        <f t="shared" si="1"/>
        <v>19260000</v>
      </c>
      <c r="N11" s="72">
        <v>7141</v>
      </c>
      <c r="O11" s="86"/>
    </row>
    <row r="12" ht="20.4" spans="1:15">
      <c r="A12" s="68" t="s">
        <v>4739</v>
      </c>
      <c r="B12" s="69" t="s">
        <v>4746</v>
      </c>
      <c r="C12" s="68"/>
      <c r="D12" s="77" t="s">
        <v>4743</v>
      </c>
      <c r="E12" s="69" t="s">
        <v>6249</v>
      </c>
      <c r="F12" s="71"/>
      <c r="G12" s="68"/>
      <c r="H12" s="72">
        <f t="shared" si="0"/>
        <v>24050000</v>
      </c>
      <c r="I12" s="72">
        <v>28800000</v>
      </c>
      <c r="J12" s="72">
        <v>19850000</v>
      </c>
      <c r="K12" s="72">
        <v>19590000</v>
      </c>
      <c r="L12" s="72">
        <v>17070000</v>
      </c>
      <c r="M12" s="72">
        <f t="shared" si="1"/>
        <v>19300000</v>
      </c>
      <c r="N12" s="72">
        <v>4953</v>
      </c>
      <c r="O12" s="86"/>
    </row>
    <row r="13" ht="20.4" spans="1:15">
      <c r="A13" s="68" t="s">
        <v>4739</v>
      </c>
      <c r="B13" s="69" t="s">
        <v>4748</v>
      </c>
      <c r="C13" s="68"/>
      <c r="D13" s="77" t="s">
        <v>4749</v>
      </c>
      <c r="E13" s="69" t="s">
        <v>6250</v>
      </c>
      <c r="F13" s="68"/>
      <c r="G13" s="68"/>
      <c r="H13" s="72">
        <f t="shared" si="0"/>
        <v>17674166.6666667</v>
      </c>
      <c r="I13" s="72">
        <v>21600000</v>
      </c>
      <c r="J13" s="72">
        <v>13820000</v>
      </c>
      <c r="K13" s="72">
        <v>14190000</v>
      </c>
      <c r="L13" s="72">
        <v>12650000</v>
      </c>
      <c r="M13" s="72">
        <f t="shared" si="1"/>
        <v>13748333.3333333</v>
      </c>
      <c r="N13" s="72">
        <v>10839</v>
      </c>
      <c r="O13" s="86"/>
    </row>
    <row r="14" ht="20.4" spans="1:15">
      <c r="A14" s="68" t="s">
        <v>4734</v>
      </c>
      <c r="B14" s="69" t="s">
        <v>4753</v>
      </c>
      <c r="C14" s="68"/>
      <c r="D14" s="77" t="s">
        <v>4749</v>
      </c>
      <c r="E14" s="69" t="s">
        <v>6251</v>
      </c>
      <c r="F14" s="70"/>
      <c r="G14" s="68"/>
      <c r="H14" s="72">
        <f t="shared" si="0"/>
        <v>17374166.6666667</v>
      </c>
      <c r="I14" s="72">
        <v>18000000</v>
      </c>
      <c r="J14" s="72">
        <v>16870000</v>
      </c>
      <c r="K14" s="72">
        <v>17320000</v>
      </c>
      <c r="L14" s="72">
        <v>15240000</v>
      </c>
      <c r="M14" s="72">
        <f t="shared" si="1"/>
        <v>16748333.3333333</v>
      </c>
      <c r="N14" s="72">
        <v>5603</v>
      </c>
      <c r="O14" s="86"/>
    </row>
    <row r="15" ht="20.4" spans="1:15">
      <c r="A15" s="68" t="s">
        <v>4739</v>
      </c>
      <c r="B15" s="69" t="s">
        <v>4751</v>
      </c>
      <c r="C15" s="68"/>
      <c r="D15" s="77" t="s">
        <v>4749</v>
      </c>
      <c r="E15" s="69" t="s">
        <v>6252</v>
      </c>
      <c r="F15" s="70"/>
      <c r="G15" s="68"/>
      <c r="H15" s="72">
        <f t="shared" si="0"/>
        <v>14525000</v>
      </c>
      <c r="I15" s="72">
        <v>17400000</v>
      </c>
      <c r="J15" s="72">
        <v>11750000</v>
      </c>
      <c r="K15" s="72">
        <v>11920000</v>
      </c>
      <c r="L15" s="72">
        <v>10810000</v>
      </c>
      <c r="M15" s="72">
        <f t="shared" si="1"/>
        <v>11650000</v>
      </c>
      <c r="N15" s="72">
        <v>10670</v>
      </c>
      <c r="O15" s="86"/>
    </row>
    <row r="16" ht="20.4" spans="1:15">
      <c r="A16" s="68" t="s">
        <v>4739</v>
      </c>
      <c r="B16" s="69" t="s">
        <v>4755</v>
      </c>
      <c r="C16" s="68"/>
      <c r="D16" s="68">
        <v>1</v>
      </c>
      <c r="E16" s="69" t="s">
        <v>6253</v>
      </c>
      <c r="F16" s="78"/>
      <c r="G16" s="78"/>
      <c r="H16" s="72">
        <f t="shared" si="0"/>
        <v>9230416.66666667</v>
      </c>
      <c r="I16" s="72">
        <v>8300000</v>
      </c>
      <c r="J16" s="72">
        <v>10620000</v>
      </c>
      <c r="K16" s="72">
        <v>10410000</v>
      </c>
      <c r="L16" s="72">
        <v>8285000</v>
      </c>
      <c r="M16" s="72">
        <f t="shared" si="1"/>
        <v>10160833.3333333</v>
      </c>
      <c r="N16" s="72">
        <v>12003</v>
      </c>
      <c r="O16" s="86"/>
    </row>
    <row r="17" ht="20.4" spans="1:15">
      <c r="A17" s="68" t="s">
        <v>4739</v>
      </c>
      <c r="B17" s="69" t="s">
        <v>4755</v>
      </c>
      <c r="C17" s="68"/>
      <c r="D17" s="68">
        <v>1</v>
      </c>
      <c r="E17" s="69" t="s">
        <v>6254</v>
      </c>
      <c r="F17" s="70"/>
      <c r="G17" s="70"/>
      <c r="H17" s="72">
        <f t="shared" si="0"/>
        <v>7448083.33333333</v>
      </c>
      <c r="I17" s="72">
        <v>7000000</v>
      </c>
      <c r="J17" s="72">
        <v>7870000</v>
      </c>
      <c r="K17" s="72">
        <v>8223000</v>
      </c>
      <c r="L17" s="72">
        <v>7321000</v>
      </c>
      <c r="M17" s="72">
        <f t="shared" si="1"/>
        <v>7896166.66666667</v>
      </c>
      <c r="N17" s="72">
        <v>18208</v>
      </c>
      <c r="O17" s="86"/>
    </row>
    <row r="18" ht="20.4" spans="1:14">
      <c r="A18" s="68" t="s">
        <v>4739</v>
      </c>
      <c r="B18" s="69" t="s">
        <v>4751</v>
      </c>
      <c r="D18" s="68">
        <v>2</v>
      </c>
      <c r="E18" s="69" t="s">
        <v>6255</v>
      </c>
      <c r="H18" s="72">
        <f t="shared" si="0"/>
        <v>5308916.66666667</v>
      </c>
      <c r="I18" s="72">
        <v>6100000</v>
      </c>
      <c r="J18" s="72">
        <v>4397000</v>
      </c>
      <c r="K18" s="72">
        <v>4798000</v>
      </c>
      <c r="L18" s="72">
        <v>4320000</v>
      </c>
      <c r="M18" s="72">
        <f t="shared" si="1"/>
        <v>4517833.33333333</v>
      </c>
      <c r="N18" s="72">
        <v>30849</v>
      </c>
    </row>
    <row r="19" ht="20.4" spans="1:18">
      <c r="A19" s="68" t="s">
        <v>4739</v>
      </c>
      <c r="B19" s="69" t="s">
        <v>4755</v>
      </c>
      <c r="C19" s="68"/>
      <c r="D19" s="68">
        <v>2</v>
      </c>
      <c r="E19" s="69" t="s">
        <v>6256</v>
      </c>
      <c r="F19" s="78"/>
      <c r="G19" s="78"/>
      <c r="H19" s="72">
        <f t="shared" si="0"/>
        <v>4206000</v>
      </c>
      <c r="I19" s="72">
        <v>4100000</v>
      </c>
      <c r="J19" s="72">
        <v>4130000</v>
      </c>
      <c r="K19" s="72">
        <v>4560000</v>
      </c>
      <c r="L19" s="72">
        <v>4362000</v>
      </c>
      <c r="M19" s="72">
        <f t="shared" si="1"/>
        <v>4312000</v>
      </c>
      <c r="N19" s="72">
        <v>41967</v>
      </c>
      <c r="O19" s="86"/>
      <c r="R19" s="72"/>
    </row>
    <row r="20" ht="20.4" spans="1:14">
      <c r="A20" s="68" t="s">
        <v>4739</v>
      </c>
      <c r="B20" s="69" t="s">
        <v>4753</v>
      </c>
      <c r="C20" s="68"/>
      <c r="D20" s="68">
        <v>2</v>
      </c>
      <c r="E20" s="69" t="s">
        <v>6257</v>
      </c>
      <c r="F20" s="71"/>
      <c r="G20" s="71"/>
      <c r="H20" s="72">
        <f t="shared" si="0"/>
        <v>3972666.66666667</v>
      </c>
      <c r="I20" s="72">
        <v>3800000</v>
      </c>
      <c r="J20" s="72">
        <v>3799000</v>
      </c>
      <c r="K20" s="72">
        <v>4459000</v>
      </c>
      <c r="L20" s="72">
        <v>4557000</v>
      </c>
      <c r="M20" s="72">
        <f t="shared" si="1"/>
        <v>4145333.33333333</v>
      </c>
      <c r="N20" s="72">
        <v>30894</v>
      </c>
    </row>
    <row r="21" ht="20.4" spans="1:14">
      <c r="A21" s="68" t="s">
        <v>4739</v>
      </c>
      <c r="B21" s="69" t="s">
        <v>4766</v>
      </c>
      <c r="D21" s="68">
        <v>2</v>
      </c>
      <c r="E21" s="69" t="s">
        <v>6258</v>
      </c>
      <c r="H21" s="72">
        <f t="shared" si="0"/>
        <v>3528166.66666667</v>
      </c>
      <c r="I21" s="72">
        <v>4500000</v>
      </c>
      <c r="J21" s="72">
        <v>2335000</v>
      </c>
      <c r="K21" s="72">
        <v>2750000</v>
      </c>
      <c r="L21" s="72">
        <v>2833000</v>
      </c>
      <c r="M21" s="72">
        <f t="shared" si="1"/>
        <v>2556333.33333333</v>
      </c>
      <c r="N21" s="72">
        <v>37291</v>
      </c>
    </row>
    <row r="22" ht="20.4" spans="1:18">
      <c r="A22" s="68" t="s">
        <v>4739</v>
      </c>
      <c r="B22" s="69" t="s">
        <v>4759</v>
      </c>
      <c r="D22" s="68">
        <v>2</v>
      </c>
      <c r="E22" s="69" t="s">
        <v>6259</v>
      </c>
      <c r="H22" s="72">
        <f t="shared" si="0"/>
        <v>3305500</v>
      </c>
      <c r="I22" s="72">
        <v>4200000</v>
      </c>
      <c r="J22" s="72">
        <v>2304000</v>
      </c>
      <c r="K22" s="72">
        <v>2538000</v>
      </c>
      <c r="L22" s="72">
        <v>2478000</v>
      </c>
      <c r="M22" s="72">
        <f t="shared" si="1"/>
        <v>2411000</v>
      </c>
      <c r="N22" s="72">
        <v>26134</v>
      </c>
      <c r="O22" s="86"/>
      <c r="R22" s="72"/>
    </row>
    <row r="23" ht="20.4" spans="1:15">
      <c r="A23" s="68" t="s">
        <v>4739</v>
      </c>
      <c r="B23" s="69" t="s">
        <v>4768</v>
      </c>
      <c r="D23" s="68">
        <v>2</v>
      </c>
      <c r="E23" s="69" t="s">
        <v>6260</v>
      </c>
      <c r="H23" s="72">
        <f t="shared" si="0"/>
        <v>3101666.66666667</v>
      </c>
      <c r="I23" s="72">
        <v>3600000</v>
      </c>
      <c r="J23" s="72">
        <v>2473000</v>
      </c>
      <c r="K23" s="72">
        <v>2824000</v>
      </c>
      <c r="L23" s="72">
        <v>2553000</v>
      </c>
      <c r="M23" s="72">
        <f t="shared" si="1"/>
        <v>2603333.33333333</v>
      </c>
      <c r="N23" s="72">
        <v>48528</v>
      </c>
      <c r="O23" s="86"/>
    </row>
    <row r="24" ht="20.4" spans="1:15">
      <c r="A24" s="68" t="s">
        <v>4739</v>
      </c>
      <c r="B24" s="69" t="s">
        <v>4755</v>
      </c>
      <c r="D24" s="68">
        <v>2</v>
      </c>
      <c r="E24" s="69" t="s">
        <v>6261</v>
      </c>
      <c r="H24" s="72">
        <f t="shared" si="0"/>
        <v>2954916.66666667</v>
      </c>
      <c r="I24" s="72">
        <v>3400000</v>
      </c>
      <c r="J24" s="72">
        <v>2293000</v>
      </c>
      <c r="K24" s="72">
        <v>2761000</v>
      </c>
      <c r="L24" s="72">
        <v>2658000</v>
      </c>
      <c r="M24" s="72">
        <f t="shared" si="1"/>
        <v>2509833.33333333</v>
      </c>
      <c r="N24" s="72">
        <v>28895</v>
      </c>
      <c r="O24" s="86"/>
    </row>
    <row r="25" ht="20.4" spans="1:15">
      <c r="A25" s="68" t="s">
        <v>4739</v>
      </c>
      <c r="B25" s="69" t="s">
        <v>4762</v>
      </c>
      <c r="D25" s="68">
        <v>2</v>
      </c>
      <c r="E25" s="69" t="s">
        <v>4763</v>
      </c>
      <c r="H25" s="72">
        <f t="shared" si="0"/>
        <v>2651833.33333333</v>
      </c>
      <c r="I25" s="72">
        <v>3100000</v>
      </c>
      <c r="J25" s="72">
        <v>2123000</v>
      </c>
      <c r="K25" s="72">
        <v>2250000</v>
      </c>
      <c r="L25" s="72">
        <v>2353000</v>
      </c>
      <c r="M25" s="72">
        <f t="shared" si="1"/>
        <v>2203666.66666667</v>
      </c>
      <c r="N25" s="72">
        <v>55050</v>
      </c>
      <c r="O25" s="86"/>
    </row>
    <row r="26" ht="20.4" spans="1:14">
      <c r="A26" s="68" t="s">
        <v>4734</v>
      </c>
      <c r="B26" s="69" t="s">
        <v>4770</v>
      </c>
      <c r="C26" s="68"/>
      <c r="D26" s="68">
        <v>3</v>
      </c>
      <c r="E26" s="69" t="s">
        <v>6262</v>
      </c>
      <c r="F26" s="71"/>
      <c r="G26" s="68"/>
      <c r="H26" s="72">
        <f t="shared" si="0"/>
        <v>2216750</v>
      </c>
      <c r="I26" s="72">
        <v>2600000</v>
      </c>
      <c r="J26" s="72">
        <v>1793000</v>
      </c>
      <c r="K26" s="72">
        <v>1948000</v>
      </c>
      <c r="L26" s="72">
        <v>1726000</v>
      </c>
      <c r="M26" s="72">
        <f t="shared" si="1"/>
        <v>1833500</v>
      </c>
      <c r="N26" s="72">
        <v>25265</v>
      </c>
    </row>
    <row r="27" ht="20.4" spans="1:14">
      <c r="A27" s="68" t="s">
        <v>4734</v>
      </c>
      <c r="B27" s="69" t="s">
        <v>4770</v>
      </c>
      <c r="C27" s="68"/>
      <c r="D27" s="68">
        <v>3</v>
      </c>
      <c r="E27" s="69" t="s">
        <v>6263</v>
      </c>
      <c r="F27" s="70"/>
      <c r="G27" s="68"/>
      <c r="H27" s="72">
        <f t="shared" si="0"/>
        <v>2183166.66666667</v>
      </c>
      <c r="I27" s="72">
        <v>2400000</v>
      </c>
      <c r="J27" s="72">
        <v>1905000</v>
      </c>
      <c r="K27" s="72">
        <v>2163000</v>
      </c>
      <c r="L27" s="72">
        <v>1757000</v>
      </c>
      <c r="M27" s="72">
        <f t="shared" si="1"/>
        <v>1966333.33333333</v>
      </c>
      <c r="N27" s="72">
        <v>23401</v>
      </c>
    </row>
    <row r="28" ht="20.4" spans="1:14">
      <c r="A28" s="68" t="s">
        <v>4739</v>
      </c>
      <c r="B28" s="69" t="s">
        <v>4753</v>
      </c>
      <c r="D28" s="68">
        <v>3</v>
      </c>
      <c r="E28" s="69" t="s">
        <v>6264</v>
      </c>
      <c r="H28" s="72">
        <f t="shared" si="0"/>
        <v>1206916.66666667</v>
      </c>
      <c r="I28" s="72">
        <v>1200000</v>
      </c>
      <c r="J28" s="72">
        <v>1164000</v>
      </c>
      <c r="K28" s="72">
        <v>1333000</v>
      </c>
      <c r="L28" s="72">
        <v>1125000</v>
      </c>
      <c r="M28" s="72">
        <f t="shared" si="1"/>
        <v>1213833.33333333</v>
      </c>
      <c r="N28" s="72">
        <v>90704</v>
      </c>
    </row>
    <row r="29" ht="20.4" spans="1:14">
      <c r="A29" s="68" t="s">
        <v>4739</v>
      </c>
      <c r="B29" s="69" t="s">
        <v>4784</v>
      </c>
      <c r="C29" s="68"/>
      <c r="D29" s="68">
        <v>4</v>
      </c>
      <c r="E29" s="69" t="s">
        <v>6265</v>
      </c>
      <c r="F29" s="79"/>
      <c r="G29" s="79"/>
      <c r="H29" s="72">
        <f t="shared" si="0"/>
        <v>774476.75</v>
      </c>
      <c r="I29" s="72">
        <v>812600</v>
      </c>
      <c r="J29" s="72">
        <v>706716</v>
      </c>
      <c r="K29" s="72">
        <v>781714</v>
      </c>
      <c r="L29" s="72">
        <v>734545</v>
      </c>
      <c r="M29" s="72">
        <f t="shared" si="1"/>
        <v>736353.5</v>
      </c>
      <c r="N29" s="72">
        <v>107187</v>
      </c>
    </row>
    <row r="30" ht="20.4" spans="1:15">
      <c r="A30" s="68" t="s">
        <v>4739</v>
      </c>
      <c r="B30" s="69" t="s">
        <v>4773</v>
      </c>
      <c r="C30" s="68"/>
      <c r="D30" s="68">
        <v>4</v>
      </c>
      <c r="E30" s="69" t="s">
        <v>6266</v>
      </c>
      <c r="F30" s="70"/>
      <c r="G30" s="71"/>
      <c r="H30" s="72">
        <f t="shared" si="0"/>
        <v>716162.083333333</v>
      </c>
      <c r="I30" s="72">
        <v>717100</v>
      </c>
      <c r="J30" s="72">
        <v>669467</v>
      </c>
      <c r="K30" s="72">
        <v>784987</v>
      </c>
      <c r="L30" s="72">
        <v>712970</v>
      </c>
      <c r="M30" s="72">
        <f t="shared" si="1"/>
        <v>715224.166666667</v>
      </c>
      <c r="N30" s="72">
        <v>100014</v>
      </c>
      <c r="O30" s="86"/>
    </row>
    <row r="31" ht="20.4" spans="1:15">
      <c r="A31" s="80" t="s">
        <v>4739</v>
      </c>
      <c r="B31" s="69" t="s">
        <v>4780</v>
      </c>
      <c r="C31" s="80"/>
      <c r="D31" s="68">
        <v>4</v>
      </c>
      <c r="E31" s="69" t="s">
        <v>6267</v>
      </c>
      <c r="F31" s="80"/>
      <c r="G31" s="80"/>
      <c r="H31" s="72">
        <f t="shared" si="0"/>
        <v>628589.75</v>
      </c>
      <c r="I31" s="72">
        <v>756500</v>
      </c>
      <c r="J31" s="72">
        <v>477824</v>
      </c>
      <c r="K31" s="72">
        <v>560720</v>
      </c>
      <c r="L31" s="72">
        <v>449165</v>
      </c>
      <c r="M31" s="72">
        <f t="shared" si="1"/>
        <v>500679.5</v>
      </c>
      <c r="N31" s="72">
        <v>509112</v>
      </c>
      <c r="O31" s="86"/>
    </row>
    <row r="32" ht="20.4" spans="1:15">
      <c r="A32" s="68" t="s">
        <v>4734</v>
      </c>
      <c r="B32" s="69" t="s">
        <v>4770</v>
      </c>
      <c r="C32" s="68"/>
      <c r="D32" s="68">
        <v>4</v>
      </c>
      <c r="E32" s="69" t="s">
        <v>6268</v>
      </c>
      <c r="F32" s="70"/>
      <c r="G32" s="68"/>
      <c r="H32" s="72">
        <f t="shared" si="0"/>
        <v>466407.666666667</v>
      </c>
      <c r="I32" s="72">
        <v>545700</v>
      </c>
      <c r="J32" s="72">
        <v>382579</v>
      </c>
      <c r="K32" s="72">
        <v>401506</v>
      </c>
      <c r="L32" s="72">
        <v>371943</v>
      </c>
      <c r="M32" s="72">
        <f t="shared" si="1"/>
        <v>387115.333333333</v>
      </c>
      <c r="N32" s="72">
        <v>123247</v>
      </c>
      <c r="O32" s="86"/>
    </row>
  </sheetData>
  <autoFilter ref="A1:O32">
    <extLst/>
  </autoFilter>
  <sortState ref="A8:N32">
    <sortCondition ref="H8:H32" descending="1"/>
  </sortState>
  <pageMargins left="0.7" right="0.7" top="0.75" bottom="0.75" header="0.3" footer="0.3"/>
  <pageSetup paperSize="9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5"/>
  <sheetViews>
    <sheetView workbookViewId="0">
      <selection activeCell="A1" sqref="A1"/>
    </sheetView>
  </sheetViews>
  <sheetFormatPr defaultColWidth="8.88888888888889" defaultRowHeight="14.4"/>
  <cols>
    <col min="1" max="1" width="24.8888888888889" style="34" customWidth="1"/>
    <col min="2" max="2" width="30.6666666666667" style="34" customWidth="1"/>
    <col min="3" max="3" width="29.8888888888889" style="34" customWidth="1"/>
    <col min="4" max="4" width="17.7777777777778" style="34" customWidth="1"/>
    <col min="5" max="5" width="17.4444444444444" style="34" customWidth="1"/>
    <col min="6" max="7" width="17.7777777777778" style="34" customWidth="1"/>
    <col min="8" max="8" width="17.4444444444444" style="34" customWidth="1"/>
    <col min="9" max="9" width="17.7777777777778" style="34" customWidth="1"/>
    <col min="10" max="10" width="14.4444444444444" style="34" customWidth="1"/>
    <col min="11" max="11" width="17.6666666666667" style="34" customWidth="1"/>
    <col min="12" max="13" width="16.1111111111111" style="34" customWidth="1"/>
    <col min="14" max="14" width="14.3333333333333" style="34" customWidth="1"/>
    <col min="15" max="16384" width="8.88888888888889" style="34"/>
  </cols>
  <sheetData>
    <row r="1" s="32" customFormat="1" ht="13.5" customHeight="1" spans="1:1">
      <c r="A1" s="32" t="s">
        <v>6269</v>
      </c>
    </row>
    <row r="2" ht="15.15" spans="1:1">
      <c r="A2" s="34" t="s">
        <v>6270</v>
      </c>
    </row>
    <row r="3" ht="15.15" spans="1:4">
      <c r="A3" s="35" t="s">
        <v>6271</v>
      </c>
      <c r="B3" s="36" t="s">
        <v>6272</v>
      </c>
      <c r="C3" s="35" t="s">
        <v>6273</v>
      </c>
      <c r="D3" s="35" t="s">
        <v>6274</v>
      </c>
    </row>
    <row r="4" ht="15.15" spans="1:8">
      <c r="A4" s="37" t="s">
        <v>64</v>
      </c>
      <c r="B4" s="38" t="s">
        <v>501</v>
      </c>
      <c r="C4" s="39" t="s">
        <v>6275</v>
      </c>
      <c r="D4" s="37" t="s">
        <v>229</v>
      </c>
      <c r="E4" s="40">
        <f>HLOOKUP(A4,$B$27:$N$31,2,FALSE)</f>
        <v>0.78</v>
      </c>
      <c r="F4" s="40">
        <f>HLOOKUP(A4,$B$27:$N$31,3,FALSE)</f>
        <v>0.489</v>
      </c>
      <c r="G4" s="40">
        <f>HLOOKUP(A4,$B$27:$N$31,4,FALSE)</f>
        <v>0.821</v>
      </c>
      <c r="H4" s="40">
        <f>HLOOKUP(A4,$B$27:$N$31,5,FALSE)</f>
        <v>0.805</v>
      </c>
    </row>
    <row r="5" ht="15.15" spans="1:8">
      <c r="A5" s="37" t="s">
        <v>6276</v>
      </c>
      <c r="B5" s="41" t="s">
        <v>515</v>
      </c>
      <c r="C5" s="39" t="s">
        <v>6277</v>
      </c>
      <c r="D5" s="37" t="s">
        <v>229</v>
      </c>
      <c r="E5" s="40">
        <f t="shared" ref="E5:E16" si="0">HLOOKUP(A5,$B$27:$N$31,2,FALSE)</f>
        <v>0.821</v>
      </c>
      <c r="F5" s="40">
        <f t="shared" ref="F5:F16" si="1">HLOOKUP(A5,$B$27:$N$31,3,FALSE)</f>
        <v>0.388</v>
      </c>
      <c r="G5" s="40" t="str">
        <f t="shared" ref="G5:G16" si="2">HLOOKUP(A5,$B$27:$N$31,4,FALSE)</f>
        <v>77.5%</v>
      </c>
      <c r="H5" s="40">
        <f t="shared" ref="H5:H16" si="3">HLOOKUP(A5,$B$27:$N$31,5,FALSE)</f>
        <v>0.815</v>
      </c>
    </row>
    <row r="6" ht="15.15" spans="1:8">
      <c r="A6" s="37" t="s">
        <v>6278</v>
      </c>
      <c r="B6" s="41" t="s">
        <v>528</v>
      </c>
      <c r="C6" s="39" t="s">
        <v>6279</v>
      </c>
      <c r="D6" s="37" t="s">
        <v>229</v>
      </c>
      <c r="E6" s="40">
        <f t="shared" si="0"/>
        <v>0.924</v>
      </c>
      <c r="F6" s="40">
        <f t="shared" si="1"/>
        <v>0.663</v>
      </c>
      <c r="G6" s="40">
        <f t="shared" si="2"/>
        <v>0.959</v>
      </c>
      <c r="H6" s="40">
        <f t="shared" si="3"/>
        <v>0.898</v>
      </c>
    </row>
    <row r="7" ht="15.15" spans="1:8">
      <c r="A7" s="37" t="s">
        <v>6280</v>
      </c>
      <c r="B7" s="41" t="s">
        <v>535</v>
      </c>
      <c r="C7" s="39" t="s">
        <v>6281</v>
      </c>
      <c r="D7" s="37" t="s">
        <v>229</v>
      </c>
      <c r="E7" s="40">
        <f t="shared" si="0"/>
        <v>0.765</v>
      </c>
      <c r="F7" s="40">
        <f t="shared" si="1"/>
        <v>0.262</v>
      </c>
      <c r="G7" s="40" t="str">
        <f t="shared" si="2"/>
        <v>70%</v>
      </c>
      <c r="H7" s="40">
        <f t="shared" si="3"/>
        <v>0.8</v>
      </c>
    </row>
    <row r="8" ht="15.15" spans="1:8">
      <c r="A8" s="37" t="s">
        <v>6282</v>
      </c>
      <c r="B8" s="41" t="s">
        <v>546</v>
      </c>
      <c r="C8" s="39" t="s">
        <v>6283</v>
      </c>
      <c r="D8" s="37" t="s">
        <v>229</v>
      </c>
      <c r="E8" s="40">
        <f t="shared" si="0"/>
        <v>0.707</v>
      </c>
      <c r="F8" s="40">
        <f t="shared" si="1"/>
        <v>0.443</v>
      </c>
      <c r="G8" s="40">
        <f t="shared" si="2"/>
        <v>0.787</v>
      </c>
      <c r="H8" s="40">
        <f t="shared" si="3"/>
        <v>0.872</v>
      </c>
    </row>
    <row r="9" ht="15.15" spans="1:8">
      <c r="A9" s="37" t="s">
        <v>6284</v>
      </c>
      <c r="B9" s="41" t="s">
        <v>557</v>
      </c>
      <c r="C9" s="39" t="s">
        <v>6285</v>
      </c>
      <c r="D9" s="37" t="s">
        <v>229</v>
      </c>
      <c r="E9" s="40">
        <f t="shared" si="0"/>
        <v>0.768</v>
      </c>
      <c r="F9" s="40">
        <f t="shared" si="1"/>
        <v>0.44</v>
      </c>
      <c r="G9" s="40">
        <f t="shared" si="2"/>
        <v>0.851</v>
      </c>
      <c r="H9" s="40">
        <f t="shared" si="3"/>
        <v>0.914</v>
      </c>
    </row>
    <row r="10" ht="15.15" spans="1:8">
      <c r="A10" s="37" t="s">
        <v>6286</v>
      </c>
      <c r="B10" s="41" t="s">
        <v>564</v>
      </c>
      <c r="C10" s="39" t="s">
        <v>6287</v>
      </c>
      <c r="D10" s="37" t="s">
        <v>229</v>
      </c>
      <c r="E10" s="40">
        <f t="shared" si="0"/>
        <v>0.8</v>
      </c>
      <c r="F10" s="40">
        <f t="shared" si="1"/>
        <v>0.525</v>
      </c>
      <c r="G10" s="40">
        <f t="shared" si="2"/>
        <v>0.694</v>
      </c>
      <c r="H10" s="40">
        <f t="shared" si="3"/>
        <v>0.883</v>
      </c>
    </row>
    <row r="11" ht="15.15" spans="1:8">
      <c r="A11" s="37" t="s">
        <v>6288</v>
      </c>
      <c r="B11" s="41" t="s">
        <v>588</v>
      </c>
      <c r="C11" s="39" t="s">
        <v>6289</v>
      </c>
      <c r="D11" s="37" t="s">
        <v>229</v>
      </c>
      <c r="E11" s="40">
        <f t="shared" si="0"/>
        <v>0.699</v>
      </c>
      <c r="F11" s="40">
        <f t="shared" si="1"/>
        <v>0.332</v>
      </c>
      <c r="G11" s="40">
        <f t="shared" si="2"/>
        <v>0.519</v>
      </c>
      <c r="H11" s="40">
        <f t="shared" si="3"/>
        <v>0.718</v>
      </c>
    </row>
    <row r="12" ht="15.15" spans="1:8">
      <c r="A12" s="37" t="s">
        <v>6290</v>
      </c>
      <c r="B12" s="41" t="s">
        <v>571</v>
      </c>
      <c r="C12" s="39" t="s">
        <v>6291</v>
      </c>
      <c r="D12" s="37" t="s">
        <v>229</v>
      </c>
      <c r="E12" s="40">
        <f t="shared" si="0"/>
        <v>0.736</v>
      </c>
      <c r="F12" s="40">
        <f t="shared" si="1"/>
        <v>0.168</v>
      </c>
      <c r="G12" s="40">
        <f t="shared" si="2"/>
        <v>0.889</v>
      </c>
      <c r="H12" s="40">
        <f t="shared" si="3"/>
        <v>0.837</v>
      </c>
    </row>
    <row r="13" ht="15.15" spans="1:8">
      <c r="A13" s="37" t="s">
        <v>6292</v>
      </c>
      <c r="B13" s="41" t="s">
        <v>593</v>
      </c>
      <c r="C13" s="39" t="s">
        <v>6293</v>
      </c>
      <c r="D13" s="37" t="s">
        <v>229</v>
      </c>
      <c r="E13" s="40">
        <f t="shared" si="0"/>
        <v>0.863</v>
      </c>
      <c r="F13" s="40">
        <f t="shared" si="1"/>
        <v>0.591</v>
      </c>
      <c r="G13" s="40">
        <f t="shared" si="2"/>
        <v>0.865</v>
      </c>
      <c r="H13" s="40">
        <f t="shared" si="3"/>
        <v>0.915</v>
      </c>
    </row>
    <row r="14" ht="15.15" spans="1:8">
      <c r="A14" s="37" t="s">
        <v>3524</v>
      </c>
      <c r="B14" s="41" t="s">
        <v>598</v>
      </c>
      <c r="C14" s="39" t="s">
        <v>6294</v>
      </c>
      <c r="D14" s="37" t="s">
        <v>229</v>
      </c>
      <c r="E14" s="40">
        <f t="shared" si="0"/>
        <v>0.736</v>
      </c>
      <c r="F14" s="40">
        <f t="shared" si="1"/>
        <v>0.44</v>
      </c>
      <c r="G14" s="40">
        <f t="shared" si="2"/>
        <v>0.996</v>
      </c>
      <c r="H14" s="40">
        <f t="shared" si="3"/>
        <v>0.995</v>
      </c>
    </row>
    <row r="15" ht="15.15" spans="1:8">
      <c r="A15" s="42" t="s">
        <v>6295</v>
      </c>
      <c r="B15" s="43" t="s">
        <v>584</v>
      </c>
      <c r="C15" s="39" t="s">
        <v>6296</v>
      </c>
      <c r="D15" s="37" t="s">
        <v>229</v>
      </c>
      <c r="E15" s="40">
        <f t="shared" si="0"/>
        <v>0.637</v>
      </c>
      <c r="F15" s="40">
        <f t="shared" si="1"/>
        <v>0.226</v>
      </c>
      <c r="G15" s="40">
        <f t="shared" si="2"/>
        <v>0.822</v>
      </c>
      <c r="H15" s="40">
        <f t="shared" si="3"/>
        <v>0.8</v>
      </c>
    </row>
    <row r="16" s="33" customFormat="1" ht="15.15" spans="1:8">
      <c r="A16" s="44" t="s">
        <v>6297</v>
      </c>
      <c r="B16" s="45" t="s">
        <v>6298</v>
      </c>
      <c r="C16" s="39" t="s">
        <v>6299</v>
      </c>
      <c r="D16" s="37" t="s">
        <v>229</v>
      </c>
      <c r="E16" s="40">
        <f t="shared" si="0"/>
        <v>0.482</v>
      </c>
      <c r="F16" s="40">
        <f t="shared" si="1"/>
        <v>0.546</v>
      </c>
      <c r="G16" s="40">
        <f t="shared" si="2"/>
        <v>0.98</v>
      </c>
      <c r="H16" s="40">
        <f t="shared" si="3"/>
        <v>0.993</v>
      </c>
    </row>
    <row r="17" ht="15.15" spans="1:8">
      <c r="A17" s="46" t="s">
        <v>6300</v>
      </c>
      <c r="B17" s="47" t="s">
        <v>147</v>
      </c>
      <c r="C17" s="48" t="s">
        <v>257</v>
      </c>
      <c r="D17" s="37" t="s">
        <v>229</v>
      </c>
      <c r="E17" s="40">
        <f t="shared" ref="E17:E23" si="4">HLOOKUP(A17,$B$33:$H$35,2,FALSE)</f>
        <v>0.698</v>
      </c>
      <c r="F17" s="40">
        <f>HLOOKUP(A17,$B$33:$H$35,3,FALSE)</f>
        <v>0.196</v>
      </c>
      <c r="G17" s="40"/>
      <c r="H17" s="40"/>
    </row>
    <row r="18" ht="15.15" spans="1:8">
      <c r="A18" s="49" t="s">
        <v>6301</v>
      </c>
      <c r="B18" s="41" t="s">
        <v>143</v>
      </c>
      <c r="C18" s="48" t="s">
        <v>530</v>
      </c>
      <c r="D18" s="37" t="s">
        <v>229</v>
      </c>
      <c r="E18" s="40">
        <f t="shared" si="4"/>
        <v>0.709</v>
      </c>
      <c r="F18" s="40">
        <f t="shared" ref="F18:F23" si="5">HLOOKUP(A18,$B$33:$H$35,3,FALSE)</f>
        <v>0.195</v>
      </c>
      <c r="G18" s="40"/>
      <c r="H18" s="40"/>
    </row>
    <row r="19" ht="15.15" spans="1:8">
      <c r="A19" s="49" t="s">
        <v>6302</v>
      </c>
      <c r="B19" s="41" t="s">
        <v>154</v>
      </c>
      <c r="C19" s="48" t="s">
        <v>550</v>
      </c>
      <c r="D19" s="37" t="s">
        <v>229</v>
      </c>
      <c r="E19" s="40">
        <f t="shared" si="4"/>
        <v>0.811</v>
      </c>
      <c r="F19" s="40">
        <f t="shared" si="5"/>
        <v>0.247</v>
      </c>
      <c r="G19" s="40"/>
      <c r="H19" s="40"/>
    </row>
    <row r="20" ht="15.15" spans="1:8">
      <c r="A20" s="49" t="s">
        <v>6303</v>
      </c>
      <c r="B20" s="41" t="s">
        <v>4662</v>
      </c>
      <c r="C20" s="48" t="s">
        <v>6304</v>
      </c>
      <c r="D20" s="37" t="s">
        <v>229</v>
      </c>
      <c r="E20" s="40">
        <f t="shared" si="4"/>
        <v>0.887</v>
      </c>
      <c r="F20" s="40">
        <f t="shared" si="5"/>
        <v>0.289</v>
      </c>
      <c r="G20" s="40"/>
      <c r="H20" s="40"/>
    </row>
    <row r="21" ht="15.15" spans="1:8">
      <c r="A21" s="49" t="s">
        <v>6305</v>
      </c>
      <c r="B21" s="41" t="s">
        <v>4649</v>
      </c>
      <c r="C21" s="48" t="s">
        <v>6306</v>
      </c>
      <c r="D21" s="37" t="s">
        <v>229</v>
      </c>
      <c r="E21" s="40">
        <f t="shared" si="4"/>
        <v>0.805</v>
      </c>
      <c r="F21" s="40">
        <f t="shared" si="5"/>
        <v>0.227</v>
      </c>
      <c r="G21" s="40"/>
      <c r="H21" s="40"/>
    </row>
    <row r="22" ht="15.15" spans="1:8">
      <c r="A22" s="49" t="s">
        <v>6307</v>
      </c>
      <c r="B22" s="41" t="s">
        <v>4627</v>
      </c>
      <c r="C22" s="48" t="s">
        <v>6308</v>
      </c>
      <c r="D22" s="37" t="s">
        <v>229</v>
      </c>
      <c r="E22" s="40">
        <f t="shared" si="4"/>
        <v>0.799</v>
      </c>
      <c r="F22" s="40">
        <f t="shared" si="5"/>
        <v>0.223</v>
      </c>
      <c r="G22" s="40"/>
      <c r="H22" s="40"/>
    </row>
    <row r="23" spans="1:8">
      <c r="A23" s="49" t="s">
        <v>6309</v>
      </c>
      <c r="B23" s="41" t="s">
        <v>4636</v>
      </c>
      <c r="C23" s="48" t="s">
        <v>6310</v>
      </c>
      <c r="D23" s="37" t="s">
        <v>229</v>
      </c>
      <c r="E23" s="40">
        <f t="shared" si="4"/>
        <v>0.792</v>
      </c>
      <c r="F23" s="40">
        <f t="shared" si="5"/>
        <v>0.22</v>
      </c>
      <c r="G23" s="40"/>
      <c r="H23" s="40"/>
    </row>
    <row r="26" ht="15.15"/>
    <row r="27" ht="15.15" spans="1:14">
      <c r="A27" s="50"/>
      <c r="B27" s="50" t="s">
        <v>6278</v>
      </c>
      <c r="C27" s="50" t="s">
        <v>64</v>
      </c>
      <c r="D27" s="50" t="s">
        <v>6292</v>
      </c>
      <c r="E27" s="50" t="s">
        <v>6282</v>
      </c>
      <c r="F27" s="50" t="s">
        <v>6284</v>
      </c>
      <c r="G27" s="50" t="s">
        <v>6276</v>
      </c>
      <c r="H27" s="50" t="s">
        <v>6286</v>
      </c>
      <c r="I27" s="50" t="s">
        <v>6280</v>
      </c>
      <c r="J27" s="50" t="s">
        <v>3524</v>
      </c>
      <c r="K27" s="50" t="s">
        <v>6288</v>
      </c>
      <c r="L27" s="50" t="s">
        <v>6295</v>
      </c>
      <c r="M27" s="50" t="s">
        <v>6290</v>
      </c>
      <c r="N27" s="50" t="s">
        <v>6297</v>
      </c>
    </row>
    <row r="28" ht="15.15" spans="1:14">
      <c r="A28" s="51" t="s">
        <v>6311</v>
      </c>
      <c r="B28" s="52">
        <v>0.924</v>
      </c>
      <c r="C28" s="53">
        <v>0.78</v>
      </c>
      <c r="D28" s="52">
        <v>0.863</v>
      </c>
      <c r="E28" s="52">
        <v>0.707</v>
      </c>
      <c r="F28" s="52">
        <v>0.768</v>
      </c>
      <c r="G28" s="52">
        <v>0.821</v>
      </c>
      <c r="H28" s="54">
        <v>0.8</v>
      </c>
      <c r="I28" s="59">
        <v>0.765</v>
      </c>
      <c r="J28" s="60">
        <v>0.736</v>
      </c>
      <c r="K28" s="60">
        <v>0.699</v>
      </c>
      <c r="L28" s="60">
        <v>0.637</v>
      </c>
      <c r="M28" s="60">
        <v>0.736</v>
      </c>
      <c r="N28" s="60">
        <v>0.482</v>
      </c>
    </row>
    <row r="29" ht="15.15" spans="1:14">
      <c r="A29" s="51" t="s">
        <v>6312</v>
      </c>
      <c r="B29" s="52">
        <v>0.663</v>
      </c>
      <c r="C29" s="52">
        <v>0.489</v>
      </c>
      <c r="D29" s="52">
        <v>0.591</v>
      </c>
      <c r="E29" s="52">
        <v>0.443</v>
      </c>
      <c r="F29" s="53">
        <v>0.44</v>
      </c>
      <c r="G29" s="52">
        <v>0.388</v>
      </c>
      <c r="H29" s="55">
        <v>0.525</v>
      </c>
      <c r="I29" s="59">
        <v>0.262</v>
      </c>
      <c r="J29" s="61">
        <v>0.44</v>
      </c>
      <c r="K29" s="60">
        <v>0.332</v>
      </c>
      <c r="L29" s="60">
        <v>0.226</v>
      </c>
      <c r="M29" s="60">
        <v>0.168</v>
      </c>
      <c r="N29" s="60">
        <v>0.546</v>
      </c>
    </row>
    <row r="30" ht="15.15" spans="1:14">
      <c r="A30" s="51" t="s">
        <v>6313</v>
      </c>
      <c r="B30" s="52">
        <v>0.959</v>
      </c>
      <c r="C30" s="52">
        <v>0.821</v>
      </c>
      <c r="D30" s="52">
        <v>0.865</v>
      </c>
      <c r="E30" s="52">
        <v>0.787</v>
      </c>
      <c r="F30" s="52">
        <v>0.851</v>
      </c>
      <c r="G30" s="56" t="s">
        <v>6314</v>
      </c>
      <c r="H30" s="55">
        <v>0.694</v>
      </c>
      <c r="I30" s="62" t="s">
        <v>6315</v>
      </c>
      <c r="J30" s="60">
        <v>0.996</v>
      </c>
      <c r="K30" s="60">
        <v>0.519</v>
      </c>
      <c r="L30" s="60">
        <v>0.822</v>
      </c>
      <c r="M30" s="60">
        <v>0.889</v>
      </c>
      <c r="N30" s="60">
        <v>0.98</v>
      </c>
    </row>
    <row r="31" ht="15.15" spans="1:14">
      <c r="A31" s="51" t="s">
        <v>6316</v>
      </c>
      <c r="B31" s="52">
        <v>0.898</v>
      </c>
      <c r="C31" s="52">
        <v>0.805</v>
      </c>
      <c r="D31" s="52">
        <v>0.915</v>
      </c>
      <c r="E31" s="52">
        <v>0.872</v>
      </c>
      <c r="F31" s="52">
        <v>0.914</v>
      </c>
      <c r="G31" s="52">
        <v>0.815</v>
      </c>
      <c r="H31" s="55">
        <v>0.883</v>
      </c>
      <c r="I31" s="63">
        <v>0.8</v>
      </c>
      <c r="J31" s="60">
        <v>0.995</v>
      </c>
      <c r="K31" s="60">
        <v>0.718</v>
      </c>
      <c r="L31" s="61">
        <v>0.8</v>
      </c>
      <c r="M31" s="60">
        <v>0.837</v>
      </c>
      <c r="N31" s="60">
        <v>0.993</v>
      </c>
    </row>
    <row r="32" ht="15.15"/>
    <row r="33" ht="15.15" spans="1:8">
      <c r="A33" s="50"/>
      <c r="B33" s="50" t="s">
        <v>6303</v>
      </c>
      <c r="C33" s="50" t="s">
        <v>6302</v>
      </c>
      <c r="D33" s="50" t="s">
        <v>6300</v>
      </c>
      <c r="E33" s="50" t="s">
        <v>6309</v>
      </c>
      <c r="F33" s="50" t="s">
        <v>6305</v>
      </c>
      <c r="G33" s="50" t="s">
        <v>6301</v>
      </c>
      <c r="H33" s="50" t="s">
        <v>6307</v>
      </c>
    </row>
    <row r="34" ht="15.15" spans="1:8">
      <c r="A34" s="51" t="s">
        <v>6317</v>
      </c>
      <c r="B34" s="57">
        <v>0.887</v>
      </c>
      <c r="C34" s="57">
        <v>0.811</v>
      </c>
      <c r="D34" s="57">
        <v>0.698</v>
      </c>
      <c r="E34" s="57">
        <v>0.792</v>
      </c>
      <c r="F34" s="57">
        <v>0.805</v>
      </c>
      <c r="G34" s="57">
        <v>0.709</v>
      </c>
      <c r="H34" s="57">
        <v>0.799</v>
      </c>
    </row>
    <row r="35" ht="15.15" spans="1:8">
      <c r="A35" s="51" t="s">
        <v>6318</v>
      </c>
      <c r="B35" s="57">
        <v>0.289</v>
      </c>
      <c r="C35" s="57">
        <v>0.247</v>
      </c>
      <c r="D35" s="57">
        <v>0.196</v>
      </c>
      <c r="E35" s="58">
        <v>0.22</v>
      </c>
      <c r="F35" s="57">
        <v>0.227</v>
      </c>
      <c r="G35" s="57">
        <v>0.195</v>
      </c>
      <c r="H35" s="57">
        <v>0.223</v>
      </c>
    </row>
  </sheetData>
  <pageMargins left="0.7" right="0.7" top="0.75" bottom="0.75" header="0.3" footer="0.3"/>
  <pageSetup paperSize="9" orientation="portrait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E57"/>
  <sheetViews>
    <sheetView workbookViewId="0">
      <selection activeCell="A1" sqref="A1"/>
    </sheetView>
  </sheetViews>
  <sheetFormatPr defaultColWidth="9" defaultRowHeight="14.4"/>
  <cols>
    <col min="1" max="3" width="12.4444444444444" customWidth="1"/>
    <col min="4" max="4" width="33.8888888888889" customWidth="1"/>
    <col min="5" max="9" width="11.8888888888889" customWidth="1"/>
    <col min="10" max="20" width="10" customWidth="1"/>
    <col min="21" max="21" width="10" style="1" customWidth="1"/>
    <col min="22" max="22" width="51.2222222222222" customWidth="1"/>
    <col min="23" max="23" width="9" hidden="1" customWidth="1"/>
    <col min="24" max="31" width="9.33333333333333" hidden="1" customWidth="1"/>
  </cols>
  <sheetData>
    <row r="1" spans="5:24">
      <c r="E1" s="2" t="s">
        <v>2</v>
      </c>
      <c r="F1" s="2"/>
      <c r="G1" s="2"/>
      <c r="H1" s="2"/>
      <c r="I1" s="2"/>
      <c r="J1" s="13" t="s">
        <v>34</v>
      </c>
      <c r="K1" s="13"/>
      <c r="L1" s="13"/>
      <c r="M1" s="13"/>
      <c r="N1" s="13"/>
      <c r="O1" s="14" t="s">
        <v>29</v>
      </c>
      <c r="P1" s="14"/>
      <c r="Q1" s="14"/>
      <c r="R1" s="14"/>
      <c r="S1" s="23" t="s">
        <v>26</v>
      </c>
      <c r="T1" s="23"/>
      <c r="U1" s="24" t="s">
        <v>23</v>
      </c>
      <c r="V1" s="24"/>
      <c r="W1" s="24"/>
      <c r="X1" s="24"/>
    </row>
    <row r="2" ht="28.5" customHeight="1" spans="1:31">
      <c r="A2" s="3" t="s">
        <v>637</v>
      </c>
      <c r="B2" s="3"/>
      <c r="C2" s="4" t="s">
        <v>4663</v>
      </c>
      <c r="D2" s="3" t="s">
        <v>207</v>
      </c>
      <c r="E2" s="5" t="s">
        <v>6319</v>
      </c>
      <c r="F2" s="5" t="s">
        <v>6320</v>
      </c>
      <c r="G2" s="3" t="s">
        <v>210</v>
      </c>
      <c r="H2" s="3" t="s">
        <v>46</v>
      </c>
      <c r="I2" s="3"/>
      <c r="J2" s="3" t="s">
        <v>35</v>
      </c>
      <c r="K2" s="3" t="s">
        <v>6321</v>
      </c>
      <c r="L2" t="s">
        <v>37</v>
      </c>
      <c r="M2" s="3" t="s">
        <v>6322</v>
      </c>
      <c r="N2" s="3" t="s">
        <v>39</v>
      </c>
      <c r="O2" s="15" t="s">
        <v>30</v>
      </c>
      <c r="P2" s="15" t="s">
        <v>6323</v>
      </c>
      <c r="Q2" s="15" t="s">
        <v>32</v>
      </c>
      <c r="R2" s="15" t="s">
        <v>33</v>
      </c>
      <c r="S2" s="3" t="s">
        <v>6324</v>
      </c>
      <c r="T2" s="3" t="s">
        <v>6325</v>
      </c>
      <c r="U2" s="15" t="s">
        <v>6326</v>
      </c>
      <c r="V2" s="3" t="s">
        <v>25</v>
      </c>
      <c r="W2" s="3" t="s">
        <v>44</v>
      </c>
      <c r="X2" s="3" t="s">
        <v>6326</v>
      </c>
      <c r="Y2" s="3" t="s">
        <v>6327</v>
      </c>
      <c r="Z2" s="3" t="s">
        <v>6328</v>
      </c>
      <c r="AA2" s="3" t="s">
        <v>6329</v>
      </c>
      <c r="AB2" s="3" t="s">
        <v>6330</v>
      </c>
      <c r="AC2" s="3" t="s">
        <v>6331</v>
      </c>
      <c r="AD2" s="3" t="s">
        <v>6332</v>
      </c>
      <c r="AE2" s="3" t="s">
        <v>6333</v>
      </c>
    </row>
    <row r="3" spans="1:31">
      <c r="A3" s="6" t="s">
        <v>672</v>
      </c>
      <c r="B3" s="6"/>
      <c r="C3" s="7"/>
      <c r="D3" s="8" t="s">
        <v>6334</v>
      </c>
      <c r="E3" s="9">
        <v>5900000</v>
      </c>
      <c r="F3" s="9">
        <v>6700000</v>
      </c>
      <c r="G3" s="9">
        <v>6095</v>
      </c>
      <c r="H3" s="10">
        <v>2027765</v>
      </c>
      <c r="I3" s="11"/>
      <c r="J3" s="7">
        <v>7</v>
      </c>
      <c r="K3" s="16">
        <v>34688</v>
      </c>
      <c r="L3" s="16"/>
      <c r="M3" s="17"/>
      <c r="N3" s="9">
        <v>5945</v>
      </c>
      <c r="O3" s="9"/>
      <c r="P3" s="9"/>
      <c r="Q3" s="9">
        <v>4413822</v>
      </c>
      <c r="R3" s="9">
        <v>2180121</v>
      </c>
      <c r="S3" s="25">
        <v>6750</v>
      </c>
      <c r="T3" s="25">
        <v>41700</v>
      </c>
      <c r="U3" s="12">
        <v>2</v>
      </c>
      <c r="V3" s="7" t="s">
        <v>6335</v>
      </c>
      <c r="W3" s="26">
        <f>1/X3+1/Y3+1/Z3+1/AB3+1/AD3</f>
        <v>3.25</v>
      </c>
      <c r="X3" s="7">
        <v>2</v>
      </c>
      <c r="Y3" s="7">
        <v>2</v>
      </c>
      <c r="Z3" s="7">
        <v>1</v>
      </c>
      <c r="AA3" s="7"/>
      <c r="AB3" s="7">
        <v>1</v>
      </c>
      <c r="AC3" s="7"/>
      <c r="AD3" s="7">
        <v>4</v>
      </c>
      <c r="AE3" s="7"/>
    </row>
    <row r="4" spans="1:31">
      <c r="A4" s="7" t="s">
        <v>694</v>
      </c>
      <c r="B4" s="7"/>
      <c r="C4" s="7"/>
      <c r="D4" s="8" t="s">
        <v>5206</v>
      </c>
      <c r="E4" s="9">
        <v>7600</v>
      </c>
      <c r="F4" s="9">
        <v>29100</v>
      </c>
      <c r="G4" s="9">
        <v>579180</v>
      </c>
      <c r="H4" s="11">
        <v>0</v>
      </c>
      <c r="I4" s="11"/>
      <c r="J4" s="18">
        <v>0</v>
      </c>
      <c r="K4" s="16">
        <v>38847</v>
      </c>
      <c r="L4" s="16"/>
      <c r="M4" s="17"/>
      <c r="N4" s="9">
        <v>36</v>
      </c>
      <c r="O4" s="9"/>
      <c r="P4" s="9"/>
      <c r="Q4" s="9"/>
      <c r="R4" s="9"/>
      <c r="S4" s="25">
        <v>478000</v>
      </c>
      <c r="T4" s="25">
        <v>3380</v>
      </c>
      <c r="U4" s="12"/>
      <c r="V4" s="7" t="s">
        <v>6336</v>
      </c>
      <c r="W4" s="26">
        <f>1/AE4</f>
        <v>1</v>
      </c>
      <c r="X4" s="7"/>
      <c r="Y4" s="7"/>
      <c r="Z4" s="7"/>
      <c r="AA4" s="7"/>
      <c r="AB4" s="7"/>
      <c r="AC4" s="7"/>
      <c r="AD4" s="7"/>
      <c r="AE4" s="7">
        <v>1</v>
      </c>
    </row>
    <row r="5" hidden="1" spans="1:31">
      <c r="A5" s="7" t="s">
        <v>6337</v>
      </c>
      <c r="B5" s="7"/>
      <c r="C5" s="7"/>
      <c r="D5" s="11" t="s">
        <v>6338</v>
      </c>
      <c r="E5" s="9"/>
      <c r="F5" s="9"/>
      <c r="G5" s="9"/>
      <c r="H5" s="11"/>
      <c r="I5" s="11"/>
      <c r="J5" s="7"/>
      <c r="K5" s="7"/>
      <c r="L5" s="7"/>
      <c r="M5" s="7"/>
      <c r="N5" s="9"/>
      <c r="O5" s="9"/>
      <c r="P5" s="9"/>
      <c r="Q5" s="9"/>
      <c r="R5" s="9"/>
      <c r="S5" s="7"/>
      <c r="T5" s="7"/>
      <c r="U5" s="7"/>
      <c r="V5" s="7" t="s">
        <v>6339</v>
      </c>
      <c r="W5" s="26"/>
      <c r="X5" s="7"/>
      <c r="Y5" s="7"/>
      <c r="Z5" s="7"/>
      <c r="AA5" s="7"/>
      <c r="AB5" s="7"/>
      <c r="AC5" s="7"/>
      <c r="AD5" s="7"/>
      <c r="AE5" s="7"/>
    </row>
    <row r="6" hidden="1" spans="1:31">
      <c r="A6" s="7" t="s">
        <v>6337</v>
      </c>
      <c r="B6" s="7"/>
      <c r="C6" s="7"/>
      <c r="D6" s="11" t="s">
        <v>6256</v>
      </c>
      <c r="E6" s="9"/>
      <c r="F6" s="9"/>
      <c r="G6" s="9"/>
      <c r="H6" s="11"/>
      <c r="I6" s="11"/>
      <c r="J6" s="7"/>
      <c r="K6" s="7"/>
      <c r="L6" s="7"/>
      <c r="M6" s="19" t="s">
        <v>6340</v>
      </c>
      <c r="N6" s="9"/>
      <c r="O6" s="9"/>
      <c r="P6" s="9"/>
      <c r="Q6" s="9"/>
      <c r="R6" s="9"/>
      <c r="S6" s="7"/>
      <c r="T6" s="7"/>
      <c r="U6" s="7">
        <v>10</v>
      </c>
      <c r="V6" s="8" t="s">
        <v>6256</v>
      </c>
      <c r="W6" s="26">
        <f>1/Z6+1/AB6</f>
        <v>0.583333333333333</v>
      </c>
      <c r="X6" s="7"/>
      <c r="Y6" s="7"/>
      <c r="Z6" s="7">
        <v>3</v>
      </c>
      <c r="AA6" s="7"/>
      <c r="AB6" s="7">
        <v>4</v>
      </c>
      <c r="AC6" s="7"/>
      <c r="AD6" s="7"/>
      <c r="AE6" s="7"/>
    </row>
    <row r="7" hidden="1" spans="1:31">
      <c r="A7" s="7" t="s">
        <v>6337</v>
      </c>
      <c r="B7" s="7"/>
      <c r="C7" s="7"/>
      <c r="D7" s="11" t="s">
        <v>6245</v>
      </c>
      <c r="E7" s="9"/>
      <c r="F7" s="9"/>
      <c r="G7" s="9"/>
      <c r="H7" s="11"/>
      <c r="I7" s="11"/>
      <c r="J7" s="7"/>
      <c r="K7" s="7"/>
      <c r="L7" s="7"/>
      <c r="M7" s="17"/>
      <c r="N7" s="9"/>
      <c r="O7" s="9"/>
      <c r="P7" s="9"/>
      <c r="Q7" s="9"/>
      <c r="R7" s="9"/>
      <c r="S7" s="17"/>
      <c r="T7" s="17"/>
      <c r="U7" s="17">
        <v>9</v>
      </c>
      <c r="V7" s="7" t="s">
        <v>6341</v>
      </c>
      <c r="W7" s="26">
        <f>1/X7+1/Y7+1/Z7+1/AA7+1/AB7+1/AC7</f>
        <v>1.93730158730159</v>
      </c>
      <c r="X7" s="7">
        <v>1</v>
      </c>
      <c r="Y7" s="7">
        <v>3</v>
      </c>
      <c r="Z7" s="7">
        <v>7</v>
      </c>
      <c r="AA7" s="7">
        <v>10</v>
      </c>
      <c r="AB7" s="7">
        <v>9</v>
      </c>
      <c r="AC7" s="7">
        <v>4</v>
      </c>
      <c r="AD7" s="7"/>
      <c r="AE7" s="7"/>
    </row>
    <row r="8" hidden="1" spans="1:31">
      <c r="A8" s="7" t="s">
        <v>6337</v>
      </c>
      <c r="B8" s="7"/>
      <c r="C8" s="7"/>
      <c r="D8" s="11" t="s">
        <v>6257</v>
      </c>
      <c r="E8" s="9"/>
      <c r="F8" s="9"/>
      <c r="G8" s="9"/>
      <c r="H8" s="11"/>
      <c r="I8" s="11"/>
      <c r="J8" s="7"/>
      <c r="K8" s="7"/>
      <c r="L8" s="7"/>
      <c r="M8" s="20"/>
      <c r="N8" s="9"/>
      <c r="O8" s="9"/>
      <c r="P8" s="9"/>
      <c r="Q8" s="9"/>
      <c r="R8" s="9"/>
      <c r="S8" s="20"/>
      <c r="T8" s="20"/>
      <c r="U8" s="20"/>
      <c r="V8" s="7" t="s">
        <v>6342</v>
      </c>
      <c r="W8" s="26"/>
      <c r="X8" s="7"/>
      <c r="Y8" s="7"/>
      <c r="Z8" s="7"/>
      <c r="AA8" s="7"/>
      <c r="AB8" s="7"/>
      <c r="AC8" s="7"/>
      <c r="AD8" s="7"/>
      <c r="AE8" s="7"/>
    </row>
    <row r="9" hidden="1" spans="1:31">
      <c r="A9" s="7" t="s">
        <v>6337</v>
      </c>
      <c r="B9" s="7"/>
      <c r="C9" s="7"/>
      <c r="D9" s="11" t="s">
        <v>6343</v>
      </c>
      <c r="E9" s="9"/>
      <c r="F9" s="9"/>
      <c r="G9" s="9"/>
      <c r="H9" s="11"/>
      <c r="I9" s="11"/>
      <c r="J9" s="7"/>
      <c r="K9" s="7"/>
      <c r="L9" s="7"/>
      <c r="M9" s="7"/>
      <c r="N9" s="9"/>
      <c r="O9" s="9"/>
      <c r="P9" s="9"/>
      <c r="Q9" s="9"/>
      <c r="R9" s="9"/>
      <c r="S9" s="7"/>
      <c r="T9" s="7"/>
      <c r="U9" s="7"/>
      <c r="V9" s="7" t="s">
        <v>6344</v>
      </c>
      <c r="W9" s="26">
        <f>1/Z9+1/AB9</f>
        <v>0.267857142857143</v>
      </c>
      <c r="X9" s="7"/>
      <c r="Y9" s="7"/>
      <c r="Z9" s="7">
        <v>8</v>
      </c>
      <c r="AA9" s="7"/>
      <c r="AB9" s="7">
        <v>7</v>
      </c>
      <c r="AC9" s="7"/>
      <c r="AD9" s="7"/>
      <c r="AE9" s="7"/>
    </row>
    <row r="10" hidden="1" spans="1:31">
      <c r="A10" s="7" t="s">
        <v>6337</v>
      </c>
      <c r="B10" s="7"/>
      <c r="C10" s="7"/>
      <c r="D10" s="11" t="s">
        <v>6345</v>
      </c>
      <c r="E10" s="9"/>
      <c r="F10" s="9"/>
      <c r="G10" s="9"/>
      <c r="H10" s="11"/>
      <c r="I10" s="11"/>
      <c r="J10" s="7"/>
      <c r="K10" s="7"/>
      <c r="L10" s="7"/>
      <c r="M10" s="21" t="s">
        <v>6346</v>
      </c>
      <c r="N10" s="9"/>
      <c r="O10" s="9"/>
      <c r="P10" s="9"/>
      <c r="Q10" s="9"/>
      <c r="R10" s="9"/>
      <c r="S10" s="7"/>
      <c r="T10" s="7"/>
      <c r="U10" s="7">
        <v>3</v>
      </c>
      <c r="V10" s="7" t="s">
        <v>6347</v>
      </c>
      <c r="W10" s="26">
        <f>1/X10+1/Y10+1/Z10+1/AA10+1/AB10+1/AC10</f>
        <v>1.83333333333333</v>
      </c>
      <c r="X10" s="7">
        <v>4</v>
      </c>
      <c r="Y10" s="7">
        <v>4</v>
      </c>
      <c r="Z10" s="7">
        <v>2</v>
      </c>
      <c r="AA10" s="7">
        <v>6</v>
      </c>
      <c r="AB10" s="7">
        <v>2</v>
      </c>
      <c r="AC10" s="7">
        <v>6</v>
      </c>
      <c r="AD10" s="7"/>
      <c r="AE10" s="7"/>
    </row>
    <row r="11" hidden="1" spans="1:31">
      <c r="A11" s="7" t="s">
        <v>6337</v>
      </c>
      <c r="B11" s="7"/>
      <c r="C11" s="7"/>
      <c r="D11" s="11" t="s">
        <v>6348</v>
      </c>
      <c r="E11" s="9"/>
      <c r="F11" s="9"/>
      <c r="G11" s="9"/>
      <c r="H11" s="11"/>
      <c r="I11" s="11"/>
      <c r="J11" s="7"/>
      <c r="K11" s="20"/>
      <c r="L11" s="20"/>
      <c r="M11" s="7"/>
      <c r="N11" s="9"/>
      <c r="O11" s="9"/>
      <c r="P11" s="9"/>
      <c r="Q11" s="9"/>
      <c r="R11" s="9"/>
      <c r="S11" s="7"/>
      <c r="T11" s="7"/>
      <c r="U11" s="7"/>
      <c r="V11" s="7" t="s">
        <v>6349</v>
      </c>
      <c r="W11" s="26">
        <f>1/AA11+1/AC11</f>
        <v>0.236111111111111</v>
      </c>
      <c r="X11" s="7"/>
      <c r="Y11" s="7"/>
      <c r="Z11" s="7"/>
      <c r="AA11" s="7">
        <v>9</v>
      </c>
      <c r="AB11" s="7"/>
      <c r="AC11" s="7">
        <v>8</v>
      </c>
      <c r="AD11" s="7"/>
      <c r="AE11" s="7"/>
    </row>
    <row r="12" spans="1:31">
      <c r="A12" s="7" t="s">
        <v>694</v>
      </c>
      <c r="B12" s="7"/>
      <c r="C12" s="7">
        <v>1</v>
      </c>
      <c r="D12" s="8" t="s">
        <v>5200</v>
      </c>
      <c r="E12" s="9">
        <v>4100</v>
      </c>
      <c r="F12" s="9">
        <v>18000</v>
      </c>
      <c r="G12" s="9">
        <v>1072399</v>
      </c>
      <c r="H12" s="11">
        <v>0</v>
      </c>
      <c r="I12" s="11"/>
      <c r="J12" s="18">
        <v>0</v>
      </c>
      <c r="K12" s="16">
        <v>40961</v>
      </c>
      <c r="L12" s="16"/>
      <c r="M12" s="17"/>
      <c r="N12" s="9">
        <v>25</v>
      </c>
      <c r="O12" s="9"/>
      <c r="P12" s="9"/>
      <c r="Q12" s="9"/>
      <c r="R12" s="9"/>
      <c r="S12" s="25">
        <v>594000</v>
      </c>
      <c r="T12" s="25">
        <v>1740</v>
      </c>
      <c r="U12" s="27">
        <v>5</v>
      </c>
      <c r="V12" s="7" t="s">
        <v>6350</v>
      </c>
      <c r="W12" s="26">
        <f>1/X12+1/Y12+1/Z12+1/AB12+1/AE12</f>
        <v>2.23333333333333</v>
      </c>
      <c r="X12" s="7">
        <v>3</v>
      </c>
      <c r="Y12" s="7">
        <v>1</v>
      </c>
      <c r="Z12" s="7">
        <v>5</v>
      </c>
      <c r="AA12" s="7"/>
      <c r="AB12" s="7">
        <v>5</v>
      </c>
      <c r="AC12" s="7"/>
      <c r="AD12" s="7"/>
      <c r="AE12" s="7">
        <v>2</v>
      </c>
    </row>
    <row r="13" spans="1:31">
      <c r="A13" s="7" t="s">
        <v>694</v>
      </c>
      <c r="B13" s="7"/>
      <c r="C13" s="7">
        <v>1</v>
      </c>
      <c r="D13" s="8" t="s">
        <v>500</v>
      </c>
      <c r="E13" s="9">
        <v>47200</v>
      </c>
      <c r="F13" s="9">
        <v>292800</v>
      </c>
      <c r="G13" s="9">
        <v>98821</v>
      </c>
      <c r="H13" s="10">
        <v>113596</v>
      </c>
      <c r="I13" s="11"/>
      <c r="J13" s="7">
        <v>2</v>
      </c>
      <c r="K13" s="16">
        <v>36305</v>
      </c>
      <c r="L13" s="16"/>
      <c r="M13" s="21" t="s">
        <v>6346</v>
      </c>
      <c r="N13" s="9">
        <v>299</v>
      </c>
      <c r="O13" s="9"/>
      <c r="P13" s="9"/>
      <c r="Q13" s="9"/>
      <c r="R13" s="9"/>
      <c r="S13" s="25">
        <v>262000</v>
      </c>
      <c r="T13" s="25">
        <v>834000</v>
      </c>
      <c r="U13" s="12"/>
      <c r="V13" s="7" t="s">
        <v>6351</v>
      </c>
      <c r="W13" s="26">
        <f>1/Y13+1/AB13</f>
        <v>0.211111111111111</v>
      </c>
      <c r="X13" s="7"/>
      <c r="Y13" s="7">
        <v>9</v>
      </c>
      <c r="Z13" s="7"/>
      <c r="AA13" s="7"/>
      <c r="AB13" s="7">
        <v>10</v>
      </c>
      <c r="AC13" s="7"/>
      <c r="AD13" s="7"/>
      <c r="AE13" s="7"/>
    </row>
    <row r="14" spans="1:31">
      <c r="A14" s="7"/>
      <c r="B14" s="7"/>
      <c r="C14" s="7"/>
      <c r="D14" s="8" t="s">
        <v>6352</v>
      </c>
      <c r="E14" s="9">
        <v>21500</v>
      </c>
      <c r="F14" s="9">
        <v>79800</v>
      </c>
      <c r="G14" s="9">
        <v>458522</v>
      </c>
      <c r="H14" s="10">
        <v>0</v>
      </c>
      <c r="I14" s="11"/>
      <c r="J14" s="18">
        <v>3</v>
      </c>
      <c r="K14" s="16">
        <v>35720</v>
      </c>
      <c r="L14" s="16"/>
      <c r="M14" s="21" t="s">
        <v>6346</v>
      </c>
      <c r="N14" s="9">
        <v>96</v>
      </c>
      <c r="O14" s="9"/>
      <c r="P14" s="9"/>
      <c r="Q14" s="9">
        <v>121763</v>
      </c>
      <c r="R14">
        <v>114</v>
      </c>
      <c r="S14" s="25">
        <v>19900</v>
      </c>
      <c r="T14" s="25">
        <v>24300</v>
      </c>
      <c r="U14" s="12"/>
      <c r="V14" s="7" t="s">
        <v>6353</v>
      </c>
      <c r="W14" s="26">
        <f>1/AA14+1/AC14+1/AD14</f>
        <v>0.503968253968254</v>
      </c>
      <c r="X14" s="7"/>
      <c r="Y14" s="7"/>
      <c r="Z14" s="7"/>
      <c r="AA14" s="7">
        <v>4</v>
      </c>
      <c r="AB14" s="7"/>
      <c r="AC14" s="7">
        <v>7</v>
      </c>
      <c r="AD14" s="7">
        <v>9</v>
      </c>
      <c r="AE14" s="7"/>
    </row>
    <row r="15" hidden="1" spans="1:31">
      <c r="A15" s="7" t="s">
        <v>6337</v>
      </c>
      <c r="B15" s="7"/>
      <c r="C15" s="7"/>
      <c r="D15" s="11" t="s">
        <v>6253</v>
      </c>
      <c r="E15" s="9"/>
      <c r="F15" s="9"/>
      <c r="G15" s="9"/>
      <c r="H15" s="11"/>
      <c r="I15" s="11"/>
      <c r="J15" s="7"/>
      <c r="K15" s="20"/>
      <c r="L15" s="20"/>
      <c r="M15" s="7"/>
      <c r="N15" s="9"/>
      <c r="O15" s="9"/>
      <c r="P15" s="9"/>
      <c r="Q15" s="9"/>
      <c r="R15" s="9"/>
      <c r="S15" s="7"/>
      <c r="T15" s="7"/>
      <c r="U15" s="28">
        <v>8</v>
      </c>
      <c r="V15" s="7"/>
      <c r="W15" s="26">
        <f>1/Y15</f>
        <v>0.1</v>
      </c>
      <c r="X15" s="7"/>
      <c r="Y15" s="7">
        <v>10</v>
      </c>
      <c r="Z15" s="7"/>
      <c r="AA15" s="7"/>
      <c r="AB15" s="7"/>
      <c r="AC15" s="7"/>
      <c r="AD15" s="7"/>
      <c r="AE15" s="7"/>
    </row>
    <row r="16" hidden="1" spans="1:31">
      <c r="A16" s="7"/>
      <c r="B16" s="7"/>
      <c r="C16" s="7"/>
      <c r="D16" s="7" t="s">
        <v>6354</v>
      </c>
      <c r="E16" s="9"/>
      <c r="F16" s="9"/>
      <c r="G16" s="9" t="s">
        <v>234</v>
      </c>
      <c r="H16" s="7"/>
      <c r="I16" s="7"/>
      <c r="J16" s="7">
        <v>1</v>
      </c>
      <c r="K16" s="16">
        <v>39562</v>
      </c>
      <c r="L16" s="16"/>
      <c r="M16" s="7"/>
      <c r="N16" s="9">
        <v>0</v>
      </c>
      <c r="O16" s="9"/>
      <c r="P16" s="9"/>
      <c r="Q16" s="9"/>
      <c r="R16" s="9"/>
      <c r="S16" s="18">
        <v>3</v>
      </c>
      <c r="T16" s="18" t="s">
        <v>234</v>
      </c>
      <c r="U16" s="22"/>
      <c r="V16" s="7" t="s">
        <v>6354</v>
      </c>
      <c r="W16" s="26"/>
      <c r="X16" s="7"/>
      <c r="Y16" s="7"/>
      <c r="Z16" s="7"/>
      <c r="AA16" s="7"/>
      <c r="AB16" s="7"/>
      <c r="AC16" s="7"/>
      <c r="AD16" s="7"/>
      <c r="AE16" s="7"/>
    </row>
    <row r="17" spans="1:31">
      <c r="A17" s="7" t="s">
        <v>6355</v>
      </c>
      <c r="B17" s="7"/>
      <c r="C17" s="7"/>
      <c r="D17" s="8" t="s">
        <v>6356</v>
      </c>
      <c r="E17" s="9">
        <v>844</v>
      </c>
      <c r="F17" s="9">
        <v>0</v>
      </c>
      <c r="G17" s="9">
        <v>6735288</v>
      </c>
      <c r="H17" s="11">
        <v>0</v>
      </c>
      <c r="I17" s="11"/>
      <c r="J17" s="7">
        <v>3</v>
      </c>
      <c r="K17" s="16">
        <v>36305</v>
      </c>
      <c r="L17" s="16"/>
      <c r="M17" s="7"/>
      <c r="N17" s="9">
        <v>28</v>
      </c>
      <c r="O17" s="9"/>
      <c r="P17" s="9"/>
      <c r="Q17" s="9"/>
      <c r="R17" s="9"/>
      <c r="S17" s="18">
        <v>39</v>
      </c>
      <c r="T17" s="18">
        <v>40</v>
      </c>
      <c r="U17" s="12"/>
      <c r="V17" s="7" t="s">
        <v>6357</v>
      </c>
      <c r="W17" s="26">
        <f>1/AD17</f>
        <v>0.166666666666667</v>
      </c>
      <c r="X17" s="7"/>
      <c r="Y17" s="7"/>
      <c r="Z17" s="7"/>
      <c r="AA17" s="7"/>
      <c r="AB17" s="7"/>
      <c r="AC17" s="7"/>
      <c r="AD17" s="7">
        <v>6</v>
      </c>
      <c r="AE17" s="7"/>
    </row>
    <row r="18" hidden="1" spans="1:31">
      <c r="A18" s="7"/>
      <c r="B18" s="7"/>
      <c r="C18" s="7"/>
      <c r="D18" s="11" t="s">
        <v>6358</v>
      </c>
      <c r="E18" s="9"/>
      <c r="F18" s="9"/>
      <c r="G18" s="9">
        <v>1760177</v>
      </c>
      <c r="H18" s="11"/>
      <c r="I18" s="11"/>
      <c r="J18" s="7">
        <v>3</v>
      </c>
      <c r="K18" s="16">
        <v>35303</v>
      </c>
      <c r="L18" s="16"/>
      <c r="M18" s="7"/>
      <c r="N18" s="9">
        <v>66</v>
      </c>
      <c r="O18" s="9"/>
      <c r="P18" s="9"/>
      <c r="Q18" s="9"/>
      <c r="R18" s="9"/>
      <c r="S18" s="25">
        <v>1940</v>
      </c>
      <c r="T18" s="25">
        <v>7840</v>
      </c>
      <c r="U18" s="29"/>
      <c r="V18" s="7" t="s">
        <v>6359</v>
      </c>
      <c r="W18" s="26">
        <f>1/AA18+1/AC18</f>
        <v>0.225</v>
      </c>
      <c r="X18" s="7"/>
      <c r="Y18" s="7"/>
      <c r="Z18" s="7"/>
      <c r="AA18" s="7">
        <v>8</v>
      </c>
      <c r="AB18" s="7"/>
      <c r="AC18" s="7">
        <v>10</v>
      </c>
      <c r="AD18" s="7"/>
      <c r="AE18" s="7"/>
    </row>
    <row r="19" spans="1:31">
      <c r="A19" s="7" t="s">
        <v>6360</v>
      </c>
      <c r="B19" s="7"/>
      <c r="C19" s="7">
        <v>1</v>
      </c>
      <c r="D19" s="8" t="s">
        <v>501</v>
      </c>
      <c r="E19" s="9">
        <v>2500</v>
      </c>
      <c r="F19" s="9">
        <v>93900</v>
      </c>
      <c r="G19" s="9">
        <v>240720</v>
      </c>
      <c r="H19" s="10">
        <v>42390</v>
      </c>
      <c r="I19" s="11"/>
      <c r="J19" s="7">
        <v>2</v>
      </c>
      <c r="K19" s="16">
        <v>40059</v>
      </c>
      <c r="L19" s="16"/>
      <c r="M19" s="17"/>
      <c r="N19" s="9">
        <v>121</v>
      </c>
      <c r="O19" s="9"/>
      <c r="P19" s="9"/>
      <c r="Q19" s="9">
        <v>247</v>
      </c>
      <c r="R19" s="9">
        <v>58</v>
      </c>
      <c r="S19" s="25">
        <v>1060000</v>
      </c>
      <c r="T19" s="25">
        <v>125000</v>
      </c>
      <c r="U19" s="12"/>
      <c r="V19" s="7" t="s">
        <v>6361</v>
      </c>
      <c r="W19" s="26">
        <f>1/AE19</f>
        <v>0.142857142857143</v>
      </c>
      <c r="X19" s="7"/>
      <c r="Y19" s="7"/>
      <c r="Z19" s="7"/>
      <c r="AA19" s="7"/>
      <c r="AB19" s="7"/>
      <c r="AC19" s="7"/>
      <c r="AD19" s="7"/>
      <c r="AE19" s="7">
        <v>7</v>
      </c>
    </row>
    <row r="20" hidden="1" spans="1:31">
      <c r="A20" s="7" t="s">
        <v>6337</v>
      </c>
      <c r="B20" s="7"/>
      <c r="C20" s="7"/>
      <c r="D20" s="11" t="s">
        <v>6362</v>
      </c>
      <c r="E20" s="9"/>
      <c r="F20" s="9"/>
      <c r="G20" s="9"/>
      <c r="H20" s="11"/>
      <c r="I20" s="11"/>
      <c r="J20" s="7"/>
      <c r="K20" s="7"/>
      <c r="L20" s="7"/>
      <c r="M20" s="20"/>
      <c r="N20" s="9"/>
      <c r="O20" s="9"/>
      <c r="P20" s="9"/>
      <c r="Q20" s="9"/>
      <c r="R20" s="9"/>
      <c r="S20" s="20"/>
      <c r="T20" s="20"/>
      <c r="U20" s="20"/>
      <c r="V20" s="7" t="s">
        <v>6363</v>
      </c>
      <c r="W20" s="26"/>
      <c r="X20" s="7"/>
      <c r="Y20" s="7"/>
      <c r="Z20" s="7"/>
      <c r="AA20" s="7"/>
      <c r="AB20" s="7"/>
      <c r="AC20" s="7"/>
      <c r="AD20" s="7"/>
      <c r="AE20" s="7"/>
    </row>
    <row r="21" hidden="1" spans="1:31">
      <c r="A21" s="7" t="s">
        <v>234</v>
      </c>
      <c r="B21" s="7"/>
      <c r="C21" s="7"/>
      <c r="D21" s="11" t="s">
        <v>6364</v>
      </c>
      <c r="E21" s="9"/>
      <c r="F21" s="9"/>
      <c r="G21" s="9">
        <v>6583602</v>
      </c>
      <c r="H21" s="11"/>
      <c r="I21" s="11"/>
      <c r="J21" s="7">
        <v>0</v>
      </c>
      <c r="K21" s="16">
        <v>40032</v>
      </c>
      <c r="L21" s="16"/>
      <c r="M21" s="7"/>
      <c r="N21" s="9">
        <v>0</v>
      </c>
      <c r="O21" s="9"/>
      <c r="P21" s="9"/>
      <c r="Q21" s="9"/>
      <c r="R21" s="9"/>
      <c r="S21" s="7">
        <v>80</v>
      </c>
      <c r="T21" s="7">
        <v>47</v>
      </c>
      <c r="U21" s="30"/>
      <c r="V21" s="7" t="s">
        <v>6365</v>
      </c>
      <c r="W21" s="26"/>
      <c r="X21" s="7"/>
      <c r="Y21" s="7"/>
      <c r="Z21" s="7"/>
      <c r="AA21" s="7"/>
      <c r="AB21" s="7"/>
      <c r="AC21" s="7"/>
      <c r="AD21" s="7"/>
      <c r="AE21" s="7"/>
    </row>
    <row r="22" spans="1:31">
      <c r="A22" s="7" t="s">
        <v>694</v>
      </c>
      <c r="B22" s="7"/>
      <c r="C22" s="7"/>
      <c r="D22" s="8" t="s">
        <v>509</v>
      </c>
      <c r="E22" s="9">
        <v>3700</v>
      </c>
      <c r="F22" s="9">
        <v>39700</v>
      </c>
      <c r="G22" s="9">
        <v>387226</v>
      </c>
      <c r="H22" s="7">
        <v>0</v>
      </c>
      <c r="I22" s="7"/>
      <c r="J22" s="7">
        <v>1</v>
      </c>
      <c r="K22" s="16">
        <v>37700</v>
      </c>
      <c r="L22" s="16"/>
      <c r="M22" s="21" t="s">
        <v>6346</v>
      </c>
      <c r="N22" s="9">
        <v>92</v>
      </c>
      <c r="O22" s="9" t="s">
        <v>6366</v>
      </c>
      <c r="P22" s="9"/>
      <c r="Q22" s="9">
        <v>418</v>
      </c>
      <c r="R22" s="9">
        <v>4</v>
      </c>
      <c r="S22" s="25">
        <v>284000</v>
      </c>
      <c r="T22" s="25">
        <v>24100</v>
      </c>
      <c r="U22" s="12"/>
      <c r="V22" s="7" t="s">
        <v>6367</v>
      </c>
      <c r="W22" s="26">
        <f>1/AE22</f>
        <v>0.2</v>
      </c>
      <c r="X22" s="7"/>
      <c r="Y22" s="7"/>
      <c r="Z22" s="7"/>
      <c r="AA22" s="7"/>
      <c r="AB22" s="7"/>
      <c r="AC22" s="7"/>
      <c r="AD22" s="7"/>
      <c r="AE22" s="7">
        <v>5</v>
      </c>
    </row>
    <row r="23" hidden="1" spans="1:31">
      <c r="A23" s="7" t="s">
        <v>6337</v>
      </c>
      <c r="B23" s="7"/>
      <c r="C23" s="7"/>
      <c r="D23" s="11" t="s">
        <v>6368</v>
      </c>
      <c r="E23" s="9"/>
      <c r="F23" s="9"/>
      <c r="G23" s="9"/>
      <c r="H23" s="11"/>
      <c r="I23" s="11"/>
      <c r="J23" s="7"/>
      <c r="K23" s="7"/>
      <c r="L23" s="7"/>
      <c r="M23" s="21" t="s">
        <v>6346</v>
      </c>
      <c r="N23" s="9"/>
      <c r="O23" s="9"/>
      <c r="P23" s="9"/>
      <c r="Q23" s="9"/>
      <c r="R23" s="9"/>
      <c r="S23" s="7"/>
      <c r="T23" s="7"/>
      <c r="U23" s="7"/>
      <c r="V23" s="7" t="s">
        <v>6369</v>
      </c>
      <c r="W23" s="26">
        <f>1/AD23</f>
        <v>0.2</v>
      </c>
      <c r="X23" s="7"/>
      <c r="Y23" s="7"/>
      <c r="Z23" s="7"/>
      <c r="AA23" s="7"/>
      <c r="AB23" s="7"/>
      <c r="AC23" s="7"/>
      <c r="AD23" s="7">
        <v>5</v>
      </c>
      <c r="AE23" s="7"/>
    </row>
    <row r="24" hidden="1" spans="1:31">
      <c r="A24" s="7" t="s">
        <v>6337</v>
      </c>
      <c r="B24" s="7"/>
      <c r="C24" s="7"/>
      <c r="D24" s="11" t="s">
        <v>6370</v>
      </c>
      <c r="E24" s="9"/>
      <c r="F24" s="9"/>
      <c r="G24" s="9"/>
      <c r="H24" s="11"/>
      <c r="I24" s="11"/>
      <c r="J24" s="7"/>
      <c r="K24" s="7"/>
      <c r="L24" s="7"/>
      <c r="M24" s="20"/>
      <c r="N24" s="9"/>
      <c r="O24" s="9"/>
      <c r="P24" s="9"/>
      <c r="Q24" s="9"/>
      <c r="R24" s="9"/>
      <c r="S24" s="20"/>
      <c r="T24" s="20"/>
      <c r="U24" s="20"/>
      <c r="V24" s="7" t="s">
        <v>6371</v>
      </c>
      <c r="W24" s="26">
        <f>1/X24+1/AA24+1/AC24+1/AD24</f>
        <v>1.08730158730159</v>
      </c>
      <c r="X24" s="7">
        <v>9</v>
      </c>
      <c r="Y24" s="7"/>
      <c r="Z24" s="7"/>
      <c r="AA24" s="7">
        <v>2</v>
      </c>
      <c r="AB24" s="7"/>
      <c r="AC24" s="7">
        <v>3</v>
      </c>
      <c r="AD24" s="7">
        <v>7</v>
      </c>
      <c r="AE24" s="7"/>
    </row>
    <row r="25" hidden="1" spans="1:31">
      <c r="A25" s="7" t="s">
        <v>6337</v>
      </c>
      <c r="B25" s="7"/>
      <c r="C25" s="7"/>
      <c r="D25" s="7" t="s">
        <v>6372</v>
      </c>
      <c r="E25" s="9"/>
      <c r="F25" s="9"/>
      <c r="G25" s="9"/>
      <c r="H25" s="7"/>
      <c r="I25" s="7"/>
      <c r="J25" s="7"/>
      <c r="K25" s="20"/>
      <c r="L25" s="20"/>
      <c r="M25" s="7"/>
      <c r="N25" s="9"/>
      <c r="O25" s="9"/>
      <c r="P25" s="9"/>
      <c r="Q25" s="9"/>
      <c r="R25" s="9"/>
      <c r="S25" s="7"/>
      <c r="T25" s="7"/>
      <c r="U25" s="7"/>
      <c r="V25" s="7" t="s">
        <v>6373</v>
      </c>
      <c r="W25" s="26">
        <f>1/AD25</f>
        <v>0.1</v>
      </c>
      <c r="X25" s="7"/>
      <c r="Y25" s="7"/>
      <c r="Z25" s="7"/>
      <c r="AA25" s="7"/>
      <c r="AB25" s="7"/>
      <c r="AC25" s="7"/>
      <c r="AD25" s="7">
        <v>10</v>
      </c>
      <c r="AE25" s="7"/>
    </row>
    <row r="26" hidden="1" spans="1:31">
      <c r="A26" s="7" t="s">
        <v>6337</v>
      </c>
      <c r="B26" s="7"/>
      <c r="C26" s="7"/>
      <c r="D26" s="11" t="s">
        <v>6374</v>
      </c>
      <c r="E26" s="9"/>
      <c r="F26" s="9"/>
      <c r="G26" s="9"/>
      <c r="H26" s="11"/>
      <c r="I26" s="11"/>
      <c r="J26" s="7"/>
      <c r="K26" s="7"/>
      <c r="L26" s="7"/>
      <c r="M26" s="21" t="s">
        <v>6346</v>
      </c>
      <c r="N26" s="9"/>
      <c r="O26" s="9"/>
      <c r="P26" s="9"/>
      <c r="Q26" s="9"/>
      <c r="R26" s="9"/>
      <c r="S26" s="7"/>
      <c r="T26" s="7"/>
      <c r="U26" s="7"/>
      <c r="V26" s="7" t="s">
        <v>6375</v>
      </c>
      <c r="W26" s="26">
        <f>1/AA26+1/AD26</f>
        <v>0.476190476190476</v>
      </c>
      <c r="X26" s="7"/>
      <c r="Y26" s="7"/>
      <c r="Z26" s="7"/>
      <c r="AA26" s="7">
        <v>7</v>
      </c>
      <c r="AB26" s="7"/>
      <c r="AC26" s="7"/>
      <c r="AD26" s="7">
        <v>3</v>
      </c>
      <c r="AE26" s="7"/>
    </row>
    <row r="27" hidden="1" spans="1:31">
      <c r="A27" s="7"/>
      <c r="B27" s="7"/>
      <c r="C27" s="7"/>
      <c r="D27" s="11" t="s">
        <v>6376</v>
      </c>
      <c r="E27" s="9"/>
      <c r="F27" s="9"/>
      <c r="G27" s="9">
        <v>3534644</v>
      </c>
      <c r="H27" s="11"/>
      <c r="I27" s="11"/>
      <c r="J27" s="7">
        <v>3</v>
      </c>
      <c r="K27" s="16">
        <v>36244</v>
      </c>
      <c r="L27" s="16"/>
      <c r="M27" s="7"/>
      <c r="N27" s="9">
        <v>45</v>
      </c>
      <c r="O27" s="9"/>
      <c r="P27" s="9"/>
      <c r="Q27" s="9"/>
      <c r="R27" s="9"/>
      <c r="S27" s="17">
        <v>435000</v>
      </c>
      <c r="T27" s="17">
        <v>23200</v>
      </c>
      <c r="U27" s="30"/>
      <c r="V27" s="7"/>
      <c r="W27" s="26"/>
      <c r="X27" s="7"/>
      <c r="Y27" s="7"/>
      <c r="Z27" s="7"/>
      <c r="AA27" s="7"/>
      <c r="AB27" s="7"/>
      <c r="AC27" s="7"/>
      <c r="AD27" s="7"/>
      <c r="AE27" s="7"/>
    </row>
    <row r="28" spans="1:31">
      <c r="A28" s="7" t="s">
        <v>694</v>
      </c>
      <c r="B28" s="7"/>
      <c r="C28" s="7"/>
      <c r="D28" s="8" t="s">
        <v>5204</v>
      </c>
      <c r="E28" s="9">
        <v>1100</v>
      </c>
      <c r="F28" s="9">
        <v>0</v>
      </c>
      <c r="G28" s="9">
        <v>2408106</v>
      </c>
      <c r="H28" s="11">
        <v>0</v>
      </c>
      <c r="I28" s="11"/>
      <c r="J28" s="7">
        <v>1</v>
      </c>
      <c r="K28" s="16">
        <v>37194</v>
      </c>
      <c r="L28" s="16"/>
      <c r="M28" s="17"/>
      <c r="N28" s="9">
        <v>17</v>
      </c>
      <c r="O28" s="9"/>
      <c r="P28" s="9"/>
      <c r="Q28" s="9"/>
      <c r="R28" s="9"/>
      <c r="S28" s="25">
        <v>348</v>
      </c>
      <c r="T28" s="25">
        <v>4520</v>
      </c>
      <c r="U28" s="12"/>
      <c r="V28" s="7" t="s">
        <v>6377</v>
      </c>
      <c r="W28" s="26"/>
      <c r="X28" s="7"/>
      <c r="Y28" s="7"/>
      <c r="Z28" s="7"/>
      <c r="AA28" s="7"/>
      <c r="AB28" s="7"/>
      <c r="AC28" s="7"/>
      <c r="AD28" s="7"/>
      <c r="AE28" s="7"/>
    </row>
    <row r="29" hidden="1" spans="1:31">
      <c r="A29" s="7" t="s">
        <v>6337</v>
      </c>
      <c r="B29" s="7"/>
      <c r="C29" s="7"/>
      <c r="D29" s="11" t="s">
        <v>6378</v>
      </c>
      <c r="E29" s="9"/>
      <c r="F29" s="9"/>
      <c r="G29" s="9"/>
      <c r="H29" s="11"/>
      <c r="I29" s="11"/>
      <c r="J29" s="7"/>
      <c r="K29" s="7"/>
      <c r="L29" s="7"/>
      <c r="M29" s="7"/>
      <c r="N29" s="9"/>
      <c r="O29" s="9"/>
      <c r="P29" s="9"/>
      <c r="Q29" s="9"/>
      <c r="R29" s="9"/>
      <c r="S29" s="7"/>
      <c r="T29" s="7"/>
      <c r="U29" s="7"/>
      <c r="V29" s="7" t="s">
        <v>6379</v>
      </c>
      <c r="W29" s="26"/>
      <c r="X29" s="7"/>
      <c r="Y29" s="7"/>
      <c r="Z29" s="7"/>
      <c r="AA29" s="7"/>
      <c r="AB29" s="7"/>
      <c r="AC29" s="7"/>
      <c r="AD29" s="7"/>
      <c r="AE29" s="7"/>
    </row>
    <row r="30" hidden="1" spans="1:31">
      <c r="A30" s="7" t="s">
        <v>234</v>
      </c>
      <c r="B30" s="7"/>
      <c r="C30" s="7"/>
      <c r="D30" s="11" t="s">
        <v>6380</v>
      </c>
      <c r="E30" s="9"/>
      <c r="F30" s="9"/>
      <c r="G30" s="9">
        <v>1018550</v>
      </c>
      <c r="H30" s="11"/>
      <c r="I30" s="11"/>
      <c r="J30" s="7">
        <v>3</v>
      </c>
      <c r="K30" s="16">
        <v>35752</v>
      </c>
      <c r="L30" s="16"/>
      <c r="M30" s="21" t="s">
        <v>6346</v>
      </c>
      <c r="N30" s="9">
        <v>120</v>
      </c>
      <c r="O30" s="9"/>
      <c r="P30" s="9"/>
      <c r="Q30" s="9"/>
      <c r="R30" s="9"/>
      <c r="S30" s="17">
        <v>11000</v>
      </c>
      <c r="T30" s="17">
        <v>12800</v>
      </c>
      <c r="U30" s="31"/>
      <c r="V30" s="7" t="s">
        <v>6381</v>
      </c>
      <c r="W30" s="26"/>
      <c r="X30" s="7"/>
      <c r="Y30" s="7"/>
      <c r="Z30" s="7"/>
      <c r="AA30" s="7"/>
      <c r="AB30" s="7"/>
      <c r="AC30" s="7"/>
      <c r="AD30" s="7"/>
      <c r="AE30" s="7"/>
    </row>
    <row r="31" hidden="1" spans="1:31">
      <c r="A31" s="7" t="s">
        <v>6382</v>
      </c>
      <c r="B31" s="7"/>
      <c r="C31" s="7"/>
      <c r="D31" s="11" t="s">
        <v>6383</v>
      </c>
      <c r="E31" s="9"/>
      <c r="F31" s="9"/>
      <c r="G31" s="9"/>
      <c r="H31" s="11"/>
      <c r="I31" s="11"/>
      <c r="J31" s="7">
        <v>3</v>
      </c>
      <c r="K31" s="16">
        <v>38196</v>
      </c>
      <c r="L31" s="16"/>
      <c r="M31" s="7"/>
      <c r="N31" s="9"/>
      <c r="O31" s="9"/>
      <c r="P31" s="9"/>
      <c r="Q31" s="9"/>
      <c r="R31" s="9"/>
      <c r="S31" s="7"/>
      <c r="T31" s="7"/>
      <c r="U31" s="30"/>
      <c r="V31" s="7" t="s">
        <v>6384</v>
      </c>
      <c r="W31" s="26">
        <f>1/Z31+1/AB31</f>
        <v>0.225</v>
      </c>
      <c r="X31" s="7"/>
      <c r="Y31" s="7"/>
      <c r="Z31" s="7">
        <v>10</v>
      </c>
      <c r="AA31" s="7"/>
      <c r="AB31" s="7">
        <v>8</v>
      </c>
      <c r="AC31" s="7"/>
      <c r="AD31" s="7"/>
      <c r="AE31" s="7"/>
    </row>
    <row r="32" hidden="1" spans="1:31">
      <c r="A32" s="7" t="s">
        <v>6337</v>
      </c>
      <c r="B32" s="7"/>
      <c r="C32" s="7"/>
      <c r="D32" s="7" t="s">
        <v>6385</v>
      </c>
      <c r="E32" s="9"/>
      <c r="F32" s="9"/>
      <c r="G32" s="9"/>
      <c r="H32" s="7"/>
      <c r="I32" s="7"/>
      <c r="J32" s="7"/>
      <c r="K32" s="20"/>
      <c r="L32" s="20"/>
      <c r="M32" s="7"/>
      <c r="N32" s="9"/>
      <c r="O32" s="9"/>
      <c r="P32" s="9"/>
      <c r="Q32" s="9"/>
      <c r="R32" s="9"/>
      <c r="S32" s="7"/>
      <c r="T32" s="7"/>
      <c r="U32" s="7"/>
      <c r="V32" s="7" t="s">
        <v>6385</v>
      </c>
      <c r="W32" s="26"/>
      <c r="X32" s="7"/>
      <c r="Y32" s="7"/>
      <c r="Z32" s="7"/>
      <c r="AA32" s="7"/>
      <c r="AB32" s="7"/>
      <c r="AC32" s="7"/>
      <c r="AD32" s="7"/>
      <c r="AE32" s="7"/>
    </row>
    <row r="33" spans="1:31">
      <c r="A33" s="7" t="s">
        <v>694</v>
      </c>
      <c r="B33" s="7"/>
      <c r="C33" s="7"/>
      <c r="D33" s="8" t="s">
        <v>6386</v>
      </c>
      <c r="E33" s="9">
        <v>3200</v>
      </c>
      <c r="F33" s="9">
        <v>22700</v>
      </c>
      <c r="G33" s="9">
        <v>823069</v>
      </c>
      <c r="H33" s="11">
        <v>0</v>
      </c>
      <c r="I33" s="11"/>
      <c r="J33" s="18">
        <v>2</v>
      </c>
      <c r="K33" s="16">
        <v>38075</v>
      </c>
      <c r="L33" s="16"/>
      <c r="M33" s="17"/>
      <c r="N33" s="9">
        <v>56</v>
      </c>
      <c r="O33" s="9"/>
      <c r="P33" s="9"/>
      <c r="Q33" s="9">
        <v>1439</v>
      </c>
      <c r="R33" s="9"/>
      <c r="S33" s="25">
        <v>86000</v>
      </c>
      <c r="T33" s="25">
        <v>7640</v>
      </c>
      <c r="U33" s="27"/>
      <c r="V33" s="7" t="s">
        <v>6387</v>
      </c>
      <c r="W33" s="26">
        <f>1/AC33</f>
        <v>0.111111111111111</v>
      </c>
      <c r="X33" s="7"/>
      <c r="Y33" s="7"/>
      <c r="Z33" s="7"/>
      <c r="AA33" s="7"/>
      <c r="AB33" s="7"/>
      <c r="AC33" s="7">
        <v>9</v>
      </c>
      <c r="AD33" s="7"/>
      <c r="AE33" s="7"/>
    </row>
    <row r="34" hidden="1" spans="1:31">
      <c r="A34" s="7"/>
      <c r="B34" s="7"/>
      <c r="C34" s="7"/>
      <c r="D34" s="11" t="s">
        <v>499</v>
      </c>
      <c r="E34" s="9"/>
      <c r="F34" s="9"/>
      <c r="G34" s="9">
        <v>578623</v>
      </c>
      <c r="H34" s="11"/>
      <c r="I34" s="11"/>
      <c r="J34" s="7">
        <v>2</v>
      </c>
      <c r="K34" s="16">
        <v>39568</v>
      </c>
      <c r="L34" s="16"/>
      <c r="M34" s="17"/>
      <c r="N34" s="9">
        <v>74</v>
      </c>
      <c r="O34" s="9"/>
      <c r="P34" s="9"/>
      <c r="Q34" s="9"/>
      <c r="R34" s="9"/>
      <c r="S34" s="25">
        <v>72000</v>
      </c>
      <c r="T34" s="17">
        <v>12400</v>
      </c>
      <c r="U34" s="31">
        <v>1</v>
      </c>
      <c r="V34" s="7"/>
      <c r="W34" s="26">
        <f>1/AE34</f>
        <v>0.333333333333333</v>
      </c>
      <c r="X34" s="7"/>
      <c r="Y34" s="7"/>
      <c r="Z34" s="7"/>
      <c r="AA34" s="7"/>
      <c r="AB34" s="7"/>
      <c r="AC34" s="7"/>
      <c r="AD34" s="7"/>
      <c r="AE34" s="7">
        <v>3</v>
      </c>
    </row>
    <row r="35" spans="1:31">
      <c r="A35" s="7" t="s">
        <v>6360</v>
      </c>
      <c r="B35" s="7"/>
      <c r="C35" s="7">
        <v>1</v>
      </c>
      <c r="D35" s="8" t="s">
        <v>6388</v>
      </c>
      <c r="E35" s="9">
        <v>915</v>
      </c>
      <c r="F35" s="9">
        <v>19200</v>
      </c>
      <c r="G35" s="9">
        <v>767420</v>
      </c>
      <c r="H35" s="11">
        <v>0</v>
      </c>
      <c r="I35" s="11"/>
      <c r="J35" s="18">
        <v>1</v>
      </c>
      <c r="K35" s="16">
        <v>40007</v>
      </c>
      <c r="L35" s="16"/>
      <c r="M35" s="17"/>
      <c r="N35" s="9">
        <v>51</v>
      </c>
      <c r="O35" s="9"/>
      <c r="P35" s="9"/>
      <c r="Q35" s="9"/>
      <c r="R35" s="9">
        <v>4</v>
      </c>
      <c r="S35" s="25">
        <v>229000</v>
      </c>
      <c r="T35" s="25">
        <v>42200</v>
      </c>
      <c r="U35" s="12"/>
      <c r="V35" s="7" t="s">
        <v>6389</v>
      </c>
      <c r="W35" s="26">
        <f>1/AE35</f>
        <v>0.166666666666667</v>
      </c>
      <c r="X35" s="7"/>
      <c r="Y35" s="7"/>
      <c r="Z35" s="7"/>
      <c r="AA35" s="7"/>
      <c r="AB35" s="7"/>
      <c r="AC35" s="7"/>
      <c r="AD35" s="7"/>
      <c r="AE35" s="7">
        <v>6</v>
      </c>
    </row>
    <row r="36" hidden="1" spans="1:31">
      <c r="A36" s="7"/>
      <c r="B36" s="7"/>
      <c r="C36" s="7"/>
      <c r="D36" s="11" t="s">
        <v>6390</v>
      </c>
      <c r="E36" s="9"/>
      <c r="F36" s="9"/>
      <c r="G36" s="9">
        <v>10103506</v>
      </c>
      <c r="H36" s="11"/>
      <c r="I36" s="11"/>
      <c r="J36" s="7">
        <v>1</v>
      </c>
      <c r="K36" s="16">
        <v>39518</v>
      </c>
      <c r="L36" s="16"/>
      <c r="M36" s="17"/>
      <c r="N36" s="9">
        <v>5</v>
      </c>
      <c r="O36" s="9"/>
      <c r="P36" s="9"/>
      <c r="Q36" s="9"/>
      <c r="R36" s="9"/>
      <c r="S36" s="17">
        <v>1040</v>
      </c>
      <c r="T36" s="17">
        <v>2080</v>
      </c>
      <c r="U36" s="31"/>
      <c r="V36" s="7"/>
      <c r="W36" s="26"/>
      <c r="X36" s="7"/>
      <c r="Y36" s="7"/>
      <c r="Z36" s="7"/>
      <c r="AA36" s="7"/>
      <c r="AB36" s="7"/>
      <c r="AC36" s="7"/>
      <c r="AD36" s="7"/>
      <c r="AE36" s="7"/>
    </row>
    <row r="37" hidden="1" spans="1:31">
      <c r="A37" s="7"/>
      <c r="B37" s="7"/>
      <c r="C37" s="7"/>
      <c r="D37" s="11" t="s">
        <v>6391</v>
      </c>
      <c r="E37" s="9"/>
      <c r="F37" s="9"/>
      <c r="G37" s="9" t="s">
        <v>234</v>
      </c>
      <c r="H37" s="11"/>
      <c r="I37" s="11"/>
      <c r="J37" s="7">
        <v>0</v>
      </c>
      <c r="K37" s="16">
        <v>41533</v>
      </c>
      <c r="L37" s="16"/>
      <c r="M37" s="20"/>
      <c r="N37" s="9">
        <v>651</v>
      </c>
      <c r="O37" s="9"/>
      <c r="P37" s="9"/>
      <c r="Q37" s="9"/>
      <c r="R37" s="9"/>
      <c r="S37" s="17">
        <v>10</v>
      </c>
      <c r="T37" s="17">
        <v>10</v>
      </c>
      <c r="U37" s="31"/>
      <c r="V37" s="7"/>
      <c r="W37" s="26"/>
      <c r="X37" s="7"/>
      <c r="Y37" s="7"/>
      <c r="Z37" s="7"/>
      <c r="AA37" s="7"/>
      <c r="AB37" s="7"/>
      <c r="AC37" s="7"/>
      <c r="AD37" s="7"/>
      <c r="AE37" s="7"/>
    </row>
    <row r="38" spans="1:31">
      <c r="A38" s="7" t="s">
        <v>694</v>
      </c>
      <c r="B38" s="7"/>
      <c r="C38" s="7"/>
      <c r="D38" s="11" t="s">
        <v>6364</v>
      </c>
      <c r="E38" s="9">
        <v>1</v>
      </c>
      <c r="F38" s="9">
        <v>0</v>
      </c>
      <c r="G38" s="9">
        <v>22986976</v>
      </c>
      <c r="H38" s="11">
        <v>0</v>
      </c>
      <c r="I38" s="11"/>
      <c r="J38" s="11">
        <v>3</v>
      </c>
      <c r="K38" s="16">
        <v>40032</v>
      </c>
      <c r="L38" s="16"/>
      <c r="M38" s="7"/>
      <c r="N38" s="9">
        <v>0</v>
      </c>
      <c r="O38" s="9"/>
      <c r="P38" s="9"/>
      <c r="Q38" s="9"/>
      <c r="R38" s="9"/>
      <c r="S38" s="25">
        <v>3690</v>
      </c>
      <c r="T38" s="25">
        <v>635</v>
      </c>
      <c r="U38" s="12"/>
      <c r="V38" s="11" t="s">
        <v>6392</v>
      </c>
      <c r="W38" s="26"/>
      <c r="X38" s="11"/>
      <c r="Y38" s="11"/>
      <c r="Z38" s="11"/>
      <c r="AA38" s="7"/>
      <c r="AB38" s="7"/>
      <c r="AC38" s="7"/>
      <c r="AD38" s="7"/>
      <c r="AE38" s="7"/>
    </row>
    <row r="39" hidden="1" spans="1:31">
      <c r="A39" s="7"/>
      <c r="B39" s="7"/>
      <c r="C39" s="7"/>
      <c r="D39" s="11" t="s">
        <v>6364</v>
      </c>
      <c r="E39" s="9"/>
      <c r="F39" s="9"/>
      <c r="G39" s="9"/>
      <c r="H39" s="11"/>
      <c r="I39" s="11"/>
      <c r="J39" s="7"/>
      <c r="K39" s="16"/>
      <c r="L39" s="16"/>
      <c r="M39" s="7"/>
      <c r="N39" s="9"/>
      <c r="O39" s="9"/>
      <c r="P39" s="9"/>
      <c r="Q39" s="9"/>
      <c r="R39" s="9"/>
      <c r="S39" s="25"/>
      <c r="T39" s="25"/>
      <c r="U39" s="29"/>
      <c r="V39" s="7" t="s">
        <v>6393</v>
      </c>
      <c r="W39" s="26"/>
      <c r="X39" s="7"/>
      <c r="Y39" s="7"/>
      <c r="Z39" s="7"/>
      <c r="AA39" s="7"/>
      <c r="AB39" s="7"/>
      <c r="AC39" s="7"/>
      <c r="AD39" s="7"/>
      <c r="AE39" s="7"/>
    </row>
    <row r="40" spans="1:31">
      <c r="A40" s="7" t="s">
        <v>694</v>
      </c>
      <c r="B40" s="7"/>
      <c r="C40" s="7"/>
      <c r="D40" s="8" t="s">
        <v>6394</v>
      </c>
      <c r="E40" s="9">
        <v>0</v>
      </c>
      <c r="F40" s="9">
        <v>0</v>
      </c>
      <c r="G40" s="12" t="s">
        <v>234</v>
      </c>
      <c r="H40" s="11">
        <v>0</v>
      </c>
      <c r="I40" s="11"/>
      <c r="J40" s="7">
        <v>0</v>
      </c>
      <c r="K40" s="16">
        <v>40142</v>
      </c>
      <c r="L40" s="16"/>
      <c r="M40" s="7"/>
      <c r="N40" s="9">
        <v>0</v>
      </c>
      <c r="O40" s="9"/>
      <c r="P40" s="9"/>
      <c r="Q40" s="9"/>
      <c r="R40" s="9"/>
      <c r="S40" s="25">
        <v>3</v>
      </c>
      <c r="T40" s="25">
        <v>1</v>
      </c>
      <c r="U40" s="12"/>
      <c r="V40" s="7" t="s">
        <v>6395</v>
      </c>
      <c r="W40" s="26"/>
      <c r="X40" s="7"/>
      <c r="Y40" s="7"/>
      <c r="Z40" s="7"/>
      <c r="AA40" s="7"/>
      <c r="AB40" s="7"/>
      <c r="AC40" s="7"/>
      <c r="AD40" s="7"/>
      <c r="AE40" s="7"/>
    </row>
    <row r="41" hidden="1" spans="1:31">
      <c r="A41" s="7" t="s">
        <v>6337</v>
      </c>
      <c r="B41" s="7"/>
      <c r="C41" s="7"/>
      <c r="D41" s="11" t="s">
        <v>6396</v>
      </c>
      <c r="E41" s="9"/>
      <c r="F41" s="9"/>
      <c r="G41" s="9"/>
      <c r="H41" s="11"/>
      <c r="I41" s="11"/>
      <c r="J41" s="7"/>
      <c r="K41" s="20"/>
      <c r="L41" s="20"/>
      <c r="M41" s="21" t="s">
        <v>6346</v>
      </c>
      <c r="N41" s="9"/>
      <c r="O41" s="9"/>
      <c r="P41" s="9"/>
      <c r="Q41" s="9"/>
      <c r="R41" s="9"/>
      <c r="S41" s="17"/>
      <c r="T41" s="17"/>
      <c r="U41" s="17">
        <v>4</v>
      </c>
      <c r="V41" s="7" t="s">
        <v>6397</v>
      </c>
      <c r="W41" s="26">
        <f>1/X41+1/Y41+1/Z41+1/AA41+1/AB41+1/AC41</f>
        <v>1.1</v>
      </c>
      <c r="X41" s="7">
        <v>5</v>
      </c>
      <c r="Y41" s="7">
        <v>6</v>
      </c>
      <c r="Z41" s="7">
        <v>6</v>
      </c>
      <c r="AA41" s="7">
        <v>5</v>
      </c>
      <c r="AB41" s="7">
        <v>6</v>
      </c>
      <c r="AC41" s="7">
        <v>5</v>
      </c>
      <c r="AD41" s="7"/>
      <c r="AE41" s="7"/>
    </row>
    <row r="42" hidden="1" spans="1:31">
      <c r="A42" s="7" t="s">
        <v>6382</v>
      </c>
      <c r="B42" s="7"/>
      <c r="C42" s="7"/>
      <c r="D42" s="11" t="s">
        <v>6398</v>
      </c>
      <c r="E42" s="9"/>
      <c r="F42" s="9"/>
      <c r="G42" s="9"/>
      <c r="H42" s="11"/>
      <c r="I42" s="11"/>
      <c r="J42" s="7">
        <v>3</v>
      </c>
      <c r="K42" s="20">
        <v>40116</v>
      </c>
      <c r="L42" s="20"/>
      <c r="M42" s="17"/>
      <c r="N42" s="9"/>
      <c r="O42" s="9"/>
      <c r="P42" s="9"/>
      <c r="Q42" s="9"/>
      <c r="R42" s="9"/>
      <c r="S42" s="17"/>
      <c r="T42" s="17"/>
      <c r="U42" s="31"/>
      <c r="V42" s="7" t="s">
        <v>6399</v>
      </c>
      <c r="W42" s="26"/>
      <c r="X42" s="7"/>
      <c r="Y42" s="7"/>
      <c r="Z42" s="7"/>
      <c r="AA42" s="7"/>
      <c r="AB42" s="7"/>
      <c r="AC42" s="7"/>
      <c r="AD42" s="7"/>
      <c r="AE42" s="7"/>
    </row>
    <row r="43" hidden="1" spans="1:31">
      <c r="A43" s="7" t="s">
        <v>6337</v>
      </c>
      <c r="B43" s="7"/>
      <c r="C43" s="7"/>
      <c r="D43" s="11" t="s">
        <v>6400</v>
      </c>
      <c r="E43" s="9"/>
      <c r="F43" s="9"/>
      <c r="G43" s="9"/>
      <c r="H43" s="11"/>
      <c r="I43" s="11"/>
      <c r="J43" s="7"/>
      <c r="K43" s="20"/>
      <c r="L43" s="20"/>
      <c r="M43" s="7"/>
      <c r="N43" s="9"/>
      <c r="O43" s="9"/>
      <c r="P43" s="9"/>
      <c r="Q43" s="9"/>
      <c r="R43" s="9"/>
      <c r="S43" s="17"/>
      <c r="T43" s="17"/>
      <c r="U43" s="17"/>
      <c r="V43" s="7" t="s">
        <v>6401</v>
      </c>
      <c r="W43" s="26"/>
      <c r="X43" s="7"/>
      <c r="Y43" s="7"/>
      <c r="Z43" s="7"/>
      <c r="AA43" s="7"/>
      <c r="AB43" s="7"/>
      <c r="AC43" s="7"/>
      <c r="AD43" s="7"/>
      <c r="AE43" s="7"/>
    </row>
    <row r="44" hidden="1" spans="1:31">
      <c r="A44" s="7" t="s">
        <v>6337</v>
      </c>
      <c r="B44" s="7"/>
      <c r="C44" s="7"/>
      <c r="D44" s="11" t="s">
        <v>6402</v>
      </c>
      <c r="E44" s="9"/>
      <c r="F44" s="9"/>
      <c r="G44" s="9"/>
      <c r="H44" s="11"/>
      <c r="I44" s="11"/>
      <c r="J44" s="7"/>
      <c r="K44" s="20"/>
      <c r="L44" s="20"/>
      <c r="M44" s="7"/>
      <c r="N44" s="9"/>
      <c r="O44" s="9"/>
      <c r="P44" s="9"/>
      <c r="Q44" s="9"/>
      <c r="R44" s="9"/>
      <c r="S44" s="17"/>
      <c r="T44" s="17"/>
      <c r="U44" s="17">
        <v>6</v>
      </c>
      <c r="V44" s="7" t="s">
        <v>6403</v>
      </c>
      <c r="W44" s="26">
        <f>1/X44+1/Y44+1/AA44+1/AC44</f>
        <v>1.60119047619048</v>
      </c>
      <c r="X44" s="7">
        <v>7</v>
      </c>
      <c r="Y44" s="7">
        <v>8</v>
      </c>
      <c r="Z44" s="7"/>
      <c r="AA44" s="7">
        <v>3</v>
      </c>
      <c r="AB44" s="7"/>
      <c r="AC44" s="7">
        <v>1</v>
      </c>
      <c r="AD44" s="7"/>
      <c r="AE44" s="7"/>
    </row>
    <row r="45" hidden="1" spans="1:31">
      <c r="A45" s="7"/>
      <c r="B45" s="7"/>
      <c r="C45" s="7"/>
      <c r="D45" s="11" t="s">
        <v>6404</v>
      </c>
      <c r="E45" s="9"/>
      <c r="F45" s="9"/>
      <c r="G45" s="9">
        <v>2709725</v>
      </c>
      <c r="H45" s="11"/>
      <c r="I45" s="11"/>
      <c r="J45" s="7">
        <v>2</v>
      </c>
      <c r="K45" s="16">
        <v>40912</v>
      </c>
      <c r="L45" s="16"/>
      <c r="M45" s="7"/>
      <c r="N45" s="9">
        <v>10</v>
      </c>
      <c r="O45" s="9"/>
      <c r="P45" s="9"/>
      <c r="Q45" s="9"/>
      <c r="R45" s="9"/>
      <c r="S45" s="25">
        <v>8380</v>
      </c>
      <c r="T45" s="25">
        <v>2000</v>
      </c>
      <c r="U45" s="29"/>
      <c r="V45" s="7" t="s">
        <v>6405</v>
      </c>
      <c r="W45" s="26"/>
      <c r="X45" s="7"/>
      <c r="Y45" s="7"/>
      <c r="Z45" s="7"/>
      <c r="AA45" s="7"/>
      <c r="AB45" s="7"/>
      <c r="AC45" s="7"/>
      <c r="AD45" s="7"/>
      <c r="AE45" s="7"/>
    </row>
    <row r="46" hidden="1" spans="1:31">
      <c r="A46" s="7" t="s">
        <v>234</v>
      </c>
      <c r="B46" s="7"/>
      <c r="C46" s="7"/>
      <c r="D46" s="11" t="s">
        <v>6406</v>
      </c>
      <c r="E46" s="9"/>
      <c r="F46" s="9"/>
      <c r="G46" s="9">
        <v>2285989</v>
      </c>
      <c r="H46" s="11"/>
      <c r="I46" s="11"/>
      <c r="J46" s="7">
        <v>3</v>
      </c>
      <c r="K46" s="16">
        <v>35441</v>
      </c>
      <c r="L46" s="16"/>
      <c r="M46" s="7"/>
      <c r="N46" s="9">
        <v>26</v>
      </c>
      <c r="O46" s="9"/>
      <c r="P46" s="9"/>
      <c r="Q46" s="9"/>
      <c r="R46" s="9"/>
      <c r="S46" s="17">
        <v>1600</v>
      </c>
      <c r="T46" s="17">
        <v>1840</v>
      </c>
      <c r="U46" s="31"/>
      <c r="V46" s="7" t="s">
        <v>6407</v>
      </c>
      <c r="W46" s="26"/>
      <c r="X46" s="7"/>
      <c r="Y46" s="7"/>
      <c r="Z46" s="7"/>
      <c r="AA46" s="7"/>
      <c r="AB46" s="7"/>
      <c r="AC46" s="7"/>
      <c r="AD46" s="7"/>
      <c r="AE46" s="7"/>
    </row>
    <row r="47" hidden="1" spans="1:31">
      <c r="A47" s="7"/>
      <c r="B47" s="7"/>
      <c r="C47" s="7"/>
      <c r="D47" s="11" t="s">
        <v>6408</v>
      </c>
      <c r="E47" s="9"/>
      <c r="F47" s="9"/>
      <c r="G47" s="9">
        <v>3406775</v>
      </c>
      <c r="H47" s="11"/>
      <c r="I47" s="11"/>
      <c r="J47" s="7">
        <v>1</v>
      </c>
      <c r="K47" s="16">
        <v>38021</v>
      </c>
      <c r="L47" s="16"/>
      <c r="M47" s="7"/>
      <c r="N47" s="9">
        <v>18</v>
      </c>
      <c r="O47" s="9"/>
      <c r="P47" s="9"/>
      <c r="Q47" s="9"/>
      <c r="R47" s="9"/>
      <c r="S47" s="25" t="s">
        <v>234</v>
      </c>
      <c r="T47" s="25">
        <v>6920</v>
      </c>
      <c r="U47" s="29"/>
      <c r="V47" s="7" t="s">
        <v>6409</v>
      </c>
      <c r="W47" s="26"/>
      <c r="X47" s="7"/>
      <c r="Y47" s="7"/>
      <c r="Z47" s="7"/>
      <c r="AA47" s="7"/>
      <c r="AB47" s="7"/>
      <c r="AC47" s="7"/>
      <c r="AD47" s="7"/>
      <c r="AE47" s="7"/>
    </row>
    <row r="48" hidden="1" spans="1:31">
      <c r="A48" s="7" t="s">
        <v>6337</v>
      </c>
      <c r="B48" s="7"/>
      <c r="C48" s="7"/>
      <c r="D48" s="11" t="s">
        <v>6410</v>
      </c>
      <c r="E48" s="9"/>
      <c r="F48" s="9"/>
      <c r="G48" s="9"/>
      <c r="H48" s="11"/>
      <c r="I48" s="11"/>
      <c r="J48" s="7"/>
      <c r="K48" s="20"/>
      <c r="L48" s="20"/>
      <c r="M48" s="7"/>
      <c r="N48" s="9"/>
      <c r="O48" s="9"/>
      <c r="P48" s="9"/>
      <c r="Q48" s="9"/>
      <c r="R48" s="9"/>
      <c r="S48" s="17"/>
      <c r="T48" s="17"/>
      <c r="U48" s="17"/>
      <c r="V48" s="7" t="s">
        <v>6411</v>
      </c>
      <c r="W48" s="26"/>
      <c r="X48" s="7"/>
      <c r="Y48" s="7"/>
      <c r="Z48" s="7"/>
      <c r="AA48" s="7"/>
      <c r="AB48" s="7"/>
      <c r="AC48" s="7"/>
      <c r="AD48" s="7"/>
      <c r="AE48" s="7"/>
    </row>
    <row r="49" hidden="1" spans="1:31">
      <c r="A49" s="7" t="s">
        <v>6337</v>
      </c>
      <c r="B49" s="7"/>
      <c r="C49" s="7"/>
      <c r="D49" s="11" t="s">
        <v>6412</v>
      </c>
      <c r="E49" s="9"/>
      <c r="F49" s="9"/>
      <c r="G49" s="9"/>
      <c r="H49" s="11"/>
      <c r="I49" s="11"/>
      <c r="J49" s="7"/>
      <c r="K49" s="20"/>
      <c r="L49" s="20"/>
      <c r="M49" s="7"/>
      <c r="N49" s="9"/>
      <c r="O49" s="9"/>
      <c r="P49" s="9"/>
      <c r="Q49" s="9"/>
      <c r="R49" s="9"/>
      <c r="S49" s="17"/>
      <c r="T49" s="17"/>
      <c r="U49" s="17"/>
      <c r="V49" s="7" t="s">
        <v>6413</v>
      </c>
      <c r="W49" s="26"/>
      <c r="X49" s="7"/>
      <c r="Y49" s="7"/>
      <c r="Z49" s="7"/>
      <c r="AA49" s="7"/>
      <c r="AB49" s="7"/>
      <c r="AC49" s="7"/>
      <c r="AD49" s="7"/>
      <c r="AE49" s="7"/>
    </row>
    <row r="50" hidden="1" spans="1:31">
      <c r="A50" s="7" t="s">
        <v>6337</v>
      </c>
      <c r="B50" s="7"/>
      <c r="C50" s="7"/>
      <c r="D50" s="11" t="s">
        <v>6249</v>
      </c>
      <c r="E50" s="11"/>
      <c r="F50" s="11"/>
      <c r="G50" s="9"/>
      <c r="H50" s="11"/>
      <c r="I50" s="11"/>
      <c r="J50" s="7"/>
      <c r="K50" s="7"/>
      <c r="L50" s="7"/>
      <c r="M50" s="7"/>
      <c r="N50" s="9"/>
      <c r="O50" s="9"/>
      <c r="P50" s="9"/>
      <c r="Q50" s="9"/>
      <c r="R50" s="9"/>
      <c r="S50" s="7"/>
      <c r="T50" s="7"/>
      <c r="U50" s="7">
        <v>7</v>
      </c>
      <c r="V50" s="7" t="s">
        <v>6414</v>
      </c>
      <c r="W50" s="26">
        <f>1/X50+1/Y50+1/Z50</f>
        <v>0.55</v>
      </c>
      <c r="X50" s="7">
        <v>10</v>
      </c>
      <c r="Y50" s="7">
        <v>5</v>
      </c>
      <c r="Z50" s="7">
        <v>4</v>
      </c>
      <c r="AA50" s="7"/>
      <c r="AB50" s="7"/>
      <c r="AC50" s="7"/>
      <c r="AD50" s="7"/>
      <c r="AE50" s="7"/>
    </row>
    <row r="51" hidden="1" spans="1:31">
      <c r="A51" s="7" t="s">
        <v>6337</v>
      </c>
      <c r="B51" s="7"/>
      <c r="C51" s="7"/>
      <c r="D51" s="11" t="s">
        <v>514</v>
      </c>
      <c r="E51" s="11"/>
      <c r="F51" s="11"/>
      <c r="G51" s="9"/>
      <c r="H51" s="11"/>
      <c r="I51" s="11"/>
      <c r="J51" s="7"/>
      <c r="K51" s="7"/>
      <c r="L51" s="7"/>
      <c r="M51" s="7"/>
      <c r="N51" s="9"/>
      <c r="O51" s="9"/>
      <c r="P51" s="9"/>
      <c r="Q51" s="9"/>
      <c r="R51" s="9"/>
      <c r="S51" s="7"/>
      <c r="T51" s="7"/>
      <c r="U51" s="7"/>
      <c r="V51" s="7" t="s">
        <v>514</v>
      </c>
      <c r="W51" s="26"/>
      <c r="X51" s="7"/>
      <c r="Y51" s="7"/>
      <c r="Z51" s="7"/>
      <c r="AA51" s="7"/>
      <c r="AB51" s="7"/>
      <c r="AC51" s="7"/>
      <c r="AD51" s="7"/>
      <c r="AE51" s="7"/>
    </row>
    <row r="52" hidden="1" spans="1:31">
      <c r="A52" s="7" t="s">
        <v>6337</v>
      </c>
      <c r="B52" s="7"/>
      <c r="C52" s="7"/>
      <c r="D52" s="11" t="s">
        <v>6415</v>
      </c>
      <c r="E52" s="11"/>
      <c r="F52" s="11"/>
      <c r="G52" s="9"/>
      <c r="H52" s="11"/>
      <c r="I52" s="11"/>
      <c r="J52" s="7"/>
      <c r="K52" s="7"/>
      <c r="L52" s="7"/>
      <c r="M52" s="7"/>
      <c r="N52" s="9"/>
      <c r="O52" s="9"/>
      <c r="P52" s="9"/>
      <c r="Q52" s="9"/>
      <c r="R52" s="9"/>
      <c r="S52" s="7"/>
      <c r="T52" s="7"/>
      <c r="U52" s="7"/>
      <c r="V52" s="7" t="s">
        <v>6416</v>
      </c>
      <c r="W52" s="26"/>
      <c r="X52" s="7"/>
      <c r="Y52" s="7"/>
      <c r="Z52" s="7"/>
      <c r="AA52" s="7"/>
      <c r="AB52" s="7"/>
      <c r="AC52" s="7"/>
      <c r="AD52" s="7"/>
      <c r="AE52" s="7"/>
    </row>
    <row r="53" hidden="1" spans="1:31">
      <c r="A53" s="7" t="s">
        <v>6337</v>
      </c>
      <c r="B53" s="7"/>
      <c r="C53" s="7"/>
      <c r="D53" s="11" t="s">
        <v>6417</v>
      </c>
      <c r="E53" s="11"/>
      <c r="F53" s="11"/>
      <c r="G53" s="9"/>
      <c r="H53" s="11"/>
      <c r="I53" s="11"/>
      <c r="J53" s="7"/>
      <c r="K53" s="7"/>
      <c r="L53" s="7"/>
      <c r="M53" s="7"/>
      <c r="N53" s="9"/>
      <c r="O53" s="9"/>
      <c r="P53" s="9"/>
      <c r="Q53" s="9"/>
      <c r="R53" s="9"/>
      <c r="S53" s="7"/>
      <c r="T53" s="7"/>
      <c r="U53" s="7"/>
      <c r="V53" s="7" t="s">
        <v>6418</v>
      </c>
      <c r="W53" s="26">
        <f>1/X53+1/AA53+1/AC53</f>
        <v>1.66666666666667</v>
      </c>
      <c r="X53" s="7">
        <v>6</v>
      </c>
      <c r="Y53" s="7"/>
      <c r="Z53" s="7"/>
      <c r="AA53" s="7">
        <v>1</v>
      </c>
      <c r="AB53" s="7"/>
      <c r="AC53" s="7">
        <v>2</v>
      </c>
      <c r="AD53" s="7"/>
      <c r="AE53" s="7"/>
    </row>
    <row r="54" hidden="1" spans="1:31">
      <c r="A54" s="7"/>
      <c r="B54" s="7"/>
      <c r="C54" s="7"/>
      <c r="D54" s="11" t="s">
        <v>6252</v>
      </c>
      <c r="E54" s="11"/>
      <c r="F54" s="11"/>
      <c r="G54" s="9">
        <v>10585</v>
      </c>
      <c r="H54" s="11"/>
      <c r="I54" s="11"/>
      <c r="J54" s="7">
        <v>5</v>
      </c>
      <c r="K54" s="16">
        <v>35060</v>
      </c>
      <c r="L54" s="16"/>
      <c r="M54" s="21" t="s">
        <v>6346</v>
      </c>
      <c r="N54" s="9">
        <v>2379</v>
      </c>
      <c r="O54" s="9"/>
      <c r="P54" s="9"/>
      <c r="Q54" s="9"/>
      <c r="R54" s="9"/>
      <c r="S54" s="25">
        <v>2660000</v>
      </c>
      <c r="T54" s="25">
        <v>139000</v>
      </c>
      <c r="U54" s="29"/>
      <c r="V54" s="7" t="s">
        <v>6419</v>
      </c>
      <c r="W54" s="26">
        <f>1/X54</f>
        <v>0.125</v>
      </c>
      <c r="X54" s="7">
        <v>8</v>
      </c>
      <c r="Y54" s="7"/>
      <c r="Z54" s="7"/>
      <c r="AA54" s="7"/>
      <c r="AB54" s="7"/>
      <c r="AC54" s="7"/>
      <c r="AD54" s="7"/>
      <c r="AE54" s="7"/>
    </row>
    <row r="55" hidden="1" spans="1:31">
      <c r="A55" s="7" t="s">
        <v>234</v>
      </c>
      <c r="B55" s="7"/>
      <c r="C55" s="7"/>
      <c r="D55" s="11" t="s">
        <v>6420</v>
      </c>
      <c r="E55" s="11"/>
      <c r="F55" s="11"/>
      <c r="G55" s="9">
        <v>2538060</v>
      </c>
      <c r="H55" s="11"/>
      <c r="I55" s="11"/>
      <c r="J55" s="7">
        <v>2</v>
      </c>
      <c r="K55" s="16">
        <v>37028</v>
      </c>
      <c r="L55" s="16"/>
      <c r="M55" s="7"/>
      <c r="N55" s="9">
        <v>25</v>
      </c>
      <c r="O55" s="9"/>
      <c r="P55" s="9"/>
      <c r="Q55" s="9"/>
      <c r="R55" s="9"/>
      <c r="S55" s="7">
        <v>838</v>
      </c>
      <c r="T55" s="17">
        <v>5920</v>
      </c>
      <c r="U55" s="31"/>
      <c r="V55" s="7" t="s">
        <v>6421</v>
      </c>
      <c r="W55" s="26">
        <f>1/AD55</f>
        <v>0.5</v>
      </c>
      <c r="X55" s="7"/>
      <c r="Y55" s="7"/>
      <c r="Z55" s="7"/>
      <c r="AA55" s="7"/>
      <c r="AB55" s="7"/>
      <c r="AC55" s="7"/>
      <c r="AD55" s="7">
        <v>2</v>
      </c>
      <c r="AE55" s="7"/>
    </row>
    <row r="56" hidden="1" spans="1:31">
      <c r="A56" s="7"/>
      <c r="B56" s="7"/>
      <c r="C56" s="7"/>
      <c r="D56" s="7" t="s">
        <v>6422</v>
      </c>
      <c r="E56" s="7"/>
      <c r="F56" s="7"/>
      <c r="G56" s="9">
        <v>4</v>
      </c>
      <c r="H56" s="7"/>
      <c r="I56" s="7"/>
      <c r="J56" s="7">
        <v>9</v>
      </c>
      <c r="K56" s="16">
        <v>34717</v>
      </c>
      <c r="L56" s="16"/>
      <c r="M56" s="7"/>
      <c r="N56" s="9">
        <v>1226181</v>
      </c>
      <c r="O56" s="9"/>
      <c r="P56" s="9"/>
      <c r="Q56" s="9"/>
      <c r="R56" s="9"/>
      <c r="S56" s="25">
        <v>1656000000</v>
      </c>
      <c r="T56" s="25">
        <v>136000000</v>
      </c>
      <c r="U56" s="29"/>
      <c r="V56" s="7" t="s">
        <v>6423</v>
      </c>
      <c r="W56" s="26"/>
      <c r="X56" s="7"/>
      <c r="Y56" s="7"/>
      <c r="Z56" s="7"/>
      <c r="AA56" s="7"/>
      <c r="AB56" s="7"/>
      <c r="AC56" s="7"/>
      <c r="AD56" s="7"/>
      <c r="AE56" s="7"/>
    </row>
    <row r="57" hidden="1" spans="1:3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22"/>
      <c r="O57" s="22"/>
      <c r="P57" s="22"/>
      <c r="Q57" s="22"/>
      <c r="R57" s="22"/>
      <c r="S57" s="18"/>
      <c r="T57" s="18"/>
      <c r="U57" s="22"/>
      <c r="V57" s="7"/>
      <c r="W57" s="26"/>
      <c r="X57" s="7"/>
      <c r="Y57" s="7"/>
      <c r="Z57" s="7"/>
      <c r="AA57" s="7"/>
      <c r="AB57" s="7"/>
      <c r="AC57" s="7"/>
      <c r="AD57" s="7"/>
      <c r="AE57" s="7"/>
    </row>
  </sheetData>
  <autoFilter ref="A2:AE57">
    <filterColumn colId="0">
      <filters>
        <filter val="官网"/>
        <filter val="OEM Parts"/>
        <filter val="自己网站"/>
      </filters>
    </filterColumn>
    <extLst/>
  </autoFilter>
  <mergeCells count="5">
    <mergeCell ref="E1:I1"/>
    <mergeCell ref="J1:N1"/>
    <mergeCell ref="O1:R1"/>
    <mergeCell ref="S1:T1"/>
    <mergeCell ref="U1:X1"/>
  </mergeCells>
  <hyperlinks>
    <hyperlink ref="V43" r:id="rId1" display="www.lategreatchevy.com/‎"/>
    <hyperlink ref="V12" r:id="rId2" display="www.chevroletonlineparts.com/"/>
    <hyperlink ref="V21" r:id="rId3" display="www.bunninchevrolet.com/‎"/>
    <hyperlink ref="V29" r:id="rId4" display="www.delillo.com/Chevrolet-Parts-Department-Huntington-Beach.aspx‎"/>
    <hyperlink ref="V9" r:id="rId5" display="www.autohausaz.com/chevy-auto-parts/index.html"/>
    <hyperlink ref="V53" r:id="rId6" display="www.stylintrucks.com/vehicles/chevrolet.aspx"/>
    <hyperlink ref="V40" r:id="rId7" display="www.buychevyautoparts.com/"/>
    <hyperlink ref="V18" r:id="rId8" display="www.oldchevytrucks.com/"/>
    <hyperlink ref="V52" r:id="rId9" display="www.smogtips.com/classifieddetails/232-Auto-Parts-CA-Riverside.cfm"/>
    <hyperlink ref="V47" r:id="rId10" display="www.mervsclassicchevyparts.com/57parts.html‎"/>
    <hyperlink ref="V49" r:id="rId11" display="www.prweb.com/.../chevy-oem-parts/used-chevy-parts/prweb10609974....‎"/>
    <hyperlink ref="V45" r:id="rId12" display="www.chevypartworld.com/‎"/>
    <hyperlink ref="V6" r:id="rId13" display="www.1aauto.com"/>
    <hyperlink ref="V54" r:id="rId14" display="www.summitracing.com/search/make/chevrolet/model/aveo"/>
    <hyperlink ref="D48" r:id="rId15" display="www.partstrain.com"/>
    <hyperlink ref="D38" r:id="rId16" display="chevyparts123.com"/>
    <hyperlink ref="D11" r:id="rId17" display="www.autotrucktoys.com"/>
    <hyperlink ref="D25" r:id="rId18" display="www.classicmuscle.com"/>
    <hyperlink ref="V17" r:id="rId19" display="www.classicchevroletparts.com/‎"/>
    <hyperlink ref="D28" r:id="rId20" display="www.gm-car-parts.com"/>
    <hyperlink ref="D3" r:id="rId21" display="www.chevrolet.com"/>
    <hyperlink ref="D4" r:id="rId22" display="www.gmpartsdepartment.com"/>
    <hyperlink ref="D12" r:id="rId2" display="www.chevroletonlineparts.com"/>
    <hyperlink ref="D13" r:id="rId23" display="www.gmpartsdirect.com"/>
    <hyperlink ref="D14" r:id="rId24" display="www.brotherstrucks.com"/>
    <hyperlink ref="D17" r:id="rId25" display="www.classicchevroletparts.com"/>
    <hyperlink ref="D19" r:id="rId26" display="www.gmpartsgiant.com"/>
    <hyperlink ref="D22" r:id="rId27" display="www.newgmparts.com"/>
    <hyperlink ref="D33" r:id="rId28" display="www.ecklerstrucks.com"/>
    <hyperlink ref="D35" r:id="rId29" display="www.gmpartseast.com"/>
    <hyperlink ref="D40" r:id="rId7" display="www.buychevyautoparts.com"/>
  </hyperlink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说明</vt:lpstr>
      <vt:lpstr>Summary</vt:lpstr>
      <vt:lpstr>竞争者-202402</vt:lpstr>
      <vt:lpstr>竞争者-202401</vt:lpstr>
      <vt:lpstr>竞争者-202312</vt:lpstr>
      <vt:lpstr>竞争者-202311</vt:lpstr>
      <vt:lpstr>竞争者-202310</vt:lpstr>
      <vt:lpstr>竞争者-202309</vt:lpstr>
      <vt:lpstr>竞争者-202308</vt:lpstr>
      <vt:lpstr>竞争者-202307</vt:lpstr>
      <vt:lpstr>竞争者-202306</vt:lpstr>
      <vt:lpstr>竞争者-202305</vt:lpstr>
      <vt:lpstr>竞争者-202304</vt:lpstr>
      <vt:lpstr>竞争者-202303</vt:lpstr>
      <vt:lpstr>竞争者-202302</vt:lpstr>
      <vt:lpstr>竞争者-202301</vt:lpstr>
      <vt:lpstr>竞争者-202212</vt:lpstr>
      <vt:lpstr>竞争者-202211</vt:lpstr>
      <vt:lpstr>竞争者-202210</vt:lpstr>
      <vt:lpstr>正厂竞争者数据汇总</vt:lpstr>
      <vt:lpstr>Price &amp; Shipping</vt:lpstr>
      <vt:lpstr>副厂竞争者数据汇总</vt:lpstr>
      <vt:lpstr>正厂（网址失效）</vt:lpstr>
      <vt:lpstr>副厂（网址失效）</vt:lpstr>
      <vt:lpstr>Mid</vt:lpstr>
      <vt:lpstr>Forum Link</vt:lpstr>
      <vt:lpstr>19-10月</vt:lpstr>
      <vt:lpstr>Sheet4</vt:lpstr>
      <vt:lpstr>Sheet2</vt:lpstr>
      <vt:lpstr> 9月</vt:lpstr>
      <vt:lpstr>8月 </vt:lpstr>
      <vt:lpstr>7月  </vt:lpstr>
      <vt:lpstr>6月 </vt:lpstr>
      <vt:lpstr>5月 </vt:lpstr>
      <vt:lpstr>副厂&amp;Multi-OEM </vt:lpstr>
      <vt:lpstr>Competitive Matrix</vt:lpstr>
      <vt:lpstr>Chevy(No-use)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Gowther</cp:lastModifiedBy>
  <dcterms:created xsi:type="dcterms:W3CDTF">2006-09-13T11:21:00Z</dcterms:created>
  <dcterms:modified xsi:type="dcterms:W3CDTF">2024-04-04T06:46:56Z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645f9b5a-b945-4167-9e44-a43e1d81f411</vt:lpwstr>
  </property>
  <property fmtid="{D5CDD505-2E9C-101B-9397-08002B2CF9AE}" pid="3" name="KSOProductBuildVer">
    <vt:lpwstr>2052-12.1.0.16417</vt:lpwstr>
  </property>
  <property fmtid="{D5CDD505-2E9C-101B-9397-08002B2CF9AE}" pid="4" name="ICV">
    <vt:lpwstr>CB7D48D68BC9495BABC794CB5136230E_13</vt:lpwstr>
  </property>
  <property fmtid="{D5CDD505-2E9C-101B-9397-08002B2CF9AE}" pid="5" name="commondata">
    <vt:lpwstr>eyJoZGlkIjoiMjk4ZDAzY2Q4OGVlNGQ5ODhkY2MyMGU3MmQ4OWQ4NjkifQ==</vt:lpwstr>
  </property>
  <property fmtid="{D5CDD505-2E9C-101B-9397-08002B2CF9AE}" pid="6" name="KSOReadingLayout">
    <vt:bool>true</vt:bool>
  </property>
</Properties>
</file>